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1.xml" ContentType="application/vnd.openxmlformats-officedocument.spreadsheetml.worksheet+xml"/>
  <Override PartName="/xl/sharedStrings.xml" ContentType="application/vnd.openxmlformats-officedocument.spreadsheetml.sharedStrings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40.xml" ContentType="application/vnd.openxmlformats-officedocument.spreadsheetml.worksheet+xml"/>
  <Override PartName="/xl/worksheets/sheet42.xml" ContentType="application/vnd.openxmlformats-officedocument.spreadsheetml.worksheet+xml"/>
  <Override PartName="/xl/worksheets/sheet38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39.xml" ContentType="application/vnd.openxmlformats-officedocument.spreadsheetml.worksheet+xml"/>
  <Override PartName="/xl/worksheets/sheet1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worksheets/sheet3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1.xml" ContentType="application/vnd.openxmlformats-officedocument.spreadsheetml.worksheet+xml"/>
  <Override PartName="/xl/worksheets/sheet33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6.xml" ContentType="application/vnd.openxmlformats-officedocument.spreadsheetml.worksheet+xml"/>
  <Override PartName="/xl/comments30.xml" ContentType="application/vnd.openxmlformats-officedocument.spreadsheetml.comments+xml"/>
  <Override PartName="/xl/comments29.xml" ContentType="application/vnd.openxmlformats-officedocument.spreadsheetml.comments+xml"/>
  <Override PartName="/xl/comments28.xml" ContentType="application/vnd.openxmlformats-officedocument.spreadsheetml.comments+xml"/>
  <Override PartName="/xl/comments31.xml" ContentType="application/vnd.openxmlformats-officedocument.spreadsheetml.comment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9.xml" ContentType="application/vnd.openxmlformats-officedocument.spreadsheetml.comments+xml"/>
  <Override PartName="/xl/comments12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13.xml" ContentType="application/vnd.openxmlformats-officedocument.spreadsheetml.comments+xml"/>
  <Override PartName="/xl/comments23.xml" ContentType="application/vnd.openxmlformats-officedocument.spreadsheetml.comments+xml"/>
  <Override PartName="/xl/comments22.xml" ContentType="application/vnd.openxmlformats-officedocument.spreadsheetml.comments+xml"/>
  <Override PartName="/xl/comments2.xml" ContentType="application/vnd.openxmlformats-officedocument.spreadsheetml.comments+xml"/>
  <Override PartName="/xl/comments21.xml" ContentType="application/vnd.openxmlformats-officedocument.spreadsheetml.comments+xml"/>
  <Override PartName="/xl/comments24.xml" ContentType="application/vnd.openxmlformats-officedocument.spreadsheetml.comments+xml"/>
  <Override PartName="/xl/comments27.xml" ContentType="application/vnd.openxmlformats-officedocument.spreadsheetml.comments+xml"/>
  <Override PartName="/xl/comments26.xml" ContentType="application/vnd.openxmlformats-officedocument.spreadsheetml.comments+xml"/>
  <Override PartName="/xl/comments1.xml" ContentType="application/vnd.openxmlformats-officedocument.spreadsheetml.comments+xml"/>
  <Override PartName="/xl/comments25.xml" ContentType="application/vnd.openxmlformats-officedocument.spreadsheetml.comments+xml"/>
  <Override PartName="/xl/comments20.xml" ContentType="application/vnd.openxmlformats-officedocument.spreadsheetml.comments+xml"/>
  <Override PartName="/xl/comments15.xml" ContentType="application/vnd.openxmlformats-officedocument.spreadsheetml.comments+xml"/>
  <Override PartName="/xl/comments14.xml" ContentType="application/vnd.openxmlformats-officedocument.spreadsheetml.comments+xml"/>
  <Override PartName="/xl/comments16.xml" ContentType="application/vnd.openxmlformats-officedocument.spreadsheetml.comments+xml"/>
  <Override PartName="/xl/comments19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2-Budget &amp; Administration\Reporting\WUTC\2021 Reporting\2020-2021 Biennial Report\June 1 Filed Report\"/>
    </mc:Choice>
  </mc:AlternateContent>
  <bookViews>
    <workbookView xWindow="0" yWindow="0" windowWidth="25200" windowHeight="11700"/>
  </bookViews>
  <sheets>
    <sheet name="Summary" sheetId="2" r:id="rId1"/>
    <sheet name="Electric CE" sheetId="68" r:id="rId2"/>
    <sheet name="Gas CE" sheetId="67" r:id="rId3"/>
    <sheet name="Program Costs" sheetId="1" r:id="rId4"/>
    <sheet name="Program Costs-old" sheetId="77" state="hidden" r:id="rId5"/>
    <sheet name="Program Costs-new" sheetId="76" state="hidden" r:id="rId6"/>
    <sheet name="E201 LIW {E}" sheetId="65" r:id="rId7"/>
    <sheet name="Residential Lighting {E}" sheetId="3" r:id="rId8"/>
    <sheet name="SF Existing Space Heat {E}" sheetId="5" r:id="rId9"/>
    <sheet name="SF Existing Water Heat {E}" sheetId="6" r:id="rId10"/>
    <sheet name="Home Appliances {E}" sheetId="12" r:id="rId11"/>
    <sheet name="Web-Enabled Thermostats {E}" sheetId="13" r:id="rId12"/>
    <sheet name="Residential Showerheads {E}" sheetId="14" r:id="rId13"/>
    <sheet name="SF Existing Weatherization {E}" sheetId="15" r:id="rId14"/>
    <sheet name="Home Energy Reports {E}" sheetId="16" r:id="rId15"/>
    <sheet name="Home Energy Assessments {E}" sheetId="78" r:id="rId16"/>
    <sheet name="Efficiency Boost {E}" sheetId="74" r:id="rId17"/>
    <sheet name="SF New Construction {E}" sheetId="18" r:id="rId18"/>
    <sheet name="MH New Construction {E}" sheetId="19" r:id="rId19"/>
    <sheet name="Multi Family Retrofit {E}" sheetId="20" r:id="rId20"/>
    <sheet name="MF New Construction {E}" sheetId="21" r:id="rId21"/>
    <sheet name="CI Retrofit {E}" sheetId="22" r:id="rId22"/>
    <sheet name="Bus Lighting Grants {E}" sheetId="69" r:id="rId23"/>
    <sheet name="Industrial EM {E}" sheetId="70" r:id="rId24"/>
    <sheet name="CBA {E}" sheetId="72" r:id="rId25"/>
    <sheet name="CI New Construction {E}" sheetId="23" r:id="rId26"/>
    <sheet name="Com SEM {E}" sheetId="24" r:id="rId27"/>
    <sheet name="P4P {E}" sheetId="25" r:id="rId28"/>
    <sheet name="LPU 449 {E}" sheetId="26" r:id="rId29"/>
    <sheet name="LPU Non-449 {E}" sheetId="27" r:id="rId30"/>
    <sheet name="Lighting to Go {E}" sheetId="28" r:id="rId31"/>
    <sheet name="Commercial Kitchen Laundry {E}" sheetId="29" r:id="rId32"/>
    <sheet name="Commercial HVAC {E}" sheetId="30" r:id="rId33"/>
    <sheet name="Commercial Midstream {E}" sheetId="31" r:id="rId34"/>
    <sheet name="SBDI {E}" sheetId="32" r:id="rId35"/>
    <sheet name="Lodging Rebates {E}" sheetId="33" r:id="rId36"/>
    <sheet name="Residential Pilots {E}" sheetId="34" r:id="rId37"/>
    <sheet name="Commercial Pilots {E}" sheetId="35" r:id="rId38"/>
    <sheet name="TDSM {E}" sheetId="36" r:id="rId39"/>
    <sheet name="NEEA {E}" sheetId="37" r:id="rId40"/>
    <sheet name="T&amp;D {E}" sheetId="38" r:id="rId41"/>
    <sheet name="G201 LIW {G}" sheetId="66" r:id="rId42"/>
    <sheet name="SF Existing Space Heat {G}" sheetId="39" r:id="rId43"/>
    <sheet name="SF Existing Water Heat {G}" sheetId="40" r:id="rId44"/>
    <sheet name="Home Energy Assessments {G}" sheetId="41" r:id="rId45"/>
    <sheet name="Single Family Rental Pilot {G}" sheetId="42" r:id="rId46"/>
    <sheet name="Home Appliances {G}" sheetId="43" r:id="rId47"/>
    <sheet name="Web Enabled Thermostats {G}" sheetId="44" r:id="rId48"/>
    <sheet name="Residential Showerheads {G}" sheetId="45" r:id="rId49"/>
    <sheet name="SF Existing Weatherization {G}" sheetId="46" r:id="rId50"/>
    <sheet name="Home Energy Reports {G}" sheetId="47" r:id="rId51"/>
    <sheet name="Efficiency Boost {G}" sheetId="75" r:id="rId52"/>
    <sheet name="SF New Construction {G}" sheetId="49" r:id="rId53"/>
    <sheet name="MH New Construction {G}" sheetId="50" r:id="rId54"/>
    <sheet name="Multi Family Retrofit {G}" sheetId="51" r:id="rId55"/>
    <sheet name="MF New Construction {G}" sheetId="52" r:id="rId56"/>
    <sheet name="CI Retrofit {G}" sheetId="53" r:id="rId57"/>
    <sheet name="CBA {G}" sheetId="71" r:id="rId58"/>
    <sheet name="Industrial EM {G}" sheetId="73" r:id="rId59"/>
    <sheet name="CI New Construction {G}" sheetId="54" r:id="rId60"/>
    <sheet name="Com SEM {G}" sheetId="55" r:id="rId61"/>
    <sheet name="P4P {G}" sheetId="56" r:id="rId62"/>
    <sheet name="Commercial Kitchen Laundry {G}" sheetId="57" r:id="rId63"/>
    <sheet name="Commercial HVAC {G}" sheetId="58" r:id="rId64"/>
    <sheet name="Commercial Midstream {G}" sheetId="59" r:id="rId65"/>
    <sheet name="SBDI {G}" sheetId="60" r:id="rId66"/>
    <sheet name="G245 NEEA GAS" sheetId="61" r:id="rId67"/>
    <sheet name="G249 Res Gas Pilot" sheetId="62" r:id="rId68"/>
    <sheet name="G249 Com Gas Pilot" sheetId="63" r:id="rId69"/>
    <sheet name="TDSM {G}" sheetId="64" r:id="rId70"/>
    <sheet name="ElecAvoidedCostsWOCC" sheetId="9" r:id="rId71"/>
    <sheet name="GasAvoidedCostsWOCC" sheetId="10" r:id="rId72"/>
  </sheets>
  <externalReferences>
    <externalReference r:id="rId73"/>
  </externalReferences>
  <definedNames>
    <definedName name="_xlnm._FilterDatabase" localSheetId="6" hidden="1">'E201 LIW {E}'!$B$4:$AQ$232</definedName>
    <definedName name="_xlnm._FilterDatabase" localSheetId="3" hidden="1">'Program Costs'!$A$1:$P$124</definedName>
    <definedName name="_xlnm._FilterDatabase" localSheetId="5" hidden="1">'Program Costs-new'!$A$1:$P$124</definedName>
    <definedName name="_xlnm._FilterDatabase" localSheetId="4" hidden="1">'Program Costs-old'!$A$1:$P$117</definedName>
    <definedName name="ElecDiscountRate">0.0697</definedName>
    <definedName name="GasDiscountRate">0.0697</definedName>
    <definedName name="_xlnm.Print_Area" localSheetId="1">'Electric CE'!$A$1:$W$75</definedName>
    <definedName name="_xlnm.Print_Area" localSheetId="2">'Gas CE'!$A$1:$W$67</definedName>
    <definedName name="_xlnm.Print_Area" localSheetId="0">Summary!$A$1:$P$57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6" i="65" l="1"/>
  <c r="AA5" i="65" l="1"/>
  <c r="A20" i="65"/>
  <c r="AA181" i="65"/>
  <c r="AA182" i="65"/>
  <c r="AA183" i="65"/>
  <c r="AA184" i="65"/>
  <c r="AA185" i="65"/>
  <c r="AA186" i="65"/>
  <c r="AA187" i="65"/>
  <c r="AA188" i="65"/>
  <c r="AA189" i="65"/>
  <c r="AA190" i="65"/>
  <c r="AA191" i="65"/>
  <c r="AA192" i="65"/>
  <c r="AA193" i="65"/>
  <c r="AA194" i="65"/>
  <c r="AA195" i="65"/>
  <c r="AA196" i="65"/>
  <c r="AA197" i="65"/>
  <c r="AA198" i="65"/>
  <c r="AA199" i="65"/>
  <c r="AA200" i="65"/>
  <c r="AA201" i="65"/>
  <c r="AA202" i="65"/>
  <c r="AA203" i="65"/>
  <c r="AA204" i="65"/>
  <c r="AA205" i="65"/>
  <c r="AA206" i="65"/>
  <c r="AA207" i="65"/>
  <c r="AA208" i="65"/>
  <c r="AA209" i="65"/>
  <c r="AA210" i="65"/>
  <c r="AA211" i="65"/>
  <c r="AA212" i="65"/>
  <c r="AA213" i="65"/>
  <c r="AA214" i="65"/>
  <c r="AA215" i="65"/>
  <c r="AA216" i="65"/>
  <c r="AA217" i="65"/>
  <c r="AA218" i="65"/>
  <c r="AA219" i="65"/>
  <c r="AA220" i="65"/>
  <c r="AA221" i="65"/>
  <c r="AA222" i="65"/>
  <c r="AA223" i="65"/>
  <c r="AA224" i="65"/>
  <c r="AA225" i="65"/>
  <c r="AA226" i="65"/>
  <c r="AA227" i="65"/>
  <c r="AA228" i="65"/>
  <c r="AA229" i="65"/>
  <c r="AA230" i="65"/>
  <c r="AA231" i="65"/>
  <c r="AA232" i="65"/>
  <c r="AA7" i="65"/>
  <c r="AA8" i="65"/>
  <c r="AA9" i="65"/>
  <c r="AA10" i="65"/>
  <c r="AA11" i="65"/>
  <c r="AA12" i="65"/>
  <c r="AA13" i="65"/>
  <c r="AA14" i="65"/>
  <c r="AA15" i="65"/>
  <c r="AA16" i="65"/>
  <c r="AA17" i="65"/>
  <c r="AA18" i="65"/>
  <c r="AA19" i="65"/>
  <c r="AA20" i="65"/>
  <c r="AA21" i="65"/>
  <c r="AA22" i="65"/>
  <c r="AA23" i="65"/>
  <c r="AA24" i="65"/>
  <c r="AA25" i="65"/>
  <c r="AA26" i="65"/>
  <c r="AA27" i="65"/>
  <c r="AA28" i="65"/>
  <c r="AA29" i="65"/>
  <c r="AA30" i="65"/>
  <c r="AA31" i="65"/>
  <c r="AA32" i="65"/>
  <c r="AA33" i="65"/>
  <c r="AA34" i="65"/>
  <c r="AA35" i="65"/>
  <c r="AA36" i="65"/>
  <c r="AA37" i="65"/>
  <c r="AA38" i="65"/>
  <c r="AA39" i="65"/>
  <c r="AA40" i="65"/>
  <c r="AA41" i="65"/>
  <c r="AA42" i="65"/>
  <c r="AA43" i="65"/>
  <c r="AA44" i="65"/>
  <c r="AA45" i="65"/>
  <c r="AA46" i="65"/>
  <c r="AA47" i="65"/>
  <c r="AA48" i="65"/>
  <c r="AA49" i="65"/>
  <c r="AA50" i="65"/>
  <c r="AA51" i="65"/>
  <c r="AA52" i="65"/>
  <c r="AA53" i="65"/>
  <c r="AA54" i="65"/>
  <c r="AA55" i="65"/>
  <c r="AA56" i="65"/>
  <c r="AA57" i="65"/>
  <c r="AA58" i="65"/>
  <c r="AA59" i="65"/>
  <c r="AA60" i="65"/>
  <c r="AA61" i="65"/>
  <c r="AA62" i="65"/>
  <c r="AA63" i="65"/>
  <c r="AA64" i="65"/>
  <c r="AA65" i="65"/>
  <c r="AA66" i="65"/>
  <c r="AA67" i="65"/>
  <c r="AA68" i="65"/>
  <c r="AA69" i="65"/>
  <c r="AA70" i="65"/>
  <c r="AA71" i="65"/>
  <c r="AA72" i="65"/>
  <c r="AA73" i="65"/>
  <c r="AA74" i="65"/>
  <c r="AA75" i="65"/>
  <c r="AA76" i="65"/>
  <c r="AA77" i="65"/>
  <c r="AA78" i="65"/>
  <c r="AA79" i="65"/>
  <c r="AA80" i="65"/>
  <c r="AA81" i="65"/>
  <c r="AA82" i="65"/>
  <c r="AA83" i="65"/>
  <c r="AA84" i="65"/>
  <c r="AA85" i="65"/>
  <c r="AA86" i="65"/>
  <c r="AA87" i="65"/>
  <c r="AA88" i="65"/>
  <c r="AA89" i="65"/>
  <c r="AA90" i="65"/>
  <c r="AA91" i="65"/>
  <c r="AA92" i="65"/>
  <c r="AA93" i="65"/>
  <c r="AA94" i="65"/>
  <c r="AA95" i="65"/>
  <c r="AA96" i="65"/>
  <c r="AA97" i="65"/>
  <c r="AA98" i="65"/>
  <c r="AA99" i="65"/>
  <c r="AA100" i="65"/>
  <c r="AA101" i="65"/>
  <c r="AA102" i="65"/>
  <c r="AA103" i="65"/>
  <c r="AA104" i="65"/>
  <c r="AA105" i="65"/>
  <c r="AA106" i="65"/>
  <c r="AA107" i="65"/>
  <c r="AA108" i="65"/>
  <c r="AA109" i="65"/>
  <c r="AA110" i="65"/>
  <c r="AA111" i="65"/>
  <c r="AA112" i="65"/>
  <c r="AA113" i="65"/>
  <c r="AA114" i="65"/>
  <c r="AA115" i="65"/>
  <c r="AA116" i="65"/>
  <c r="AA117" i="65"/>
  <c r="AA118" i="65"/>
  <c r="AA119" i="65"/>
  <c r="AA120" i="65"/>
  <c r="AA121" i="65"/>
  <c r="AA122" i="65"/>
  <c r="AA123" i="65"/>
  <c r="AA124" i="65"/>
  <c r="AA125" i="65"/>
  <c r="AA126" i="65"/>
  <c r="AA127" i="65"/>
  <c r="AA128" i="65"/>
  <c r="AA129" i="65"/>
  <c r="AA130" i="65"/>
  <c r="AA131" i="65"/>
  <c r="AA132" i="65"/>
  <c r="AA133" i="65"/>
  <c r="AA134" i="65"/>
  <c r="AA135" i="65"/>
  <c r="AA136" i="65"/>
  <c r="AA137" i="65"/>
  <c r="AA138" i="65"/>
  <c r="AA139" i="65"/>
  <c r="AA140" i="65"/>
  <c r="AA141" i="65"/>
  <c r="AA142" i="65"/>
  <c r="AA143" i="65"/>
  <c r="AA144" i="65"/>
  <c r="AA145" i="65"/>
  <c r="AA146" i="65"/>
  <c r="AA147" i="65"/>
  <c r="AA148" i="65"/>
  <c r="AA149" i="65"/>
  <c r="AA150" i="65"/>
  <c r="AA151" i="65"/>
  <c r="AA152" i="65"/>
  <c r="AA153" i="65"/>
  <c r="AA154" i="65"/>
  <c r="AA155" i="65"/>
  <c r="AA156" i="65"/>
  <c r="AA157" i="65"/>
  <c r="AA158" i="65"/>
  <c r="AA159" i="65"/>
  <c r="AA160" i="65"/>
  <c r="AA161" i="65"/>
  <c r="AA162" i="65"/>
  <c r="AA163" i="65"/>
  <c r="AA164" i="65"/>
  <c r="AA165" i="65"/>
  <c r="AA166" i="65"/>
  <c r="AA167" i="65"/>
  <c r="AA168" i="65"/>
  <c r="AA169" i="65"/>
  <c r="AA170" i="65"/>
  <c r="AA171" i="65"/>
  <c r="AA172" i="65"/>
  <c r="AA173" i="65"/>
  <c r="AA174" i="65"/>
  <c r="AA175" i="65"/>
  <c r="AA176" i="65"/>
  <c r="AA177" i="65"/>
  <c r="AA178" i="65"/>
  <c r="AA179" i="65"/>
  <c r="AA180" i="65"/>
  <c r="O55" i="67" l="1"/>
  <c r="P55" i="67"/>
  <c r="Q55" i="67"/>
  <c r="R55" i="67"/>
  <c r="N55" i="67"/>
  <c r="I55" i="67"/>
  <c r="AN8" i="34"/>
  <c r="AM8" i="34"/>
  <c r="AK8" i="34"/>
  <c r="AH8" i="34"/>
  <c r="AI8" i="34" s="1"/>
  <c r="AF8" i="34"/>
  <c r="AG8" i="34" s="1"/>
  <c r="AM5" i="34"/>
  <c r="AK5" i="34"/>
  <c r="AH5" i="34"/>
  <c r="AI5" i="34" s="1"/>
  <c r="AF5" i="34"/>
  <c r="AG5" i="34" s="1"/>
  <c r="W8" i="34"/>
  <c r="AD5" i="34"/>
  <c r="Y5" i="34"/>
  <c r="W5" i="34"/>
  <c r="V5" i="34"/>
  <c r="U5" i="34"/>
  <c r="N58" i="1"/>
  <c r="O58" i="1" s="1"/>
  <c r="AL8" i="34" l="1"/>
  <c r="AJ8" i="34"/>
  <c r="AL5" i="34"/>
  <c r="AJ5" i="34"/>
  <c r="AN5" i="34"/>
  <c r="H22" i="67"/>
  <c r="I54" i="67"/>
  <c r="H24" i="68"/>
  <c r="H41" i="68"/>
  <c r="H44" i="68"/>
  <c r="H48" i="68"/>
  <c r="A6" i="34"/>
  <c r="T5" i="34"/>
  <c r="T6" i="34"/>
  <c r="T7" i="34"/>
  <c r="T8" i="34"/>
  <c r="T9" i="34"/>
  <c r="O117" i="1"/>
  <c r="O105" i="1"/>
  <c r="O97" i="1"/>
  <c r="O49" i="1"/>
  <c r="A8" i="33"/>
  <c r="A6" i="33"/>
  <c r="A8" i="32"/>
  <c r="A6" i="32"/>
  <c r="T34" i="68"/>
  <c r="S34" i="68"/>
  <c r="P34" i="68"/>
  <c r="L34" i="68"/>
  <c r="K34" i="68"/>
  <c r="J34" i="68"/>
  <c r="H34" i="68"/>
  <c r="O15" i="1"/>
  <c r="N15" i="1"/>
  <c r="I15" i="1"/>
  <c r="T15" i="70"/>
  <c r="T16" i="70"/>
  <c r="T104" i="22"/>
  <c r="V104" i="22"/>
  <c r="Y104" i="22"/>
  <c r="AD104" i="22"/>
  <c r="AE104" i="22"/>
  <c r="AF104" i="22"/>
  <c r="AG104" i="22" s="1"/>
  <c r="AH104" i="22"/>
  <c r="AI104" i="22" s="1"/>
  <c r="AK104" i="22"/>
  <c r="AM104" i="22"/>
  <c r="T105" i="22"/>
  <c r="AH105" i="22" s="1"/>
  <c r="AI105" i="22" s="1"/>
  <c r="V105" i="22"/>
  <c r="Y105" i="22"/>
  <c r="AF105" i="22"/>
  <c r="AG105" i="22" s="1"/>
  <c r="AK105" i="22"/>
  <c r="A6" i="22"/>
  <c r="T23" i="70"/>
  <c r="AD23" i="70" s="1"/>
  <c r="V23" i="70"/>
  <c r="Y23" i="70"/>
  <c r="AE23" i="70"/>
  <c r="AF23" i="70"/>
  <c r="AG23" i="70" s="1"/>
  <c r="AJ23" i="70" s="1"/>
  <c r="AH23" i="70"/>
  <c r="AI23" i="70" s="1"/>
  <c r="AK23" i="70"/>
  <c r="AM23" i="70"/>
  <c r="T24" i="70"/>
  <c r="AH24" i="70" s="1"/>
  <c r="AI24" i="70" s="1"/>
  <c r="V24" i="70"/>
  <c r="Y24" i="70"/>
  <c r="AF24" i="70"/>
  <c r="AG24" i="70" s="1"/>
  <c r="AK24" i="70"/>
  <c r="AM24" i="70"/>
  <c r="T25" i="70"/>
  <c r="AD25" i="70" s="1"/>
  <c r="V25" i="70"/>
  <c r="Y25" i="70"/>
  <c r="AF25" i="70"/>
  <c r="AG25" i="70" s="1"/>
  <c r="AK25" i="70"/>
  <c r="AM25" i="70"/>
  <c r="T26" i="70"/>
  <c r="AD26" i="70" s="1"/>
  <c r="V26" i="70"/>
  <c r="Y26" i="70"/>
  <c r="AF26" i="70"/>
  <c r="AG26" i="70" s="1"/>
  <c r="AK26" i="70"/>
  <c r="AM26" i="70"/>
  <c r="T27" i="70"/>
  <c r="V27" i="70"/>
  <c r="Y27" i="70"/>
  <c r="AD27" i="70"/>
  <c r="AE27" i="70"/>
  <c r="AF27" i="70"/>
  <c r="AG27" i="70" s="1"/>
  <c r="AH27" i="70"/>
  <c r="AI27" i="70" s="1"/>
  <c r="AL27" i="70" s="1"/>
  <c r="AK27" i="70"/>
  <c r="AM27" i="70"/>
  <c r="AN27" i="70" s="1"/>
  <c r="T28" i="70"/>
  <c r="AE28" i="70" s="1"/>
  <c r="V28" i="70"/>
  <c r="Y28" i="70"/>
  <c r="AD28" i="70"/>
  <c r="AF28" i="70"/>
  <c r="AG28" i="70" s="1"/>
  <c r="AH28" i="70"/>
  <c r="AI28" i="70" s="1"/>
  <c r="AK28" i="70"/>
  <c r="AM28" i="70"/>
  <c r="T29" i="70"/>
  <c r="AD29" i="70" s="1"/>
  <c r="V29" i="70"/>
  <c r="Y29" i="70"/>
  <c r="AF29" i="70"/>
  <c r="AG29" i="70" s="1"/>
  <c r="AK29" i="70"/>
  <c r="AM29" i="70"/>
  <c r="T30" i="70"/>
  <c r="AD30" i="70" s="1"/>
  <c r="V30" i="70"/>
  <c r="Y30" i="70"/>
  <c r="AF30" i="70"/>
  <c r="AG30" i="70" s="1"/>
  <c r="AK30" i="70"/>
  <c r="AM30" i="70"/>
  <c r="T31" i="70"/>
  <c r="AD31" i="70" s="1"/>
  <c r="V31" i="70"/>
  <c r="Y31" i="70"/>
  <c r="AE31" i="70"/>
  <c r="AF31" i="70"/>
  <c r="AG31" i="70" s="1"/>
  <c r="AJ31" i="70" s="1"/>
  <c r="AH31" i="70"/>
  <c r="AI31" i="70"/>
  <c r="AK31" i="70"/>
  <c r="AM31" i="70"/>
  <c r="T32" i="70"/>
  <c r="AD32" i="70" s="1"/>
  <c r="V32" i="70"/>
  <c r="Y32" i="70"/>
  <c r="AF32" i="70"/>
  <c r="AG32" i="70" s="1"/>
  <c r="AH32" i="70"/>
  <c r="AI32" i="70" s="1"/>
  <c r="AK32" i="70"/>
  <c r="AM32" i="70"/>
  <c r="T33" i="70"/>
  <c r="AD33" i="70" s="1"/>
  <c r="V33" i="70"/>
  <c r="Y33" i="70"/>
  <c r="AF33" i="70"/>
  <c r="AG33" i="70" s="1"/>
  <c r="AK33" i="70"/>
  <c r="AM33" i="70"/>
  <c r="T34" i="70"/>
  <c r="AE34" i="70" s="1"/>
  <c r="V34" i="70"/>
  <c r="Y34" i="70"/>
  <c r="AD34" i="70"/>
  <c r="AF34" i="70"/>
  <c r="AG34" i="70"/>
  <c r="AK34" i="70"/>
  <c r="AM34" i="70"/>
  <c r="T35" i="70"/>
  <c r="AD35" i="70" s="1"/>
  <c r="V35" i="70"/>
  <c r="Y35" i="70"/>
  <c r="AF35" i="70"/>
  <c r="AG35" i="70"/>
  <c r="AH35" i="70"/>
  <c r="AI35" i="70" s="1"/>
  <c r="AK35" i="70"/>
  <c r="AM35" i="70"/>
  <c r="T36" i="70"/>
  <c r="AH36" i="70" s="1"/>
  <c r="AI36" i="70" s="1"/>
  <c r="V36" i="70"/>
  <c r="Y36" i="70"/>
  <c r="AF36" i="70"/>
  <c r="AG36" i="70" s="1"/>
  <c r="AK36" i="70"/>
  <c r="AM36" i="70"/>
  <c r="T37" i="70"/>
  <c r="AD37" i="70" s="1"/>
  <c r="V37" i="70"/>
  <c r="Y37" i="70"/>
  <c r="AE37" i="70"/>
  <c r="AF37" i="70"/>
  <c r="AG37" i="70"/>
  <c r="AH37" i="70"/>
  <c r="AI37" i="70" s="1"/>
  <c r="AK37" i="70"/>
  <c r="AM37" i="70"/>
  <c r="T38" i="70"/>
  <c r="AE38" i="70" s="1"/>
  <c r="V38" i="70"/>
  <c r="Y38" i="70"/>
  <c r="AD38" i="70"/>
  <c r="AF38" i="70"/>
  <c r="AG38" i="70" s="1"/>
  <c r="AH38" i="70"/>
  <c r="AI38" i="70" s="1"/>
  <c r="AK38" i="70"/>
  <c r="AM38" i="70"/>
  <c r="T39" i="70"/>
  <c r="AE39" i="70" s="1"/>
  <c r="V39" i="70"/>
  <c r="Y39" i="70"/>
  <c r="AF39" i="70"/>
  <c r="AG39" i="70" s="1"/>
  <c r="AK39" i="70"/>
  <c r="AM39" i="70"/>
  <c r="T40" i="70"/>
  <c r="AE40" i="70" s="1"/>
  <c r="V40" i="70"/>
  <c r="Y40" i="70"/>
  <c r="AD40" i="70"/>
  <c r="AF40" i="70"/>
  <c r="AG40" i="70" s="1"/>
  <c r="AK40" i="70"/>
  <c r="AM40" i="70"/>
  <c r="T41" i="70"/>
  <c r="AD41" i="70" s="1"/>
  <c r="V41" i="70"/>
  <c r="Y41" i="70"/>
  <c r="AE41" i="70"/>
  <c r="AF41" i="70"/>
  <c r="AG41" i="70" s="1"/>
  <c r="AK41" i="70"/>
  <c r="AM41" i="70"/>
  <c r="T42" i="70"/>
  <c r="AD42" i="70" s="1"/>
  <c r="V42" i="70"/>
  <c r="Y42" i="70"/>
  <c r="AF42" i="70"/>
  <c r="AG42" i="70" s="1"/>
  <c r="AK42" i="70"/>
  <c r="AM42" i="70"/>
  <c r="T43" i="70"/>
  <c r="V43" i="70"/>
  <c r="Y43" i="70"/>
  <c r="AD43" i="70"/>
  <c r="AE43" i="70"/>
  <c r="AF43" i="70"/>
  <c r="AG43" i="70"/>
  <c r="AH43" i="70"/>
  <c r="AI43" i="70" s="1"/>
  <c r="AK43" i="70"/>
  <c r="AM43" i="70"/>
  <c r="T44" i="70"/>
  <c r="V44" i="70"/>
  <c r="Y44" i="70"/>
  <c r="AD44" i="70"/>
  <c r="AE44" i="70"/>
  <c r="AF44" i="70"/>
  <c r="AG44" i="70" s="1"/>
  <c r="AH44" i="70"/>
  <c r="AI44" i="70" s="1"/>
  <c r="AK44" i="70"/>
  <c r="AM44" i="70"/>
  <c r="AN44" i="70" s="1"/>
  <c r="T45" i="70"/>
  <c r="AD45" i="70" s="1"/>
  <c r="V45" i="70"/>
  <c r="Y45" i="70"/>
  <c r="AF45" i="70"/>
  <c r="AG45" i="70" s="1"/>
  <c r="AK45" i="70"/>
  <c r="AM45" i="70"/>
  <c r="AK59" i="69"/>
  <c r="AF59" i="69"/>
  <c r="AG59" i="69" s="1"/>
  <c r="AE59" i="69"/>
  <c r="Y59" i="69"/>
  <c r="V59" i="69"/>
  <c r="T59" i="69"/>
  <c r="AD59" i="69" s="1"/>
  <c r="AK58" i="69"/>
  <c r="AH58" i="69"/>
  <c r="AI58" i="69" s="1"/>
  <c r="AG58" i="69"/>
  <c r="AL58" i="69" s="1"/>
  <c r="AF58" i="69"/>
  <c r="AE58" i="69"/>
  <c r="AD58" i="69"/>
  <c r="Y58" i="69"/>
  <c r="V58" i="69"/>
  <c r="T58" i="69"/>
  <c r="AM58" i="69" s="1"/>
  <c r="AK57" i="69"/>
  <c r="AF57" i="69"/>
  <c r="AG57" i="69" s="1"/>
  <c r="AD57" i="69"/>
  <c r="Y57" i="69"/>
  <c r="V57" i="69"/>
  <c r="T57" i="69"/>
  <c r="AM57" i="69" s="1"/>
  <c r="AK56" i="69"/>
  <c r="AF56" i="69"/>
  <c r="AG56" i="69" s="1"/>
  <c r="AE56" i="69"/>
  <c r="Y56" i="69"/>
  <c r="V56" i="69"/>
  <c r="T56" i="69"/>
  <c r="AM56" i="69" s="1"/>
  <c r="AM55" i="69"/>
  <c r="AN55" i="69" s="1"/>
  <c r="AK55" i="69"/>
  <c r="AF55" i="69"/>
  <c r="AG55" i="69" s="1"/>
  <c r="AE55" i="69"/>
  <c r="AD55" i="69"/>
  <c r="Y55" i="69"/>
  <c r="V55" i="69"/>
  <c r="T55" i="69"/>
  <c r="AH55" i="69" s="1"/>
  <c r="AI55" i="69" s="1"/>
  <c r="AM54" i="69"/>
  <c r="AK54" i="69"/>
  <c r="AF54" i="69"/>
  <c r="AG54" i="69" s="1"/>
  <c r="AD54" i="69"/>
  <c r="Y54" i="69"/>
  <c r="V54" i="69"/>
  <c r="T54" i="69"/>
  <c r="AH54" i="69" s="1"/>
  <c r="AI54" i="69" s="1"/>
  <c r="AK53" i="69"/>
  <c r="AF53" i="69"/>
  <c r="AG53" i="69" s="1"/>
  <c r="AE53" i="69"/>
  <c r="AD53" i="69"/>
  <c r="Y53" i="69"/>
  <c r="V53" i="69"/>
  <c r="T53" i="69"/>
  <c r="AH53" i="69" s="1"/>
  <c r="AI53" i="69" s="1"/>
  <c r="AM52" i="69"/>
  <c r="AK52" i="69"/>
  <c r="AF52" i="69"/>
  <c r="AG52" i="69" s="1"/>
  <c r="AD52" i="69"/>
  <c r="Y52" i="69"/>
  <c r="V52" i="69"/>
  <c r="T52" i="69"/>
  <c r="AH52" i="69" s="1"/>
  <c r="AI52" i="69" s="1"/>
  <c r="AM51" i="69"/>
  <c r="AK51" i="69"/>
  <c r="AF51" i="69"/>
  <c r="AG51" i="69" s="1"/>
  <c r="Y51" i="69"/>
  <c r="V51" i="69"/>
  <c r="T51" i="69"/>
  <c r="AH51" i="69" s="1"/>
  <c r="AI51" i="69" s="1"/>
  <c r="AK50" i="69"/>
  <c r="AH50" i="69"/>
  <c r="AI50" i="69" s="1"/>
  <c r="AF50" i="69"/>
  <c r="AG50" i="69" s="1"/>
  <c r="Y50" i="69"/>
  <c r="V50" i="69"/>
  <c r="T50" i="69"/>
  <c r="AE50" i="69" s="1"/>
  <c r="AM49" i="69"/>
  <c r="AK49" i="69"/>
  <c r="AH49" i="69"/>
  <c r="AI49" i="69" s="1"/>
  <c r="AG49" i="69"/>
  <c r="AL49" i="69" s="1"/>
  <c r="AF49" i="69"/>
  <c r="AE49" i="69"/>
  <c r="AD49" i="69"/>
  <c r="Y49" i="69"/>
  <c r="V49" i="69"/>
  <c r="T49" i="69"/>
  <c r="AK48" i="69"/>
  <c r="AF48" i="69"/>
  <c r="AG48" i="69" s="1"/>
  <c r="Y48" i="69"/>
  <c r="V48" i="69"/>
  <c r="T48" i="69"/>
  <c r="AE48" i="69" s="1"/>
  <c r="AK47" i="69"/>
  <c r="AF47" i="69"/>
  <c r="AG47" i="69" s="1"/>
  <c r="AE47" i="69"/>
  <c r="Y47" i="69"/>
  <c r="V47" i="69"/>
  <c r="T47" i="69"/>
  <c r="AD47" i="69" s="1"/>
  <c r="AK46" i="69"/>
  <c r="AH46" i="69"/>
  <c r="AI46" i="69" s="1"/>
  <c r="AG46" i="69"/>
  <c r="AF46" i="69"/>
  <c r="AE46" i="69"/>
  <c r="AD46" i="69"/>
  <c r="Y46" i="69"/>
  <c r="V46" i="69"/>
  <c r="T46" i="69"/>
  <c r="AM46" i="69" s="1"/>
  <c r="AK45" i="69"/>
  <c r="AF45" i="69"/>
  <c r="AG45" i="69" s="1"/>
  <c r="AD45" i="69"/>
  <c r="Y45" i="69"/>
  <c r="V45" i="69"/>
  <c r="T45" i="69"/>
  <c r="AM45" i="69" s="1"/>
  <c r="AK44" i="69"/>
  <c r="AF44" i="69"/>
  <c r="AG44" i="69" s="1"/>
  <c r="AE44" i="69"/>
  <c r="Y44" i="69"/>
  <c r="V44" i="69"/>
  <c r="T44" i="69"/>
  <c r="AM44" i="69" s="1"/>
  <c r="AM43" i="69"/>
  <c r="AN43" i="69" s="1"/>
  <c r="AK43" i="69"/>
  <c r="AG43" i="69"/>
  <c r="AF43" i="69"/>
  <c r="AE43" i="69"/>
  <c r="AD43" i="69"/>
  <c r="Y43" i="69"/>
  <c r="V43" i="69"/>
  <c r="T43" i="69"/>
  <c r="AH43" i="69" s="1"/>
  <c r="AI43" i="69" s="1"/>
  <c r="AM42" i="69"/>
  <c r="AK42" i="69"/>
  <c r="AF42" i="69"/>
  <c r="AG42" i="69" s="1"/>
  <c r="AD42" i="69"/>
  <c r="Y42" i="69"/>
  <c r="V42" i="69"/>
  <c r="T42" i="69"/>
  <c r="AH42" i="69" s="1"/>
  <c r="AI42" i="69" s="1"/>
  <c r="AK41" i="69"/>
  <c r="AI41" i="69"/>
  <c r="AH41" i="69"/>
  <c r="AF41" i="69"/>
  <c r="AG41" i="69" s="1"/>
  <c r="AE41" i="69"/>
  <c r="AD41" i="69"/>
  <c r="Y41" i="69"/>
  <c r="V41" i="69"/>
  <c r="T41" i="69"/>
  <c r="AM41" i="69" s="1"/>
  <c r="AM40" i="69"/>
  <c r="AK40" i="69"/>
  <c r="AH40" i="69"/>
  <c r="AI40" i="69" s="1"/>
  <c r="AJ40" i="69" s="1"/>
  <c r="AG40" i="69"/>
  <c r="AF40" i="69"/>
  <c r="AD40" i="69"/>
  <c r="Y40" i="69"/>
  <c r="V40" i="69"/>
  <c r="T40" i="69"/>
  <c r="AE40" i="69" s="1"/>
  <c r="AM39" i="69"/>
  <c r="AK39" i="69"/>
  <c r="AG39" i="69"/>
  <c r="AF39" i="69"/>
  <c r="Y39" i="69"/>
  <c r="V39" i="69"/>
  <c r="T39" i="69"/>
  <c r="AH39" i="69" s="1"/>
  <c r="AI39" i="69" s="1"/>
  <c r="AK38" i="69"/>
  <c r="AH38" i="69"/>
  <c r="AI38" i="69" s="1"/>
  <c r="AF38" i="69"/>
  <c r="AG38" i="69" s="1"/>
  <c r="Y38" i="69"/>
  <c r="V38" i="69"/>
  <c r="T38" i="69"/>
  <c r="AE38" i="69" s="1"/>
  <c r="AM37" i="69"/>
  <c r="AK37" i="69"/>
  <c r="AH37" i="69"/>
  <c r="AI37" i="69" s="1"/>
  <c r="AG37" i="69"/>
  <c r="AF37" i="69"/>
  <c r="AE37" i="69"/>
  <c r="AD37" i="69"/>
  <c r="Y37" i="69"/>
  <c r="V37" i="69"/>
  <c r="T37" i="69"/>
  <c r="W185" i="65"/>
  <c r="T39" i="3"/>
  <c r="V39" i="3"/>
  <c r="Y39" i="3"/>
  <c r="AD39" i="3"/>
  <c r="AE39" i="3"/>
  <c r="AF39" i="3"/>
  <c r="AG39" i="3" s="1"/>
  <c r="AH39" i="3"/>
  <c r="AI39" i="3" s="1"/>
  <c r="AK39" i="3"/>
  <c r="AM39" i="3"/>
  <c r="AN39" i="3"/>
  <c r="T40" i="3"/>
  <c r="AH40" i="3" s="1"/>
  <c r="AI40" i="3" s="1"/>
  <c r="V40" i="3"/>
  <c r="Y40" i="3"/>
  <c r="AE40" i="3"/>
  <c r="AF40" i="3"/>
  <c r="AG40" i="3" s="1"/>
  <c r="AK40" i="3"/>
  <c r="AM40" i="3"/>
  <c r="T41" i="3"/>
  <c r="V41" i="3"/>
  <c r="Y41" i="3"/>
  <c r="AF41" i="3"/>
  <c r="AG41" i="3" s="1"/>
  <c r="AK41" i="3"/>
  <c r="AM41" i="3"/>
  <c r="T42" i="3"/>
  <c r="AD42" i="3" s="1"/>
  <c r="V42" i="3"/>
  <c r="Y42" i="3"/>
  <c r="AE42" i="3"/>
  <c r="AF42" i="3"/>
  <c r="AG42" i="3"/>
  <c r="AH42" i="3"/>
  <c r="AI42" i="3" s="1"/>
  <c r="AK42" i="3"/>
  <c r="AM42" i="3"/>
  <c r="T43" i="3"/>
  <c r="V43" i="3"/>
  <c r="Y43" i="3"/>
  <c r="AF43" i="3"/>
  <c r="AG43" i="3" s="1"/>
  <c r="AH43" i="3"/>
  <c r="AI43" i="3" s="1"/>
  <c r="AK43" i="3"/>
  <c r="AM43" i="3"/>
  <c r="T44" i="3"/>
  <c r="AE44" i="3" s="1"/>
  <c r="V44" i="3"/>
  <c r="Y44" i="3"/>
  <c r="AD44" i="3"/>
  <c r="AF44" i="3"/>
  <c r="AG44" i="3"/>
  <c r="AH44" i="3"/>
  <c r="AI44" i="3"/>
  <c r="AK44" i="3"/>
  <c r="AM44" i="3"/>
  <c r="T45" i="3"/>
  <c r="AD45" i="3" s="1"/>
  <c r="AN45" i="3" s="1"/>
  <c r="V45" i="3"/>
  <c r="Y45" i="3"/>
  <c r="AE45" i="3"/>
  <c r="AF45" i="3"/>
  <c r="AG45" i="3"/>
  <c r="AH45" i="3"/>
  <c r="AI45" i="3" s="1"/>
  <c r="AJ45" i="3" s="1"/>
  <c r="AK45" i="3"/>
  <c r="AM45" i="3"/>
  <c r="T46" i="3"/>
  <c r="AD46" i="3" s="1"/>
  <c r="V46" i="3"/>
  <c r="Y46" i="3"/>
  <c r="AF46" i="3"/>
  <c r="AG46" i="3" s="1"/>
  <c r="AH46" i="3"/>
  <c r="AI46" i="3"/>
  <c r="AK46" i="3"/>
  <c r="AM46" i="3"/>
  <c r="T47" i="3"/>
  <c r="AE47" i="3" s="1"/>
  <c r="V47" i="3"/>
  <c r="Y47" i="3"/>
  <c r="AD47" i="3"/>
  <c r="AF47" i="3"/>
  <c r="AG47" i="3"/>
  <c r="AH47" i="3"/>
  <c r="AI47" i="3"/>
  <c r="AJ47" i="3"/>
  <c r="AK47" i="3"/>
  <c r="AL47" i="3"/>
  <c r="AM47" i="3"/>
  <c r="T48" i="3"/>
  <c r="AD48" i="3" s="1"/>
  <c r="V48" i="3"/>
  <c r="Y48" i="3"/>
  <c r="AE48" i="3"/>
  <c r="AF48" i="3"/>
  <c r="AG48" i="3"/>
  <c r="AH48" i="3"/>
  <c r="AI48" i="3" s="1"/>
  <c r="AK48" i="3"/>
  <c r="AM48" i="3"/>
  <c r="T49" i="3"/>
  <c r="AD49" i="3" s="1"/>
  <c r="V49" i="3"/>
  <c r="Y49" i="3"/>
  <c r="AF49" i="3"/>
  <c r="AG49" i="3" s="1"/>
  <c r="AK49" i="3"/>
  <c r="AM49" i="3"/>
  <c r="T50" i="3"/>
  <c r="V50" i="3"/>
  <c r="Y50" i="3"/>
  <c r="AD50" i="3"/>
  <c r="AE50" i="3"/>
  <c r="AF50" i="3"/>
  <c r="AG50" i="3"/>
  <c r="AH50" i="3"/>
  <c r="AI50" i="3"/>
  <c r="AJ50" i="3"/>
  <c r="AK50" i="3"/>
  <c r="AL50" i="3"/>
  <c r="AM50" i="3"/>
  <c r="AN50" i="3" s="1"/>
  <c r="T51" i="3"/>
  <c r="V51" i="3"/>
  <c r="Y51" i="3"/>
  <c r="AD51" i="3"/>
  <c r="AE51" i="3"/>
  <c r="AF51" i="3"/>
  <c r="AG51" i="3" s="1"/>
  <c r="AH51" i="3"/>
  <c r="AI51" i="3" s="1"/>
  <c r="AK51" i="3"/>
  <c r="AM51" i="3"/>
  <c r="AN51" i="3"/>
  <c r="T52" i="3"/>
  <c r="AH52" i="3" s="1"/>
  <c r="AI52" i="3" s="1"/>
  <c r="V52" i="3"/>
  <c r="Y52" i="3"/>
  <c r="AD52" i="3"/>
  <c r="AE52" i="3"/>
  <c r="AF52" i="3"/>
  <c r="AG52" i="3" s="1"/>
  <c r="AK52" i="3"/>
  <c r="AM52" i="3"/>
  <c r="T53" i="3"/>
  <c r="V53" i="3"/>
  <c r="Y53" i="3"/>
  <c r="AD53" i="3"/>
  <c r="AF53" i="3"/>
  <c r="AG53" i="3" s="1"/>
  <c r="AK53" i="3"/>
  <c r="AM53" i="3"/>
  <c r="T54" i="3"/>
  <c r="AD54" i="3" s="1"/>
  <c r="V54" i="3"/>
  <c r="Y54" i="3"/>
  <c r="AE54" i="3"/>
  <c r="AF54" i="3"/>
  <c r="AG54" i="3"/>
  <c r="AK54" i="3"/>
  <c r="AM54" i="3"/>
  <c r="T55" i="3"/>
  <c r="V55" i="3"/>
  <c r="Y55" i="3"/>
  <c r="AF55" i="3"/>
  <c r="AG55" i="3" s="1"/>
  <c r="AK55" i="3"/>
  <c r="AM55" i="3"/>
  <c r="T56" i="3"/>
  <c r="AE56" i="3" s="1"/>
  <c r="V56" i="3"/>
  <c r="Y56" i="3"/>
  <c r="AD56" i="3"/>
  <c r="AF56" i="3"/>
  <c r="AG56" i="3"/>
  <c r="AH56" i="3"/>
  <c r="AI56" i="3"/>
  <c r="AK56" i="3"/>
  <c r="AM56" i="3"/>
  <c r="T57" i="3"/>
  <c r="AD57" i="3" s="1"/>
  <c r="AN57" i="3" s="1"/>
  <c r="V57" i="3"/>
  <c r="Y57" i="3"/>
  <c r="AE57" i="3"/>
  <c r="AF57" i="3"/>
  <c r="AG57" i="3"/>
  <c r="AH57" i="3"/>
  <c r="AI57" i="3" s="1"/>
  <c r="AJ57" i="3"/>
  <c r="AK57" i="3"/>
  <c r="AM57" i="3"/>
  <c r="T58" i="3"/>
  <c r="AD58" i="3" s="1"/>
  <c r="V58" i="3"/>
  <c r="Y58" i="3"/>
  <c r="AF58" i="3"/>
  <c r="AG58" i="3" s="1"/>
  <c r="AH58" i="3"/>
  <c r="AI58" i="3"/>
  <c r="AK58" i="3"/>
  <c r="AM58" i="3"/>
  <c r="T59" i="3"/>
  <c r="AE59" i="3" s="1"/>
  <c r="V59" i="3"/>
  <c r="Y59" i="3"/>
  <c r="AD59" i="3"/>
  <c r="AF59" i="3"/>
  <c r="AG59" i="3"/>
  <c r="AH59" i="3"/>
  <c r="AI59" i="3"/>
  <c r="AJ59" i="3"/>
  <c r="AK59" i="3"/>
  <c r="AL59" i="3"/>
  <c r="AM59" i="3"/>
  <c r="T60" i="3"/>
  <c r="V60" i="3"/>
  <c r="Y60" i="3"/>
  <c r="AD60" i="3"/>
  <c r="AE60" i="3"/>
  <c r="AF60" i="3"/>
  <c r="AG60" i="3"/>
  <c r="AH60" i="3"/>
  <c r="AI60" i="3" s="1"/>
  <c r="AK60" i="3"/>
  <c r="AM60" i="3"/>
  <c r="T61" i="3"/>
  <c r="AD61" i="3" s="1"/>
  <c r="V61" i="3"/>
  <c r="Y61" i="3"/>
  <c r="AF61" i="3"/>
  <c r="AG61" i="3" s="1"/>
  <c r="AK61" i="3"/>
  <c r="AM61" i="3"/>
  <c r="T62" i="3"/>
  <c r="AE62" i="3" s="1"/>
  <c r="V62" i="3"/>
  <c r="Y62" i="3"/>
  <c r="AD62" i="3"/>
  <c r="AF62" i="3"/>
  <c r="AG62" i="3"/>
  <c r="AK62" i="3"/>
  <c r="AM62" i="3"/>
  <c r="AN62" i="3" s="1"/>
  <c r="T63" i="3"/>
  <c r="V63" i="3"/>
  <c r="Y63" i="3"/>
  <c r="AD63" i="3"/>
  <c r="AE63" i="3"/>
  <c r="AF63" i="3"/>
  <c r="AG63" i="3"/>
  <c r="AH63" i="3"/>
  <c r="AI63" i="3" s="1"/>
  <c r="AL63" i="3" s="1"/>
  <c r="AK63" i="3"/>
  <c r="AM63" i="3"/>
  <c r="AN63" i="3"/>
  <c r="T64" i="3"/>
  <c r="AH64" i="3" s="1"/>
  <c r="AI64" i="3" s="1"/>
  <c r="V64" i="3"/>
  <c r="Y64" i="3"/>
  <c r="AD64" i="3"/>
  <c r="AE64" i="3"/>
  <c r="AF64" i="3"/>
  <c r="AG64" i="3" s="1"/>
  <c r="AK64" i="3"/>
  <c r="AM64" i="3"/>
  <c r="T65" i="3"/>
  <c r="V65" i="3"/>
  <c r="Y65" i="3"/>
  <c r="AF65" i="3"/>
  <c r="AG65" i="3" s="1"/>
  <c r="AK65" i="3"/>
  <c r="AM65" i="3"/>
  <c r="T66" i="3"/>
  <c r="AD66" i="3" s="1"/>
  <c r="V66" i="3"/>
  <c r="Y66" i="3"/>
  <c r="AE66" i="3"/>
  <c r="AF66" i="3"/>
  <c r="AG66" i="3"/>
  <c r="AK66" i="3"/>
  <c r="AM66" i="3"/>
  <c r="T67" i="3"/>
  <c r="V67" i="3"/>
  <c r="Y67" i="3"/>
  <c r="AF67" i="3"/>
  <c r="AG67" i="3" s="1"/>
  <c r="AH67" i="3"/>
  <c r="AI67" i="3" s="1"/>
  <c r="AK67" i="3"/>
  <c r="AM67" i="3"/>
  <c r="T68" i="3"/>
  <c r="AE68" i="3" s="1"/>
  <c r="V68" i="3"/>
  <c r="Y68" i="3"/>
  <c r="AD68" i="3"/>
  <c r="AF68" i="3"/>
  <c r="AG68" i="3"/>
  <c r="AH68" i="3"/>
  <c r="AI68" i="3"/>
  <c r="AK68" i="3"/>
  <c r="AM68" i="3"/>
  <c r="T69" i="3"/>
  <c r="AD69" i="3" s="1"/>
  <c r="AN69" i="3" s="1"/>
  <c r="V69" i="3"/>
  <c r="Y69" i="3"/>
  <c r="AE69" i="3"/>
  <c r="AF69" i="3"/>
  <c r="AG69" i="3"/>
  <c r="AH69" i="3"/>
  <c r="AI69" i="3"/>
  <c r="AJ69" i="3"/>
  <c r="AK69" i="3"/>
  <c r="AM69" i="3"/>
  <c r="T70" i="3"/>
  <c r="AD70" i="3" s="1"/>
  <c r="V70" i="3"/>
  <c r="Y70" i="3"/>
  <c r="AF70" i="3"/>
  <c r="AG70" i="3" s="1"/>
  <c r="AK70" i="3"/>
  <c r="AM70" i="3"/>
  <c r="T71" i="3"/>
  <c r="AE71" i="3" s="1"/>
  <c r="V71" i="3"/>
  <c r="Y71" i="3"/>
  <c r="AD71" i="3"/>
  <c r="AF71" i="3"/>
  <c r="AG71" i="3"/>
  <c r="AH71" i="3"/>
  <c r="AI71" i="3"/>
  <c r="AJ71" i="3"/>
  <c r="AK71" i="3"/>
  <c r="AL71" i="3" s="1"/>
  <c r="AM71" i="3"/>
  <c r="T72" i="3"/>
  <c r="V72" i="3"/>
  <c r="Y72" i="3"/>
  <c r="AD72" i="3"/>
  <c r="AE72" i="3"/>
  <c r="AF72" i="3"/>
  <c r="AG72" i="3"/>
  <c r="AH72" i="3"/>
  <c r="AI72" i="3" s="1"/>
  <c r="AJ72" i="3" s="1"/>
  <c r="AK72" i="3"/>
  <c r="AL72" i="3" s="1"/>
  <c r="AM72" i="3"/>
  <c r="AN72" i="3" s="1"/>
  <c r="T73" i="3"/>
  <c r="AD73" i="3" s="1"/>
  <c r="V73" i="3"/>
  <c r="Y73" i="3"/>
  <c r="AF73" i="3"/>
  <c r="AG73" i="3" s="1"/>
  <c r="AK73" i="3"/>
  <c r="AM73" i="3"/>
  <c r="T74" i="3"/>
  <c r="AE74" i="3" s="1"/>
  <c r="V74" i="3"/>
  <c r="Y74" i="3"/>
  <c r="AD74" i="3"/>
  <c r="AF74" i="3"/>
  <c r="AG74" i="3"/>
  <c r="AK74" i="3"/>
  <c r="AM74" i="3"/>
  <c r="AN74" i="3"/>
  <c r="T75" i="3"/>
  <c r="V75" i="3"/>
  <c r="Y75" i="3"/>
  <c r="AD75" i="3"/>
  <c r="AE75" i="3"/>
  <c r="AF75" i="3"/>
  <c r="AG75" i="3"/>
  <c r="AH75" i="3"/>
  <c r="AI75" i="3" s="1"/>
  <c r="AL75" i="3" s="1"/>
  <c r="AK75" i="3"/>
  <c r="AM75" i="3"/>
  <c r="AN75" i="3"/>
  <c r="T76" i="3"/>
  <c r="AH76" i="3" s="1"/>
  <c r="AI76" i="3" s="1"/>
  <c r="V76" i="3"/>
  <c r="Y76" i="3"/>
  <c r="AD76" i="3"/>
  <c r="AN76" i="3" s="1"/>
  <c r="AE76" i="3"/>
  <c r="AF76" i="3"/>
  <c r="AG76" i="3" s="1"/>
  <c r="AK76" i="3"/>
  <c r="AM76" i="3"/>
  <c r="T77" i="3"/>
  <c r="AH77" i="3" s="1"/>
  <c r="AI77" i="3" s="1"/>
  <c r="V77" i="3"/>
  <c r="Y77" i="3"/>
  <c r="AD77" i="3"/>
  <c r="AE77" i="3"/>
  <c r="AF77" i="3"/>
  <c r="AG77" i="3"/>
  <c r="AK77" i="3"/>
  <c r="AM77" i="3"/>
  <c r="AN77" i="3" s="1"/>
  <c r="T78" i="3"/>
  <c r="AD78" i="3" s="1"/>
  <c r="V78" i="3"/>
  <c r="Y78" i="3"/>
  <c r="AE78" i="3"/>
  <c r="AF78" i="3"/>
  <c r="AG78" i="3"/>
  <c r="AH78" i="3"/>
  <c r="AI78" i="3" s="1"/>
  <c r="AK78" i="3"/>
  <c r="AM78" i="3"/>
  <c r="T79" i="3"/>
  <c r="V79" i="3"/>
  <c r="Y79" i="3"/>
  <c r="AF79" i="3"/>
  <c r="AG79" i="3"/>
  <c r="AK79" i="3"/>
  <c r="AM79" i="3"/>
  <c r="T80" i="3"/>
  <c r="AE80" i="3" s="1"/>
  <c r="V80" i="3"/>
  <c r="Y80" i="3"/>
  <c r="AD80" i="3"/>
  <c r="AF80" i="3"/>
  <c r="AG80" i="3"/>
  <c r="AH80" i="3"/>
  <c r="AI80" i="3" s="1"/>
  <c r="AJ80" i="3" s="1"/>
  <c r="AK80" i="3"/>
  <c r="AM80" i="3"/>
  <c r="AN80" i="3" s="1"/>
  <c r="T81" i="3"/>
  <c r="AD81" i="3" s="1"/>
  <c r="AN81" i="3" s="1"/>
  <c r="V81" i="3"/>
  <c r="Y81" i="3"/>
  <c r="AE81" i="3"/>
  <c r="AF81" i="3"/>
  <c r="AG81" i="3"/>
  <c r="AH81" i="3"/>
  <c r="AI81" i="3"/>
  <c r="AJ81" i="3" s="1"/>
  <c r="AK81" i="3"/>
  <c r="AM81" i="3"/>
  <c r="T82" i="3"/>
  <c r="V82" i="3"/>
  <c r="Y82" i="3"/>
  <c r="AF82" i="3"/>
  <c r="AG82" i="3" s="1"/>
  <c r="AK82" i="3"/>
  <c r="AM82" i="3"/>
  <c r="T83" i="3"/>
  <c r="AE83" i="3" s="1"/>
  <c r="V83" i="3"/>
  <c r="Y83" i="3"/>
  <c r="AD83" i="3"/>
  <c r="AF83" i="3"/>
  <c r="AG83" i="3"/>
  <c r="AJ83" i="3" s="1"/>
  <c r="AH83" i="3"/>
  <c r="AI83" i="3"/>
  <c r="AK83" i="3"/>
  <c r="AM83" i="3"/>
  <c r="T84" i="3"/>
  <c r="V84" i="3"/>
  <c r="Y84" i="3"/>
  <c r="AD84" i="3"/>
  <c r="AE84" i="3"/>
  <c r="AF84" i="3"/>
  <c r="AG84" i="3"/>
  <c r="AH84" i="3"/>
  <c r="AI84" i="3" s="1"/>
  <c r="AJ84" i="3" s="1"/>
  <c r="AK84" i="3"/>
  <c r="AL84" i="3" s="1"/>
  <c r="AM84" i="3"/>
  <c r="AN84" i="3" s="1"/>
  <c r="T85" i="3"/>
  <c r="AD85" i="3" s="1"/>
  <c r="V85" i="3"/>
  <c r="Y85" i="3"/>
  <c r="AF85" i="3"/>
  <c r="AG85" i="3" s="1"/>
  <c r="AK85" i="3"/>
  <c r="AM85" i="3"/>
  <c r="T86" i="3"/>
  <c r="AE86" i="3" s="1"/>
  <c r="V86" i="3"/>
  <c r="Y86" i="3"/>
  <c r="AD86" i="3"/>
  <c r="AF86" i="3"/>
  <c r="AG86" i="3"/>
  <c r="AK86" i="3"/>
  <c r="AM86" i="3"/>
  <c r="T87" i="3"/>
  <c r="V87" i="3"/>
  <c r="Y87" i="3"/>
  <c r="AD87" i="3"/>
  <c r="AN87" i="3" s="1"/>
  <c r="AE87" i="3"/>
  <c r="AF87" i="3"/>
  <c r="AG87" i="3"/>
  <c r="AJ87" i="3" s="1"/>
  <c r="AH87" i="3"/>
  <c r="AI87" i="3" s="1"/>
  <c r="AK87" i="3"/>
  <c r="AM87" i="3"/>
  <c r="T88" i="3"/>
  <c r="AH88" i="3" s="1"/>
  <c r="AI88" i="3" s="1"/>
  <c r="V88" i="3"/>
  <c r="Y88" i="3"/>
  <c r="AF88" i="3"/>
  <c r="AG88" i="3" s="1"/>
  <c r="AJ88" i="3" s="1"/>
  <c r="AK88" i="3"/>
  <c r="AM88" i="3"/>
  <c r="T89" i="3"/>
  <c r="AH89" i="3" s="1"/>
  <c r="AI89" i="3" s="1"/>
  <c r="V89" i="3"/>
  <c r="Y89" i="3"/>
  <c r="AD89" i="3"/>
  <c r="AE89" i="3"/>
  <c r="AF89" i="3"/>
  <c r="AG89" i="3"/>
  <c r="AK89" i="3"/>
  <c r="AM89" i="3"/>
  <c r="AN89" i="3" s="1"/>
  <c r="T90" i="3"/>
  <c r="AE90" i="3" s="1"/>
  <c r="V90" i="3"/>
  <c r="Y90" i="3"/>
  <c r="AD90" i="3"/>
  <c r="AN90" i="3" s="1"/>
  <c r="AF90" i="3"/>
  <c r="AG90" i="3" s="1"/>
  <c r="AK90" i="3"/>
  <c r="AM90" i="3"/>
  <c r="T91" i="3"/>
  <c r="AD91" i="3" s="1"/>
  <c r="V91" i="3"/>
  <c r="Y91" i="3"/>
  <c r="AF91" i="3"/>
  <c r="AG91" i="3"/>
  <c r="AK91" i="3"/>
  <c r="AM91" i="3"/>
  <c r="T92" i="3"/>
  <c r="V92" i="3"/>
  <c r="Y92" i="3"/>
  <c r="AD92" i="3"/>
  <c r="AE92" i="3"/>
  <c r="AF92" i="3"/>
  <c r="AG92" i="3"/>
  <c r="AH92" i="3"/>
  <c r="AI92" i="3" s="1"/>
  <c r="AK92" i="3"/>
  <c r="AM92" i="3"/>
  <c r="T93" i="3"/>
  <c r="AD93" i="3" s="1"/>
  <c r="V93" i="3"/>
  <c r="Y93" i="3"/>
  <c r="AF93" i="3"/>
  <c r="AG93" i="3" s="1"/>
  <c r="AK93" i="3"/>
  <c r="AM93" i="3"/>
  <c r="T94" i="3"/>
  <c r="V94" i="3"/>
  <c r="Y94" i="3"/>
  <c r="AF94" i="3"/>
  <c r="AG94" i="3" s="1"/>
  <c r="AH94" i="3"/>
  <c r="AI94" i="3" s="1"/>
  <c r="AK94" i="3"/>
  <c r="AM94" i="3"/>
  <c r="T95" i="3"/>
  <c r="AE95" i="3" s="1"/>
  <c r="V95" i="3"/>
  <c r="Y95" i="3"/>
  <c r="AD95" i="3"/>
  <c r="AF95" i="3"/>
  <c r="AG95" i="3"/>
  <c r="AH95" i="3"/>
  <c r="AI95" i="3"/>
  <c r="AJ95" i="3" s="1"/>
  <c r="AK95" i="3"/>
  <c r="AM95" i="3"/>
  <c r="AN95" i="3"/>
  <c r="T96" i="3"/>
  <c r="V96" i="3"/>
  <c r="Y96" i="3"/>
  <c r="AD96" i="3"/>
  <c r="AE96" i="3"/>
  <c r="AF96" i="3"/>
  <c r="AG96" i="3"/>
  <c r="AH96" i="3"/>
  <c r="AI96" i="3" s="1"/>
  <c r="AK96" i="3"/>
  <c r="AM96" i="3"/>
  <c r="AN96" i="3"/>
  <c r="T97" i="3"/>
  <c r="V97" i="3"/>
  <c r="Y97" i="3"/>
  <c r="AD97" i="3"/>
  <c r="AE97" i="3"/>
  <c r="AF97" i="3"/>
  <c r="AG97" i="3" s="1"/>
  <c r="AH97" i="3"/>
  <c r="AI97" i="3" s="1"/>
  <c r="AK97" i="3"/>
  <c r="AM97" i="3"/>
  <c r="AN97" i="3" s="1"/>
  <c r="T98" i="3"/>
  <c r="AH98" i="3" s="1"/>
  <c r="AI98" i="3" s="1"/>
  <c r="V98" i="3"/>
  <c r="Y98" i="3"/>
  <c r="AF98" i="3"/>
  <c r="AG98" i="3"/>
  <c r="AK98" i="3"/>
  <c r="AM98" i="3"/>
  <c r="T99" i="3"/>
  <c r="AD99" i="3" s="1"/>
  <c r="V99" i="3"/>
  <c r="Y99" i="3"/>
  <c r="AE99" i="3"/>
  <c r="AF99" i="3"/>
  <c r="AG99" i="3"/>
  <c r="AK99" i="3"/>
  <c r="AM99" i="3"/>
  <c r="T100" i="3"/>
  <c r="AD100" i="3" s="1"/>
  <c r="V100" i="3"/>
  <c r="Y100" i="3"/>
  <c r="AF100" i="3"/>
  <c r="AG100" i="3" s="1"/>
  <c r="AK100" i="3"/>
  <c r="AM100" i="3"/>
  <c r="T101" i="3"/>
  <c r="AD101" i="3" s="1"/>
  <c r="AN101" i="3" s="1"/>
  <c r="V101" i="3"/>
  <c r="Y101" i="3"/>
  <c r="AE101" i="3"/>
  <c r="AF101" i="3"/>
  <c r="AG101" i="3"/>
  <c r="AJ101" i="3" s="1"/>
  <c r="AH101" i="3"/>
  <c r="AI101" i="3"/>
  <c r="AK101" i="3"/>
  <c r="AL101" i="3"/>
  <c r="AM101" i="3"/>
  <c r="T102" i="3"/>
  <c r="AD102" i="3" s="1"/>
  <c r="V102" i="3"/>
  <c r="Y102" i="3"/>
  <c r="AF102" i="3"/>
  <c r="AG102" i="3" s="1"/>
  <c r="AH102" i="3"/>
  <c r="AI102" i="3" s="1"/>
  <c r="AK102" i="3"/>
  <c r="AM102" i="3"/>
  <c r="T103" i="3"/>
  <c r="V103" i="3"/>
  <c r="Y103" i="3"/>
  <c r="AD103" i="3"/>
  <c r="AE103" i="3"/>
  <c r="AF103" i="3"/>
  <c r="AG103" i="3"/>
  <c r="AJ103" i="3" s="1"/>
  <c r="AH103" i="3"/>
  <c r="AI103" i="3"/>
  <c r="AL103" i="3" s="1"/>
  <c r="AK103" i="3"/>
  <c r="AM103" i="3"/>
  <c r="AN103" i="3"/>
  <c r="T104" i="3"/>
  <c r="AD104" i="3" s="1"/>
  <c r="AN104" i="3" s="1"/>
  <c r="V104" i="3"/>
  <c r="Y104" i="3"/>
  <c r="AE104" i="3"/>
  <c r="AF104" i="3"/>
  <c r="AG104" i="3" s="1"/>
  <c r="AH104" i="3"/>
  <c r="AI104" i="3" s="1"/>
  <c r="AK104" i="3"/>
  <c r="AM104" i="3"/>
  <c r="T105" i="3"/>
  <c r="AE105" i="3" s="1"/>
  <c r="V105" i="3"/>
  <c r="Y105" i="3"/>
  <c r="AD105" i="3"/>
  <c r="AF105" i="3"/>
  <c r="AG105" i="3" s="1"/>
  <c r="AK105" i="3"/>
  <c r="AM105" i="3"/>
  <c r="AN105" i="3" s="1"/>
  <c r="T106" i="3"/>
  <c r="V106" i="3"/>
  <c r="Y106" i="3"/>
  <c r="AD106" i="3"/>
  <c r="AE106" i="3"/>
  <c r="AF106" i="3"/>
  <c r="AG106" i="3"/>
  <c r="AH106" i="3"/>
  <c r="AI106" i="3" s="1"/>
  <c r="AK106" i="3"/>
  <c r="AM106" i="3"/>
  <c r="T107" i="3"/>
  <c r="V107" i="3"/>
  <c r="Y107" i="3"/>
  <c r="AF107" i="3"/>
  <c r="AG107" i="3" s="1"/>
  <c r="AK107" i="3"/>
  <c r="AM107" i="3"/>
  <c r="T108" i="3"/>
  <c r="AH108" i="3" s="1"/>
  <c r="AI108" i="3" s="1"/>
  <c r="V108" i="3"/>
  <c r="Y108" i="3"/>
  <c r="AF108" i="3"/>
  <c r="AG108" i="3"/>
  <c r="AK108" i="3"/>
  <c r="AM108" i="3"/>
  <c r="T109" i="3"/>
  <c r="AD109" i="3" s="1"/>
  <c r="V109" i="3"/>
  <c r="Y109" i="3"/>
  <c r="AE109" i="3"/>
  <c r="AF109" i="3"/>
  <c r="AG109" i="3"/>
  <c r="AH109" i="3"/>
  <c r="AI109" i="3" s="1"/>
  <c r="AK109" i="3"/>
  <c r="AM109" i="3"/>
  <c r="AN109" i="3" s="1"/>
  <c r="T110" i="3"/>
  <c r="AE110" i="3" s="1"/>
  <c r="V110" i="3"/>
  <c r="Y110" i="3"/>
  <c r="AD110" i="3"/>
  <c r="AF110" i="3"/>
  <c r="AG110" i="3" s="1"/>
  <c r="AH110" i="3"/>
  <c r="AI110" i="3"/>
  <c r="AK110" i="3"/>
  <c r="AM110" i="3"/>
  <c r="T111" i="3"/>
  <c r="AD111" i="3" s="1"/>
  <c r="V111" i="3"/>
  <c r="Y111" i="3"/>
  <c r="AE111" i="3"/>
  <c r="AF111" i="3"/>
  <c r="AG111" i="3"/>
  <c r="AL111" i="3" s="1"/>
  <c r="AH111" i="3"/>
  <c r="AI111" i="3"/>
  <c r="AJ111" i="3"/>
  <c r="AK111" i="3"/>
  <c r="AM111" i="3"/>
  <c r="T112" i="3"/>
  <c r="AD112" i="3" s="1"/>
  <c r="V112" i="3"/>
  <c r="Y112" i="3"/>
  <c r="AF112" i="3"/>
  <c r="AG112" i="3" s="1"/>
  <c r="AK112" i="3"/>
  <c r="AM112" i="3"/>
  <c r="T113" i="3"/>
  <c r="AD113" i="3" s="1"/>
  <c r="AN113" i="3" s="1"/>
  <c r="V113" i="3"/>
  <c r="Y113" i="3"/>
  <c r="AE113" i="3"/>
  <c r="AF113" i="3"/>
  <c r="AG113" i="3"/>
  <c r="AJ113" i="3" s="1"/>
  <c r="AH113" i="3"/>
  <c r="AI113" i="3"/>
  <c r="AK113" i="3"/>
  <c r="AL113" i="3"/>
  <c r="AM113" i="3"/>
  <c r="T114" i="3"/>
  <c r="AD114" i="3" s="1"/>
  <c r="V114" i="3"/>
  <c r="Y114" i="3"/>
  <c r="AF114" i="3"/>
  <c r="AG114" i="3" s="1"/>
  <c r="AH114" i="3"/>
  <c r="AI114" i="3" s="1"/>
  <c r="AK114" i="3"/>
  <c r="AL114" i="3"/>
  <c r="AM114" i="3"/>
  <c r="T115" i="3"/>
  <c r="V115" i="3"/>
  <c r="Y115" i="3"/>
  <c r="AD115" i="3"/>
  <c r="AE115" i="3"/>
  <c r="AF115" i="3"/>
  <c r="AG115" i="3"/>
  <c r="AJ115" i="3" s="1"/>
  <c r="AH115" i="3"/>
  <c r="AI115" i="3"/>
  <c r="AL115" i="3" s="1"/>
  <c r="AK115" i="3"/>
  <c r="AM115" i="3"/>
  <c r="T116" i="3"/>
  <c r="AD116" i="3" s="1"/>
  <c r="V116" i="3"/>
  <c r="Y116" i="3"/>
  <c r="AE116" i="3"/>
  <c r="AF116" i="3"/>
  <c r="AG116" i="3" s="1"/>
  <c r="AH116" i="3"/>
  <c r="AI116" i="3" s="1"/>
  <c r="AJ116" i="3" s="1"/>
  <c r="AK116" i="3"/>
  <c r="AM116" i="3"/>
  <c r="AN116" i="3"/>
  <c r="T117" i="3"/>
  <c r="AE117" i="3" s="1"/>
  <c r="V117" i="3"/>
  <c r="Y117" i="3"/>
  <c r="AD117" i="3"/>
  <c r="AF117" i="3"/>
  <c r="AG117" i="3" s="1"/>
  <c r="AK117" i="3"/>
  <c r="AM117" i="3"/>
  <c r="AN117" i="3" s="1"/>
  <c r="T118" i="3"/>
  <c r="V118" i="3"/>
  <c r="Y118" i="3"/>
  <c r="AD118" i="3"/>
  <c r="AE118" i="3"/>
  <c r="AF118" i="3"/>
  <c r="AG118" i="3"/>
  <c r="AH118" i="3"/>
  <c r="AI118" i="3" s="1"/>
  <c r="AJ118" i="3" s="1"/>
  <c r="AK118" i="3"/>
  <c r="AL118" i="3"/>
  <c r="AM118" i="3"/>
  <c r="T119" i="3"/>
  <c r="V119" i="3"/>
  <c r="Y119" i="3"/>
  <c r="AE119" i="3"/>
  <c r="AF119" i="3"/>
  <c r="AG119" i="3" s="1"/>
  <c r="AK119" i="3"/>
  <c r="AM119" i="3"/>
  <c r="T120" i="3"/>
  <c r="V120" i="3"/>
  <c r="Y120" i="3"/>
  <c r="AD120" i="3"/>
  <c r="AF120" i="3"/>
  <c r="AG120" i="3"/>
  <c r="AK120" i="3"/>
  <c r="AM120" i="3"/>
  <c r="T121" i="3"/>
  <c r="AD121" i="3" s="1"/>
  <c r="V121" i="3"/>
  <c r="Y121" i="3"/>
  <c r="AE121" i="3"/>
  <c r="AF121" i="3"/>
  <c r="AG121" i="3"/>
  <c r="AH121" i="3"/>
  <c r="AI121" i="3" s="1"/>
  <c r="AK121" i="3"/>
  <c r="AM121" i="3"/>
  <c r="AN121" i="3" s="1"/>
  <c r="T122" i="3"/>
  <c r="AE122" i="3" s="1"/>
  <c r="V122" i="3"/>
  <c r="Y122" i="3"/>
  <c r="AD122" i="3"/>
  <c r="AN122" i="3" s="1"/>
  <c r="AF122" i="3"/>
  <c r="AG122" i="3" s="1"/>
  <c r="AH122" i="3"/>
  <c r="AI122" i="3"/>
  <c r="AK122" i="3"/>
  <c r="AM122" i="3"/>
  <c r="T123" i="3"/>
  <c r="AD123" i="3" s="1"/>
  <c r="V123" i="3"/>
  <c r="Y123" i="3"/>
  <c r="AE123" i="3"/>
  <c r="AF123" i="3"/>
  <c r="AG123" i="3"/>
  <c r="AH123" i="3"/>
  <c r="AI123" i="3"/>
  <c r="AJ123" i="3"/>
  <c r="AK123" i="3"/>
  <c r="AM123" i="3"/>
  <c r="T124" i="3"/>
  <c r="AE124" i="3" s="1"/>
  <c r="V124" i="3"/>
  <c r="Y124" i="3"/>
  <c r="AD124" i="3"/>
  <c r="AF124" i="3"/>
  <c r="AG124" i="3" s="1"/>
  <c r="AH124" i="3"/>
  <c r="AI124" i="3"/>
  <c r="AK124" i="3"/>
  <c r="AM124" i="3"/>
  <c r="T125" i="3"/>
  <c r="AD125" i="3" s="1"/>
  <c r="V125" i="3"/>
  <c r="Y125" i="3"/>
  <c r="AE125" i="3"/>
  <c r="AF125" i="3"/>
  <c r="AG125" i="3"/>
  <c r="AH125" i="3"/>
  <c r="AI125" i="3"/>
  <c r="AJ125" i="3"/>
  <c r="AK125" i="3"/>
  <c r="AL125" i="3" s="1"/>
  <c r="AM125" i="3"/>
  <c r="T126" i="3"/>
  <c r="V126" i="3"/>
  <c r="Y126" i="3"/>
  <c r="AF126" i="3"/>
  <c r="AG126" i="3" s="1"/>
  <c r="AK126" i="3"/>
  <c r="AM126" i="3"/>
  <c r="T127" i="3"/>
  <c r="V127" i="3"/>
  <c r="Y127" i="3"/>
  <c r="AD127" i="3"/>
  <c r="AE127" i="3"/>
  <c r="AF127" i="3"/>
  <c r="AG127" i="3"/>
  <c r="AH127" i="3"/>
  <c r="AI127" i="3"/>
  <c r="AK127" i="3"/>
  <c r="AL127" i="3"/>
  <c r="AM127" i="3"/>
  <c r="AN127" i="3"/>
  <c r="T128" i="3"/>
  <c r="V128" i="3"/>
  <c r="Y128" i="3"/>
  <c r="AD128" i="3"/>
  <c r="AE128" i="3"/>
  <c r="AF128" i="3"/>
  <c r="AG128" i="3" s="1"/>
  <c r="AJ128" i="3" s="1"/>
  <c r="AH128" i="3"/>
  <c r="AI128" i="3" s="1"/>
  <c r="AK128" i="3"/>
  <c r="AL128" i="3" s="1"/>
  <c r="AM128" i="3"/>
  <c r="AN128" i="3"/>
  <c r="T129" i="3"/>
  <c r="V129" i="3"/>
  <c r="Y129" i="3"/>
  <c r="AF129" i="3"/>
  <c r="AG129" i="3" s="1"/>
  <c r="AK129" i="3"/>
  <c r="AM129" i="3"/>
  <c r="T130" i="3"/>
  <c r="V130" i="3"/>
  <c r="Y130" i="3"/>
  <c r="AD130" i="3"/>
  <c r="AE130" i="3"/>
  <c r="AF130" i="3"/>
  <c r="AG130" i="3"/>
  <c r="AH130" i="3"/>
  <c r="AI130" i="3" s="1"/>
  <c r="AJ130" i="3"/>
  <c r="AK130" i="3"/>
  <c r="AL130" i="3" s="1"/>
  <c r="AM130" i="3"/>
  <c r="T131" i="3"/>
  <c r="V131" i="3"/>
  <c r="Y131" i="3"/>
  <c r="AF131" i="3"/>
  <c r="AG131" i="3" s="1"/>
  <c r="AK131" i="3"/>
  <c r="AM131" i="3"/>
  <c r="T132" i="3"/>
  <c r="AH132" i="3" s="1"/>
  <c r="AI132" i="3" s="1"/>
  <c r="V132" i="3"/>
  <c r="Y132" i="3"/>
  <c r="AF132" i="3"/>
  <c r="AG132" i="3"/>
  <c r="AL132" i="3" s="1"/>
  <c r="AK132" i="3"/>
  <c r="AM132" i="3"/>
  <c r="T133" i="3"/>
  <c r="V133" i="3"/>
  <c r="Y133" i="3"/>
  <c r="AD133" i="3"/>
  <c r="AE133" i="3"/>
  <c r="AN133" i="3" s="1"/>
  <c r="AF133" i="3"/>
  <c r="AG133" i="3"/>
  <c r="AH133" i="3"/>
  <c r="AI133" i="3" s="1"/>
  <c r="AK133" i="3"/>
  <c r="AM133" i="3"/>
  <c r="T134" i="3"/>
  <c r="AD134" i="3" s="1"/>
  <c r="V134" i="3"/>
  <c r="Y134" i="3"/>
  <c r="AF134" i="3"/>
  <c r="AG134" i="3" s="1"/>
  <c r="AK134" i="3"/>
  <c r="AM134" i="3"/>
  <c r="T135" i="3"/>
  <c r="V135" i="3"/>
  <c r="Y135" i="3"/>
  <c r="AD135" i="3"/>
  <c r="AE135" i="3"/>
  <c r="AF135" i="3"/>
  <c r="AG135" i="3" s="1"/>
  <c r="AH135" i="3"/>
  <c r="AI135" i="3" s="1"/>
  <c r="AK135" i="3"/>
  <c r="AM135" i="3"/>
  <c r="T136" i="3"/>
  <c r="AD136" i="3" s="1"/>
  <c r="V136" i="3"/>
  <c r="Y136" i="3"/>
  <c r="AF136" i="3"/>
  <c r="AG136" i="3"/>
  <c r="AK136" i="3"/>
  <c r="AM136" i="3"/>
  <c r="T137" i="3"/>
  <c r="AD137" i="3" s="1"/>
  <c r="V137" i="3"/>
  <c r="Y137" i="3"/>
  <c r="AE137" i="3"/>
  <c r="AN137" i="3" s="1"/>
  <c r="AF137" i="3"/>
  <c r="AG137" i="3" s="1"/>
  <c r="AH137" i="3"/>
  <c r="AI137" i="3" s="1"/>
  <c r="AK137" i="3"/>
  <c r="AM137" i="3"/>
  <c r="T138" i="3"/>
  <c r="V138" i="3"/>
  <c r="Y138" i="3"/>
  <c r="AF138" i="3"/>
  <c r="AG138" i="3"/>
  <c r="AL138" i="3" s="1"/>
  <c r="AH138" i="3"/>
  <c r="AI138" i="3"/>
  <c r="AJ138" i="3"/>
  <c r="AK138" i="3"/>
  <c r="AM138" i="3"/>
  <c r="T139" i="3"/>
  <c r="V139" i="3"/>
  <c r="Y139" i="3"/>
  <c r="AD139" i="3"/>
  <c r="AE139" i="3"/>
  <c r="AF139" i="3"/>
  <c r="AG139" i="3"/>
  <c r="AH139" i="3"/>
  <c r="AI139" i="3"/>
  <c r="AJ139" i="3"/>
  <c r="AK139" i="3"/>
  <c r="AL139" i="3"/>
  <c r="AM139" i="3"/>
  <c r="T140" i="3"/>
  <c r="AD140" i="3" s="1"/>
  <c r="AN140" i="3" s="1"/>
  <c r="V140" i="3"/>
  <c r="Y140" i="3"/>
  <c r="AE140" i="3"/>
  <c r="AF140" i="3"/>
  <c r="AG140" i="3" s="1"/>
  <c r="AH140" i="3"/>
  <c r="AI140" i="3"/>
  <c r="AJ140" i="3" s="1"/>
  <c r="AK140" i="3"/>
  <c r="AM140" i="3"/>
  <c r="T141" i="3"/>
  <c r="V141" i="3"/>
  <c r="Y141" i="3"/>
  <c r="AD141" i="3"/>
  <c r="AE141" i="3"/>
  <c r="AF141" i="3"/>
  <c r="AG141" i="3"/>
  <c r="AH141" i="3"/>
  <c r="AI141" i="3"/>
  <c r="AJ141" i="3"/>
  <c r="AK141" i="3"/>
  <c r="AL141" i="3"/>
  <c r="AM141" i="3"/>
  <c r="T142" i="3"/>
  <c r="V142" i="3"/>
  <c r="Y142" i="3"/>
  <c r="AF142" i="3"/>
  <c r="AG142" i="3" s="1"/>
  <c r="AK142" i="3"/>
  <c r="AM142" i="3"/>
  <c r="T143" i="3"/>
  <c r="AH143" i="3" s="1"/>
  <c r="AI143" i="3" s="1"/>
  <c r="V143" i="3"/>
  <c r="Y143" i="3"/>
  <c r="AF143" i="3"/>
  <c r="AG143" i="3"/>
  <c r="AK143" i="3"/>
  <c r="AM143" i="3"/>
  <c r="T144" i="3"/>
  <c r="AD144" i="3" s="1"/>
  <c r="V144" i="3"/>
  <c r="Y144" i="3"/>
  <c r="AF144" i="3"/>
  <c r="AG144" i="3"/>
  <c r="AH144" i="3"/>
  <c r="AI144" i="3" s="1"/>
  <c r="AK144" i="3"/>
  <c r="AM144" i="3"/>
  <c r="T145" i="3"/>
  <c r="AD145" i="3" s="1"/>
  <c r="V145" i="3"/>
  <c r="Y145" i="3"/>
  <c r="AF145" i="3"/>
  <c r="AG145" i="3"/>
  <c r="AH145" i="3"/>
  <c r="AI145" i="3"/>
  <c r="AK145" i="3"/>
  <c r="AM145" i="3"/>
  <c r="T146" i="3"/>
  <c r="AD146" i="3" s="1"/>
  <c r="V146" i="3"/>
  <c r="Y146" i="3"/>
  <c r="AF146" i="3"/>
  <c r="AG146" i="3"/>
  <c r="AL146" i="3" s="1"/>
  <c r="AH146" i="3"/>
  <c r="AI146" i="3"/>
  <c r="AJ146" i="3"/>
  <c r="AK146" i="3"/>
  <c r="AM146" i="3"/>
  <c r="T147" i="3"/>
  <c r="AE147" i="3" s="1"/>
  <c r="V147" i="3"/>
  <c r="Y147" i="3"/>
  <c r="AD147" i="3"/>
  <c r="AF147" i="3"/>
  <c r="AG147" i="3"/>
  <c r="AH147" i="3"/>
  <c r="AI147" i="3"/>
  <c r="AK147" i="3"/>
  <c r="AM147" i="3"/>
  <c r="T148" i="3"/>
  <c r="AD148" i="3" s="1"/>
  <c r="AN148" i="3" s="1"/>
  <c r="V148" i="3"/>
  <c r="Y148" i="3"/>
  <c r="AE148" i="3"/>
  <c r="AF148" i="3"/>
  <c r="AG148" i="3"/>
  <c r="AH148" i="3"/>
  <c r="AI148" i="3" s="1"/>
  <c r="AJ148" i="3" s="1"/>
  <c r="AK148" i="3"/>
  <c r="AL148" i="3"/>
  <c r="AM148" i="3"/>
  <c r="T149" i="3"/>
  <c r="AD149" i="3" s="1"/>
  <c r="V149" i="3"/>
  <c r="Y149" i="3"/>
  <c r="AF149" i="3"/>
  <c r="AG149" i="3" s="1"/>
  <c r="AK149" i="3"/>
  <c r="AM149" i="3"/>
  <c r="T150" i="3"/>
  <c r="V150" i="3"/>
  <c r="Y150" i="3"/>
  <c r="AD150" i="3"/>
  <c r="AE150" i="3"/>
  <c r="AF150" i="3"/>
  <c r="AG150" i="3"/>
  <c r="AL150" i="3" s="1"/>
  <c r="AH150" i="3"/>
  <c r="AI150" i="3"/>
  <c r="AJ150" i="3"/>
  <c r="AK150" i="3"/>
  <c r="AM150" i="3"/>
  <c r="AN150" i="3"/>
  <c r="T151" i="3"/>
  <c r="AD151" i="3" s="1"/>
  <c r="AN151" i="3" s="1"/>
  <c r="V151" i="3"/>
  <c r="Y151" i="3"/>
  <c r="AE151" i="3"/>
  <c r="AF151" i="3"/>
  <c r="AG151" i="3" s="1"/>
  <c r="AH151" i="3"/>
  <c r="AI151" i="3" s="1"/>
  <c r="AK151" i="3"/>
  <c r="AM151" i="3"/>
  <c r="T152" i="3"/>
  <c r="AE152" i="3" s="1"/>
  <c r="V152" i="3"/>
  <c r="Y152" i="3"/>
  <c r="AD152" i="3"/>
  <c r="AN152" i="3" s="1"/>
  <c r="AF152" i="3"/>
  <c r="AG152" i="3" s="1"/>
  <c r="AK152" i="3"/>
  <c r="AM152" i="3"/>
  <c r="T153" i="3"/>
  <c r="V153" i="3"/>
  <c r="Y153" i="3"/>
  <c r="AD153" i="3"/>
  <c r="AE153" i="3"/>
  <c r="AF153" i="3"/>
  <c r="AG153" i="3"/>
  <c r="AH153" i="3"/>
  <c r="AI153" i="3" s="1"/>
  <c r="AK153" i="3"/>
  <c r="AM153" i="3"/>
  <c r="AN153" i="3" s="1"/>
  <c r="T154" i="3"/>
  <c r="V154" i="3"/>
  <c r="Y154" i="3"/>
  <c r="AF154" i="3"/>
  <c r="AG154" i="3" s="1"/>
  <c r="AK154" i="3"/>
  <c r="AM154" i="3"/>
  <c r="T155" i="3"/>
  <c r="AH155" i="3" s="1"/>
  <c r="AI155" i="3" s="1"/>
  <c r="V155" i="3"/>
  <c r="Y155" i="3"/>
  <c r="AF155" i="3"/>
  <c r="AG155" i="3"/>
  <c r="AK155" i="3"/>
  <c r="AM155" i="3"/>
  <c r="T156" i="3"/>
  <c r="AE156" i="3" s="1"/>
  <c r="V156" i="3"/>
  <c r="Y156" i="3"/>
  <c r="AD156" i="3"/>
  <c r="AF156" i="3"/>
  <c r="AG156" i="3"/>
  <c r="AH156" i="3"/>
  <c r="AI156" i="3" s="1"/>
  <c r="AK156" i="3"/>
  <c r="AM156" i="3"/>
  <c r="T157" i="3"/>
  <c r="AD157" i="3" s="1"/>
  <c r="AN157" i="3" s="1"/>
  <c r="V157" i="3"/>
  <c r="Y157" i="3"/>
  <c r="AE157" i="3"/>
  <c r="AF157" i="3"/>
  <c r="AG157" i="3"/>
  <c r="AH157" i="3"/>
  <c r="AI157" i="3"/>
  <c r="AK157" i="3"/>
  <c r="AM157" i="3"/>
  <c r="T158" i="3"/>
  <c r="V158" i="3"/>
  <c r="Y158" i="3"/>
  <c r="AF158" i="3"/>
  <c r="AG158" i="3" s="1"/>
  <c r="AK158" i="3"/>
  <c r="AM158" i="3"/>
  <c r="T159" i="3"/>
  <c r="V159" i="3"/>
  <c r="Y159" i="3"/>
  <c r="AD159" i="3"/>
  <c r="AE159" i="3"/>
  <c r="AF159" i="3"/>
  <c r="AG159" i="3"/>
  <c r="AH159" i="3"/>
  <c r="AI159" i="3"/>
  <c r="AJ159" i="3"/>
  <c r="AK159" i="3"/>
  <c r="AM159" i="3"/>
  <c r="T160" i="3"/>
  <c r="AD160" i="3" s="1"/>
  <c r="AN160" i="3" s="1"/>
  <c r="V160" i="3"/>
  <c r="Y160" i="3"/>
  <c r="AE160" i="3"/>
  <c r="AF160" i="3"/>
  <c r="AG160" i="3" s="1"/>
  <c r="AH160" i="3"/>
  <c r="AI160" i="3" s="1"/>
  <c r="AK160" i="3"/>
  <c r="AL160" i="3" s="1"/>
  <c r="AM160" i="3"/>
  <c r="T161" i="3"/>
  <c r="V161" i="3"/>
  <c r="Y161" i="3"/>
  <c r="AF161" i="3"/>
  <c r="AG161" i="3" s="1"/>
  <c r="AK161" i="3"/>
  <c r="AM161" i="3"/>
  <c r="T162" i="3"/>
  <c r="V162" i="3"/>
  <c r="Y162" i="3"/>
  <c r="AD162" i="3"/>
  <c r="AE162" i="3"/>
  <c r="AF162" i="3"/>
  <c r="AG162" i="3"/>
  <c r="AL162" i="3" s="1"/>
  <c r="AH162" i="3"/>
  <c r="AI162" i="3" s="1"/>
  <c r="AK162" i="3"/>
  <c r="AM162" i="3"/>
  <c r="AN162" i="3"/>
  <c r="T163" i="3"/>
  <c r="V163" i="3"/>
  <c r="Y163" i="3"/>
  <c r="AD163" i="3"/>
  <c r="AE163" i="3"/>
  <c r="AF163" i="3"/>
  <c r="AG163" i="3" s="1"/>
  <c r="AH163" i="3"/>
  <c r="AI163" i="3" s="1"/>
  <c r="AK163" i="3"/>
  <c r="AM163" i="3"/>
  <c r="AN163" i="3"/>
  <c r="T164" i="3"/>
  <c r="AE164" i="3" s="1"/>
  <c r="V164" i="3"/>
  <c r="Y164" i="3"/>
  <c r="AD164" i="3"/>
  <c r="AN164" i="3" s="1"/>
  <c r="AF164" i="3"/>
  <c r="AG164" i="3" s="1"/>
  <c r="AK164" i="3"/>
  <c r="AM164" i="3"/>
  <c r="T165" i="3"/>
  <c r="AH165" i="3" s="1"/>
  <c r="AI165" i="3" s="1"/>
  <c r="AL165" i="3" s="1"/>
  <c r="V165" i="3"/>
  <c r="Y165" i="3"/>
  <c r="AD165" i="3"/>
  <c r="AE165" i="3"/>
  <c r="AF165" i="3"/>
  <c r="AG165" i="3"/>
  <c r="AK165" i="3"/>
  <c r="AM165" i="3"/>
  <c r="T166" i="3"/>
  <c r="AH166" i="3" s="1"/>
  <c r="AI166" i="3" s="1"/>
  <c r="V166" i="3"/>
  <c r="Y166" i="3"/>
  <c r="AD166" i="3"/>
  <c r="AE166" i="3"/>
  <c r="AF166" i="3"/>
  <c r="AG166" i="3" s="1"/>
  <c r="AK166" i="3"/>
  <c r="AM166" i="3"/>
  <c r="T167" i="3"/>
  <c r="AH167" i="3" s="1"/>
  <c r="AI167" i="3" s="1"/>
  <c r="V167" i="3"/>
  <c r="Y167" i="3"/>
  <c r="AD167" i="3"/>
  <c r="AF167" i="3"/>
  <c r="AG167" i="3" s="1"/>
  <c r="AK167" i="3"/>
  <c r="AM167" i="3"/>
  <c r="T168" i="3"/>
  <c r="AD168" i="3" s="1"/>
  <c r="V168" i="3"/>
  <c r="Y168" i="3"/>
  <c r="AF168" i="3"/>
  <c r="AG168" i="3"/>
  <c r="AK168" i="3"/>
  <c r="AM168" i="3"/>
  <c r="T169" i="3"/>
  <c r="AD169" i="3" s="1"/>
  <c r="V169" i="3"/>
  <c r="Y169" i="3"/>
  <c r="AF169" i="3"/>
  <c r="AG169" i="3"/>
  <c r="AK169" i="3"/>
  <c r="AM169" i="3"/>
  <c r="T170" i="3"/>
  <c r="V170" i="3"/>
  <c r="Y170" i="3"/>
  <c r="AF170" i="3"/>
  <c r="AG170" i="3"/>
  <c r="AK170" i="3"/>
  <c r="AM170" i="3"/>
  <c r="T171" i="3"/>
  <c r="V171" i="3"/>
  <c r="Y171" i="3"/>
  <c r="AD171" i="3"/>
  <c r="AE171" i="3"/>
  <c r="AF171" i="3"/>
  <c r="AG171" i="3"/>
  <c r="AH171" i="3"/>
  <c r="AI171" i="3"/>
  <c r="AK171" i="3"/>
  <c r="AM171" i="3"/>
  <c r="T172" i="3"/>
  <c r="AD172" i="3" s="1"/>
  <c r="AN172" i="3" s="1"/>
  <c r="V172" i="3"/>
  <c r="Y172" i="3"/>
  <c r="AE172" i="3"/>
  <c r="AF172" i="3"/>
  <c r="AG172" i="3" s="1"/>
  <c r="AH172" i="3"/>
  <c r="AI172" i="3"/>
  <c r="AJ172" i="3"/>
  <c r="AK172" i="3"/>
  <c r="AL172" i="3"/>
  <c r="AM172" i="3"/>
  <c r="T173" i="3"/>
  <c r="V173" i="3"/>
  <c r="Y173" i="3"/>
  <c r="AF173" i="3"/>
  <c r="AG173" i="3" s="1"/>
  <c r="AK173" i="3"/>
  <c r="AM173" i="3"/>
  <c r="T174" i="3"/>
  <c r="V174" i="3"/>
  <c r="Y174" i="3"/>
  <c r="AD174" i="3"/>
  <c r="AE174" i="3"/>
  <c r="AF174" i="3"/>
  <c r="AG174" i="3"/>
  <c r="AH174" i="3"/>
  <c r="AI174" i="3" s="1"/>
  <c r="AJ174" i="3"/>
  <c r="AK174" i="3"/>
  <c r="AM174" i="3"/>
  <c r="AN174" i="3" s="1"/>
  <c r="T175" i="3"/>
  <c r="V175" i="3"/>
  <c r="Y175" i="3"/>
  <c r="AD175" i="3"/>
  <c r="AE175" i="3"/>
  <c r="AF175" i="3"/>
  <c r="AG175" i="3" s="1"/>
  <c r="AH175" i="3"/>
  <c r="AI175" i="3"/>
  <c r="AK175" i="3"/>
  <c r="AL175" i="3" s="1"/>
  <c r="AM175" i="3"/>
  <c r="AN175" i="3"/>
  <c r="T176" i="3"/>
  <c r="AE176" i="3" s="1"/>
  <c r="V176" i="3"/>
  <c r="Y176" i="3"/>
  <c r="AD176" i="3"/>
  <c r="AN176" i="3" s="1"/>
  <c r="AF176" i="3"/>
  <c r="AG176" i="3" s="1"/>
  <c r="AK176" i="3"/>
  <c r="AM176" i="3"/>
  <c r="T177" i="3"/>
  <c r="AH177" i="3" s="1"/>
  <c r="AI177" i="3" s="1"/>
  <c r="AJ177" i="3" s="1"/>
  <c r="V177" i="3"/>
  <c r="Y177" i="3"/>
  <c r="AD177" i="3"/>
  <c r="AN177" i="3" s="1"/>
  <c r="AE177" i="3"/>
  <c r="AF177" i="3"/>
  <c r="AG177" i="3"/>
  <c r="AK177" i="3"/>
  <c r="AM177" i="3"/>
  <c r="T178" i="3"/>
  <c r="AD178" i="3" s="1"/>
  <c r="V178" i="3"/>
  <c r="Y178" i="3"/>
  <c r="AF178" i="3"/>
  <c r="AG178" i="3" s="1"/>
  <c r="AK178" i="3"/>
  <c r="AM178" i="3"/>
  <c r="T179" i="3"/>
  <c r="AH179" i="3" s="1"/>
  <c r="V179" i="3"/>
  <c r="Y179" i="3"/>
  <c r="AD179" i="3"/>
  <c r="AN179" i="3" s="1"/>
  <c r="AE179" i="3"/>
  <c r="AF179" i="3"/>
  <c r="AG179" i="3" s="1"/>
  <c r="AI179" i="3"/>
  <c r="AK179" i="3"/>
  <c r="AM179" i="3"/>
  <c r="T180" i="3"/>
  <c r="AD180" i="3" s="1"/>
  <c r="V180" i="3"/>
  <c r="Y180" i="3"/>
  <c r="AF180" i="3"/>
  <c r="AG180" i="3"/>
  <c r="AH180" i="3"/>
  <c r="AI180" i="3" s="1"/>
  <c r="AJ180" i="3"/>
  <c r="AK180" i="3"/>
  <c r="AM180" i="3"/>
  <c r="T181" i="3"/>
  <c r="AD181" i="3" s="1"/>
  <c r="V181" i="3"/>
  <c r="Y181" i="3"/>
  <c r="AF181" i="3"/>
  <c r="AG181" i="3"/>
  <c r="AH181" i="3"/>
  <c r="AI181" i="3" s="1"/>
  <c r="AK181" i="3"/>
  <c r="AM181" i="3"/>
  <c r="T182" i="3"/>
  <c r="V182" i="3"/>
  <c r="Y182" i="3"/>
  <c r="AF182" i="3"/>
  <c r="AG182" i="3"/>
  <c r="AH182" i="3"/>
  <c r="AI182" i="3" s="1"/>
  <c r="AK182" i="3"/>
  <c r="AM182" i="3"/>
  <c r="T183" i="3"/>
  <c r="AD183" i="3" s="1"/>
  <c r="V183" i="3"/>
  <c r="Y183" i="3"/>
  <c r="AF183" i="3"/>
  <c r="AG183" i="3" s="1"/>
  <c r="AK183" i="3"/>
  <c r="AM183" i="3"/>
  <c r="T184" i="3"/>
  <c r="AD184" i="3" s="1"/>
  <c r="V184" i="3"/>
  <c r="Y184" i="3"/>
  <c r="AE184" i="3"/>
  <c r="AN184" i="3" s="1"/>
  <c r="AF184" i="3"/>
  <c r="AG184" i="3" s="1"/>
  <c r="AH184" i="3"/>
  <c r="AI184" i="3" s="1"/>
  <c r="AK184" i="3"/>
  <c r="AM184" i="3"/>
  <c r="T185" i="3"/>
  <c r="V185" i="3"/>
  <c r="Y185" i="3"/>
  <c r="AF185" i="3"/>
  <c r="AG185" i="3" s="1"/>
  <c r="AH185" i="3"/>
  <c r="AI185" i="3"/>
  <c r="AK185" i="3"/>
  <c r="AM185" i="3"/>
  <c r="T186" i="3"/>
  <c r="V186" i="3"/>
  <c r="Y186" i="3"/>
  <c r="AD186" i="3"/>
  <c r="AE186" i="3"/>
  <c r="AF186" i="3"/>
  <c r="AG186" i="3"/>
  <c r="AH186" i="3"/>
  <c r="AI186" i="3" s="1"/>
  <c r="AK186" i="3"/>
  <c r="AM186" i="3"/>
  <c r="T187" i="3"/>
  <c r="AE187" i="3" s="1"/>
  <c r="V187" i="3"/>
  <c r="Y187" i="3"/>
  <c r="AD187" i="3"/>
  <c r="AF187" i="3"/>
  <c r="AG187" i="3"/>
  <c r="AJ187" i="3" s="1"/>
  <c r="AH187" i="3"/>
  <c r="AI187" i="3"/>
  <c r="AK187" i="3"/>
  <c r="AL187" i="3"/>
  <c r="AM187" i="3"/>
  <c r="AN187" i="3"/>
  <c r="T188" i="3"/>
  <c r="V188" i="3"/>
  <c r="Y188" i="3"/>
  <c r="AD188" i="3"/>
  <c r="AE188" i="3"/>
  <c r="AF188" i="3"/>
  <c r="AG188" i="3"/>
  <c r="AH188" i="3"/>
  <c r="AI188" i="3" s="1"/>
  <c r="AK188" i="3"/>
  <c r="AM188" i="3"/>
  <c r="AN188" i="3"/>
  <c r="T189" i="3"/>
  <c r="AE189" i="3" s="1"/>
  <c r="V189" i="3"/>
  <c r="Y189" i="3"/>
  <c r="AD189" i="3"/>
  <c r="AF189" i="3"/>
  <c r="AG189" i="3" s="1"/>
  <c r="AK189" i="3"/>
  <c r="AM189" i="3"/>
  <c r="T190" i="3"/>
  <c r="AH190" i="3" s="1"/>
  <c r="AI190" i="3" s="1"/>
  <c r="V190" i="3"/>
  <c r="Y190" i="3"/>
  <c r="AD190" i="3"/>
  <c r="AE190" i="3"/>
  <c r="AF190" i="3"/>
  <c r="AG190" i="3"/>
  <c r="AK190" i="3"/>
  <c r="AM190" i="3"/>
  <c r="T191" i="3"/>
  <c r="V191" i="3"/>
  <c r="Y191" i="3"/>
  <c r="AF191" i="3"/>
  <c r="AG191" i="3" s="1"/>
  <c r="AK191" i="3"/>
  <c r="AM191" i="3"/>
  <c r="T192" i="3"/>
  <c r="AH192" i="3" s="1"/>
  <c r="AI192" i="3" s="1"/>
  <c r="V192" i="3"/>
  <c r="Y192" i="3"/>
  <c r="AF192" i="3"/>
  <c r="AG192" i="3"/>
  <c r="AK192" i="3"/>
  <c r="AM192" i="3"/>
  <c r="T193" i="3"/>
  <c r="AD193" i="3" s="1"/>
  <c r="V193" i="3"/>
  <c r="Y193" i="3"/>
  <c r="AF193" i="3"/>
  <c r="AG193" i="3"/>
  <c r="AH193" i="3"/>
  <c r="AI193" i="3" s="1"/>
  <c r="AK193" i="3"/>
  <c r="AM193" i="3"/>
  <c r="T194" i="3"/>
  <c r="AE194" i="3" s="1"/>
  <c r="AN194" i="3" s="1"/>
  <c r="V194" i="3"/>
  <c r="Y194" i="3"/>
  <c r="AD194" i="3"/>
  <c r="AF194" i="3"/>
  <c r="AG194" i="3"/>
  <c r="AH194" i="3"/>
  <c r="AI194" i="3"/>
  <c r="AK194" i="3"/>
  <c r="AM194" i="3"/>
  <c r="T195" i="3"/>
  <c r="AD195" i="3" s="1"/>
  <c r="AN195" i="3" s="1"/>
  <c r="V195" i="3"/>
  <c r="Y195" i="3"/>
  <c r="AE195" i="3"/>
  <c r="AF195" i="3"/>
  <c r="AG195" i="3"/>
  <c r="AL195" i="3" s="1"/>
  <c r="AH195" i="3"/>
  <c r="AI195" i="3"/>
  <c r="AJ195" i="3"/>
  <c r="AK195" i="3"/>
  <c r="AM195" i="3"/>
  <c r="T196" i="3"/>
  <c r="AE196" i="3" s="1"/>
  <c r="V196" i="3"/>
  <c r="Y196" i="3"/>
  <c r="AD196" i="3"/>
  <c r="AF196" i="3"/>
  <c r="AG196" i="3" s="1"/>
  <c r="AH196" i="3"/>
  <c r="AI196" i="3" s="1"/>
  <c r="AK196" i="3"/>
  <c r="AM196" i="3"/>
  <c r="AN196" i="3" s="1"/>
  <c r="T197" i="3"/>
  <c r="AD197" i="3" s="1"/>
  <c r="AN197" i="3" s="1"/>
  <c r="V197" i="3"/>
  <c r="Y197" i="3"/>
  <c r="AE197" i="3"/>
  <c r="AF197" i="3"/>
  <c r="AG197" i="3"/>
  <c r="AH197" i="3"/>
  <c r="AI197" i="3"/>
  <c r="AJ197" i="3" s="1"/>
  <c r="AK197" i="3"/>
  <c r="AL197" i="3"/>
  <c r="AM197" i="3"/>
  <c r="T198" i="3"/>
  <c r="AD198" i="3" s="1"/>
  <c r="V198" i="3"/>
  <c r="Y198" i="3"/>
  <c r="AF198" i="3"/>
  <c r="AG198" i="3" s="1"/>
  <c r="AK198" i="3"/>
  <c r="AM198" i="3"/>
  <c r="T199" i="3"/>
  <c r="AE199" i="3" s="1"/>
  <c r="AN199" i="3" s="1"/>
  <c r="V199" i="3"/>
  <c r="Y199" i="3"/>
  <c r="AD199" i="3"/>
  <c r="AF199" i="3"/>
  <c r="AG199" i="3"/>
  <c r="AJ199" i="3" s="1"/>
  <c r="AH199" i="3"/>
  <c r="AI199" i="3"/>
  <c r="AK199" i="3"/>
  <c r="AM199" i="3"/>
  <c r="T200" i="3"/>
  <c r="V200" i="3"/>
  <c r="Y200" i="3"/>
  <c r="AD200" i="3"/>
  <c r="AE200" i="3"/>
  <c r="AF200" i="3"/>
  <c r="AG200" i="3"/>
  <c r="AH200" i="3"/>
  <c r="AI200" i="3" s="1"/>
  <c r="AK200" i="3"/>
  <c r="AM200" i="3"/>
  <c r="AN200" i="3"/>
  <c r="T201" i="3"/>
  <c r="AE201" i="3" s="1"/>
  <c r="V201" i="3"/>
  <c r="Y201" i="3"/>
  <c r="AD201" i="3"/>
  <c r="AF201" i="3"/>
  <c r="AG201" i="3" s="1"/>
  <c r="AK201" i="3"/>
  <c r="AM201" i="3"/>
  <c r="AN201" i="3" s="1"/>
  <c r="T202" i="3"/>
  <c r="AH202" i="3" s="1"/>
  <c r="AI202" i="3" s="1"/>
  <c r="V202" i="3"/>
  <c r="Y202" i="3"/>
  <c r="AD202" i="3"/>
  <c r="AN202" i="3" s="1"/>
  <c r="AE202" i="3"/>
  <c r="AF202" i="3"/>
  <c r="AG202" i="3"/>
  <c r="AK202" i="3"/>
  <c r="AM202" i="3"/>
  <c r="T203" i="3"/>
  <c r="V203" i="3"/>
  <c r="Y203" i="3"/>
  <c r="AF203" i="3"/>
  <c r="AG203" i="3" s="1"/>
  <c r="AK203" i="3"/>
  <c r="AM203" i="3"/>
  <c r="T204" i="3"/>
  <c r="AH204" i="3" s="1"/>
  <c r="AI204" i="3" s="1"/>
  <c r="V204" i="3"/>
  <c r="Y204" i="3"/>
  <c r="AF204" i="3"/>
  <c r="AG204" i="3"/>
  <c r="AK204" i="3"/>
  <c r="AM204" i="3"/>
  <c r="T205" i="3"/>
  <c r="AD205" i="3" s="1"/>
  <c r="V205" i="3"/>
  <c r="Y205" i="3"/>
  <c r="AE205" i="3"/>
  <c r="AF205" i="3"/>
  <c r="AG205" i="3"/>
  <c r="AH205" i="3"/>
  <c r="AI205" i="3" s="1"/>
  <c r="AK205" i="3"/>
  <c r="AM205" i="3"/>
  <c r="AN205" i="3" s="1"/>
  <c r="T206" i="3"/>
  <c r="AD206" i="3" s="1"/>
  <c r="V206" i="3"/>
  <c r="Y206" i="3"/>
  <c r="AF206" i="3"/>
  <c r="AG206" i="3" s="1"/>
  <c r="AH206" i="3"/>
  <c r="AI206" i="3"/>
  <c r="AK206" i="3"/>
  <c r="AM206" i="3"/>
  <c r="T207" i="3"/>
  <c r="AD207" i="3" s="1"/>
  <c r="AN207" i="3" s="1"/>
  <c r="V207" i="3"/>
  <c r="Y207" i="3"/>
  <c r="AE207" i="3"/>
  <c r="AF207" i="3"/>
  <c r="AG207" i="3"/>
  <c r="AL207" i="3" s="1"/>
  <c r="AH207" i="3"/>
  <c r="AI207" i="3"/>
  <c r="AJ207" i="3"/>
  <c r="AK207" i="3"/>
  <c r="AM207" i="3"/>
  <c r="T208" i="3"/>
  <c r="AE208" i="3" s="1"/>
  <c r="V208" i="3"/>
  <c r="Y208" i="3"/>
  <c r="AD208" i="3"/>
  <c r="AF208" i="3"/>
  <c r="AG208" i="3" s="1"/>
  <c r="AH208" i="3"/>
  <c r="AI208" i="3" s="1"/>
  <c r="AK208" i="3"/>
  <c r="AM208" i="3"/>
  <c r="T209" i="3"/>
  <c r="AD209" i="3" s="1"/>
  <c r="AN209" i="3" s="1"/>
  <c r="V209" i="3"/>
  <c r="Y209" i="3"/>
  <c r="AE209" i="3"/>
  <c r="AF209" i="3"/>
  <c r="AG209" i="3"/>
  <c r="AJ209" i="3" s="1"/>
  <c r="AH209" i="3"/>
  <c r="AI209" i="3"/>
  <c r="AK209" i="3"/>
  <c r="AL209" i="3" s="1"/>
  <c r="AM209" i="3"/>
  <c r="T210" i="3"/>
  <c r="AD210" i="3" s="1"/>
  <c r="V210" i="3"/>
  <c r="Y210" i="3"/>
  <c r="AF210" i="3"/>
  <c r="AG210" i="3" s="1"/>
  <c r="AK210" i="3"/>
  <c r="AM210" i="3"/>
  <c r="T211" i="3"/>
  <c r="AE211" i="3" s="1"/>
  <c r="V211" i="3"/>
  <c r="Y211" i="3"/>
  <c r="AD211" i="3"/>
  <c r="AF211" i="3"/>
  <c r="AG211" i="3"/>
  <c r="AH211" i="3"/>
  <c r="AI211" i="3"/>
  <c r="AK211" i="3"/>
  <c r="AM211" i="3"/>
  <c r="AN211" i="3" s="1"/>
  <c r="T212" i="3"/>
  <c r="V212" i="3"/>
  <c r="Y212" i="3"/>
  <c r="AD212" i="3"/>
  <c r="AE212" i="3"/>
  <c r="AF212" i="3"/>
  <c r="AG212" i="3"/>
  <c r="AH212" i="3"/>
  <c r="AI212" i="3" s="1"/>
  <c r="AJ212" i="3" s="1"/>
  <c r="AK212" i="3"/>
  <c r="AL212" i="3"/>
  <c r="AM212" i="3"/>
  <c r="AN212" i="3"/>
  <c r="T213" i="3"/>
  <c r="AE213" i="3" s="1"/>
  <c r="V213" i="3"/>
  <c r="Y213" i="3"/>
  <c r="AD213" i="3"/>
  <c r="AF213" i="3"/>
  <c r="AG213" i="3" s="1"/>
  <c r="AK213" i="3"/>
  <c r="AM213" i="3"/>
  <c r="T214" i="3"/>
  <c r="AH214" i="3" s="1"/>
  <c r="AI214" i="3" s="1"/>
  <c r="AL214" i="3" s="1"/>
  <c r="V214" i="3"/>
  <c r="Y214" i="3"/>
  <c r="AD214" i="3"/>
  <c r="AE214" i="3"/>
  <c r="AF214" i="3"/>
  <c r="AG214" i="3"/>
  <c r="AK214" i="3"/>
  <c r="AM214" i="3"/>
  <c r="AN214" i="3"/>
  <c r="T215" i="3"/>
  <c r="V215" i="3"/>
  <c r="Y215" i="3"/>
  <c r="AF215" i="3"/>
  <c r="AG215" i="3" s="1"/>
  <c r="AK215" i="3"/>
  <c r="AM215" i="3"/>
  <c r="T216" i="3"/>
  <c r="V216" i="3"/>
  <c r="Y216" i="3"/>
  <c r="AF216" i="3"/>
  <c r="AG216" i="3" s="1"/>
  <c r="AK216" i="3"/>
  <c r="AM216" i="3"/>
  <c r="T217" i="3"/>
  <c r="V217" i="3"/>
  <c r="Y217" i="3"/>
  <c r="AD217" i="3"/>
  <c r="AE217" i="3"/>
  <c r="AF217" i="3"/>
  <c r="AG217" i="3"/>
  <c r="AH217" i="3"/>
  <c r="AI217" i="3" s="1"/>
  <c r="AK217" i="3"/>
  <c r="AM217" i="3"/>
  <c r="AN217" i="3" s="1"/>
  <c r="T218" i="3"/>
  <c r="AD218" i="3" s="1"/>
  <c r="V218" i="3"/>
  <c r="Y218" i="3"/>
  <c r="AF218" i="3"/>
  <c r="AG218" i="3" s="1"/>
  <c r="AK218" i="3"/>
  <c r="AM218" i="3"/>
  <c r="T219" i="3"/>
  <c r="AD219" i="3" s="1"/>
  <c r="V219" i="3"/>
  <c r="Y219" i="3"/>
  <c r="AE219" i="3"/>
  <c r="AF219" i="3"/>
  <c r="AG219" i="3"/>
  <c r="AH219" i="3"/>
  <c r="AI219" i="3"/>
  <c r="AK219" i="3"/>
  <c r="AM219" i="3"/>
  <c r="T220" i="3"/>
  <c r="AE220" i="3" s="1"/>
  <c r="V220" i="3"/>
  <c r="Y220" i="3"/>
  <c r="AD220" i="3"/>
  <c r="AF220" i="3"/>
  <c r="AG220" i="3" s="1"/>
  <c r="AK220" i="3"/>
  <c r="AM220" i="3"/>
  <c r="T221" i="3"/>
  <c r="AD221" i="3" s="1"/>
  <c r="AN221" i="3" s="1"/>
  <c r="V221" i="3"/>
  <c r="Y221" i="3"/>
  <c r="AE221" i="3"/>
  <c r="AF221" i="3"/>
  <c r="AG221" i="3"/>
  <c r="AH221" i="3"/>
  <c r="AI221" i="3"/>
  <c r="AJ221" i="3"/>
  <c r="AK221" i="3"/>
  <c r="AL221" i="3"/>
  <c r="AM221" i="3"/>
  <c r="T222" i="3"/>
  <c r="V222" i="3"/>
  <c r="Y222" i="3"/>
  <c r="AF222" i="3"/>
  <c r="AG222" i="3" s="1"/>
  <c r="AK222" i="3"/>
  <c r="AM222" i="3"/>
  <c r="T223" i="3"/>
  <c r="AE223" i="3" s="1"/>
  <c r="V223" i="3"/>
  <c r="Y223" i="3"/>
  <c r="AD223" i="3"/>
  <c r="AF223" i="3"/>
  <c r="AG223" i="3"/>
  <c r="AH223" i="3"/>
  <c r="AI223" i="3"/>
  <c r="AJ223" i="3"/>
  <c r="AK223" i="3"/>
  <c r="AL223" i="3" s="1"/>
  <c r="AM223" i="3"/>
  <c r="AN223" i="3"/>
  <c r="T224" i="3"/>
  <c r="V224" i="3"/>
  <c r="Y224" i="3"/>
  <c r="AD224" i="3"/>
  <c r="AE224" i="3"/>
  <c r="AF224" i="3"/>
  <c r="AG224" i="3"/>
  <c r="AH224" i="3"/>
  <c r="AI224" i="3" s="1"/>
  <c r="AK224" i="3"/>
  <c r="AM224" i="3"/>
  <c r="AN224" i="3" s="1"/>
  <c r="T225" i="3"/>
  <c r="V225" i="3"/>
  <c r="Y225" i="3"/>
  <c r="AF225" i="3"/>
  <c r="AG225" i="3" s="1"/>
  <c r="AK225" i="3"/>
  <c r="AM225" i="3"/>
  <c r="T226" i="3"/>
  <c r="AH226" i="3" s="1"/>
  <c r="AI226" i="3" s="1"/>
  <c r="V226" i="3"/>
  <c r="Y226" i="3"/>
  <c r="AD226" i="3"/>
  <c r="AN226" i="3" s="1"/>
  <c r="AE226" i="3"/>
  <c r="AF226" i="3"/>
  <c r="AG226" i="3"/>
  <c r="AL226" i="3" s="1"/>
  <c r="AJ226" i="3"/>
  <c r="AK226" i="3"/>
  <c r="AM226" i="3"/>
  <c r="T227" i="3"/>
  <c r="AD227" i="3" s="1"/>
  <c r="V227" i="3"/>
  <c r="Y227" i="3"/>
  <c r="AF227" i="3"/>
  <c r="AG227" i="3" s="1"/>
  <c r="AK227" i="3"/>
  <c r="AM227" i="3"/>
  <c r="T228" i="3"/>
  <c r="V228" i="3"/>
  <c r="Y228" i="3"/>
  <c r="AF228" i="3"/>
  <c r="AG228" i="3"/>
  <c r="AK228" i="3"/>
  <c r="AM228" i="3"/>
  <c r="T229" i="3"/>
  <c r="AD229" i="3" s="1"/>
  <c r="V229" i="3"/>
  <c r="Y229" i="3"/>
  <c r="AF229" i="3"/>
  <c r="AG229" i="3"/>
  <c r="AH229" i="3"/>
  <c r="AI229" i="3" s="1"/>
  <c r="AJ229" i="3" s="1"/>
  <c r="AK229" i="3"/>
  <c r="AM229" i="3"/>
  <c r="T230" i="3"/>
  <c r="V230" i="3"/>
  <c r="Y230" i="3"/>
  <c r="AD230" i="3"/>
  <c r="AN230" i="3" s="1"/>
  <c r="AE230" i="3"/>
  <c r="AF230" i="3"/>
  <c r="AG230" i="3" s="1"/>
  <c r="AH230" i="3"/>
  <c r="AI230" i="3" s="1"/>
  <c r="AK230" i="3"/>
  <c r="AM230" i="3"/>
  <c r="T231" i="3"/>
  <c r="AD231" i="3" s="1"/>
  <c r="V231" i="3"/>
  <c r="Y231" i="3"/>
  <c r="AF231" i="3"/>
  <c r="AG231" i="3"/>
  <c r="AL231" i="3" s="1"/>
  <c r="AH231" i="3"/>
  <c r="AI231" i="3"/>
  <c r="AJ231" i="3" s="1"/>
  <c r="AK231" i="3"/>
  <c r="AM231" i="3"/>
  <c r="T232" i="3"/>
  <c r="AD232" i="3" s="1"/>
  <c r="V232" i="3"/>
  <c r="Y232" i="3"/>
  <c r="AF232" i="3"/>
  <c r="AG232" i="3"/>
  <c r="AH232" i="3"/>
  <c r="AI232" i="3" s="1"/>
  <c r="AK232" i="3"/>
  <c r="AM232" i="3"/>
  <c r="T233" i="3"/>
  <c r="V233" i="3"/>
  <c r="Y233" i="3"/>
  <c r="AF233" i="3"/>
  <c r="AG233" i="3" s="1"/>
  <c r="AK233" i="3"/>
  <c r="AM233" i="3"/>
  <c r="T234" i="3"/>
  <c r="V234" i="3"/>
  <c r="Y234" i="3"/>
  <c r="AF234" i="3"/>
  <c r="AG234" i="3" s="1"/>
  <c r="AH234" i="3"/>
  <c r="AI234" i="3"/>
  <c r="AK234" i="3"/>
  <c r="AM234" i="3"/>
  <c r="T235" i="3"/>
  <c r="AE235" i="3" s="1"/>
  <c r="V235" i="3"/>
  <c r="Y235" i="3"/>
  <c r="AD235" i="3"/>
  <c r="AF235" i="3"/>
  <c r="AG235" i="3"/>
  <c r="AH235" i="3"/>
  <c r="AI235" i="3"/>
  <c r="AJ235" i="3" s="1"/>
  <c r="AK235" i="3"/>
  <c r="AL235" i="3"/>
  <c r="AM235" i="3"/>
  <c r="AN235" i="3"/>
  <c r="T236" i="3"/>
  <c r="V236" i="3"/>
  <c r="Y236" i="3"/>
  <c r="AD236" i="3"/>
  <c r="AE236" i="3"/>
  <c r="AF236" i="3"/>
  <c r="AG236" i="3"/>
  <c r="AH236" i="3"/>
  <c r="AI236" i="3"/>
  <c r="AJ236" i="3"/>
  <c r="AK236" i="3"/>
  <c r="AL236" i="3"/>
  <c r="AM236" i="3"/>
  <c r="T237" i="3"/>
  <c r="V237" i="3"/>
  <c r="Y237" i="3"/>
  <c r="AF237" i="3"/>
  <c r="AG237" i="3" s="1"/>
  <c r="AH237" i="3"/>
  <c r="AI237" i="3" s="1"/>
  <c r="AK237" i="3"/>
  <c r="AM237" i="3"/>
  <c r="T238" i="3"/>
  <c r="AH238" i="3" s="1"/>
  <c r="V238" i="3"/>
  <c r="Y238" i="3"/>
  <c r="AE238" i="3"/>
  <c r="AF238" i="3"/>
  <c r="AG238" i="3"/>
  <c r="AL238" i="3" s="1"/>
  <c r="AI238" i="3"/>
  <c r="AJ238" i="3"/>
  <c r="AK238" i="3"/>
  <c r="AM238" i="3"/>
  <c r="T239" i="3"/>
  <c r="AD239" i="3" s="1"/>
  <c r="V239" i="3"/>
  <c r="Y239" i="3"/>
  <c r="AE239" i="3"/>
  <c r="AF239" i="3"/>
  <c r="AG239" i="3"/>
  <c r="AH239" i="3"/>
  <c r="AI239" i="3" s="1"/>
  <c r="AJ239" i="3" s="1"/>
  <c r="AK239" i="3"/>
  <c r="AL239" i="3" s="1"/>
  <c r="AM239" i="3"/>
  <c r="T240" i="3"/>
  <c r="AD240" i="3" s="1"/>
  <c r="AN240" i="3" s="1"/>
  <c r="V240" i="3"/>
  <c r="Y240" i="3"/>
  <c r="AE240" i="3"/>
  <c r="AF240" i="3"/>
  <c r="AG240" i="3" s="1"/>
  <c r="AH240" i="3"/>
  <c r="AI240" i="3" s="1"/>
  <c r="AK240" i="3"/>
  <c r="AM240" i="3"/>
  <c r="T241" i="3"/>
  <c r="V241" i="3"/>
  <c r="Y241" i="3"/>
  <c r="AD241" i="3"/>
  <c r="AE241" i="3"/>
  <c r="AF241" i="3"/>
  <c r="AG241" i="3"/>
  <c r="AH241" i="3"/>
  <c r="AI241" i="3" s="1"/>
  <c r="AK241" i="3"/>
  <c r="AM241" i="3"/>
  <c r="T242" i="3"/>
  <c r="V242" i="3"/>
  <c r="Y242" i="3"/>
  <c r="AF242" i="3"/>
  <c r="AG242" i="3" s="1"/>
  <c r="AK242" i="3"/>
  <c r="AM242" i="3"/>
  <c r="T243" i="3"/>
  <c r="AH243" i="3" s="1"/>
  <c r="AI243" i="3" s="1"/>
  <c r="V243" i="3"/>
  <c r="Y243" i="3"/>
  <c r="AE243" i="3"/>
  <c r="AF243" i="3"/>
  <c r="AG243" i="3"/>
  <c r="AK243" i="3"/>
  <c r="AM243" i="3"/>
  <c r="T244" i="3"/>
  <c r="AD244" i="3" s="1"/>
  <c r="V244" i="3"/>
  <c r="Y244" i="3"/>
  <c r="AF244" i="3"/>
  <c r="AG244" i="3" s="1"/>
  <c r="AH244" i="3"/>
  <c r="AI244" i="3" s="1"/>
  <c r="AK244" i="3"/>
  <c r="AM244" i="3"/>
  <c r="T245" i="3"/>
  <c r="AD245" i="3" s="1"/>
  <c r="AN245" i="3" s="1"/>
  <c r="V245" i="3"/>
  <c r="Y245" i="3"/>
  <c r="AE245" i="3"/>
  <c r="AF245" i="3"/>
  <c r="AG245" i="3"/>
  <c r="AH245" i="3"/>
  <c r="AI245" i="3"/>
  <c r="AK245" i="3"/>
  <c r="AM245" i="3"/>
  <c r="T246" i="3"/>
  <c r="AD246" i="3" s="1"/>
  <c r="V246" i="3"/>
  <c r="Y246" i="3"/>
  <c r="AF246" i="3"/>
  <c r="AG246" i="3" s="1"/>
  <c r="AL246" i="3" s="1"/>
  <c r="AH246" i="3"/>
  <c r="AI246" i="3" s="1"/>
  <c r="AJ246" i="3"/>
  <c r="AK246" i="3"/>
  <c r="AM246" i="3"/>
  <c r="T247" i="3"/>
  <c r="AE247" i="3" s="1"/>
  <c r="V247" i="3"/>
  <c r="Y247" i="3"/>
  <c r="AD247" i="3"/>
  <c r="AF247" i="3"/>
  <c r="AG247" i="3"/>
  <c r="AH247" i="3"/>
  <c r="AI247" i="3"/>
  <c r="AJ247" i="3" s="1"/>
  <c r="AK247" i="3"/>
  <c r="AM247" i="3"/>
  <c r="T248" i="3"/>
  <c r="AD248" i="3" s="1"/>
  <c r="AN248" i="3" s="1"/>
  <c r="V248" i="3"/>
  <c r="Y248" i="3"/>
  <c r="AE248" i="3"/>
  <c r="AF248" i="3"/>
  <c r="AG248" i="3"/>
  <c r="AH248" i="3"/>
  <c r="AI248" i="3" s="1"/>
  <c r="AJ248" i="3" s="1"/>
  <c r="AK248" i="3"/>
  <c r="AL248" i="3"/>
  <c r="AM248" i="3"/>
  <c r="T249" i="3"/>
  <c r="AD249" i="3" s="1"/>
  <c r="V249" i="3"/>
  <c r="Y249" i="3"/>
  <c r="AF249" i="3"/>
  <c r="AG249" i="3" s="1"/>
  <c r="AK249" i="3"/>
  <c r="AM249" i="3"/>
  <c r="T250" i="3"/>
  <c r="V250" i="3"/>
  <c r="Y250" i="3"/>
  <c r="AD250" i="3"/>
  <c r="AE250" i="3"/>
  <c r="AF250" i="3"/>
  <c r="AG250" i="3"/>
  <c r="AH250" i="3"/>
  <c r="AI250" i="3"/>
  <c r="AJ250" i="3"/>
  <c r="AK250" i="3"/>
  <c r="AL250" i="3"/>
  <c r="AM250" i="3"/>
  <c r="AN250" i="3"/>
  <c r="T251" i="3"/>
  <c r="AD251" i="3" s="1"/>
  <c r="V251" i="3"/>
  <c r="Y251" i="3"/>
  <c r="AE251" i="3"/>
  <c r="AF251" i="3"/>
  <c r="AG251" i="3" s="1"/>
  <c r="AH251" i="3"/>
  <c r="AI251" i="3" s="1"/>
  <c r="AK251" i="3"/>
  <c r="AM251" i="3"/>
  <c r="T252" i="3"/>
  <c r="AE252" i="3" s="1"/>
  <c r="V252" i="3"/>
  <c r="Y252" i="3"/>
  <c r="AD252" i="3"/>
  <c r="AN252" i="3" s="1"/>
  <c r="AF252" i="3"/>
  <c r="AG252" i="3" s="1"/>
  <c r="AK252" i="3"/>
  <c r="AM252" i="3"/>
  <c r="T253" i="3"/>
  <c r="V253" i="3"/>
  <c r="Y253" i="3"/>
  <c r="AD253" i="3"/>
  <c r="AE253" i="3"/>
  <c r="AF253" i="3"/>
  <c r="AG253" i="3"/>
  <c r="AH253" i="3"/>
  <c r="AI253" i="3" s="1"/>
  <c r="AK253" i="3"/>
  <c r="AM253" i="3"/>
  <c r="AN253" i="3" s="1"/>
  <c r="T254" i="3"/>
  <c r="V254" i="3"/>
  <c r="Y254" i="3"/>
  <c r="AF254" i="3"/>
  <c r="AG254" i="3" s="1"/>
  <c r="AK254" i="3"/>
  <c r="AM254" i="3"/>
  <c r="T255" i="3"/>
  <c r="AH255" i="3" s="1"/>
  <c r="AI255" i="3" s="1"/>
  <c r="V255" i="3"/>
  <c r="Y255" i="3"/>
  <c r="AE255" i="3"/>
  <c r="AF255" i="3"/>
  <c r="AG255" i="3"/>
  <c r="AK255" i="3"/>
  <c r="AM255" i="3"/>
  <c r="T256" i="3"/>
  <c r="AD256" i="3" s="1"/>
  <c r="V256" i="3"/>
  <c r="Y256" i="3"/>
  <c r="AF256" i="3"/>
  <c r="AG256" i="3" s="1"/>
  <c r="AH256" i="3"/>
  <c r="AI256" i="3" s="1"/>
  <c r="AK256" i="3"/>
  <c r="AM256" i="3"/>
  <c r="T257" i="3"/>
  <c r="AD257" i="3" s="1"/>
  <c r="AN257" i="3" s="1"/>
  <c r="V257" i="3"/>
  <c r="Y257" i="3"/>
  <c r="AE257" i="3"/>
  <c r="AF257" i="3"/>
  <c r="AG257" i="3"/>
  <c r="AH257" i="3"/>
  <c r="AI257" i="3"/>
  <c r="AK257" i="3"/>
  <c r="AM257" i="3"/>
  <c r="T258" i="3"/>
  <c r="AD258" i="3" s="1"/>
  <c r="V258" i="3"/>
  <c r="Y258" i="3"/>
  <c r="AF258" i="3"/>
  <c r="AG258" i="3" s="1"/>
  <c r="AL258" i="3" s="1"/>
  <c r="AH258" i="3"/>
  <c r="AI258" i="3" s="1"/>
  <c r="AJ258" i="3"/>
  <c r="AK258" i="3"/>
  <c r="AM258" i="3"/>
  <c r="T259" i="3"/>
  <c r="AE259" i="3" s="1"/>
  <c r="V259" i="3"/>
  <c r="Y259" i="3"/>
  <c r="AD259" i="3"/>
  <c r="AF259" i="3"/>
  <c r="AG259" i="3"/>
  <c r="AH259" i="3"/>
  <c r="AI259" i="3"/>
  <c r="AK259" i="3"/>
  <c r="AM259" i="3"/>
  <c r="AN259" i="3" s="1"/>
  <c r="T260" i="3"/>
  <c r="AD260" i="3" s="1"/>
  <c r="AN260" i="3" s="1"/>
  <c r="V260" i="3"/>
  <c r="Y260" i="3"/>
  <c r="AE260" i="3"/>
  <c r="AF260" i="3"/>
  <c r="AG260" i="3"/>
  <c r="AH260" i="3"/>
  <c r="AI260" i="3" s="1"/>
  <c r="AJ260" i="3" s="1"/>
  <c r="AK260" i="3"/>
  <c r="AL260" i="3"/>
  <c r="AM260" i="3"/>
  <c r="T261" i="3"/>
  <c r="AD261" i="3" s="1"/>
  <c r="V261" i="3"/>
  <c r="Y261" i="3"/>
  <c r="AF261" i="3"/>
  <c r="AG261" i="3" s="1"/>
  <c r="AK261" i="3"/>
  <c r="AM261" i="3"/>
  <c r="T262" i="3"/>
  <c r="V262" i="3"/>
  <c r="Y262" i="3"/>
  <c r="AD262" i="3"/>
  <c r="AE262" i="3"/>
  <c r="AF262" i="3"/>
  <c r="AG262" i="3"/>
  <c r="AJ262" i="3" s="1"/>
  <c r="AH262" i="3"/>
  <c r="AI262" i="3"/>
  <c r="AK262" i="3"/>
  <c r="AL262" i="3"/>
  <c r="AM262" i="3"/>
  <c r="AN262" i="3"/>
  <c r="T263" i="3"/>
  <c r="V263" i="3"/>
  <c r="Y263" i="3"/>
  <c r="AD263" i="3"/>
  <c r="AE263" i="3"/>
  <c r="AF263" i="3"/>
  <c r="AG263" i="3" s="1"/>
  <c r="AH263" i="3"/>
  <c r="AI263" i="3" s="1"/>
  <c r="AK263" i="3"/>
  <c r="AM263" i="3"/>
  <c r="AN263" i="3" s="1"/>
  <c r="T264" i="3"/>
  <c r="AE264" i="3" s="1"/>
  <c r="AN264" i="3" s="1"/>
  <c r="V264" i="3"/>
  <c r="Y264" i="3"/>
  <c r="AD264" i="3"/>
  <c r="AF264" i="3"/>
  <c r="AG264" i="3" s="1"/>
  <c r="AK264" i="3"/>
  <c r="AM264" i="3"/>
  <c r="T265" i="3"/>
  <c r="V265" i="3"/>
  <c r="Y265" i="3"/>
  <c r="AD265" i="3"/>
  <c r="AE265" i="3"/>
  <c r="AF265" i="3"/>
  <c r="AG265" i="3"/>
  <c r="AH265" i="3"/>
  <c r="AI265" i="3" s="1"/>
  <c r="AK265" i="3"/>
  <c r="AM265" i="3"/>
  <c r="T266" i="3"/>
  <c r="V266" i="3"/>
  <c r="Y266" i="3"/>
  <c r="AD266" i="3"/>
  <c r="AF266" i="3"/>
  <c r="AG266" i="3" s="1"/>
  <c r="AK266" i="3"/>
  <c r="AM266" i="3"/>
  <c r="T267" i="3"/>
  <c r="AH267" i="3" s="1"/>
  <c r="AI267" i="3" s="1"/>
  <c r="V267" i="3"/>
  <c r="Y267" i="3"/>
  <c r="AE267" i="3"/>
  <c r="AF267" i="3"/>
  <c r="AG267" i="3"/>
  <c r="AK267" i="3"/>
  <c r="AM267" i="3"/>
  <c r="T268" i="3"/>
  <c r="V268" i="3"/>
  <c r="Y268" i="3"/>
  <c r="AF268" i="3"/>
  <c r="AG268" i="3" s="1"/>
  <c r="AK268" i="3"/>
  <c r="AM268" i="3"/>
  <c r="T269" i="3"/>
  <c r="AD269" i="3" s="1"/>
  <c r="V269" i="3"/>
  <c r="Y269" i="3"/>
  <c r="AE269" i="3"/>
  <c r="AF269" i="3"/>
  <c r="AG269" i="3"/>
  <c r="AH269" i="3"/>
  <c r="AI269" i="3"/>
  <c r="AK269" i="3"/>
  <c r="AM269" i="3"/>
  <c r="AN269" i="3"/>
  <c r="T270" i="3"/>
  <c r="AD270" i="3" s="1"/>
  <c r="V270" i="3"/>
  <c r="Y270" i="3"/>
  <c r="AF270" i="3"/>
  <c r="AG270" i="3" s="1"/>
  <c r="AH270" i="3"/>
  <c r="AI270" i="3" s="1"/>
  <c r="AJ270" i="3"/>
  <c r="AK270" i="3"/>
  <c r="AM270" i="3"/>
  <c r="T271" i="3"/>
  <c r="AE271" i="3" s="1"/>
  <c r="V271" i="3"/>
  <c r="Y271" i="3"/>
  <c r="AD271" i="3"/>
  <c r="AF271" i="3"/>
  <c r="AG271" i="3"/>
  <c r="AH271" i="3"/>
  <c r="AI271" i="3"/>
  <c r="AK271" i="3"/>
  <c r="AM271" i="3"/>
  <c r="T272" i="3"/>
  <c r="AD272" i="3" s="1"/>
  <c r="AN272" i="3" s="1"/>
  <c r="V272" i="3"/>
  <c r="Y272" i="3"/>
  <c r="AE272" i="3"/>
  <c r="AF272" i="3"/>
  <c r="AG272" i="3"/>
  <c r="AH272" i="3"/>
  <c r="AI272" i="3" s="1"/>
  <c r="AJ272" i="3"/>
  <c r="AK272" i="3"/>
  <c r="AL272" i="3"/>
  <c r="AM272" i="3"/>
  <c r="T273" i="3"/>
  <c r="V273" i="3"/>
  <c r="Y273" i="3"/>
  <c r="AF273" i="3"/>
  <c r="AG273" i="3" s="1"/>
  <c r="AK273" i="3"/>
  <c r="AM273" i="3"/>
  <c r="T274" i="3"/>
  <c r="V274" i="3"/>
  <c r="Y274" i="3"/>
  <c r="AD274" i="3"/>
  <c r="AE274" i="3"/>
  <c r="AF274" i="3"/>
  <c r="AG274" i="3"/>
  <c r="AH274" i="3"/>
  <c r="AI274" i="3"/>
  <c r="AJ274" i="3"/>
  <c r="AK274" i="3"/>
  <c r="AL274" i="3"/>
  <c r="AM274" i="3"/>
  <c r="AN274" i="3"/>
  <c r="T275" i="3"/>
  <c r="V275" i="3"/>
  <c r="Y275" i="3"/>
  <c r="AD275" i="3"/>
  <c r="AE275" i="3"/>
  <c r="AF275" i="3"/>
  <c r="AG275" i="3" s="1"/>
  <c r="AH275" i="3"/>
  <c r="AI275" i="3" s="1"/>
  <c r="AK275" i="3"/>
  <c r="AM275" i="3"/>
  <c r="AN275" i="3" s="1"/>
  <c r="T276" i="3"/>
  <c r="AE276" i="3" s="1"/>
  <c r="V276" i="3"/>
  <c r="Y276" i="3"/>
  <c r="AD276" i="3"/>
  <c r="AF276" i="3"/>
  <c r="AG276" i="3" s="1"/>
  <c r="AK276" i="3"/>
  <c r="AM276" i="3"/>
  <c r="AN276" i="3" s="1"/>
  <c r="T277" i="3"/>
  <c r="AH277" i="3" s="1"/>
  <c r="AI277" i="3" s="1"/>
  <c r="AL277" i="3" s="1"/>
  <c r="V277" i="3"/>
  <c r="Y277" i="3"/>
  <c r="AD277" i="3"/>
  <c r="AE277" i="3"/>
  <c r="AF277" i="3"/>
  <c r="AG277" i="3"/>
  <c r="AJ277" i="3"/>
  <c r="AK277" i="3"/>
  <c r="AM277" i="3"/>
  <c r="T278" i="3"/>
  <c r="AH278" i="3" s="1"/>
  <c r="AI278" i="3" s="1"/>
  <c r="V278" i="3"/>
  <c r="Y278" i="3"/>
  <c r="AD278" i="3"/>
  <c r="AE278" i="3"/>
  <c r="AF278" i="3"/>
  <c r="AG278" i="3" s="1"/>
  <c r="AK278" i="3"/>
  <c r="AM278" i="3"/>
  <c r="AN278" i="3" s="1"/>
  <c r="T279" i="3"/>
  <c r="AH279" i="3" s="1"/>
  <c r="AI279" i="3" s="1"/>
  <c r="V279" i="3"/>
  <c r="Y279" i="3"/>
  <c r="AD279" i="3"/>
  <c r="AF279" i="3"/>
  <c r="AG279" i="3"/>
  <c r="AK279" i="3"/>
  <c r="AL279" i="3"/>
  <c r="AM279" i="3"/>
  <c r="T280" i="3"/>
  <c r="AD280" i="3" s="1"/>
  <c r="V280" i="3"/>
  <c r="Y280" i="3"/>
  <c r="AF280" i="3"/>
  <c r="AG280" i="3"/>
  <c r="AK280" i="3"/>
  <c r="AM280" i="3"/>
  <c r="T281" i="3"/>
  <c r="V281" i="3"/>
  <c r="Y281" i="3"/>
  <c r="AD281" i="3"/>
  <c r="AN281" i="3" s="1"/>
  <c r="AE281" i="3"/>
  <c r="AF281" i="3"/>
  <c r="AG281" i="3"/>
  <c r="AH281" i="3"/>
  <c r="AI281" i="3"/>
  <c r="AK281" i="3"/>
  <c r="AM281" i="3"/>
  <c r="T282" i="3"/>
  <c r="AD282" i="3" s="1"/>
  <c r="V282" i="3"/>
  <c r="Y282" i="3"/>
  <c r="AF282" i="3"/>
  <c r="AG282" i="3"/>
  <c r="AK282" i="3"/>
  <c r="AM282" i="3"/>
  <c r="T283" i="3"/>
  <c r="AE283" i="3" s="1"/>
  <c r="V283" i="3"/>
  <c r="Y283" i="3"/>
  <c r="AF283" i="3"/>
  <c r="AG283" i="3" s="1"/>
  <c r="AK283" i="3"/>
  <c r="AM283" i="3"/>
  <c r="T284" i="3"/>
  <c r="AD284" i="3" s="1"/>
  <c r="V284" i="3"/>
  <c r="Y284" i="3"/>
  <c r="AE284" i="3"/>
  <c r="AN284" i="3" s="1"/>
  <c r="AF284" i="3"/>
  <c r="AG284" i="3"/>
  <c r="AH284" i="3"/>
  <c r="AI284" i="3"/>
  <c r="AJ284" i="3" s="1"/>
  <c r="AK284" i="3"/>
  <c r="AM284" i="3"/>
  <c r="T285" i="3"/>
  <c r="V285" i="3"/>
  <c r="Y285" i="3"/>
  <c r="AF285" i="3"/>
  <c r="AG285" i="3" s="1"/>
  <c r="AK285" i="3"/>
  <c r="AM285" i="3"/>
  <c r="T286" i="3"/>
  <c r="V286" i="3"/>
  <c r="Y286" i="3"/>
  <c r="AD286" i="3"/>
  <c r="AE286" i="3"/>
  <c r="AF286" i="3"/>
  <c r="AG286" i="3"/>
  <c r="AH286" i="3"/>
  <c r="AI286" i="3"/>
  <c r="AJ286" i="3" s="1"/>
  <c r="AK286" i="3"/>
  <c r="AM286" i="3"/>
  <c r="AN286" i="3" s="1"/>
  <c r="T287" i="3"/>
  <c r="V287" i="3"/>
  <c r="Y287" i="3"/>
  <c r="AD287" i="3"/>
  <c r="AE287" i="3"/>
  <c r="AN287" i="3" s="1"/>
  <c r="AF287" i="3"/>
  <c r="AG287" i="3" s="1"/>
  <c r="AH287" i="3"/>
  <c r="AI287" i="3" s="1"/>
  <c r="AJ287" i="3"/>
  <c r="AK287" i="3"/>
  <c r="AL287" i="3"/>
  <c r="AM287" i="3"/>
  <c r="T288" i="3"/>
  <c r="V288" i="3"/>
  <c r="Y288" i="3"/>
  <c r="AD288" i="3"/>
  <c r="AF288" i="3"/>
  <c r="AG288" i="3" s="1"/>
  <c r="AK288" i="3"/>
  <c r="AM288" i="3"/>
  <c r="T289" i="3"/>
  <c r="AH289" i="3" s="1"/>
  <c r="AI289" i="3" s="1"/>
  <c r="V289" i="3"/>
  <c r="Y289" i="3"/>
  <c r="AD289" i="3"/>
  <c r="AE289" i="3"/>
  <c r="AF289" i="3"/>
  <c r="AG289" i="3"/>
  <c r="AJ289" i="3"/>
  <c r="AK289" i="3"/>
  <c r="AL289" i="3"/>
  <c r="AM289" i="3"/>
  <c r="AN289" i="3" s="1"/>
  <c r="T290" i="3"/>
  <c r="AH290" i="3" s="1"/>
  <c r="AI290" i="3" s="1"/>
  <c r="V290" i="3"/>
  <c r="Y290" i="3"/>
  <c r="AD290" i="3"/>
  <c r="AN290" i="3" s="1"/>
  <c r="AE290" i="3"/>
  <c r="AF290" i="3"/>
  <c r="AG290" i="3" s="1"/>
  <c r="AK290" i="3"/>
  <c r="AM290" i="3"/>
  <c r="T291" i="3"/>
  <c r="AH291" i="3" s="1"/>
  <c r="V291" i="3"/>
  <c r="Y291" i="3"/>
  <c r="AE291" i="3"/>
  <c r="AF291" i="3"/>
  <c r="AG291" i="3"/>
  <c r="AJ291" i="3" s="1"/>
  <c r="AI291" i="3"/>
  <c r="AK291" i="3"/>
  <c r="AL291" i="3"/>
  <c r="AM291" i="3"/>
  <c r="T292" i="3"/>
  <c r="V292" i="3"/>
  <c r="Y292" i="3"/>
  <c r="AD292" i="3"/>
  <c r="AE292" i="3"/>
  <c r="AF292" i="3"/>
  <c r="AG292" i="3" s="1"/>
  <c r="AH292" i="3"/>
  <c r="AI292" i="3" s="1"/>
  <c r="AK292" i="3"/>
  <c r="AM292" i="3"/>
  <c r="T293" i="3"/>
  <c r="AD293" i="3" s="1"/>
  <c r="V293" i="3"/>
  <c r="Y293" i="3"/>
  <c r="AF293" i="3"/>
  <c r="AG293" i="3" s="1"/>
  <c r="AK293" i="3"/>
  <c r="AM293" i="3"/>
  <c r="T294" i="3"/>
  <c r="AD294" i="3" s="1"/>
  <c r="V294" i="3"/>
  <c r="Y294" i="3"/>
  <c r="AF294" i="3"/>
  <c r="AG294" i="3" s="1"/>
  <c r="AH294" i="3"/>
  <c r="AI294" i="3" s="1"/>
  <c r="AK294" i="3"/>
  <c r="AM294" i="3"/>
  <c r="T295" i="3"/>
  <c r="V295" i="3"/>
  <c r="Y295" i="3"/>
  <c r="AD295" i="3"/>
  <c r="AE295" i="3"/>
  <c r="AF295" i="3"/>
  <c r="AG295" i="3"/>
  <c r="AH295" i="3"/>
  <c r="AI295" i="3" s="1"/>
  <c r="AK295" i="3"/>
  <c r="AM295" i="3"/>
  <c r="T296" i="3"/>
  <c r="AD296" i="3" s="1"/>
  <c r="V296" i="3"/>
  <c r="Y296" i="3"/>
  <c r="AF296" i="3"/>
  <c r="AG296" i="3" s="1"/>
  <c r="AK296" i="3"/>
  <c r="AM296" i="3"/>
  <c r="T297" i="3"/>
  <c r="AD297" i="3" s="1"/>
  <c r="V297" i="3"/>
  <c r="Y297" i="3"/>
  <c r="AE297" i="3"/>
  <c r="AF297" i="3"/>
  <c r="AG297" i="3"/>
  <c r="AH297" i="3"/>
  <c r="AI297" i="3" s="1"/>
  <c r="AJ297" i="3" s="1"/>
  <c r="AK297" i="3"/>
  <c r="AM297" i="3"/>
  <c r="T298" i="3"/>
  <c r="AD298" i="3" s="1"/>
  <c r="V298" i="3"/>
  <c r="Y298" i="3"/>
  <c r="AF298" i="3"/>
  <c r="AG298" i="3" s="1"/>
  <c r="AH298" i="3"/>
  <c r="AI298" i="3" s="1"/>
  <c r="AK298" i="3"/>
  <c r="AM298" i="3"/>
  <c r="T299" i="3"/>
  <c r="V299" i="3"/>
  <c r="Y299" i="3"/>
  <c r="AD299" i="3"/>
  <c r="AE299" i="3"/>
  <c r="AF299" i="3"/>
  <c r="AG299" i="3"/>
  <c r="AJ299" i="3" s="1"/>
  <c r="AH299" i="3"/>
  <c r="AI299" i="3"/>
  <c r="AK299" i="3"/>
  <c r="AL299" i="3"/>
  <c r="AM299" i="3"/>
  <c r="AN299" i="3"/>
  <c r="T300" i="3"/>
  <c r="AD300" i="3" s="1"/>
  <c r="V300" i="3"/>
  <c r="Y300" i="3"/>
  <c r="AF300" i="3"/>
  <c r="AG300" i="3" s="1"/>
  <c r="AH300" i="3"/>
  <c r="AI300" i="3" s="1"/>
  <c r="AK300" i="3"/>
  <c r="AM300" i="3"/>
  <c r="T301" i="3"/>
  <c r="V301" i="3"/>
  <c r="Y301" i="3"/>
  <c r="AD301" i="3"/>
  <c r="AN301" i="3" s="1"/>
  <c r="AE301" i="3"/>
  <c r="AF301" i="3"/>
  <c r="AG301" i="3"/>
  <c r="AJ301" i="3" s="1"/>
  <c r="AH301" i="3"/>
  <c r="AI301" i="3"/>
  <c r="AL301" i="3" s="1"/>
  <c r="AK301" i="3"/>
  <c r="AM301" i="3"/>
  <c r="T302" i="3"/>
  <c r="V302" i="3"/>
  <c r="Y302" i="3"/>
  <c r="AD302" i="3"/>
  <c r="AE302" i="3"/>
  <c r="AF302" i="3"/>
  <c r="AG302" i="3" s="1"/>
  <c r="AH302" i="3"/>
  <c r="AI302" i="3" s="1"/>
  <c r="AK302" i="3"/>
  <c r="AM302" i="3"/>
  <c r="AN302" i="3" s="1"/>
  <c r="T303" i="3"/>
  <c r="V303" i="3"/>
  <c r="Y303" i="3"/>
  <c r="AF303" i="3"/>
  <c r="AG303" i="3" s="1"/>
  <c r="AK303" i="3"/>
  <c r="AM303" i="3"/>
  <c r="T304" i="3"/>
  <c r="AH304" i="3" s="1"/>
  <c r="AI304" i="3" s="1"/>
  <c r="V304" i="3"/>
  <c r="Y304" i="3"/>
  <c r="AF304" i="3"/>
  <c r="AG304" i="3"/>
  <c r="AK304" i="3"/>
  <c r="AM304" i="3"/>
  <c r="T305" i="3"/>
  <c r="AD305" i="3" s="1"/>
  <c r="V305" i="3"/>
  <c r="Y305" i="3"/>
  <c r="AF305" i="3"/>
  <c r="AG305" i="3"/>
  <c r="AH305" i="3"/>
  <c r="AI305" i="3" s="1"/>
  <c r="AK305" i="3"/>
  <c r="AM305" i="3"/>
  <c r="T306" i="3"/>
  <c r="V306" i="3"/>
  <c r="Y306" i="3"/>
  <c r="AD306" i="3"/>
  <c r="AE306" i="3"/>
  <c r="AF306" i="3"/>
  <c r="AG306" i="3"/>
  <c r="AH306" i="3"/>
  <c r="AI306" i="3"/>
  <c r="AK306" i="3"/>
  <c r="AM306" i="3"/>
  <c r="AN306" i="3"/>
  <c r="T307" i="3"/>
  <c r="AD307" i="3" s="1"/>
  <c r="V307" i="3"/>
  <c r="Y307" i="3"/>
  <c r="AE307" i="3"/>
  <c r="AF307" i="3"/>
  <c r="AG307" i="3" s="1"/>
  <c r="AL307" i="3" s="1"/>
  <c r="AH307" i="3"/>
  <c r="AI307" i="3"/>
  <c r="AK307" i="3"/>
  <c r="AM307" i="3"/>
  <c r="AN307" i="3" s="1"/>
  <c r="T308" i="3"/>
  <c r="AE308" i="3" s="1"/>
  <c r="V308" i="3"/>
  <c r="Y308" i="3"/>
  <c r="AD308" i="3"/>
  <c r="AN308" i="3" s="1"/>
  <c r="AF308" i="3"/>
  <c r="AG308" i="3" s="1"/>
  <c r="AK308" i="3"/>
  <c r="AM308" i="3"/>
  <c r="T309" i="3"/>
  <c r="AD309" i="3" s="1"/>
  <c r="V309" i="3"/>
  <c r="Y309" i="3"/>
  <c r="AE309" i="3"/>
  <c r="AF309" i="3"/>
  <c r="AG309" i="3"/>
  <c r="AH309" i="3"/>
  <c r="AI309" i="3" s="1"/>
  <c r="AJ309" i="3" s="1"/>
  <c r="AK309" i="3"/>
  <c r="AL309" i="3"/>
  <c r="AM309" i="3"/>
  <c r="AN309" i="3" s="1"/>
  <c r="T310" i="3"/>
  <c r="AD310" i="3" s="1"/>
  <c r="V310" i="3"/>
  <c r="Y310" i="3"/>
  <c r="AF310" i="3"/>
  <c r="AG310" i="3" s="1"/>
  <c r="AK310" i="3"/>
  <c r="AM310" i="3"/>
  <c r="T311" i="3"/>
  <c r="V311" i="3"/>
  <c r="Y311" i="3"/>
  <c r="AD311" i="3"/>
  <c r="AE311" i="3"/>
  <c r="AF311" i="3"/>
  <c r="AG311" i="3"/>
  <c r="AJ311" i="3" s="1"/>
  <c r="AH311" i="3"/>
  <c r="AI311" i="3"/>
  <c r="AK311" i="3"/>
  <c r="AL311" i="3"/>
  <c r="AM311" i="3"/>
  <c r="AN311" i="3"/>
  <c r="T312" i="3"/>
  <c r="AD312" i="3" s="1"/>
  <c r="V312" i="3"/>
  <c r="Y312" i="3"/>
  <c r="AF312" i="3"/>
  <c r="AG312" i="3" s="1"/>
  <c r="AH312" i="3"/>
  <c r="AI312" i="3" s="1"/>
  <c r="AK312" i="3"/>
  <c r="AM312" i="3"/>
  <c r="T313" i="3"/>
  <c r="AH313" i="3" s="1"/>
  <c r="AI313" i="3" s="1"/>
  <c r="AL313" i="3" s="1"/>
  <c r="V313" i="3"/>
  <c r="Y313" i="3"/>
  <c r="AD313" i="3"/>
  <c r="AN313" i="3" s="1"/>
  <c r="AE313" i="3"/>
  <c r="AF313" i="3"/>
  <c r="AG313" i="3"/>
  <c r="AJ313" i="3" s="1"/>
  <c r="AK313" i="3"/>
  <c r="AM313" i="3"/>
  <c r="T314" i="3"/>
  <c r="V314" i="3"/>
  <c r="Y314" i="3"/>
  <c r="AD314" i="3"/>
  <c r="AE314" i="3"/>
  <c r="AF314" i="3"/>
  <c r="AG314" i="3" s="1"/>
  <c r="AH314" i="3"/>
  <c r="AI314" i="3" s="1"/>
  <c r="AK314" i="3"/>
  <c r="AM314" i="3"/>
  <c r="AN314" i="3" s="1"/>
  <c r="T315" i="3"/>
  <c r="V315" i="3"/>
  <c r="Y315" i="3"/>
  <c r="AF315" i="3"/>
  <c r="AG315" i="3" s="1"/>
  <c r="AK315" i="3"/>
  <c r="AM315" i="3"/>
  <c r="T316" i="3"/>
  <c r="AH316" i="3" s="1"/>
  <c r="AI316" i="3" s="1"/>
  <c r="V316" i="3"/>
  <c r="Y316" i="3"/>
  <c r="AF316" i="3"/>
  <c r="AG316" i="3"/>
  <c r="AK316" i="3"/>
  <c r="AM316" i="3"/>
  <c r="T317" i="3"/>
  <c r="AD317" i="3" s="1"/>
  <c r="V317" i="3"/>
  <c r="Y317" i="3"/>
  <c r="AF317" i="3"/>
  <c r="AG317" i="3"/>
  <c r="AH317" i="3"/>
  <c r="AI317" i="3" s="1"/>
  <c r="AK317" i="3"/>
  <c r="AM317" i="3"/>
  <c r="T318" i="3"/>
  <c r="V318" i="3"/>
  <c r="Y318" i="3"/>
  <c r="AD318" i="3"/>
  <c r="AE318" i="3"/>
  <c r="AF318" i="3"/>
  <c r="AG318" i="3"/>
  <c r="AH318" i="3"/>
  <c r="AI318" i="3"/>
  <c r="AK318" i="3"/>
  <c r="AM318" i="3"/>
  <c r="AN318" i="3"/>
  <c r="T319" i="3"/>
  <c r="AD319" i="3" s="1"/>
  <c r="V319" i="3"/>
  <c r="Y319" i="3"/>
  <c r="AE319" i="3"/>
  <c r="AF319" i="3"/>
  <c r="AG319" i="3" s="1"/>
  <c r="AH319" i="3"/>
  <c r="AI319" i="3"/>
  <c r="AJ319" i="3" s="1"/>
  <c r="AK319" i="3"/>
  <c r="AM319" i="3"/>
  <c r="T320" i="3"/>
  <c r="AE320" i="3" s="1"/>
  <c r="V320" i="3"/>
  <c r="Y320" i="3"/>
  <c r="AD320" i="3"/>
  <c r="AN320" i="3" s="1"/>
  <c r="AF320" i="3"/>
  <c r="AG320" i="3" s="1"/>
  <c r="AK320" i="3"/>
  <c r="AM320" i="3"/>
  <c r="T321" i="3"/>
  <c r="AD321" i="3" s="1"/>
  <c r="V321" i="3"/>
  <c r="Y321" i="3"/>
  <c r="AE321" i="3"/>
  <c r="AF321" i="3"/>
  <c r="AG321" i="3"/>
  <c r="AH321" i="3"/>
  <c r="AI321" i="3" s="1"/>
  <c r="AJ321" i="3"/>
  <c r="AK321" i="3"/>
  <c r="AL321" i="3"/>
  <c r="AM321" i="3"/>
  <c r="T322" i="3"/>
  <c r="V322" i="3"/>
  <c r="Y322" i="3"/>
  <c r="AF322" i="3"/>
  <c r="AG322" i="3" s="1"/>
  <c r="AH322" i="3"/>
  <c r="AI322" i="3" s="1"/>
  <c r="AL322" i="3" s="1"/>
  <c r="AK322" i="3"/>
  <c r="AM322" i="3"/>
  <c r="T323" i="3"/>
  <c r="V323" i="3"/>
  <c r="Y323" i="3"/>
  <c r="AD323" i="3"/>
  <c r="AE323" i="3"/>
  <c r="AF323" i="3"/>
  <c r="AG323" i="3"/>
  <c r="AJ323" i="3" s="1"/>
  <c r="AH323" i="3"/>
  <c r="AI323" i="3"/>
  <c r="AK323" i="3"/>
  <c r="AM323" i="3"/>
  <c r="AN323" i="3"/>
  <c r="T324" i="3"/>
  <c r="AD324" i="3" s="1"/>
  <c r="V324" i="3"/>
  <c r="Y324" i="3"/>
  <c r="AF324" i="3"/>
  <c r="AG324" i="3" s="1"/>
  <c r="AL324" i="3" s="1"/>
  <c r="AH324" i="3"/>
  <c r="AI324" i="3" s="1"/>
  <c r="AJ324" i="3"/>
  <c r="AK324" i="3"/>
  <c r="AM324" i="3"/>
  <c r="T325" i="3"/>
  <c r="AH325" i="3" s="1"/>
  <c r="AI325" i="3" s="1"/>
  <c r="AL325" i="3" s="1"/>
  <c r="V325" i="3"/>
  <c r="Y325" i="3"/>
  <c r="AD325" i="3"/>
  <c r="AE325" i="3"/>
  <c r="AF325" i="3"/>
  <c r="AG325" i="3"/>
  <c r="AK325" i="3"/>
  <c r="AM325" i="3"/>
  <c r="AN325" i="3"/>
  <c r="T326" i="3"/>
  <c r="V326" i="3"/>
  <c r="Y326" i="3"/>
  <c r="AD326" i="3"/>
  <c r="AE326" i="3"/>
  <c r="AF326" i="3"/>
  <c r="AG326" i="3" s="1"/>
  <c r="AJ326" i="3" s="1"/>
  <c r="AH326" i="3"/>
  <c r="AI326" i="3" s="1"/>
  <c r="AK326" i="3"/>
  <c r="AL326" i="3"/>
  <c r="AM326" i="3"/>
  <c r="T327" i="3"/>
  <c r="AH327" i="3" s="1"/>
  <c r="AI327" i="3" s="1"/>
  <c r="V327" i="3"/>
  <c r="Y327" i="3"/>
  <c r="AD327" i="3"/>
  <c r="AE327" i="3"/>
  <c r="AF327" i="3"/>
  <c r="AG327" i="3" s="1"/>
  <c r="AK327" i="3"/>
  <c r="AM327" i="3"/>
  <c r="AN327" i="3" s="1"/>
  <c r="T328" i="3"/>
  <c r="V328" i="3"/>
  <c r="Y328" i="3"/>
  <c r="AE328" i="3"/>
  <c r="AF328" i="3"/>
  <c r="AG328" i="3" s="1"/>
  <c r="AK328" i="3"/>
  <c r="AM328" i="3"/>
  <c r="T329" i="3"/>
  <c r="AE329" i="3" s="1"/>
  <c r="V329" i="3"/>
  <c r="Y329" i="3"/>
  <c r="AF329" i="3"/>
  <c r="AG329" i="3" s="1"/>
  <c r="AK329" i="3"/>
  <c r="AM329" i="3"/>
  <c r="T330" i="3"/>
  <c r="V330" i="3"/>
  <c r="Y330" i="3"/>
  <c r="AD330" i="3"/>
  <c r="AE330" i="3"/>
  <c r="AF330" i="3"/>
  <c r="AG330" i="3"/>
  <c r="AH330" i="3"/>
  <c r="AI330" i="3"/>
  <c r="AK330" i="3"/>
  <c r="AM330" i="3"/>
  <c r="AN330" i="3"/>
  <c r="T331" i="3"/>
  <c r="AD331" i="3" s="1"/>
  <c r="V331" i="3"/>
  <c r="Y331" i="3"/>
  <c r="AE331" i="3"/>
  <c r="AF331" i="3"/>
  <c r="AG331" i="3" s="1"/>
  <c r="AL331" i="3" s="1"/>
  <c r="AH331" i="3"/>
  <c r="AI331" i="3"/>
  <c r="AJ331" i="3"/>
  <c r="AK331" i="3"/>
  <c r="AM331" i="3"/>
  <c r="T332" i="3"/>
  <c r="V332" i="3"/>
  <c r="Y332" i="3"/>
  <c r="AD332" i="3"/>
  <c r="AF332" i="3"/>
  <c r="AG332" i="3"/>
  <c r="AK332" i="3"/>
  <c r="AM332" i="3"/>
  <c r="T333" i="3"/>
  <c r="AD333" i="3" s="1"/>
  <c r="V333" i="3"/>
  <c r="Y333" i="3"/>
  <c r="AE333" i="3"/>
  <c r="AF333" i="3"/>
  <c r="AG333" i="3"/>
  <c r="AJ333" i="3" s="1"/>
  <c r="AH333" i="3"/>
  <c r="AI333" i="3" s="1"/>
  <c r="AK333" i="3"/>
  <c r="AL333" i="3"/>
  <c r="AM333" i="3"/>
  <c r="T334" i="3"/>
  <c r="V334" i="3"/>
  <c r="Y334" i="3"/>
  <c r="AF334" i="3"/>
  <c r="AG334" i="3" s="1"/>
  <c r="AK334" i="3"/>
  <c r="AM334" i="3"/>
  <c r="T335" i="3"/>
  <c r="V335" i="3"/>
  <c r="Y335" i="3"/>
  <c r="AD335" i="3"/>
  <c r="AN335" i="3" s="1"/>
  <c r="AE335" i="3"/>
  <c r="AF335" i="3"/>
  <c r="AG335" i="3"/>
  <c r="AJ335" i="3" s="1"/>
  <c r="AH335" i="3"/>
  <c r="AI335" i="3"/>
  <c r="AK335" i="3"/>
  <c r="AM335" i="3"/>
  <c r="T336" i="3"/>
  <c r="AD336" i="3" s="1"/>
  <c r="V336" i="3"/>
  <c r="Y336" i="3"/>
  <c r="AF336" i="3"/>
  <c r="AG336" i="3" s="1"/>
  <c r="AK336" i="3"/>
  <c r="AM336" i="3"/>
  <c r="T337" i="3"/>
  <c r="AH337" i="3" s="1"/>
  <c r="V337" i="3"/>
  <c r="Y337" i="3"/>
  <c r="AD337" i="3"/>
  <c r="AN337" i="3" s="1"/>
  <c r="AE337" i="3"/>
  <c r="AF337" i="3"/>
  <c r="AG337" i="3" s="1"/>
  <c r="AI337" i="3"/>
  <c r="AK337" i="3"/>
  <c r="AM337" i="3"/>
  <c r="T338" i="3"/>
  <c r="AD338" i="3" s="1"/>
  <c r="V338" i="3"/>
  <c r="Y338" i="3"/>
  <c r="AF338" i="3"/>
  <c r="AG338" i="3"/>
  <c r="AJ338" i="3" s="1"/>
  <c r="AH338" i="3"/>
  <c r="AI338" i="3" s="1"/>
  <c r="AK338" i="3"/>
  <c r="AM338" i="3"/>
  <c r="T339" i="3"/>
  <c r="AD339" i="3" s="1"/>
  <c r="V339" i="3"/>
  <c r="Y339" i="3"/>
  <c r="AF339" i="3"/>
  <c r="AG339" i="3"/>
  <c r="AK339" i="3"/>
  <c r="AM339" i="3"/>
  <c r="T340" i="3"/>
  <c r="AD340" i="3" s="1"/>
  <c r="V340" i="3"/>
  <c r="Y340" i="3"/>
  <c r="AF340" i="3"/>
  <c r="AG340" i="3" s="1"/>
  <c r="AH340" i="3"/>
  <c r="AI340" i="3"/>
  <c r="AK340" i="3"/>
  <c r="AM340" i="3"/>
  <c r="T341" i="3"/>
  <c r="V341" i="3"/>
  <c r="Y341" i="3"/>
  <c r="AD341" i="3"/>
  <c r="AE341" i="3"/>
  <c r="AF341" i="3"/>
  <c r="AG341" i="3"/>
  <c r="AH341" i="3"/>
  <c r="AI341" i="3" s="1"/>
  <c r="AJ341" i="3" s="1"/>
  <c r="AK341" i="3"/>
  <c r="AM341" i="3"/>
  <c r="AN341" i="3"/>
  <c r="T342" i="3"/>
  <c r="AH342" i="3" s="1"/>
  <c r="AI342" i="3" s="1"/>
  <c r="V342" i="3"/>
  <c r="Y342" i="3"/>
  <c r="AD342" i="3"/>
  <c r="AE342" i="3"/>
  <c r="AF342" i="3"/>
  <c r="AG342" i="3"/>
  <c r="AK342" i="3"/>
  <c r="AM342" i="3"/>
  <c r="AN342" i="3" s="1"/>
  <c r="T343" i="3"/>
  <c r="AH343" i="3" s="1"/>
  <c r="AI343" i="3" s="1"/>
  <c r="V343" i="3"/>
  <c r="Y343" i="3"/>
  <c r="AF343" i="3"/>
  <c r="AG343" i="3" s="1"/>
  <c r="AK343" i="3"/>
  <c r="AM343" i="3"/>
  <c r="T344" i="3"/>
  <c r="AH344" i="3" s="1"/>
  <c r="AI344" i="3" s="1"/>
  <c r="V344" i="3"/>
  <c r="Y344" i="3"/>
  <c r="AF344" i="3"/>
  <c r="AG344" i="3"/>
  <c r="AK344" i="3"/>
  <c r="AM344" i="3"/>
  <c r="T345" i="3"/>
  <c r="AE345" i="3" s="1"/>
  <c r="V345" i="3"/>
  <c r="Y345" i="3"/>
  <c r="AD345" i="3"/>
  <c r="AF345" i="3"/>
  <c r="AG345" i="3"/>
  <c r="AH345" i="3"/>
  <c r="AI345" i="3" s="1"/>
  <c r="AK345" i="3"/>
  <c r="AM345" i="3"/>
  <c r="T346" i="3"/>
  <c r="V346" i="3"/>
  <c r="Y346" i="3"/>
  <c r="AD346" i="3"/>
  <c r="AN346" i="3" s="1"/>
  <c r="AE346" i="3"/>
  <c r="AF346" i="3"/>
  <c r="AG346" i="3"/>
  <c r="AJ346" i="3" s="1"/>
  <c r="AH346" i="3"/>
  <c r="AI346" i="3"/>
  <c r="AK346" i="3"/>
  <c r="AM346" i="3"/>
  <c r="T347" i="3"/>
  <c r="AD347" i="3" s="1"/>
  <c r="V347" i="3"/>
  <c r="Y347" i="3"/>
  <c r="AF347" i="3"/>
  <c r="AG347" i="3" s="1"/>
  <c r="AH347" i="3"/>
  <c r="AI347" i="3"/>
  <c r="AK347" i="3"/>
  <c r="AM347" i="3"/>
  <c r="T348" i="3"/>
  <c r="AD348" i="3" s="1"/>
  <c r="V348" i="3"/>
  <c r="Y348" i="3"/>
  <c r="AF348" i="3"/>
  <c r="AG348" i="3"/>
  <c r="AL348" i="3" s="1"/>
  <c r="AH348" i="3"/>
  <c r="AI348" i="3"/>
  <c r="AJ348" i="3"/>
  <c r="AK348" i="3"/>
  <c r="AM348" i="3"/>
  <c r="T349" i="3"/>
  <c r="AD349" i="3" s="1"/>
  <c r="AN349" i="3" s="1"/>
  <c r="V349" i="3"/>
  <c r="Y349" i="3"/>
  <c r="AE349" i="3"/>
  <c r="AF349" i="3"/>
  <c r="AG349" i="3"/>
  <c r="AH349" i="3"/>
  <c r="AI349" i="3" s="1"/>
  <c r="AK349" i="3"/>
  <c r="AM349" i="3"/>
  <c r="T350" i="3"/>
  <c r="AD350" i="3" s="1"/>
  <c r="V350" i="3"/>
  <c r="Y350" i="3"/>
  <c r="AF350" i="3"/>
  <c r="AG350" i="3" s="1"/>
  <c r="AH350" i="3"/>
  <c r="AI350" i="3"/>
  <c r="AK350" i="3"/>
  <c r="AM350" i="3"/>
  <c r="T351" i="3"/>
  <c r="V351" i="3"/>
  <c r="Y351" i="3"/>
  <c r="AD351" i="3"/>
  <c r="AE351" i="3"/>
  <c r="AF351" i="3"/>
  <c r="AG351" i="3"/>
  <c r="AH351" i="3"/>
  <c r="AI351" i="3"/>
  <c r="AJ351" i="3"/>
  <c r="AK351" i="3"/>
  <c r="AL351" i="3" s="1"/>
  <c r="AM351" i="3"/>
  <c r="AN351" i="3"/>
  <c r="N54" i="67" l="1"/>
  <c r="A8" i="34"/>
  <c r="X5" i="34" s="1"/>
  <c r="O54" i="67"/>
  <c r="AN104" i="22"/>
  <c r="AE105" i="22"/>
  <c r="AD105" i="22"/>
  <c r="AJ27" i="70"/>
  <c r="AJ25" i="70"/>
  <c r="AD39" i="70"/>
  <c r="AJ43" i="70"/>
  <c r="AN31" i="70"/>
  <c r="AJ37" i="70"/>
  <c r="AN35" i="70"/>
  <c r="AN39" i="70"/>
  <c r="AN34" i="70"/>
  <c r="AJ35" i="70"/>
  <c r="AH25" i="70"/>
  <c r="AI25" i="70" s="1"/>
  <c r="AH39" i="70"/>
  <c r="AI39" i="70" s="1"/>
  <c r="AL39" i="70" s="1"/>
  <c r="AE32" i="70"/>
  <c r="AN32" i="70" s="1"/>
  <c r="AN43" i="70"/>
  <c r="AN41" i="70"/>
  <c r="AE35" i="70"/>
  <c r="AE29" i="70"/>
  <c r="AN29" i="70" s="1"/>
  <c r="AE25" i="70"/>
  <c r="AN25" i="70" s="1"/>
  <c r="AN38" i="70"/>
  <c r="AH26" i="70"/>
  <c r="AI26" i="70" s="1"/>
  <c r="AJ26" i="70" s="1"/>
  <c r="AJ104" i="22"/>
  <c r="AL104" i="22"/>
  <c r="AJ105" i="22"/>
  <c r="AL105" i="22"/>
  <c r="AM105" i="22"/>
  <c r="AJ28" i="70"/>
  <c r="AL28" i="70"/>
  <c r="AJ45" i="70"/>
  <c r="AL45" i="70"/>
  <c r="AJ38" i="70"/>
  <c r="AL38" i="70"/>
  <c r="AJ32" i="70"/>
  <c r="AL32" i="70"/>
  <c r="AL29" i="70"/>
  <c r="AN23" i="70"/>
  <c r="AN40" i="70"/>
  <c r="AL33" i="70"/>
  <c r="AN37" i="70"/>
  <c r="AJ36" i="70"/>
  <c r="AL36" i="70"/>
  <c r="AN28" i="70"/>
  <c r="AJ44" i="70"/>
  <c r="AL44" i="70"/>
  <c r="AJ24" i="70"/>
  <c r="AL24" i="70"/>
  <c r="AL43" i="70"/>
  <c r="AE36" i="70"/>
  <c r="AL31" i="70"/>
  <c r="AE24" i="70"/>
  <c r="AH40" i="70"/>
  <c r="AI40" i="70" s="1"/>
  <c r="AJ40" i="70" s="1"/>
  <c r="AD36" i="70"/>
  <c r="AD24" i="70"/>
  <c r="AH41" i="70"/>
  <c r="AI41" i="70" s="1"/>
  <c r="AJ41" i="70" s="1"/>
  <c r="AH29" i="70"/>
  <c r="AI29" i="70" s="1"/>
  <c r="AJ29" i="70" s="1"/>
  <c r="AE26" i="70"/>
  <c r="AN26" i="70" s="1"/>
  <c r="AH42" i="70"/>
  <c r="AI42" i="70" s="1"/>
  <c r="AL42" i="70" s="1"/>
  <c r="AH30" i="70"/>
  <c r="AI30" i="70" s="1"/>
  <c r="AL30" i="70" s="1"/>
  <c r="AL35" i="70"/>
  <c r="AL23" i="70"/>
  <c r="AH45" i="70"/>
  <c r="AI45" i="70" s="1"/>
  <c r="AE42" i="70"/>
  <c r="AN42" i="70" s="1"/>
  <c r="AL37" i="70"/>
  <c r="AH33" i="70"/>
  <c r="AI33" i="70" s="1"/>
  <c r="AJ33" i="70" s="1"/>
  <c r="AE30" i="70"/>
  <c r="AN30" i="70" s="1"/>
  <c r="AL25" i="70"/>
  <c r="AH34" i="70"/>
  <c r="AI34" i="70" s="1"/>
  <c r="AJ34" i="70" s="1"/>
  <c r="AE45" i="70"/>
  <c r="AN45" i="70" s="1"/>
  <c r="AE33" i="70"/>
  <c r="AN33" i="70" s="1"/>
  <c r="AJ51" i="69"/>
  <c r="AL51" i="69"/>
  <c r="AJ56" i="69"/>
  <c r="AL38" i="69"/>
  <c r="AJ38" i="69"/>
  <c r="AJ41" i="69"/>
  <c r="AL41" i="69"/>
  <c r="AL44" i="69"/>
  <c r="AJ44" i="69"/>
  <c r="AL46" i="69"/>
  <c r="AJ53" i="69"/>
  <c r="AL53" i="69"/>
  <c r="AL39" i="69"/>
  <c r="AJ39" i="69"/>
  <c r="AL40" i="69"/>
  <c r="AL55" i="69"/>
  <c r="AJ55" i="69"/>
  <c r="AL37" i="69"/>
  <c r="AL43" i="69"/>
  <c r="AL50" i="69"/>
  <c r="AJ50" i="69"/>
  <c r="AL57" i="69"/>
  <c r="AJ57" i="69"/>
  <c r="AL45" i="69"/>
  <c r="AJ45" i="69"/>
  <c r="AJ52" i="69"/>
  <c r="AL52" i="69"/>
  <c r="AN41" i="69"/>
  <c r="AN58" i="69"/>
  <c r="AJ42" i="69"/>
  <c r="AL42" i="69"/>
  <c r="AN44" i="69"/>
  <c r="AN46" i="69"/>
  <c r="AJ54" i="69"/>
  <c r="AL54" i="69"/>
  <c r="AL47" i="69"/>
  <c r="AD44" i="69"/>
  <c r="AE45" i="69"/>
  <c r="AN45" i="69" s="1"/>
  <c r="AH48" i="69"/>
  <c r="AI48" i="69" s="1"/>
  <c r="AL48" i="69" s="1"/>
  <c r="AM53" i="69"/>
  <c r="AD56" i="69"/>
  <c r="AN56" i="69" s="1"/>
  <c r="AE57" i="69"/>
  <c r="AN57" i="69" s="1"/>
  <c r="AJ37" i="69"/>
  <c r="AH47" i="69"/>
  <c r="AI47" i="69" s="1"/>
  <c r="AJ47" i="69" s="1"/>
  <c r="AJ49" i="69"/>
  <c r="AH59" i="69"/>
  <c r="AI59" i="69" s="1"/>
  <c r="AL59" i="69" s="1"/>
  <c r="AN40" i="69"/>
  <c r="AM38" i="69"/>
  <c r="AE42" i="69"/>
  <c r="AN42" i="69" s="1"/>
  <c r="AH45" i="69"/>
  <c r="AI45" i="69" s="1"/>
  <c r="AM50" i="69"/>
  <c r="AN51" i="69"/>
  <c r="AE54" i="69"/>
  <c r="AN54" i="69" s="1"/>
  <c r="AH57" i="69"/>
  <c r="AI57" i="69" s="1"/>
  <c r="AH44" i="69"/>
  <c r="AI44" i="69" s="1"/>
  <c r="AJ46" i="69"/>
  <c r="AH56" i="69"/>
  <c r="AI56" i="69" s="1"/>
  <c r="AL56" i="69" s="1"/>
  <c r="AJ58" i="69"/>
  <c r="AN37" i="69"/>
  <c r="AD39" i="69"/>
  <c r="AN39" i="69" s="1"/>
  <c r="AM48" i="69"/>
  <c r="AN49" i="69"/>
  <c r="AD51" i="69"/>
  <c r="AE52" i="69"/>
  <c r="AN52" i="69" s="1"/>
  <c r="AD38" i="69"/>
  <c r="AE39" i="69"/>
  <c r="AM47" i="69"/>
  <c r="AD50" i="69"/>
  <c r="AE51" i="69"/>
  <c r="AM59" i="69"/>
  <c r="AJ43" i="69"/>
  <c r="AD48" i="69"/>
  <c r="AN340" i="3"/>
  <c r="AJ342" i="3"/>
  <c r="AL342" i="3"/>
  <c r="AN348" i="3"/>
  <c r="AJ345" i="3"/>
  <c r="AL350" i="3"/>
  <c r="AJ350" i="3"/>
  <c r="AJ337" i="3"/>
  <c r="AL337" i="3"/>
  <c r="AL334" i="3"/>
  <c r="AJ340" i="3"/>
  <c r="AL340" i="3"/>
  <c r="AN339" i="3"/>
  <c r="AL347" i="3"/>
  <c r="AJ347" i="3"/>
  <c r="AJ344" i="3"/>
  <c r="AN350" i="3"/>
  <c r="AJ343" i="3"/>
  <c r="AL343" i="3"/>
  <c r="AL349" i="3"/>
  <c r="AJ349" i="3"/>
  <c r="AN347" i="3"/>
  <c r="AN345" i="3"/>
  <c r="AJ327" i="3"/>
  <c r="AL327" i="3"/>
  <c r="AN319" i="3"/>
  <c r="AJ303" i="3"/>
  <c r="AE344" i="3"/>
  <c r="AD343" i="3"/>
  <c r="AD344" i="3"/>
  <c r="AH339" i="3"/>
  <c r="AI339" i="3" s="1"/>
  <c r="AL339" i="3" s="1"/>
  <c r="AE338" i="3"/>
  <c r="AN338" i="3" s="1"/>
  <c r="AJ314" i="3"/>
  <c r="AL314" i="3"/>
  <c r="AJ339" i="3"/>
  <c r="AH303" i="3"/>
  <c r="AI303" i="3" s="1"/>
  <c r="AL303" i="3" s="1"/>
  <c r="AD303" i="3"/>
  <c r="AN303" i="3" s="1"/>
  <c r="AE303" i="3"/>
  <c r="AJ298" i="3"/>
  <c r="AL298" i="3"/>
  <c r="AH336" i="3"/>
  <c r="AI336" i="3" s="1"/>
  <c r="AD334" i="3"/>
  <c r="AE334" i="3"/>
  <c r="AJ322" i="3"/>
  <c r="AL320" i="3"/>
  <c r="AJ317" i="3"/>
  <c r="AJ304" i="3"/>
  <c r="AL304" i="3"/>
  <c r="AJ294" i="3"/>
  <c r="AL294" i="3"/>
  <c r="AJ285" i="3"/>
  <c r="AJ316" i="3"/>
  <c r="AL316" i="3"/>
  <c r="AE347" i="3"/>
  <c r="AE348" i="3"/>
  <c r="AE339" i="3"/>
  <c r="AN333" i="3"/>
  <c r="AJ330" i="3"/>
  <c r="AL330" i="3"/>
  <c r="AN329" i="3"/>
  <c r="AL319" i="3"/>
  <c r="AJ318" i="3"/>
  <c r="AJ300" i="3"/>
  <c r="AL300" i="3"/>
  <c r="AJ295" i="3"/>
  <c r="AL295" i="3"/>
  <c r="AE336" i="3"/>
  <c r="AN336" i="3" s="1"/>
  <c r="AJ325" i="3"/>
  <c r="AL292" i="3"/>
  <c r="AJ292" i="3"/>
  <c r="AE350" i="3"/>
  <c r="AL345" i="3"/>
  <c r="AL341" i="3"/>
  <c r="AE340" i="3"/>
  <c r="AH329" i="3"/>
  <c r="AI329" i="3" s="1"/>
  <c r="AJ329" i="3" s="1"/>
  <c r="AH328" i="3"/>
  <c r="AI328" i="3" s="1"/>
  <c r="AJ328" i="3" s="1"/>
  <c r="AD328" i="3"/>
  <c r="AN328" i="3" s="1"/>
  <c r="AJ310" i="3"/>
  <c r="AJ302" i="3"/>
  <c r="AL302" i="3"/>
  <c r="AL344" i="3"/>
  <c r="AL346" i="3"/>
  <c r="AL338" i="3"/>
  <c r="AL335" i="3"/>
  <c r="AH334" i="3"/>
  <c r="AI334" i="3" s="1"/>
  <c r="AE332" i="3"/>
  <c r="AN332" i="3" s="1"/>
  <c r="AH332" i="3"/>
  <c r="AI332" i="3" s="1"/>
  <c r="AJ332" i="3" s="1"/>
  <c r="AL323" i="3"/>
  <c r="AJ307" i="3"/>
  <c r="AN297" i="3"/>
  <c r="AN292" i="3"/>
  <c r="AD268" i="3"/>
  <c r="AE268" i="3"/>
  <c r="AH268" i="3"/>
  <c r="AI268" i="3" s="1"/>
  <c r="AL293" i="3"/>
  <c r="AE343" i="3"/>
  <c r="AJ334" i="3"/>
  <c r="AD322" i="3"/>
  <c r="AN322" i="3" s="1"/>
  <c r="AE322" i="3"/>
  <c r="AJ305" i="3"/>
  <c r="AL297" i="3"/>
  <c r="AL283" i="3"/>
  <c r="AJ283" i="3"/>
  <c r="AN331" i="3"/>
  <c r="AD329" i="3"/>
  <c r="AN326" i="3"/>
  <c r="AN321" i="3"/>
  <c r="AH315" i="3"/>
  <c r="AI315" i="3" s="1"/>
  <c r="AJ315" i="3" s="1"/>
  <c r="AD315" i="3"/>
  <c r="AN315" i="3" s="1"/>
  <c r="AE315" i="3"/>
  <c r="AJ312" i="3"/>
  <c r="AL312" i="3"/>
  <c r="AJ306" i="3"/>
  <c r="AN277" i="3"/>
  <c r="AJ278" i="3"/>
  <c r="AL278" i="3"/>
  <c r="AJ275" i="3"/>
  <c r="AJ230" i="3"/>
  <c r="AL230" i="3"/>
  <c r="AE316" i="3"/>
  <c r="AE304" i="3"/>
  <c r="AJ281" i="3"/>
  <c r="AL281" i="3"/>
  <c r="AJ251" i="3"/>
  <c r="AL251" i="3"/>
  <c r="AJ244" i="3"/>
  <c r="AL244" i="3"/>
  <c r="AD233" i="3"/>
  <c r="AN233" i="3" s="1"/>
  <c r="AE233" i="3"/>
  <c r="AL224" i="3"/>
  <c r="AJ134" i="3"/>
  <c r="AH320" i="3"/>
  <c r="AI320" i="3" s="1"/>
  <c r="AJ320" i="3" s="1"/>
  <c r="AE317" i="3"/>
  <c r="AN317" i="3" s="1"/>
  <c r="AD316" i="3"/>
  <c r="AH308" i="3"/>
  <c r="AI308" i="3" s="1"/>
  <c r="AL308" i="3" s="1"/>
  <c r="AE305" i="3"/>
  <c r="AN305" i="3" s="1"/>
  <c r="AD304" i="3"/>
  <c r="AN304" i="3" s="1"/>
  <c r="AH296" i="3"/>
  <c r="AI296" i="3" s="1"/>
  <c r="AL296" i="3" s="1"/>
  <c r="AH293" i="3"/>
  <c r="AI293" i="3" s="1"/>
  <c r="AJ293" i="3" s="1"/>
  <c r="AD285" i="3"/>
  <c r="AN285" i="3" s="1"/>
  <c r="AE285" i="3"/>
  <c r="AH283" i="3"/>
  <c r="AI283" i="3" s="1"/>
  <c r="AD273" i="3"/>
  <c r="AE273" i="3"/>
  <c r="AN273" i="3" s="1"/>
  <c r="AH273" i="3"/>
  <c r="AI273" i="3" s="1"/>
  <c r="AL273" i="3" s="1"/>
  <c r="AJ267" i="3"/>
  <c r="AL267" i="3"/>
  <c r="AJ255" i="3"/>
  <c r="AL255" i="3"/>
  <c r="AH254" i="3"/>
  <c r="AI254" i="3" s="1"/>
  <c r="AJ254" i="3" s="1"/>
  <c r="AD254" i="3"/>
  <c r="AE254" i="3"/>
  <c r="AH280" i="3"/>
  <c r="AI280" i="3" s="1"/>
  <c r="AL280" i="3" s="1"/>
  <c r="AL259" i="3"/>
  <c r="AJ245" i="3"/>
  <c r="AJ234" i="3"/>
  <c r="AL234" i="3"/>
  <c r="AH310" i="3"/>
  <c r="AI310" i="3" s="1"/>
  <c r="AL310" i="3" s="1"/>
  <c r="AJ280" i="3"/>
  <c r="AH266" i="3"/>
  <c r="AI266" i="3" s="1"/>
  <c r="AJ266" i="3" s="1"/>
  <c r="AE266" i="3"/>
  <c r="AN266" i="3" s="1"/>
  <c r="AN247" i="3"/>
  <c r="AN239" i="3"/>
  <c r="AJ237" i="3"/>
  <c r="AJ232" i="3"/>
  <c r="AL232" i="3"/>
  <c r="AD222" i="3"/>
  <c r="AE222" i="3"/>
  <c r="AH222" i="3"/>
  <c r="AI222" i="3" s="1"/>
  <c r="AE296" i="3"/>
  <c r="AN296" i="3" s="1"/>
  <c r="AN295" i="3"/>
  <c r="AE293" i="3"/>
  <c r="AN293" i="3" s="1"/>
  <c r="AL286" i="3"/>
  <c r="AH285" i="3"/>
  <c r="AI285" i="3" s="1"/>
  <c r="AL285" i="3" s="1"/>
  <c r="AL284" i="3"/>
  <c r="AD283" i="3"/>
  <c r="AN271" i="3"/>
  <c r="AN268" i="3"/>
  <c r="AJ253" i="3"/>
  <c r="AL253" i="3"/>
  <c r="AL171" i="3"/>
  <c r="AJ171" i="3"/>
  <c r="AE280" i="3"/>
  <c r="AN280" i="3" s="1"/>
  <c r="AN265" i="3"/>
  <c r="AL208" i="3"/>
  <c r="AJ208" i="3"/>
  <c r="AL317" i="3"/>
  <c r="AE310" i="3"/>
  <c r="AN310" i="3" s="1"/>
  <c r="AL305" i="3"/>
  <c r="AE298" i="3"/>
  <c r="AN298" i="3" s="1"/>
  <c r="AD291" i="3"/>
  <c r="AN291" i="3" s="1"/>
  <c r="AE288" i="3"/>
  <c r="AN288" i="3" s="1"/>
  <c r="AH288" i="3"/>
  <c r="AI288" i="3" s="1"/>
  <c r="AJ288" i="3" s="1"/>
  <c r="AH282" i="3"/>
  <c r="AI282" i="3" s="1"/>
  <c r="AL282" i="3" s="1"/>
  <c r="AJ263" i="3"/>
  <c r="AL263" i="3"/>
  <c r="AJ243" i="3"/>
  <c r="AL243" i="3"/>
  <c r="AH242" i="3"/>
  <c r="AI242" i="3" s="1"/>
  <c r="AJ242" i="3" s="1"/>
  <c r="AD242" i="3"/>
  <c r="AN242" i="3" s="1"/>
  <c r="AE242" i="3"/>
  <c r="AD237" i="3"/>
  <c r="AN237" i="3" s="1"/>
  <c r="AE237" i="3"/>
  <c r="AL318" i="3"/>
  <c r="AL306" i="3"/>
  <c r="AJ279" i="3"/>
  <c r="AJ276" i="3"/>
  <c r="AJ273" i="3"/>
  <c r="AJ268" i="3"/>
  <c r="AL268" i="3"/>
  <c r="AJ265" i="3"/>
  <c r="AL265" i="3"/>
  <c r="AJ256" i="3"/>
  <c r="AL256" i="3"/>
  <c r="AL247" i="3"/>
  <c r="AN241" i="3"/>
  <c r="AN236" i="3"/>
  <c r="AN231" i="3"/>
  <c r="AE324" i="3"/>
  <c r="AN324" i="3" s="1"/>
  <c r="AE312" i="3"/>
  <c r="AN312" i="3" s="1"/>
  <c r="AE300" i="3"/>
  <c r="AN300" i="3" s="1"/>
  <c r="AE294" i="3"/>
  <c r="AN294" i="3" s="1"/>
  <c r="AL275" i="3"/>
  <c r="AL271" i="3"/>
  <c r="AJ271" i="3"/>
  <c r="AJ269" i="3"/>
  <c r="AL269" i="3"/>
  <c r="AJ264" i="3"/>
  <c r="AL264" i="3"/>
  <c r="AN258" i="3"/>
  <c r="AH233" i="3"/>
  <c r="AI233" i="3" s="1"/>
  <c r="AH228" i="3"/>
  <c r="AI228" i="3" s="1"/>
  <c r="AJ228" i="3" s="1"/>
  <c r="AD228" i="3"/>
  <c r="AE228" i="3"/>
  <c r="AJ290" i="3"/>
  <c r="AL290" i="3"/>
  <c r="AN283" i="3"/>
  <c r="AE282" i="3"/>
  <c r="AN282" i="3" s="1"/>
  <c r="AE279" i="3"/>
  <c r="AN279" i="3" s="1"/>
  <c r="AL270" i="3"/>
  <c r="AJ257" i="3"/>
  <c r="AN251" i="3"/>
  <c r="AJ241" i="3"/>
  <c r="AL241" i="3"/>
  <c r="AJ240" i="3"/>
  <c r="AL240" i="3"/>
  <c r="AJ233" i="3"/>
  <c r="AL233" i="3"/>
  <c r="AJ259" i="3"/>
  <c r="AJ224" i="3"/>
  <c r="AH203" i="3"/>
  <c r="AI203" i="3" s="1"/>
  <c r="AD203" i="3"/>
  <c r="AE203" i="3"/>
  <c r="AJ193" i="3"/>
  <c r="AN190" i="3"/>
  <c r="AD170" i="3"/>
  <c r="AE170" i="3"/>
  <c r="AH170" i="3"/>
  <c r="AI170" i="3" s="1"/>
  <c r="AJ170" i="3" s="1"/>
  <c r="AJ137" i="3"/>
  <c r="AL137" i="3"/>
  <c r="AL219" i="3"/>
  <c r="AH215" i="3"/>
  <c r="AI215" i="3" s="1"/>
  <c r="AD215" i="3"/>
  <c r="AJ211" i="3"/>
  <c r="AL211" i="3"/>
  <c r="AJ204" i="3"/>
  <c r="AL204" i="3"/>
  <c r="AJ184" i="3"/>
  <c r="AL184" i="3"/>
  <c r="AD267" i="3"/>
  <c r="AN267" i="3" s="1"/>
  <c r="AE256" i="3"/>
  <c r="AN256" i="3" s="1"/>
  <c r="AD255" i="3"/>
  <c r="AN255" i="3" s="1"/>
  <c r="AE244" i="3"/>
  <c r="AN244" i="3" s="1"/>
  <c r="AD243" i="3"/>
  <c r="AN243" i="3" s="1"/>
  <c r="AJ194" i="3"/>
  <c r="AN186" i="3"/>
  <c r="AN166" i="3"/>
  <c r="AJ191" i="3"/>
  <c r="AL191" i="3"/>
  <c r="AJ190" i="3"/>
  <c r="AL190" i="3"/>
  <c r="AE270" i="3"/>
  <c r="AN270" i="3" s="1"/>
  <c r="AH261" i="3"/>
  <c r="AI261" i="3" s="1"/>
  <c r="AJ261" i="3" s="1"/>
  <c r="AE258" i="3"/>
  <c r="AH249" i="3"/>
  <c r="AI249" i="3" s="1"/>
  <c r="AJ249" i="3" s="1"/>
  <c r="AE246" i="3"/>
  <c r="AN246" i="3" s="1"/>
  <c r="AD238" i="3"/>
  <c r="AN238" i="3" s="1"/>
  <c r="AD234" i="3"/>
  <c r="AN234" i="3" s="1"/>
  <c r="AE234" i="3"/>
  <c r="AL229" i="3"/>
  <c r="AH218" i="3"/>
  <c r="AI218" i="3" s="1"/>
  <c r="AL218" i="3" s="1"/>
  <c r="AH216" i="3"/>
  <c r="AI216" i="3" s="1"/>
  <c r="AJ216" i="3" s="1"/>
  <c r="AE216" i="3"/>
  <c r="AJ188" i="3"/>
  <c r="AL188" i="3"/>
  <c r="AJ186" i="3"/>
  <c r="AL186" i="3"/>
  <c r="AJ182" i="3"/>
  <c r="AE231" i="3"/>
  <c r="AL225" i="3"/>
  <c r="AN220" i="3"/>
  <c r="AJ218" i="3"/>
  <c r="AJ217" i="3"/>
  <c r="AL217" i="3"/>
  <c r="AJ205" i="3"/>
  <c r="AL196" i="3"/>
  <c r="AJ196" i="3"/>
  <c r="AL185" i="3"/>
  <c r="AJ185" i="3"/>
  <c r="AL174" i="3"/>
  <c r="AJ167" i="3"/>
  <c r="AL167" i="3"/>
  <c r="AE229" i="3"/>
  <c r="AN229" i="3" s="1"/>
  <c r="AH227" i="3"/>
  <c r="AI227" i="3" s="1"/>
  <c r="AL227" i="3" s="1"/>
  <c r="AE225" i="3"/>
  <c r="AH225" i="3"/>
  <c r="AI225" i="3" s="1"/>
  <c r="AJ225" i="3" s="1"/>
  <c r="AE218" i="3"/>
  <c r="AN218" i="3" s="1"/>
  <c r="AJ214" i="3"/>
  <c r="AN213" i="3"/>
  <c r="AH191" i="3"/>
  <c r="AI191" i="3" s="1"/>
  <c r="AD191" i="3"/>
  <c r="AN191" i="3" s="1"/>
  <c r="AE191" i="3"/>
  <c r="AH276" i="3"/>
  <c r="AI276" i="3" s="1"/>
  <c r="AL276" i="3" s="1"/>
  <c r="AH264" i="3"/>
  <c r="AI264" i="3" s="1"/>
  <c r="AE261" i="3"/>
  <c r="AN261" i="3" s="1"/>
  <c r="AH252" i="3"/>
  <c r="AI252" i="3" s="1"/>
  <c r="AJ252" i="3" s="1"/>
  <c r="AE249" i="3"/>
  <c r="AN249" i="3" s="1"/>
  <c r="AL237" i="3"/>
  <c r="AJ227" i="3"/>
  <c r="AN208" i="3"/>
  <c r="AN203" i="3"/>
  <c r="AJ192" i="3"/>
  <c r="AL192" i="3"/>
  <c r="AJ179" i="3"/>
  <c r="AL179" i="3"/>
  <c r="AL257" i="3"/>
  <c r="AL245" i="3"/>
  <c r="AE227" i="3"/>
  <c r="AN227" i="3" s="1"/>
  <c r="AJ215" i="3"/>
  <c r="AL215" i="3"/>
  <c r="AN189" i="3"/>
  <c r="AD182" i="3"/>
  <c r="AE182" i="3"/>
  <c r="AE232" i="3"/>
  <c r="AN232" i="3" s="1"/>
  <c r="AH220" i="3"/>
  <c r="AI220" i="3" s="1"/>
  <c r="AL220" i="3" s="1"/>
  <c r="AE215" i="3"/>
  <c r="AN215" i="3" s="1"/>
  <c r="AJ206" i="3"/>
  <c r="AL206" i="3"/>
  <c r="AJ203" i="3"/>
  <c r="AL203" i="3"/>
  <c r="AJ202" i="3"/>
  <c r="AL202" i="3"/>
  <c r="AJ198" i="3"/>
  <c r="AL198" i="3"/>
  <c r="AD225" i="3"/>
  <c r="AN225" i="3" s="1"/>
  <c r="AN222" i="3"/>
  <c r="AJ219" i="3"/>
  <c r="AN219" i="3"/>
  <c r="AD216" i="3"/>
  <c r="AN216" i="3" s="1"/>
  <c r="AN210" i="3"/>
  <c r="AJ200" i="3"/>
  <c r="AL200" i="3"/>
  <c r="AJ151" i="3"/>
  <c r="AL151" i="3"/>
  <c r="AJ144" i="3"/>
  <c r="AE204" i="3"/>
  <c r="AL199" i="3"/>
  <c r="AE192" i="3"/>
  <c r="AL180" i="3"/>
  <c r="AH154" i="3"/>
  <c r="AI154" i="3" s="1"/>
  <c r="AD154" i="3"/>
  <c r="AE154" i="3"/>
  <c r="AD204" i="3"/>
  <c r="AN204" i="3" s="1"/>
  <c r="AE193" i="3"/>
  <c r="AN193" i="3" s="1"/>
  <c r="AD192" i="3"/>
  <c r="AN192" i="3" s="1"/>
  <c r="AD185" i="3"/>
  <c r="AN185" i="3" s="1"/>
  <c r="AE185" i="3"/>
  <c r="AD173" i="3"/>
  <c r="AE173" i="3"/>
  <c r="AN173" i="3" s="1"/>
  <c r="AH173" i="3"/>
  <c r="AI173" i="3" s="1"/>
  <c r="AD158" i="3"/>
  <c r="AN158" i="3" s="1"/>
  <c r="AE158" i="3"/>
  <c r="AH158" i="3"/>
  <c r="AI158" i="3" s="1"/>
  <c r="AJ158" i="3" s="1"/>
  <c r="AJ155" i="3"/>
  <c r="AL155" i="3"/>
  <c r="AN147" i="3"/>
  <c r="AJ135" i="3"/>
  <c r="AL135" i="3"/>
  <c r="AE206" i="3"/>
  <c r="AN206" i="3" s="1"/>
  <c r="AE180" i="3"/>
  <c r="AN180" i="3" s="1"/>
  <c r="AH178" i="3"/>
  <c r="AI178" i="3" s="1"/>
  <c r="AL178" i="3" s="1"/>
  <c r="AD161" i="3"/>
  <c r="AE161" i="3"/>
  <c r="AN161" i="3" s="1"/>
  <c r="AH161" i="3"/>
  <c r="AI161" i="3" s="1"/>
  <c r="AL161" i="3" s="1"/>
  <c r="AN159" i="3"/>
  <c r="AN156" i="3"/>
  <c r="AJ145" i="3"/>
  <c r="AJ142" i="3"/>
  <c r="AH210" i="3"/>
  <c r="AI210" i="3" s="1"/>
  <c r="AL210" i="3" s="1"/>
  <c r="AH198" i="3"/>
  <c r="AI198" i="3" s="1"/>
  <c r="AH183" i="3"/>
  <c r="AI183" i="3" s="1"/>
  <c r="AJ183" i="3" s="1"/>
  <c r="AJ178" i="3"/>
  <c r="AH169" i="3"/>
  <c r="AI169" i="3" s="1"/>
  <c r="AJ169" i="3" s="1"/>
  <c r="AJ162" i="3"/>
  <c r="AJ153" i="3"/>
  <c r="AL153" i="3"/>
  <c r="AN141" i="3"/>
  <c r="AD131" i="3"/>
  <c r="AE131" i="3"/>
  <c r="AH131" i="3"/>
  <c r="AI131" i="3" s="1"/>
  <c r="AL131" i="3" s="1"/>
  <c r="AE178" i="3"/>
  <c r="AN178" i="3" s="1"/>
  <c r="AL169" i="3"/>
  <c r="AH168" i="3"/>
  <c r="AI168" i="3" s="1"/>
  <c r="AL168" i="3" s="1"/>
  <c r="AN167" i="3"/>
  <c r="AJ163" i="3"/>
  <c r="AL163" i="3"/>
  <c r="AN130" i="3"/>
  <c r="AN115" i="3"/>
  <c r="AN182" i="3"/>
  <c r="AN171" i="3"/>
  <c r="AJ168" i="3"/>
  <c r="AJ156" i="3"/>
  <c r="AL147" i="3"/>
  <c r="AH142" i="3"/>
  <c r="AI142" i="3" s="1"/>
  <c r="AL142" i="3" s="1"/>
  <c r="AD142" i="3"/>
  <c r="AE142" i="3"/>
  <c r="AL133" i="3"/>
  <c r="AJ133" i="3"/>
  <c r="AH213" i="3"/>
  <c r="AI213" i="3" s="1"/>
  <c r="AJ213" i="3" s="1"/>
  <c r="AE210" i="3"/>
  <c r="AL205" i="3"/>
  <c r="AH201" i="3"/>
  <c r="AI201" i="3" s="1"/>
  <c r="AJ201" i="3" s="1"/>
  <c r="AE198" i="3"/>
  <c r="AN198" i="3" s="1"/>
  <c r="AL193" i="3"/>
  <c r="AH189" i="3"/>
  <c r="AI189" i="3" s="1"/>
  <c r="AJ189" i="3" s="1"/>
  <c r="AE183" i="3"/>
  <c r="AN183" i="3" s="1"/>
  <c r="AL182" i="3"/>
  <c r="AJ181" i="3"/>
  <c r="AL181" i="3"/>
  <c r="AE169" i="3"/>
  <c r="AN169" i="3" s="1"/>
  <c r="AN165" i="3"/>
  <c r="AJ157" i="3"/>
  <c r="AJ143" i="3"/>
  <c r="AL143" i="3"/>
  <c r="AN139" i="3"/>
  <c r="AL194" i="3"/>
  <c r="AL177" i="3"/>
  <c r="AE168" i="3"/>
  <c r="AN168" i="3" s="1"/>
  <c r="AJ160" i="3"/>
  <c r="AL159" i="3"/>
  <c r="AE181" i="3"/>
  <c r="AN181" i="3" s="1"/>
  <c r="AJ175" i="3"/>
  <c r="AJ165" i="3"/>
  <c r="AJ161" i="3"/>
  <c r="AL158" i="3"/>
  <c r="AJ104" i="3"/>
  <c r="AL104" i="3"/>
  <c r="AN170" i="3"/>
  <c r="AE167" i="3"/>
  <c r="AJ166" i="3"/>
  <c r="AL166" i="3"/>
  <c r="AJ154" i="3"/>
  <c r="AL154" i="3"/>
  <c r="AL149" i="3"/>
  <c r="AJ147" i="3"/>
  <c r="AH107" i="3"/>
  <c r="AI107" i="3" s="1"/>
  <c r="AD107" i="3"/>
  <c r="AN107" i="3" s="1"/>
  <c r="AE107" i="3"/>
  <c r="AE155" i="3"/>
  <c r="AE143" i="3"/>
  <c r="AE129" i="3"/>
  <c r="AH129" i="3"/>
  <c r="AI129" i="3" s="1"/>
  <c r="AL129" i="3" s="1"/>
  <c r="AL124" i="3"/>
  <c r="AJ108" i="3"/>
  <c r="AL108" i="3"/>
  <c r="AD155" i="3"/>
  <c r="AE144" i="3"/>
  <c r="AN144" i="3" s="1"/>
  <c r="AD143" i="3"/>
  <c r="AD138" i="3"/>
  <c r="AN138" i="3" s="1"/>
  <c r="AE138" i="3"/>
  <c r="AH136" i="3"/>
  <c r="AI136" i="3" s="1"/>
  <c r="AJ136" i="3" s="1"/>
  <c r="AJ131" i="3"/>
  <c r="AD126" i="3"/>
  <c r="AE126" i="3"/>
  <c r="AL123" i="3"/>
  <c r="AL119" i="3"/>
  <c r="AL117" i="3"/>
  <c r="AL116" i="3"/>
  <c r="AE145" i="3"/>
  <c r="AN145" i="3" s="1"/>
  <c r="AL140" i="3"/>
  <c r="AL136" i="3"/>
  <c r="AJ127" i="3"/>
  <c r="AN126" i="3"/>
  <c r="AJ121" i="3"/>
  <c r="AL121" i="3"/>
  <c r="AJ106" i="3"/>
  <c r="AL106" i="3"/>
  <c r="AJ96" i="3"/>
  <c r="AL96" i="3"/>
  <c r="AL94" i="3"/>
  <c r="AJ94" i="3"/>
  <c r="AH65" i="3"/>
  <c r="AI65" i="3" s="1"/>
  <c r="AE65" i="3"/>
  <c r="AD65" i="3"/>
  <c r="AH149" i="3"/>
  <c r="AI149" i="3" s="1"/>
  <c r="AJ149" i="3" s="1"/>
  <c r="AE146" i="3"/>
  <c r="AN146" i="3" s="1"/>
  <c r="AN135" i="3"/>
  <c r="AH134" i="3"/>
  <c r="AI134" i="3" s="1"/>
  <c r="AL134" i="3" s="1"/>
  <c r="AJ129" i="3"/>
  <c r="AJ114" i="3"/>
  <c r="AN111" i="3"/>
  <c r="AJ97" i="3"/>
  <c r="AL97" i="3"/>
  <c r="AE136" i="3"/>
  <c r="AN136" i="3" s="1"/>
  <c r="AD129" i="3"/>
  <c r="AN129" i="3" s="1"/>
  <c r="AJ122" i="3"/>
  <c r="AL122" i="3"/>
  <c r="AN118" i="3"/>
  <c r="AJ109" i="3"/>
  <c r="AJ89" i="3"/>
  <c r="AL89" i="3"/>
  <c r="AN86" i="3"/>
  <c r="AJ42" i="3"/>
  <c r="AL42" i="3"/>
  <c r="AJ132" i="3"/>
  <c r="AN125" i="3"/>
  <c r="AH176" i="3"/>
  <c r="AI176" i="3" s="1"/>
  <c r="AH164" i="3"/>
  <c r="AI164" i="3" s="1"/>
  <c r="AL164" i="3" s="1"/>
  <c r="AL156" i="3"/>
  <c r="AH152" i="3"/>
  <c r="AI152" i="3" s="1"/>
  <c r="AJ152" i="3" s="1"/>
  <c r="AE149" i="3"/>
  <c r="AN149" i="3" s="1"/>
  <c r="AL144" i="3"/>
  <c r="AE134" i="3"/>
  <c r="AN134" i="3" s="1"/>
  <c r="AH126" i="3"/>
  <c r="AI126" i="3" s="1"/>
  <c r="AN106" i="3"/>
  <c r="AL157" i="3"/>
  <c r="AL145" i="3"/>
  <c r="AE132" i="3"/>
  <c r="AN124" i="3"/>
  <c r="AH119" i="3"/>
  <c r="AI119" i="3" s="1"/>
  <c r="AJ119" i="3" s="1"/>
  <c r="AD119" i="3"/>
  <c r="AN119" i="3" s="1"/>
  <c r="AJ110" i="3"/>
  <c r="AL110" i="3"/>
  <c r="AN99" i="3"/>
  <c r="AJ98" i="3"/>
  <c r="AL98" i="3"/>
  <c r="AD132" i="3"/>
  <c r="AN132" i="3" s="1"/>
  <c r="AN123" i="3"/>
  <c r="AN110" i="3"/>
  <c r="AJ107" i="3"/>
  <c r="AL107" i="3"/>
  <c r="AJ102" i="3"/>
  <c r="AL102" i="3"/>
  <c r="AJ93" i="3"/>
  <c r="AD55" i="3"/>
  <c r="AN55" i="3" s="1"/>
  <c r="AE55" i="3"/>
  <c r="AH55" i="3"/>
  <c r="AI55" i="3" s="1"/>
  <c r="AJ124" i="3"/>
  <c r="AH120" i="3"/>
  <c r="AI120" i="3" s="1"/>
  <c r="AJ120" i="3" s="1"/>
  <c r="AE120" i="3"/>
  <c r="AN120" i="3" s="1"/>
  <c r="AN112" i="3"/>
  <c r="AL90" i="3"/>
  <c r="AJ67" i="3"/>
  <c r="AL67" i="3"/>
  <c r="AL92" i="3"/>
  <c r="AD79" i="3"/>
  <c r="AN79" i="3" s="1"/>
  <c r="AE79" i="3"/>
  <c r="AL53" i="3"/>
  <c r="AE108" i="3"/>
  <c r="AH99" i="3"/>
  <c r="AI99" i="3" s="1"/>
  <c r="AJ99" i="3" s="1"/>
  <c r="AE98" i="3"/>
  <c r="AN98" i="3" s="1"/>
  <c r="AL95" i="3"/>
  <c r="AD94" i="3"/>
  <c r="AN94" i="3" s="1"/>
  <c r="AE94" i="3"/>
  <c r="AJ58" i="3"/>
  <c r="AL58" i="3"/>
  <c r="AN44" i="3"/>
  <c r="AH41" i="3"/>
  <c r="AI41" i="3" s="1"/>
  <c r="AE41" i="3"/>
  <c r="AH112" i="3"/>
  <c r="AI112" i="3" s="1"/>
  <c r="AL112" i="3" s="1"/>
  <c r="AD108" i="3"/>
  <c r="AN108" i="3" s="1"/>
  <c r="AH100" i="3"/>
  <c r="AI100" i="3" s="1"/>
  <c r="AL100" i="3" s="1"/>
  <c r="AD98" i="3"/>
  <c r="AL88" i="3"/>
  <c r="AJ77" i="3"/>
  <c r="AL77" i="3"/>
  <c r="AJ76" i="3"/>
  <c r="AL76" i="3"/>
  <c r="AL69" i="3"/>
  <c r="AL68" i="3"/>
  <c r="AJ68" i="3"/>
  <c r="AH91" i="3"/>
  <c r="AI91" i="3" s="1"/>
  <c r="AJ91" i="3" s="1"/>
  <c r="AJ75" i="3"/>
  <c r="AN66" i="3"/>
  <c r="AJ64" i="3"/>
  <c r="AL64" i="3"/>
  <c r="AJ63" i="3"/>
  <c r="AN47" i="3"/>
  <c r="AL91" i="3"/>
  <c r="AL81" i="3"/>
  <c r="AJ78" i="3"/>
  <c r="AL78" i="3"/>
  <c r="AH53" i="3"/>
  <c r="AI53" i="3" s="1"/>
  <c r="AJ53" i="3" s="1"/>
  <c r="AE53" i="3"/>
  <c r="AN53" i="3" s="1"/>
  <c r="AJ43" i="3"/>
  <c r="AL43" i="3"/>
  <c r="AJ39" i="3"/>
  <c r="AL39" i="3"/>
  <c r="AE112" i="3"/>
  <c r="AE100" i="3"/>
  <c r="AN100" i="3" s="1"/>
  <c r="AE88" i="3"/>
  <c r="AL80" i="3"/>
  <c r="AH79" i="3"/>
  <c r="AI79" i="3" s="1"/>
  <c r="AJ79" i="3" s="1"/>
  <c r="AN65" i="3"/>
  <c r="AN64" i="3"/>
  <c r="AN56" i="3"/>
  <c r="AN48" i="3"/>
  <c r="AN46" i="3"/>
  <c r="AL44" i="3"/>
  <c r="AJ44" i="3"/>
  <c r="AN42" i="3"/>
  <c r="AJ40" i="3"/>
  <c r="AL40" i="3"/>
  <c r="AE91" i="3"/>
  <c r="AN91" i="3" s="1"/>
  <c r="AD88" i="3"/>
  <c r="AN88" i="3" s="1"/>
  <c r="AJ85" i="3"/>
  <c r="AL79" i="3"/>
  <c r="AN71" i="3"/>
  <c r="AD67" i="3"/>
  <c r="AE67" i="3"/>
  <c r="AL45" i="3"/>
  <c r="AH117" i="3"/>
  <c r="AI117" i="3" s="1"/>
  <c r="AJ117" i="3" s="1"/>
  <c r="AE114" i="3"/>
  <c r="AN114" i="3" s="1"/>
  <c r="AL109" i="3"/>
  <c r="AH105" i="3"/>
  <c r="AI105" i="3" s="1"/>
  <c r="AJ105" i="3" s="1"/>
  <c r="AE102" i="3"/>
  <c r="AN102" i="3" s="1"/>
  <c r="AH93" i="3"/>
  <c r="AI93" i="3" s="1"/>
  <c r="AL93" i="3" s="1"/>
  <c r="AN92" i="3"/>
  <c r="AH90" i="3"/>
  <c r="AI90" i="3" s="1"/>
  <c r="AJ90" i="3" s="1"/>
  <c r="AL87" i="3"/>
  <c r="AN83" i="3"/>
  <c r="AJ73" i="3"/>
  <c r="AJ65" i="3"/>
  <c r="AL65" i="3"/>
  <c r="AN59" i="3"/>
  <c r="AJ48" i="3"/>
  <c r="AL48" i="3"/>
  <c r="AD43" i="3"/>
  <c r="AN43" i="3" s="1"/>
  <c r="AE43" i="3"/>
  <c r="AL83" i="3"/>
  <c r="AN70" i="3"/>
  <c r="AN60" i="3"/>
  <c r="AJ55" i="3"/>
  <c r="AL55" i="3"/>
  <c r="AN54" i="3"/>
  <c r="AJ52" i="3"/>
  <c r="AL52" i="3"/>
  <c r="AJ51" i="3"/>
  <c r="AL51" i="3"/>
  <c r="AJ92" i="3"/>
  <c r="AJ66" i="3"/>
  <c r="AL56" i="3"/>
  <c r="AJ56" i="3"/>
  <c r="AJ46" i="3"/>
  <c r="AL46" i="3"/>
  <c r="AJ41" i="3"/>
  <c r="AL41" i="3"/>
  <c r="AE93" i="3"/>
  <c r="AN93" i="3" s="1"/>
  <c r="AD82" i="3"/>
  <c r="AN82" i="3" s="1"/>
  <c r="AE82" i="3"/>
  <c r="AH82" i="3"/>
  <c r="AI82" i="3" s="1"/>
  <c r="AN78" i="3"/>
  <c r="AN68" i="3"/>
  <c r="AJ60" i="3"/>
  <c r="AL60" i="3"/>
  <c r="AL57" i="3"/>
  <c r="AN52" i="3"/>
  <c r="AD41" i="3"/>
  <c r="AN41" i="3" s="1"/>
  <c r="AH66" i="3"/>
  <c r="AI66" i="3" s="1"/>
  <c r="AL66" i="3" s="1"/>
  <c r="AH54" i="3"/>
  <c r="AI54" i="3" s="1"/>
  <c r="AJ54" i="3" s="1"/>
  <c r="AD40" i="3"/>
  <c r="AN40" i="3" s="1"/>
  <c r="AH70" i="3"/>
  <c r="AI70" i="3" s="1"/>
  <c r="AJ70" i="3" s="1"/>
  <c r="AH85" i="3"/>
  <c r="AI85" i="3" s="1"/>
  <c r="AL85" i="3" s="1"/>
  <c r="AH73" i="3"/>
  <c r="AI73" i="3" s="1"/>
  <c r="AL73" i="3" s="1"/>
  <c r="AE70" i="3"/>
  <c r="AH61" i="3"/>
  <c r="AI61" i="3" s="1"/>
  <c r="AL61" i="3" s="1"/>
  <c r="AE58" i="3"/>
  <c r="AN58" i="3" s="1"/>
  <c r="AH49" i="3"/>
  <c r="AI49" i="3" s="1"/>
  <c r="AJ49" i="3" s="1"/>
  <c r="AE46" i="3"/>
  <c r="AH86" i="3"/>
  <c r="AI86" i="3" s="1"/>
  <c r="AH74" i="3"/>
  <c r="AI74" i="3" s="1"/>
  <c r="AH62" i="3"/>
  <c r="AI62" i="3" s="1"/>
  <c r="AE85" i="3"/>
  <c r="AN85" i="3" s="1"/>
  <c r="AE73" i="3"/>
  <c r="AN73" i="3" s="1"/>
  <c r="AE61" i="3"/>
  <c r="AN61" i="3" s="1"/>
  <c r="AE49" i="3"/>
  <c r="AN49" i="3" s="1"/>
  <c r="T5" i="65"/>
  <c r="AD5" i="65" s="1"/>
  <c r="V5" i="65"/>
  <c r="Y5" i="65"/>
  <c r="AF5" i="65"/>
  <c r="AG5" i="65" s="1"/>
  <c r="AH5" i="65"/>
  <c r="AI5" i="65" s="1"/>
  <c r="AK5" i="65"/>
  <c r="AM5" i="65"/>
  <c r="T6" i="65"/>
  <c r="AD6" i="65" s="1"/>
  <c r="V6" i="65"/>
  <c r="Y6" i="65"/>
  <c r="AF6" i="65"/>
  <c r="AG6" i="65" s="1"/>
  <c r="AK6" i="65"/>
  <c r="T7" i="65"/>
  <c r="AD7" i="65" s="1"/>
  <c r="V7" i="65"/>
  <c r="Y7" i="65"/>
  <c r="AF7" i="65"/>
  <c r="AG7" i="65" s="1"/>
  <c r="AH7" i="65"/>
  <c r="AI7" i="65" s="1"/>
  <c r="AK7" i="65"/>
  <c r="AM7" i="65"/>
  <c r="T8" i="65"/>
  <c r="AM8" i="65" s="1"/>
  <c r="V8" i="65"/>
  <c r="Y8" i="65"/>
  <c r="AF8" i="65"/>
  <c r="AG8" i="65" s="1"/>
  <c r="AK8" i="65"/>
  <c r="T9" i="65"/>
  <c r="AD9" i="65" s="1"/>
  <c r="V9" i="65"/>
  <c r="Y9" i="65"/>
  <c r="AF9" i="65"/>
  <c r="AG9" i="65" s="1"/>
  <c r="AH9" i="65"/>
  <c r="AI9" i="65" s="1"/>
  <c r="AJ9" i="65" s="1"/>
  <c r="AK9" i="65"/>
  <c r="AM9" i="65"/>
  <c r="T10" i="65"/>
  <c r="AD10" i="65" s="1"/>
  <c r="V10" i="65"/>
  <c r="Y10" i="65"/>
  <c r="AF10" i="65"/>
  <c r="AG10" i="65"/>
  <c r="AK10" i="65"/>
  <c r="T11" i="65"/>
  <c r="AD11" i="65" s="1"/>
  <c r="V11" i="65"/>
  <c r="Y11" i="65"/>
  <c r="AE11" i="65"/>
  <c r="AF11" i="65"/>
  <c r="AG11" i="65" s="1"/>
  <c r="AK11" i="65"/>
  <c r="AM11" i="65"/>
  <c r="T12" i="65"/>
  <c r="AE12" i="65" s="1"/>
  <c r="V12" i="65"/>
  <c r="Y12" i="65"/>
  <c r="AD12" i="65"/>
  <c r="AF12" i="65"/>
  <c r="AG12" i="65" s="1"/>
  <c r="AK12" i="65"/>
  <c r="AM12" i="65"/>
  <c r="T13" i="65"/>
  <c r="AH13" i="65" s="1"/>
  <c r="AI13" i="65" s="1"/>
  <c r="V13" i="65"/>
  <c r="Y13" i="65"/>
  <c r="AF13" i="65"/>
  <c r="AG13" i="65" s="1"/>
  <c r="AK13" i="65"/>
  <c r="AM13" i="65"/>
  <c r="T14" i="65"/>
  <c r="AH14" i="65" s="1"/>
  <c r="AI14" i="65" s="1"/>
  <c r="V14" i="65"/>
  <c r="Y14" i="65"/>
  <c r="AF14" i="65"/>
  <c r="AG14" i="65" s="1"/>
  <c r="AK14" i="65"/>
  <c r="AM14" i="65"/>
  <c r="T15" i="65"/>
  <c r="AH15" i="65" s="1"/>
  <c r="AI15" i="65" s="1"/>
  <c r="V15" i="65"/>
  <c r="Y15" i="65"/>
  <c r="AF15" i="65"/>
  <c r="AG15" i="65"/>
  <c r="AJ15" i="65" s="1"/>
  <c r="AK15" i="65"/>
  <c r="T16" i="65"/>
  <c r="AM16" i="65" s="1"/>
  <c r="V16" i="65"/>
  <c r="Y16" i="65"/>
  <c r="AD16" i="65"/>
  <c r="AF16" i="65"/>
  <c r="AG16" i="65" s="1"/>
  <c r="AH16" i="65"/>
  <c r="AI16" i="65" s="1"/>
  <c r="AK16" i="65"/>
  <c r="T17" i="65"/>
  <c r="AD17" i="65" s="1"/>
  <c r="V17" i="65"/>
  <c r="Y17" i="65"/>
  <c r="AE17" i="65"/>
  <c r="AF17" i="65"/>
  <c r="AG17" i="65"/>
  <c r="AH17" i="65"/>
  <c r="AI17" i="65"/>
  <c r="AK17" i="65"/>
  <c r="AM17" i="65"/>
  <c r="T18" i="65"/>
  <c r="AM18" i="65" s="1"/>
  <c r="V18" i="65"/>
  <c r="Y18" i="65"/>
  <c r="AF18" i="65"/>
  <c r="AG18" i="65" s="1"/>
  <c r="AK18" i="65"/>
  <c r="T19" i="65"/>
  <c r="AH19" i="65" s="1"/>
  <c r="AI19" i="65" s="1"/>
  <c r="V19" i="65"/>
  <c r="Y19" i="65"/>
  <c r="AE19" i="65"/>
  <c r="AF19" i="65"/>
  <c r="AG19" i="65" s="1"/>
  <c r="AK19" i="65"/>
  <c r="AM19" i="65"/>
  <c r="T20" i="65"/>
  <c r="AE20" i="65" s="1"/>
  <c r="V20" i="65"/>
  <c r="Y20" i="65"/>
  <c r="AF20" i="65"/>
  <c r="AG20" i="65" s="1"/>
  <c r="AH20" i="65"/>
  <c r="AI20" i="65" s="1"/>
  <c r="AK20" i="65"/>
  <c r="AM20" i="65"/>
  <c r="T21" i="65"/>
  <c r="AD21" i="65" s="1"/>
  <c r="V21" i="65"/>
  <c r="Y21" i="65"/>
  <c r="AF21" i="65"/>
  <c r="AG21" i="65" s="1"/>
  <c r="AK21" i="65"/>
  <c r="AM21" i="65"/>
  <c r="T22" i="65"/>
  <c r="V22" i="65"/>
  <c r="Y22" i="65"/>
  <c r="AF22" i="65"/>
  <c r="AG22" i="65" s="1"/>
  <c r="AK22" i="65"/>
  <c r="AM22" i="65"/>
  <c r="T23" i="65"/>
  <c r="AD23" i="65" s="1"/>
  <c r="V23" i="65"/>
  <c r="Y23" i="65"/>
  <c r="AE23" i="65"/>
  <c r="AF23" i="65"/>
  <c r="AG23" i="65" s="1"/>
  <c r="AK23" i="65"/>
  <c r="AM23" i="65"/>
  <c r="T24" i="65"/>
  <c r="AE24" i="65" s="1"/>
  <c r="V24" i="65"/>
  <c r="Y24" i="65"/>
  <c r="AF24" i="65"/>
  <c r="AG24" i="65" s="1"/>
  <c r="AK24" i="65"/>
  <c r="AM24" i="65"/>
  <c r="T25" i="65"/>
  <c r="AE25" i="65" s="1"/>
  <c r="V25" i="65"/>
  <c r="Y25" i="65"/>
  <c r="AF25" i="65"/>
  <c r="AG25" i="65" s="1"/>
  <c r="AK25" i="65"/>
  <c r="T26" i="65"/>
  <c r="AH26" i="65" s="1"/>
  <c r="AI26" i="65" s="1"/>
  <c r="V26" i="65"/>
  <c r="Y26" i="65"/>
  <c r="AF26" i="65"/>
  <c r="AG26" i="65" s="1"/>
  <c r="AK26" i="65"/>
  <c r="T27" i="65"/>
  <c r="AH27" i="65" s="1"/>
  <c r="AI27" i="65" s="1"/>
  <c r="V27" i="65"/>
  <c r="Y27" i="65"/>
  <c r="AF27" i="65"/>
  <c r="AG27" i="65" s="1"/>
  <c r="AJ27" i="65" s="1"/>
  <c r="AK27" i="65"/>
  <c r="T28" i="65"/>
  <c r="AM28" i="65" s="1"/>
  <c r="V28" i="65"/>
  <c r="Y28" i="65"/>
  <c r="AE28" i="65"/>
  <c r="AF28" i="65"/>
  <c r="AG28" i="65" s="1"/>
  <c r="AK28" i="65"/>
  <c r="T29" i="65"/>
  <c r="AD29" i="65" s="1"/>
  <c r="V29" i="65"/>
  <c r="Y29" i="65"/>
  <c r="AF29" i="65"/>
  <c r="AG29" i="65" s="1"/>
  <c r="AK29" i="65"/>
  <c r="T30" i="65"/>
  <c r="AM30" i="65" s="1"/>
  <c r="V30" i="65"/>
  <c r="Y30" i="65"/>
  <c r="AF30" i="65"/>
  <c r="AG30" i="65" s="1"/>
  <c r="AK30" i="65"/>
  <c r="T31" i="65"/>
  <c r="AH31" i="65" s="1"/>
  <c r="AI31" i="65" s="1"/>
  <c r="V31" i="65"/>
  <c r="Y31" i="65"/>
  <c r="AD31" i="65"/>
  <c r="AF31" i="65"/>
  <c r="AG31" i="65" s="1"/>
  <c r="AK31" i="65"/>
  <c r="T32" i="65"/>
  <c r="AM32" i="65" s="1"/>
  <c r="V32" i="65"/>
  <c r="Y32" i="65"/>
  <c r="AE32" i="65"/>
  <c r="AF32" i="65"/>
  <c r="AG32" i="65" s="1"/>
  <c r="AK32" i="65"/>
  <c r="T33" i="65"/>
  <c r="AD33" i="65" s="1"/>
  <c r="V33" i="65"/>
  <c r="Y33" i="65"/>
  <c r="AF33" i="65"/>
  <c r="AG33" i="65" s="1"/>
  <c r="AK33" i="65"/>
  <c r="AM33" i="65"/>
  <c r="T34" i="65"/>
  <c r="V34" i="65"/>
  <c r="Y34" i="65"/>
  <c r="AF34" i="65"/>
  <c r="AG34" i="65" s="1"/>
  <c r="AK34" i="65"/>
  <c r="T35" i="65"/>
  <c r="AD35" i="65" s="1"/>
  <c r="V35" i="65"/>
  <c r="Y35" i="65"/>
  <c r="AF35" i="65"/>
  <c r="AG35" i="65" s="1"/>
  <c r="AK35" i="65"/>
  <c r="T36" i="65"/>
  <c r="AE36" i="65" s="1"/>
  <c r="V36" i="65"/>
  <c r="Y36" i="65"/>
  <c r="AF36" i="65"/>
  <c r="AG36" i="65" s="1"/>
  <c r="AK36" i="65"/>
  <c r="AM36" i="65"/>
  <c r="T37" i="65"/>
  <c r="AD37" i="65" s="1"/>
  <c r="V37" i="65"/>
  <c r="Y37" i="65"/>
  <c r="AF37" i="65"/>
  <c r="AG37" i="65" s="1"/>
  <c r="AK37" i="65"/>
  <c r="T38" i="65"/>
  <c r="AH38" i="65" s="1"/>
  <c r="AI38" i="65" s="1"/>
  <c r="V38" i="65"/>
  <c r="Y38" i="65"/>
  <c r="AF38" i="65"/>
  <c r="AG38" i="65" s="1"/>
  <c r="AJ38" i="65" s="1"/>
  <c r="AK38" i="65"/>
  <c r="T39" i="65"/>
  <c r="AH39" i="65" s="1"/>
  <c r="AI39" i="65" s="1"/>
  <c r="V39" i="65"/>
  <c r="Y39" i="65"/>
  <c r="AF39" i="65"/>
  <c r="AG39" i="65" s="1"/>
  <c r="AK39" i="65"/>
  <c r="AM39" i="65"/>
  <c r="T40" i="65"/>
  <c r="AD40" i="65" s="1"/>
  <c r="V40" i="65"/>
  <c r="Y40" i="65"/>
  <c r="AF40" i="65"/>
  <c r="AG40" i="65" s="1"/>
  <c r="AH40" i="65"/>
  <c r="AI40" i="65" s="1"/>
  <c r="AK40" i="65"/>
  <c r="AM40" i="65"/>
  <c r="T41" i="65"/>
  <c r="AD41" i="65" s="1"/>
  <c r="V41" i="65"/>
  <c r="Y41" i="65"/>
  <c r="AF41" i="65"/>
  <c r="AG41" i="65" s="1"/>
  <c r="AH41" i="65"/>
  <c r="AI41" i="65" s="1"/>
  <c r="AK41" i="65"/>
  <c r="AM41" i="65"/>
  <c r="T42" i="65"/>
  <c r="V42" i="65"/>
  <c r="Y42" i="65"/>
  <c r="AF42" i="65"/>
  <c r="AG42" i="65" s="1"/>
  <c r="AK42" i="65"/>
  <c r="AM42" i="65"/>
  <c r="T43" i="65"/>
  <c r="AH43" i="65" s="1"/>
  <c r="AI43" i="65" s="1"/>
  <c r="V43" i="65"/>
  <c r="Y43" i="65"/>
  <c r="AE43" i="65"/>
  <c r="AF43" i="65"/>
  <c r="AG43" i="65" s="1"/>
  <c r="AK43" i="65"/>
  <c r="AM43" i="65"/>
  <c r="T44" i="65"/>
  <c r="AD44" i="65" s="1"/>
  <c r="V44" i="65"/>
  <c r="Y44" i="65"/>
  <c r="AE44" i="65"/>
  <c r="AF44" i="65"/>
  <c r="AG44" i="65" s="1"/>
  <c r="AK44" i="65"/>
  <c r="AM44" i="65"/>
  <c r="T45" i="65"/>
  <c r="AD45" i="65" s="1"/>
  <c r="V45" i="65"/>
  <c r="Y45" i="65"/>
  <c r="AE45" i="65"/>
  <c r="AF45" i="65"/>
  <c r="AG45" i="65" s="1"/>
  <c r="AK45" i="65"/>
  <c r="AM45" i="65"/>
  <c r="T46" i="65"/>
  <c r="AM46" i="65" s="1"/>
  <c r="V46" i="65"/>
  <c r="Y46" i="65"/>
  <c r="AF46" i="65"/>
  <c r="AG46" i="65" s="1"/>
  <c r="AK46" i="65"/>
  <c r="T47" i="65"/>
  <c r="AD47" i="65" s="1"/>
  <c r="V47" i="65"/>
  <c r="Y47" i="65"/>
  <c r="AF47" i="65"/>
  <c r="AG47" i="65" s="1"/>
  <c r="AH47" i="65"/>
  <c r="AI47" i="65" s="1"/>
  <c r="AK47" i="65"/>
  <c r="AM47" i="65"/>
  <c r="T48" i="65"/>
  <c r="AD48" i="65" s="1"/>
  <c r="V48" i="65"/>
  <c r="Y48" i="65"/>
  <c r="AE48" i="65"/>
  <c r="AF48" i="65"/>
  <c r="AG48" i="65" s="1"/>
  <c r="AK48" i="65"/>
  <c r="AM48" i="65"/>
  <c r="T49" i="65"/>
  <c r="AH49" i="65" s="1"/>
  <c r="AI49" i="65" s="1"/>
  <c r="V49" i="65"/>
  <c r="Y49" i="65"/>
  <c r="AF49" i="65"/>
  <c r="AG49" i="65" s="1"/>
  <c r="AK49" i="65"/>
  <c r="AM49" i="65"/>
  <c r="T50" i="65"/>
  <c r="AE50" i="65" s="1"/>
  <c r="V50" i="65"/>
  <c r="Y50" i="65"/>
  <c r="AF50" i="65"/>
  <c r="AG50" i="65" s="1"/>
  <c r="AK50" i="65"/>
  <c r="AM50" i="65"/>
  <c r="T51" i="65"/>
  <c r="AE51" i="65" s="1"/>
  <c r="V51" i="65"/>
  <c r="Y51" i="65"/>
  <c r="AF51" i="65"/>
  <c r="AG51" i="65" s="1"/>
  <c r="AK51" i="65"/>
  <c r="AM51" i="65"/>
  <c r="T52" i="65"/>
  <c r="V52" i="65"/>
  <c r="Y52" i="65"/>
  <c r="AD52" i="65"/>
  <c r="AE52" i="65"/>
  <c r="AF52" i="65"/>
  <c r="AG52" i="65" s="1"/>
  <c r="AH52" i="65"/>
  <c r="AI52" i="65" s="1"/>
  <c r="AK52" i="65"/>
  <c r="AM52" i="65"/>
  <c r="T53" i="65"/>
  <c r="V53" i="65"/>
  <c r="Y53" i="65"/>
  <c r="AF53" i="65"/>
  <c r="AG53" i="65" s="1"/>
  <c r="AK53" i="65"/>
  <c r="AM53" i="65"/>
  <c r="T54" i="65"/>
  <c r="V54" i="65"/>
  <c r="Y54" i="65"/>
  <c r="AF54" i="65"/>
  <c r="AG54" i="65"/>
  <c r="AK54" i="65"/>
  <c r="AM54" i="65"/>
  <c r="T55" i="65"/>
  <c r="AD55" i="65" s="1"/>
  <c r="V55" i="65"/>
  <c r="Y55" i="65"/>
  <c r="AF55" i="65"/>
  <c r="AG55" i="65" s="1"/>
  <c r="AK55" i="65"/>
  <c r="AM55" i="65"/>
  <c r="T56" i="65"/>
  <c r="AD56" i="65" s="1"/>
  <c r="V56" i="65"/>
  <c r="Y56" i="65"/>
  <c r="AE56" i="65"/>
  <c r="AF56" i="65"/>
  <c r="AG56" i="65" s="1"/>
  <c r="AK56" i="65"/>
  <c r="AM56" i="65"/>
  <c r="T57" i="65"/>
  <c r="V57" i="65"/>
  <c r="Y57" i="65"/>
  <c r="AF57" i="65"/>
  <c r="AG57" i="65" s="1"/>
  <c r="AK57" i="65"/>
  <c r="AM57" i="65"/>
  <c r="T58" i="65"/>
  <c r="V58" i="65"/>
  <c r="Y58" i="65"/>
  <c r="AF58" i="65"/>
  <c r="AG58" i="65" s="1"/>
  <c r="AK58" i="65"/>
  <c r="AM58" i="65"/>
  <c r="T59" i="65"/>
  <c r="AE59" i="65" s="1"/>
  <c r="V59" i="65"/>
  <c r="Y59" i="65"/>
  <c r="AF59" i="65"/>
  <c r="AG59" i="65" s="1"/>
  <c r="AK59" i="65"/>
  <c r="AM59" i="65"/>
  <c r="T60" i="65"/>
  <c r="V60" i="65"/>
  <c r="Y60" i="65"/>
  <c r="AF60" i="65"/>
  <c r="AG60" i="65" s="1"/>
  <c r="AK60" i="65"/>
  <c r="AM60" i="65"/>
  <c r="T61" i="65"/>
  <c r="AH61" i="65" s="1"/>
  <c r="AI61" i="65" s="1"/>
  <c r="V61" i="65"/>
  <c r="Y61" i="65"/>
  <c r="AF61" i="65"/>
  <c r="AG61" i="65" s="1"/>
  <c r="AK61" i="65"/>
  <c r="AM61" i="65"/>
  <c r="T62" i="65"/>
  <c r="AD62" i="65" s="1"/>
  <c r="V62" i="65"/>
  <c r="Y62" i="65"/>
  <c r="AF62" i="65"/>
  <c r="AG62" i="65" s="1"/>
  <c r="AK62" i="65"/>
  <c r="T63" i="65"/>
  <c r="AE63" i="65" s="1"/>
  <c r="V63" i="65"/>
  <c r="Y63" i="65"/>
  <c r="AF63" i="65"/>
  <c r="AG63" i="65" s="1"/>
  <c r="AK63" i="65"/>
  <c r="AM63" i="65"/>
  <c r="T64" i="65"/>
  <c r="AD64" i="65" s="1"/>
  <c r="V64" i="65"/>
  <c r="Y64" i="65"/>
  <c r="AF64" i="65"/>
  <c r="AG64" i="65" s="1"/>
  <c r="AH64" i="65"/>
  <c r="AI64" i="65" s="1"/>
  <c r="AK64" i="65"/>
  <c r="T65" i="65"/>
  <c r="AD65" i="65" s="1"/>
  <c r="V65" i="65"/>
  <c r="Y65" i="65"/>
  <c r="AF65" i="65"/>
  <c r="AG65" i="65"/>
  <c r="AH65" i="65"/>
  <c r="AI65" i="65" s="1"/>
  <c r="AK65" i="65"/>
  <c r="AM65" i="65"/>
  <c r="T66" i="65"/>
  <c r="AD66" i="65" s="1"/>
  <c r="V66" i="65"/>
  <c r="Y66" i="65"/>
  <c r="AF66" i="65"/>
  <c r="AG66" i="65" s="1"/>
  <c r="AH66" i="65"/>
  <c r="AI66" i="65" s="1"/>
  <c r="AK66" i="65"/>
  <c r="T67" i="65"/>
  <c r="AD67" i="65" s="1"/>
  <c r="V67" i="65"/>
  <c r="Y67" i="65"/>
  <c r="AF67" i="65"/>
  <c r="AG67" i="65" s="1"/>
  <c r="AK67" i="65"/>
  <c r="T68" i="65"/>
  <c r="V68" i="65"/>
  <c r="Y68" i="65"/>
  <c r="AF68" i="65"/>
  <c r="AG68" i="65" s="1"/>
  <c r="AK68" i="65"/>
  <c r="T69" i="65"/>
  <c r="AM69" i="65" s="1"/>
  <c r="V69" i="65"/>
  <c r="Y69" i="65"/>
  <c r="AF69" i="65"/>
  <c r="AG69" i="65" s="1"/>
  <c r="AK69" i="65"/>
  <c r="T70" i="65"/>
  <c r="AD70" i="65" s="1"/>
  <c r="V70" i="65"/>
  <c r="Y70" i="65"/>
  <c r="AF70" i="65"/>
  <c r="AG70" i="65" s="1"/>
  <c r="AK70" i="65"/>
  <c r="AM70" i="65"/>
  <c r="T71" i="65"/>
  <c r="V71" i="65"/>
  <c r="Y71" i="65"/>
  <c r="AF71" i="65"/>
  <c r="AG71" i="65" s="1"/>
  <c r="AK71" i="65"/>
  <c r="T72" i="65"/>
  <c r="AD72" i="65" s="1"/>
  <c r="V72" i="65"/>
  <c r="Y72" i="65"/>
  <c r="AF72" i="65"/>
  <c r="AG72" i="65" s="1"/>
  <c r="AK72" i="65"/>
  <c r="AM72" i="65"/>
  <c r="T73" i="65"/>
  <c r="AM73" i="65" s="1"/>
  <c r="V73" i="65"/>
  <c r="Y73" i="65"/>
  <c r="AF73" i="65"/>
  <c r="AG73" i="65" s="1"/>
  <c r="AH73" i="65"/>
  <c r="AI73" i="65" s="1"/>
  <c r="AK73" i="65"/>
  <c r="T74" i="65"/>
  <c r="AD74" i="65" s="1"/>
  <c r="V74" i="65"/>
  <c r="Y74" i="65"/>
  <c r="AF74" i="65"/>
  <c r="AG74" i="65" s="1"/>
  <c r="AH74" i="65"/>
  <c r="AI74" i="65" s="1"/>
  <c r="AK74" i="65"/>
  <c r="AM74" i="65"/>
  <c r="T75" i="65"/>
  <c r="AE75" i="65" s="1"/>
  <c r="V75" i="65"/>
  <c r="Y75" i="65"/>
  <c r="AF75" i="65"/>
  <c r="AG75" i="65" s="1"/>
  <c r="AH75" i="65"/>
  <c r="AI75" i="65" s="1"/>
  <c r="AK75" i="65"/>
  <c r="AM75" i="65"/>
  <c r="T76" i="65"/>
  <c r="AE76" i="65" s="1"/>
  <c r="AN76" i="65" s="1"/>
  <c r="V76" i="65"/>
  <c r="Y76" i="65"/>
  <c r="AD76" i="65"/>
  <c r="AF76" i="65"/>
  <c r="AG76" i="65" s="1"/>
  <c r="AH76" i="65"/>
  <c r="AI76" i="65" s="1"/>
  <c r="AK76" i="65"/>
  <c r="AM76" i="65"/>
  <c r="T77" i="65"/>
  <c r="V77" i="65"/>
  <c r="Y77" i="65"/>
  <c r="AF77" i="65"/>
  <c r="AG77" i="65" s="1"/>
  <c r="AK77" i="65"/>
  <c r="T78" i="65"/>
  <c r="AH78" i="65" s="1"/>
  <c r="AI78" i="65" s="1"/>
  <c r="V78" i="65"/>
  <c r="Y78" i="65"/>
  <c r="AF78" i="65"/>
  <c r="AG78" i="65" s="1"/>
  <c r="AK78" i="65"/>
  <c r="T79" i="65"/>
  <c r="V79" i="65"/>
  <c r="Y79" i="65"/>
  <c r="AF79" i="65"/>
  <c r="AG79" i="65" s="1"/>
  <c r="AK79" i="65"/>
  <c r="T80" i="65"/>
  <c r="V80" i="65"/>
  <c r="Y80" i="65"/>
  <c r="AF80" i="65"/>
  <c r="AG80" i="65" s="1"/>
  <c r="AK80" i="65"/>
  <c r="T81" i="65"/>
  <c r="AE81" i="65" s="1"/>
  <c r="V81" i="65"/>
  <c r="Y81" i="65"/>
  <c r="AF81" i="65"/>
  <c r="AG81" i="65" s="1"/>
  <c r="AK81" i="65"/>
  <c r="AM81" i="65"/>
  <c r="T82" i="65"/>
  <c r="AD82" i="65" s="1"/>
  <c r="V82" i="65"/>
  <c r="Y82" i="65"/>
  <c r="AE82" i="65"/>
  <c r="AF82" i="65"/>
  <c r="AG82" i="65" s="1"/>
  <c r="AH82" i="65"/>
  <c r="AI82" i="65" s="1"/>
  <c r="AK82" i="65"/>
  <c r="AM82" i="65"/>
  <c r="T83" i="65"/>
  <c r="AE83" i="65" s="1"/>
  <c r="V83" i="65"/>
  <c r="Y83" i="65"/>
  <c r="AD83" i="65"/>
  <c r="AF83" i="65"/>
  <c r="AG83" i="65" s="1"/>
  <c r="AK83" i="65"/>
  <c r="T84" i="65"/>
  <c r="AE84" i="65" s="1"/>
  <c r="V84" i="65"/>
  <c r="Y84" i="65"/>
  <c r="AF84" i="65"/>
  <c r="AG84" i="65" s="1"/>
  <c r="AK84" i="65"/>
  <c r="T85" i="65"/>
  <c r="AD85" i="65" s="1"/>
  <c r="V85" i="65"/>
  <c r="Y85" i="65"/>
  <c r="AF85" i="65"/>
  <c r="AG85" i="65" s="1"/>
  <c r="AH85" i="65"/>
  <c r="AI85" i="65" s="1"/>
  <c r="AK85" i="65"/>
  <c r="AM85" i="65"/>
  <c r="T86" i="65"/>
  <c r="V86" i="65"/>
  <c r="Y86" i="65"/>
  <c r="AF86" i="65"/>
  <c r="AG86" i="65"/>
  <c r="AK86" i="65"/>
  <c r="AM86" i="65"/>
  <c r="T87" i="65"/>
  <c r="AE87" i="65" s="1"/>
  <c r="V87" i="65"/>
  <c r="Y87" i="65"/>
  <c r="AF87" i="65"/>
  <c r="AG87" i="65" s="1"/>
  <c r="AK87" i="65"/>
  <c r="T88" i="65"/>
  <c r="AD88" i="65" s="1"/>
  <c r="V88" i="65"/>
  <c r="Y88" i="65"/>
  <c r="AF88" i="65"/>
  <c r="AG88" i="65" s="1"/>
  <c r="AH88" i="65"/>
  <c r="AI88" i="65" s="1"/>
  <c r="AK88" i="65"/>
  <c r="AM88" i="65"/>
  <c r="T89" i="65"/>
  <c r="V89" i="65"/>
  <c r="Y89" i="65"/>
  <c r="AF89" i="65"/>
  <c r="AG89" i="65" s="1"/>
  <c r="AK89" i="65"/>
  <c r="T90" i="65"/>
  <c r="AH90" i="65" s="1"/>
  <c r="AI90" i="65" s="1"/>
  <c r="V90" i="65"/>
  <c r="Y90" i="65"/>
  <c r="AF90" i="65"/>
  <c r="AG90" i="65" s="1"/>
  <c r="AK90" i="65"/>
  <c r="T91" i="65"/>
  <c r="AD91" i="65" s="1"/>
  <c r="V91" i="65"/>
  <c r="Y91" i="65"/>
  <c r="AF91" i="65"/>
  <c r="AG91" i="65" s="1"/>
  <c r="AK91" i="65"/>
  <c r="T92" i="65"/>
  <c r="V92" i="65"/>
  <c r="Y92" i="65"/>
  <c r="AF92" i="65"/>
  <c r="AG92" i="65" s="1"/>
  <c r="AK92" i="65"/>
  <c r="T93" i="65"/>
  <c r="AE93" i="65" s="1"/>
  <c r="V93" i="65"/>
  <c r="Y93" i="65"/>
  <c r="AF93" i="65"/>
  <c r="AG93" i="65"/>
  <c r="AK93" i="65"/>
  <c r="AM93" i="65"/>
  <c r="T94" i="65"/>
  <c r="AM94" i="65" s="1"/>
  <c r="V94" i="65"/>
  <c r="Y94" i="65"/>
  <c r="AD94" i="65"/>
  <c r="AF94" i="65"/>
  <c r="AG94" i="65" s="1"/>
  <c r="AK94" i="65"/>
  <c r="T95" i="65"/>
  <c r="AM95" i="65" s="1"/>
  <c r="V95" i="65"/>
  <c r="Y95" i="65"/>
  <c r="AF95" i="65"/>
  <c r="AG95" i="65" s="1"/>
  <c r="AK95" i="65"/>
  <c r="T96" i="65"/>
  <c r="AH96" i="65" s="1"/>
  <c r="V96" i="65"/>
  <c r="Y96" i="65"/>
  <c r="AF96" i="65"/>
  <c r="AG96" i="65" s="1"/>
  <c r="AI96" i="65"/>
  <c r="AK96" i="65"/>
  <c r="T97" i="65"/>
  <c r="AE97" i="65" s="1"/>
  <c r="V97" i="65"/>
  <c r="Y97" i="65"/>
  <c r="AF97" i="65"/>
  <c r="AG97" i="65" s="1"/>
  <c r="AK97" i="65"/>
  <c r="AM97" i="65"/>
  <c r="T98" i="65"/>
  <c r="AD98" i="65" s="1"/>
  <c r="V98" i="65"/>
  <c r="Y98" i="65"/>
  <c r="AF98" i="65"/>
  <c r="AG98" i="65" s="1"/>
  <c r="AK98" i="65"/>
  <c r="AM98" i="65"/>
  <c r="T99" i="65"/>
  <c r="AE99" i="65" s="1"/>
  <c r="V99" i="65"/>
  <c r="Y99" i="65"/>
  <c r="AF99" i="65"/>
  <c r="AG99" i="65" s="1"/>
  <c r="AK99" i="65"/>
  <c r="AM99" i="65"/>
  <c r="T100" i="65"/>
  <c r="AD100" i="65" s="1"/>
  <c r="V100" i="65"/>
  <c r="Y100" i="65"/>
  <c r="AE100" i="65"/>
  <c r="AF100" i="65"/>
  <c r="AG100" i="65" s="1"/>
  <c r="AK100" i="65"/>
  <c r="AM100" i="65"/>
  <c r="T101" i="65"/>
  <c r="AE101" i="65" s="1"/>
  <c r="V101" i="65"/>
  <c r="Y101" i="65"/>
  <c r="AF101" i="65"/>
  <c r="AG101" i="65" s="1"/>
  <c r="AK101" i="65"/>
  <c r="AM101" i="65"/>
  <c r="T102" i="65"/>
  <c r="AD102" i="65" s="1"/>
  <c r="V102" i="65"/>
  <c r="Y102" i="65"/>
  <c r="AF102" i="65"/>
  <c r="AG102" i="65" s="1"/>
  <c r="AH102" i="65"/>
  <c r="AI102" i="65" s="1"/>
  <c r="AK102" i="65"/>
  <c r="AM102" i="65"/>
  <c r="T103" i="65"/>
  <c r="AM103" i="65" s="1"/>
  <c r="V103" i="65"/>
  <c r="Y103" i="65"/>
  <c r="AF103" i="65"/>
  <c r="AG103" i="65" s="1"/>
  <c r="AK103" i="65"/>
  <c r="T104" i="65"/>
  <c r="AH104" i="65" s="1"/>
  <c r="AI104" i="65" s="1"/>
  <c r="V104" i="65"/>
  <c r="Y104" i="65"/>
  <c r="AF104" i="65"/>
  <c r="AG104" i="65" s="1"/>
  <c r="AK104" i="65"/>
  <c r="AM104" i="65"/>
  <c r="T105" i="65"/>
  <c r="AH105" i="65" s="1"/>
  <c r="AI105" i="65" s="1"/>
  <c r="V105" i="65"/>
  <c r="Y105" i="65"/>
  <c r="AF105" i="65"/>
  <c r="AG105" i="65" s="1"/>
  <c r="AK105" i="65"/>
  <c r="AM105" i="65"/>
  <c r="T106" i="65"/>
  <c r="AD106" i="65" s="1"/>
  <c r="V106" i="65"/>
  <c r="Y106" i="65"/>
  <c r="AF106" i="65"/>
  <c r="AG106" i="65" s="1"/>
  <c r="AK106" i="65"/>
  <c r="AM106" i="65"/>
  <c r="T107" i="65"/>
  <c r="AE107" i="65" s="1"/>
  <c r="V107" i="65"/>
  <c r="Y107" i="65"/>
  <c r="AF107" i="65"/>
  <c r="AG107" i="65" s="1"/>
  <c r="AK107" i="65"/>
  <c r="AM107" i="65"/>
  <c r="T108" i="65"/>
  <c r="AD108" i="65" s="1"/>
  <c r="V108" i="65"/>
  <c r="Y108" i="65"/>
  <c r="AE108" i="65"/>
  <c r="AF108" i="65"/>
  <c r="AG108" i="65" s="1"/>
  <c r="AL108" i="65" s="1"/>
  <c r="AH108" i="65"/>
  <c r="AI108" i="65" s="1"/>
  <c r="AK108" i="65"/>
  <c r="T109" i="65"/>
  <c r="AD109" i="65" s="1"/>
  <c r="V109" i="65"/>
  <c r="Y109" i="65"/>
  <c r="AF109" i="65"/>
  <c r="AG109" i="65" s="1"/>
  <c r="AK109" i="65"/>
  <c r="AM109" i="65"/>
  <c r="T110" i="65"/>
  <c r="AD110" i="65" s="1"/>
  <c r="V110" i="65"/>
  <c r="Y110" i="65"/>
  <c r="AE110" i="65"/>
  <c r="AF110" i="65"/>
  <c r="AG110" i="65" s="1"/>
  <c r="AK110" i="65"/>
  <c r="AM110" i="65"/>
  <c r="T111" i="65"/>
  <c r="AD111" i="65" s="1"/>
  <c r="V111" i="65"/>
  <c r="Y111" i="65"/>
  <c r="AF111" i="65"/>
  <c r="AG111" i="65" s="1"/>
  <c r="AH111" i="65"/>
  <c r="AI111" i="65" s="1"/>
  <c r="AK111" i="65"/>
  <c r="AM111" i="65"/>
  <c r="T112" i="65"/>
  <c r="AE112" i="65" s="1"/>
  <c r="V112" i="65"/>
  <c r="Y112" i="65"/>
  <c r="AD112" i="65"/>
  <c r="AF112" i="65"/>
  <c r="AG112" i="65" s="1"/>
  <c r="AK112" i="65"/>
  <c r="AM112" i="65"/>
  <c r="T113" i="65"/>
  <c r="AH113" i="65" s="1"/>
  <c r="AI113" i="65" s="1"/>
  <c r="V113" i="65"/>
  <c r="Y113" i="65"/>
  <c r="AF113" i="65"/>
  <c r="AG113" i="65" s="1"/>
  <c r="AK113" i="65"/>
  <c r="AM113" i="65"/>
  <c r="T114" i="65"/>
  <c r="V114" i="65"/>
  <c r="Y114" i="65"/>
  <c r="AF114" i="65"/>
  <c r="AG114" i="65" s="1"/>
  <c r="AK114" i="65"/>
  <c r="T115" i="65"/>
  <c r="V115" i="65"/>
  <c r="Y115" i="65"/>
  <c r="AF115" i="65"/>
  <c r="AG115" i="65" s="1"/>
  <c r="AK115" i="65"/>
  <c r="T116" i="65"/>
  <c r="AD116" i="65" s="1"/>
  <c r="V116" i="65"/>
  <c r="Y116" i="65"/>
  <c r="AF116" i="65"/>
  <c r="AG116" i="65" s="1"/>
  <c r="AH116" i="65"/>
  <c r="AI116" i="65" s="1"/>
  <c r="AK116" i="65"/>
  <c r="T117" i="65"/>
  <c r="AM117" i="65" s="1"/>
  <c r="V117" i="65"/>
  <c r="Y117" i="65"/>
  <c r="AE117" i="65"/>
  <c r="AF117" i="65"/>
  <c r="AG117" i="65" s="1"/>
  <c r="AH117" i="65"/>
  <c r="AI117" i="65" s="1"/>
  <c r="AK117" i="65"/>
  <c r="T118" i="65"/>
  <c r="V118" i="65"/>
  <c r="Y118" i="65"/>
  <c r="AF118" i="65"/>
  <c r="AG118" i="65" s="1"/>
  <c r="AK118" i="65"/>
  <c r="AM118" i="65"/>
  <c r="T119" i="65"/>
  <c r="AM119" i="65" s="1"/>
  <c r="V119" i="65"/>
  <c r="Y119" i="65"/>
  <c r="AF119" i="65"/>
  <c r="AG119" i="65" s="1"/>
  <c r="AK119" i="65"/>
  <c r="T120" i="65"/>
  <c r="AD120" i="65" s="1"/>
  <c r="V120" i="65"/>
  <c r="Y120" i="65"/>
  <c r="AF120" i="65"/>
  <c r="AG120" i="65" s="1"/>
  <c r="AK120" i="65"/>
  <c r="AM120" i="65"/>
  <c r="T121" i="65"/>
  <c r="AM121" i="65" s="1"/>
  <c r="V121" i="65"/>
  <c r="Y121" i="65"/>
  <c r="AF121" i="65"/>
  <c r="AG121" i="65" s="1"/>
  <c r="AK121" i="65"/>
  <c r="T122" i="65"/>
  <c r="V122" i="65"/>
  <c r="Y122" i="65"/>
  <c r="AD122" i="65"/>
  <c r="AE122" i="65"/>
  <c r="AF122" i="65"/>
  <c r="AG122" i="65" s="1"/>
  <c r="AH122" i="65"/>
  <c r="AI122" i="65"/>
  <c r="AK122" i="65"/>
  <c r="AM122" i="65"/>
  <c r="T123" i="65"/>
  <c r="AD123" i="65" s="1"/>
  <c r="V123" i="65"/>
  <c r="Y123" i="65"/>
  <c r="AE123" i="65"/>
  <c r="AF123" i="65"/>
  <c r="AG123" i="65" s="1"/>
  <c r="AH123" i="65"/>
  <c r="AI123" i="65" s="1"/>
  <c r="AK123" i="65"/>
  <c r="AM123" i="65"/>
  <c r="T124" i="65"/>
  <c r="AH124" i="65" s="1"/>
  <c r="AI124" i="65" s="1"/>
  <c r="V124" i="65"/>
  <c r="Y124" i="65"/>
  <c r="AF124" i="65"/>
  <c r="AG124" i="65" s="1"/>
  <c r="AK124" i="65"/>
  <c r="T125" i="65"/>
  <c r="AH125" i="65" s="1"/>
  <c r="AI125" i="65" s="1"/>
  <c r="V125" i="65"/>
  <c r="Y125" i="65"/>
  <c r="AF125" i="65"/>
  <c r="AG125" i="65" s="1"/>
  <c r="AK125" i="65"/>
  <c r="AM125" i="65"/>
  <c r="T126" i="65"/>
  <c r="AM126" i="65" s="1"/>
  <c r="V126" i="65"/>
  <c r="Y126" i="65"/>
  <c r="AF126" i="65"/>
  <c r="AG126" i="65" s="1"/>
  <c r="AK126" i="65"/>
  <c r="T127" i="65"/>
  <c r="V127" i="65"/>
  <c r="Y127" i="65"/>
  <c r="AF127" i="65"/>
  <c r="AG127" i="65" s="1"/>
  <c r="AK127" i="65"/>
  <c r="AM127" i="65"/>
  <c r="T128" i="65"/>
  <c r="AD128" i="65" s="1"/>
  <c r="V128" i="65"/>
  <c r="Y128" i="65"/>
  <c r="AF128" i="65"/>
  <c r="AG128" i="65"/>
  <c r="AK128" i="65"/>
  <c r="T129" i="65"/>
  <c r="AH129" i="65" s="1"/>
  <c r="AI129" i="65" s="1"/>
  <c r="V129" i="65"/>
  <c r="Y129" i="65"/>
  <c r="AD129" i="65"/>
  <c r="AE129" i="65"/>
  <c r="AF129" i="65"/>
  <c r="AG129" i="65" s="1"/>
  <c r="AK129" i="65"/>
  <c r="T130" i="65"/>
  <c r="V130" i="65"/>
  <c r="Y130" i="65"/>
  <c r="AF130" i="65"/>
  <c r="AG130" i="65" s="1"/>
  <c r="AK130" i="65"/>
  <c r="T131" i="65"/>
  <c r="AM131" i="65" s="1"/>
  <c r="V131" i="65"/>
  <c r="Y131" i="65"/>
  <c r="AF131" i="65"/>
  <c r="AG131" i="65" s="1"/>
  <c r="AK131" i="65"/>
  <c r="T132" i="65"/>
  <c r="AD132" i="65" s="1"/>
  <c r="V132" i="65"/>
  <c r="Y132" i="65"/>
  <c r="AF132" i="65"/>
  <c r="AG132" i="65" s="1"/>
  <c r="AK132" i="65"/>
  <c r="AM132" i="65"/>
  <c r="T133" i="65"/>
  <c r="V133" i="65"/>
  <c r="Y133" i="65"/>
  <c r="AF133" i="65"/>
  <c r="AG133" i="65" s="1"/>
  <c r="AK133" i="65"/>
  <c r="AM133" i="65"/>
  <c r="T134" i="65"/>
  <c r="AD134" i="65" s="1"/>
  <c r="V134" i="65"/>
  <c r="Y134" i="65"/>
  <c r="AE134" i="65"/>
  <c r="AF134" i="65"/>
  <c r="AG134" i="65" s="1"/>
  <c r="AK134" i="65"/>
  <c r="AM134" i="65"/>
  <c r="T135" i="65"/>
  <c r="AD135" i="65" s="1"/>
  <c r="V135" i="65"/>
  <c r="Y135" i="65"/>
  <c r="AE135" i="65"/>
  <c r="AF135" i="65"/>
  <c r="AG135" i="65" s="1"/>
  <c r="AH135" i="65"/>
  <c r="AI135" i="65" s="1"/>
  <c r="AK135" i="65"/>
  <c r="AM135" i="65"/>
  <c r="T136" i="65"/>
  <c r="AH136" i="65" s="1"/>
  <c r="AI136" i="65" s="1"/>
  <c r="V136" i="65"/>
  <c r="Y136" i="65"/>
  <c r="AF136" i="65"/>
  <c r="AG136" i="65" s="1"/>
  <c r="AK136" i="65"/>
  <c r="T137" i="65"/>
  <c r="AH137" i="65" s="1"/>
  <c r="AI137" i="65" s="1"/>
  <c r="V137" i="65"/>
  <c r="Y137" i="65"/>
  <c r="AF137" i="65"/>
  <c r="AG137" i="65" s="1"/>
  <c r="AJ137" i="65" s="1"/>
  <c r="AK137" i="65"/>
  <c r="AM137" i="65"/>
  <c r="T138" i="65"/>
  <c r="AD138" i="65" s="1"/>
  <c r="V138" i="65"/>
  <c r="Y138" i="65"/>
  <c r="AF138" i="65"/>
  <c r="AG138" i="65" s="1"/>
  <c r="AK138" i="65"/>
  <c r="AM138" i="65"/>
  <c r="T139" i="65"/>
  <c r="AH139" i="65" s="1"/>
  <c r="AI139" i="65" s="1"/>
  <c r="V139" i="65"/>
  <c r="Y139" i="65"/>
  <c r="AD139" i="65"/>
  <c r="AF139" i="65"/>
  <c r="AG139" i="65" s="1"/>
  <c r="AK139" i="65"/>
  <c r="AM139" i="65"/>
  <c r="T140" i="65"/>
  <c r="AD140" i="65" s="1"/>
  <c r="V140" i="65"/>
  <c r="Y140" i="65"/>
  <c r="AF140" i="65"/>
  <c r="AG140" i="65" s="1"/>
  <c r="AK140" i="65"/>
  <c r="AM140" i="65"/>
  <c r="T141" i="65"/>
  <c r="AD141" i="65" s="1"/>
  <c r="V141" i="65"/>
  <c r="Y141" i="65"/>
  <c r="AF141" i="65"/>
  <c r="AG141" i="65" s="1"/>
  <c r="AK141" i="65"/>
  <c r="AM141" i="65"/>
  <c r="T142" i="65"/>
  <c r="AD142" i="65" s="1"/>
  <c r="V142" i="65"/>
  <c r="Y142" i="65"/>
  <c r="AF142" i="65"/>
  <c r="AG142" i="65"/>
  <c r="AK142" i="65"/>
  <c r="AM142" i="65"/>
  <c r="T143" i="65"/>
  <c r="AD143" i="65" s="1"/>
  <c r="V143" i="65"/>
  <c r="Y143" i="65"/>
  <c r="AF143" i="65"/>
  <c r="AG143" i="65" s="1"/>
  <c r="AK143" i="65"/>
  <c r="AM143" i="65"/>
  <c r="T144" i="65"/>
  <c r="V144" i="65"/>
  <c r="Y144" i="65"/>
  <c r="AF144" i="65"/>
  <c r="AG144" i="65" s="1"/>
  <c r="AK144" i="65"/>
  <c r="AM144" i="65"/>
  <c r="T145" i="65"/>
  <c r="AH145" i="65" s="1"/>
  <c r="AI145" i="65" s="1"/>
  <c r="V145" i="65"/>
  <c r="Y145" i="65"/>
  <c r="AF145" i="65"/>
  <c r="AG145" i="65"/>
  <c r="AK145" i="65"/>
  <c r="AM145" i="65"/>
  <c r="T146" i="65"/>
  <c r="AD146" i="65" s="1"/>
  <c r="V146" i="65"/>
  <c r="Y146" i="65"/>
  <c r="AF146" i="65"/>
  <c r="AG146" i="65" s="1"/>
  <c r="AJ146" i="65" s="1"/>
  <c r="AH146" i="65"/>
  <c r="AI146" i="65" s="1"/>
  <c r="AK146" i="65"/>
  <c r="AM146" i="65"/>
  <c r="T147" i="65"/>
  <c r="AM147" i="65" s="1"/>
  <c r="V147" i="65"/>
  <c r="Y147" i="65"/>
  <c r="AF147" i="65"/>
  <c r="AG147" i="65" s="1"/>
  <c r="AK147" i="65"/>
  <c r="T148" i="65"/>
  <c r="AD148" i="65" s="1"/>
  <c r="V148" i="65"/>
  <c r="Y148" i="65"/>
  <c r="AF148" i="65"/>
  <c r="AG148" i="65" s="1"/>
  <c r="AK148" i="65"/>
  <c r="AM148" i="65"/>
  <c r="T149" i="65"/>
  <c r="AM149" i="65" s="1"/>
  <c r="V149" i="65"/>
  <c r="Y149" i="65"/>
  <c r="AF149" i="65"/>
  <c r="AG149" i="65" s="1"/>
  <c r="AH149" i="65"/>
  <c r="AI149" i="65" s="1"/>
  <c r="AK149" i="65"/>
  <c r="T150" i="65"/>
  <c r="AM150" i="65" s="1"/>
  <c r="V150" i="65"/>
  <c r="Y150" i="65"/>
  <c r="AF150" i="65"/>
  <c r="AG150" i="65" s="1"/>
  <c r="AK150" i="65"/>
  <c r="T151" i="65"/>
  <c r="AD151" i="65" s="1"/>
  <c r="V151" i="65"/>
  <c r="Y151" i="65"/>
  <c r="AF151" i="65"/>
  <c r="AG151" i="65" s="1"/>
  <c r="AK151" i="65"/>
  <c r="AM151" i="65"/>
  <c r="T152" i="65"/>
  <c r="AE152" i="65" s="1"/>
  <c r="V152" i="65"/>
  <c r="Y152" i="65"/>
  <c r="AF152" i="65"/>
  <c r="AG152" i="65" s="1"/>
  <c r="AK152" i="65"/>
  <c r="AM152" i="65"/>
  <c r="T153" i="65"/>
  <c r="AE153" i="65" s="1"/>
  <c r="V153" i="65"/>
  <c r="Y153" i="65"/>
  <c r="AD153" i="65"/>
  <c r="AF153" i="65"/>
  <c r="AG153" i="65" s="1"/>
  <c r="AK153" i="65"/>
  <c r="AM153" i="65"/>
  <c r="T154" i="65"/>
  <c r="AE154" i="65" s="1"/>
  <c r="V154" i="65"/>
  <c r="Y154" i="65"/>
  <c r="AD154" i="65"/>
  <c r="AF154" i="65"/>
  <c r="AG154" i="65" s="1"/>
  <c r="AK154" i="65"/>
  <c r="AM154" i="65"/>
  <c r="T155" i="65"/>
  <c r="AH155" i="65" s="1"/>
  <c r="AI155" i="65" s="1"/>
  <c r="V155" i="65"/>
  <c r="Y155" i="65"/>
  <c r="AF155" i="65"/>
  <c r="AG155" i="65" s="1"/>
  <c r="AK155" i="65"/>
  <c r="T156" i="65"/>
  <c r="AD156" i="65" s="1"/>
  <c r="V156" i="65"/>
  <c r="Y156" i="65"/>
  <c r="AF156" i="65"/>
  <c r="AG156" i="65" s="1"/>
  <c r="AK156" i="65"/>
  <c r="T157" i="65"/>
  <c r="AE157" i="65" s="1"/>
  <c r="V157" i="65"/>
  <c r="Y157" i="65"/>
  <c r="AF157" i="65"/>
  <c r="AG157" i="65" s="1"/>
  <c r="AK157" i="65"/>
  <c r="T158" i="65"/>
  <c r="AD158" i="65" s="1"/>
  <c r="V158" i="65"/>
  <c r="Y158" i="65"/>
  <c r="AF158" i="65"/>
  <c r="AG158" i="65" s="1"/>
  <c r="AK158" i="65"/>
  <c r="T159" i="65"/>
  <c r="AM159" i="65" s="1"/>
  <c r="V159" i="65"/>
  <c r="Y159" i="65"/>
  <c r="AF159" i="65"/>
  <c r="AG159" i="65"/>
  <c r="AK159" i="65"/>
  <c r="T160" i="65"/>
  <c r="V160" i="65"/>
  <c r="Y160" i="65"/>
  <c r="AF160" i="65"/>
  <c r="AG160" i="65" s="1"/>
  <c r="AK160" i="65"/>
  <c r="T161" i="65"/>
  <c r="AM161" i="65" s="1"/>
  <c r="V161" i="65"/>
  <c r="Y161" i="65"/>
  <c r="AF161" i="65"/>
  <c r="AG161" i="65" s="1"/>
  <c r="AK161" i="65"/>
  <c r="T162" i="65"/>
  <c r="AM162" i="65" s="1"/>
  <c r="V162" i="65"/>
  <c r="Y162" i="65"/>
  <c r="AF162" i="65"/>
  <c r="AG162" i="65"/>
  <c r="AK162" i="65"/>
  <c r="T163" i="65"/>
  <c r="AM163" i="65" s="1"/>
  <c r="V163" i="65"/>
  <c r="Y163" i="65"/>
  <c r="AF163" i="65"/>
  <c r="AG163" i="65" s="1"/>
  <c r="AK163" i="65"/>
  <c r="T164" i="65"/>
  <c r="AE164" i="65" s="1"/>
  <c r="V164" i="65"/>
  <c r="Y164" i="65"/>
  <c r="AF164" i="65"/>
  <c r="AG164" i="65"/>
  <c r="AK164" i="65"/>
  <c r="T165" i="65"/>
  <c r="AD165" i="65" s="1"/>
  <c r="V165" i="65"/>
  <c r="Y165" i="65"/>
  <c r="AF165" i="65"/>
  <c r="AG165" i="65" s="1"/>
  <c r="AH165" i="65"/>
  <c r="AI165" i="65" s="1"/>
  <c r="AK165" i="65"/>
  <c r="AM165" i="65"/>
  <c r="T166" i="65"/>
  <c r="AE166" i="65" s="1"/>
  <c r="V166" i="65"/>
  <c r="Y166" i="65"/>
  <c r="AF166" i="65"/>
  <c r="AG166" i="65" s="1"/>
  <c r="AK166" i="65"/>
  <c r="AM166" i="65"/>
  <c r="T167" i="65"/>
  <c r="AH167" i="65" s="1"/>
  <c r="AI167" i="65" s="1"/>
  <c r="V167" i="65"/>
  <c r="Y167" i="65"/>
  <c r="AF167" i="65"/>
  <c r="AG167" i="65" s="1"/>
  <c r="AJ167" i="65" s="1"/>
  <c r="AK167" i="65"/>
  <c r="AM167" i="65"/>
  <c r="T168" i="65"/>
  <c r="AH168" i="65" s="1"/>
  <c r="AI168" i="65" s="1"/>
  <c r="V168" i="65"/>
  <c r="Y168" i="65"/>
  <c r="AF168" i="65"/>
  <c r="AG168" i="65" s="1"/>
  <c r="AK168" i="65"/>
  <c r="T169" i="65"/>
  <c r="AD169" i="65" s="1"/>
  <c r="V169" i="65"/>
  <c r="Y169" i="65"/>
  <c r="AF169" i="65"/>
  <c r="AG169" i="65" s="1"/>
  <c r="AK169" i="65"/>
  <c r="T170" i="65"/>
  <c r="AE170" i="65" s="1"/>
  <c r="V170" i="65"/>
  <c r="Y170" i="65"/>
  <c r="AF170" i="65"/>
  <c r="AG170" i="65" s="1"/>
  <c r="AK170" i="65"/>
  <c r="T171" i="65"/>
  <c r="AM171" i="65" s="1"/>
  <c r="V171" i="65"/>
  <c r="Y171" i="65"/>
  <c r="AF171" i="65"/>
  <c r="AG171" i="65" s="1"/>
  <c r="AK171" i="65"/>
  <c r="T172" i="65"/>
  <c r="AM172" i="65" s="1"/>
  <c r="V172" i="65"/>
  <c r="Y172" i="65"/>
  <c r="AF172" i="65"/>
  <c r="AG172" i="65" s="1"/>
  <c r="AK172" i="65"/>
  <c r="T173" i="65"/>
  <c r="AM173" i="65" s="1"/>
  <c r="V173" i="65"/>
  <c r="Y173" i="65"/>
  <c r="AF173" i="65"/>
  <c r="AG173" i="65" s="1"/>
  <c r="AK173" i="65"/>
  <c r="T174" i="65"/>
  <c r="AE174" i="65" s="1"/>
  <c r="V174" i="65"/>
  <c r="Y174" i="65"/>
  <c r="AF174" i="65"/>
  <c r="AG174" i="65" s="1"/>
  <c r="AK174" i="65"/>
  <c r="T175" i="65"/>
  <c r="V175" i="65"/>
  <c r="Y175" i="65"/>
  <c r="AF175" i="65"/>
  <c r="AG175" i="65" s="1"/>
  <c r="AH175" i="65"/>
  <c r="AI175" i="65" s="1"/>
  <c r="AK175" i="65"/>
  <c r="T176" i="65"/>
  <c r="AE176" i="65" s="1"/>
  <c r="V176" i="65"/>
  <c r="Y176" i="65"/>
  <c r="AF176" i="65"/>
  <c r="AG176" i="65" s="1"/>
  <c r="AK176" i="65"/>
  <c r="AM176" i="65"/>
  <c r="T177" i="65"/>
  <c r="AD177" i="65" s="1"/>
  <c r="V177" i="65"/>
  <c r="Y177" i="65"/>
  <c r="AF177" i="65"/>
  <c r="AG177" i="65" s="1"/>
  <c r="AH177" i="65"/>
  <c r="AI177" i="65" s="1"/>
  <c r="AK177" i="65"/>
  <c r="AM177" i="65"/>
  <c r="T178" i="65"/>
  <c r="AD178" i="65" s="1"/>
  <c r="V178" i="65"/>
  <c r="Y178" i="65"/>
  <c r="AF178" i="65"/>
  <c r="AG178" i="65" s="1"/>
  <c r="AK178" i="65"/>
  <c r="AM178" i="65"/>
  <c r="T179" i="65"/>
  <c r="AH179" i="65" s="1"/>
  <c r="AI179" i="65" s="1"/>
  <c r="V179" i="65"/>
  <c r="Y179" i="65"/>
  <c r="AF179" i="65"/>
  <c r="AG179" i="65"/>
  <c r="AK179" i="65"/>
  <c r="T180" i="65"/>
  <c r="AD180" i="65" s="1"/>
  <c r="V180" i="65"/>
  <c r="Y180" i="65"/>
  <c r="AF180" i="65"/>
  <c r="AG180" i="65" s="1"/>
  <c r="AH180" i="65"/>
  <c r="AI180" i="65" s="1"/>
  <c r="AK180" i="65"/>
  <c r="AM180" i="65"/>
  <c r="T181" i="65"/>
  <c r="AD181" i="65" s="1"/>
  <c r="V181" i="65"/>
  <c r="Y181" i="65"/>
  <c r="AF181" i="65"/>
  <c r="AG181" i="65" s="1"/>
  <c r="AK181" i="65"/>
  <c r="AM181" i="65"/>
  <c r="AA5" i="34" l="1"/>
  <c r="AC5" i="34" s="1"/>
  <c r="AP5" i="34" s="1"/>
  <c r="Z5" i="34"/>
  <c r="AB5" i="34" s="1"/>
  <c r="AO5" i="34" s="1"/>
  <c r="R54" i="67"/>
  <c r="Q54" i="67"/>
  <c r="AL40" i="70"/>
  <c r="AL41" i="70"/>
  <c r="AN24" i="70"/>
  <c r="AJ42" i="70"/>
  <c r="AN36" i="70"/>
  <c r="AL26" i="70"/>
  <c r="AJ39" i="70"/>
  <c r="AN105" i="22"/>
  <c r="AL34" i="70"/>
  <c r="AJ30" i="70"/>
  <c r="AN50" i="69"/>
  <c r="AJ59" i="69"/>
  <c r="AN48" i="69"/>
  <c r="AJ48" i="69"/>
  <c r="AN53" i="69"/>
  <c r="AN38" i="69"/>
  <c r="AN59" i="69"/>
  <c r="AN47" i="69"/>
  <c r="AL122" i="65"/>
  <c r="AE111" i="65"/>
  <c r="AN111" i="65" s="1"/>
  <c r="AN110" i="65"/>
  <c r="AD164" i="65"/>
  <c r="AM128" i="65"/>
  <c r="AM116" i="65"/>
  <c r="AE171" i="65"/>
  <c r="AM136" i="65"/>
  <c r="AE173" i="65"/>
  <c r="AE167" i="65"/>
  <c r="AH128" i="65"/>
  <c r="AI128" i="65" s="1"/>
  <c r="AJ128" i="65" s="1"/>
  <c r="AD167" i="65"/>
  <c r="AJ125" i="65"/>
  <c r="AM168" i="65"/>
  <c r="AL165" i="65"/>
  <c r="AM155" i="65"/>
  <c r="AH152" i="65"/>
  <c r="AI152" i="65" s="1"/>
  <c r="AJ136" i="65"/>
  <c r="AM129" i="65"/>
  <c r="AM124" i="65"/>
  <c r="AE116" i="65"/>
  <c r="AH101" i="65"/>
  <c r="AI101" i="65" s="1"/>
  <c r="AJ101" i="65" s="1"/>
  <c r="AH176" i="65"/>
  <c r="AI176" i="65" s="1"/>
  <c r="AL176" i="65" s="1"/>
  <c r="AM170" i="65"/>
  <c r="AN153" i="65"/>
  <c r="AD136" i="65"/>
  <c r="AE128" i="65"/>
  <c r="AJ102" i="65"/>
  <c r="AH161" i="65"/>
  <c r="AI161" i="65" s="1"/>
  <c r="AH150" i="65"/>
  <c r="AI150" i="65" s="1"/>
  <c r="AE131" i="65"/>
  <c r="AN131" i="65" s="1"/>
  <c r="AN123" i="65"/>
  <c r="AM108" i="65"/>
  <c r="AN108" i="65" s="1"/>
  <c r="AD101" i="65"/>
  <c r="AN101" i="65" s="1"/>
  <c r="AD176" i="65"/>
  <c r="AH174" i="65"/>
  <c r="AI174" i="65" s="1"/>
  <c r="AL174" i="65" s="1"/>
  <c r="AH153" i="65"/>
  <c r="AI153" i="65" s="1"/>
  <c r="AD152" i="65"/>
  <c r="AH148" i="65"/>
  <c r="AI148" i="65" s="1"/>
  <c r="AE139" i="65"/>
  <c r="AH134" i="65"/>
  <c r="AI134" i="65" s="1"/>
  <c r="AL134" i="65" s="1"/>
  <c r="AD131" i="65"/>
  <c r="AE124" i="65"/>
  <c r="AM164" i="65"/>
  <c r="AN164" i="65" s="1"/>
  <c r="AD161" i="65"/>
  <c r="AE159" i="65"/>
  <c r="AN139" i="65"/>
  <c r="AN155" i="3"/>
  <c r="AL170" i="3"/>
  <c r="AJ222" i="3"/>
  <c r="AL222" i="3"/>
  <c r="AL252" i="3"/>
  <c r="AL332" i="3"/>
  <c r="AJ112" i="3"/>
  <c r="AJ210" i="3"/>
  <c r="AJ220" i="3"/>
  <c r="AL49" i="3"/>
  <c r="AL152" i="3"/>
  <c r="AJ282" i="3"/>
  <c r="AN334" i="3"/>
  <c r="AL288" i="3"/>
  <c r="AJ62" i="3"/>
  <c r="AL62" i="3"/>
  <c r="AJ176" i="3"/>
  <c r="AL176" i="3"/>
  <c r="AJ100" i="3"/>
  <c r="AN142" i="3"/>
  <c r="AL99" i="3"/>
  <c r="AL183" i="3"/>
  <c r="AL189" i="3"/>
  <c r="AJ296" i="3"/>
  <c r="AL315" i="3"/>
  <c r="AL254" i="3"/>
  <c r="AJ336" i="3"/>
  <c r="AL336" i="3"/>
  <c r="AN344" i="3"/>
  <c r="AJ74" i="3"/>
  <c r="AL74" i="3"/>
  <c r="AJ126" i="3"/>
  <c r="AL126" i="3"/>
  <c r="AL70" i="3"/>
  <c r="AL120" i="3"/>
  <c r="AJ173" i="3"/>
  <c r="AL173" i="3"/>
  <c r="AL86" i="3"/>
  <c r="AJ86" i="3"/>
  <c r="AL261" i="3"/>
  <c r="AL228" i="3"/>
  <c r="AL249" i="3"/>
  <c r="AJ308" i="3"/>
  <c r="AL328" i="3"/>
  <c r="AL105" i="3"/>
  <c r="AN131" i="3"/>
  <c r="AN154" i="3"/>
  <c r="AN316" i="3"/>
  <c r="AN67" i="3"/>
  <c r="AL54" i="3"/>
  <c r="AL201" i="3"/>
  <c r="AN228" i="3"/>
  <c r="AL216" i="3"/>
  <c r="AL329" i="3"/>
  <c r="AJ164" i="3"/>
  <c r="AL213" i="3"/>
  <c r="AL242" i="3"/>
  <c r="AL266" i="3"/>
  <c r="AJ82" i="3"/>
  <c r="AL82" i="3"/>
  <c r="AJ61" i="3"/>
  <c r="AN143" i="3"/>
  <c r="AN254" i="3"/>
  <c r="AN343" i="3"/>
  <c r="AJ96" i="65"/>
  <c r="AH94" i="65"/>
  <c r="AI94" i="65" s="1"/>
  <c r="AM90" i="65"/>
  <c r="AD87" i="65"/>
  <c r="AL74" i="65"/>
  <c r="AM66" i="65"/>
  <c r="AD43" i="65"/>
  <c r="AN10" i="65"/>
  <c r="AH51" i="65"/>
  <c r="AI51" i="65" s="1"/>
  <c r="AH44" i="65"/>
  <c r="AI44" i="65" s="1"/>
  <c r="AL44" i="65" s="1"/>
  <c r="AH32" i="65"/>
  <c r="AI32" i="65" s="1"/>
  <c r="AE94" i="65"/>
  <c r="AN94" i="65" s="1"/>
  <c r="AJ88" i="65"/>
  <c r="AM37" i="65"/>
  <c r="AD19" i="65"/>
  <c r="AE88" i="65"/>
  <c r="AL66" i="65"/>
  <c r="AM10" i="65"/>
  <c r="AE66" i="65"/>
  <c r="AM64" i="65"/>
  <c r="AD63" i="65"/>
  <c r="AH37" i="65"/>
  <c r="AI37" i="65" s="1"/>
  <c r="AL37" i="65" s="1"/>
  <c r="AD28" i="65"/>
  <c r="AN28" i="65" s="1"/>
  <c r="AM84" i="65"/>
  <c r="AM67" i="65"/>
  <c r="AM35" i="65"/>
  <c r="AH10" i="65"/>
  <c r="AI10" i="65" s="1"/>
  <c r="AM78" i="65"/>
  <c r="AH69" i="65"/>
  <c r="AI69" i="65" s="1"/>
  <c r="AJ64" i="65"/>
  <c r="AE61" i="65"/>
  <c r="AN61" i="65" s="1"/>
  <c r="AE37" i="65"/>
  <c r="AM31" i="65"/>
  <c r="AM87" i="65"/>
  <c r="AN87" i="65" s="1"/>
  <c r="AN66" i="65"/>
  <c r="AD61" i="65"/>
  <c r="AH35" i="65"/>
  <c r="AI35" i="65" s="1"/>
  <c r="AM29" i="65"/>
  <c r="AM25" i="65"/>
  <c r="AE13" i="65"/>
  <c r="AM96" i="65"/>
  <c r="AD69" i="65"/>
  <c r="AE64" i="65"/>
  <c r="AM62" i="65"/>
  <c r="AH48" i="65"/>
  <c r="AI48" i="65" s="1"/>
  <c r="AL48" i="65" s="1"/>
  <c r="AE40" i="65"/>
  <c r="AN40" i="65" s="1"/>
  <c r="AD13" i="65"/>
  <c r="AN13" i="65" s="1"/>
  <c r="AE10" i="65"/>
  <c r="AH8" i="65"/>
  <c r="AI8" i="65" s="1"/>
  <c r="AH87" i="65"/>
  <c r="AI87" i="65" s="1"/>
  <c r="AE31" i="65"/>
  <c r="AH23" i="65"/>
  <c r="AI23" i="65" s="1"/>
  <c r="AH11" i="65"/>
  <c r="AI11" i="65" s="1"/>
  <c r="AM6" i="65"/>
  <c r="AN5" i="65"/>
  <c r="AJ16" i="65"/>
  <c r="AL16" i="65"/>
  <c r="AJ152" i="65"/>
  <c r="AN135" i="65"/>
  <c r="AJ177" i="65"/>
  <c r="AJ135" i="65"/>
  <c r="AL135" i="65"/>
  <c r="AJ76" i="65"/>
  <c r="AL64" i="65"/>
  <c r="AN47" i="65"/>
  <c r="AL31" i="65"/>
  <c r="AL149" i="65"/>
  <c r="AJ149" i="65"/>
  <c r="AN48" i="65"/>
  <c r="AJ150" i="65"/>
  <c r="AH171" i="65"/>
  <c r="AI171" i="65" s="1"/>
  <c r="AJ171" i="65" s="1"/>
  <c r="AD170" i="65"/>
  <c r="AN170" i="65" s="1"/>
  <c r="AH164" i="65"/>
  <c r="AI164" i="65" s="1"/>
  <c r="AJ164" i="65" s="1"/>
  <c r="AH159" i="65"/>
  <c r="AI159" i="65" s="1"/>
  <c r="AJ159" i="65" s="1"/>
  <c r="AH142" i="65"/>
  <c r="AI142" i="65" s="1"/>
  <c r="AH110" i="65"/>
  <c r="AI110" i="65" s="1"/>
  <c r="AL110" i="65" s="1"/>
  <c r="AH100" i="65"/>
  <c r="AI100" i="65" s="1"/>
  <c r="AH99" i="65"/>
  <c r="AI99" i="65" s="1"/>
  <c r="AD81" i="65"/>
  <c r="AN81" i="65" s="1"/>
  <c r="AD59" i="65"/>
  <c r="AN59" i="65" s="1"/>
  <c r="AD25" i="65"/>
  <c r="AL167" i="65"/>
  <c r="AH162" i="65"/>
  <c r="AI162" i="65" s="1"/>
  <c r="AJ162" i="65" s="1"/>
  <c r="AN154" i="65"/>
  <c r="AL150" i="65"/>
  <c r="AH143" i="65"/>
  <c r="AI143" i="65" s="1"/>
  <c r="AL143" i="65" s="1"/>
  <c r="AD119" i="65"/>
  <c r="AE106" i="65"/>
  <c r="AD99" i="65"/>
  <c r="AN99" i="65" s="1"/>
  <c r="AE98" i="65"/>
  <c r="AH95" i="65"/>
  <c r="AI95" i="65" s="1"/>
  <c r="AL95" i="65" s="1"/>
  <c r="AH29" i="65"/>
  <c r="AI29" i="65" s="1"/>
  <c r="AJ29" i="65" s="1"/>
  <c r="AL99" i="65"/>
  <c r="AL102" i="65"/>
  <c r="AH181" i="65"/>
  <c r="AI181" i="65" s="1"/>
  <c r="AL181" i="65" s="1"/>
  <c r="AE180" i="65"/>
  <c r="AN180" i="65" s="1"/>
  <c r="AE177" i="65"/>
  <c r="AN177" i="65" s="1"/>
  <c r="AH172" i="65"/>
  <c r="AI172" i="65" s="1"/>
  <c r="AL172" i="65" s="1"/>
  <c r="AE165" i="65"/>
  <c r="AN165" i="65" s="1"/>
  <c r="AH140" i="65"/>
  <c r="AI140" i="65" s="1"/>
  <c r="AH120" i="65"/>
  <c r="AI120" i="65" s="1"/>
  <c r="AL120" i="65" s="1"/>
  <c r="AD117" i="65"/>
  <c r="AD107" i="65"/>
  <c r="AN107" i="65" s="1"/>
  <c r="AD95" i="65"/>
  <c r="AL52" i="65"/>
  <c r="AE47" i="65"/>
  <c r="AL38" i="65"/>
  <c r="AD32" i="65"/>
  <c r="AN32" i="65" s="1"/>
  <c r="AE29" i="65"/>
  <c r="AN29" i="65" s="1"/>
  <c r="AD20" i="65"/>
  <c r="AH178" i="65"/>
  <c r="AI178" i="65" s="1"/>
  <c r="AJ178" i="65" s="1"/>
  <c r="AE162" i="65"/>
  <c r="AH147" i="65"/>
  <c r="AI147" i="65" s="1"/>
  <c r="AJ147" i="65" s="1"/>
  <c r="AE143" i="65"/>
  <c r="AN143" i="65" s="1"/>
  <c r="AL137" i="65"/>
  <c r="AL75" i="65"/>
  <c r="AN64" i="65"/>
  <c r="AH55" i="65"/>
  <c r="AI55" i="65" s="1"/>
  <c r="AL55" i="65" s="1"/>
  <c r="AD51" i="65"/>
  <c r="AE41" i="65"/>
  <c r="AN41" i="65" s="1"/>
  <c r="AN25" i="65"/>
  <c r="AE169" i="65"/>
  <c r="AD166" i="65"/>
  <c r="AE155" i="65"/>
  <c r="AL152" i="65"/>
  <c r="AE150" i="65"/>
  <c r="AL139" i="65"/>
  <c r="AJ129" i="65"/>
  <c r="AD124" i="65"/>
  <c r="AE78" i="65"/>
  <c r="AH70" i="65"/>
  <c r="AI70" i="65" s="1"/>
  <c r="AH67" i="65"/>
  <c r="AI67" i="65" s="1"/>
  <c r="AJ66" i="65"/>
  <c r="AH24" i="65"/>
  <c r="AI24" i="65" s="1"/>
  <c r="AJ24" i="65" s="1"/>
  <c r="AJ165" i="65"/>
  <c r="AE181" i="65"/>
  <c r="AN181" i="65" s="1"/>
  <c r="AD172" i="65"/>
  <c r="AD155" i="65"/>
  <c r="AE120" i="65"/>
  <c r="AN88" i="65"/>
  <c r="AD78" i="65"/>
  <c r="AE72" i="65"/>
  <c r="AJ100" i="65"/>
  <c r="AN166" i="65"/>
  <c r="AH170" i="65"/>
  <c r="AI170" i="65" s="1"/>
  <c r="AJ170" i="65" s="1"/>
  <c r="AE147" i="65"/>
  <c r="AH141" i="65"/>
  <c r="AI141" i="65" s="1"/>
  <c r="AJ141" i="65" s="1"/>
  <c r="AN134" i="65"/>
  <c r="AN122" i="65"/>
  <c r="AE102" i="65"/>
  <c r="AN102" i="65" s="1"/>
  <c r="AD96" i="65"/>
  <c r="AD75" i="65"/>
  <c r="AN75" i="65" s="1"/>
  <c r="AE67" i="65"/>
  <c r="AN67" i="65" s="1"/>
  <c r="AH62" i="65"/>
  <c r="AI62" i="65" s="1"/>
  <c r="AL62" i="65" s="1"/>
  <c r="AH59" i="65"/>
  <c r="AI59" i="65" s="1"/>
  <c r="AH56" i="65"/>
  <c r="AI56" i="65" s="1"/>
  <c r="AL56" i="65" s="1"/>
  <c r="AE55" i="65"/>
  <c r="AN55" i="65" s="1"/>
  <c r="AE49" i="65"/>
  <c r="AN43" i="65"/>
  <c r="AN37" i="65"/>
  <c r="AE35" i="65"/>
  <c r="AN35" i="65" s="1"/>
  <c r="AE33" i="65"/>
  <c r="AN31" i="65"/>
  <c r="AH25" i="65"/>
  <c r="AI25" i="65" s="1"/>
  <c r="AJ25" i="65" s="1"/>
  <c r="AD24" i="65"/>
  <c r="AE21" i="65"/>
  <c r="AN19" i="65"/>
  <c r="AN12" i="65"/>
  <c r="AN11" i="65"/>
  <c r="AN176" i="65"/>
  <c r="AH173" i="65"/>
  <c r="AI173" i="65" s="1"/>
  <c r="AE156" i="65"/>
  <c r="AH151" i="65"/>
  <c r="AI151" i="65" s="1"/>
  <c r="AL151" i="65" s="1"/>
  <c r="AH138" i="65"/>
  <c r="AI138" i="65" s="1"/>
  <c r="AE125" i="65"/>
  <c r="AL124" i="65"/>
  <c r="AE113" i="65"/>
  <c r="AE105" i="65"/>
  <c r="AN105" i="65" s="1"/>
  <c r="AN100" i="65"/>
  <c r="AH93" i="65"/>
  <c r="AI93" i="65" s="1"/>
  <c r="AJ93" i="65" s="1"/>
  <c r="AE90" i="65"/>
  <c r="AH81" i="65"/>
  <c r="AI81" i="65" s="1"/>
  <c r="AJ81" i="65" s="1"/>
  <c r="AE70" i="65"/>
  <c r="AN70" i="65" s="1"/>
  <c r="AD49" i="65"/>
  <c r="AN49" i="65" s="1"/>
  <c r="AH36" i="65"/>
  <c r="AI36" i="65" s="1"/>
  <c r="AJ36" i="65" s="1"/>
  <c r="AN23" i="65"/>
  <c r="AH6" i="65"/>
  <c r="AI6" i="65" s="1"/>
  <c r="AJ6" i="65" s="1"/>
  <c r="AJ17" i="65"/>
  <c r="AJ161" i="65"/>
  <c r="AJ151" i="65"/>
  <c r="AD125" i="65"/>
  <c r="AD113" i="65"/>
  <c r="AN113" i="65" s="1"/>
  <c r="AD105" i="65"/>
  <c r="AL100" i="65"/>
  <c r="AJ99" i="65"/>
  <c r="AD97" i="65"/>
  <c r="AN97" i="65" s="1"/>
  <c r="AD90" i="65"/>
  <c r="AE62" i="65"/>
  <c r="AN44" i="65"/>
  <c r="AH28" i="65"/>
  <c r="AI28" i="65" s="1"/>
  <c r="AL28" i="65" s="1"/>
  <c r="AJ69" i="65"/>
  <c r="AN167" i="65"/>
  <c r="AL148" i="65"/>
  <c r="AL136" i="65"/>
  <c r="AH106" i="65"/>
  <c r="AI106" i="65" s="1"/>
  <c r="AH98" i="65"/>
  <c r="AI98" i="65" s="1"/>
  <c r="AJ98" i="65" s="1"/>
  <c r="AH91" i="65"/>
  <c r="AI91" i="65" s="1"/>
  <c r="AJ91" i="65" s="1"/>
  <c r="AH63" i="65"/>
  <c r="AI63" i="65" s="1"/>
  <c r="AL40" i="65"/>
  <c r="AD36" i="65"/>
  <c r="AN36" i="65" s="1"/>
  <c r="AJ180" i="65"/>
  <c r="AL180" i="65"/>
  <c r="AL171" i="65"/>
  <c r="AJ172" i="65"/>
  <c r="AL175" i="65"/>
  <c r="AJ175" i="65"/>
  <c r="AL179" i="65"/>
  <c r="AJ179" i="65"/>
  <c r="AJ174" i="65"/>
  <c r="AL173" i="65"/>
  <c r="AJ173" i="65"/>
  <c r="AM158" i="65"/>
  <c r="AE158" i="65"/>
  <c r="AJ153" i="65"/>
  <c r="AL153" i="65"/>
  <c r="AD175" i="65"/>
  <c r="AE175" i="65"/>
  <c r="AD163" i="65"/>
  <c r="AN163" i="65" s="1"/>
  <c r="AE163" i="65"/>
  <c r="AH163" i="65"/>
  <c r="AI163" i="65" s="1"/>
  <c r="AL163" i="65" s="1"/>
  <c r="AH144" i="65"/>
  <c r="AI144" i="65" s="1"/>
  <c r="AJ144" i="65" s="1"/>
  <c r="AD144" i="65"/>
  <c r="AE144" i="65"/>
  <c r="AJ145" i="65"/>
  <c r="AL145" i="65"/>
  <c r="AE178" i="65"/>
  <c r="AN178" i="65" s="1"/>
  <c r="AM160" i="65"/>
  <c r="AD160" i="65"/>
  <c r="AE160" i="65"/>
  <c r="AJ168" i="65"/>
  <c r="AL168" i="65"/>
  <c r="AE179" i="65"/>
  <c r="AD173" i="65"/>
  <c r="AN173" i="65" s="1"/>
  <c r="AD171" i="65"/>
  <c r="AN171" i="65" s="1"/>
  <c r="AE168" i="65"/>
  <c r="AH158" i="65"/>
  <c r="AI158" i="65" s="1"/>
  <c r="AJ158" i="65" s="1"/>
  <c r="AD133" i="65"/>
  <c r="AE133" i="65"/>
  <c r="AH133" i="65"/>
  <c r="AI133" i="65" s="1"/>
  <c r="AJ133" i="65" s="1"/>
  <c r="AD179" i="65"/>
  <c r="AL177" i="65"/>
  <c r="AD168" i="65"/>
  <c r="AM174" i="65"/>
  <c r="AD174" i="65"/>
  <c r="AH156" i="65"/>
  <c r="AI156" i="65" s="1"/>
  <c r="AJ156" i="65" s="1"/>
  <c r="AM156" i="65"/>
  <c r="AJ155" i="65"/>
  <c r="AL155" i="65"/>
  <c r="AJ142" i="65"/>
  <c r="AL142" i="65"/>
  <c r="AN129" i="65"/>
  <c r="AJ154" i="65"/>
  <c r="AJ181" i="65"/>
  <c r="AL161" i="65"/>
  <c r="AH160" i="65"/>
  <c r="AI160" i="65" s="1"/>
  <c r="AJ160" i="65" s="1"/>
  <c r="AJ138" i="65"/>
  <c r="AL138" i="65"/>
  <c r="AM179" i="65"/>
  <c r="AM175" i="65"/>
  <c r="AE172" i="65"/>
  <c r="AN172" i="65" s="1"/>
  <c r="AH169" i="65"/>
  <c r="AI169" i="65" s="1"/>
  <c r="AJ169" i="65" s="1"/>
  <c r="AM169" i="65"/>
  <c r="AH157" i="65"/>
  <c r="AI157" i="65" s="1"/>
  <c r="AJ157" i="65" s="1"/>
  <c r="AM157" i="65"/>
  <c r="AD157" i="65"/>
  <c r="AN152" i="65"/>
  <c r="AJ148" i="65"/>
  <c r="AH126" i="65"/>
  <c r="AI126" i="65" s="1"/>
  <c r="AJ126" i="65" s="1"/>
  <c r="AD126" i="65"/>
  <c r="AE126" i="65"/>
  <c r="AL140" i="65"/>
  <c r="AJ117" i="65"/>
  <c r="AL117" i="65"/>
  <c r="AJ116" i="65"/>
  <c r="AL116" i="65"/>
  <c r="AJ113" i="65"/>
  <c r="AL113" i="65"/>
  <c r="AE145" i="65"/>
  <c r="AM130" i="65"/>
  <c r="AH130" i="65"/>
  <c r="AI130" i="65" s="1"/>
  <c r="AJ130" i="65" s="1"/>
  <c r="AH127" i="65"/>
  <c r="AI127" i="65" s="1"/>
  <c r="AL127" i="65" s="1"/>
  <c r="AE127" i="65"/>
  <c r="AH114" i="65"/>
  <c r="AI114" i="65" s="1"/>
  <c r="AJ114" i="65" s="1"/>
  <c r="AM114" i="65"/>
  <c r="AD114" i="65"/>
  <c r="AE146" i="65"/>
  <c r="AN146" i="65" s="1"/>
  <c r="AD145" i="65"/>
  <c r="AE140" i="65"/>
  <c r="AN140" i="65" s="1"/>
  <c r="AE137" i="65"/>
  <c r="AL125" i="65"/>
  <c r="AJ120" i="65"/>
  <c r="AJ85" i="65"/>
  <c r="AL85" i="65"/>
  <c r="AD137" i="65"/>
  <c r="AN112" i="65"/>
  <c r="AJ108" i="65"/>
  <c r="AD159" i="65"/>
  <c r="AN159" i="65" s="1"/>
  <c r="AE148" i="65"/>
  <c r="AN148" i="65" s="1"/>
  <c r="AD147" i="65"/>
  <c r="AL141" i="65"/>
  <c r="AH92" i="65"/>
  <c r="AI92" i="65" s="1"/>
  <c r="AD92" i="65"/>
  <c r="AM92" i="65"/>
  <c r="AE92" i="65"/>
  <c r="AJ90" i="65"/>
  <c r="AE161" i="65"/>
  <c r="AE149" i="65"/>
  <c r="AH132" i="65"/>
  <c r="AI132" i="65" s="1"/>
  <c r="AJ132" i="65" s="1"/>
  <c r="AE130" i="65"/>
  <c r="AH115" i="65"/>
  <c r="AI115" i="65" s="1"/>
  <c r="AJ115" i="65" s="1"/>
  <c r="AM115" i="65"/>
  <c r="AD115" i="65"/>
  <c r="AE115" i="65"/>
  <c r="AJ104" i="65"/>
  <c r="AL104" i="65"/>
  <c r="AD149" i="65"/>
  <c r="AE141" i="65"/>
  <c r="AN141" i="65" s="1"/>
  <c r="AD130" i="65"/>
  <c r="AD127" i="65"/>
  <c r="AJ111" i="65"/>
  <c r="AL111" i="65"/>
  <c r="AN106" i="65"/>
  <c r="AJ49" i="65"/>
  <c r="AL49" i="65"/>
  <c r="AH166" i="65"/>
  <c r="AI166" i="65" s="1"/>
  <c r="AL166" i="65" s="1"/>
  <c r="AD162" i="65"/>
  <c r="AN162" i="65" s="1"/>
  <c r="AH154" i="65"/>
  <c r="AI154" i="65" s="1"/>
  <c r="AL154" i="65" s="1"/>
  <c r="AE151" i="65"/>
  <c r="AN151" i="65" s="1"/>
  <c r="AD150" i="65"/>
  <c r="AL146" i="65"/>
  <c r="AE138" i="65"/>
  <c r="AN138" i="65" s="1"/>
  <c r="AD118" i="65"/>
  <c r="AE118" i="65"/>
  <c r="AH118" i="65"/>
  <c r="AI118" i="65" s="1"/>
  <c r="AJ118" i="65" s="1"/>
  <c r="AJ105" i="65"/>
  <c r="AL105" i="65"/>
  <c r="AJ95" i="65"/>
  <c r="AJ87" i="65"/>
  <c r="AL87" i="65"/>
  <c r="AL133" i="65"/>
  <c r="AE132" i="65"/>
  <c r="AN132" i="65" s="1"/>
  <c r="AJ124" i="65"/>
  <c r="AN117" i="65"/>
  <c r="AL114" i="65"/>
  <c r="AE142" i="65"/>
  <c r="AN142" i="65" s="1"/>
  <c r="AJ140" i="65"/>
  <c r="AJ139" i="65"/>
  <c r="AN128" i="65"/>
  <c r="AJ122" i="65"/>
  <c r="AD121" i="65"/>
  <c r="AE121" i="65"/>
  <c r="AH121" i="65"/>
  <c r="AI121" i="65" s="1"/>
  <c r="AL121" i="65" s="1"/>
  <c r="AN116" i="65"/>
  <c r="AE114" i="65"/>
  <c r="AE136" i="65"/>
  <c r="AN136" i="65" s="1"/>
  <c r="AH131" i="65"/>
  <c r="AI131" i="65" s="1"/>
  <c r="AJ131" i="65" s="1"/>
  <c r="AL129" i="65"/>
  <c r="AJ123" i="65"/>
  <c r="AL123" i="65"/>
  <c r="AN120" i="65"/>
  <c r="AJ107" i="65"/>
  <c r="AJ92" i="65"/>
  <c r="AD86" i="65"/>
  <c r="AE86" i="65"/>
  <c r="AM79" i="65"/>
  <c r="AD79" i="65"/>
  <c r="AJ59" i="65"/>
  <c r="AL59" i="65"/>
  <c r="AL106" i="65"/>
  <c r="AH103" i="65"/>
  <c r="AI103" i="65" s="1"/>
  <c r="AJ103" i="65" s="1"/>
  <c r="AL88" i="65"/>
  <c r="AJ82" i="65"/>
  <c r="AH80" i="65"/>
  <c r="AI80" i="65" s="1"/>
  <c r="AL80" i="65" s="1"/>
  <c r="AD80" i="65"/>
  <c r="AE80" i="65"/>
  <c r="AJ71" i="65"/>
  <c r="AH68" i="65"/>
  <c r="AI68" i="65" s="1"/>
  <c r="AJ68" i="65" s="1"/>
  <c r="AM68" i="65"/>
  <c r="AD68" i="65"/>
  <c r="AE68" i="65"/>
  <c r="AH119" i="65"/>
  <c r="AI119" i="65" s="1"/>
  <c r="AJ119" i="65" s="1"/>
  <c r="AH107" i="65"/>
  <c r="AI107" i="65" s="1"/>
  <c r="AL107" i="65" s="1"/>
  <c r="AH97" i="65"/>
  <c r="AI97" i="65" s="1"/>
  <c r="AL97" i="65" s="1"/>
  <c r="AM91" i="65"/>
  <c r="AH86" i="65"/>
  <c r="AI86" i="65" s="1"/>
  <c r="AL86" i="65" s="1"/>
  <c r="AM80" i="65"/>
  <c r="AN78" i="65"/>
  <c r="AJ75" i="65"/>
  <c r="AD57" i="65"/>
  <c r="AH57" i="65"/>
  <c r="AI57" i="65" s="1"/>
  <c r="AJ57" i="65" s="1"/>
  <c r="AE103" i="65"/>
  <c r="AN98" i="65"/>
  <c r="AL76" i="65"/>
  <c r="AL61" i="65"/>
  <c r="AJ61" i="65"/>
  <c r="AN56" i="65"/>
  <c r="AH109" i="65"/>
  <c r="AI109" i="65" s="1"/>
  <c r="AJ109" i="65" s="1"/>
  <c r="AD103" i="65"/>
  <c r="AN82" i="65"/>
  <c r="AJ78" i="65"/>
  <c r="AL78" i="65"/>
  <c r="AE119" i="65"/>
  <c r="AN119" i="65" s="1"/>
  <c r="AE95" i="65"/>
  <c r="AE89" i="65"/>
  <c r="AH89" i="65"/>
  <c r="AI89" i="65" s="1"/>
  <c r="AM89" i="65"/>
  <c r="AD84" i="65"/>
  <c r="AH84" i="65"/>
  <c r="AI84" i="65" s="1"/>
  <c r="AL84" i="65" s="1"/>
  <c r="AH79" i="65"/>
  <c r="AI79" i="65" s="1"/>
  <c r="AL79" i="65" s="1"/>
  <c r="AJ73" i="65"/>
  <c r="AL73" i="65"/>
  <c r="AJ62" i="65"/>
  <c r="AE58" i="65"/>
  <c r="AH58" i="65"/>
  <c r="AI58" i="65" s="1"/>
  <c r="AJ58" i="65" s="1"/>
  <c r="AD58" i="65"/>
  <c r="AN58" i="65" s="1"/>
  <c r="AD53" i="65"/>
  <c r="AN53" i="65" s="1"/>
  <c r="AE53" i="65"/>
  <c r="AH53" i="65"/>
  <c r="AI53" i="65" s="1"/>
  <c r="AJ53" i="65" s="1"/>
  <c r="AJ74" i="65"/>
  <c r="AM71" i="65"/>
  <c r="AD71" i="65"/>
  <c r="AE71" i="65"/>
  <c r="AH71" i="65"/>
  <c r="AI71" i="65" s="1"/>
  <c r="AJ67" i="65"/>
  <c r="AL67" i="65"/>
  <c r="AJ63" i="65"/>
  <c r="AL63" i="65"/>
  <c r="AD42" i="65"/>
  <c r="AE42" i="65"/>
  <c r="AH42" i="65"/>
  <c r="AI42" i="65" s="1"/>
  <c r="AJ42" i="65" s="1"/>
  <c r="AH112" i="65"/>
  <c r="AI112" i="65" s="1"/>
  <c r="AL112" i="65" s="1"/>
  <c r="AE109" i="65"/>
  <c r="AN109" i="65" s="1"/>
  <c r="AE104" i="65"/>
  <c r="AM83" i="65"/>
  <c r="AH83" i="65"/>
  <c r="AI83" i="65" s="1"/>
  <c r="AJ83" i="65" s="1"/>
  <c r="AE79" i="65"/>
  <c r="AD104" i="65"/>
  <c r="AL96" i="65"/>
  <c r="AD93" i="65"/>
  <c r="AN93" i="65" s="1"/>
  <c r="AE91" i="65"/>
  <c r="AL90" i="65"/>
  <c r="AJ65" i="65"/>
  <c r="AD60" i="65"/>
  <c r="AE60" i="65"/>
  <c r="AN60" i="65" s="1"/>
  <c r="AH60" i="65"/>
  <c r="AI60" i="65" s="1"/>
  <c r="AL60" i="65" s="1"/>
  <c r="AL92" i="65"/>
  <c r="AD89" i="65"/>
  <c r="AE85" i="65"/>
  <c r="AN85" i="65" s="1"/>
  <c r="AE77" i="65"/>
  <c r="AH77" i="65"/>
  <c r="AI77" i="65" s="1"/>
  <c r="AJ77" i="65" s="1"/>
  <c r="AM77" i="65"/>
  <c r="AD77" i="65"/>
  <c r="AL69" i="65"/>
  <c r="AN45" i="65"/>
  <c r="AJ106" i="65"/>
  <c r="AE96" i="65"/>
  <c r="AN96" i="65" s="1"/>
  <c r="AJ94" i="65"/>
  <c r="AL94" i="65"/>
  <c r="AN72" i="65"/>
  <c r="AL71" i="65"/>
  <c r="AJ70" i="65"/>
  <c r="AE57" i="65"/>
  <c r="AL36" i="65"/>
  <c r="AL26" i="65"/>
  <c r="AL14" i="65"/>
  <c r="AJ10" i="65"/>
  <c r="AL10" i="65"/>
  <c r="AJ51" i="65"/>
  <c r="AL51" i="65"/>
  <c r="AH72" i="65"/>
  <c r="AI72" i="65" s="1"/>
  <c r="AJ72" i="65" s="1"/>
  <c r="AE69" i="65"/>
  <c r="AN69" i="65" s="1"/>
  <c r="AD54" i="65"/>
  <c r="AE54" i="65"/>
  <c r="AH54" i="65"/>
  <c r="AI54" i="65" s="1"/>
  <c r="AD46" i="65"/>
  <c r="AE46" i="65"/>
  <c r="AH46" i="65"/>
  <c r="AI46" i="65" s="1"/>
  <c r="AJ46" i="65" s="1"/>
  <c r="AL19" i="65"/>
  <c r="AL7" i="65"/>
  <c r="AJ7" i="65"/>
  <c r="AJ11" i="65"/>
  <c r="AL11" i="65"/>
  <c r="AJ39" i="65"/>
  <c r="AL39" i="65"/>
  <c r="AN24" i="65"/>
  <c r="AJ23" i="65"/>
  <c r="AL23" i="65"/>
  <c r="AD22" i="65"/>
  <c r="AN22" i="65" s="1"/>
  <c r="AE22" i="65"/>
  <c r="AH22" i="65"/>
  <c r="AI22" i="65" s="1"/>
  <c r="AJ22" i="65" s="1"/>
  <c r="AL65" i="65"/>
  <c r="AN63" i="65"/>
  <c r="AL58" i="65"/>
  <c r="AN52" i="65"/>
  <c r="AJ48" i="65"/>
  <c r="AJ41" i="65"/>
  <c r="AL41" i="65"/>
  <c r="AJ40" i="65"/>
  <c r="AJ32" i="65"/>
  <c r="AL32" i="65"/>
  <c r="AN21" i="65"/>
  <c r="AJ20" i="65"/>
  <c r="AL20" i="65"/>
  <c r="AN17" i="65"/>
  <c r="AE73" i="65"/>
  <c r="AJ47" i="65"/>
  <c r="AL47" i="65"/>
  <c r="AL43" i="65"/>
  <c r="AJ43" i="65"/>
  <c r="AD34" i="65"/>
  <c r="AE34" i="65"/>
  <c r="AH34" i="65"/>
  <c r="AI34" i="65" s="1"/>
  <c r="AJ34" i="65" s="1"/>
  <c r="AM34" i="65"/>
  <c r="AN20" i="65"/>
  <c r="AJ8" i="65"/>
  <c r="AL8" i="65"/>
  <c r="AN6" i="65"/>
  <c r="AJ5" i="65"/>
  <c r="AL5" i="65"/>
  <c r="AE74" i="65"/>
  <c r="AN74" i="65" s="1"/>
  <c r="AD73" i="65"/>
  <c r="AN73" i="65" s="1"/>
  <c r="AE65" i="65"/>
  <c r="AN65" i="65" s="1"/>
  <c r="AL42" i="65"/>
  <c r="AJ35" i="65"/>
  <c r="AL35" i="65"/>
  <c r="AN33" i="65"/>
  <c r="AL82" i="65"/>
  <c r="AL70" i="65"/>
  <c r="AJ13" i="65"/>
  <c r="AJ33" i="65"/>
  <c r="AL33" i="65"/>
  <c r="AN8" i="65"/>
  <c r="AJ52" i="65"/>
  <c r="AN51" i="65"/>
  <c r="AH50" i="65"/>
  <c r="AI50" i="65" s="1"/>
  <c r="AL50" i="65" s="1"/>
  <c r="AD50" i="65"/>
  <c r="AN50" i="65" s="1"/>
  <c r="AJ26" i="65"/>
  <c r="AJ14" i="65"/>
  <c r="AN7" i="65"/>
  <c r="AE38" i="65"/>
  <c r="AJ31" i="65"/>
  <c r="AE26" i="65"/>
  <c r="AJ19" i="65"/>
  <c r="AE14" i="65"/>
  <c r="AL9" i="65"/>
  <c r="AE39" i="65"/>
  <c r="AD38" i="65"/>
  <c r="AH30" i="65"/>
  <c r="AI30" i="65" s="1"/>
  <c r="AJ30" i="65" s="1"/>
  <c r="AE27" i="65"/>
  <c r="AD26" i="65"/>
  <c r="AH18" i="65"/>
  <c r="AI18" i="65" s="1"/>
  <c r="AL18" i="65" s="1"/>
  <c r="AE15" i="65"/>
  <c r="AD14" i="65"/>
  <c r="AD39" i="65"/>
  <c r="AD27" i="65"/>
  <c r="AE16" i="65"/>
  <c r="AN16" i="65" s="1"/>
  <c r="AD15" i="65"/>
  <c r="AH45" i="65"/>
  <c r="AI45" i="65" s="1"/>
  <c r="AL45" i="65" s="1"/>
  <c r="AM38" i="65"/>
  <c r="AH33" i="65"/>
  <c r="AI33" i="65" s="1"/>
  <c r="AE30" i="65"/>
  <c r="AM26" i="65"/>
  <c r="AH21" i="65"/>
  <c r="AI21" i="65" s="1"/>
  <c r="AE18" i="65"/>
  <c r="AL13" i="65"/>
  <c r="AD30" i="65"/>
  <c r="AM27" i="65"/>
  <c r="AD18" i="65"/>
  <c r="AM15" i="65"/>
  <c r="AL27" i="65"/>
  <c r="AL15" i="65"/>
  <c r="AD8" i="65"/>
  <c r="AH12" i="65"/>
  <c r="AI12" i="65" s="1"/>
  <c r="AJ12" i="65" s="1"/>
  <c r="AE9" i="65"/>
  <c r="AN9" i="65" s="1"/>
  <c r="AL17" i="65"/>
  <c r="AL101" i="65" l="1"/>
  <c r="AN124" i="65"/>
  <c r="AJ143" i="65"/>
  <c r="AJ176" i="65"/>
  <c r="AN155" i="65"/>
  <c r="AN104" i="65"/>
  <c r="AN161" i="65"/>
  <c r="AL178" i="65"/>
  <c r="AJ134" i="65"/>
  <c r="AN150" i="65"/>
  <c r="AL128" i="65"/>
  <c r="AN133" i="65"/>
  <c r="AJ110" i="65"/>
  <c r="AN103" i="65"/>
  <c r="AN121" i="65"/>
  <c r="AN125" i="65"/>
  <c r="AN86" i="65"/>
  <c r="AJ18" i="65"/>
  <c r="AN84" i="65"/>
  <c r="AJ55" i="65"/>
  <c r="AL6" i="65"/>
  <c r="AL25" i="65"/>
  <c r="AN95" i="65"/>
  <c r="AN90" i="65"/>
  <c r="AJ44" i="65"/>
  <c r="AL22" i="65"/>
  <c r="AJ37" i="65"/>
  <c r="AN14" i="65"/>
  <c r="AJ80" i="65"/>
  <c r="AL81" i="65"/>
  <c r="AN62" i="65"/>
  <c r="AJ28" i="65"/>
  <c r="AJ56" i="65"/>
  <c r="AJ127" i="65"/>
  <c r="AN42" i="65"/>
  <c r="AL93" i="65"/>
  <c r="AL159" i="65"/>
  <c r="AL29" i="65"/>
  <c r="AN145" i="65"/>
  <c r="AL162" i="65"/>
  <c r="AL164" i="65"/>
  <c r="AL170" i="65"/>
  <c r="AL53" i="65"/>
  <c r="AL147" i="65"/>
  <c r="AN149" i="65"/>
  <c r="AJ97" i="65"/>
  <c r="AL160" i="65"/>
  <c r="AN126" i="65"/>
  <c r="AJ121" i="65"/>
  <c r="AL98" i="65"/>
  <c r="AL91" i="65"/>
  <c r="AL130" i="65"/>
  <c r="AN118" i="65"/>
  <c r="AN30" i="65"/>
  <c r="AL24" i="65"/>
  <c r="AL57" i="65"/>
  <c r="AL118" i="65"/>
  <c r="AN147" i="65"/>
  <c r="AN18" i="65"/>
  <c r="AN39" i="65"/>
  <c r="AN54" i="65"/>
  <c r="AN27" i="65"/>
  <c r="AJ45" i="65"/>
  <c r="AN114" i="65"/>
  <c r="AN71" i="65"/>
  <c r="AN68" i="65"/>
  <c r="AN157" i="65"/>
  <c r="AN158" i="65"/>
  <c r="AJ163" i="65"/>
  <c r="AN156" i="65"/>
  <c r="AN34" i="65"/>
  <c r="AL109" i="65"/>
  <c r="AL103" i="65"/>
  <c r="AJ79" i="65"/>
  <c r="AN80" i="65"/>
  <c r="AL77" i="65"/>
  <c r="AJ86" i="65"/>
  <c r="AN169" i="65"/>
  <c r="AN160" i="65"/>
  <c r="AJ21" i="65"/>
  <c r="AL21" i="65"/>
  <c r="AJ50" i="65"/>
  <c r="AL72" i="65"/>
  <c r="AN137" i="65"/>
  <c r="AN174" i="65"/>
  <c r="AL115" i="65"/>
  <c r="AJ166" i="65"/>
  <c r="AN144" i="65"/>
  <c r="AL144" i="65"/>
  <c r="AN77" i="65"/>
  <c r="AN91" i="65"/>
  <c r="AJ112" i="65"/>
  <c r="AN92" i="65"/>
  <c r="AL83" i="65"/>
  <c r="AL157" i="65"/>
  <c r="AL131" i="65"/>
  <c r="AN26" i="65"/>
  <c r="AN46" i="65"/>
  <c r="AL30" i="65"/>
  <c r="AL68" i="65"/>
  <c r="AN115" i="65"/>
  <c r="AN175" i="65"/>
  <c r="AL156" i="65"/>
  <c r="AL158" i="65"/>
  <c r="AL169" i="65"/>
  <c r="AL34" i="65"/>
  <c r="AN83" i="65"/>
  <c r="AN79" i="65"/>
  <c r="AJ84" i="65"/>
  <c r="AN127" i="65"/>
  <c r="AN130" i="65"/>
  <c r="AL119" i="65"/>
  <c r="AN179" i="65"/>
  <c r="AN38" i="65"/>
  <c r="AL12" i="65"/>
  <c r="AL54" i="65"/>
  <c r="AJ54" i="65"/>
  <c r="AN89" i="65"/>
  <c r="AL126" i="65"/>
  <c r="AL132" i="65"/>
  <c r="AN15" i="65"/>
  <c r="AL46" i="65"/>
  <c r="AJ89" i="65"/>
  <c r="AL89" i="65"/>
  <c r="AJ60" i="65"/>
  <c r="AN57" i="65"/>
  <c r="AN168" i="65"/>
  <c r="A8" i="60" l="1"/>
  <c r="A6" i="60"/>
  <c r="T63" i="68"/>
  <c r="S63" i="68"/>
  <c r="L63" i="68"/>
  <c r="K63" i="68"/>
  <c r="J63" i="68"/>
  <c r="H63" i="68"/>
  <c r="I62" i="68"/>
  <c r="A8" i="22"/>
  <c r="A6" i="62"/>
  <c r="A8" i="62"/>
  <c r="A6" i="20"/>
  <c r="A8" i="20"/>
  <c r="N62" i="68" l="1"/>
  <c r="O62" i="68"/>
  <c r="R62" i="68" l="1"/>
  <c r="Q62" i="68"/>
  <c r="E46" i="2"/>
  <c r="E45" i="2"/>
  <c r="E42" i="2"/>
  <c r="T89" i="22" l="1"/>
  <c r="AH89" i="22" s="1"/>
  <c r="AI89" i="22" s="1"/>
  <c r="V89" i="22"/>
  <c r="Y89" i="22"/>
  <c r="AE89" i="22"/>
  <c r="AF89" i="22"/>
  <c r="AG89" i="22" s="1"/>
  <c r="AK89" i="22"/>
  <c r="AM89" i="22"/>
  <c r="T90" i="22"/>
  <c r="AH90" i="22" s="1"/>
  <c r="AI90" i="22" s="1"/>
  <c r="V90" i="22"/>
  <c r="Y90" i="22"/>
  <c r="AF90" i="22"/>
  <c r="AG90" i="22" s="1"/>
  <c r="AK90" i="22"/>
  <c r="T91" i="22"/>
  <c r="AD91" i="22" s="1"/>
  <c r="V91" i="22"/>
  <c r="Y91" i="22"/>
  <c r="AF91" i="22"/>
  <c r="AG91" i="22" s="1"/>
  <c r="AK91" i="22"/>
  <c r="T92" i="22"/>
  <c r="AE92" i="22" s="1"/>
  <c r="V92" i="22"/>
  <c r="Y92" i="22"/>
  <c r="AF92" i="22"/>
  <c r="AG92" i="22" s="1"/>
  <c r="AH92" i="22"/>
  <c r="AI92" i="22" s="1"/>
  <c r="AK92" i="22"/>
  <c r="T93" i="22"/>
  <c r="AD93" i="22" s="1"/>
  <c r="V93" i="22"/>
  <c r="Y93" i="22"/>
  <c r="AF93" i="22"/>
  <c r="AG93" i="22" s="1"/>
  <c r="AK93" i="22"/>
  <c r="T94" i="22"/>
  <c r="AE94" i="22" s="1"/>
  <c r="V94" i="22"/>
  <c r="Y94" i="22"/>
  <c r="AF94" i="22"/>
  <c r="AG94" i="22" s="1"/>
  <c r="AK94" i="22"/>
  <c r="T95" i="22"/>
  <c r="AD95" i="22" s="1"/>
  <c r="V95" i="22"/>
  <c r="Y95" i="22"/>
  <c r="AF95" i="22"/>
  <c r="AG95" i="22" s="1"/>
  <c r="AK95" i="22"/>
  <c r="T96" i="22"/>
  <c r="AD96" i="22" s="1"/>
  <c r="V96" i="22"/>
  <c r="Y96" i="22"/>
  <c r="AF96" i="22"/>
  <c r="AG96" i="22" s="1"/>
  <c r="AK96" i="22"/>
  <c r="T97" i="22"/>
  <c r="AD97" i="22" s="1"/>
  <c r="V97" i="22"/>
  <c r="Y97" i="22"/>
  <c r="AF97" i="22"/>
  <c r="AG97" i="22" s="1"/>
  <c r="AK97" i="22"/>
  <c r="T98" i="22"/>
  <c r="AD98" i="22" s="1"/>
  <c r="V98" i="22"/>
  <c r="Y98" i="22"/>
  <c r="AF98" i="22"/>
  <c r="AG98" i="22" s="1"/>
  <c r="AK98" i="22"/>
  <c r="T99" i="22"/>
  <c r="AE99" i="22" s="1"/>
  <c r="V99" i="22"/>
  <c r="Y99" i="22"/>
  <c r="AF99" i="22"/>
  <c r="AG99" i="22" s="1"/>
  <c r="AK99" i="22"/>
  <c r="AM99" i="22"/>
  <c r="T100" i="22"/>
  <c r="AM100" i="22" s="1"/>
  <c r="V100" i="22"/>
  <c r="Y100" i="22"/>
  <c r="AF100" i="22"/>
  <c r="AG100" i="22" s="1"/>
  <c r="AK100" i="22"/>
  <c r="T101" i="22"/>
  <c r="AH101" i="22" s="1"/>
  <c r="AI101" i="22" s="1"/>
  <c r="V101" i="22"/>
  <c r="Y101" i="22"/>
  <c r="AF101" i="22"/>
  <c r="AG101" i="22" s="1"/>
  <c r="AK101" i="22"/>
  <c r="T102" i="22"/>
  <c r="AH102" i="22" s="1"/>
  <c r="AI102" i="22" s="1"/>
  <c r="V102" i="22"/>
  <c r="Y102" i="22"/>
  <c r="AF102" i="22"/>
  <c r="AG102" i="22" s="1"/>
  <c r="AK102" i="22"/>
  <c r="T103" i="22"/>
  <c r="AD103" i="22" s="1"/>
  <c r="V103" i="22"/>
  <c r="Y103" i="22"/>
  <c r="AF103" i="22"/>
  <c r="AG103" i="22" s="1"/>
  <c r="AK103" i="22"/>
  <c r="AM103" i="22"/>
  <c r="T106" i="22"/>
  <c r="AD106" i="22" s="1"/>
  <c r="V106" i="22"/>
  <c r="Y106" i="22"/>
  <c r="AF106" i="22"/>
  <c r="AG106" i="22" s="1"/>
  <c r="AK106" i="22"/>
  <c r="AM106" i="22"/>
  <c r="T107" i="22"/>
  <c r="AH107" i="22" s="1"/>
  <c r="AI107" i="22" s="1"/>
  <c r="V107" i="22"/>
  <c r="Y107" i="22"/>
  <c r="AF107" i="22"/>
  <c r="AG107" i="22" s="1"/>
  <c r="AK107" i="22"/>
  <c r="AM107" i="22"/>
  <c r="T108" i="22"/>
  <c r="AH108" i="22" s="1"/>
  <c r="AI108" i="22" s="1"/>
  <c r="V108" i="22"/>
  <c r="Y108" i="22"/>
  <c r="AF108" i="22"/>
  <c r="AG108" i="22" s="1"/>
  <c r="AK108" i="22"/>
  <c r="AM108" i="22"/>
  <c r="T109" i="22"/>
  <c r="AH109" i="22" s="1"/>
  <c r="AI109" i="22" s="1"/>
  <c r="V109" i="22"/>
  <c r="Y109" i="22"/>
  <c r="AF109" i="22"/>
  <c r="AG109" i="22" s="1"/>
  <c r="AK109" i="22"/>
  <c r="AM109" i="22"/>
  <c r="T110" i="22"/>
  <c r="AH110" i="22" s="1"/>
  <c r="AI110" i="22" s="1"/>
  <c r="V110" i="22"/>
  <c r="Y110" i="22"/>
  <c r="AF110" i="22"/>
  <c r="AG110" i="22" s="1"/>
  <c r="AK110" i="22"/>
  <c r="AM110" i="22"/>
  <c r="T11" i="21"/>
  <c r="T12" i="21"/>
  <c r="T13" i="21"/>
  <c r="T14" i="21"/>
  <c r="T15" i="21"/>
  <c r="T16" i="21"/>
  <c r="T17" i="21"/>
  <c r="T18" i="21"/>
  <c r="T19" i="21"/>
  <c r="T20" i="21"/>
  <c r="T21" i="21"/>
  <c r="T22" i="21"/>
  <c r="T15" i="19"/>
  <c r="T16" i="19"/>
  <c r="T17" i="19"/>
  <c r="T18" i="19"/>
  <c r="T19" i="19"/>
  <c r="T20" i="19"/>
  <c r="T21" i="19"/>
  <c r="AE108" i="22" l="1"/>
  <c r="AE95" i="22"/>
  <c r="AM93" i="22"/>
  <c r="AH93" i="22"/>
  <c r="AI93" i="22" s="1"/>
  <c r="AL93" i="22" s="1"/>
  <c r="AE93" i="22"/>
  <c r="AD99" i="22"/>
  <c r="AN99" i="22" s="1"/>
  <c r="AL92" i="22"/>
  <c r="AJ107" i="22"/>
  <c r="AH103" i="22"/>
  <c r="AI103" i="22" s="1"/>
  <c r="AJ103" i="22" s="1"/>
  <c r="AE107" i="22"/>
  <c r="AD107" i="22"/>
  <c r="AN107" i="22" s="1"/>
  <c r="AD108" i="22"/>
  <c r="AN108" i="22" s="1"/>
  <c r="AH100" i="22"/>
  <c r="AI100" i="22" s="1"/>
  <c r="AL100" i="22" s="1"/>
  <c r="AH106" i="22"/>
  <c r="AI106" i="22" s="1"/>
  <c r="AJ106" i="22" s="1"/>
  <c r="AE100" i="22"/>
  <c r="AM96" i="22"/>
  <c r="AD100" i="22"/>
  <c r="AH98" i="22"/>
  <c r="AI98" i="22" s="1"/>
  <c r="AJ98" i="22" s="1"/>
  <c r="AE109" i="22"/>
  <c r="AH99" i="22"/>
  <c r="AI99" i="22" s="1"/>
  <c r="AJ99" i="22" s="1"/>
  <c r="AM92" i="22"/>
  <c r="AM102" i="22"/>
  <c r="AM95" i="22"/>
  <c r="AN95" i="22" s="1"/>
  <c r="AM97" i="22"/>
  <c r="AM94" i="22"/>
  <c r="AM101" i="22"/>
  <c r="AH97" i="22"/>
  <c r="AI97" i="22" s="1"/>
  <c r="AJ97" i="22" s="1"/>
  <c r="AD94" i="22"/>
  <c r="AM91" i="22"/>
  <c r="AE101" i="22"/>
  <c r="AM98" i="22"/>
  <c r="AH91" i="22"/>
  <c r="AI91" i="22" s="1"/>
  <c r="AL91" i="22" s="1"/>
  <c r="AE97" i="22"/>
  <c r="AJ93" i="22"/>
  <c r="AJ92" i="22"/>
  <c r="AD92" i="22"/>
  <c r="AM90" i="22"/>
  <c r="AJ109" i="22"/>
  <c r="AL109" i="22"/>
  <c r="AJ101" i="22"/>
  <c r="AL101" i="22"/>
  <c r="AJ90" i="22"/>
  <c r="AL90" i="22"/>
  <c r="AJ110" i="22"/>
  <c r="AL110" i="22"/>
  <c r="AJ89" i="22"/>
  <c r="AL89" i="22"/>
  <c r="AJ102" i="22"/>
  <c r="AL102" i="22"/>
  <c r="AJ108" i="22"/>
  <c r="AL108" i="22"/>
  <c r="AD109" i="22"/>
  <c r="AN109" i="22" s="1"/>
  <c r="AE102" i="22"/>
  <c r="AD101" i="22"/>
  <c r="AE90" i="22"/>
  <c r="AD89" i="22"/>
  <c r="AN89" i="22" s="1"/>
  <c r="AD110" i="22"/>
  <c r="AE103" i="22"/>
  <c r="AN103" i="22" s="1"/>
  <c r="AD102" i="22"/>
  <c r="AH94" i="22"/>
  <c r="AI94" i="22" s="1"/>
  <c r="AL94" i="22" s="1"/>
  <c r="AE91" i="22"/>
  <c r="AD90" i="22"/>
  <c r="AE110" i="22"/>
  <c r="AL107" i="22"/>
  <c r="AH95" i="22"/>
  <c r="AI95" i="22" s="1"/>
  <c r="AL95" i="22" s="1"/>
  <c r="AH96" i="22"/>
  <c r="AI96" i="22" s="1"/>
  <c r="AJ96" i="22" s="1"/>
  <c r="AE96" i="22"/>
  <c r="AE106" i="22"/>
  <c r="AN106" i="22" s="1"/>
  <c r="AE98" i="22"/>
  <c r="AL103" i="22" l="1"/>
  <c r="AN93" i="22"/>
  <c r="AN100" i="22"/>
  <c r="AL106" i="22"/>
  <c r="AJ91" i="22"/>
  <c r="AL98" i="22"/>
  <c r="AN91" i="22"/>
  <c r="AN98" i="22"/>
  <c r="AJ100" i="22"/>
  <c r="AN96" i="22"/>
  <c r="AL99" i="22"/>
  <c r="AN101" i="22"/>
  <c r="AN92" i="22"/>
  <c r="AN94" i="22"/>
  <c r="AN90" i="22"/>
  <c r="AL96" i="22"/>
  <c r="AL97" i="22"/>
  <c r="AN102" i="22"/>
  <c r="AJ94" i="22"/>
  <c r="AN97" i="22"/>
  <c r="AN110" i="22"/>
  <c r="AJ95" i="22"/>
  <c r="T16" i="13" l="1"/>
  <c r="T17" i="13"/>
  <c r="T18" i="13"/>
  <c r="T19" i="13"/>
  <c r="T20" i="13"/>
  <c r="T42" i="66" l="1"/>
  <c r="AE42" i="66" s="1"/>
  <c r="V42" i="66"/>
  <c r="Y42" i="66"/>
  <c r="AD42" i="66"/>
  <c r="AF42" i="66"/>
  <c r="AG42" i="66" s="1"/>
  <c r="AK42" i="66"/>
  <c r="AM42" i="66"/>
  <c r="T43" i="66"/>
  <c r="AH43" i="66" s="1"/>
  <c r="AI43" i="66" s="1"/>
  <c r="V43" i="66"/>
  <c r="Y43" i="66"/>
  <c r="AF43" i="66"/>
  <c r="AG43" i="66" s="1"/>
  <c r="AK43" i="66"/>
  <c r="T44" i="66"/>
  <c r="V44" i="66"/>
  <c r="Y44" i="66"/>
  <c r="AF44" i="66"/>
  <c r="AG44" i="66" s="1"/>
  <c r="AK44" i="66"/>
  <c r="AM44" i="66"/>
  <c r="T45" i="66"/>
  <c r="AD45" i="66" s="1"/>
  <c r="V45" i="66"/>
  <c r="Y45" i="66"/>
  <c r="AF45" i="66"/>
  <c r="AG45" i="66" s="1"/>
  <c r="AK45" i="66"/>
  <c r="T46" i="66"/>
  <c r="AD46" i="66" s="1"/>
  <c r="V46" i="66"/>
  <c r="Y46" i="66"/>
  <c r="AF46" i="66"/>
  <c r="AG46" i="66" s="1"/>
  <c r="AK46" i="66"/>
  <c r="T47" i="66"/>
  <c r="AD47" i="66" s="1"/>
  <c r="V47" i="66"/>
  <c r="Y47" i="66"/>
  <c r="AF47" i="66"/>
  <c r="AG47" i="66" s="1"/>
  <c r="AK47" i="66"/>
  <c r="T48" i="66"/>
  <c r="AD48" i="66" s="1"/>
  <c r="V48" i="66"/>
  <c r="Y48" i="66"/>
  <c r="AF48" i="66"/>
  <c r="AG48" i="66" s="1"/>
  <c r="AK48" i="66"/>
  <c r="T49" i="66"/>
  <c r="AD49" i="66" s="1"/>
  <c r="V49" i="66"/>
  <c r="Y49" i="66"/>
  <c r="AF49" i="66"/>
  <c r="AG49" i="66" s="1"/>
  <c r="AK49" i="66"/>
  <c r="T50" i="66"/>
  <c r="AD50" i="66" s="1"/>
  <c r="V50" i="66"/>
  <c r="Y50" i="66"/>
  <c r="AF50" i="66"/>
  <c r="AG50" i="66" s="1"/>
  <c r="AK50" i="66"/>
  <c r="T51" i="66"/>
  <c r="AD51" i="66" s="1"/>
  <c r="V51" i="66"/>
  <c r="Y51" i="66"/>
  <c r="AF51" i="66"/>
  <c r="AG51" i="66" s="1"/>
  <c r="AK51" i="66"/>
  <c r="T52" i="66"/>
  <c r="AD52" i="66" s="1"/>
  <c r="V52" i="66"/>
  <c r="Y52" i="66"/>
  <c r="AF52" i="66"/>
  <c r="AG52" i="66" s="1"/>
  <c r="AK52" i="66"/>
  <c r="T53" i="66"/>
  <c r="AE53" i="66" s="1"/>
  <c r="V53" i="66"/>
  <c r="Y53" i="66"/>
  <c r="AF53" i="66"/>
  <c r="AG53" i="66" s="1"/>
  <c r="AK53" i="66"/>
  <c r="T54" i="66"/>
  <c r="AE54" i="66" s="1"/>
  <c r="V54" i="66"/>
  <c r="Y54" i="66"/>
  <c r="AF54" i="66"/>
  <c r="AG54" i="66" s="1"/>
  <c r="AK54" i="66"/>
  <c r="T55" i="66"/>
  <c r="AH55" i="66" s="1"/>
  <c r="AI55" i="66" s="1"/>
  <c r="V55" i="66"/>
  <c r="Y55" i="66"/>
  <c r="AF55" i="66"/>
  <c r="AG55" i="66" s="1"/>
  <c r="AK55" i="66"/>
  <c r="T56" i="66"/>
  <c r="V56" i="66"/>
  <c r="Y56" i="66"/>
  <c r="AF56" i="66"/>
  <c r="AG56" i="66" s="1"/>
  <c r="AK56" i="66"/>
  <c r="AM56" i="66"/>
  <c r="T57" i="66"/>
  <c r="AM57" i="66" s="1"/>
  <c r="V57" i="66"/>
  <c r="Y57" i="66"/>
  <c r="AF57" i="66"/>
  <c r="AG57" i="66" s="1"/>
  <c r="AK57" i="66"/>
  <c r="T58" i="66"/>
  <c r="AM58" i="66" s="1"/>
  <c r="V58" i="66"/>
  <c r="Y58" i="66"/>
  <c r="AF58" i="66"/>
  <c r="AG58" i="66" s="1"/>
  <c r="AK58" i="66"/>
  <c r="T59" i="66"/>
  <c r="AD59" i="66" s="1"/>
  <c r="V59" i="66"/>
  <c r="Y59" i="66"/>
  <c r="AF59" i="66"/>
  <c r="AG59" i="66" s="1"/>
  <c r="AK59" i="66"/>
  <c r="T60" i="66"/>
  <c r="AE60" i="66" s="1"/>
  <c r="V60" i="66"/>
  <c r="Y60" i="66"/>
  <c r="AF60" i="66"/>
  <c r="AG60" i="66" s="1"/>
  <c r="AK60" i="66"/>
  <c r="T61" i="66"/>
  <c r="AM61" i="66" s="1"/>
  <c r="V61" i="66"/>
  <c r="Y61" i="66"/>
  <c r="AF61" i="66"/>
  <c r="AG61" i="66" s="1"/>
  <c r="AK61" i="66"/>
  <c r="T62" i="66"/>
  <c r="AD62" i="66" s="1"/>
  <c r="V62" i="66"/>
  <c r="Y62" i="66"/>
  <c r="AF62" i="66"/>
  <c r="AG62" i="66" s="1"/>
  <c r="AK62" i="66"/>
  <c r="T63" i="66"/>
  <c r="AD63" i="66" s="1"/>
  <c r="V63" i="66"/>
  <c r="Y63" i="66"/>
  <c r="AF63" i="66"/>
  <c r="AG63" i="66" s="1"/>
  <c r="AK63" i="66"/>
  <c r="AM63" i="66"/>
  <c r="T64" i="66"/>
  <c r="AD64" i="66" s="1"/>
  <c r="V64" i="66"/>
  <c r="Y64" i="66"/>
  <c r="AF64" i="66"/>
  <c r="AG64" i="66" s="1"/>
  <c r="AK64" i="66"/>
  <c r="AM64" i="66"/>
  <c r="T65" i="66"/>
  <c r="AE65" i="66" s="1"/>
  <c r="V65" i="66"/>
  <c r="Y65" i="66"/>
  <c r="AF65" i="66"/>
  <c r="AG65" i="66" s="1"/>
  <c r="AK65" i="66"/>
  <c r="AM65" i="66"/>
  <c r="T66" i="66"/>
  <c r="AD66" i="66" s="1"/>
  <c r="V66" i="66"/>
  <c r="Y66" i="66"/>
  <c r="AF66" i="66"/>
  <c r="AG66" i="66" s="1"/>
  <c r="AK66" i="66"/>
  <c r="AM66" i="66"/>
  <c r="T67" i="66"/>
  <c r="AH67" i="66" s="1"/>
  <c r="AI67" i="66" s="1"/>
  <c r="V67" i="66"/>
  <c r="Y67" i="66"/>
  <c r="AF67" i="66"/>
  <c r="AG67" i="66" s="1"/>
  <c r="AK67" i="66"/>
  <c r="AM67" i="66"/>
  <c r="T68" i="66"/>
  <c r="V68" i="66"/>
  <c r="Y68" i="66"/>
  <c r="AF68" i="66"/>
  <c r="AG68" i="66" s="1"/>
  <c r="AK68" i="66"/>
  <c r="AM68" i="66"/>
  <c r="T69" i="66"/>
  <c r="AM69" i="66" s="1"/>
  <c r="V69" i="66"/>
  <c r="Y69" i="66"/>
  <c r="AF69" i="66"/>
  <c r="AG69" i="66" s="1"/>
  <c r="AK69" i="66"/>
  <c r="T70" i="66"/>
  <c r="AD70" i="66" s="1"/>
  <c r="V70" i="66"/>
  <c r="Y70" i="66"/>
  <c r="AF70" i="66"/>
  <c r="AG70" i="66" s="1"/>
  <c r="AK70" i="66"/>
  <c r="AM70" i="66"/>
  <c r="T71" i="66"/>
  <c r="AD71" i="66" s="1"/>
  <c r="V71" i="66"/>
  <c r="Y71" i="66"/>
  <c r="AF71" i="66"/>
  <c r="AG71" i="66" s="1"/>
  <c r="AK71" i="66"/>
  <c r="AM71" i="66"/>
  <c r="T72" i="66"/>
  <c r="AD72" i="66" s="1"/>
  <c r="V72" i="66"/>
  <c r="Y72" i="66"/>
  <c r="AF72" i="66"/>
  <c r="AG72" i="66" s="1"/>
  <c r="AK72" i="66"/>
  <c r="T73" i="66"/>
  <c r="AM73" i="66" s="1"/>
  <c r="V73" i="66"/>
  <c r="Y73" i="66"/>
  <c r="AF73" i="66"/>
  <c r="AG73" i="66" s="1"/>
  <c r="AK73" i="66"/>
  <c r="T74" i="66"/>
  <c r="AD74" i="66" s="1"/>
  <c r="V74" i="66"/>
  <c r="Y74" i="66"/>
  <c r="AF74" i="66"/>
  <c r="AG74" i="66" s="1"/>
  <c r="AK74" i="66"/>
  <c r="T75" i="66"/>
  <c r="AD75" i="66" s="1"/>
  <c r="V75" i="66"/>
  <c r="Y75" i="66"/>
  <c r="AF75" i="66"/>
  <c r="AG75" i="66" s="1"/>
  <c r="AK75" i="66"/>
  <c r="T76" i="66"/>
  <c r="AD76" i="66" s="1"/>
  <c r="V76" i="66"/>
  <c r="Y76" i="66"/>
  <c r="AF76" i="66"/>
  <c r="AG76" i="66" s="1"/>
  <c r="AK76" i="66"/>
  <c r="T77" i="66"/>
  <c r="AE77" i="66" s="1"/>
  <c r="V77" i="66"/>
  <c r="Y77" i="66"/>
  <c r="AF77" i="66"/>
  <c r="AG77" i="66" s="1"/>
  <c r="AK77" i="66"/>
  <c r="AM77" i="66"/>
  <c r="T78" i="66"/>
  <c r="AD78" i="66" s="1"/>
  <c r="V78" i="66"/>
  <c r="Y78" i="66"/>
  <c r="AF78" i="66"/>
  <c r="AG78" i="66" s="1"/>
  <c r="AK78" i="66"/>
  <c r="T79" i="66"/>
  <c r="V79" i="66"/>
  <c r="Y79" i="66"/>
  <c r="AF79" i="66"/>
  <c r="AG79" i="66" s="1"/>
  <c r="AK79" i="66"/>
  <c r="T80" i="66"/>
  <c r="V80" i="66"/>
  <c r="Y80" i="66"/>
  <c r="AF80" i="66"/>
  <c r="AG80" i="66" s="1"/>
  <c r="AK80" i="66"/>
  <c r="AM80" i="66"/>
  <c r="T81" i="66"/>
  <c r="AM81" i="66" s="1"/>
  <c r="V81" i="66"/>
  <c r="Y81" i="66"/>
  <c r="AD81" i="66"/>
  <c r="AF81" i="66"/>
  <c r="AG81" i="66" s="1"/>
  <c r="AK81" i="66"/>
  <c r="T82" i="66"/>
  <c r="AD82" i="66" s="1"/>
  <c r="V82" i="66"/>
  <c r="Y82" i="66"/>
  <c r="AE82" i="66"/>
  <c r="AF82" i="66"/>
  <c r="AG82" i="66"/>
  <c r="AH82" i="66"/>
  <c r="AI82" i="66" s="1"/>
  <c r="AK82" i="66"/>
  <c r="AM82" i="66"/>
  <c r="T83" i="66"/>
  <c r="V83" i="66"/>
  <c r="Y83" i="66"/>
  <c r="AD83" i="66"/>
  <c r="AF83" i="66"/>
  <c r="AG83" i="66" s="1"/>
  <c r="AH83" i="66"/>
  <c r="AI83" i="66" s="1"/>
  <c r="AK83" i="66"/>
  <c r="T84" i="66"/>
  <c r="AE84" i="66" s="1"/>
  <c r="V84" i="66"/>
  <c r="Y84" i="66"/>
  <c r="AD84" i="66"/>
  <c r="AF84" i="66"/>
  <c r="AG84" i="66" s="1"/>
  <c r="AK84" i="66"/>
  <c r="AM84" i="66"/>
  <c r="T85" i="66"/>
  <c r="V85" i="66"/>
  <c r="Y85" i="66"/>
  <c r="AF85" i="66"/>
  <c r="AG85" i="66" s="1"/>
  <c r="AK85" i="66"/>
  <c r="T86" i="66"/>
  <c r="AD86" i="66" s="1"/>
  <c r="V86" i="66"/>
  <c r="Y86" i="66"/>
  <c r="AF86" i="66"/>
  <c r="AG86" i="66" s="1"/>
  <c r="AK86" i="66"/>
  <c r="AM86" i="66"/>
  <c r="T87" i="66"/>
  <c r="AD87" i="66" s="1"/>
  <c r="V87" i="66"/>
  <c r="Y87" i="66"/>
  <c r="AF87" i="66"/>
  <c r="AG87" i="66"/>
  <c r="AL87" i="66" s="1"/>
  <c r="AH87" i="66"/>
  <c r="AI87" i="66" s="1"/>
  <c r="AK87" i="66"/>
  <c r="AM87" i="66"/>
  <c r="T88" i="66"/>
  <c r="AD88" i="66" s="1"/>
  <c r="V88" i="66"/>
  <c r="Y88" i="66"/>
  <c r="AF88" i="66"/>
  <c r="AG88" i="66" s="1"/>
  <c r="AH88" i="66"/>
  <c r="AI88" i="66"/>
  <c r="AK88" i="66"/>
  <c r="AM88" i="66"/>
  <c r="T89" i="66"/>
  <c r="AE89" i="66" s="1"/>
  <c r="V89" i="66"/>
  <c r="Y89" i="66"/>
  <c r="AD89" i="66"/>
  <c r="AF89" i="66"/>
  <c r="AG89" i="66" s="1"/>
  <c r="AH89" i="66"/>
  <c r="AI89" i="66" s="1"/>
  <c r="AJ89" i="66" s="1"/>
  <c r="AK89" i="66"/>
  <c r="AM89" i="66"/>
  <c r="AN89" i="66" s="1"/>
  <c r="T90" i="66"/>
  <c r="AD90" i="66" s="1"/>
  <c r="V90" i="66"/>
  <c r="Y90" i="66"/>
  <c r="AF90" i="66"/>
  <c r="AG90" i="66"/>
  <c r="AK90" i="66"/>
  <c r="AM90" i="66"/>
  <c r="T91" i="66"/>
  <c r="AH91" i="66" s="1"/>
  <c r="AI91" i="66" s="1"/>
  <c r="V91" i="66"/>
  <c r="Y91" i="66"/>
  <c r="AF91" i="66"/>
  <c r="AG91" i="66" s="1"/>
  <c r="AK91" i="66"/>
  <c r="AM91" i="66"/>
  <c r="T92" i="66"/>
  <c r="AH92" i="66" s="1"/>
  <c r="AI92" i="66" s="1"/>
  <c r="V92" i="66"/>
  <c r="Y92" i="66"/>
  <c r="AD92" i="66"/>
  <c r="AE92" i="66"/>
  <c r="AF92" i="66"/>
  <c r="AG92" i="66" s="1"/>
  <c r="AK92" i="66"/>
  <c r="AM92" i="66"/>
  <c r="T93" i="66"/>
  <c r="AD93" i="66" s="1"/>
  <c r="V93" i="66"/>
  <c r="Y93" i="66"/>
  <c r="AF93" i="66"/>
  <c r="AG93" i="66" s="1"/>
  <c r="AK93" i="66"/>
  <c r="AM93" i="66"/>
  <c r="T94" i="66"/>
  <c r="AD94" i="66" s="1"/>
  <c r="V94" i="66"/>
  <c r="Y94" i="66"/>
  <c r="AE94" i="66"/>
  <c r="AF94" i="66"/>
  <c r="AG94" i="66" s="1"/>
  <c r="AK94" i="66"/>
  <c r="AM94" i="66"/>
  <c r="T95" i="66"/>
  <c r="AE95" i="66" s="1"/>
  <c r="V95" i="66"/>
  <c r="Y95" i="66"/>
  <c r="AF95" i="66"/>
  <c r="AG95" i="66" s="1"/>
  <c r="AH95" i="66"/>
  <c r="AI95" i="66" s="1"/>
  <c r="AK95" i="66"/>
  <c r="AM95" i="66"/>
  <c r="T96" i="66"/>
  <c r="AD96" i="66" s="1"/>
  <c r="V96" i="66"/>
  <c r="Y96" i="66"/>
  <c r="AF96" i="66"/>
  <c r="AG96" i="66"/>
  <c r="AK96" i="66"/>
  <c r="AM96" i="66"/>
  <c r="T97" i="66"/>
  <c r="AD97" i="66" s="1"/>
  <c r="AN97" i="66" s="1"/>
  <c r="V97" i="66"/>
  <c r="Y97" i="66"/>
  <c r="AE97" i="66"/>
  <c r="AF97" i="66"/>
  <c r="AG97" i="66" s="1"/>
  <c r="AH97" i="66"/>
  <c r="AI97" i="66" s="1"/>
  <c r="AK97" i="66"/>
  <c r="AM97" i="66"/>
  <c r="T98" i="66"/>
  <c r="AH98" i="66" s="1"/>
  <c r="AI98" i="66" s="1"/>
  <c r="AJ98" i="66" s="1"/>
  <c r="V98" i="66"/>
  <c r="Y98" i="66"/>
  <c r="AF98" i="66"/>
  <c r="AG98" i="66"/>
  <c r="AK98" i="66"/>
  <c r="AM98" i="66"/>
  <c r="T99" i="66"/>
  <c r="AD99" i="66" s="1"/>
  <c r="V99" i="66"/>
  <c r="Y99" i="66"/>
  <c r="AF99" i="66"/>
  <c r="AG99" i="66" s="1"/>
  <c r="AK99" i="66"/>
  <c r="AM99" i="66"/>
  <c r="T100" i="66"/>
  <c r="AD100" i="66" s="1"/>
  <c r="V100" i="66"/>
  <c r="Y100" i="66"/>
  <c r="AF100" i="66"/>
  <c r="AG100" i="66" s="1"/>
  <c r="AK100" i="66"/>
  <c r="AM100" i="66"/>
  <c r="T101" i="66"/>
  <c r="AH101" i="66" s="1"/>
  <c r="AI101" i="66" s="1"/>
  <c r="V101" i="66"/>
  <c r="Y101" i="66"/>
  <c r="AD101" i="66"/>
  <c r="AE101" i="66"/>
  <c r="AF101" i="66"/>
  <c r="AG101" i="66" s="1"/>
  <c r="AK101" i="66"/>
  <c r="AM101" i="66"/>
  <c r="T102" i="66"/>
  <c r="V102" i="66"/>
  <c r="Y102" i="66"/>
  <c r="AE102" i="66"/>
  <c r="AF102" i="66"/>
  <c r="AG102" i="66" s="1"/>
  <c r="AK102" i="66"/>
  <c r="AM102" i="66"/>
  <c r="T103" i="66"/>
  <c r="V103" i="66"/>
  <c r="Y103" i="66"/>
  <c r="AF103" i="66"/>
  <c r="AG103" i="66" s="1"/>
  <c r="AK103" i="66"/>
  <c r="AM103" i="66"/>
  <c r="T104" i="66"/>
  <c r="AD104" i="66" s="1"/>
  <c r="V104" i="66"/>
  <c r="Y104" i="66"/>
  <c r="AE104" i="66"/>
  <c r="AF104" i="66"/>
  <c r="AG104" i="66" s="1"/>
  <c r="AH104" i="66"/>
  <c r="AI104" i="66" s="1"/>
  <c r="AK104" i="66"/>
  <c r="AM104" i="66"/>
  <c r="T105" i="66"/>
  <c r="AD105" i="66" s="1"/>
  <c r="V105" i="66"/>
  <c r="Y105" i="66"/>
  <c r="AF105" i="66"/>
  <c r="AG105" i="66" s="1"/>
  <c r="AH105" i="66"/>
  <c r="AI105" i="66"/>
  <c r="AK105" i="66"/>
  <c r="AM105" i="66"/>
  <c r="T106" i="66"/>
  <c r="AD106" i="66" s="1"/>
  <c r="V106" i="66"/>
  <c r="Y106" i="66"/>
  <c r="AF106" i="66"/>
  <c r="AG106" i="66"/>
  <c r="AK106" i="66"/>
  <c r="AM106" i="66"/>
  <c r="T107" i="66"/>
  <c r="AD107" i="66" s="1"/>
  <c r="V107" i="66"/>
  <c r="Y107" i="66"/>
  <c r="AF107" i="66"/>
  <c r="AG107" i="66" s="1"/>
  <c r="AK107" i="66"/>
  <c r="AM107" i="66"/>
  <c r="T108" i="66"/>
  <c r="AE108" i="66" s="1"/>
  <c r="V108" i="66"/>
  <c r="Y108" i="66"/>
  <c r="AF108" i="66"/>
  <c r="AG108" i="66" s="1"/>
  <c r="AK108" i="66"/>
  <c r="AM108" i="66"/>
  <c r="T109" i="66"/>
  <c r="AD109" i="66" s="1"/>
  <c r="V109" i="66"/>
  <c r="Y109" i="66"/>
  <c r="AE109" i="66"/>
  <c r="AF109" i="66"/>
  <c r="AG109" i="66" s="1"/>
  <c r="AK109" i="66"/>
  <c r="AM109" i="66"/>
  <c r="T110" i="66"/>
  <c r="AD110" i="66" s="1"/>
  <c r="V110" i="66"/>
  <c r="Y110" i="66"/>
  <c r="AF110" i="66"/>
  <c r="AG110" i="66" s="1"/>
  <c r="AK110" i="66"/>
  <c r="AM110" i="66"/>
  <c r="T111" i="66"/>
  <c r="AE111" i="66" s="1"/>
  <c r="V111" i="66"/>
  <c r="Y111" i="66"/>
  <c r="AD111" i="66"/>
  <c r="AF111" i="66"/>
  <c r="AG111" i="66"/>
  <c r="AK111" i="66"/>
  <c r="AM111" i="66"/>
  <c r="T112" i="66"/>
  <c r="AH112" i="66" s="1"/>
  <c r="AI112" i="66" s="1"/>
  <c r="V112" i="66"/>
  <c r="Y112" i="66"/>
  <c r="AE112" i="66"/>
  <c r="AF112" i="66"/>
  <c r="AG112" i="66"/>
  <c r="AK112" i="66"/>
  <c r="AM112" i="66"/>
  <c r="T113" i="66"/>
  <c r="AH113" i="66" s="1"/>
  <c r="AI113" i="66" s="1"/>
  <c r="V113" i="66"/>
  <c r="Y113" i="66"/>
  <c r="AD113" i="66"/>
  <c r="AF113" i="66"/>
  <c r="AG113" i="66" s="1"/>
  <c r="AK113" i="66"/>
  <c r="T114" i="66"/>
  <c r="V114" i="66"/>
  <c r="Y114" i="66"/>
  <c r="AF114" i="66"/>
  <c r="AG114" i="66" s="1"/>
  <c r="AK114" i="66"/>
  <c r="AM114" i="66"/>
  <c r="T115" i="66"/>
  <c r="V115" i="66"/>
  <c r="Y115" i="66"/>
  <c r="AD115" i="66"/>
  <c r="AF115" i="66"/>
  <c r="AG115" i="66"/>
  <c r="AK115" i="66"/>
  <c r="T116" i="66"/>
  <c r="AD116" i="66" s="1"/>
  <c r="V116" i="66"/>
  <c r="Y116" i="66"/>
  <c r="AE116" i="66"/>
  <c r="AF116" i="66"/>
  <c r="AG116" i="66" s="1"/>
  <c r="AH116" i="66"/>
  <c r="AI116" i="66" s="1"/>
  <c r="AK116" i="66"/>
  <c r="AM116" i="66"/>
  <c r="T117" i="66"/>
  <c r="AH117" i="66" s="1"/>
  <c r="AI117" i="66" s="1"/>
  <c r="V117" i="66"/>
  <c r="Y117" i="66"/>
  <c r="AF117" i="66"/>
  <c r="AG117" i="66" s="1"/>
  <c r="AK117" i="66"/>
  <c r="AM117" i="66"/>
  <c r="T118" i="66"/>
  <c r="AM118" i="66" s="1"/>
  <c r="V118" i="66"/>
  <c r="Y118" i="66"/>
  <c r="AD118" i="66"/>
  <c r="AE118" i="66"/>
  <c r="AF118" i="66"/>
  <c r="AG118" i="66" s="1"/>
  <c r="AH118" i="66"/>
  <c r="AI118" i="66" s="1"/>
  <c r="AK118" i="66"/>
  <c r="AN118" i="66"/>
  <c r="T119" i="66"/>
  <c r="AE119" i="66" s="1"/>
  <c r="V119" i="66"/>
  <c r="Y119" i="66"/>
  <c r="AD119" i="66"/>
  <c r="AF119" i="66"/>
  <c r="AG119" i="66" s="1"/>
  <c r="AH119" i="66"/>
  <c r="AI119" i="66" s="1"/>
  <c r="AK119" i="66"/>
  <c r="AM119" i="66"/>
  <c r="T120" i="66"/>
  <c r="AE120" i="66" s="1"/>
  <c r="V120" i="66"/>
  <c r="Y120" i="66"/>
  <c r="AD120" i="66"/>
  <c r="AF120" i="66"/>
  <c r="AG120" i="66" s="1"/>
  <c r="AK120" i="66"/>
  <c r="T121" i="66"/>
  <c r="AD121" i="66" s="1"/>
  <c r="V121" i="66"/>
  <c r="Y121" i="66"/>
  <c r="AE121" i="66"/>
  <c r="AF121" i="66"/>
  <c r="AG121" i="66"/>
  <c r="AK121" i="66"/>
  <c r="AM121" i="66"/>
  <c r="T122" i="66"/>
  <c r="V122" i="66"/>
  <c r="Y122" i="66"/>
  <c r="AF122" i="66"/>
  <c r="AG122" i="66" s="1"/>
  <c r="AK122" i="66"/>
  <c r="AM122" i="66"/>
  <c r="T123" i="66"/>
  <c r="AE123" i="66" s="1"/>
  <c r="V123" i="66"/>
  <c r="Y123" i="66"/>
  <c r="AF123" i="66"/>
  <c r="AG123" i="66"/>
  <c r="AK123" i="66"/>
  <c r="AM123" i="66"/>
  <c r="T124" i="66"/>
  <c r="AD124" i="66" s="1"/>
  <c r="V124" i="66"/>
  <c r="Y124" i="66"/>
  <c r="AF124" i="66"/>
  <c r="AG124" i="66"/>
  <c r="AK124" i="66"/>
  <c r="AM124" i="66"/>
  <c r="T125" i="66"/>
  <c r="AH125" i="66" s="1"/>
  <c r="V125" i="66"/>
  <c r="Y125" i="66"/>
  <c r="AE125" i="66"/>
  <c r="AF125" i="66"/>
  <c r="AG125" i="66" s="1"/>
  <c r="AI125" i="66"/>
  <c r="AK125" i="66"/>
  <c r="AM125" i="66"/>
  <c r="T126" i="66"/>
  <c r="AH126" i="66" s="1"/>
  <c r="AI126" i="66" s="1"/>
  <c r="V126" i="66"/>
  <c r="Y126" i="66"/>
  <c r="AF126" i="66"/>
  <c r="AG126" i="66" s="1"/>
  <c r="AJ126" i="66" s="1"/>
  <c r="AK126" i="66"/>
  <c r="AM126" i="66"/>
  <c r="T127" i="66"/>
  <c r="AH127" i="66" s="1"/>
  <c r="AI127" i="66" s="1"/>
  <c r="V127" i="66"/>
  <c r="Y127" i="66"/>
  <c r="AD127" i="66"/>
  <c r="AF127" i="66"/>
  <c r="AG127" i="66" s="1"/>
  <c r="AK127" i="66"/>
  <c r="AM127" i="66"/>
  <c r="T128" i="66"/>
  <c r="AD128" i="66" s="1"/>
  <c r="V128" i="66"/>
  <c r="Y128" i="66"/>
  <c r="AF128" i="66"/>
  <c r="AG128" i="66" s="1"/>
  <c r="AK128" i="66"/>
  <c r="AM128" i="66"/>
  <c r="T129" i="66"/>
  <c r="V129" i="66"/>
  <c r="Y129" i="66"/>
  <c r="AF129" i="66"/>
  <c r="AG129" i="66" s="1"/>
  <c r="AH129" i="66"/>
  <c r="AI129" i="66" s="1"/>
  <c r="AK129" i="66"/>
  <c r="AM129" i="66"/>
  <c r="T130" i="66"/>
  <c r="V130" i="66"/>
  <c r="Y130" i="66"/>
  <c r="AD130" i="66"/>
  <c r="AE130" i="66"/>
  <c r="AF130" i="66"/>
  <c r="AG130" i="66"/>
  <c r="AH130" i="66"/>
  <c r="AI130" i="66" s="1"/>
  <c r="AJ130" i="66" s="1"/>
  <c r="AK130" i="66"/>
  <c r="AM130" i="66"/>
  <c r="T131" i="66"/>
  <c r="AE131" i="66" s="1"/>
  <c r="V131" i="66"/>
  <c r="Y131" i="66"/>
  <c r="AD131" i="66"/>
  <c r="AF131" i="66"/>
  <c r="AG131" i="66" s="1"/>
  <c r="AH131" i="66"/>
  <c r="AI131" i="66" s="1"/>
  <c r="AK131" i="66"/>
  <c r="AM131" i="66"/>
  <c r="T132" i="66"/>
  <c r="AH132" i="66" s="1"/>
  <c r="AI132" i="66" s="1"/>
  <c r="V132" i="66"/>
  <c r="Y132" i="66"/>
  <c r="AF132" i="66"/>
  <c r="AG132" i="66" s="1"/>
  <c r="AK132" i="66"/>
  <c r="AM132" i="66"/>
  <c r="T133" i="66"/>
  <c r="V133" i="66"/>
  <c r="Y133" i="66"/>
  <c r="AF133" i="66"/>
  <c r="AG133" i="66" s="1"/>
  <c r="AK133" i="66"/>
  <c r="AM133" i="66"/>
  <c r="T134" i="66"/>
  <c r="AH134" i="66" s="1"/>
  <c r="AI134" i="66" s="1"/>
  <c r="V134" i="66"/>
  <c r="Y134" i="66"/>
  <c r="AF134" i="66"/>
  <c r="AG134" i="66" s="1"/>
  <c r="AK134" i="66"/>
  <c r="AM134" i="66"/>
  <c r="T135" i="66"/>
  <c r="AE135" i="66" s="1"/>
  <c r="V135" i="66"/>
  <c r="Y135" i="66"/>
  <c r="AD135" i="66"/>
  <c r="AF135" i="66"/>
  <c r="AG135" i="66" s="1"/>
  <c r="AK135" i="66"/>
  <c r="AM135" i="66"/>
  <c r="T136" i="66"/>
  <c r="V136" i="66"/>
  <c r="Y136" i="66"/>
  <c r="AD136" i="66"/>
  <c r="AE136" i="66"/>
  <c r="AF136" i="66"/>
  <c r="AG136" i="66"/>
  <c r="AH136" i="66"/>
  <c r="AI136" i="66" s="1"/>
  <c r="AK136" i="66"/>
  <c r="AM136" i="66"/>
  <c r="AN136" i="66" s="1"/>
  <c r="T137" i="66"/>
  <c r="AH137" i="66" s="1"/>
  <c r="V137" i="66"/>
  <c r="Y137" i="66"/>
  <c r="AF137" i="66"/>
  <c r="AG137" i="66" s="1"/>
  <c r="AI137" i="66"/>
  <c r="AJ137" i="66" s="1"/>
  <c r="AK137" i="66"/>
  <c r="AM137" i="66"/>
  <c r="T138" i="66"/>
  <c r="V138" i="66"/>
  <c r="Y138" i="66"/>
  <c r="AF138" i="66"/>
  <c r="AG138" i="66"/>
  <c r="AK138" i="66"/>
  <c r="AM138" i="66"/>
  <c r="T139" i="66"/>
  <c r="AE139" i="66" s="1"/>
  <c r="V139" i="66"/>
  <c r="Y139" i="66"/>
  <c r="AD139" i="66"/>
  <c r="AF139" i="66"/>
  <c r="AG139" i="66"/>
  <c r="AJ139" i="66" s="1"/>
  <c r="AH139" i="66"/>
  <c r="AI139" i="66" s="1"/>
  <c r="AK139" i="66"/>
  <c r="AM139" i="66"/>
  <c r="T140" i="66"/>
  <c r="AD140" i="66" s="1"/>
  <c r="V140" i="66"/>
  <c r="Y140" i="66"/>
  <c r="AF140" i="66"/>
  <c r="AG140" i="66"/>
  <c r="AH140" i="66"/>
  <c r="AI140" i="66" s="1"/>
  <c r="AL140" i="66" s="1"/>
  <c r="AK140" i="66"/>
  <c r="AM140" i="66"/>
  <c r="T141" i="66"/>
  <c r="AE141" i="66" s="1"/>
  <c r="V141" i="66"/>
  <c r="Y141" i="66"/>
  <c r="AF141" i="66"/>
  <c r="AG141" i="66" s="1"/>
  <c r="AH141" i="66"/>
  <c r="AI141" i="66" s="1"/>
  <c r="AK141" i="66"/>
  <c r="AM141" i="66"/>
  <c r="T142" i="66"/>
  <c r="AE142" i="66" s="1"/>
  <c r="V142" i="66"/>
  <c r="Y142" i="66"/>
  <c r="AD142" i="66"/>
  <c r="AF142" i="66"/>
  <c r="AG142" i="66"/>
  <c r="AK142" i="66"/>
  <c r="AM142" i="66"/>
  <c r="T143" i="66"/>
  <c r="AD143" i="66" s="1"/>
  <c r="V143" i="66"/>
  <c r="Y143" i="66"/>
  <c r="AF143" i="66"/>
  <c r="AG143" i="66" s="1"/>
  <c r="AK143" i="66"/>
  <c r="AM143" i="66"/>
  <c r="T144" i="66"/>
  <c r="AD144" i="66" s="1"/>
  <c r="V144" i="66"/>
  <c r="Y144" i="66"/>
  <c r="AF144" i="66"/>
  <c r="AG144" i="66" s="1"/>
  <c r="AK144" i="66"/>
  <c r="AM144" i="66"/>
  <c r="T145" i="66"/>
  <c r="AE145" i="66" s="1"/>
  <c r="V145" i="66"/>
  <c r="Y145" i="66"/>
  <c r="AD145" i="66"/>
  <c r="AF145" i="66"/>
  <c r="AG145" i="66" s="1"/>
  <c r="AK145" i="66"/>
  <c r="AM145" i="66"/>
  <c r="T146" i="66"/>
  <c r="AD146" i="66" s="1"/>
  <c r="V146" i="66"/>
  <c r="Y146" i="66"/>
  <c r="AF146" i="66"/>
  <c r="AG146" i="66" s="1"/>
  <c r="AH146" i="66"/>
  <c r="AI146" i="66" s="1"/>
  <c r="AK146" i="66"/>
  <c r="AM146" i="66"/>
  <c r="T147" i="66"/>
  <c r="AD147" i="66" s="1"/>
  <c r="V147" i="66"/>
  <c r="Y147" i="66"/>
  <c r="AF147" i="66"/>
  <c r="AG147" i="66" s="1"/>
  <c r="AK147" i="66"/>
  <c r="T148" i="66"/>
  <c r="AE148" i="66" s="1"/>
  <c r="AN148" i="66" s="1"/>
  <c r="V148" i="66"/>
  <c r="Y148" i="66"/>
  <c r="AD148" i="66"/>
  <c r="AF148" i="66"/>
  <c r="AG148" i="66" s="1"/>
  <c r="AH148" i="66"/>
  <c r="AI148" i="66" s="1"/>
  <c r="AK148" i="66"/>
  <c r="AM148" i="66"/>
  <c r="T149" i="66"/>
  <c r="AE149" i="66" s="1"/>
  <c r="V149" i="66"/>
  <c r="Y149" i="66"/>
  <c r="AF149" i="66"/>
  <c r="AG149" i="66" s="1"/>
  <c r="AH149" i="66"/>
  <c r="AI149" i="66" s="1"/>
  <c r="AK149" i="66"/>
  <c r="AM149" i="66"/>
  <c r="T150" i="66"/>
  <c r="AH150" i="66" s="1"/>
  <c r="AI150" i="66" s="1"/>
  <c r="V150" i="66"/>
  <c r="Y150" i="66"/>
  <c r="AE150" i="66"/>
  <c r="AF150" i="66"/>
  <c r="AG150" i="66" s="1"/>
  <c r="AK150" i="66"/>
  <c r="AM150" i="66"/>
  <c r="T151" i="66"/>
  <c r="V151" i="66"/>
  <c r="Y151" i="66"/>
  <c r="AF151" i="66"/>
  <c r="AG151" i="66" s="1"/>
  <c r="AK151" i="66"/>
  <c r="T152" i="66"/>
  <c r="AH152" i="66" s="1"/>
  <c r="AI152" i="66" s="1"/>
  <c r="V152" i="66"/>
  <c r="Y152" i="66"/>
  <c r="AF152" i="66"/>
  <c r="AG152" i="66" s="1"/>
  <c r="AK152" i="66"/>
  <c r="T153" i="66"/>
  <c r="AE153" i="66" s="1"/>
  <c r="V153" i="66"/>
  <c r="Y153" i="66"/>
  <c r="AF153" i="66"/>
  <c r="AG153" i="66" s="1"/>
  <c r="AH153" i="66"/>
  <c r="AI153" i="66" s="1"/>
  <c r="AK153" i="66"/>
  <c r="AM153" i="66"/>
  <c r="T154" i="66"/>
  <c r="AH154" i="66" s="1"/>
  <c r="AI154" i="66" s="1"/>
  <c r="V154" i="66"/>
  <c r="Y154" i="66"/>
  <c r="AE154" i="66"/>
  <c r="AF154" i="66"/>
  <c r="AG154" i="66" s="1"/>
  <c r="AK154" i="66"/>
  <c r="AM154" i="66"/>
  <c r="T155" i="66"/>
  <c r="AM155" i="66" s="1"/>
  <c r="V155" i="66"/>
  <c r="Y155" i="66"/>
  <c r="AF155" i="66"/>
  <c r="AG155" i="66" s="1"/>
  <c r="AK155" i="66"/>
  <c r="T156" i="66"/>
  <c r="AD156" i="66" s="1"/>
  <c r="V156" i="66"/>
  <c r="Y156" i="66"/>
  <c r="AF156" i="66"/>
  <c r="AG156" i="66" s="1"/>
  <c r="AK156" i="66"/>
  <c r="AM156" i="66"/>
  <c r="T157" i="66"/>
  <c r="AH157" i="66" s="1"/>
  <c r="AI157" i="66" s="1"/>
  <c r="V157" i="66"/>
  <c r="Y157" i="66"/>
  <c r="AE157" i="66"/>
  <c r="AF157" i="66"/>
  <c r="AG157" i="66" s="1"/>
  <c r="AL157" i="66" s="1"/>
  <c r="AK157" i="66"/>
  <c r="AM157" i="66"/>
  <c r="T158" i="66"/>
  <c r="AD158" i="66" s="1"/>
  <c r="V158" i="66"/>
  <c r="Y158" i="66"/>
  <c r="AF158" i="66"/>
  <c r="AG158" i="66" s="1"/>
  <c r="AH158" i="66"/>
  <c r="AI158" i="66"/>
  <c r="AK158" i="66"/>
  <c r="AM158" i="66"/>
  <c r="T159" i="66"/>
  <c r="AD159" i="66" s="1"/>
  <c r="V159" i="66"/>
  <c r="Y159" i="66"/>
  <c r="AF159" i="66"/>
  <c r="AG159" i="66" s="1"/>
  <c r="AK159" i="66"/>
  <c r="AM159" i="66"/>
  <c r="T160" i="66"/>
  <c r="V160" i="66"/>
  <c r="Y160" i="66"/>
  <c r="AD160" i="66"/>
  <c r="AE160" i="66"/>
  <c r="AF160" i="66"/>
  <c r="AG160" i="66"/>
  <c r="AH160" i="66"/>
  <c r="AI160" i="66" s="1"/>
  <c r="AK160" i="66"/>
  <c r="AM160" i="66"/>
  <c r="T161" i="66"/>
  <c r="AE161" i="66" s="1"/>
  <c r="V161" i="66"/>
  <c r="Y161" i="66"/>
  <c r="AF161" i="66"/>
  <c r="AG161" i="66" s="1"/>
  <c r="AH161" i="66"/>
  <c r="AI161" i="66" s="1"/>
  <c r="AK161" i="66"/>
  <c r="AM161" i="66"/>
  <c r="T162" i="66"/>
  <c r="AH162" i="66" s="1"/>
  <c r="AI162" i="66" s="1"/>
  <c r="V162" i="66"/>
  <c r="Y162" i="66"/>
  <c r="AF162" i="66"/>
  <c r="AG162" i="66" s="1"/>
  <c r="AK162" i="66"/>
  <c r="AM162" i="66"/>
  <c r="T163" i="66"/>
  <c r="V163" i="66"/>
  <c r="Y163" i="66"/>
  <c r="AF163" i="66"/>
  <c r="AG163" i="66" s="1"/>
  <c r="AK163" i="66"/>
  <c r="AM163" i="66"/>
  <c r="AM75" i="66" l="1"/>
  <c r="AM60" i="66"/>
  <c r="AM72" i="66"/>
  <c r="AM62" i="66"/>
  <c r="AM53" i="66"/>
  <c r="AM46" i="66"/>
  <c r="AH64" i="66"/>
  <c r="AI64" i="66" s="1"/>
  <c r="AJ64" i="66" s="1"/>
  <c r="AM78" i="66"/>
  <c r="AM76" i="66"/>
  <c r="AD53" i="66"/>
  <c r="AN53" i="66"/>
  <c r="AM50" i="66"/>
  <c r="AM54" i="66"/>
  <c r="AM45" i="66"/>
  <c r="AM43" i="66"/>
  <c r="AH72" i="66"/>
  <c r="AI72" i="66" s="1"/>
  <c r="AJ72" i="66" s="1"/>
  <c r="AH66" i="66"/>
  <c r="AI66" i="66" s="1"/>
  <c r="AL66" i="66" s="1"/>
  <c r="AH42" i="66"/>
  <c r="AI42" i="66" s="1"/>
  <c r="AL42" i="66" s="1"/>
  <c r="AE72" i="66"/>
  <c r="AN72" i="66" s="1"/>
  <c r="AE66" i="66"/>
  <c r="AN66" i="66" s="1"/>
  <c r="AH47" i="66"/>
  <c r="AI47" i="66" s="1"/>
  <c r="AJ47" i="66" s="1"/>
  <c r="AD60" i="66"/>
  <c r="AN60" i="66" s="1"/>
  <c r="AM51" i="66"/>
  <c r="AH51" i="66"/>
  <c r="AI51" i="66" s="1"/>
  <c r="AJ51" i="66" s="1"/>
  <c r="AE55" i="66"/>
  <c r="AH65" i="66"/>
  <c r="AI65" i="66" s="1"/>
  <c r="AJ65" i="66" s="1"/>
  <c r="AH58" i="66"/>
  <c r="AI58" i="66" s="1"/>
  <c r="AJ58" i="66" s="1"/>
  <c r="AH75" i="66"/>
  <c r="AI75" i="66" s="1"/>
  <c r="AL75" i="66" s="1"/>
  <c r="AH73" i="66"/>
  <c r="AI73" i="66" s="1"/>
  <c r="AJ73" i="66" s="1"/>
  <c r="AD65" i="66"/>
  <c r="AN65" i="66" s="1"/>
  <c r="AM49" i="66"/>
  <c r="AM47" i="66"/>
  <c r="AE46" i="66"/>
  <c r="AN46" i="66" s="1"/>
  <c r="AE58" i="66"/>
  <c r="AM52" i="66"/>
  <c r="AM59" i="66"/>
  <c r="AD54" i="66"/>
  <c r="AH69" i="66"/>
  <c r="AI69" i="66" s="1"/>
  <c r="AL69" i="66" s="1"/>
  <c r="AH59" i="66"/>
  <c r="AI59" i="66" s="1"/>
  <c r="AJ59" i="66" s="1"/>
  <c r="AM55" i="66"/>
  <c r="AM74" i="66"/>
  <c r="AD69" i="66"/>
  <c r="AH50" i="66"/>
  <c r="AI50" i="66" s="1"/>
  <c r="AJ50" i="66" s="1"/>
  <c r="AM48" i="66"/>
  <c r="AJ136" i="66"/>
  <c r="AJ157" i="66"/>
  <c r="AL89" i="66"/>
  <c r="AJ154" i="66"/>
  <c r="AL118" i="66"/>
  <c r="AN96" i="66"/>
  <c r="AD154" i="66"/>
  <c r="AH135" i="66"/>
  <c r="AI135" i="66" s="1"/>
  <c r="AL135" i="66" s="1"/>
  <c r="AD132" i="66"/>
  <c r="AL119" i="66"/>
  <c r="AD112" i="66"/>
  <c r="AH109" i="66"/>
  <c r="AI109" i="66" s="1"/>
  <c r="AJ109" i="66" s="1"/>
  <c r="AN145" i="66"/>
  <c r="AD161" i="66"/>
  <c r="AD157" i="66"/>
  <c r="AN157" i="66" s="1"/>
  <c r="AD149" i="66"/>
  <c r="AN149" i="66" s="1"/>
  <c r="AE146" i="66"/>
  <c r="AL126" i="66"/>
  <c r="AE113" i="66"/>
  <c r="AL95" i="66"/>
  <c r="AE158" i="66"/>
  <c r="AN119" i="66"/>
  <c r="AN111" i="66"/>
  <c r="AH99" i="66"/>
  <c r="AI99" i="66" s="1"/>
  <c r="AH96" i="66"/>
  <c r="AI96" i="66" s="1"/>
  <c r="AH90" i="66"/>
  <c r="AI90" i="66" s="1"/>
  <c r="AJ90" i="66" s="1"/>
  <c r="AL96" i="66"/>
  <c r="AL90" i="66"/>
  <c r="AE162" i="66"/>
  <c r="AN162" i="66" s="1"/>
  <c r="AD162" i="66"/>
  <c r="AN154" i="66"/>
  <c r="AD150" i="66"/>
  <c r="AN150" i="66" s="1"/>
  <c r="AE137" i="66"/>
  <c r="AE127" i="66"/>
  <c r="AH124" i="66"/>
  <c r="AI124" i="66" s="1"/>
  <c r="AL124" i="66" s="1"/>
  <c r="AH123" i="66"/>
  <c r="AI123" i="66" s="1"/>
  <c r="AL123" i="66" s="1"/>
  <c r="AH107" i="66"/>
  <c r="AI107" i="66" s="1"/>
  <c r="AJ107" i="66" s="1"/>
  <c r="AH106" i="66"/>
  <c r="AI106" i="66" s="1"/>
  <c r="AJ106" i="66" s="1"/>
  <c r="AN104" i="66"/>
  <c r="AH100" i="66"/>
  <c r="AI100" i="66" s="1"/>
  <c r="AE96" i="66"/>
  <c r="AN94" i="66"/>
  <c r="AL91" i="66"/>
  <c r="AE90" i="66"/>
  <c r="AH76" i="66"/>
  <c r="AI76" i="66" s="1"/>
  <c r="AL76" i="66" s="1"/>
  <c r="AH70" i="66"/>
  <c r="AI70" i="66" s="1"/>
  <c r="AJ70" i="66" s="1"/>
  <c r="AE67" i="66"/>
  <c r="AH48" i="66"/>
  <c r="AI48" i="66" s="1"/>
  <c r="AL48" i="66" s="1"/>
  <c r="AJ123" i="66"/>
  <c r="AL106" i="66"/>
  <c r="AJ91" i="66"/>
  <c r="AH78" i="66"/>
  <c r="AI78" i="66" s="1"/>
  <c r="AL78" i="66" s="1"/>
  <c r="AH52" i="66"/>
  <c r="AI52" i="66" s="1"/>
  <c r="AJ52" i="66" s="1"/>
  <c r="AH145" i="66"/>
  <c r="AI145" i="66" s="1"/>
  <c r="AJ145" i="66" s="1"/>
  <c r="AH142" i="66"/>
  <c r="AI142" i="66" s="1"/>
  <c r="AJ142" i="66" s="1"/>
  <c r="AN130" i="66"/>
  <c r="AE107" i="66"/>
  <c r="AN107" i="66" s="1"/>
  <c r="AE100" i="66"/>
  <c r="AH84" i="66"/>
  <c r="AI84" i="66" s="1"/>
  <c r="AJ84" i="66" s="1"/>
  <c r="AH77" i="66"/>
  <c r="AI77" i="66" s="1"/>
  <c r="AL77" i="66" s="1"/>
  <c r="AH60" i="66"/>
  <c r="AI60" i="66" s="1"/>
  <c r="AL60" i="66" s="1"/>
  <c r="AH54" i="66"/>
  <c r="AI54" i="66" s="1"/>
  <c r="AL54" i="66" s="1"/>
  <c r="AH45" i="66"/>
  <c r="AI45" i="66" s="1"/>
  <c r="AJ45" i="66" s="1"/>
  <c r="AN139" i="66"/>
  <c r="AH128" i="66"/>
  <c r="AI128" i="66" s="1"/>
  <c r="AE124" i="66"/>
  <c r="AN124" i="66" s="1"/>
  <c r="AD123" i="66"/>
  <c r="AN123" i="66" s="1"/>
  <c r="AH121" i="66"/>
  <c r="AI121" i="66" s="1"/>
  <c r="AJ121" i="66" s="1"/>
  <c r="AH111" i="66"/>
  <c r="AI111" i="66" s="1"/>
  <c r="AJ111" i="66" s="1"/>
  <c r="AE106" i="66"/>
  <c r="AN106" i="66" s="1"/>
  <c r="AH94" i="66"/>
  <c r="AI94" i="66" s="1"/>
  <c r="AH81" i="66"/>
  <c r="AI81" i="66" s="1"/>
  <c r="AJ81" i="66" s="1"/>
  <c r="AE70" i="66"/>
  <c r="AN70" i="66" s="1"/>
  <c r="AH63" i="66"/>
  <c r="AI63" i="66" s="1"/>
  <c r="AJ63" i="66" s="1"/>
  <c r="AH57" i="66"/>
  <c r="AI57" i="66" s="1"/>
  <c r="AJ57" i="66" s="1"/>
  <c r="AH53" i="66"/>
  <c r="AI53" i="66" s="1"/>
  <c r="AJ53" i="66" s="1"/>
  <c r="AH49" i="66"/>
  <c r="AI49" i="66" s="1"/>
  <c r="AE48" i="66"/>
  <c r="AD153" i="66"/>
  <c r="AE78" i="66"/>
  <c r="AN160" i="66"/>
  <c r="AN135" i="66"/>
  <c r="AE128" i="66"/>
  <c r="AN128" i="66" s="1"/>
  <c r="AD125" i="66"/>
  <c r="AN125" i="66" s="1"/>
  <c r="AD108" i="66"/>
  <c r="AN108" i="66" s="1"/>
  <c r="AJ87" i="66"/>
  <c r="AD77" i="66"/>
  <c r="AN77" i="66" s="1"/>
  <c r="AH61" i="66"/>
  <c r="AI61" i="66" s="1"/>
  <c r="AJ61" i="66" s="1"/>
  <c r="AH46" i="66"/>
  <c r="AI46" i="66" s="1"/>
  <c r="AL46" i="66" s="1"/>
  <c r="AE43" i="66"/>
  <c r="AN142" i="66"/>
  <c r="AL151" i="66"/>
  <c r="AL129" i="66"/>
  <c r="AJ129" i="66"/>
  <c r="AJ148" i="66"/>
  <c r="AJ160" i="66"/>
  <c r="AH151" i="66"/>
  <c r="AI151" i="66" s="1"/>
  <c r="AJ151" i="66" s="1"/>
  <c r="AM151" i="66"/>
  <c r="AD151" i="66"/>
  <c r="AE151" i="66"/>
  <c r="AJ127" i="66"/>
  <c r="AL127" i="66"/>
  <c r="AL158" i="66"/>
  <c r="AJ158" i="66"/>
  <c r="AL145" i="66"/>
  <c r="AH163" i="66"/>
  <c r="AI163" i="66" s="1"/>
  <c r="AJ163" i="66" s="1"/>
  <c r="AE163" i="66"/>
  <c r="AD163" i="66"/>
  <c r="AJ152" i="66"/>
  <c r="AL152" i="66"/>
  <c r="AJ149" i="66"/>
  <c r="AL149" i="66"/>
  <c r="AN146" i="66"/>
  <c r="AL144" i="66"/>
  <c r="AH138" i="66"/>
  <c r="AI138" i="66" s="1"/>
  <c r="AD138" i="66"/>
  <c r="AE138" i="66"/>
  <c r="AJ132" i="66"/>
  <c r="AL132" i="66"/>
  <c r="AL161" i="66"/>
  <c r="AJ161" i="66"/>
  <c r="AJ150" i="66"/>
  <c r="AJ162" i="66"/>
  <c r="AN161" i="66"/>
  <c r="AN158" i="66"/>
  <c r="AN153" i="66"/>
  <c r="AJ134" i="66"/>
  <c r="AL134" i="66"/>
  <c r="AD133" i="66"/>
  <c r="AH133" i="66"/>
  <c r="AI133" i="66" s="1"/>
  <c r="AE133" i="66"/>
  <c r="AJ103" i="66"/>
  <c r="AJ128" i="66"/>
  <c r="AL128" i="66"/>
  <c r="AJ153" i="66"/>
  <c r="AL153" i="66"/>
  <c r="AL146" i="66"/>
  <c r="AJ146" i="66"/>
  <c r="AL141" i="66"/>
  <c r="AJ141" i="66"/>
  <c r="AJ135" i="66"/>
  <c r="AJ116" i="66"/>
  <c r="AL116" i="66"/>
  <c r="AH114" i="66"/>
  <c r="AI114" i="66" s="1"/>
  <c r="AL114" i="66" s="1"/>
  <c r="AD114" i="66"/>
  <c r="AH155" i="66"/>
  <c r="AI155" i="66" s="1"/>
  <c r="AJ155" i="66" s="1"/>
  <c r="AE152" i="66"/>
  <c r="AH143" i="66"/>
  <c r="AI143" i="66" s="1"/>
  <c r="AJ140" i="66"/>
  <c r="AE126" i="66"/>
  <c r="AN126" i="66" s="1"/>
  <c r="AN112" i="66"/>
  <c r="AJ104" i="66"/>
  <c r="AL104" i="66"/>
  <c r="AJ100" i="66"/>
  <c r="AL100" i="66"/>
  <c r="AL88" i="66"/>
  <c r="AL73" i="66"/>
  <c r="AM147" i="66"/>
  <c r="AL131" i="66"/>
  <c r="AJ99" i="66"/>
  <c r="AL99" i="66"/>
  <c r="AL160" i="66"/>
  <c r="AH156" i="66"/>
  <c r="AI156" i="66" s="1"/>
  <c r="AJ156" i="66" s="1"/>
  <c r="AD152" i="66"/>
  <c r="AL148" i="66"/>
  <c r="AH144" i="66"/>
  <c r="AI144" i="66" s="1"/>
  <c r="AJ144" i="66" s="1"/>
  <c r="AN131" i="66"/>
  <c r="AD126" i="66"/>
  <c r="AJ125" i="66"/>
  <c r="AL125" i="66"/>
  <c r="AN109" i="66"/>
  <c r="AJ101" i="66"/>
  <c r="AL101" i="66"/>
  <c r="AE143" i="66"/>
  <c r="AN143" i="66" s="1"/>
  <c r="AE140" i="66"/>
  <c r="AN140" i="66" s="1"/>
  <c r="AL136" i="66"/>
  <c r="AL117" i="66"/>
  <c r="AJ117" i="66"/>
  <c r="AM115" i="66"/>
  <c r="AE115" i="66"/>
  <c r="AH115" i="66"/>
  <c r="AI115" i="66" s="1"/>
  <c r="AJ115" i="66" s="1"/>
  <c r="AJ112" i="66"/>
  <c r="AL112" i="66"/>
  <c r="AL107" i="66"/>
  <c r="AD103" i="66"/>
  <c r="AE103" i="66"/>
  <c r="AN103" i="66" s="1"/>
  <c r="AH103" i="66"/>
  <c r="AI103" i="66" s="1"/>
  <c r="AL103" i="66" s="1"/>
  <c r="AL162" i="66"/>
  <c r="AE155" i="66"/>
  <c r="AN155" i="66" s="1"/>
  <c r="AL150" i="66"/>
  <c r="AL139" i="66"/>
  <c r="AL137" i="66"/>
  <c r="AL130" i="66"/>
  <c r="AD129" i="66"/>
  <c r="AE129" i="66"/>
  <c r="AJ124" i="66"/>
  <c r="AD122" i="66"/>
  <c r="AE122" i="66"/>
  <c r="AH122" i="66"/>
  <c r="AI122" i="66" s="1"/>
  <c r="AJ122" i="66" s="1"/>
  <c r="AJ113" i="66"/>
  <c r="AL113" i="66"/>
  <c r="AN101" i="66"/>
  <c r="AJ94" i="66"/>
  <c r="AL94" i="66"/>
  <c r="AN84" i="66"/>
  <c r="AH159" i="66"/>
  <c r="AI159" i="66" s="1"/>
  <c r="AJ159" i="66" s="1"/>
  <c r="AE156" i="66"/>
  <c r="AN156" i="66" s="1"/>
  <c r="AD155" i="66"/>
  <c r="AM152" i="66"/>
  <c r="AH147" i="66"/>
  <c r="AI147" i="66" s="1"/>
  <c r="AJ147" i="66" s="1"/>
  <c r="AE144" i="66"/>
  <c r="AN144" i="66" s="1"/>
  <c r="AN121" i="66"/>
  <c r="AL105" i="66"/>
  <c r="AJ105" i="66"/>
  <c r="AJ95" i="66"/>
  <c r="AD134" i="66"/>
  <c r="AN134" i="66" s="1"/>
  <c r="AE134" i="66"/>
  <c r="AN116" i="66"/>
  <c r="AJ97" i="66"/>
  <c r="AL97" i="66"/>
  <c r="AJ92" i="66"/>
  <c r="AL92" i="66"/>
  <c r="AJ82" i="66"/>
  <c r="AL82" i="66"/>
  <c r="AJ114" i="66"/>
  <c r="AE159" i="66"/>
  <c r="AN159" i="66" s="1"/>
  <c r="AL154" i="66"/>
  <c r="AE147" i="66"/>
  <c r="AD141" i="66"/>
  <c r="AN141" i="66" s="1"/>
  <c r="AE132" i="66"/>
  <c r="AN132" i="66" s="1"/>
  <c r="AN127" i="66"/>
  <c r="AD117" i="66"/>
  <c r="AE117" i="66"/>
  <c r="AE114" i="66"/>
  <c r="AN114" i="66" s="1"/>
  <c r="AN90" i="66"/>
  <c r="AL98" i="66"/>
  <c r="AL142" i="66"/>
  <c r="AJ131" i="66"/>
  <c r="AJ119" i="66"/>
  <c r="AJ118" i="66"/>
  <c r="AL115" i="66"/>
  <c r="AD137" i="66"/>
  <c r="AN137" i="66" s="1"/>
  <c r="AH102" i="66"/>
  <c r="AI102" i="66" s="1"/>
  <c r="AJ102" i="66" s="1"/>
  <c r="AD102" i="66"/>
  <c r="AN102" i="66" s="1"/>
  <c r="AN100" i="66"/>
  <c r="AL83" i="66"/>
  <c r="AJ83" i="66"/>
  <c r="AM120" i="66"/>
  <c r="AJ55" i="66"/>
  <c r="AL55" i="66"/>
  <c r="AH79" i="66"/>
  <c r="AI79" i="66" s="1"/>
  <c r="AJ79" i="66" s="1"/>
  <c r="AM79" i="66"/>
  <c r="AD79" i="66"/>
  <c r="AN42" i="66"/>
  <c r="AJ88" i="66"/>
  <c r="AH68" i="66"/>
  <c r="AI68" i="66" s="1"/>
  <c r="AJ68" i="66" s="1"/>
  <c r="AD68" i="66"/>
  <c r="AE68" i="66"/>
  <c r="AH120" i="66"/>
  <c r="AI120" i="66" s="1"/>
  <c r="AJ120" i="66" s="1"/>
  <c r="AM113" i="66"/>
  <c r="AH108" i="66"/>
  <c r="AI108" i="66" s="1"/>
  <c r="AL108" i="66" s="1"/>
  <c r="AE105" i="66"/>
  <c r="AN105" i="66" s="1"/>
  <c r="AH93" i="66"/>
  <c r="AI93" i="66" s="1"/>
  <c r="AJ93" i="66" s="1"/>
  <c r="AM85" i="66"/>
  <c r="AD85" i="66"/>
  <c r="AE85" i="66"/>
  <c r="AN78" i="66"/>
  <c r="AE98" i="66"/>
  <c r="AJ96" i="66"/>
  <c r="AJ49" i="66"/>
  <c r="AL49" i="66"/>
  <c r="AH44" i="66"/>
  <c r="AI44" i="66" s="1"/>
  <c r="AJ44" i="66" s="1"/>
  <c r="AD44" i="66"/>
  <c r="AE44" i="66"/>
  <c r="AH110" i="66"/>
  <c r="AI110" i="66" s="1"/>
  <c r="AJ110" i="66" s="1"/>
  <c r="AD98" i="66"/>
  <c r="AN98" i="66" s="1"/>
  <c r="AD95" i="66"/>
  <c r="AN95" i="66" s="1"/>
  <c r="AN92" i="66"/>
  <c r="AE91" i="66"/>
  <c r="AH80" i="66"/>
  <c r="AI80" i="66" s="1"/>
  <c r="AJ80" i="66" s="1"/>
  <c r="AD80" i="66"/>
  <c r="AE80" i="66"/>
  <c r="AJ67" i="66"/>
  <c r="AL67" i="66"/>
  <c r="AE93" i="66"/>
  <c r="AN93" i="66" s="1"/>
  <c r="AD91" i="66"/>
  <c r="AN91" i="66" s="1"/>
  <c r="AM83" i="66"/>
  <c r="AE83" i="66"/>
  <c r="AH56" i="66"/>
  <c r="AI56" i="66" s="1"/>
  <c r="AJ56" i="66" s="1"/>
  <c r="AD56" i="66"/>
  <c r="AE56" i="66"/>
  <c r="AJ43" i="66"/>
  <c r="AL43" i="66"/>
  <c r="AE110" i="66"/>
  <c r="AN110" i="66" s="1"/>
  <c r="AE99" i="66"/>
  <c r="AN99" i="66" s="1"/>
  <c r="AN82" i="66"/>
  <c r="AJ46" i="66"/>
  <c r="AH85" i="66"/>
  <c r="AI85" i="66" s="1"/>
  <c r="AJ85" i="66" s="1"/>
  <c r="AL84" i="66"/>
  <c r="AE79" i="66"/>
  <c r="AH71" i="66"/>
  <c r="AI71" i="66" s="1"/>
  <c r="AJ71" i="66" s="1"/>
  <c r="AD67" i="66"/>
  <c r="AD55" i="66"/>
  <c r="AD43" i="66"/>
  <c r="AE81" i="66"/>
  <c r="AN81" i="66" s="1"/>
  <c r="AE69" i="66"/>
  <c r="AE57" i="66"/>
  <c r="AL52" i="66"/>
  <c r="AE45" i="66"/>
  <c r="AD57" i="66"/>
  <c r="AH86" i="66"/>
  <c r="AI86" i="66" s="1"/>
  <c r="AH74" i="66"/>
  <c r="AI74" i="66" s="1"/>
  <c r="AL74" i="66" s="1"/>
  <c r="AE71" i="66"/>
  <c r="AN71" i="66" s="1"/>
  <c r="AH62" i="66"/>
  <c r="AI62" i="66" s="1"/>
  <c r="AL62" i="66" s="1"/>
  <c r="AE59" i="66"/>
  <c r="AD58" i="66"/>
  <c r="AE47" i="66"/>
  <c r="AE73" i="66"/>
  <c r="AE61" i="66"/>
  <c r="AE49" i="66"/>
  <c r="AE86" i="66"/>
  <c r="AN86" i="66" s="1"/>
  <c r="AE74" i="66"/>
  <c r="AD73" i="66"/>
  <c r="AE62" i="66"/>
  <c r="AN62" i="66" s="1"/>
  <c r="AD61" i="66"/>
  <c r="AE50" i="66"/>
  <c r="AE87" i="66"/>
  <c r="AN87" i="66" s="1"/>
  <c r="AE75" i="66"/>
  <c r="AN75" i="66" s="1"/>
  <c r="AE63" i="66"/>
  <c r="AN63" i="66" s="1"/>
  <c r="AL58" i="66"/>
  <c r="AE51" i="66"/>
  <c r="AE88" i="66"/>
  <c r="AN88" i="66" s="1"/>
  <c r="AE76" i="66"/>
  <c r="AE64" i="66"/>
  <c r="AN64" i="66" s="1"/>
  <c r="AE52" i="66"/>
  <c r="AN52" i="66" l="1"/>
  <c r="AN51" i="66"/>
  <c r="AN80" i="66"/>
  <c r="AN58" i="66"/>
  <c r="AN54" i="66"/>
  <c r="AN76" i="66"/>
  <c r="AN45" i="66"/>
  <c r="AL57" i="66"/>
  <c r="AL64" i="66"/>
  <c r="AN50" i="66"/>
  <c r="AN68" i="66"/>
  <c r="AL72" i="66"/>
  <c r="AJ42" i="66"/>
  <c r="AL70" i="66"/>
  <c r="AL59" i="66"/>
  <c r="AN47" i="66"/>
  <c r="AN49" i="66"/>
  <c r="AL65" i="66"/>
  <c r="AL63" i="66"/>
  <c r="AL61" i="66"/>
  <c r="AN59" i="66"/>
  <c r="AN55" i="66"/>
  <c r="AL45" i="66"/>
  <c r="AL47" i="66"/>
  <c r="AJ66" i="66"/>
  <c r="AN43" i="66"/>
  <c r="AN69" i="66"/>
  <c r="AJ69" i="66"/>
  <c r="AJ75" i="66"/>
  <c r="AL51" i="66"/>
  <c r="AN56" i="66"/>
  <c r="AL50" i="66"/>
  <c r="AJ62" i="66"/>
  <c r="AN67" i="66"/>
  <c r="AN48" i="66"/>
  <c r="AL56" i="66"/>
  <c r="AN74" i="66"/>
  <c r="AJ77" i="66"/>
  <c r="AN57" i="66"/>
  <c r="AN117" i="66"/>
  <c r="AN129" i="66"/>
  <c r="AL111" i="66"/>
  <c r="AL81" i="66"/>
  <c r="AJ60" i="66"/>
  <c r="AL102" i="66"/>
  <c r="AJ54" i="66"/>
  <c r="AL109" i="66"/>
  <c r="AN44" i="66"/>
  <c r="AL71" i="66"/>
  <c r="AJ48" i="66"/>
  <c r="AJ74" i="66"/>
  <c r="AL68" i="66"/>
  <c r="AL155" i="66"/>
  <c r="AJ76" i="66"/>
  <c r="AL121" i="66"/>
  <c r="AN122" i="66"/>
  <c r="AJ78" i="66"/>
  <c r="AL53" i="66"/>
  <c r="AN61" i="66"/>
  <c r="AN73" i="66"/>
  <c r="AL85" i="66"/>
  <c r="AN138" i="66"/>
  <c r="AJ86" i="66"/>
  <c r="AL86" i="66"/>
  <c r="AL120" i="66"/>
  <c r="AN113" i="66"/>
  <c r="AN79" i="66"/>
  <c r="AJ108" i="66"/>
  <c r="AL93" i="66"/>
  <c r="AN133" i="66"/>
  <c r="AN163" i="66"/>
  <c r="AN120" i="66"/>
  <c r="AN115" i="66"/>
  <c r="AL159" i="66"/>
  <c r="AL138" i="66"/>
  <c r="AJ138" i="66"/>
  <c r="AL79" i="66"/>
  <c r="AN85" i="66"/>
  <c r="AL143" i="66"/>
  <c r="AJ143" i="66"/>
  <c r="AL44" i="66"/>
  <c r="AL110" i="66"/>
  <c r="AL163" i="66"/>
  <c r="AL147" i="66"/>
  <c r="AL133" i="66"/>
  <c r="AJ133" i="66"/>
  <c r="AL156" i="66"/>
  <c r="AL80" i="66"/>
  <c r="AN152" i="66"/>
  <c r="AN147" i="66"/>
  <c r="AL122" i="66"/>
  <c r="AN83" i="66"/>
  <c r="AN151" i="66"/>
  <c r="AF6" i="37" l="1"/>
  <c r="T164" i="66" l="1"/>
  <c r="AD164" i="66" s="1"/>
  <c r="V164" i="66"/>
  <c r="Y164" i="66"/>
  <c r="AF164" i="66"/>
  <c r="AG164" i="66"/>
  <c r="AK164" i="66"/>
  <c r="AM164" i="66"/>
  <c r="T165" i="66"/>
  <c r="AD165" i="66" s="1"/>
  <c r="V165" i="66"/>
  <c r="Y165" i="66"/>
  <c r="AE165" i="66"/>
  <c r="AF165" i="66"/>
  <c r="AG165" i="66"/>
  <c r="AJ165" i="66" s="1"/>
  <c r="AH165" i="66"/>
  <c r="AI165" i="66" s="1"/>
  <c r="AL165" i="66" s="1"/>
  <c r="AK165" i="66"/>
  <c r="AM165" i="66"/>
  <c r="AN165" i="66" s="1"/>
  <c r="T166" i="66"/>
  <c r="AD166" i="66" s="1"/>
  <c r="V166" i="66"/>
  <c r="Y166" i="66"/>
  <c r="AF166" i="66"/>
  <c r="AG166" i="66" s="1"/>
  <c r="AH166" i="66"/>
  <c r="AI166" i="66"/>
  <c r="AK166" i="66"/>
  <c r="AM166" i="66"/>
  <c r="T167" i="66"/>
  <c r="V167" i="66"/>
  <c r="Y167" i="66"/>
  <c r="AD167" i="66"/>
  <c r="AN167" i="66" s="1"/>
  <c r="AE167" i="66"/>
  <c r="AF167" i="66"/>
  <c r="AG167" i="66"/>
  <c r="AH167" i="66"/>
  <c r="AI167" i="66"/>
  <c r="AL167" i="66" s="1"/>
  <c r="AJ167" i="66"/>
  <c r="AK167" i="66"/>
  <c r="AM167" i="66"/>
  <c r="T168" i="66"/>
  <c r="V168" i="66"/>
  <c r="Y168" i="66"/>
  <c r="AD168" i="66"/>
  <c r="AE168" i="66"/>
  <c r="AF168" i="66"/>
  <c r="AG168" i="66" s="1"/>
  <c r="AH168" i="66"/>
  <c r="AI168" i="66" s="1"/>
  <c r="AK168" i="66"/>
  <c r="AM168" i="66"/>
  <c r="T169" i="66"/>
  <c r="V169" i="66"/>
  <c r="Y169" i="66"/>
  <c r="AE169" i="66"/>
  <c r="AF169" i="66"/>
  <c r="AG169" i="66" s="1"/>
  <c r="AK169" i="66"/>
  <c r="AM169" i="66"/>
  <c r="T170" i="66"/>
  <c r="V170" i="66"/>
  <c r="Y170" i="66"/>
  <c r="AF170" i="66"/>
  <c r="AG170" i="66"/>
  <c r="AK170" i="66"/>
  <c r="AM170" i="66"/>
  <c r="T171" i="66"/>
  <c r="AD171" i="66" s="1"/>
  <c r="V171" i="66"/>
  <c r="Y171" i="66"/>
  <c r="AF171" i="66"/>
  <c r="AG171" i="66"/>
  <c r="AH171" i="66"/>
  <c r="AI171" i="66" s="1"/>
  <c r="AK171" i="66"/>
  <c r="AM171" i="66"/>
  <c r="T172" i="66"/>
  <c r="AD172" i="66" s="1"/>
  <c r="AN172" i="66" s="1"/>
  <c r="V172" i="66"/>
  <c r="Y172" i="66"/>
  <c r="AE172" i="66"/>
  <c r="AF172" i="66"/>
  <c r="AG172" i="66"/>
  <c r="AH172" i="66"/>
  <c r="AI172" i="66"/>
  <c r="AK172" i="66"/>
  <c r="AM172" i="66"/>
  <c r="T173" i="66"/>
  <c r="AE173" i="66" s="1"/>
  <c r="V173" i="66"/>
  <c r="Y173" i="66"/>
  <c r="AD173" i="66"/>
  <c r="AF173" i="66"/>
  <c r="AG173" i="66" s="1"/>
  <c r="AL173" i="66" s="1"/>
  <c r="AH173" i="66"/>
  <c r="AI173" i="66"/>
  <c r="AK173" i="66"/>
  <c r="AM173" i="66"/>
  <c r="AN173" i="66" s="1"/>
  <c r="T174" i="66"/>
  <c r="V174" i="66"/>
  <c r="Y174" i="66"/>
  <c r="AD174" i="66"/>
  <c r="AN174" i="66" s="1"/>
  <c r="AE174" i="66"/>
  <c r="AF174" i="66"/>
  <c r="AG174" i="66"/>
  <c r="AH174" i="66"/>
  <c r="AI174" i="66"/>
  <c r="AJ174" i="66"/>
  <c r="AK174" i="66"/>
  <c r="AM174" i="66"/>
  <c r="T175" i="66"/>
  <c r="AD175" i="66" s="1"/>
  <c r="V175" i="66"/>
  <c r="Y175" i="66"/>
  <c r="AF175" i="66"/>
  <c r="AG175" i="66" s="1"/>
  <c r="AK175" i="66"/>
  <c r="AM175" i="66"/>
  <c r="T176" i="66"/>
  <c r="AD176" i="66" s="1"/>
  <c r="V176" i="66"/>
  <c r="Y176" i="66"/>
  <c r="AF176" i="66"/>
  <c r="AG176" i="66"/>
  <c r="AK176" i="66"/>
  <c r="AM176" i="66"/>
  <c r="T177" i="66"/>
  <c r="AD177" i="66" s="1"/>
  <c r="V177" i="66"/>
  <c r="Y177" i="66"/>
  <c r="AE177" i="66"/>
  <c r="AF177" i="66"/>
  <c r="AG177" i="66"/>
  <c r="AH177" i="66"/>
  <c r="AI177" i="66" s="1"/>
  <c r="AK177" i="66"/>
  <c r="AM177" i="66"/>
  <c r="AN177" i="66"/>
  <c r="T178" i="66"/>
  <c r="AD178" i="66" s="1"/>
  <c r="V178" i="66"/>
  <c r="Y178" i="66"/>
  <c r="AF178" i="66"/>
  <c r="AG178" i="66" s="1"/>
  <c r="AH178" i="66"/>
  <c r="AI178" i="66"/>
  <c r="AK178" i="66"/>
  <c r="AM178" i="66"/>
  <c r="T179" i="66"/>
  <c r="AE179" i="66" s="1"/>
  <c r="V179" i="66"/>
  <c r="Y179" i="66"/>
  <c r="AD179" i="66"/>
  <c r="AN179" i="66" s="1"/>
  <c r="AF179" i="66"/>
  <c r="AG179" i="66"/>
  <c r="AH179" i="66"/>
  <c r="AI179" i="66"/>
  <c r="AL179" i="66" s="1"/>
  <c r="AJ179" i="66"/>
  <c r="AK179" i="66"/>
  <c r="AM179" i="66"/>
  <c r="T180" i="66"/>
  <c r="V180" i="66"/>
  <c r="Y180" i="66"/>
  <c r="AD180" i="66"/>
  <c r="AE180" i="66"/>
  <c r="AF180" i="66"/>
  <c r="AG180" i="66"/>
  <c r="AH180" i="66"/>
  <c r="AI180" i="66" s="1"/>
  <c r="AK180" i="66"/>
  <c r="AM180" i="66"/>
  <c r="T181" i="66"/>
  <c r="AH181" i="66" s="1"/>
  <c r="AI181" i="66" s="1"/>
  <c r="V181" i="66"/>
  <c r="Y181" i="66"/>
  <c r="AD181" i="66"/>
  <c r="AE181" i="66"/>
  <c r="AF181" i="66"/>
  <c r="AG181" i="66" s="1"/>
  <c r="AJ181" i="66" s="1"/>
  <c r="AK181" i="66"/>
  <c r="AM181" i="66"/>
  <c r="T182" i="66"/>
  <c r="V182" i="66"/>
  <c r="Y182" i="66"/>
  <c r="AE182" i="66"/>
  <c r="AF182" i="66"/>
  <c r="AG182" i="66"/>
  <c r="AK182" i="66"/>
  <c r="AM182" i="66"/>
  <c r="T183" i="66"/>
  <c r="AE183" i="66" s="1"/>
  <c r="V183" i="66"/>
  <c r="Y183" i="66"/>
  <c r="AD183" i="66"/>
  <c r="AN183" i="66" s="1"/>
  <c r="AF183" i="66"/>
  <c r="AG183" i="66"/>
  <c r="AH183" i="66"/>
  <c r="AI183" i="66" s="1"/>
  <c r="AK183" i="66"/>
  <c r="AM183" i="66"/>
  <c r="T184" i="66"/>
  <c r="AD184" i="66" s="1"/>
  <c r="V184" i="66"/>
  <c r="Y184" i="66"/>
  <c r="AE184" i="66"/>
  <c r="AF184" i="66"/>
  <c r="AG184" i="66"/>
  <c r="AH184" i="66"/>
  <c r="AI184" i="66" s="1"/>
  <c r="AK184" i="66"/>
  <c r="AM184" i="66"/>
  <c r="T185" i="66"/>
  <c r="AE185" i="66" s="1"/>
  <c r="V185" i="66"/>
  <c r="Y185" i="66"/>
  <c r="AD185" i="66"/>
  <c r="AF185" i="66"/>
  <c r="AG185" i="66" s="1"/>
  <c r="AL185" i="66" s="1"/>
  <c r="AH185" i="66"/>
  <c r="AI185" i="66"/>
  <c r="AJ185" i="66"/>
  <c r="AK185" i="66"/>
  <c r="AM185" i="66"/>
  <c r="T186" i="66"/>
  <c r="V186" i="66"/>
  <c r="Y186" i="66"/>
  <c r="AD186" i="66"/>
  <c r="AE186" i="66"/>
  <c r="AF186" i="66"/>
  <c r="AG186" i="66"/>
  <c r="AH186" i="66"/>
  <c r="AI186" i="66"/>
  <c r="AJ186" i="66"/>
  <c r="AK186" i="66"/>
  <c r="AM186" i="66"/>
  <c r="T187" i="66"/>
  <c r="AD187" i="66" s="1"/>
  <c r="V187" i="66"/>
  <c r="Y187" i="66"/>
  <c r="AF187" i="66"/>
  <c r="AG187" i="66" s="1"/>
  <c r="AL187" i="66" s="1"/>
  <c r="AH187" i="66"/>
  <c r="AI187" i="66"/>
  <c r="AJ187" i="66"/>
  <c r="AK187" i="66"/>
  <c r="AM187" i="66"/>
  <c r="AJ177" i="66" l="1"/>
  <c r="AL177" i="66"/>
  <c r="AJ183" i="66"/>
  <c r="AL183" i="66"/>
  <c r="AJ178" i="66"/>
  <c r="AL178" i="66"/>
  <c r="AJ170" i="66"/>
  <c r="AL170" i="66"/>
  <c r="AH169" i="66"/>
  <c r="AI169" i="66" s="1"/>
  <c r="AJ169" i="66" s="1"/>
  <c r="AD169" i="66"/>
  <c r="AN169" i="66" s="1"/>
  <c r="AL182" i="66"/>
  <c r="AL186" i="66"/>
  <c r="AN185" i="66"/>
  <c r="AE187" i="66"/>
  <c r="AH182" i="66"/>
  <c r="AI182" i="66" s="1"/>
  <c r="AJ182" i="66" s="1"/>
  <c r="AD182" i="66"/>
  <c r="AN168" i="66"/>
  <c r="AJ166" i="66"/>
  <c r="AL166" i="66"/>
  <c r="AN184" i="66"/>
  <c r="AN180" i="66"/>
  <c r="AJ173" i="66"/>
  <c r="AJ171" i="66"/>
  <c r="AL171" i="66"/>
  <c r="AN181" i="66"/>
  <c r="AN186" i="66"/>
  <c r="AN182" i="66"/>
  <c r="AL181" i="66"/>
  <c r="AH170" i="66"/>
  <c r="AI170" i="66" s="1"/>
  <c r="AD170" i="66"/>
  <c r="AE170" i="66"/>
  <c r="AN170" i="66" s="1"/>
  <c r="AJ168" i="66"/>
  <c r="AL168" i="66"/>
  <c r="AJ184" i="66"/>
  <c r="AL184" i="66"/>
  <c r="AN187" i="66"/>
  <c r="AJ180" i="66"/>
  <c r="AL180" i="66"/>
  <c r="AL174" i="66"/>
  <c r="AJ172" i="66"/>
  <c r="AE171" i="66"/>
  <c r="AN171" i="66" s="1"/>
  <c r="AH175" i="66"/>
  <c r="AI175" i="66" s="1"/>
  <c r="AJ175" i="66" s="1"/>
  <c r="AH176" i="66"/>
  <c r="AI176" i="66" s="1"/>
  <c r="AL176" i="66" s="1"/>
  <c r="AH164" i="66"/>
  <c r="AI164" i="66" s="1"/>
  <c r="AL164" i="66" s="1"/>
  <c r="AE175" i="66"/>
  <c r="AN175" i="66" s="1"/>
  <c r="AE176" i="66"/>
  <c r="AN176" i="66" s="1"/>
  <c r="AE164" i="66"/>
  <c r="AN164" i="66" s="1"/>
  <c r="AL172" i="66"/>
  <c r="AE178" i="66"/>
  <c r="AN178" i="66" s="1"/>
  <c r="AE166" i="66"/>
  <c r="AN166" i="66" s="1"/>
  <c r="F28" i="67"/>
  <c r="F36" i="67"/>
  <c r="AL175" i="66" l="1"/>
  <c r="AJ176" i="66"/>
  <c r="AJ164" i="66"/>
  <c r="AL169" i="66"/>
  <c r="T25" i="60" l="1"/>
  <c r="AH25" i="60" s="1"/>
  <c r="AI25" i="60" s="1"/>
  <c r="V25" i="60"/>
  <c r="Y25" i="60"/>
  <c r="AE25" i="60"/>
  <c r="AF25" i="60"/>
  <c r="AG25" i="60" s="1"/>
  <c r="AK25" i="60"/>
  <c r="AM25" i="60"/>
  <c r="T26" i="60"/>
  <c r="AH26" i="60" s="1"/>
  <c r="AI26" i="60" s="1"/>
  <c r="V26" i="60"/>
  <c r="Y26" i="60"/>
  <c r="AE26" i="60"/>
  <c r="AF26" i="60"/>
  <c r="AG26" i="60" s="1"/>
  <c r="AK26" i="60"/>
  <c r="AM26" i="60"/>
  <c r="T27" i="60"/>
  <c r="V27" i="60"/>
  <c r="Y27" i="60"/>
  <c r="AF27" i="60"/>
  <c r="AG27" i="60" s="1"/>
  <c r="AK27" i="60"/>
  <c r="AM27" i="60"/>
  <c r="T28" i="60"/>
  <c r="AD28" i="60" s="1"/>
  <c r="V28" i="60"/>
  <c r="Y28" i="60"/>
  <c r="AF28" i="60"/>
  <c r="AG28" i="60" s="1"/>
  <c r="AK28" i="60"/>
  <c r="AM28" i="60"/>
  <c r="T29" i="60"/>
  <c r="AD29" i="60" s="1"/>
  <c r="V29" i="60"/>
  <c r="Y29" i="60"/>
  <c r="AF29" i="60"/>
  <c r="AG29" i="60" s="1"/>
  <c r="AH29" i="60"/>
  <c r="AI29" i="60" s="1"/>
  <c r="AK29" i="60"/>
  <c r="AM29" i="60"/>
  <c r="T30" i="60"/>
  <c r="AD30" i="60" s="1"/>
  <c r="V30" i="60"/>
  <c r="Y30" i="60"/>
  <c r="AF30" i="60"/>
  <c r="AG30" i="60" s="1"/>
  <c r="AK30" i="60"/>
  <c r="AM30" i="60"/>
  <c r="T31" i="60"/>
  <c r="AE31" i="60" s="1"/>
  <c r="V31" i="60"/>
  <c r="Y31" i="60"/>
  <c r="AF31" i="60"/>
  <c r="AG31" i="60" s="1"/>
  <c r="AK31" i="60"/>
  <c r="AM31" i="60"/>
  <c r="T32" i="60"/>
  <c r="AD32" i="60" s="1"/>
  <c r="V32" i="60"/>
  <c r="Y32" i="60"/>
  <c r="AF32" i="60"/>
  <c r="AG32" i="60" s="1"/>
  <c r="AK32" i="60"/>
  <c r="AM32" i="60"/>
  <c r="T33" i="60"/>
  <c r="AD33" i="60" s="1"/>
  <c r="V33" i="60"/>
  <c r="Y33" i="60"/>
  <c r="AF33" i="60"/>
  <c r="AG33" i="60" s="1"/>
  <c r="AK33" i="60"/>
  <c r="AM33" i="60"/>
  <c r="T34" i="60"/>
  <c r="AD34" i="60" s="1"/>
  <c r="V34" i="60"/>
  <c r="Y34" i="60"/>
  <c r="AF34" i="60"/>
  <c r="AG34" i="60" s="1"/>
  <c r="AK34" i="60"/>
  <c r="AM34" i="60"/>
  <c r="T35" i="60"/>
  <c r="AD35" i="60" s="1"/>
  <c r="V35" i="60"/>
  <c r="Y35" i="60"/>
  <c r="AF35" i="60"/>
  <c r="AG35" i="60" s="1"/>
  <c r="AK35" i="60"/>
  <c r="AM35" i="60"/>
  <c r="T36" i="60"/>
  <c r="AH36" i="60" s="1"/>
  <c r="AI36" i="60" s="1"/>
  <c r="V36" i="60"/>
  <c r="Y36" i="60"/>
  <c r="AF36" i="60"/>
  <c r="AG36" i="60" s="1"/>
  <c r="AK36" i="60"/>
  <c r="AM36" i="60"/>
  <c r="T37" i="60"/>
  <c r="AH37" i="60" s="1"/>
  <c r="AI37" i="60" s="1"/>
  <c r="V37" i="60"/>
  <c r="Y37" i="60"/>
  <c r="AE37" i="60"/>
  <c r="AF37" i="60"/>
  <c r="AG37" i="60" s="1"/>
  <c r="AK37" i="60"/>
  <c r="AM37" i="60"/>
  <c r="T38" i="60"/>
  <c r="AH38" i="60" s="1"/>
  <c r="AI38" i="60" s="1"/>
  <c r="V38" i="60"/>
  <c r="Y38" i="60"/>
  <c r="AE38" i="60"/>
  <c r="AF38" i="60"/>
  <c r="AG38" i="60" s="1"/>
  <c r="AK38" i="60"/>
  <c r="AM38" i="60"/>
  <c r="T39" i="60"/>
  <c r="V39" i="60"/>
  <c r="Y39" i="60"/>
  <c r="AF39" i="60"/>
  <c r="AG39" i="60" s="1"/>
  <c r="AK39" i="60"/>
  <c r="AM39" i="60"/>
  <c r="T40" i="60"/>
  <c r="AD40" i="60" s="1"/>
  <c r="V40" i="60"/>
  <c r="Y40" i="60"/>
  <c r="AF40" i="60"/>
  <c r="AG40" i="60" s="1"/>
  <c r="AH40" i="60"/>
  <c r="AI40" i="60" s="1"/>
  <c r="AK40" i="60"/>
  <c r="AM40" i="60"/>
  <c r="T41" i="60"/>
  <c r="AD41" i="60" s="1"/>
  <c r="V41" i="60"/>
  <c r="Y41" i="60"/>
  <c r="AF41" i="60"/>
  <c r="AG41" i="60" s="1"/>
  <c r="AK41" i="60"/>
  <c r="AM41" i="60"/>
  <c r="T42" i="60"/>
  <c r="AD42" i="60" s="1"/>
  <c r="V42" i="60"/>
  <c r="Y42" i="60"/>
  <c r="AE42" i="60"/>
  <c r="AF42" i="60"/>
  <c r="AG42" i="60" s="1"/>
  <c r="AH42" i="60"/>
  <c r="AI42" i="60" s="1"/>
  <c r="AK42" i="60"/>
  <c r="AM42" i="60"/>
  <c r="T43" i="60"/>
  <c r="AE43" i="60" s="1"/>
  <c r="V43" i="60"/>
  <c r="Y43" i="60"/>
  <c r="AF43" i="60"/>
  <c r="AG43" i="60" s="1"/>
  <c r="AK43" i="60"/>
  <c r="AM43" i="60"/>
  <c r="T44" i="60"/>
  <c r="AH44" i="60" s="1"/>
  <c r="AI44" i="60" s="1"/>
  <c r="V44" i="60"/>
  <c r="Y44" i="60"/>
  <c r="AD44" i="60"/>
  <c r="AE44" i="60"/>
  <c r="AF44" i="60"/>
  <c r="AG44" i="60" s="1"/>
  <c r="AJ44" i="60" s="1"/>
  <c r="AK44" i="60"/>
  <c r="AM44" i="60"/>
  <c r="T45" i="60"/>
  <c r="AD45" i="60" s="1"/>
  <c r="V45" i="60"/>
  <c r="Y45" i="60"/>
  <c r="AF45" i="60"/>
  <c r="AG45" i="60" s="1"/>
  <c r="AK45" i="60"/>
  <c r="AM45" i="60"/>
  <c r="T46" i="60"/>
  <c r="AD46" i="60" s="1"/>
  <c r="V46" i="60"/>
  <c r="Y46" i="60"/>
  <c r="AF46" i="60"/>
  <c r="AG46" i="60" s="1"/>
  <c r="AK46" i="60"/>
  <c r="AM46" i="60"/>
  <c r="T47" i="60"/>
  <c r="AE47" i="60" s="1"/>
  <c r="V47" i="60"/>
  <c r="Y47" i="60"/>
  <c r="AD47" i="60"/>
  <c r="AF47" i="60"/>
  <c r="AG47" i="60" s="1"/>
  <c r="AH47" i="60"/>
  <c r="AI47" i="60" s="1"/>
  <c r="AK47" i="60"/>
  <c r="AM47" i="60"/>
  <c r="T48" i="60"/>
  <c r="AE48" i="60" s="1"/>
  <c r="V48" i="60"/>
  <c r="Y48" i="60"/>
  <c r="AD48" i="60"/>
  <c r="AF48" i="60"/>
  <c r="AG48" i="60" s="1"/>
  <c r="AH48" i="60"/>
  <c r="AI48" i="60"/>
  <c r="AK48" i="60"/>
  <c r="AM48" i="60"/>
  <c r="T49" i="60"/>
  <c r="AH49" i="60" s="1"/>
  <c r="AI49" i="60" s="1"/>
  <c r="V49" i="60"/>
  <c r="Y49" i="60"/>
  <c r="AF49" i="60"/>
  <c r="AG49" i="60" s="1"/>
  <c r="AK49" i="60"/>
  <c r="AM49" i="60"/>
  <c r="T50" i="60"/>
  <c r="AH50" i="60" s="1"/>
  <c r="AI50" i="60" s="1"/>
  <c r="V50" i="60"/>
  <c r="Y50" i="60"/>
  <c r="AF50" i="60"/>
  <c r="AG50" i="60" s="1"/>
  <c r="AK50" i="60"/>
  <c r="AM50" i="60"/>
  <c r="T51" i="60"/>
  <c r="V51" i="60"/>
  <c r="Y51" i="60"/>
  <c r="AF51" i="60"/>
  <c r="AG51" i="60" s="1"/>
  <c r="AK51" i="60"/>
  <c r="AM51" i="60"/>
  <c r="T52" i="60"/>
  <c r="AD52" i="60" s="1"/>
  <c r="V52" i="60"/>
  <c r="Y52" i="60"/>
  <c r="AF52" i="60"/>
  <c r="AG52" i="60" s="1"/>
  <c r="AK52" i="60"/>
  <c r="AM52" i="60"/>
  <c r="T53" i="60"/>
  <c r="AD53" i="60" s="1"/>
  <c r="V53" i="60"/>
  <c r="Y53" i="60"/>
  <c r="AF53" i="60"/>
  <c r="AG53" i="60" s="1"/>
  <c r="AJ53" i="60" s="1"/>
  <c r="AH53" i="60"/>
  <c r="AI53" i="60" s="1"/>
  <c r="AK53" i="60"/>
  <c r="AM53" i="60"/>
  <c r="T54" i="60"/>
  <c r="AD54" i="60" s="1"/>
  <c r="V54" i="60"/>
  <c r="Y54" i="60"/>
  <c r="AF54" i="60"/>
  <c r="AG54" i="60"/>
  <c r="AK54" i="60"/>
  <c r="AM54" i="60"/>
  <c r="T55" i="60"/>
  <c r="AE55" i="60" s="1"/>
  <c r="V55" i="60"/>
  <c r="Y55" i="60"/>
  <c r="AF55" i="60"/>
  <c r="AG55" i="60" s="1"/>
  <c r="AK55" i="60"/>
  <c r="AM55" i="60"/>
  <c r="T56" i="60"/>
  <c r="AE56" i="60" s="1"/>
  <c r="V56" i="60"/>
  <c r="Y56" i="60"/>
  <c r="AD56" i="60"/>
  <c r="AF56" i="60"/>
  <c r="AG56" i="60"/>
  <c r="AK56" i="60"/>
  <c r="AM56" i="60"/>
  <c r="T57" i="60"/>
  <c r="AD57" i="60" s="1"/>
  <c r="V57" i="60"/>
  <c r="Y57" i="60"/>
  <c r="AF57" i="60"/>
  <c r="AG57" i="60" s="1"/>
  <c r="AK57" i="60"/>
  <c r="AM57" i="60"/>
  <c r="T58" i="60"/>
  <c r="AD58" i="60" s="1"/>
  <c r="V58" i="60"/>
  <c r="Y58" i="60"/>
  <c r="AF58" i="60"/>
  <c r="AG58" i="60" s="1"/>
  <c r="AK58" i="60"/>
  <c r="AM58" i="60"/>
  <c r="T59" i="60"/>
  <c r="AD59" i="60" s="1"/>
  <c r="V59" i="60"/>
  <c r="Y59" i="60"/>
  <c r="AF59" i="60"/>
  <c r="AG59" i="60"/>
  <c r="AK59" i="60"/>
  <c r="AM59" i="60"/>
  <c r="T60" i="60"/>
  <c r="AE60" i="60" s="1"/>
  <c r="V60" i="60"/>
  <c r="Y60" i="60"/>
  <c r="AD60" i="60"/>
  <c r="AF60" i="60"/>
  <c r="AG60" i="60" s="1"/>
  <c r="AK60" i="60"/>
  <c r="AM60" i="60"/>
  <c r="T61" i="60"/>
  <c r="AH61" i="60" s="1"/>
  <c r="AI61" i="60" s="1"/>
  <c r="V61" i="60"/>
  <c r="Y61" i="60"/>
  <c r="AE61" i="60"/>
  <c r="AF61" i="60"/>
  <c r="AG61" i="60" s="1"/>
  <c r="AK61" i="60"/>
  <c r="AM61" i="60"/>
  <c r="T62" i="60"/>
  <c r="V62" i="60"/>
  <c r="Y62" i="60"/>
  <c r="AE62" i="60"/>
  <c r="AF62" i="60"/>
  <c r="AG62" i="60" s="1"/>
  <c r="AK62" i="60"/>
  <c r="AM62" i="60"/>
  <c r="T63" i="60"/>
  <c r="V63" i="60"/>
  <c r="Y63" i="60"/>
  <c r="AF63" i="60"/>
  <c r="AG63" i="60" s="1"/>
  <c r="AK63" i="60"/>
  <c r="AM63" i="60"/>
  <c r="T64" i="60"/>
  <c r="V64" i="60"/>
  <c r="Y64" i="60"/>
  <c r="AF64" i="60"/>
  <c r="AG64" i="60" s="1"/>
  <c r="AH64" i="60"/>
  <c r="AI64" i="60" s="1"/>
  <c r="AK64" i="60"/>
  <c r="AM64" i="60"/>
  <c r="T65" i="60"/>
  <c r="AD65" i="60" s="1"/>
  <c r="V65" i="60"/>
  <c r="Y65" i="60"/>
  <c r="AF65" i="60"/>
  <c r="AG65" i="60" s="1"/>
  <c r="AK65" i="60"/>
  <c r="AM65" i="60"/>
  <c r="T66" i="60"/>
  <c r="AD66" i="60" s="1"/>
  <c r="V66" i="60"/>
  <c r="Y66" i="60"/>
  <c r="AE66" i="60"/>
  <c r="AF66" i="60"/>
  <c r="AG66" i="60" s="1"/>
  <c r="AH66" i="60"/>
  <c r="AI66" i="60" s="1"/>
  <c r="AK66" i="60"/>
  <c r="AM66" i="60"/>
  <c r="T67" i="60"/>
  <c r="AE67" i="60" s="1"/>
  <c r="V67" i="60"/>
  <c r="Y67" i="60"/>
  <c r="AF67" i="60"/>
  <c r="AG67" i="60" s="1"/>
  <c r="AH67" i="60"/>
  <c r="AI67" i="60" s="1"/>
  <c r="AK67" i="60"/>
  <c r="AM67" i="60"/>
  <c r="T68" i="60"/>
  <c r="AD68" i="60" s="1"/>
  <c r="V68" i="60"/>
  <c r="Y68" i="60"/>
  <c r="AF68" i="60"/>
  <c r="AG68" i="60" s="1"/>
  <c r="AK68" i="60"/>
  <c r="AM68" i="60"/>
  <c r="T69" i="60"/>
  <c r="AD69" i="60" s="1"/>
  <c r="V69" i="60"/>
  <c r="Y69" i="60"/>
  <c r="AF69" i="60"/>
  <c r="AG69" i="60" s="1"/>
  <c r="AK69" i="60"/>
  <c r="AM69" i="60"/>
  <c r="T70" i="60"/>
  <c r="AD70" i="60" s="1"/>
  <c r="V70" i="60"/>
  <c r="Y70" i="60"/>
  <c r="AF70" i="60"/>
  <c r="AG70" i="60" s="1"/>
  <c r="AK70" i="60"/>
  <c r="AM70" i="60"/>
  <c r="T71" i="60"/>
  <c r="AH71" i="60" s="1"/>
  <c r="AI71" i="60" s="1"/>
  <c r="V71" i="60"/>
  <c r="Y71" i="60"/>
  <c r="AD71" i="60"/>
  <c r="AE71" i="60"/>
  <c r="AF71" i="60"/>
  <c r="AG71" i="60" s="1"/>
  <c r="AK71" i="60"/>
  <c r="AM71" i="60"/>
  <c r="T72" i="60"/>
  <c r="AE72" i="60" s="1"/>
  <c r="V72" i="60"/>
  <c r="Y72" i="60"/>
  <c r="AF72" i="60"/>
  <c r="AG72" i="60" s="1"/>
  <c r="AH72" i="60"/>
  <c r="AI72" i="60"/>
  <c r="AK72" i="60"/>
  <c r="AM72" i="60"/>
  <c r="T73" i="60"/>
  <c r="AH73" i="60" s="1"/>
  <c r="AI73" i="60" s="1"/>
  <c r="V73" i="60"/>
  <c r="Y73" i="60"/>
  <c r="AF73" i="60"/>
  <c r="AG73" i="60" s="1"/>
  <c r="AK73" i="60"/>
  <c r="AM73" i="60"/>
  <c r="T74" i="60"/>
  <c r="AH74" i="60" s="1"/>
  <c r="AI74" i="60" s="1"/>
  <c r="V74" i="60"/>
  <c r="Y74" i="60"/>
  <c r="AF74" i="60"/>
  <c r="AG74" i="60" s="1"/>
  <c r="AJ74" i="60" s="1"/>
  <c r="AK74" i="60"/>
  <c r="AM74" i="60"/>
  <c r="T75" i="60"/>
  <c r="AH75" i="60" s="1"/>
  <c r="AI75" i="60" s="1"/>
  <c r="V75" i="60"/>
  <c r="Y75" i="60"/>
  <c r="AF75" i="60"/>
  <c r="AG75" i="60" s="1"/>
  <c r="AK75" i="60"/>
  <c r="AM75" i="60"/>
  <c r="T76" i="60"/>
  <c r="AD76" i="60" s="1"/>
  <c r="V76" i="60"/>
  <c r="Y76" i="60"/>
  <c r="AF76" i="60"/>
  <c r="AG76" i="60" s="1"/>
  <c r="AK76" i="60"/>
  <c r="AM76" i="60"/>
  <c r="T77" i="60"/>
  <c r="V77" i="60"/>
  <c r="Y77" i="60"/>
  <c r="AF77" i="60"/>
  <c r="AG77" i="60"/>
  <c r="AK77" i="60"/>
  <c r="AM77" i="60"/>
  <c r="T78" i="60"/>
  <c r="AD78" i="60" s="1"/>
  <c r="V78" i="60"/>
  <c r="Y78" i="60"/>
  <c r="AE78" i="60"/>
  <c r="AF78" i="60"/>
  <c r="AG78" i="60" s="1"/>
  <c r="AK78" i="60"/>
  <c r="AM78" i="60"/>
  <c r="T79" i="60"/>
  <c r="V79" i="60"/>
  <c r="Y79" i="60"/>
  <c r="AF79" i="60"/>
  <c r="AG79" i="60" s="1"/>
  <c r="AK79" i="60"/>
  <c r="AM79" i="60"/>
  <c r="T80" i="60"/>
  <c r="AE80" i="60" s="1"/>
  <c r="V80" i="60"/>
  <c r="Y80" i="60"/>
  <c r="AF80" i="60"/>
  <c r="AG80" i="60" s="1"/>
  <c r="AK80" i="60"/>
  <c r="AM80" i="60"/>
  <c r="T81" i="60"/>
  <c r="V81" i="60"/>
  <c r="Y81" i="60"/>
  <c r="AF81" i="60"/>
  <c r="AG81" i="60" s="1"/>
  <c r="AK81" i="60"/>
  <c r="AM81" i="60"/>
  <c r="T82" i="60"/>
  <c r="AD82" i="60" s="1"/>
  <c r="V82" i="60"/>
  <c r="Y82" i="60"/>
  <c r="AF82" i="60"/>
  <c r="AG82" i="60" s="1"/>
  <c r="AK82" i="60"/>
  <c r="AM82" i="60"/>
  <c r="T83" i="60"/>
  <c r="AE83" i="60" s="1"/>
  <c r="V83" i="60"/>
  <c r="Y83" i="60"/>
  <c r="AF83" i="60"/>
  <c r="AG83" i="60" s="1"/>
  <c r="AK83" i="60"/>
  <c r="AM83" i="60"/>
  <c r="T84" i="60"/>
  <c r="V84" i="60"/>
  <c r="Y84" i="60"/>
  <c r="AF84" i="60"/>
  <c r="AG84" i="60" s="1"/>
  <c r="AK84" i="60"/>
  <c r="AM84" i="60"/>
  <c r="T85" i="60"/>
  <c r="AE85" i="60" s="1"/>
  <c r="V85" i="60"/>
  <c r="Y85" i="60"/>
  <c r="AF85" i="60"/>
  <c r="AG85" i="60" s="1"/>
  <c r="AH85" i="60"/>
  <c r="AI85" i="60" s="1"/>
  <c r="AK85" i="60"/>
  <c r="AM85" i="60"/>
  <c r="T86" i="60"/>
  <c r="AD86" i="60" s="1"/>
  <c r="V86" i="60"/>
  <c r="Y86" i="60"/>
  <c r="AF86" i="60"/>
  <c r="AG86" i="60" s="1"/>
  <c r="AK86" i="60"/>
  <c r="AM86" i="60"/>
  <c r="T87" i="60"/>
  <c r="AD87" i="60" s="1"/>
  <c r="V87" i="60"/>
  <c r="Y87" i="60"/>
  <c r="AF87" i="60"/>
  <c r="AG87" i="60" s="1"/>
  <c r="AK87" i="60"/>
  <c r="AM87" i="60"/>
  <c r="T88" i="60"/>
  <c r="AD88" i="60" s="1"/>
  <c r="V88" i="60"/>
  <c r="Y88" i="60"/>
  <c r="AF88" i="60"/>
  <c r="AG88" i="60" s="1"/>
  <c r="AK88" i="60"/>
  <c r="AM88" i="60"/>
  <c r="T89" i="60"/>
  <c r="AD89" i="60" s="1"/>
  <c r="V89" i="60"/>
  <c r="Y89" i="60"/>
  <c r="AF89" i="60"/>
  <c r="AG89" i="60" s="1"/>
  <c r="AK89" i="60"/>
  <c r="AM89" i="60"/>
  <c r="T90" i="60"/>
  <c r="AD90" i="60" s="1"/>
  <c r="V90" i="60"/>
  <c r="Y90" i="60"/>
  <c r="AF90" i="60"/>
  <c r="AG90" i="60" s="1"/>
  <c r="AK90" i="60"/>
  <c r="AM90" i="60"/>
  <c r="T91" i="60"/>
  <c r="AH91" i="60" s="1"/>
  <c r="AI91" i="60" s="1"/>
  <c r="V91" i="60"/>
  <c r="Y91" i="60"/>
  <c r="AD91" i="60"/>
  <c r="AF91" i="60"/>
  <c r="AG91" i="60" s="1"/>
  <c r="AK91" i="60"/>
  <c r="AM91" i="60"/>
  <c r="T92" i="60"/>
  <c r="AE92" i="60" s="1"/>
  <c r="V92" i="60"/>
  <c r="Y92" i="60"/>
  <c r="AF92" i="60"/>
  <c r="AG92" i="60" s="1"/>
  <c r="AK92" i="60"/>
  <c r="AM92" i="60"/>
  <c r="T93" i="60"/>
  <c r="V93" i="60"/>
  <c r="Y93" i="60"/>
  <c r="AF93" i="60"/>
  <c r="AG93" i="60" s="1"/>
  <c r="AK93" i="60"/>
  <c r="AM93" i="60"/>
  <c r="T94" i="60"/>
  <c r="AE94" i="60" s="1"/>
  <c r="V94" i="60"/>
  <c r="Y94" i="60"/>
  <c r="AD94" i="60"/>
  <c r="AF94" i="60"/>
  <c r="AG94" i="60"/>
  <c r="AH94" i="60"/>
  <c r="AI94" i="60" s="1"/>
  <c r="AK94" i="60"/>
  <c r="AM94" i="60"/>
  <c r="T95" i="60"/>
  <c r="AD95" i="60" s="1"/>
  <c r="V95" i="60"/>
  <c r="Y95" i="60"/>
  <c r="AF95" i="60"/>
  <c r="AG95" i="60" s="1"/>
  <c r="AH95" i="60"/>
  <c r="AI95" i="60" s="1"/>
  <c r="AK95" i="60"/>
  <c r="AM95" i="60"/>
  <c r="T96" i="60"/>
  <c r="AD96" i="60" s="1"/>
  <c r="V96" i="60"/>
  <c r="Y96" i="60"/>
  <c r="AF96" i="60"/>
  <c r="AG96" i="60"/>
  <c r="AK96" i="60"/>
  <c r="AM96" i="60"/>
  <c r="T97" i="60"/>
  <c r="AE97" i="60" s="1"/>
  <c r="V97" i="60"/>
  <c r="Y97" i="60"/>
  <c r="AD97" i="60"/>
  <c r="AF97" i="60"/>
  <c r="AG97" i="60" s="1"/>
  <c r="AH97" i="60"/>
  <c r="AI97" i="60" s="1"/>
  <c r="AK97" i="60"/>
  <c r="AM97" i="60"/>
  <c r="T98" i="60"/>
  <c r="AD98" i="60" s="1"/>
  <c r="V98" i="60"/>
  <c r="Y98" i="60"/>
  <c r="AF98" i="60"/>
  <c r="AG98" i="60"/>
  <c r="AK98" i="60"/>
  <c r="AM98" i="60"/>
  <c r="T99" i="60"/>
  <c r="AD99" i="60" s="1"/>
  <c r="V99" i="60"/>
  <c r="Y99" i="60"/>
  <c r="AF99" i="60"/>
  <c r="AG99" i="60" s="1"/>
  <c r="AK99" i="60"/>
  <c r="AM99" i="60"/>
  <c r="T100" i="60"/>
  <c r="AD100" i="60" s="1"/>
  <c r="V100" i="60"/>
  <c r="Y100" i="60"/>
  <c r="AF100" i="60"/>
  <c r="AG100" i="60" s="1"/>
  <c r="AK100" i="60"/>
  <c r="AM100" i="60"/>
  <c r="T101" i="60"/>
  <c r="AH101" i="60" s="1"/>
  <c r="AI101" i="60" s="1"/>
  <c r="V101" i="60"/>
  <c r="Y101" i="60"/>
  <c r="AD101" i="60"/>
  <c r="AF101" i="60"/>
  <c r="AG101" i="60"/>
  <c r="AK101" i="60"/>
  <c r="AM101" i="60"/>
  <c r="T102" i="60"/>
  <c r="AD102" i="60" s="1"/>
  <c r="V102" i="60"/>
  <c r="Y102" i="60"/>
  <c r="AF102" i="60"/>
  <c r="AG102" i="60" s="1"/>
  <c r="AH102" i="60"/>
  <c r="AI102" i="60" s="1"/>
  <c r="AL102" i="60" s="1"/>
  <c r="AK102" i="60"/>
  <c r="AM102" i="60"/>
  <c r="T103" i="60"/>
  <c r="AH103" i="60" s="1"/>
  <c r="AI103" i="60" s="1"/>
  <c r="V103" i="60"/>
  <c r="Y103" i="60"/>
  <c r="AF103" i="60"/>
  <c r="AG103" i="60" s="1"/>
  <c r="AK103" i="60"/>
  <c r="AM103" i="60"/>
  <c r="T104" i="60"/>
  <c r="V104" i="60"/>
  <c r="Y104" i="60"/>
  <c r="AE104" i="60"/>
  <c r="AF104" i="60"/>
  <c r="AG104" i="60"/>
  <c r="AK104" i="60"/>
  <c r="AM104" i="60"/>
  <c r="T105" i="60"/>
  <c r="AE105" i="60" s="1"/>
  <c r="V105" i="60"/>
  <c r="Y105" i="60"/>
  <c r="AF105" i="60"/>
  <c r="AG105" i="60" s="1"/>
  <c r="AK105" i="60"/>
  <c r="AM105" i="60"/>
  <c r="T106" i="60"/>
  <c r="AH106" i="60" s="1"/>
  <c r="AI106" i="60" s="1"/>
  <c r="V106" i="60"/>
  <c r="Y106" i="60"/>
  <c r="AD106" i="60"/>
  <c r="AE106" i="60"/>
  <c r="AF106" i="60"/>
  <c r="AG106" i="60" s="1"/>
  <c r="AK106" i="60"/>
  <c r="AM106" i="60"/>
  <c r="T107" i="60"/>
  <c r="AD107" i="60" s="1"/>
  <c r="V107" i="60"/>
  <c r="Y107" i="60"/>
  <c r="AF107" i="60"/>
  <c r="AG107" i="60" s="1"/>
  <c r="AK107" i="60"/>
  <c r="AM107" i="60"/>
  <c r="T108" i="60"/>
  <c r="V108" i="60"/>
  <c r="Y108" i="60"/>
  <c r="AF108" i="60"/>
  <c r="AG108" i="60" s="1"/>
  <c r="AK108" i="60"/>
  <c r="AM108" i="60"/>
  <c r="T109" i="60"/>
  <c r="AE109" i="60" s="1"/>
  <c r="V109" i="60"/>
  <c r="Y109" i="60"/>
  <c r="AF109" i="60"/>
  <c r="AG109" i="60" s="1"/>
  <c r="AH109" i="60"/>
  <c r="AI109" i="60" s="1"/>
  <c r="AK109" i="60"/>
  <c r="AM109" i="60"/>
  <c r="T110" i="60"/>
  <c r="AD110" i="60" s="1"/>
  <c r="V110" i="60"/>
  <c r="Y110" i="60"/>
  <c r="AF110" i="60"/>
  <c r="AG110" i="60"/>
  <c r="AK110" i="60"/>
  <c r="AM110" i="60"/>
  <c r="T111" i="60"/>
  <c r="V111" i="60"/>
  <c r="Y111" i="60"/>
  <c r="AF111" i="60"/>
  <c r="AG111" i="60" s="1"/>
  <c r="AK111" i="60"/>
  <c r="AM111" i="60"/>
  <c r="T112" i="60"/>
  <c r="V112" i="60"/>
  <c r="Y112" i="60"/>
  <c r="AF112" i="60"/>
  <c r="AG112" i="60" s="1"/>
  <c r="AK112" i="60"/>
  <c r="AM112" i="60"/>
  <c r="T113" i="60"/>
  <c r="AD113" i="60" s="1"/>
  <c r="V113" i="60"/>
  <c r="Y113" i="60"/>
  <c r="AF113" i="60"/>
  <c r="AG113" i="60" s="1"/>
  <c r="AK113" i="60"/>
  <c r="AM113" i="60"/>
  <c r="T114" i="60"/>
  <c r="AH114" i="60" s="1"/>
  <c r="AI114" i="60" s="1"/>
  <c r="V114" i="60"/>
  <c r="Y114" i="60"/>
  <c r="AD114" i="60"/>
  <c r="AE114" i="60"/>
  <c r="AF114" i="60"/>
  <c r="AG114" i="60" s="1"/>
  <c r="AK114" i="60"/>
  <c r="AM114" i="60"/>
  <c r="T115" i="60"/>
  <c r="AH115" i="60" s="1"/>
  <c r="AI115" i="60" s="1"/>
  <c r="V115" i="60"/>
  <c r="Y115" i="60"/>
  <c r="AF115" i="60"/>
  <c r="AG115" i="60" s="1"/>
  <c r="AK115" i="60"/>
  <c r="AM115" i="60"/>
  <c r="T116" i="60"/>
  <c r="AH116" i="60" s="1"/>
  <c r="AI116" i="60" s="1"/>
  <c r="V116" i="60"/>
  <c r="Y116" i="60"/>
  <c r="AF116" i="60"/>
  <c r="AG116" i="60" s="1"/>
  <c r="AL116" i="60" s="1"/>
  <c r="AK116" i="60"/>
  <c r="AM116" i="60"/>
  <c r="T117" i="60"/>
  <c r="AD117" i="60" s="1"/>
  <c r="V117" i="60"/>
  <c r="Y117" i="60"/>
  <c r="AF117" i="60"/>
  <c r="AG117" i="60"/>
  <c r="AH117" i="60"/>
  <c r="AI117" i="60" s="1"/>
  <c r="AK117" i="60"/>
  <c r="AM117" i="60"/>
  <c r="T118" i="60"/>
  <c r="AE118" i="60" s="1"/>
  <c r="V118" i="60"/>
  <c r="Y118" i="60"/>
  <c r="AD118" i="60"/>
  <c r="AF118" i="60"/>
  <c r="AG118" i="60" s="1"/>
  <c r="AH118" i="60"/>
  <c r="AI118" i="60" s="1"/>
  <c r="AK118" i="60"/>
  <c r="AM118" i="60"/>
  <c r="T119" i="60"/>
  <c r="AD119" i="60" s="1"/>
  <c r="V119" i="60"/>
  <c r="Y119" i="60"/>
  <c r="AF119" i="60"/>
  <c r="AG119" i="60" s="1"/>
  <c r="AK119" i="60"/>
  <c r="AM119" i="60"/>
  <c r="T120" i="60"/>
  <c r="AD120" i="60" s="1"/>
  <c r="V120" i="60"/>
  <c r="Y120" i="60"/>
  <c r="AF120" i="60"/>
  <c r="AG120" i="60" s="1"/>
  <c r="AK120" i="60"/>
  <c r="AM120" i="60"/>
  <c r="T121" i="60"/>
  <c r="AE121" i="60" s="1"/>
  <c r="V121" i="60"/>
  <c r="Y121" i="60"/>
  <c r="AF121" i="60"/>
  <c r="AG121" i="60" s="1"/>
  <c r="AH121" i="60"/>
  <c r="AI121" i="60" s="1"/>
  <c r="AK121" i="60"/>
  <c r="AM121" i="60"/>
  <c r="T122" i="60"/>
  <c r="V122" i="60"/>
  <c r="Y122" i="60"/>
  <c r="AD122" i="60"/>
  <c r="AE122" i="60"/>
  <c r="AF122" i="60"/>
  <c r="AG122" i="60"/>
  <c r="AH122" i="60"/>
  <c r="AI122" i="60"/>
  <c r="AJ122" i="60"/>
  <c r="AK122" i="60"/>
  <c r="AL122" i="60"/>
  <c r="AM122" i="60"/>
  <c r="T123" i="60"/>
  <c r="AD123" i="60" s="1"/>
  <c r="V123" i="60"/>
  <c r="Y123" i="60"/>
  <c r="AF123" i="60"/>
  <c r="AG123" i="60" s="1"/>
  <c r="AK123" i="60"/>
  <c r="AM123" i="60"/>
  <c r="T124" i="60"/>
  <c r="V124" i="60"/>
  <c r="Y124" i="60"/>
  <c r="AF124" i="60"/>
  <c r="AG124" i="60"/>
  <c r="AK124" i="60"/>
  <c r="AM124" i="60"/>
  <c r="T125" i="60"/>
  <c r="V125" i="60"/>
  <c r="Y125" i="60"/>
  <c r="AD125" i="60"/>
  <c r="AN125" i="60" s="1"/>
  <c r="AE125" i="60"/>
  <c r="AF125" i="60"/>
  <c r="AG125" i="60"/>
  <c r="AJ125" i="60" s="1"/>
  <c r="AH125" i="60"/>
  <c r="AI125" i="60" s="1"/>
  <c r="AK125" i="60"/>
  <c r="AM125" i="60"/>
  <c r="T126" i="60"/>
  <c r="AD126" i="60" s="1"/>
  <c r="V126" i="60"/>
  <c r="Y126" i="60"/>
  <c r="AF126" i="60"/>
  <c r="AG126" i="60" s="1"/>
  <c r="AK126" i="60"/>
  <c r="AM126" i="60"/>
  <c r="T127" i="60"/>
  <c r="AH127" i="60" s="1"/>
  <c r="V127" i="60"/>
  <c r="Y127" i="60"/>
  <c r="AF127" i="60"/>
  <c r="AG127" i="60" s="1"/>
  <c r="AI127" i="60"/>
  <c r="AK127" i="60"/>
  <c r="AM127" i="60"/>
  <c r="T128" i="60"/>
  <c r="V128" i="60"/>
  <c r="Y128" i="60"/>
  <c r="AD128" i="60"/>
  <c r="AE128" i="60"/>
  <c r="AN128" i="60" s="1"/>
  <c r="AF128" i="60"/>
  <c r="AG128" i="60"/>
  <c r="AJ128" i="60" s="1"/>
  <c r="AH128" i="60"/>
  <c r="AI128" i="60" s="1"/>
  <c r="AK128" i="60"/>
  <c r="AM128" i="60"/>
  <c r="T129" i="60"/>
  <c r="AE129" i="60" s="1"/>
  <c r="V129" i="60"/>
  <c r="Y129" i="60"/>
  <c r="AD129" i="60"/>
  <c r="AF129" i="60"/>
  <c r="AG129" i="60" s="1"/>
  <c r="AH129" i="60"/>
  <c r="AI129" i="60" s="1"/>
  <c r="AK129" i="60"/>
  <c r="AM129" i="60"/>
  <c r="T130" i="60"/>
  <c r="AD130" i="60" s="1"/>
  <c r="V130" i="60"/>
  <c r="Y130" i="60"/>
  <c r="AF130" i="60"/>
  <c r="AG130" i="60" s="1"/>
  <c r="AH130" i="60"/>
  <c r="AI130" i="60" s="1"/>
  <c r="AK130" i="60"/>
  <c r="AM130" i="60"/>
  <c r="T25" i="59"/>
  <c r="AH25" i="59" s="1"/>
  <c r="AI25" i="59" s="1"/>
  <c r="V25" i="59"/>
  <c r="Y25" i="59"/>
  <c r="AD25" i="59"/>
  <c r="AF25" i="59"/>
  <c r="AG25" i="59" s="1"/>
  <c r="AK25" i="59"/>
  <c r="AM25" i="59"/>
  <c r="T26" i="59"/>
  <c r="AH26" i="59" s="1"/>
  <c r="AI26" i="59" s="1"/>
  <c r="V26" i="59"/>
  <c r="Y26" i="59"/>
  <c r="AF26" i="59"/>
  <c r="AG26" i="59" s="1"/>
  <c r="AK26" i="59"/>
  <c r="AM26" i="59"/>
  <c r="T27" i="59"/>
  <c r="AH27" i="59" s="1"/>
  <c r="AI27" i="59" s="1"/>
  <c r="V27" i="59"/>
  <c r="Y27" i="59"/>
  <c r="AF27" i="59"/>
  <c r="AG27" i="59" s="1"/>
  <c r="AK27" i="59"/>
  <c r="AM27" i="59"/>
  <c r="T28" i="59"/>
  <c r="AD28" i="59" s="1"/>
  <c r="V28" i="59"/>
  <c r="Y28" i="59"/>
  <c r="AF28" i="59"/>
  <c r="AG28" i="59" s="1"/>
  <c r="AK28" i="59"/>
  <c r="AM28" i="59"/>
  <c r="T29" i="59"/>
  <c r="AD29" i="59" s="1"/>
  <c r="V29" i="59"/>
  <c r="Y29" i="59"/>
  <c r="AF29" i="59"/>
  <c r="AG29" i="59" s="1"/>
  <c r="AK29" i="59"/>
  <c r="AM29" i="59"/>
  <c r="T30" i="59"/>
  <c r="AE30" i="59" s="1"/>
  <c r="V30" i="59"/>
  <c r="Y30" i="59"/>
  <c r="AF30" i="59"/>
  <c r="AG30" i="59"/>
  <c r="AH30" i="59"/>
  <c r="AI30" i="59" s="1"/>
  <c r="AK30" i="59"/>
  <c r="AM30" i="59"/>
  <c r="T31" i="59"/>
  <c r="AD31" i="59" s="1"/>
  <c r="V31" i="59"/>
  <c r="Y31" i="59"/>
  <c r="AF31" i="59"/>
  <c r="AG31" i="59" s="1"/>
  <c r="AK31" i="59"/>
  <c r="AM31" i="59"/>
  <c r="T32" i="59"/>
  <c r="AD32" i="59" s="1"/>
  <c r="V32" i="59"/>
  <c r="Y32" i="59"/>
  <c r="AF32" i="59"/>
  <c r="AG32" i="59" s="1"/>
  <c r="AK32" i="59"/>
  <c r="AM32" i="59"/>
  <c r="T33" i="59"/>
  <c r="AD33" i="59" s="1"/>
  <c r="V33" i="59"/>
  <c r="Y33" i="59"/>
  <c r="AF33" i="59"/>
  <c r="AG33" i="59" s="1"/>
  <c r="AK33" i="59"/>
  <c r="AM33" i="59"/>
  <c r="T34" i="59"/>
  <c r="AD34" i="59" s="1"/>
  <c r="V34" i="59"/>
  <c r="Y34" i="59"/>
  <c r="AF34" i="59"/>
  <c r="AG34" i="59"/>
  <c r="AK34" i="59"/>
  <c r="AM34" i="59"/>
  <c r="T35" i="59"/>
  <c r="AE35" i="59" s="1"/>
  <c r="V35" i="59"/>
  <c r="Y35" i="59"/>
  <c r="AD35" i="59"/>
  <c r="AF35" i="59"/>
  <c r="AG35" i="59"/>
  <c r="AK35" i="59"/>
  <c r="AM35" i="59"/>
  <c r="T36" i="59"/>
  <c r="AE36" i="59" s="1"/>
  <c r="V36" i="59"/>
  <c r="Y36" i="59"/>
  <c r="AF36" i="59"/>
  <c r="AG36" i="59" s="1"/>
  <c r="AK36" i="59"/>
  <c r="AM36" i="59"/>
  <c r="T37" i="59"/>
  <c r="AH37" i="59" s="1"/>
  <c r="AI37" i="59" s="1"/>
  <c r="V37" i="59"/>
  <c r="Y37" i="59"/>
  <c r="AE37" i="59"/>
  <c r="AF37" i="59"/>
  <c r="AG37" i="59" s="1"/>
  <c r="AK37" i="59"/>
  <c r="AM37" i="59"/>
  <c r="T38" i="59"/>
  <c r="AH38" i="59" s="1"/>
  <c r="AI38" i="59" s="1"/>
  <c r="V38" i="59"/>
  <c r="Y38" i="59"/>
  <c r="AF38" i="59"/>
  <c r="AG38" i="59" s="1"/>
  <c r="AK38" i="59"/>
  <c r="AM38" i="59"/>
  <c r="T39" i="59"/>
  <c r="AH39" i="59" s="1"/>
  <c r="AI39" i="59" s="1"/>
  <c r="V39" i="59"/>
  <c r="Y39" i="59"/>
  <c r="AF39" i="59"/>
  <c r="AG39" i="59" s="1"/>
  <c r="AK39" i="59"/>
  <c r="AM39" i="59"/>
  <c r="T40" i="59"/>
  <c r="AD40" i="59" s="1"/>
  <c r="V40" i="59"/>
  <c r="Y40" i="59"/>
  <c r="AF40" i="59"/>
  <c r="AG40" i="59" s="1"/>
  <c r="AH40" i="59"/>
  <c r="AI40" i="59" s="1"/>
  <c r="AK40" i="59"/>
  <c r="AM40" i="59"/>
  <c r="T41" i="59"/>
  <c r="AD41" i="59" s="1"/>
  <c r="V41" i="59"/>
  <c r="Y41" i="59"/>
  <c r="AF41" i="59"/>
  <c r="AG41" i="59" s="1"/>
  <c r="AK41" i="59"/>
  <c r="AM41" i="59"/>
  <c r="T42" i="59"/>
  <c r="AE42" i="59" s="1"/>
  <c r="V42" i="59"/>
  <c r="Y42" i="59"/>
  <c r="AD42" i="59"/>
  <c r="AF42" i="59"/>
  <c r="AG42" i="59" s="1"/>
  <c r="AH42" i="59"/>
  <c r="AI42" i="59" s="1"/>
  <c r="AK42" i="59"/>
  <c r="AM42" i="59"/>
  <c r="T43" i="59"/>
  <c r="AH43" i="59" s="1"/>
  <c r="AI43" i="59" s="1"/>
  <c r="V43" i="59"/>
  <c r="Y43" i="59"/>
  <c r="AF43" i="59"/>
  <c r="AG43" i="59" s="1"/>
  <c r="AK43" i="59"/>
  <c r="AM43" i="59"/>
  <c r="T44" i="59"/>
  <c r="AD44" i="59" s="1"/>
  <c r="V44" i="59"/>
  <c r="Y44" i="59"/>
  <c r="AF44" i="59"/>
  <c r="AG44" i="59" s="1"/>
  <c r="AK44" i="59"/>
  <c r="AM44" i="59"/>
  <c r="T45" i="59"/>
  <c r="AD45" i="59" s="1"/>
  <c r="V45" i="59"/>
  <c r="Y45" i="59"/>
  <c r="AF45" i="59"/>
  <c r="AG45" i="59" s="1"/>
  <c r="AK45" i="59"/>
  <c r="T46" i="59"/>
  <c r="AD46" i="59" s="1"/>
  <c r="V46" i="59"/>
  <c r="Y46" i="59"/>
  <c r="AF46" i="59"/>
  <c r="AG46" i="59" s="1"/>
  <c r="AK46" i="59"/>
  <c r="T47" i="59"/>
  <c r="AM47" i="59" s="1"/>
  <c r="V47" i="59"/>
  <c r="Y47" i="59"/>
  <c r="AF47" i="59"/>
  <c r="AG47" i="59" s="1"/>
  <c r="AH47" i="59"/>
  <c r="AI47" i="59" s="1"/>
  <c r="AK47" i="59"/>
  <c r="T48" i="59"/>
  <c r="AD48" i="59" s="1"/>
  <c r="V48" i="59"/>
  <c r="Y48" i="59"/>
  <c r="AF48" i="59"/>
  <c r="AG48" i="59" s="1"/>
  <c r="AK48" i="59"/>
  <c r="AM48" i="59"/>
  <c r="T49" i="59"/>
  <c r="AH49" i="59" s="1"/>
  <c r="AI49" i="59" s="1"/>
  <c r="V49" i="59"/>
  <c r="Y49" i="59"/>
  <c r="AF49" i="59"/>
  <c r="AG49" i="59" s="1"/>
  <c r="AK49" i="59"/>
  <c r="AM49" i="59"/>
  <c r="T50" i="59"/>
  <c r="AH50" i="59" s="1"/>
  <c r="AI50" i="59" s="1"/>
  <c r="V50" i="59"/>
  <c r="Y50" i="59"/>
  <c r="AF50" i="59"/>
  <c r="AG50" i="59" s="1"/>
  <c r="AK50" i="59"/>
  <c r="T51" i="59"/>
  <c r="AH51" i="59" s="1"/>
  <c r="AI51" i="59" s="1"/>
  <c r="V51" i="59"/>
  <c r="Y51" i="59"/>
  <c r="AF51" i="59"/>
  <c r="AG51" i="59" s="1"/>
  <c r="AK51" i="59"/>
  <c r="AM51" i="59"/>
  <c r="T52" i="59"/>
  <c r="AD52" i="59" s="1"/>
  <c r="V52" i="59"/>
  <c r="Y52" i="59"/>
  <c r="AF52" i="59"/>
  <c r="AG52" i="59" s="1"/>
  <c r="AK52" i="59"/>
  <c r="AM52" i="59"/>
  <c r="T53" i="59"/>
  <c r="AD53" i="59" s="1"/>
  <c r="V53" i="59"/>
  <c r="Y53" i="59"/>
  <c r="AF53" i="59"/>
  <c r="AG53" i="59" s="1"/>
  <c r="AH53" i="59"/>
  <c r="AI53" i="59" s="1"/>
  <c r="AK53" i="59"/>
  <c r="AM53" i="59"/>
  <c r="T54" i="59"/>
  <c r="V54" i="59"/>
  <c r="Y54" i="59"/>
  <c r="AD54" i="59"/>
  <c r="AE54" i="59"/>
  <c r="AF54" i="59"/>
  <c r="AG54" i="59" s="1"/>
  <c r="AH54" i="59"/>
  <c r="AI54" i="59" s="1"/>
  <c r="AK54" i="59"/>
  <c r="AM54" i="59"/>
  <c r="T55" i="59"/>
  <c r="AD55" i="59" s="1"/>
  <c r="V55" i="59"/>
  <c r="Y55" i="59"/>
  <c r="AF55" i="59"/>
  <c r="AG55" i="59" s="1"/>
  <c r="AK55" i="59"/>
  <c r="AM55" i="59"/>
  <c r="T56" i="59"/>
  <c r="AD56" i="59" s="1"/>
  <c r="V56" i="59"/>
  <c r="Y56" i="59"/>
  <c r="AF56" i="59"/>
  <c r="AG56" i="59" s="1"/>
  <c r="AK56" i="59"/>
  <c r="T57" i="59"/>
  <c r="AD57" i="59" s="1"/>
  <c r="V57" i="59"/>
  <c r="Y57" i="59"/>
  <c r="AF57" i="59"/>
  <c r="AG57" i="59" s="1"/>
  <c r="AK57" i="59"/>
  <c r="AM57" i="59"/>
  <c r="T58" i="59"/>
  <c r="AD58" i="59" s="1"/>
  <c r="V58" i="59"/>
  <c r="Y58" i="59"/>
  <c r="AF58" i="59"/>
  <c r="AG58" i="59" s="1"/>
  <c r="AK58" i="59"/>
  <c r="T59" i="59"/>
  <c r="AD59" i="59" s="1"/>
  <c r="V59" i="59"/>
  <c r="Y59" i="59"/>
  <c r="AF59" i="59"/>
  <c r="AG59" i="59" s="1"/>
  <c r="AK59" i="59"/>
  <c r="AM59" i="59"/>
  <c r="T60" i="59"/>
  <c r="AE60" i="59" s="1"/>
  <c r="V60" i="59"/>
  <c r="Y60" i="59"/>
  <c r="AD60" i="59"/>
  <c r="AF60" i="59"/>
  <c r="AG60" i="59" s="1"/>
  <c r="AK60" i="59"/>
  <c r="AM60" i="59"/>
  <c r="T61" i="59"/>
  <c r="AH61" i="59" s="1"/>
  <c r="AI61" i="59" s="1"/>
  <c r="V61" i="59"/>
  <c r="Y61" i="59"/>
  <c r="AF61" i="59"/>
  <c r="AG61" i="59" s="1"/>
  <c r="AK61" i="59"/>
  <c r="AM61" i="59"/>
  <c r="T62" i="59"/>
  <c r="AH62" i="59" s="1"/>
  <c r="AI62" i="59" s="1"/>
  <c r="V62" i="59"/>
  <c r="Y62" i="59"/>
  <c r="AE62" i="59"/>
  <c r="AF62" i="59"/>
  <c r="AG62" i="59" s="1"/>
  <c r="AK62" i="59"/>
  <c r="AM62" i="59"/>
  <c r="T63" i="59"/>
  <c r="AH63" i="59" s="1"/>
  <c r="AI63" i="59" s="1"/>
  <c r="V63" i="59"/>
  <c r="Y63" i="59"/>
  <c r="AF63" i="59"/>
  <c r="AG63" i="59" s="1"/>
  <c r="AK63" i="59"/>
  <c r="AM63" i="59"/>
  <c r="T64" i="59"/>
  <c r="AD64" i="59" s="1"/>
  <c r="V64" i="59"/>
  <c r="Y64" i="59"/>
  <c r="AF64" i="59"/>
  <c r="AG64" i="59"/>
  <c r="AJ64" i="59" s="1"/>
  <c r="AH64" i="59"/>
  <c r="AI64" i="59" s="1"/>
  <c r="AK64" i="59"/>
  <c r="AM64" i="59"/>
  <c r="T65" i="59"/>
  <c r="AD65" i="59" s="1"/>
  <c r="V65" i="59"/>
  <c r="Y65" i="59"/>
  <c r="AF65" i="59"/>
  <c r="AG65" i="59"/>
  <c r="AJ65" i="59" s="1"/>
  <c r="AH65" i="59"/>
  <c r="AI65" i="59" s="1"/>
  <c r="AK65" i="59"/>
  <c r="AM65" i="59"/>
  <c r="T66" i="59"/>
  <c r="V66" i="59"/>
  <c r="Y66" i="59"/>
  <c r="AD66" i="59"/>
  <c r="AE66" i="59"/>
  <c r="AF66" i="59"/>
  <c r="AG66" i="59"/>
  <c r="AL66" i="59" s="1"/>
  <c r="AH66" i="59"/>
  <c r="AI66" i="59"/>
  <c r="AJ66" i="59" s="1"/>
  <c r="AK66" i="59"/>
  <c r="AM66" i="59"/>
  <c r="T67" i="59"/>
  <c r="V67" i="59"/>
  <c r="Y67" i="59"/>
  <c r="AD67" i="59"/>
  <c r="AE67" i="59"/>
  <c r="AF67" i="59"/>
  <c r="AG67" i="59" s="1"/>
  <c r="AH67" i="59"/>
  <c r="AI67" i="59"/>
  <c r="AK67" i="59"/>
  <c r="AM67" i="59"/>
  <c r="T68" i="59"/>
  <c r="AD68" i="59" s="1"/>
  <c r="V68" i="59"/>
  <c r="Y68" i="59"/>
  <c r="AF68" i="59"/>
  <c r="AG68" i="59" s="1"/>
  <c r="AK68" i="59"/>
  <c r="AM68" i="59"/>
  <c r="T69" i="59"/>
  <c r="AD69" i="59" s="1"/>
  <c r="V69" i="59"/>
  <c r="Y69" i="59"/>
  <c r="AF69" i="59"/>
  <c r="AG69" i="59"/>
  <c r="AK69" i="59"/>
  <c r="AM69" i="59"/>
  <c r="T70" i="59"/>
  <c r="AD70" i="59" s="1"/>
  <c r="V70" i="59"/>
  <c r="Y70" i="59"/>
  <c r="AF70" i="59"/>
  <c r="AG70" i="59"/>
  <c r="AH70" i="59"/>
  <c r="AI70" i="59" s="1"/>
  <c r="AK70" i="59"/>
  <c r="AM70" i="59"/>
  <c r="T71" i="59"/>
  <c r="V71" i="59"/>
  <c r="Y71" i="59"/>
  <c r="AD71" i="59"/>
  <c r="AN71" i="59" s="1"/>
  <c r="AE71" i="59"/>
  <c r="AF71" i="59"/>
  <c r="AG71" i="59"/>
  <c r="AJ71" i="59" s="1"/>
  <c r="AH71" i="59"/>
  <c r="AI71" i="59"/>
  <c r="AK71" i="59"/>
  <c r="AM71" i="59"/>
  <c r="T72" i="59"/>
  <c r="V72" i="59"/>
  <c r="Y72" i="59"/>
  <c r="AD72" i="59"/>
  <c r="AE72" i="59"/>
  <c r="AF72" i="59"/>
  <c r="AG72" i="59" s="1"/>
  <c r="AH72" i="59"/>
  <c r="AI72" i="59"/>
  <c r="AK72" i="59"/>
  <c r="AM72" i="59"/>
  <c r="T73" i="59"/>
  <c r="AH73" i="59" s="1"/>
  <c r="AI73" i="59" s="1"/>
  <c r="V73" i="59"/>
  <c r="Y73" i="59"/>
  <c r="AD73" i="59"/>
  <c r="AE73" i="59"/>
  <c r="AF73" i="59"/>
  <c r="AG73" i="59" s="1"/>
  <c r="AK73" i="59"/>
  <c r="AM73" i="59"/>
  <c r="T49" i="57"/>
  <c r="AD49" i="57" s="1"/>
  <c r="V49" i="57"/>
  <c r="Y49" i="57"/>
  <c r="AF49" i="57"/>
  <c r="AG49" i="57" s="1"/>
  <c r="AK49" i="57"/>
  <c r="AM49" i="57"/>
  <c r="T50" i="57"/>
  <c r="AD50" i="57" s="1"/>
  <c r="V50" i="57"/>
  <c r="Y50" i="57"/>
  <c r="AF50" i="57"/>
  <c r="AG50" i="57" s="1"/>
  <c r="AK50" i="57"/>
  <c r="T51" i="57"/>
  <c r="AH51" i="57" s="1"/>
  <c r="AI51" i="57" s="1"/>
  <c r="V51" i="57"/>
  <c r="Y51" i="57"/>
  <c r="AF51" i="57"/>
  <c r="AG51" i="57" s="1"/>
  <c r="AK51" i="57"/>
  <c r="AM51" i="57"/>
  <c r="T52" i="57"/>
  <c r="AD52" i="57" s="1"/>
  <c r="V52" i="57"/>
  <c r="Y52" i="57"/>
  <c r="AF52" i="57"/>
  <c r="AG52" i="57" s="1"/>
  <c r="AK52" i="57"/>
  <c r="AM52" i="57"/>
  <c r="T53" i="57"/>
  <c r="AD53" i="57" s="1"/>
  <c r="V53" i="57"/>
  <c r="Y53" i="57"/>
  <c r="AF53" i="57"/>
  <c r="AG53" i="57" s="1"/>
  <c r="AK53" i="57"/>
  <c r="AM53" i="57"/>
  <c r="T54" i="57"/>
  <c r="AD54" i="57" s="1"/>
  <c r="V54" i="57"/>
  <c r="Y54" i="57"/>
  <c r="AF54" i="57"/>
  <c r="AG54" i="57" s="1"/>
  <c r="AH54" i="57"/>
  <c r="AI54" i="57" s="1"/>
  <c r="AK54" i="57"/>
  <c r="AM54" i="57"/>
  <c r="T55" i="57"/>
  <c r="V55" i="57"/>
  <c r="Y55" i="57"/>
  <c r="AD55" i="57"/>
  <c r="AE55" i="57"/>
  <c r="AF55" i="57"/>
  <c r="AG55" i="57" s="1"/>
  <c r="AH55" i="57"/>
  <c r="AI55" i="57" s="1"/>
  <c r="AK55" i="57"/>
  <c r="AM55" i="57"/>
  <c r="T56" i="57"/>
  <c r="AD56" i="57" s="1"/>
  <c r="V56" i="57"/>
  <c r="Y56" i="57"/>
  <c r="AF56" i="57"/>
  <c r="AG56" i="57" s="1"/>
  <c r="AH56" i="57"/>
  <c r="AI56" i="57" s="1"/>
  <c r="AK56" i="57"/>
  <c r="AM56" i="57"/>
  <c r="T57" i="57"/>
  <c r="AD57" i="57" s="1"/>
  <c r="V57" i="57"/>
  <c r="Y57" i="57"/>
  <c r="AF57" i="57"/>
  <c r="AG57" i="57" s="1"/>
  <c r="AK57" i="57"/>
  <c r="T58" i="57"/>
  <c r="AD58" i="57" s="1"/>
  <c r="V58" i="57"/>
  <c r="Y58" i="57"/>
  <c r="AF58" i="57"/>
  <c r="AG58" i="57" s="1"/>
  <c r="AK58" i="57"/>
  <c r="AM58" i="57"/>
  <c r="T59" i="57"/>
  <c r="AD59" i="57" s="1"/>
  <c r="V59" i="57"/>
  <c r="Y59" i="57"/>
  <c r="AF59" i="57"/>
  <c r="AG59" i="57" s="1"/>
  <c r="AJ59" i="57" s="1"/>
  <c r="AH59" i="57"/>
  <c r="AI59" i="57" s="1"/>
  <c r="AK59" i="57"/>
  <c r="AM59" i="57"/>
  <c r="T60" i="57"/>
  <c r="AE60" i="57" s="1"/>
  <c r="V60" i="57"/>
  <c r="Y60" i="57"/>
  <c r="AF60" i="57"/>
  <c r="AG60" i="57" s="1"/>
  <c r="AK60" i="57"/>
  <c r="AM60" i="57"/>
  <c r="T61" i="57"/>
  <c r="AM61" i="57" s="1"/>
  <c r="V61" i="57"/>
  <c r="Y61" i="57"/>
  <c r="AD61" i="57"/>
  <c r="AF61" i="57"/>
  <c r="AG61" i="57" s="1"/>
  <c r="AH61" i="57"/>
  <c r="AI61" i="57" s="1"/>
  <c r="AK61" i="57"/>
  <c r="T62" i="57"/>
  <c r="AD62" i="57" s="1"/>
  <c r="V62" i="57"/>
  <c r="Y62" i="57"/>
  <c r="AF62" i="57"/>
  <c r="AG62" i="57" s="1"/>
  <c r="AK62" i="57"/>
  <c r="AM62" i="57"/>
  <c r="T63" i="57"/>
  <c r="AH63" i="57" s="1"/>
  <c r="AI63" i="57" s="1"/>
  <c r="V63" i="57"/>
  <c r="Y63" i="57"/>
  <c r="AF63" i="57"/>
  <c r="AG63" i="57" s="1"/>
  <c r="AK63" i="57"/>
  <c r="AM63" i="57"/>
  <c r="T64" i="57"/>
  <c r="AD64" i="57" s="1"/>
  <c r="V64" i="57"/>
  <c r="Y64" i="57"/>
  <c r="AF64" i="57"/>
  <c r="AG64" i="57"/>
  <c r="AK64" i="57"/>
  <c r="AM64" i="57"/>
  <c r="T65" i="57"/>
  <c r="AD65" i="57" s="1"/>
  <c r="V65" i="57"/>
  <c r="Y65" i="57"/>
  <c r="AF65" i="57"/>
  <c r="AG65" i="57" s="1"/>
  <c r="AK65" i="57"/>
  <c r="AM65" i="57"/>
  <c r="T66" i="57"/>
  <c r="AD66" i="57" s="1"/>
  <c r="V66" i="57"/>
  <c r="Y66" i="57"/>
  <c r="AF66" i="57"/>
  <c r="AG66" i="57" s="1"/>
  <c r="AK66" i="57"/>
  <c r="T67" i="57"/>
  <c r="AH67" i="57" s="1"/>
  <c r="AI67" i="57" s="1"/>
  <c r="V67" i="57"/>
  <c r="Y67" i="57"/>
  <c r="AF67" i="57"/>
  <c r="AG67" i="57" s="1"/>
  <c r="AK67" i="57"/>
  <c r="AM67" i="57"/>
  <c r="T68" i="57"/>
  <c r="AH68" i="57" s="1"/>
  <c r="AI68" i="57" s="1"/>
  <c r="V68" i="57"/>
  <c r="Y68" i="57"/>
  <c r="AD68" i="57"/>
  <c r="AE68" i="57"/>
  <c r="AF68" i="57"/>
  <c r="AG68" i="57" s="1"/>
  <c r="AK68" i="57"/>
  <c r="AM68" i="57"/>
  <c r="T69" i="57"/>
  <c r="AD69" i="57" s="1"/>
  <c r="V69" i="57"/>
  <c r="Y69" i="57"/>
  <c r="AE69" i="57"/>
  <c r="AF69" i="57"/>
  <c r="AG69" i="57" s="1"/>
  <c r="AK69" i="57"/>
  <c r="AM69" i="57"/>
  <c r="T70" i="57"/>
  <c r="AD70" i="57" s="1"/>
  <c r="V70" i="57"/>
  <c r="Y70" i="57"/>
  <c r="AF70" i="57"/>
  <c r="AG70" i="57" s="1"/>
  <c r="AK70" i="57"/>
  <c r="AM70" i="57"/>
  <c r="T71" i="57"/>
  <c r="AD71" i="57" s="1"/>
  <c r="V71" i="57"/>
  <c r="Y71" i="57"/>
  <c r="AF71" i="57"/>
  <c r="AG71" i="57"/>
  <c r="AH71" i="57"/>
  <c r="AI71" i="57" s="1"/>
  <c r="AK71" i="57"/>
  <c r="AM71" i="57"/>
  <c r="T72" i="57"/>
  <c r="AE72" i="57" s="1"/>
  <c r="V72" i="57"/>
  <c r="Y72" i="57"/>
  <c r="AF72" i="57"/>
  <c r="AG72" i="57" s="1"/>
  <c r="AK72" i="57"/>
  <c r="AM72" i="57"/>
  <c r="T73" i="57"/>
  <c r="AH73" i="57" s="1"/>
  <c r="AI73" i="57" s="1"/>
  <c r="V73" i="57"/>
  <c r="Y73" i="57"/>
  <c r="AD73" i="57"/>
  <c r="AE73" i="57"/>
  <c r="AF73" i="57"/>
  <c r="AG73" i="57" s="1"/>
  <c r="AJ73" i="57" s="1"/>
  <c r="AK73" i="57"/>
  <c r="AM73" i="57"/>
  <c r="T74" i="57"/>
  <c r="AH74" i="57" s="1"/>
  <c r="AI74" i="57" s="1"/>
  <c r="V74" i="57"/>
  <c r="Y74" i="57"/>
  <c r="AF74" i="57"/>
  <c r="AG74" i="57" s="1"/>
  <c r="AK74" i="57"/>
  <c r="AM74" i="57"/>
  <c r="T75" i="57"/>
  <c r="AH75" i="57" s="1"/>
  <c r="AI75" i="57" s="1"/>
  <c r="V75" i="57"/>
  <c r="Y75" i="57"/>
  <c r="AF75" i="57"/>
  <c r="AG75" i="57" s="1"/>
  <c r="AK75" i="57"/>
  <c r="AM75" i="57"/>
  <c r="T76" i="57"/>
  <c r="AD76" i="57" s="1"/>
  <c r="V76" i="57"/>
  <c r="Y76" i="57"/>
  <c r="AF76" i="57"/>
  <c r="AG76" i="57" s="1"/>
  <c r="AK76" i="57"/>
  <c r="AM76" i="57"/>
  <c r="T77" i="57"/>
  <c r="AD77" i="57" s="1"/>
  <c r="V77" i="57"/>
  <c r="Y77" i="57"/>
  <c r="AF77" i="57"/>
  <c r="AG77" i="57"/>
  <c r="AK77" i="57"/>
  <c r="AM77" i="57"/>
  <c r="T78" i="57"/>
  <c r="AD78" i="57" s="1"/>
  <c r="V78" i="57"/>
  <c r="Y78" i="57"/>
  <c r="AF78" i="57"/>
  <c r="AG78" i="57" s="1"/>
  <c r="AH78" i="57"/>
  <c r="AI78" i="57" s="1"/>
  <c r="AK78" i="57"/>
  <c r="AM78" i="57"/>
  <c r="T79" i="57"/>
  <c r="AD79" i="57" s="1"/>
  <c r="V79" i="57"/>
  <c r="Y79" i="57"/>
  <c r="AF79" i="57"/>
  <c r="AG79" i="57"/>
  <c r="AK79" i="57"/>
  <c r="AM79" i="57"/>
  <c r="T80" i="57"/>
  <c r="AD80" i="57" s="1"/>
  <c r="V80" i="57"/>
  <c r="Y80" i="57"/>
  <c r="AF80" i="57"/>
  <c r="AG80" i="57" s="1"/>
  <c r="AK80" i="57"/>
  <c r="AM80" i="57"/>
  <c r="T81" i="57"/>
  <c r="AD81" i="57" s="1"/>
  <c r="V81" i="57"/>
  <c r="Y81" i="57"/>
  <c r="AF81" i="57"/>
  <c r="AG81" i="57" s="1"/>
  <c r="AK81" i="57"/>
  <c r="AM81" i="57"/>
  <c r="T82" i="57"/>
  <c r="AD82" i="57" s="1"/>
  <c r="V82" i="57"/>
  <c r="Y82" i="57"/>
  <c r="AF82" i="57"/>
  <c r="AG82" i="57" s="1"/>
  <c r="AK82" i="57"/>
  <c r="AM82" i="57"/>
  <c r="T83" i="57"/>
  <c r="AD83" i="57" s="1"/>
  <c r="V83" i="57"/>
  <c r="Y83" i="57"/>
  <c r="AE83" i="57"/>
  <c r="AF83" i="57"/>
  <c r="AG83" i="57"/>
  <c r="AJ83" i="57" s="1"/>
  <c r="AH83" i="57"/>
  <c r="AI83" i="57" s="1"/>
  <c r="AK83" i="57"/>
  <c r="AM83" i="57"/>
  <c r="T84" i="57"/>
  <c r="AE84" i="57" s="1"/>
  <c r="V84" i="57"/>
  <c r="Y84" i="57"/>
  <c r="AF84" i="57"/>
  <c r="AG84" i="57" s="1"/>
  <c r="AH84" i="57"/>
  <c r="AI84" i="57" s="1"/>
  <c r="AK84" i="57"/>
  <c r="AM84" i="57"/>
  <c r="T85" i="57"/>
  <c r="V85" i="57"/>
  <c r="Y85" i="57"/>
  <c r="AD85" i="57"/>
  <c r="AE85" i="57"/>
  <c r="AF85" i="57"/>
  <c r="AG85" i="57"/>
  <c r="AJ85" i="57" s="1"/>
  <c r="AH85" i="57"/>
  <c r="AI85" i="57"/>
  <c r="AK85" i="57"/>
  <c r="AM85" i="57"/>
  <c r="T86" i="57"/>
  <c r="V86" i="57"/>
  <c r="Y86" i="57"/>
  <c r="AD86" i="57"/>
  <c r="AN86" i="57" s="1"/>
  <c r="AE86" i="57"/>
  <c r="AF86" i="57"/>
  <c r="AG86" i="57" s="1"/>
  <c r="AH86" i="57"/>
  <c r="AI86" i="57" s="1"/>
  <c r="AK86" i="57"/>
  <c r="AM86" i="57"/>
  <c r="T87" i="57"/>
  <c r="AH87" i="57" s="1"/>
  <c r="AI87" i="57" s="1"/>
  <c r="V87" i="57"/>
  <c r="Y87" i="57"/>
  <c r="AF87" i="57"/>
  <c r="AG87" i="57" s="1"/>
  <c r="AK87" i="57"/>
  <c r="AM87" i="57"/>
  <c r="T88" i="57"/>
  <c r="AD88" i="57" s="1"/>
  <c r="V88" i="57"/>
  <c r="Y88" i="57"/>
  <c r="AF88" i="57"/>
  <c r="AG88" i="57"/>
  <c r="AK88" i="57"/>
  <c r="AM88" i="57"/>
  <c r="T89" i="57"/>
  <c r="V89" i="57"/>
  <c r="Y89" i="57"/>
  <c r="AD89" i="57"/>
  <c r="AE89" i="57"/>
  <c r="AF89" i="57"/>
  <c r="AG89" i="57"/>
  <c r="AH89" i="57"/>
  <c r="AI89" i="57" s="1"/>
  <c r="AK89" i="57"/>
  <c r="AM89" i="57"/>
  <c r="T90" i="57"/>
  <c r="AD90" i="57" s="1"/>
  <c r="V90" i="57"/>
  <c r="Y90" i="57"/>
  <c r="AF90" i="57"/>
  <c r="AG90" i="57" s="1"/>
  <c r="AH90" i="57"/>
  <c r="AI90" i="57"/>
  <c r="AK90" i="57"/>
  <c r="AM90" i="57"/>
  <c r="T91" i="57"/>
  <c r="AH91" i="57" s="1"/>
  <c r="AI91" i="57" s="1"/>
  <c r="AJ91" i="57" s="1"/>
  <c r="V91" i="57"/>
  <c r="Y91" i="57"/>
  <c r="AD91" i="57"/>
  <c r="AE91" i="57"/>
  <c r="AF91" i="57"/>
  <c r="AG91" i="57"/>
  <c r="AL91" i="57" s="1"/>
  <c r="AK91" i="57"/>
  <c r="AM91" i="57"/>
  <c r="AN91" i="57" s="1"/>
  <c r="T92" i="57"/>
  <c r="V92" i="57"/>
  <c r="Y92" i="57"/>
  <c r="AD92" i="57"/>
  <c r="AE92" i="57"/>
  <c r="AF92" i="57"/>
  <c r="AG92" i="57" s="1"/>
  <c r="AH92" i="57"/>
  <c r="AI92" i="57" s="1"/>
  <c r="AK92" i="57"/>
  <c r="AM92" i="57"/>
  <c r="T93" i="57"/>
  <c r="AD93" i="57" s="1"/>
  <c r="V93" i="57"/>
  <c r="Y93" i="57"/>
  <c r="AE93" i="57"/>
  <c r="AF93" i="57"/>
  <c r="AG93" i="57" s="1"/>
  <c r="AK93" i="57"/>
  <c r="AM93" i="57"/>
  <c r="T94" i="57"/>
  <c r="AD94" i="57" s="1"/>
  <c r="V94" i="57"/>
  <c r="Y94" i="57"/>
  <c r="AF94" i="57"/>
  <c r="AG94" i="57" s="1"/>
  <c r="AK94" i="57"/>
  <c r="AM94" i="57"/>
  <c r="T95" i="57"/>
  <c r="V95" i="57"/>
  <c r="Y95" i="57"/>
  <c r="AD95" i="57"/>
  <c r="AN95" i="57" s="1"/>
  <c r="AE95" i="57"/>
  <c r="AF95" i="57"/>
  <c r="AG95" i="57"/>
  <c r="AH95" i="57"/>
  <c r="AI95" i="57" s="1"/>
  <c r="AK95" i="57"/>
  <c r="AM95" i="57"/>
  <c r="T96" i="57"/>
  <c r="AE96" i="57" s="1"/>
  <c r="V96" i="57"/>
  <c r="Y96" i="57"/>
  <c r="AF96" i="57"/>
  <c r="AG96" i="57" s="1"/>
  <c r="AH96" i="57"/>
  <c r="AI96" i="57" s="1"/>
  <c r="AK96" i="57"/>
  <c r="AM96" i="57"/>
  <c r="T97" i="57"/>
  <c r="AH97" i="57" s="1"/>
  <c r="AI97" i="57" s="1"/>
  <c r="V97" i="57"/>
  <c r="Y97" i="57"/>
  <c r="AD97" i="57"/>
  <c r="AE97" i="57"/>
  <c r="AF97" i="57"/>
  <c r="AG97" i="57"/>
  <c r="AJ97" i="57" s="1"/>
  <c r="AK97" i="57"/>
  <c r="AM97" i="57"/>
  <c r="T98" i="57"/>
  <c r="V98" i="57"/>
  <c r="Y98" i="57"/>
  <c r="AD98" i="57"/>
  <c r="AE98" i="57"/>
  <c r="AF98" i="57"/>
  <c r="AG98" i="57" s="1"/>
  <c r="AH98" i="57"/>
  <c r="AI98" i="57" s="1"/>
  <c r="AK98" i="57"/>
  <c r="AM98" i="57"/>
  <c r="T25" i="55"/>
  <c r="AD25" i="55" s="1"/>
  <c r="V25" i="55"/>
  <c r="Y25" i="55"/>
  <c r="AF25" i="55"/>
  <c r="AG25" i="55" s="1"/>
  <c r="AK25" i="55"/>
  <c r="AM25" i="55"/>
  <c r="T26" i="55"/>
  <c r="AH26" i="55" s="1"/>
  <c r="AI26" i="55" s="1"/>
  <c r="V26" i="55"/>
  <c r="Y26" i="55"/>
  <c r="AF26" i="55"/>
  <c r="AG26" i="55" s="1"/>
  <c r="AK26" i="55"/>
  <c r="T27" i="55"/>
  <c r="AE27" i="55" s="1"/>
  <c r="V27" i="55"/>
  <c r="Y27" i="55"/>
  <c r="AD27" i="55"/>
  <c r="AF27" i="55"/>
  <c r="AG27" i="55"/>
  <c r="AH27" i="55"/>
  <c r="AI27" i="55" s="1"/>
  <c r="AK27" i="55"/>
  <c r="AM27" i="55"/>
  <c r="T28" i="55"/>
  <c r="AE28" i="55" s="1"/>
  <c r="V28" i="55"/>
  <c r="Y28" i="55"/>
  <c r="AD28" i="55"/>
  <c r="AF28" i="55"/>
  <c r="AG28" i="55" s="1"/>
  <c r="AH28" i="55"/>
  <c r="AI28" i="55" s="1"/>
  <c r="AK28" i="55"/>
  <c r="AM28" i="55"/>
  <c r="T29" i="55"/>
  <c r="AD29" i="55" s="1"/>
  <c r="V29" i="55"/>
  <c r="Y29" i="55"/>
  <c r="AF29" i="55"/>
  <c r="AG29" i="55" s="1"/>
  <c r="AK29" i="55"/>
  <c r="AM29" i="55"/>
  <c r="T30" i="55"/>
  <c r="AD30" i="55" s="1"/>
  <c r="V30" i="55"/>
  <c r="Y30" i="55"/>
  <c r="AF30" i="55"/>
  <c r="AG30" i="55" s="1"/>
  <c r="AK30" i="55"/>
  <c r="AM30" i="55"/>
  <c r="T31" i="55"/>
  <c r="AD31" i="55" s="1"/>
  <c r="V31" i="55"/>
  <c r="Y31" i="55"/>
  <c r="AF31" i="55"/>
  <c r="AG31" i="55" s="1"/>
  <c r="AK31" i="55"/>
  <c r="AM31" i="55"/>
  <c r="T32" i="55"/>
  <c r="AE32" i="55" s="1"/>
  <c r="V32" i="55"/>
  <c r="Y32" i="55"/>
  <c r="AF32" i="55"/>
  <c r="AG32" i="55" s="1"/>
  <c r="AK32" i="55"/>
  <c r="AM32" i="55"/>
  <c r="T33" i="55"/>
  <c r="V33" i="55"/>
  <c r="Y33" i="55"/>
  <c r="AD33" i="55"/>
  <c r="AE33" i="55"/>
  <c r="AF33" i="55"/>
  <c r="AG33" i="55" s="1"/>
  <c r="AH33" i="55"/>
  <c r="AI33" i="55" s="1"/>
  <c r="AK33" i="55"/>
  <c r="AM33" i="55"/>
  <c r="T34" i="55"/>
  <c r="AD34" i="55" s="1"/>
  <c r="V34" i="55"/>
  <c r="Y34" i="55"/>
  <c r="AF34" i="55"/>
  <c r="AG34" i="55" s="1"/>
  <c r="AK34" i="55"/>
  <c r="AM34" i="55"/>
  <c r="T35" i="55"/>
  <c r="AD35" i="55" s="1"/>
  <c r="V35" i="55"/>
  <c r="Y35" i="55"/>
  <c r="AF35" i="55"/>
  <c r="AG35" i="55" s="1"/>
  <c r="AK35" i="55"/>
  <c r="AM35" i="55"/>
  <c r="T36" i="55"/>
  <c r="AE36" i="55" s="1"/>
  <c r="V36" i="55"/>
  <c r="Y36" i="55"/>
  <c r="AD36" i="55"/>
  <c r="AF36" i="55"/>
  <c r="AG36" i="55" s="1"/>
  <c r="AK36" i="55"/>
  <c r="AM36" i="55"/>
  <c r="T37" i="55"/>
  <c r="AD37" i="55" s="1"/>
  <c r="V37" i="55"/>
  <c r="Y37" i="55"/>
  <c r="AF37" i="55"/>
  <c r="AG37" i="55" s="1"/>
  <c r="AK37" i="55"/>
  <c r="AM37" i="55"/>
  <c r="T38" i="55"/>
  <c r="AH38" i="55" s="1"/>
  <c r="AI38" i="55" s="1"/>
  <c r="V38" i="55"/>
  <c r="Y38" i="55"/>
  <c r="AF38" i="55"/>
  <c r="AG38" i="55" s="1"/>
  <c r="AK38" i="55"/>
  <c r="AM38" i="55"/>
  <c r="T39" i="55"/>
  <c r="AE39" i="55" s="1"/>
  <c r="V39" i="55"/>
  <c r="Y39" i="55"/>
  <c r="AD39" i="55"/>
  <c r="AF39" i="55"/>
  <c r="AG39" i="55" s="1"/>
  <c r="AK39" i="55"/>
  <c r="AM39" i="55"/>
  <c r="T40" i="55"/>
  <c r="AE40" i="55" s="1"/>
  <c r="V40" i="55"/>
  <c r="Y40" i="55"/>
  <c r="AD40" i="55"/>
  <c r="AF40" i="55"/>
  <c r="AG40" i="55" s="1"/>
  <c r="AH40" i="55"/>
  <c r="AI40" i="55" s="1"/>
  <c r="AK40" i="55"/>
  <c r="AM40" i="55"/>
  <c r="T41" i="55"/>
  <c r="AD41" i="55" s="1"/>
  <c r="V41" i="55"/>
  <c r="Y41" i="55"/>
  <c r="AE41" i="55"/>
  <c r="AF41" i="55"/>
  <c r="AG41" i="55" s="1"/>
  <c r="AK41" i="55"/>
  <c r="AM41" i="55"/>
  <c r="AN41" i="55" s="1"/>
  <c r="T42" i="55"/>
  <c r="AD42" i="55" s="1"/>
  <c r="V42" i="55"/>
  <c r="Y42" i="55"/>
  <c r="AF42" i="55"/>
  <c r="AG42" i="55" s="1"/>
  <c r="AK42" i="55"/>
  <c r="AM42" i="55"/>
  <c r="T43" i="55"/>
  <c r="AD43" i="55" s="1"/>
  <c r="AN43" i="55" s="1"/>
  <c r="V43" i="55"/>
  <c r="Y43" i="55"/>
  <c r="AE43" i="55"/>
  <c r="AF43" i="55"/>
  <c r="AG43" i="55"/>
  <c r="AH43" i="55"/>
  <c r="AI43" i="55" s="1"/>
  <c r="AK43" i="55"/>
  <c r="AM43" i="55"/>
  <c r="T44" i="55"/>
  <c r="AE44" i="55" s="1"/>
  <c r="V44" i="55"/>
  <c r="Y44" i="55"/>
  <c r="AD44" i="55"/>
  <c r="AN44" i="55" s="1"/>
  <c r="AF44" i="55"/>
  <c r="AG44" i="55" s="1"/>
  <c r="AH44" i="55"/>
  <c r="AI44" i="55" s="1"/>
  <c r="AK44" i="55"/>
  <c r="AM44" i="55"/>
  <c r="T45" i="55"/>
  <c r="V45" i="55"/>
  <c r="Y45" i="55"/>
  <c r="AD45" i="55"/>
  <c r="AE45" i="55"/>
  <c r="AF45" i="55"/>
  <c r="AG45" i="55"/>
  <c r="AJ45" i="55" s="1"/>
  <c r="AH45" i="55"/>
  <c r="AI45" i="55"/>
  <c r="AK45" i="55"/>
  <c r="AL45" i="55"/>
  <c r="AM45" i="55"/>
  <c r="AN45" i="55" s="1"/>
  <c r="T46" i="55"/>
  <c r="AD46" i="55" s="1"/>
  <c r="V46" i="55"/>
  <c r="Y46" i="55"/>
  <c r="AF46" i="55"/>
  <c r="AG46" i="55" s="1"/>
  <c r="AK46" i="55"/>
  <c r="AM46" i="55"/>
  <c r="T47" i="55"/>
  <c r="AD47" i="55" s="1"/>
  <c r="V47" i="55"/>
  <c r="Y47" i="55"/>
  <c r="AF47" i="55"/>
  <c r="AG47" i="55"/>
  <c r="AK47" i="55"/>
  <c r="AM47" i="55"/>
  <c r="T48" i="55"/>
  <c r="AE48" i="55" s="1"/>
  <c r="V48" i="55"/>
  <c r="Y48" i="55"/>
  <c r="AD48" i="55"/>
  <c r="AF48" i="55"/>
  <c r="AG48" i="55"/>
  <c r="AH48" i="55"/>
  <c r="AI48" i="55" s="1"/>
  <c r="AK48" i="55"/>
  <c r="AM48" i="55"/>
  <c r="T49" i="55"/>
  <c r="V49" i="55"/>
  <c r="Y49" i="55"/>
  <c r="AD49" i="55"/>
  <c r="AE49" i="55"/>
  <c r="AF49" i="55"/>
  <c r="AG49" i="55"/>
  <c r="AJ49" i="55" s="1"/>
  <c r="AH49" i="55"/>
  <c r="AI49" i="55"/>
  <c r="AK49" i="55"/>
  <c r="AM49" i="55"/>
  <c r="T50" i="55"/>
  <c r="AH50" i="55" s="1"/>
  <c r="AI50" i="55" s="1"/>
  <c r="V50" i="55"/>
  <c r="Y50" i="55"/>
  <c r="AF50" i="55"/>
  <c r="AG50" i="55" s="1"/>
  <c r="AK50" i="55"/>
  <c r="AM50" i="55"/>
  <c r="T51" i="55"/>
  <c r="AH51" i="55" s="1"/>
  <c r="AI51" i="55" s="1"/>
  <c r="V51" i="55"/>
  <c r="Y51" i="55"/>
  <c r="AF51" i="55"/>
  <c r="AG51" i="55"/>
  <c r="AK51" i="55"/>
  <c r="AM51" i="55"/>
  <c r="T52" i="55"/>
  <c r="V52" i="55"/>
  <c r="Y52" i="55"/>
  <c r="AD52" i="55"/>
  <c r="AN52" i="55" s="1"/>
  <c r="AE52" i="55"/>
  <c r="AF52" i="55"/>
  <c r="AG52" i="55"/>
  <c r="AJ52" i="55" s="1"/>
  <c r="AH52" i="55"/>
  <c r="AI52" i="55" s="1"/>
  <c r="AK52" i="55"/>
  <c r="AM52" i="55"/>
  <c r="T25" i="54"/>
  <c r="AD25" i="54" s="1"/>
  <c r="V25" i="54"/>
  <c r="Y25" i="54"/>
  <c r="AF25" i="54"/>
  <c r="AG25" i="54" s="1"/>
  <c r="AK25" i="54"/>
  <c r="AM25" i="54"/>
  <c r="T26" i="54"/>
  <c r="AH26" i="54" s="1"/>
  <c r="AI26" i="54" s="1"/>
  <c r="V26" i="54"/>
  <c r="Y26" i="54"/>
  <c r="AF26" i="54"/>
  <c r="AG26" i="54" s="1"/>
  <c r="AK26" i="54"/>
  <c r="AM26" i="54"/>
  <c r="T27" i="54"/>
  <c r="AH27" i="54" s="1"/>
  <c r="AI27" i="54" s="1"/>
  <c r="V27" i="54"/>
  <c r="Y27" i="54"/>
  <c r="AF27" i="54"/>
  <c r="AG27" i="54" s="1"/>
  <c r="AK27" i="54"/>
  <c r="AM27" i="54"/>
  <c r="T28" i="54"/>
  <c r="AD28" i="54" s="1"/>
  <c r="V28" i="54"/>
  <c r="Y28" i="54"/>
  <c r="AF28" i="54"/>
  <c r="AG28" i="54"/>
  <c r="AH28" i="54"/>
  <c r="AI28" i="54" s="1"/>
  <c r="AK28" i="54"/>
  <c r="AM28" i="54"/>
  <c r="T29" i="54"/>
  <c r="AD29" i="54" s="1"/>
  <c r="V29" i="54"/>
  <c r="Y29" i="54"/>
  <c r="AF29" i="54"/>
  <c r="AG29" i="54"/>
  <c r="AH29" i="54"/>
  <c r="AI29" i="54" s="1"/>
  <c r="AK29" i="54"/>
  <c r="AM29" i="54"/>
  <c r="T30" i="54"/>
  <c r="AD30" i="54" s="1"/>
  <c r="V30" i="54"/>
  <c r="Y30" i="54"/>
  <c r="AF30" i="54"/>
  <c r="AG30" i="54"/>
  <c r="AL30" i="54" s="1"/>
  <c r="AH30" i="54"/>
  <c r="AI30" i="54"/>
  <c r="AJ30" i="54" s="1"/>
  <c r="AK30" i="54"/>
  <c r="AM30" i="54"/>
  <c r="T31" i="54"/>
  <c r="AE31" i="54" s="1"/>
  <c r="V31" i="54"/>
  <c r="Y31" i="54"/>
  <c r="AD31" i="54"/>
  <c r="AF31" i="54"/>
  <c r="AG31" i="54" s="1"/>
  <c r="AH31" i="54"/>
  <c r="AI31" i="54"/>
  <c r="AK31" i="54"/>
  <c r="AM31" i="54"/>
  <c r="T32" i="54"/>
  <c r="AD32" i="54" s="1"/>
  <c r="V32" i="54"/>
  <c r="Y32" i="54"/>
  <c r="AE32" i="54"/>
  <c r="AF32" i="54"/>
  <c r="AG32" i="54"/>
  <c r="AH32" i="54"/>
  <c r="AI32" i="54"/>
  <c r="AJ32" i="54"/>
  <c r="AK32" i="54"/>
  <c r="AL32" i="54" s="1"/>
  <c r="AM32" i="54"/>
  <c r="T33" i="54"/>
  <c r="AD33" i="54" s="1"/>
  <c r="V33" i="54"/>
  <c r="Y33" i="54"/>
  <c r="AF33" i="54"/>
  <c r="AG33" i="54" s="1"/>
  <c r="AH33" i="54"/>
  <c r="AI33" i="54" s="1"/>
  <c r="AK33" i="54"/>
  <c r="AM33" i="54"/>
  <c r="T34" i="54"/>
  <c r="AD34" i="54" s="1"/>
  <c r="V34" i="54"/>
  <c r="Y34" i="54"/>
  <c r="AF34" i="54"/>
  <c r="AG34" i="54"/>
  <c r="AJ34" i="54" s="1"/>
  <c r="AH34" i="54"/>
  <c r="AI34" i="54"/>
  <c r="AK34" i="54"/>
  <c r="AL34" i="54"/>
  <c r="AM34" i="54"/>
  <c r="T35" i="54"/>
  <c r="AE35" i="54" s="1"/>
  <c r="AN35" i="54" s="1"/>
  <c r="V35" i="54"/>
  <c r="Y35" i="54"/>
  <c r="AD35" i="54"/>
  <c r="AF35" i="54"/>
  <c r="AG35" i="54"/>
  <c r="AH35" i="54"/>
  <c r="AI35" i="54" s="1"/>
  <c r="AK35" i="54"/>
  <c r="AM35" i="54"/>
  <c r="T36" i="54"/>
  <c r="V36" i="54"/>
  <c r="Y36" i="54"/>
  <c r="AD36" i="54"/>
  <c r="AN36" i="54" s="1"/>
  <c r="AE36" i="54"/>
  <c r="AF36" i="54"/>
  <c r="AG36" i="54" s="1"/>
  <c r="AH36" i="54"/>
  <c r="AI36" i="54"/>
  <c r="AK36" i="54"/>
  <c r="AM36" i="54"/>
  <c r="T37" i="54"/>
  <c r="AH37" i="54" s="1"/>
  <c r="AI37" i="54" s="1"/>
  <c r="V37" i="54"/>
  <c r="Y37" i="54"/>
  <c r="AD37" i="54"/>
  <c r="AN37" i="54" s="1"/>
  <c r="AE37" i="54"/>
  <c r="AF37" i="54"/>
  <c r="AG37" i="54" s="1"/>
  <c r="AK37" i="54"/>
  <c r="AM37" i="54"/>
  <c r="T38" i="54"/>
  <c r="AH38" i="54" s="1"/>
  <c r="AI38" i="54" s="1"/>
  <c r="V38" i="54"/>
  <c r="Y38" i="54"/>
  <c r="AE38" i="54"/>
  <c r="AF38" i="54"/>
  <c r="AG38" i="54" s="1"/>
  <c r="AK38" i="54"/>
  <c r="AM38" i="54"/>
  <c r="T39" i="54"/>
  <c r="AH39" i="54" s="1"/>
  <c r="AI39" i="54" s="1"/>
  <c r="V39" i="54"/>
  <c r="Y39" i="54"/>
  <c r="AF39" i="54"/>
  <c r="AG39" i="54" s="1"/>
  <c r="AK39" i="54"/>
  <c r="AM39" i="54"/>
  <c r="T40" i="54"/>
  <c r="AD40" i="54" s="1"/>
  <c r="V40" i="54"/>
  <c r="Y40" i="54"/>
  <c r="AF40" i="54"/>
  <c r="AG40" i="54"/>
  <c r="AH40" i="54"/>
  <c r="AI40" i="54" s="1"/>
  <c r="AK40" i="54"/>
  <c r="AM40" i="54"/>
  <c r="T41" i="54"/>
  <c r="AD41" i="54" s="1"/>
  <c r="V41" i="54"/>
  <c r="Y41" i="54"/>
  <c r="AF41" i="54"/>
  <c r="AG41" i="54"/>
  <c r="AJ41" i="54" s="1"/>
  <c r="AH41" i="54"/>
  <c r="AI41" i="54" s="1"/>
  <c r="AK41" i="54"/>
  <c r="AM41" i="54"/>
  <c r="T42" i="54"/>
  <c r="AD42" i="54" s="1"/>
  <c r="V42" i="54"/>
  <c r="Y42" i="54"/>
  <c r="AE42" i="54"/>
  <c r="AF42" i="54"/>
  <c r="AG42" i="54"/>
  <c r="AL42" i="54" s="1"/>
  <c r="AH42" i="54"/>
  <c r="AI42" i="54"/>
  <c r="AJ42" i="54" s="1"/>
  <c r="AK42" i="54"/>
  <c r="AM42" i="54"/>
  <c r="T43" i="54"/>
  <c r="AE43" i="54" s="1"/>
  <c r="V43" i="54"/>
  <c r="Y43" i="54"/>
  <c r="AD43" i="54"/>
  <c r="AF43" i="54"/>
  <c r="AG43" i="54" s="1"/>
  <c r="AH43" i="54"/>
  <c r="AI43" i="54"/>
  <c r="AK43" i="54"/>
  <c r="AM43" i="54"/>
  <c r="T44" i="54"/>
  <c r="V44" i="54"/>
  <c r="Y44" i="54"/>
  <c r="AD44" i="54"/>
  <c r="AE44" i="54"/>
  <c r="AF44" i="54"/>
  <c r="AG44" i="54"/>
  <c r="AH44" i="54"/>
  <c r="AI44" i="54"/>
  <c r="AJ44" i="54"/>
  <c r="AK44" i="54"/>
  <c r="AL44" i="54" s="1"/>
  <c r="AM44" i="54"/>
  <c r="T56" i="53"/>
  <c r="AD56" i="53" s="1"/>
  <c r="V56" i="53"/>
  <c r="Y56" i="53"/>
  <c r="AF56" i="53"/>
  <c r="AG56" i="53" s="1"/>
  <c r="AK56" i="53"/>
  <c r="AM56" i="53"/>
  <c r="T57" i="53"/>
  <c r="AH57" i="53" s="1"/>
  <c r="AI57" i="53" s="1"/>
  <c r="V57" i="53"/>
  <c r="Y57" i="53"/>
  <c r="AF57" i="53"/>
  <c r="AG57" i="53" s="1"/>
  <c r="AK57" i="53"/>
  <c r="AM57" i="53"/>
  <c r="T58" i="53"/>
  <c r="AE58" i="53" s="1"/>
  <c r="V58" i="53"/>
  <c r="Y58" i="53"/>
  <c r="AF58" i="53"/>
  <c r="AG58" i="53" s="1"/>
  <c r="AH58" i="53"/>
  <c r="AI58" i="53" s="1"/>
  <c r="AK58" i="53"/>
  <c r="T59" i="53"/>
  <c r="AE59" i="53" s="1"/>
  <c r="V59" i="53"/>
  <c r="Y59" i="53"/>
  <c r="AF59" i="53"/>
  <c r="AG59" i="53" s="1"/>
  <c r="AK59" i="53"/>
  <c r="AM59" i="53"/>
  <c r="T60" i="53"/>
  <c r="AD60" i="53" s="1"/>
  <c r="V60" i="53"/>
  <c r="Y60" i="53"/>
  <c r="AF60" i="53"/>
  <c r="AG60" i="53" s="1"/>
  <c r="AK60" i="53"/>
  <c r="AM60" i="53"/>
  <c r="T61" i="53"/>
  <c r="AE61" i="53" s="1"/>
  <c r="V61" i="53"/>
  <c r="Y61" i="53"/>
  <c r="AF61" i="53"/>
  <c r="AG61" i="53" s="1"/>
  <c r="AK61" i="53"/>
  <c r="T62" i="53"/>
  <c r="AD62" i="53" s="1"/>
  <c r="V62" i="53"/>
  <c r="Y62" i="53"/>
  <c r="AF62" i="53"/>
  <c r="AG62" i="53" s="1"/>
  <c r="AK62" i="53"/>
  <c r="AM62" i="53"/>
  <c r="T63" i="53"/>
  <c r="AD63" i="53" s="1"/>
  <c r="V63" i="53"/>
  <c r="Y63" i="53"/>
  <c r="AF63" i="53"/>
  <c r="AG63" i="53" s="1"/>
  <c r="AK63" i="53"/>
  <c r="T64" i="53"/>
  <c r="AD64" i="53" s="1"/>
  <c r="V64" i="53"/>
  <c r="Y64" i="53"/>
  <c r="AE64" i="53"/>
  <c r="AF64" i="53"/>
  <c r="AG64" i="53" s="1"/>
  <c r="AH64" i="53"/>
  <c r="AI64" i="53" s="1"/>
  <c r="AK64" i="53"/>
  <c r="AM64" i="53"/>
  <c r="T65" i="53"/>
  <c r="AD65" i="53" s="1"/>
  <c r="V65" i="53"/>
  <c r="Y65" i="53"/>
  <c r="AF65" i="53"/>
  <c r="AG65" i="53" s="1"/>
  <c r="AK65" i="53"/>
  <c r="AM65" i="53"/>
  <c r="T66" i="53"/>
  <c r="AD66" i="53" s="1"/>
  <c r="V66" i="53"/>
  <c r="Y66" i="53"/>
  <c r="AF66" i="53"/>
  <c r="AG66" i="53" s="1"/>
  <c r="AK66" i="53"/>
  <c r="T67" i="53"/>
  <c r="AE67" i="53" s="1"/>
  <c r="V67" i="53"/>
  <c r="Y67" i="53"/>
  <c r="AD67" i="53"/>
  <c r="AF67" i="53"/>
  <c r="AG67" i="53" s="1"/>
  <c r="AK67" i="53"/>
  <c r="AM67" i="53"/>
  <c r="T68" i="53"/>
  <c r="AD68" i="53" s="1"/>
  <c r="V68" i="53"/>
  <c r="Y68" i="53"/>
  <c r="AF68" i="53"/>
  <c r="AG68" i="53"/>
  <c r="AK68" i="53"/>
  <c r="AM68" i="53"/>
  <c r="T69" i="53"/>
  <c r="AH69" i="53" s="1"/>
  <c r="AI69" i="53" s="1"/>
  <c r="V69" i="53"/>
  <c r="Y69" i="53"/>
  <c r="AF69" i="53"/>
  <c r="AG69" i="53" s="1"/>
  <c r="AK69" i="53"/>
  <c r="AM69" i="53"/>
  <c r="T70" i="53"/>
  <c r="AH70" i="53" s="1"/>
  <c r="AI70" i="53" s="1"/>
  <c r="V70" i="53"/>
  <c r="Y70" i="53"/>
  <c r="AD70" i="53"/>
  <c r="AE70" i="53"/>
  <c r="AF70" i="53"/>
  <c r="AG70" i="53" s="1"/>
  <c r="AK70" i="53"/>
  <c r="AM70" i="53"/>
  <c r="T71" i="53"/>
  <c r="AD71" i="53" s="1"/>
  <c r="V71" i="53"/>
  <c r="Y71" i="53"/>
  <c r="AF71" i="53"/>
  <c r="AG71" i="53" s="1"/>
  <c r="AK71" i="53"/>
  <c r="AM71" i="53"/>
  <c r="T72" i="53"/>
  <c r="AD72" i="53" s="1"/>
  <c r="V72" i="53"/>
  <c r="Y72" i="53"/>
  <c r="AF72" i="53"/>
  <c r="AG72" i="53" s="1"/>
  <c r="AK72" i="53"/>
  <c r="AM72" i="53"/>
  <c r="T73" i="53"/>
  <c r="AE73" i="53" s="1"/>
  <c r="V73" i="53"/>
  <c r="Y73" i="53"/>
  <c r="AF73" i="53"/>
  <c r="AG73" i="53" s="1"/>
  <c r="AK73" i="53"/>
  <c r="AM73" i="53"/>
  <c r="T74" i="53"/>
  <c r="AD74" i="53" s="1"/>
  <c r="V74" i="53"/>
  <c r="Y74" i="53"/>
  <c r="AE74" i="53"/>
  <c r="AF74" i="53"/>
  <c r="AG74" i="53"/>
  <c r="AK74" i="53"/>
  <c r="AM74" i="53"/>
  <c r="T75" i="53"/>
  <c r="AD75" i="53" s="1"/>
  <c r="V75" i="53"/>
  <c r="Y75" i="53"/>
  <c r="AF75" i="53"/>
  <c r="AG75" i="53" s="1"/>
  <c r="AK75" i="53"/>
  <c r="AM75" i="53"/>
  <c r="T76" i="53"/>
  <c r="AD76" i="53" s="1"/>
  <c r="V76" i="53"/>
  <c r="Y76" i="53"/>
  <c r="AF76" i="53"/>
  <c r="AG76" i="53" s="1"/>
  <c r="AK76" i="53"/>
  <c r="AM76" i="53"/>
  <c r="T77" i="53"/>
  <c r="AD77" i="53" s="1"/>
  <c r="V77" i="53"/>
  <c r="Y77" i="53"/>
  <c r="AF77" i="53"/>
  <c r="AG77" i="53" s="1"/>
  <c r="AK77" i="53"/>
  <c r="AM77" i="53"/>
  <c r="T78" i="53"/>
  <c r="AD78" i="53" s="1"/>
  <c r="V78" i="53"/>
  <c r="Y78" i="53"/>
  <c r="AF78" i="53"/>
  <c r="AG78" i="53" s="1"/>
  <c r="AK78" i="53"/>
  <c r="AM78" i="53"/>
  <c r="T79" i="53"/>
  <c r="AE79" i="53" s="1"/>
  <c r="V79" i="53"/>
  <c r="Y79" i="53"/>
  <c r="AF79" i="53"/>
  <c r="AG79" i="53" s="1"/>
  <c r="AK79" i="53"/>
  <c r="AM79" i="53"/>
  <c r="T80" i="53"/>
  <c r="AD80" i="53" s="1"/>
  <c r="AN80" i="53" s="1"/>
  <c r="V80" i="53"/>
  <c r="Y80" i="53"/>
  <c r="AE80" i="53"/>
  <c r="AF80" i="53"/>
  <c r="AG80" i="53"/>
  <c r="AJ80" i="53" s="1"/>
  <c r="AH80" i="53"/>
  <c r="AI80" i="53"/>
  <c r="AK80" i="53"/>
  <c r="AM80" i="53"/>
  <c r="T81" i="53"/>
  <c r="AH81" i="53" s="1"/>
  <c r="AI81" i="53" s="1"/>
  <c r="V81" i="53"/>
  <c r="Y81" i="53"/>
  <c r="AF81" i="53"/>
  <c r="AG81" i="53" s="1"/>
  <c r="AK81" i="53"/>
  <c r="AM81" i="53"/>
  <c r="T82" i="53"/>
  <c r="V82" i="53"/>
  <c r="Y82" i="53"/>
  <c r="AD82" i="53"/>
  <c r="AE82" i="53"/>
  <c r="AF82" i="53"/>
  <c r="AG82" i="53"/>
  <c r="AJ82" i="53" s="1"/>
  <c r="AH82" i="53"/>
  <c r="AI82" i="53"/>
  <c r="AK82" i="53"/>
  <c r="AM82" i="53"/>
  <c r="T83" i="53"/>
  <c r="V83" i="53"/>
  <c r="Y83" i="53"/>
  <c r="AD83" i="53"/>
  <c r="AN83" i="53" s="1"/>
  <c r="AE83" i="53"/>
  <c r="AF83" i="53"/>
  <c r="AG83" i="53" s="1"/>
  <c r="AH83" i="53"/>
  <c r="AI83" i="53" s="1"/>
  <c r="AK83" i="53"/>
  <c r="AM83" i="53"/>
  <c r="T84" i="53"/>
  <c r="AD84" i="53" s="1"/>
  <c r="V84" i="53"/>
  <c r="Y84" i="53"/>
  <c r="AF84" i="53"/>
  <c r="AG84" i="53" s="1"/>
  <c r="AK84" i="53"/>
  <c r="AM84" i="53"/>
  <c r="T85" i="53"/>
  <c r="AE85" i="53" s="1"/>
  <c r="AN85" i="53" s="1"/>
  <c r="V85" i="53"/>
  <c r="Y85" i="53"/>
  <c r="AD85" i="53"/>
  <c r="AF85" i="53"/>
  <c r="AG85" i="53"/>
  <c r="AK85" i="53"/>
  <c r="AM85" i="53"/>
  <c r="T86" i="53"/>
  <c r="AD86" i="53" s="1"/>
  <c r="V86" i="53"/>
  <c r="Y86" i="53"/>
  <c r="AE86" i="53"/>
  <c r="AF86" i="53"/>
  <c r="AG86" i="53"/>
  <c r="AH86" i="53"/>
  <c r="AI86" i="53" s="1"/>
  <c r="AK86" i="53"/>
  <c r="AM86" i="53"/>
  <c r="T87" i="53"/>
  <c r="AE87" i="53" s="1"/>
  <c r="V87" i="53"/>
  <c r="Y87" i="53"/>
  <c r="AD87" i="53"/>
  <c r="AN87" i="53" s="1"/>
  <c r="AF87" i="53"/>
  <c r="AG87" i="53" s="1"/>
  <c r="AK87" i="53"/>
  <c r="AM87" i="53"/>
  <c r="T88" i="53"/>
  <c r="V88" i="53"/>
  <c r="Y88" i="53"/>
  <c r="AD88" i="53"/>
  <c r="AE88" i="53"/>
  <c r="AF88" i="53"/>
  <c r="AG88" i="53"/>
  <c r="AJ88" i="53" s="1"/>
  <c r="AH88" i="53"/>
  <c r="AI88" i="53"/>
  <c r="AK88" i="53"/>
  <c r="AM88" i="53"/>
  <c r="T89" i="53"/>
  <c r="AD89" i="53" s="1"/>
  <c r="V89" i="53"/>
  <c r="Y89" i="53"/>
  <c r="AF89" i="53"/>
  <c r="AG89" i="53" s="1"/>
  <c r="AK89" i="53"/>
  <c r="AM89" i="53"/>
  <c r="T90" i="53"/>
  <c r="AD90" i="53" s="1"/>
  <c r="V90" i="53"/>
  <c r="Y90" i="53"/>
  <c r="AF90" i="53"/>
  <c r="AG90" i="53"/>
  <c r="AK90" i="53"/>
  <c r="AM90" i="53"/>
  <c r="T91" i="53"/>
  <c r="AE91" i="53" s="1"/>
  <c r="V91" i="53"/>
  <c r="Y91" i="53"/>
  <c r="AD91" i="53"/>
  <c r="AF91" i="53"/>
  <c r="AG91" i="53"/>
  <c r="AH91" i="53"/>
  <c r="AI91" i="53" s="1"/>
  <c r="AJ91" i="53" s="1"/>
  <c r="AK91" i="53"/>
  <c r="AM91" i="53"/>
  <c r="T92" i="53"/>
  <c r="AD92" i="53" s="1"/>
  <c r="V92" i="53"/>
  <c r="Y92" i="53"/>
  <c r="AE92" i="53"/>
  <c r="AF92" i="53"/>
  <c r="AG92" i="53"/>
  <c r="AJ92" i="53" s="1"/>
  <c r="AH92" i="53"/>
  <c r="AI92" i="53"/>
  <c r="AK92" i="53"/>
  <c r="AM92" i="53"/>
  <c r="T93" i="53"/>
  <c r="AH93" i="53" s="1"/>
  <c r="AI93" i="53" s="1"/>
  <c r="V93" i="53"/>
  <c r="Y93" i="53"/>
  <c r="AF93" i="53"/>
  <c r="AG93" i="53" s="1"/>
  <c r="AK93" i="53"/>
  <c r="AM93" i="53"/>
  <c r="T25" i="51"/>
  <c r="AE25" i="51" s="1"/>
  <c r="V25" i="51"/>
  <c r="Y25" i="51"/>
  <c r="AF25" i="51"/>
  <c r="AG25" i="51" s="1"/>
  <c r="AK25" i="51"/>
  <c r="AM25" i="51"/>
  <c r="T26" i="51"/>
  <c r="AM26" i="51" s="1"/>
  <c r="V26" i="51"/>
  <c r="Y26" i="51"/>
  <c r="AF26" i="51"/>
  <c r="AG26" i="51" s="1"/>
  <c r="AK26" i="51"/>
  <c r="T27" i="51"/>
  <c r="AH27" i="51" s="1"/>
  <c r="AI27" i="51" s="1"/>
  <c r="V27" i="51"/>
  <c r="Y27" i="51"/>
  <c r="AF27" i="51"/>
  <c r="AG27" i="51" s="1"/>
  <c r="AK27" i="51"/>
  <c r="AM27" i="51"/>
  <c r="T28" i="51"/>
  <c r="AD28" i="51" s="1"/>
  <c r="V28" i="51"/>
  <c r="Y28" i="51"/>
  <c r="AF28" i="51"/>
  <c r="AG28" i="51" s="1"/>
  <c r="AK28" i="51"/>
  <c r="AM28" i="51"/>
  <c r="T29" i="51"/>
  <c r="AD29" i="51" s="1"/>
  <c r="V29" i="51"/>
  <c r="Y29" i="51"/>
  <c r="AF29" i="51"/>
  <c r="AG29" i="51" s="1"/>
  <c r="AK29" i="51"/>
  <c r="T30" i="51"/>
  <c r="AH30" i="51" s="1"/>
  <c r="AI30" i="51" s="1"/>
  <c r="V30" i="51"/>
  <c r="Y30" i="51"/>
  <c r="AF30" i="51"/>
  <c r="AG30" i="51" s="1"/>
  <c r="AK30" i="51"/>
  <c r="AM30" i="51"/>
  <c r="T31" i="51"/>
  <c r="AD31" i="51" s="1"/>
  <c r="V31" i="51"/>
  <c r="Y31" i="51"/>
  <c r="AF31" i="51"/>
  <c r="AG31" i="51" s="1"/>
  <c r="AK31" i="51"/>
  <c r="AM31" i="51"/>
  <c r="T32" i="51"/>
  <c r="AD32" i="51" s="1"/>
  <c r="V32" i="51"/>
  <c r="Y32" i="51"/>
  <c r="AF32" i="51"/>
  <c r="AG32" i="51" s="1"/>
  <c r="AK32" i="51"/>
  <c r="T33" i="51"/>
  <c r="AE33" i="51" s="1"/>
  <c r="V33" i="51"/>
  <c r="Y33" i="51"/>
  <c r="AD33" i="51"/>
  <c r="AF33" i="51"/>
  <c r="AG33" i="51" s="1"/>
  <c r="AH33" i="51"/>
  <c r="AI33" i="51" s="1"/>
  <c r="AK33" i="51"/>
  <c r="T34" i="51"/>
  <c r="AD34" i="51" s="1"/>
  <c r="V34" i="51"/>
  <c r="Y34" i="51"/>
  <c r="AE34" i="51"/>
  <c r="AF34" i="51"/>
  <c r="AG34" i="51"/>
  <c r="AK34" i="51"/>
  <c r="AM34" i="51"/>
  <c r="T35" i="51"/>
  <c r="AD35" i="51" s="1"/>
  <c r="V35" i="51"/>
  <c r="Y35" i="51"/>
  <c r="AF35" i="51"/>
  <c r="AG35" i="51" s="1"/>
  <c r="AK35" i="51"/>
  <c r="AM35" i="51"/>
  <c r="T36" i="51"/>
  <c r="AH36" i="51" s="1"/>
  <c r="AI36" i="51" s="1"/>
  <c r="V36" i="51"/>
  <c r="Y36" i="51"/>
  <c r="AF36" i="51"/>
  <c r="AG36" i="51" s="1"/>
  <c r="AL36" i="51" s="1"/>
  <c r="AK36" i="51"/>
  <c r="AM36" i="51"/>
  <c r="T37" i="51"/>
  <c r="AD37" i="51" s="1"/>
  <c r="V37" i="51"/>
  <c r="Y37" i="51"/>
  <c r="AE37" i="51"/>
  <c r="AF37" i="51"/>
  <c r="AG37" i="51" s="1"/>
  <c r="AH37" i="51"/>
  <c r="AI37" i="51" s="1"/>
  <c r="AK37" i="51"/>
  <c r="AM37" i="51"/>
  <c r="T38" i="51"/>
  <c r="V38" i="51"/>
  <c r="Y38" i="51"/>
  <c r="AF38" i="51"/>
  <c r="AG38" i="51" s="1"/>
  <c r="AK38" i="51"/>
  <c r="AM38" i="51"/>
  <c r="T39" i="51"/>
  <c r="AH39" i="51" s="1"/>
  <c r="AI39" i="51" s="1"/>
  <c r="V39" i="51"/>
  <c r="Y39" i="51"/>
  <c r="AF39" i="51"/>
  <c r="AG39" i="51" s="1"/>
  <c r="AK39" i="51"/>
  <c r="AM39" i="51"/>
  <c r="T40" i="51"/>
  <c r="AD40" i="51" s="1"/>
  <c r="V40" i="51"/>
  <c r="Y40" i="51"/>
  <c r="AE40" i="51"/>
  <c r="AF40" i="51"/>
  <c r="AG40" i="51"/>
  <c r="AK40" i="51"/>
  <c r="AM40" i="51"/>
  <c r="T41" i="51"/>
  <c r="AD41" i="51" s="1"/>
  <c r="V41" i="51"/>
  <c r="Y41" i="51"/>
  <c r="AE41" i="51"/>
  <c r="AF41" i="51"/>
  <c r="AG41" i="51" s="1"/>
  <c r="AH41" i="51"/>
  <c r="AI41" i="51"/>
  <c r="AK41" i="51"/>
  <c r="AM41" i="51"/>
  <c r="T42" i="51"/>
  <c r="AH42" i="51" s="1"/>
  <c r="AI42" i="51" s="1"/>
  <c r="V42" i="51"/>
  <c r="Y42" i="51"/>
  <c r="AF42" i="51"/>
  <c r="AG42" i="51" s="1"/>
  <c r="AK42" i="51"/>
  <c r="T43" i="51"/>
  <c r="AD43" i="51" s="1"/>
  <c r="V43" i="51"/>
  <c r="Y43" i="51"/>
  <c r="AF43" i="51"/>
  <c r="AG43" i="51" s="1"/>
  <c r="AK43" i="51"/>
  <c r="AM43" i="51"/>
  <c r="T44" i="51"/>
  <c r="AD44" i="51" s="1"/>
  <c r="V44" i="51"/>
  <c r="Y44" i="51"/>
  <c r="AF44" i="51"/>
  <c r="AG44" i="51" s="1"/>
  <c r="AK44" i="51"/>
  <c r="AM44" i="51"/>
  <c r="T45" i="51"/>
  <c r="AE45" i="51" s="1"/>
  <c r="V45" i="51"/>
  <c r="Y45" i="51"/>
  <c r="AF45" i="51"/>
  <c r="AG45" i="51" s="1"/>
  <c r="AK45" i="51"/>
  <c r="T46" i="51"/>
  <c r="AM46" i="51" s="1"/>
  <c r="V46" i="51"/>
  <c r="Y46" i="51"/>
  <c r="AD46" i="51"/>
  <c r="AE46" i="51"/>
  <c r="AF46" i="51"/>
  <c r="AG46" i="51"/>
  <c r="AK46" i="51"/>
  <c r="T47" i="51"/>
  <c r="AD47" i="51" s="1"/>
  <c r="V47" i="51"/>
  <c r="Y47" i="51"/>
  <c r="AF47" i="51"/>
  <c r="AG47" i="51" s="1"/>
  <c r="AK47" i="51"/>
  <c r="AM47" i="51"/>
  <c r="T48" i="51"/>
  <c r="AH48" i="51" s="1"/>
  <c r="AI48" i="51" s="1"/>
  <c r="V48" i="51"/>
  <c r="Y48" i="51"/>
  <c r="AF48" i="51"/>
  <c r="AG48" i="51" s="1"/>
  <c r="AK48" i="51"/>
  <c r="AM48" i="51"/>
  <c r="T49" i="51"/>
  <c r="AH49" i="51" s="1"/>
  <c r="AI49" i="51" s="1"/>
  <c r="V49" i="51"/>
  <c r="Y49" i="51"/>
  <c r="AD49" i="51"/>
  <c r="AF49" i="51"/>
  <c r="AG49" i="51" s="1"/>
  <c r="AK49" i="51"/>
  <c r="AM49" i="51"/>
  <c r="T50" i="51"/>
  <c r="V50" i="51"/>
  <c r="Y50" i="51"/>
  <c r="AF50" i="51"/>
  <c r="AG50" i="51" s="1"/>
  <c r="AK50" i="51"/>
  <c r="AM50" i="51"/>
  <c r="T51" i="51"/>
  <c r="AH51" i="51" s="1"/>
  <c r="AI51" i="51" s="1"/>
  <c r="V51" i="51"/>
  <c r="Y51" i="51"/>
  <c r="AF51" i="51"/>
  <c r="AG51" i="51" s="1"/>
  <c r="AK51" i="51"/>
  <c r="AM51" i="51"/>
  <c r="T52" i="51"/>
  <c r="AD52" i="51" s="1"/>
  <c r="V52" i="51"/>
  <c r="Y52" i="51"/>
  <c r="AF52" i="51"/>
  <c r="AG52" i="51" s="1"/>
  <c r="AK52" i="51"/>
  <c r="AM52" i="51"/>
  <c r="T53" i="51"/>
  <c r="AE53" i="51" s="1"/>
  <c r="V53" i="51"/>
  <c r="Y53" i="51"/>
  <c r="AF53" i="51"/>
  <c r="AG53" i="51" s="1"/>
  <c r="AK53" i="51"/>
  <c r="AM53" i="51"/>
  <c r="T54" i="51"/>
  <c r="AH54" i="51" s="1"/>
  <c r="AI54" i="51" s="1"/>
  <c r="V54" i="51"/>
  <c r="Y54" i="51"/>
  <c r="AD54" i="51"/>
  <c r="AE54" i="51"/>
  <c r="AF54" i="51"/>
  <c r="AG54" i="51" s="1"/>
  <c r="AK54" i="51"/>
  <c r="AM54" i="51"/>
  <c r="T55" i="51"/>
  <c r="AD55" i="51" s="1"/>
  <c r="V55" i="51"/>
  <c r="Y55" i="51"/>
  <c r="AF55" i="51"/>
  <c r="AG55" i="51" s="1"/>
  <c r="AK55" i="51"/>
  <c r="AM55" i="51"/>
  <c r="T56" i="51"/>
  <c r="V56" i="51"/>
  <c r="Y56" i="51"/>
  <c r="AF56" i="51"/>
  <c r="AG56" i="51" s="1"/>
  <c r="AK56" i="51"/>
  <c r="AM56" i="51"/>
  <c r="T57" i="51"/>
  <c r="AE57" i="51" s="1"/>
  <c r="V57" i="51"/>
  <c r="Y57" i="51"/>
  <c r="AF57" i="51"/>
  <c r="AG57" i="51" s="1"/>
  <c r="AK57" i="51"/>
  <c r="T58" i="51"/>
  <c r="AH58" i="51" s="1"/>
  <c r="AI58" i="51" s="1"/>
  <c r="AJ58" i="51" s="1"/>
  <c r="V58" i="51"/>
  <c r="Y58" i="51"/>
  <c r="AD58" i="51"/>
  <c r="AF58" i="51"/>
  <c r="AG58" i="51" s="1"/>
  <c r="AK58" i="51"/>
  <c r="T59" i="51"/>
  <c r="V59" i="51"/>
  <c r="Y59" i="51"/>
  <c r="AF59" i="51"/>
  <c r="AG59" i="51" s="1"/>
  <c r="AK59" i="51"/>
  <c r="AM59" i="51"/>
  <c r="T60" i="51"/>
  <c r="AH60" i="51" s="1"/>
  <c r="AI60" i="51" s="1"/>
  <c r="V60" i="51"/>
  <c r="Y60" i="51"/>
  <c r="AF60" i="51"/>
  <c r="AG60" i="51" s="1"/>
  <c r="AJ60" i="51" s="1"/>
  <c r="AK60" i="51"/>
  <c r="AM60" i="51"/>
  <c r="T61" i="51"/>
  <c r="AE61" i="51" s="1"/>
  <c r="V61" i="51"/>
  <c r="Y61" i="51"/>
  <c r="AF61" i="51"/>
  <c r="AG61" i="51" s="1"/>
  <c r="AK61" i="51"/>
  <c r="AM61" i="51"/>
  <c r="T62" i="51"/>
  <c r="AD62" i="51" s="1"/>
  <c r="V62" i="51"/>
  <c r="Y62" i="51"/>
  <c r="AF62" i="51"/>
  <c r="AG62" i="51" s="1"/>
  <c r="AK62" i="51"/>
  <c r="AM62" i="51"/>
  <c r="T63" i="51"/>
  <c r="V63" i="51"/>
  <c r="Y63" i="51"/>
  <c r="AF63" i="51"/>
  <c r="AG63" i="51" s="1"/>
  <c r="AH63" i="51"/>
  <c r="AI63" i="51" s="1"/>
  <c r="AK63" i="51"/>
  <c r="AM63" i="51"/>
  <c r="T64" i="51"/>
  <c r="AE64" i="51" s="1"/>
  <c r="V64" i="51"/>
  <c r="Y64" i="51"/>
  <c r="AF64" i="51"/>
  <c r="AG64" i="51" s="1"/>
  <c r="AK64" i="51"/>
  <c r="AM64" i="51"/>
  <c r="T65" i="51"/>
  <c r="AE65" i="51" s="1"/>
  <c r="V65" i="51"/>
  <c r="Y65" i="51"/>
  <c r="AF65" i="51"/>
  <c r="AG65" i="51" s="1"/>
  <c r="AK65" i="51"/>
  <c r="AM65" i="51"/>
  <c r="T66" i="51"/>
  <c r="AH66" i="51" s="1"/>
  <c r="AI66" i="51" s="1"/>
  <c r="V66" i="51"/>
  <c r="Y66" i="51"/>
  <c r="AF66" i="51"/>
  <c r="AG66" i="51" s="1"/>
  <c r="AK66" i="51"/>
  <c r="AM66" i="51"/>
  <c r="T67" i="51"/>
  <c r="AE67" i="51" s="1"/>
  <c r="V67" i="51"/>
  <c r="Y67" i="51"/>
  <c r="AF67" i="51"/>
  <c r="AG67" i="51"/>
  <c r="AK67" i="51"/>
  <c r="T68" i="51"/>
  <c r="V68" i="51"/>
  <c r="Y68" i="51"/>
  <c r="AF68" i="51"/>
  <c r="AG68" i="51" s="1"/>
  <c r="AK68" i="51"/>
  <c r="AM68" i="51"/>
  <c r="T69" i="51"/>
  <c r="AE69" i="51" s="1"/>
  <c r="V69" i="51"/>
  <c r="Y69" i="51"/>
  <c r="AD69" i="51"/>
  <c r="AF69" i="51"/>
  <c r="AG69" i="51" s="1"/>
  <c r="AH69" i="51"/>
  <c r="AI69" i="51" s="1"/>
  <c r="AK69" i="51"/>
  <c r="AM69" i="51"/>
  <c r="T70" i="51"/>
  <c r="AD70" i="51" s="1"/>
  <c r="V70" i="51"/>
  <c r="Y70" i="51"/>
  <c r="AF70" i="51"/>
  <c r="AG70" i="51"/>
  <c r="AK70" i="51"/>
  <c r="T71" i="51"/>
  <c r="AH71" i="51" s="1"/>
  <c r="AI71" i="51" s="1"/>
  <c r="V71" i="51"/>
  <c r="Y71" i="51"/>
  <c r="AF71" i="51"/>
  <c r="AG71" i="51" s="1"/>
  <c r="AK71" i="51"/>
  <c r="AM71" i="51"/>
  <c r="T72" i="51"/>
  <c r="AH72" i="51" s="1"/>
  <c r="AI72" i="51" s="1"/>
  <c r="V72" i="51"/>
  <c r="Y72" i="51"/>
  <c r="AF72" i="51"/>
  <c r="AG72" i="51" s="1"/>
  <c r="AK72" i="51"/>
  <c r="T73" i="51"/>
  <c r="AD73" i="51" s="1"/>
  <c r="V73" i="51"/>
  <c r="Y73" i="51"/>
  <c r="AF73" i="51"/>
  <c r="AG73" i="51" s="1"/>
  <c r="AK73" i="51"/>
  <c r="AM73" i="51"/>
  <c r="T74" i="51"/>
  <c r="AD74" i="51" s="1"/>
  <c r="V74" i="51"/>
  <c r="Y74" i="51"/>
  <c r="AF74" i="51"/>
  <c r="AG74" i="51" s="1"/>
  <c r="AK74" i="51"/>
  <c r="T75" i="51"/>
  <c r="V75" i="51"/>
  <c r="Y75" i="51"/>
  <c r="AF75" i="51"/>
  <c r="AG75" i="51" s="1"/>
  <c r="AK75" i="51"/>
  <c r="AM75" i="51"/>
  <c r="T76" i="51"/>
  <c r="AH76" i="51" s="1"/>
  <c r="AI76" i="51" s="1"/>
  <c r="V76" i="51"/>
  <c r="Y76" i="51"/>
  <c r="AD76" i="51"/>
  <c r="AF76" i="51"/>
  <c r="AG76" i="51" s="1"/>
  <c r="AK76" i="51"/>
  <c r="AM76" i="51"/>
  <c r="T77" i="51"/>
  <c r="AD77" i="51" s="1"/>
  <c r="V77" i="51"/>
  <c r="Y77" i="51"/>
  <c r="AF77" i="51"/>
  <c r="AG77" i="51" s="1"/>
  <c r="AK77" i="51"/>
  <c r="AM77" i="51"/>
  <c r="T78" i="51"/>
  <c r="AH78" i="51" s="1"/>
  <c r="AI78" i="51" s="1"/>
  <c r="V78" i="51"/>
  <c r="Y78" i="51"/>
  <c r="AF78" i="51"/>
  <c r="AG78" i="51" s="1"/>
  <c r="AK78" i="51"/>
  <c r="AM78" i="51"/>
  <c r="T79" i="51"/>
  <c r="AD79" i="51" s="1"/>
  <c r="V79" i="51"/>
  <c r="Y79" i="51"/>
  <c r="AF79" i="51"/>
  <c r="AG79" i="51"/>
  <c r="AK79" i="51"/>
  <c r="AM79" i="51"/>
  <c r="T80" i="51"/>
  <c r="V80" i="51"/>
  <c r="Y80" i="51"/>
  <c r="AF80" i="51"/>
  <c r="AG80" i="51" s="1"/>
  <c r="AK80" i="51"/>
  <c r="AM80" i="51"/>
  <c r="T81" i="51"/>
  <c r="AE81" i="51" s="1"/>
  <c r="AN81" i="51" s="1"/>
  <c r="V81" i="51"/>
  <c r="Y81" i="51"/>
  <c r="AD81" i="51"/>
  <c r="AF81" i="51"/>
  <c r="AG81" i="51"/>
  <c r="AL81" i="51" s="1"/>
  <c r="AH81" i="51"/>
  <c r="AI81" i="51"/>
  <c r="AJ81" i="51"/>
  <c r="AK81" i="51"/>
  <c r="AM81" i="51"/>
  <c r="T82" i="51"/>
  <c r="V82" i="51"/>
  <c r="Y82" i="51"/>
  <c r="AD82" i="51"/>
  <c r="AE82" i="51"/>
  <c r="AF82" i="51"/>
  <c r="AG82" i="51"/>
  <c r="AH82" i="51"/>
  <c r="AI82" i="51"/>
  <c r="AJ82" i="51"/>
  <c r="AK82" i="51"/>
  <c r="AM82" i="51"/>
  <c r="AN82" i="51"/>
  <c r="T83" i="51"/>
  <c r="AH83" i="51" s="1"/>
  <c r="AI83" i="51" s="1"/>
  <c r="AJ83" i="51" s="1"/>
  <c r="V83" i="51"/>
  <c r="Y83" i="51"/>
  <c r="AD83" i="51"/>
  <c r="AN83" i="51" s="1"/>
  <c r="AE83" i="51"/>
  <c r="AF83" i="51"/>
  <c r="AG83" i="51" s="1"/>
  <c r="AK83" i="51"/>
  <c r="AM83" i="51"/>
  <c r="T84" i="51"/>
  <c r="AH84" i="51" s="1"/>
  <c r="V84" i="51"/>
  <c r="Y84" i="51"/>
  <c r="AF84" i="51"/>
  <c r="AG84" i="51"/>
  <c r="AL84" i="51" s="1"/>
  <c r="AI84" i="51"/>
  <c r="AJ84" i="51"/>
  <c r="AK84" i="51"/>
  <c r="AM84" i="51"/>
  <c r="T85" i="51"/>
  <c r="AE85" i="51" s="1"/>
  <c r="V85" i="51"/>
  <c r="Y85" i="51"/>
  <c r="AD85" i="51"/>
  <c r="AF85" i="51"/>
  <c r="AG85" i="51" s="1"/>
  <c r="AK85" i="51"/>
  <c r="AM85" i="51"/>
  <c r="AN85" i="51" s="1"/>
  <c r="T86" i="51"/>
  <c r="AH86" i="51" s="1"/>
  <c r="AI86" i="51" s="1"/>
  <c r="V86" i="51"/>
  <c r="Y86" i="51"/>
  <c r="AD86" i="51"/>
  <c r="AE86" i="51"/>
  <c r="AF86" i="51"/>
  <c r="AG86" i="51"/>
  <c r="AK86" i="51"/>
  <c r="AM86" i="51"/>
  <c r="T87" i="51"/>
  <c r="AD87" i="51" s="1"/>
  <c r="V87" i="51"/>
  <c r="Y87" i="51"/>
  <c r="AF87" i="51"/>
  <c r="AG87" i="51" s="1"/>
  <c r="AK87" i="51"/>
  <c r="AM87" i="51"/>
  <c r="T88" i="51"/>
  <c r="AE88" i="51" s="1"/>
  <c r="V88" i="51"/>
  <c r="Y88" i="51"/>
  <c r="AF88" i="51"/>
  <c r="AG88" i="51"/>
  <c r="AK88" i="51"/>
  <c r="AM88" i="51"/>
  <c r="T89" i="51"/>
  <c r="V89" i="51"/>
  <c r="Y89" i="51"/>
  <c r="AD89" i="51"/>
  <c r="AE89" i="51"/>
  <c r="AF89" i="51"/>
  <c r="AG89" i="51"/>
  <c r="AH89" i="51"/>
  <c r="AI89" i="51" s="1"/>
  <c r="AK89" i="51"/>
  <c r="AM89" i="51"/>
  <c r="T90" i="51"/>
  <c r="V90" i="51"/>
  <c r="Y90" i="51"/>
  <c r="AD90" i="51"/>
  <c r="AN90" i="51" s="1"/>
  <c r="AE90" i="51"/>
  <c r="AF90" i="51"/>
  <c r="AG90" i="51" s="1"/>
  <c r="AH90" i="51"/>
  <c r="AI90" i="51"/>
  <c r="AK90" i="51"/>
  <c r="AM90" i="51"/>
  <c r="T91" i="51"/>
  <c r="AH91" i="51" s="1"/>
  <c r="AI91" i="51" s="1"/>
  <c r="V91" i="51"/>
  <c r="Y91" i="51"/>
  <c r="AF91" i="51"/>
  <c r="AG91" i="51" s="1"/>
  <c r="AK91" i="51"/>
  <c r="AM91" i="51"/>
  <c r="T92" i="51"/>
  <c r="AD92" i="51" s="1"/>
  <c r="V92" i="51"/>
  <c r="Y92" i="51"/>
  <c r="AF92" i="51"/>
  <c r="AG92" i="51"/>
  <c r="AK92" i="51"/>
  <c r="AM92" i="51"/>
  <c r="T93" i="51"/>
  <c r="AD93" i="51" s="1"/>
  <c r="V93" i="51"/>
  <c r="Y93" i="51"/>
  <c r="AF93" i="51"/>
  <c r="AG93" i="51"/>
  <c r="AH93" i="51"/>
  <c r="AI93" i="51" s="1"/>
  <c r="AL93" i="51" s="1"/>
  <c r="AK93" i="51"/>
  <c r="AM93" i="51"/>
  <c r="T209" i="46"/>
  <c r="AD209" i="46" s="1"/>
  <c r="V209" i="46"/>
  <c r="Y209" i="46"/>
  <c r="AF209" i="46"/>
  <c r="AG209" i="46" s="1"/>
  <c r="AK209" i="46"/>
  <c r="AM209" i="46"/>
  <c r="T210" i="46"/>
  <c r="AH210" i="46" s="1"/>
  <c r="AI210" i="46" s="1"/>
  <c r="V210" i="46"/>
  <c r="Y210" i="46"/>
  <c r="AE210" i="46"/>
  <c r="AF210" i="46"/>
  <c r="AG210" i="46" s="1"/>
  <c r="AK210" i="46"/>
  <c r="AM210" i="46"/>
  <c r="T211" i="46"/>
  <c r="AH211" i="46" s="1"/>
  <c r="AI211" i="46" s="1"/>
  <c r="V211" i="46"/>
  <c r="Y211" i="46"/>
  <c r="AF211" i="46"/>
  <c r="AG211" i="46" s="1"/>
  <c r="AK211" i="46"/>
  <c r="AM211" i="46"/>
  <c r="T212" i="46"/>
  <c r="AD212" i="46" s="1"/>
  <c r="V212" i="46"/>
  <c r="Y212" i="46"/>
  <c r="AF212" i="46"/>
  <c r="AG212" i="46"/>
  <c r="AH212" i="46"/>
  <c r="AI212" i="46" s="1"/>
  <c r="AK212" i="46"/>
  <c r="AM212" i="46"/>
  <c r="T213" i="46"/>
  <c r="AD213" i="46" s="1"/>
  <c r="AN213" i="46" s="1"/>
  <c r="V213" i="46"/>
  <c r="Y213" i="46"/>
  <c r="AE213" i="46"/>
  <c r="AF213" i="46"/>
  <c r="AG213" i="46"/>
  <c r="AJ213" i="46" s="1"/>
  <c r="AH213" i="46"/>
  <c r="AI213" i="46" s="1"/>
  <c r="AK213" i="46"/>
  <c r="AM213" i="46"/>
  <c r="T214" i="46"/>
  <c r="AD214" i="46" s="1"/>
  <c r="V214" i="46"/>
  <c r="Y214" i="46"/>
  <c r="AF214" i="46"/>
  <c r="AG214" i="46" s="1"/>
  <c r="AH214" i="46"/>
  <c r="AI214" i="46"/>
  <c r="AK214" i="46"/>
  <c r="AM214" i="46"/>
  <c r="T215" i="46"/>
  <c r="AE215" i="46" s="1"/>
  <c r="V215" i="46"/>
  <c r="Y215" i="46"/>
  <c r="AD215" i="46"/>
  <c r="AF215" i="46"/>
  <c r="AG215" i="46"/>
  <c r="AL215" i="46" s="1"/>
  <c r="AH215" i="46"/>
  <c r="AI215" i="46"/>
  <c r="AJ215" i="46"/>
  <c r="AK215" i="46"/>
  <c r="AM215" i="46"/>
  <c r="T83" i="46"/>
  <c r="AH83" i="46" s="1"/>
  <c r="AI83" i="46" s="1"/>
  <c r="V83" i="46"/>
  <c r="Y83" i="46"/>
  <c r="AF83" i="46"/>
  <c r="AG83" i="46" s="1"/>
  <c r="AK83" i="46"/>
  <c r="AM83" i="46"/>
  <c r="T84" i="46"/>
  <c r="AH84" i="46" s="1"/>
  <c r="AI84" i="46" s="1"/>
  <c r="V84" i="46"/>
  <c r="Y84" i="46"/>
  <c r="AF84" i="46"/>
  <c r="AG84" i="46" s="1"/>
  <c r="AK84" i="46"/>
  <c r="T85" i="46"/>
  <c r="V85" i="46"/>
  <c r="Y85" i="46"/>
  <c r="AF85" i="46"/>
  <c r="AG85" i="46" s="1"/>
  <c r="AK85" i="46"/>
  <c r="AM85" i="46"/>
  <c r="T86" i="46"/>
  <c r="AD86" i="46" s="1"/>
  <c r="V86" i="46"/>
  <c r="Y86" i="46"/>
  <c r="AF86" i="46"/>
  <c r="AG86" i="46" s="1"/>
  <c r="AK86" i="46"/>
  <c r="AM86" i="46"/>
  <c r="T87" i="46"/>
  <c r="AE87" i="46" s="1"/>
  <c r="V87" i="46"/>
  <c r="Y87" i="46"/>
  <c r="AD87" i="46"/>
  <c r="AF87" i="46"/>
  <c r="AG87" i="46" s="1"/>
  <c r="AH87" i="46"/>
  <c r="AI87" i="46" s="1"/>
  <c r="AK87" i="46"/>
  <c r="AM87" i="46"/>
  <c r="T88" i="46"/>
  <c r="AM88" i="46" s="1"/>
  <c r="V88" i="46"/>
  <c r="Y88" i="46"/>
  <c r="AF88" i="46"/>
  <c r="AG88" i="46" s="1"/>
  <c r="AK88" i="46"/>
  <c r="T89" i="46"/>
  <c r="AD89" i="46" s="1"/>
  <c r="V89" i="46"/>
  <c r="Y89" i="46"/>
  <c r="AF89" i="46"/>
  <c r="AG89" i="46" s="1"/>
  <c r="AK89" i="46"/>
  <c r="T90" i="46"/>
  <c r="AE90" i="46" s="1"/>
  <c r="V90" i="46"/>
  <c r="Y90" i="46"/>
  <c r="AF90" i="46"/>
  <c r="AG90" i="46" s="1"/>
  <c r="AK90" i="46"/>
  <c r="AM90" i="46"/>
  <c r="T91" i="46"/>
  <c r="AH91" i="46" s="1"/>
  <c r="AI91" i="46" s="1"/>
  <c r="V91" i="46"/>
  <c r="Y91" i="46"/>
  <c r="AD91" i="46"/>
  <c r="AE91" i="46"/>
  <c r="AF91" i="46"/>
  <c r="AG91" i="46" s="1"/>
  <c r="AK91" i="46"/>
  <c r="AM91" i="46"/>
  <c r="T92" i="46"/>
  <c r="AD92" i="46" s="1"/>
  <c r="V92" i="46"/>
  <c r="Y92" i="46"/>
  <c r="AF92" i="46"/>
  <c r="AG92" i="46" s="1"/>
  <c r="AK92" i="46"/>
  <c r="T93" i="46"/>
  <c r="AE93" i="46" s="1"/>
  <c r="V93" i="46"/>
  <c r="Y93" i="46"/>
  <c r="AD93" i="46"/>
  <c r="AF93" i="46"/>
  <c r="AG93" i="46" s="1"/>
  <c r="AK93" i="46"/>
  <c r="T94" i="46"/>
  <c r="AE94" i="46" s="1"/>
  <c r="V94" i="46"/>
  <c r="Y94" i="46"/>
  <c r="AF94" i="46"/>
  <c r="AG94" i="46" s="1"/>
  <c r="AK94" i="46"/>
  <c r="AM94" i="46"/>
  <c r="T95" i="46"/>
  <c r="AH95" i="46" s="1"/>
  <c r="AI95" i="46" s="1"/>
  <c r="V95" i="46"/>
  <c r="Y95" i="46"/>
  <c r="AF95" i="46"/>
  <c r="AG95" i="46" s="1"/>
  <c r="AK95" i="46"/>
  <c r="AM95" i="46"/>
  <c r="T96" i="46"/>
  <c r="AH96" i="46" s="1"/>
  <c r="AI96" i="46" s="1"/>
  <c r="V96" i="46"/>
  <c r="Y96" i="46"/>
  <c r="AF96" i="46"/>
  <c r="AG96" i="46" s="1"/>
  <c r="AK96" i="46"/>
  <c r="T97" i="46"/>
  <c r="V97" i="46"/>
  <c r="Y97" i="46"/>
  <c r="AF97" i="46"/>
  <c r="AG97" i="46" s="1"/>
  <c r="AK97" i="46"/>
  <c r="AM97" i="46"/>
  <c r="T98" i="46"/>
  <c r="AD98" i="46" s="1"/>
  <c r="V98" i="46"/>
  <c r="Y98" i="46"/>
  <c r="AF98" i="46"/>
  <c r="AG98" i="46" s="1"/>
  <c r="AK98" i="46"/>
  <c r="AM98" i="46"/>
  <c r="T99" i="46"/>
  <c r="AE99" i="46" s="1"/>
  <c r="V99" i="46"/>
  <c r="Y99" i="46"/>
  <c r="AF99" i="46"/>
  <c r="AG99" i="46" s="1"/>
  <c r="AK99" i="46"/>
  <c r="AM99" i="46"/>
  <c r="T100" i="46"/>
  <c r="AD100" i="46" s="1"/>
  <c r="V100" i="46"/>
  <c r="Y100" i="46"/>
  <c r="AF100" i="46"/>
  <c r="AG100" i="46" s="1"/>
  <c r="AK100" i="46"/>
  <c r="AM100" i="46"/>
  <c r="T101" i="46"/>
  <c r="AD101" i="46" s="1"/>
  <c r="V101" i="46"/>
  <c r="Y101" i="46"/>
  <c r="AF101" i="46"/>
  <c r="AG101" i="46" s="1"/>
  <c r="AK101" i="46"/>
  <c r="AM101" i="46"/>
  <c r="T102" i="46"/>
  <c r="AE102" i="46" s="1"/>
  <c r="V102" i="46"/>
  <c r="Y102" i="46"/>
  <c r="AF102" i="46"/>
  <c r="AG102" i="46" s="1"/>
  <c r="AK102" i="46"/>
  <c r="AM102" i="46"/>
  <c r="T103" i="46"/>
  <c r="AM103" i="46" s="1"/>
  <c r="V103" i="46"/>
  <c r="Y103" i="46"/>
  <c r="AD103" i="46"/>
  <c r="AE103" i="46"/>
  <c r="AF103" i="46"/>
  <c r="AG103" i="46" s="1"/>
  <c r="AH103" i="46"/>
  <c r="AI103" i="46" s="1"/>
  <c r="AK103" i="46"/>
  <c r="T104" i="46"/>
  <c r="AD104" i="46" s="1"/>
  <c r="V104" i="46"/>
  <c r="Y104" i="46"/>
  <c r="AF104" i="46"/>
  <c r="AG104" i="46" s="1"/>
  <c r="AK104" i="46"/>
  <c r="T105" i="46"/>
  <c r="AE105" i="46" s="1"/>
  <c r="V105" i="46"/>
  <c r="Y105" i="46"/>
  <c r="AF105" i="46"/>
  <c r="AG105" i="46" s="1"/>
  <c r="AK105" i="46"/>
  <c r="T106" i="46"/>
  <c r="AE106" i="46" s="1"/>
  <c r="V106" i="46"/>
  <c r="Y106" i="46"/>
  <c r="AF106" i="46"/>
  <c r="AG106" i="46" s="1"/>
  <c r="AK106" i="46"/>
  <c r="T107" i="46"/>
  <c r="AH107" i="46" s="1"/>
  <c r="AI107" i="46" s="1"/>
  <c r="V107" i="46"/>
  <c r="Y107" i="46"/>
  <c r="AF107" i="46"/>
  <c r="AG107" i="46" s="1"/>
  <c r="AK107" i="46"/>
  <c r="AM107" i="46"/>
  <c r="T108" i="46"/>
  <c r="AH108" i="46" s="1"/>
  <c r="AI108" i="46" s="1"/>
  <c r="V108" i="46"/>
  <c r="Y108" i="46"/>
  <c r="AF108" i="46"/>
  <c r="AG108" i="46" s="1"/>
  <c r="AK108" i="46"/>
  <c r="AM108" i="46"/>
  <c r="T109" i="46"/>
  <c r="AM109" i="46" s="1"/>
  <c r="V109" i="46"/>
  <c r="Y109" i="46"/>
  <c r="AF109" i="46"/>
  <c r="AG109" i="46" s="1"/>
  <c r="AK109" i="46"/>
  <c r="T110" i="46"/>
  <c r="AD110" i="46" s="1"/>
  <c r="V110" i="46"/>
  <c r="Y110" i="46"/>
  <c r="AF110" i="46"/>
  <c r="AG110" i="46" s="1"/>
  <c r="AK110" i="46"/>
  <c r="AM110" i="46"/>
  <c r="T111" i="46"/>
  <c r="AE111" i="46" s="1"/>
  <c r="V111" i="46"/>
  <c r="Y111" i="46"/>
  <c r="AF111" i="46"/>
  <c r="AG111" i="46" s="1"/>
  <c r="AK111" i="46"/>
  <c r="AM111" i="46"/>
  <c r="T112" i="46"/>
  <c r="AE112" i="46" s="1"/>
  <c r="V112" i="46"/>
  <c r="Y112" i="46"/>
  <c r="AF112" i="46"/>
  <c r="AG112" i="46" s="1"/>
  <c r="AK112" i="46"/>
  <c r="T113" i="46"/>
  <c r="AD113" i="46" s="1"/>
  <c r="V113" i="46"/>
  <c r="Y113" i="46"/>
  <c r="AF113" i="46"/>
  <c r="AG113" i="46" s="1"/>
  <c r="AK113" i="46"/>
  <c r="T114" i="46"/>
  <c r="AE114" i="46" s="1"/>
  <c r="V114" i="46"/>
  <c r="Y114" i="46"/>
  <c r="AF114" i="46"/>
  <c r="AG114" i="46" s="1"/>
  <c r="AK114" i="46"/>
  <c r="AM114" i="46"/>
  <c r="T115" i="46"/>
  <c r="AD115" i="46" s="1"/>
  <c r="V115" i="46"/>
  <c r="Y115" i="46"/>
  <c r="AF115" i="46"/>
  <c r="AG115" i="46" s="1"/>
  <c r="AK115" i="46"/>
  <c r="AM115" i="46"/>
  <c r="T116" i="46"/>
  <c r="AD116" i="46" s="1"/>
  <c r="V116" i="46"/>
  <c r="Y116" i="46"/>
  <c r="AF116" i="46"/>
  <c r="AG116" i="46" s="1"/>
  <c r="AK116" i="46"/>
  <c r="AM116" i="46"/>
  <c r="T117" i="46"/>
  <c r="AE117" i="46" s="1"/>
  <c r="V117" i="46"/>
  <c r="Y117" i="46"/>
  <c r="AF117" i="46"/>
  <c r="AG117" i="46" s="1"/>
  <c r="AK117" i="46"/>
  <c r="T118" i="46"/>
  <c r="AD118" i="46" s="1"/>
  <c r="V118" i="46"/>
  <c r="Y118" i="46"/>
  <c r="AF118" i="46"/>
  <c r="AG118" i="46" s="1"/>
  <c r="AK118" i="46"/>
  <c r="T119" i="46"/>
  <c r="AH119" i="46" s="1"/>
  <c r="AI119" i="46" s="1"/>
  <c r="V119" i="46"/>
  <c r="Y119" i="46"/>
  <c r="AF119" i="46"/>
  <c r="AG119" i="46" s="1"/>
  <c r="AK119" i="46"/>
  <c r="AM119" i="46"/>
  <c r="T120" i="46"/>
  <c r="AE120" i="46" s="1"/>
  <c r="V120" i="46"/>
  <c r="Y120" i="46"/>
  <c r="AF120" i="46"/>
  <c r="AG120" i="46" s="1"/>
  <c r="AK120" i="46"/>
  <c r="AM120" i="46"/>
  <c r="T121" i="46"/>
  <c r="V121" i="46"/>
  <c r="Y121" i="46"/>
  <c r="AF121" i="46"/>
  <c r="AG121" i="46" s="1"/>
  <c r="AK121" i="46"/>
  <c r="AM121" i="46"/>
  <c r="T122" i="46"/>
  <c r="AD122" i="46" s="1"/>
  <c r="V122" i="46"/>
  <c r="Y122" i="46"/>
  <c r="AF122" i="46"/>
  <c r="AG122" i="46" s="1"/>
  <c r="AK122" i="46"/>
  <c r="AM122" i="46"/>
  <c r="T123" i="46"/>
  <c r="AE123" i="46" s="1"/>
  <c r="V123" i="46"/>
  <c r="Y123" i="46"/>
  <c r="AF123" i="46"/>
  <c r="AG123" i="46" s="1"/>
  <c r="AK123" i="46"/>
  <c r="AM123" i="46"/>
  <c r="T124" i="46"/>
  <c r="AD124" i="46" s="1"/>
  <c r="V124" i="46"/>
  <c r="Y124" i="46"/>
  <c r="AF124" i="46"/>
  <c r="AG124" i="46" s="1"/>
  <c r="AK124" i="46"/>
  <c r="AM124" i="46"/>
  <c r="T125" i="46"/>
  <c r="AD125" i="46" s="1"/>
  <c r="V125" i="46"/>
  <c r="Y125" i="46"/>
  <c r="AF125" i="46"/>
  <c r="AG125" i="46" s="1"/>
  <c r="AK125" i="46"/>
  <c r="T126" i="46"/>
  <c r="AE126" i="46" s="1"/>
  <c r="V126" i="46"/>
  <c r="Y126" i="46"/>
  <c r="AF126" i="46"/>
  <c r="AG126" i="46" s="1"/>
  <c r="AK126" i="46"/>
  <c r="AM126" i="46"/>
  <c r="T127" i="46"/>
  <c r="AE127" i="46" s="1"/>
  <c r="V127" i="46"/>
  <c r="Y127" i="46"/>
  <c r="AF127" i="46"/>
  <c r="AG127" i="46" s="1"/>
  <c r="AK127" i="46"/>
  <c r="AM127" i="46"/>
  <c r="T128" i="46"/>
  <c r="V128" i="46"/>
  <c r="Y128" i="46"/>
  <c r="AF128" i="46"/>
  <c r="AG128" i="46" s="1"/>
  <c r="AK128" i="46"/>
  <c r="AM128" i="46"/>
  <c r="T129" i="46"/>
  <c r="AE129" i="46" s="1"/>
  <c r="V129" i="46"/>
  <c r="Y129" i="46"/>
  <c r="AD129" i="46"/>
  <c r="AF129" i="46"/>
  <c r="AG129" i="46"/>
  <c r="AK129" i="46"/>
  <c r="AM129" i="46"/>
  <c r="T130" i="46"/>
  <c r="AE130" i="46" s="1"/>
  <c r="V130" i="46"/>
  <c r="Y130" i="46"/>
  <c r="AF130" i="46"/>
  <c r="AG130" i="46" s="1"/>
  <c r="AK130" i="46"/>
  <c r="AM130" i="46"/>
  <c r="T131" i="46"/>
  <c r="AH131" i="46" s="1"/>
  <c r="AI131" i="46" s="1"/>
  <c r="V131" i="46"/>
  <c r="Y131" i="46"/>
  <c r="AD131" i="46"/>
  <c r="AF131" i="46"/>
  <c r="AG131" i="46" s="1"/>
  <c r="AK131" i="46"/>
  <c r="AM131" i="46"/>
  <c r="T132" i="46"/>
  <c r="AE132" i="46" s="1"/>
  <c r="V132" i="46"/>
  <c r="Y132" i="46"/>
  <c r="AF132" i="46"/>
  <c r="AG132" i="46" s="1"/>
  <c r="AK132" i="46"/>
  <c r="AM132" i="46"/>
  <c r="T133" i="46"/>
  <c r="AD133" i="46" s="1"/>
  <c r="V133" i="46"/>
  <c r="Y133" i="46"/>
  <c r="AF133" i="46"/>
  <c r="AG133" i="46" s="1"/>
  <c r="AK133" i="46"/>
  <c r="AM133" i="46"/>
  <c r="T134" i="46"/>
  <c r="V134" i="46"/>
  <c r="Y134" i="46"/>
  <c r="AF134" i="46"/>
  <c r="AG134" i="46" s="1"/>
  <c r="AK134" i="46"/>
  <c r="AM134" i="46"/>
  <c r="T135" i="46"/>
  <c r="AE135" i="46" s="1"/>
  <c r="V135" i="46"/>
  <c r="Y135" i="46"/>
  <c r="AF135" i="46"/>
  <c r="AG135" i="46" s="1"/>
  <c r="AK135" i="46"/>
  <c r="T136" i="46"/>
  <c r="AD136" i="46" s="1"/>
  <c r="V136" i="46"/>
  <c r="Y136" i="46"/>
  <c r="AF136" i="46"/>
  <c r="AG136" i="46" s="1"/>
  <c r="AK136" i="46"/>
  <c r="AM136" i="46"/>
  <c r="T137" i="46"/>
  <c r="V137" i="46"/>
  <c r="Y137" i="46"/>
  <c r="AF137" i="46"/>
  <c r="AG137" i="46" s="1"/>
  <c r="AK137" i="46"/>
  <c r="AM137" i="46"/>
  <c r="T138" i="46"/>
  <c r="AD138" i="46" s="1"/>
  <c r="V138" i="46"/>
  <c r="Y138" i="46"/>
  <c r="AF138" i="46"/>
  <c r="AG138" i="46" s="1"/>
  <c r="AK138" i="46"/>
  <c r="T139" i="46"/>
  <c r="AE139" i="46" s="1"/>
  <c r="V139" i="46"/>
  <c r="Y139" i="46"/>
  <c r="AF139" i="46"/>
  <c r="AG139" i="46" s="1"/>
  <c r="AK139" i="46"/>
  <c r="AM139" i="46"/>
  <c r="T140" i="46"/>
  <c r="AH140" i="46" s="1"/>
  <c r="AI140" i="46" s="1"/>
  <c r="V140" i="46"/>
  <c r="Y140" i="46"/>
  <c r="AF140" i="46"/>
  <c r="AG140" i="46" s="1"/>
  <c r="AK140" i="46"/>
  <c r="AM140" i="46"/>
  <c r="T141" i="46"/>
  <c r="AE141" i="46" s="1"/>
  <c r="V141" i="46"/>
  <c r="Y141" i="46"/>
  <c r="AF141" i="46"/>
  <c r="AG141" i="46" s="1"/>
  <c r="AK141" i="46"/>
  <c r="AM141" i="46"/>
  <c r="T142" i="46"/>
  <c r="AD142" i="46" s="1"/>
  <c r="V142" i="46"/>
  <c r="Y142" i="46"/>
  <c r="AF142" i="46"/>
  <c r="AG142" i="46" s="1"/>
  <c r="AK142" i="46"/>
  <c r="AM142" i="46"/>
  <c r="T143" i="46"/>
  <c r="AD143" i="46" s="1"/>
  <c r="V143" i="46"/>
  <c r="Y143" i="46"/>
  <c r="AF143" i="46"/>
  <c r="AG143" i="46" s="1"/>
  <c r="AK143" i="46"/>
  <c r="AM143" i="46"/>
  <c r="T144" i="46"/>
  <c r="AD144" i="46" s="1"/>
  <c r="V144" i="46"/>
  <c r="Y144" i="46"/>
  <c r="AF144" i="46"/>
  <c r="AG144" i="46" s="1"/>
  <c r="AK144" i="46"/>
  <c r="AM144" i="46"/>
  <c r="T145" i="46"/>
  <c r="AD145" i="46" s="1"/>
  <c r="V145" i="46"/>
  <c r="Y145" i="46"/>
  <c r="AF145" i="46"/>
  <c r="AG145" i="46" s="1"/>
  <c r="AK145" i="46"/>
  <c r="T146" i="46"/>
  <c r="AE146" i="46" s="1"/>
  <c r="V146" i="46"/>
  <c r="Y146" i="46"/>
  <c r="AF146" i="46"/>
  <c r="AG146" i="46" s="1"/>
  <c r="AK146" i="46"/>
  <c r="AM146" i="46"/>
  <c r="T147" i="46"/>
  <c r="V147" i="46"/>
  <c r="Y147" i="46"/>
  <c r="AF147" i="46"/>
  <c r="AG147" i="46" s="1"/>
  <c r="AK147" i="46"/>
  <c r="AM147" i="46"/>
  <c r="T148" i="46"/>
  <c r="AD148" i="46" s="1"/>
  <c r="V148" i="46"/>
  <c r="Y148" i="46"/>
  <c r="AF148" i="46"/>
  <c r="AG148" i="46" s="1"/>
  <c r="AK148" i="46"/>
  <c r="AM148" i="46"/>
  <c r="T149" i="46"/>
  <c r="AD149" i="46" s="1"/>
  <c r="V149" i="46"/>
  <c r="Y149" i="46"/>
  <c r="AF149" i="46"/>
  <c r="AG149" i="46" s="1"/>
  <c r="AK149" i="46"/>
  <c r="AM149" i="46"/>
  <c r="T150" i="46"/>
  <c r="AE150" i="46" s="1"/>
  <c r="V150" i="46"/>
  <c r="Y150" i="46"/>
  <c r="AF150" i="46"/>
  <c r="AG150" i="46" s="1"/>
  <c r="AK150" i="46"/>
  <c r="AM150" i="46"/>
  <c r="T151" i="46"/>
  <c r="AD151" i="46" s="1"/>
  <c r="V151" i="46"/>
  <c r="Y151" i="46"/>
  <c r="AF151" i="46"/>
  <c r="AG151" i="46" s="1"/>
  <c r="AK151" i="46"/>
  <c r="AM151" i="46"/>
  <c r="T152" i="46"/>
  <c r="AD152" i="46" s="1"/>
  <c r="V152" i="46"/>
  <c r="Y152" i="46"/>
  <c r="AF152" i="46"/>
  <c r="AG152" i="46" s="1"/>
  <c r="AK152" i="46"/>
  <c r="AM152" i="46"/>
  <c r="T153" i="46"/>
  <c r="AD153" i="46" s="1"/>
  <c r="V153" i="46"/>
  <c r="Y153" i="46"/>
  <c r="AF153" i="46"/>
  <c r="AG153" i="46" s="1"/>
  <c r="AK153" i="46"/>
  <c r="T154" i="46"/>
  <c r="AD154" i="46" s="1"/>
  <c r="V154" i="46"/>
  <c r="Y154" i="46"/>
  <c r="AF154" i="46"/>
  <c r="AG154" i="46" s="1"/>
  <c r="AK154" i="46"/>
  <c r="T155" i="46"/>
  <c r="AD155" i="46" s="1"/>
  <c r="V155" i="46"/>
  <c r="Y155" i="46"/>
  <c r="AF155" i="46"/>
  <c r="AG155" i="46" s="1"/>
  <c r="AK155" i="46"/>
  <c r="AM155" i="46"/>
  <c r="T156" i="46"/>
  <c r="AD156" i="46" s="1"/>
  <c r="V156" i="46"/>
  <c r="Y156" i="46"/>
  <c r="AF156" i="46"/>
  <c r="AG156" i="46" s="1"/>
  <c r="AK156" i="46"/>
  <c r="AM156" i="46"/>
  <c r="T157" i="46"/>
  <c r="AE157" i="46" s="1"/>
  <c r="V157" i="46"/>
  <c r="Y157" i="46"/>
  <c r="AD157" i="46"/>
  <c r="AF157" i="46"/>
  <c r="AG157" i="46" s="1"/>
  <c r="AK157" i="46"/>
  <c r="AM157" i="46"/>
  <c r="T158" i="46"/>
  <c r="AE158" i="46" s="1"/>
  <c r="V158" i="46"/>
  <c r="Y158" i="46"/>
  <c r="AF158" i="46"/>
  <c r="AG158" i="46" s="1"/>
  <c r="AK158" i="46"/>
  <c r="T159" i="46"/>
  <c r="V159" i="46"/>
  <c r="Y159" i="46"/>
  <c r="AF159" i="46"/>
  <c r="AG159" i="46" s="1"/>
  <c r="AK159" i="46"/>
  <c r="AM159" i="46"/>
  <c r="T160" i="46"/>
  <c r="AD160" i="46" s="1"/>
  <c r="V160" i="46"/>
  <c r="Y160" i="46"/>
  <c r="AF160" i="46"/>
  <c r="AG160" i="46" s="1"/>
  <c r="AK160" i="46"/>
  <c r="AM160" i="46"/>
  <c r="T161" i="46"/>
  <c r="AH161" i="46" s="1"/>
  <c r="AI161" i="46" s="1"/>
  <c r="V161" i="46"/>
  <c r="Y161" i="46"/>
  <c r="AD161" i="46"/>
  <c r="AF161" i="46"/>
  <c r="AG161" i="46" s="1"/>
  <c r="AK161" i="46"/>
  <c r="AM161" i="46"/>
  <c r="T162" i="46"/>
  <c r="AE162" i="46" s="1"/>
  <c r="V162" i="46"/>
  <c r="Y162" i="46"/>
  <c r="AF162" i="46"/>
  <c r="AG162" i="46" s="1"/>
  <c r="AK162" i="46"/>
  <c r="AM162" i="46"/>
  <c r="T163" i="46"/>
  <c r="AD163" i="46" s="1"/>
  <c r="V163" i="46"/>
  <c r="Y163" i="46"/>
  <c r="AF163" i="46"/>
  <c r="AG163" i="46" s="1"/>
  <c r="AK163" i="46"/>
  <c r="T164" i="46"/>
  <c r="AM164" i="46" s="1"/>
  <c r="V164" i="46"/>
  <c r="Y164" i="46"/>
  <c r="AF164" i="46"/>
  <c r="AG164" i="46" s="1"/>
  <c r="AK164" i="46"/>
  <c r="T165" i="46"/>
  <c r="AD165" i="46" s="1"/>
  <c r="V165" i="46"/>
  <c r="Y165" i="46"/>
  <c r="AF165" i="46"/>
  <c r="AG165" i="46" s="1"/>
  <c r="AK165" i="46"/>
  <c r="AM165" i="46"/>
  <c r="T166" i="46"/>
  <c r="AD166" i="46" s="1"/>
  <c r="V166" i="46"/>
  <c r="Y166" i="46"/>
  <c r="AF166" i="46"/>
  <c r="AG166" i="46" s="1"/>
  <c r="AK166" i="46"/>
  <c r="AM166" i="46"/>
  <c r="T167" i="46"/>
  <c r="V167" i="46"/>
  <c r="Y167" i="46"/>
  <c r="AF167" i="46"/>
  <c r="AG167" i="46" s="1"/>
  <c r="AK167" i="46"/>
  <c r="AM167" i="46"/>
  <c r="T168" i="46"/>
  <c r="AD168" i="46" s="1"/>
  <c r="V168" i="46"/>
  <c r="Y168" i="46"/>
  <c r="AF168" i="46"/>
  <c r="AG168" i="46" s="1"/>
  <c r="AK168" i="46"/>
  <c r="AM168" i="46"/>
  <c r="T169" i="46"/>
  <c r="AD169" i="46" s="1"/>
  <c r="V169" i="46"/>
  <c r="Y169" i="46"/>
  <c r="AF169" i="46"/>
  <c r="AG169" i="46" s="1"/>
  <c r="AK169" i="46"/>
  <c r="AM169" i="46"/>
  <c r="T170" i="46"/>
  <c r="AE170" i="46" s="1"/>
  <c r="V170" i="46"/>
  <c r="Y170" i="46"/>
  <c r="AF170" i="46"/>
  <c r="AG170" i="46" s="1"/>
  <c r="AK170" i="46"/>
  <c r="T171" i="46"/>
  <c r="V171" i="46"/>
  <c r="Y171" i="46"/>
  <c r="AF171" i="46"/>
  <c r="AG171" i="46" s="1"/>
  <c r="AK171" i="46"/>
  <c r="AM171" i="46"/>
  <c r="T172" i="46"/>
  <c r="AD172" i="46" s="1"/>
  <c r="V172" i="46"/>
  <c r="Y172" i="46"/>
  <c r="AF172" i="46"/>
  <c r="AG172" i="46" s="1"/>
  <c r="AK172" i="46"/>
  <c r="AM172" i="46"/>
  <c r="T173" i="46"/>
  <c r="AD173" i="46" s="1"/>
  <c r="V173" i="46"/>
  <c r="Y173" i="46"/>
  <c r="AF173" i="46"/>
  <c r="AG173" i="46" s="1"/>
  <c r="AK173" i="46"/>
  <c r="T174" i="46"/>
  <c r="AE174" i="46" s="1"/>
  <c r="V174" i="46"/>
  <c r="Y174" i="46"/>
  <c r="AF174" i="46"/>
  <c r="AG174" i="46" s="1"/>
  <c r="AK174" i="46"/>
  <c r="T175" i="46"/>
  <c r="AD175" i="46" s="1"/>
  <c r="V175" i="46"/>
  <c r="Y175" i="46"/>
  <c r="AF175" i="46"/>
  <c r="AG175" i="46" s="1"/>
  <c r="AK175" i="46"/>
  <c r="AM175" i="46"/>
  <c r="T176" i="46"/>
  <c r="AE176" i="46" s="1"/>
  <c r="V176" i="46"/>
  <c r="Y176" i="46"/>
  <c r="AF176" i="46"/>
  <c r="AG176" i="46" s="1"/>
  <c r="AK176" i="46"/>
  <c r="AM176" i="46"/>
  <c r="T177" i="46"/>
  <c r="AD177" i="46" s="1"/>
  <c r="V177" i="46"/>
  <c r="Y177" i="46"/>
  <c r="AF177" i="46"/>
  <c r="AG177" i="46" s="1"/>
  <c r="AK177" i="46"/>
  <c r="AM177" i="46"/>
  <c r="T178" i="46"/>
  <c r="AD178" i="46" s="1"/>
  <c r="V178" i="46"/>
  <c r="Y178" i="46"/>
  <c r="AF178" i="46"/>
  <c r="AG178" i="46" s="1"/>
  <c r="AK178" i="46"/>
  <c r="AM178" i="46"/>
  <c r="T179" i="46"/>
  <c r="V179" i="46"/>
  <c r="Y179" i="46"/>
  <c r="AF179" i="46"/>
  <c r="AG179" i="46" s="1"/>
  <c r="AK179" i="46"/>
  <c r="AM179" i="46"/>
  <c r="T180" i="46"/>
  <c r="AD180" i="46" s="1"/>
  <c r="V180" i="46"/>
  <c r="Y180" i="46"/>
  <c r="AF180" i="46"/>
  <c r="AG180" i="46" s="1"/>
  <c r="AK180" i="46"/>
  <c r="AM180" i="46"/>
  <c r="T181" i="46"/>
  <c r="AH181" i="46" s="1"/>
  <c r="AI181" i="46" s="1"/>
  <c r="V181" i="46"/>
  <c r="Y181" i="46"/>
  <c r="AF181" i="46"/>
  <c r="AG181" i="46" s="1"/>
  <c r="AK181" i="46"/>
  <c r="T182" i="46"/>
  <c r="AH182" i="46" s="1"/>
  <c r="AI182" i="46" s="1"/>
  <c r="V182" i="46"/>
  <c r="Y182" i="46"/>
  <c r="AF182" i="46"/>
  <c r="AG182" i="46" s="1"/>
  <c r="AK182" i="46"/>
  <c r="AM182" i="46"/>
  <c r="T183" i="46"/>
  <c r="AD183" i="46" s="1"/>
  <c r="V183" i="46"/>
  <c r="Y183" i="46"/>
  <c r="AF183" i="46"/>
  <c r="AG183" i="46" s="1"/>
  <c r="AK183" i="46"/>
  <c r="AM183" i="46"/>
  <c r="T184" i="46"/>
  <c r="AE184" i="46" s="1"/>
  <c r="V184" i="46"/>
  <c r="Y184" i="46"/>
  <c r="AF184" i="46"/>
  <c r="AG184" i="46" s="1"/>
  <c r="AK184" i="46"/>
  <c r="AM184" i="46"/>
  <c r="T185" i="46"/>
  <c r="AE185" i="46" s="1"/>
  <c r="V185" i="46"/>
  <c r="Y185" i="46"/>
  <c r="AF185" i="46"/>
  <c r="AG185" i="46" s="1"/>
  <c r="AK185" i="46"/>
  <c r="AM185" i="46"/>
  <c r="T186" i="46"/>
  <c r="AH186" i="46" s="1"/>
  <c r="AI186" i="46" s="1"/>
  <c r="V186" i="46"/>
  <c r="Y186" i="46"/>
  <c r="AF186" i="46"/>
  <c r="AG186" i="46" s="1"/>
  <c r="AK186" i="46"/>
  <c r="AM186" i="46"/>
  <c r="T187" i="46"/>
  <c r="AH187" i="46" s="1"/>
  <c r="AI187" i="46" s="1"/>
  <c r="V187" i="46"/>
  <c r="Y187" i="46"/>
  <c r="AF187" i="46"/>
  <c r="AG187" i="46" s="1"/>
  <c r="AK187" i="46"/>
  <c r="T188" i="46"/>
  <c r="AD188" i="46" s="1"/>
  <c r="V188" i="46"/>
  <c r="Y188" i="46"/>
  <c r="AF188" i="46"/>
  <c r="AG188" i="46" s="1"/>
  <c r="AK188" i="46"/>
  <c r="AM188" i="46"/>
  <c r="T189" i="46"/>
  <c r="AE189" i="46" s="1"/>
  <c r="V189" i="46"/>
  <c r="Y189" i="46"/>
  <c r="AF189" i="46"/>
  <c r="AG189" i="46" s="1"/>
  <c r="AK189" i="46"/>
  <c r="AM189" i="46"/>
  <c r="T190" i="46"/>
  <c r="AD190" i="46" s="1"/>
  <c r="V190" i="46"/>
  <c r="Y190" i="46"/>
  <c r="AF190" i="46"/>
  <c r="AG190" i="46" s="1"/>
  <c r="AH190" i="46"/>
  <c r="AI190" i="46" s="1"/>
  <c r="AK190" i="46"/>
  <c r="AM190" i="46"/>
  <c r="T191" i="46"/>
  <c r="AD191" i="46" s="1"/>
  <c r="V191" i="46"/>
  <c r="Y191" i="46"/>
  <c r="AF191" i="46"/>
  <c r="AG191" i="46" s="1"/>
  <c r="AK191" i="46"/>
  <c r="AM191" i="46"/>
  <c r="T192" i="46"/>
  <c r="AH192" i="46" s="1"/>
  <c r="AI192" i="46" s="1"/>
  <c r="V192" i="46"/>
  <c r="Y192" i="46"/>
  <c r="AE192" i="46"/>
  <c r="AF192" i="46"/>
  <c r="AG192" i="46" s="1"/>
  <c r="AK192" i="46"/>
  <c r="AM192" i="46"/>
  <c r="T193" i="46"/>
  <c r="AE193" i="46" s="1"/>
  <c r="V193" i="46"/>
  <c r="Y193" i="46"/>
  <c r="AF193" i="46"/>
  <c r="AG193" i="46" s="1"/>
  <c r="AK193" i="46"/>
  <c r="AM193" i="46"/>
  <c r="T194" i="46"/>
  <c r="AH194" i="46" s="1"/>
  <c r="AI194" i="46" s="1"/>
  <c r="V194" i="46"/>
  <c r="Y194" i="46"/>
  <c r="AF194" i="46"/>
  <c r="AG194" i="46" s="1"/>
  <c r="AK194" i="46"/>
  <c r="AM194" i="46"/>
  <c r="T195" i="46"/>
  <c r="AH195" i="46" s="1"/>
  <c r="AI195" i="46" s="1"/>
  <c r="V195" i="46"/>
  <c r="Y195" i="46"/>
  <c r="AF195" i="46"/>
  <c r="AG195" i="46" s="1"/>
  <c r="AK195" i="46"/>
  <c r="AM195" i="46"/>
  <c r="T196" i="46"/>
  <c r="AD196" i="46" s="1"/>
  <c r="V196" i="46"/>
  <c r="Y196" i="46"/>
  <c r="AF196" i="46"/>
  <c r="AG196" i="46" s="1"/>
  <c r="AK196" i="46"/>
  <c r="AM196" i="46"/>
  <c r="T197" i="46"/>
  <c r="AE197" i="46" s="1"/>
  <c r="V197" i="46"/>
  <c r="Y197" i="46"/>
  <c r="AF197" i="46"/>
  <c r="AG197" i="46" s="1"/>
  <c r="AK197" i="46"/>
  <c r="T198" i="46"/>
  <c r="AH198" i="46" s="1"/>
  <c r="AI198" i="46" s="1"/>
  <c r="V198" i="46"/>
  <c r="Y198" i="46"/>
  <c r="AF198" i="46"/>
  <c r="AG198" i="46" s="1"/>
  <c r="AK198" i="46"/>
  <c r="AM198" i="46"/>
  <c r="T199" i="46"/>
  <c r="AD199" i="46" s="1"/>
  <c r="V199" i="46"/>
  <c r="Y199" i="46"/>
  <c r="AF199" i="46"/>
  <c r="AG199" i="46" s="1"/>
  <c r="AK199" i="46"/>
  <c r="AM199" i="46"/>
  <c r="T200" i="46"/>
  <c r="AD200" i="46" s="1"/>
  <c r="V200" i="46"/>
  <c r="Y200" i="46"/>
  <c r="AF200" i="46"/>
  <c r="AG200" i="46" s="1"/>
  <c r="AK200" i="46"/>
  <c r="T201" i="46"/>
  <c r="AE201" i="46" s="1"/>
  <c r="V201" i="46"/>
  <c r="Y201" i="46"/>
  <c r="AF201" i="46"/>
  <c r="AG201" i="46" s="1"/>
  <c r="AK201" i="46"/>
  <c r="AM201" i="46"/>
  <c r="T202" i="46"/>
  <c r="AD202" i="46" s="1"/>
  <c r="V202" i="46"/>
  <c r="Y202" i="46"/>
  <c r="AF202" i="46"/>
  <c r="AG202" i="46"/>
  <c r="AK202" i="46"/>
  <c r="AM202" i="46"/>
  <c r="T203" i="46"/>
  <c r="AD203" i="46" s="1"/>
  <c r="V203" i="46"/>
  <c r="Y203" i="46"/>
  <c r="AF203" i="46"/>
  <c r="AG203" i="46" s="1"/>
  <c r="AK203" i="46"/>
  <c r="AM203" i="46"/>
  <c r="T204" i="46"/>
  <c r="AH204" i="46" s="1"/>
  <c r="AI204" i="46" s="1"/>
  <c r="V204" i="46"/>
  <c r="Y204" i="46"/>
  <c r="AF204" i="46"/>
  <c r="AG204" i="46" s="1"/>
  <c r="AK204" i="46"/>
  <c r="T205" i="46"/>
  <c r="AE205" i="46" s="1"/>
  <c r="V205" i="46"/>
  <c r="Y205" i="46"/>
  <c r="AF205" i="46"/>
  <c r="AG205" i="46" s="1"/>
  <c r="AH205" i="46"/>
  <c r="AI205" i="46" s="1"/>
  <c r="AK205" i="46"/>
  <c r="AM205" i="46"/>
  <c r="T206" i="46"/>
  <c r="AH206" i="46" s="1"/>
  <c r="AI206" i="46" s="1"/>
  <c r="V206" i="46"/>
  <c r="Y206" i="46"/>
  <c r="AF206" i="46"/>
  <c r="AG206" i="46" s="1"/>
  <c r="AK206" i="46"/>
  <c r="AM206" i="46"/>
  <c r="T207" i="46"/>
  <c r="AH207" i="46" s="1"/>
  <c r="AI207" i="46" s="1"/>
  <c r="V207" i="46"/>
  <c r="Y207" i="46"/>
  <c r="AF207" i="46"/>
  <c r="AG207" i="46" s="1"/>
  <c r="AK207" i="46"/>
  <c r="AM207" i="46"/>
  <c r="T208" i="46"/>
  <c r="AD208" i="46" s="1"/>
  <c r="V208" i="46"/>
  <c r="Y208" i="46"/>
  <c r="AE208" i="46"/>
  <c r="AF208" i="46"/>
  <c r="AG208" i="46" s="1"/>
  <c r="AK208" i="46"/>
  <c r="AM208" i="46"/>
  <c r="T25" i="45"/>
  <c r="AD25" i="45" s="1"/>
  <c r="V25" i="45"/>
  <c r="Y25" i="45"/>
  <c r="AF25" i="45"/>
  <c r="AG25" i="45" s="1"/>
  <c r="AK25" i="45"/>
  <c r="AM25" i="45"/>
  <c r="T26" i="45"/>
  <c r="AD26" i="45" s="1"/>
  <c r="V26" i="45"/>
  <c r="Y26" i="45"/>
  <c r="AF26" i="45"/>
  <c r="AG26" i="45" s="1"/>
  <c r="AK26" i="45"/>
  <c r="T27" i="45"/>
  <c r="AH27" i="45" s="1"/>
  <c r="AI27" i="45" s="1"/>
  <c r="V27" i="45"/>
  <c r="Y27" i="45"/>
  <c r="AF27" i="45"/>
  <c r="AG27" i="45" s="1"/>
  <c r="AK27" i="45"/>
  <c r="AM27" i="45"/>
  <c r="T28" i="45"/>
  <c r="AD28" i="45" s="1"/>
  <c r="V28" i="45"/>
  <c r="Y28" i="45"/>
  <c r="AF28" i="45"/>
  <c r="AG28" i="45" s="1"/>
  <c r="AK28" i="45"/>
  <c r="AM28" i="45"/>
  <c r="T29" i="45"/>
  <c r="AD29" i="45" s="1"/>
  <c r="V29" i="45"/>
  <c r="Y29" i="45"/>
  <c r="AE29" i="45"/>
  <c r="AF29" i="45"/>
  <c r="AG29" i="45" s="1"/>
  <c r="AK29" i="45"/>
  <c r="AM29" i="45"/>
  <c r="T30" i="45"/>
  <c r="AD30" i="45" s="1"/>
  <c r="V30" i="45"/>
  <c r="Y30" i="45"/>
  <c r="AF30" i="45"/>
  <c r="AG30" i="45" s="1"/>
  <c r="AH30" i="45"/>
  <c r="AI30" i="45" s="1"/>
  <c r="AK30" i="45"/>
  <c r="AM30" i="45"/>
  <c r="T31" i="45"/>
  <c r="AD31" i="45" s="1"/>
  <c r="V31" i="45"/>
  <c r="Y31" i="45"/>
  <c r="AF31" i="45"/>
  <c r="AG31" i="45" s="1"/>
  <c r="AH31" i="45"/>
  <c r="AI31" i="45" s="1"/>
  <c r="AK31" i="45"/>
  <c r="AM31" i="45"/>
  <c r="T32" i="45"/>
  <c r="AE32" i="45" s="1"/>
  <c r="V32" i="45"/>
  <c r="Y32" i="45"/>
  <c r="AD32" i="45"/>
  <c r="AF32" i="45"/>
  <c r="AG32" i="45" s="1"/>
  <c r="AH32" i="45"/>
  <c r="AI32" i="45" s="1"/>
  <c r="AK32" i="45"/>
  <c r="AM32" i="45"/>
  <c r="T33" i="45"/>
  <c r="AD33" i="45" s="1"/>
  <c r="V33" i="45"/>
  <c r="Y33" i="45"/>
  <c r="AF33" i="45"/>
  <c r="AG33" i="45" s="1"/>
  <c r="AK33" i="45"/>
  <c r="T34" i="45"/>
  <c r="AD34" i="45" s="1"/>
  <c r="V34" i="45"/>
  <c r="Y34" i="45"/>
  <c r="AF34" i="45"/>
  <c r="AG34" i="45" s="1"/>
  <c r="AK34" i="45"/>
  <c r="AM34" i="45"/>
  <c r="T35" i="45"/>
  <c r="AE35" i="45" s="1"/>
  <c r="V35" i="45"/>
  <c r="Y35" i="45"/>
  <c r="AD35" i="45"/>
  <c r="AF35" i="45"/>
  <c r="AG35" i="45" s="1"/>
  <c r="AK35" i="45"/>
  <c r="AM35" i="45"/>
  <c r="T36" i="45"/>
  <c r="AE36" i="45" s="1"/>
  <c r="V36" i="45"/>
  <c r="Y36" i="45"/>
  <c r="AF36" i="45"/>
  <c r="AG36" i="45" s="1"/>
  <c r="AK36" i="45"/>
  <c r="T37" i="45"/>
  <c r="AH37" i="45" s="1"/>
  <c r="AI37" i="45" s="1"/>
  <c r="V37" i="45"/>
  <c r="Y37" i="45"/>
  <c r="AD37" i="45"/>
  <c r="AF37" i="45"/>
  <c r="AG37" i="45" s="1"/>
  <c r="AK37" i="45"/>
  <c r="T38" i="45"/>
  <c r="AD38" i="45" s="1"/>
  <c r="V38" i="45"/>
  <c r="Y38" i="45"/>
  <c r="AF38" i="45"/>
  <c r="AG38" i="45" s="1"/>
  <c r="AK38" i="45"/>
  <c r="AM38" i="45"/>
  <c r="T39" i="45"/>
  <c r="AH39" i="45" s="1"/>
  <c r="AI39" i="45" s="1"/>
  <c r="V39" i="45"/>
  <c r="Y39" i="45"/>
  <c r="AF39" i="45"/>
  <c r="AG39" i="45" s="1"/>
  <c r="AK39" i="45"/>
  <c r="AM39" i="45"/>
  <c r="T40" i="45"/>
  <c r="AD40" i="45" s="1"/>
  <c r="V40" i="45"/>
  <c r="Y40" i="45"/>
  <c r="AF40" i="45"/>
  <c r="AG40" i="45" s="1"/>
  <c r="AK40" i="45"/>
  <c r="AM40" i="45"/>
  <c r="T41" i="45"/>
  <c r="AD41" i="45" s="1"/>
  <c r="V41" i="45"/>
  <c r="Y41" i="45"/>
  <c r="AF41" i="45"/>
  <c r="AG41" i="45" s="1"/>
  <c r="AH41" i="45"/>
  <c r="AI41" i="45" s="1"/>
  <c r="AK41" i="45"/>
  <c r="AM41" i="45"/>
  <c r="T42" i="45"/>
  <c r="AD42" i="45" s="1"/>
  <c r="V42" i="45"/>
  <c r="Y42" i="45"/>
  <c r="AF42" i="45"/>
  <c r="AG42" i="45" s="1"/>
  <c r="AK42" i="45"/>
  <c r="AM42" i="45"/>
  <c r="T43" i="45"/>
  <c r="AH43" i="45" s="1"/>
  <c r="AI43" i="45" s="1"/>
  <c r="V43" i="45"/>
  <c r="Y43" i="45"/>
  <c r="AD43" i="45"/>
  <c r="AE43" i="45"/>
  <c r="AF43" i="45"/>
  <c r="AG43" i="45" s="1"/>
  <c r="AK43" i="45"/>
  <c r="AM43" i="45"/>
  <c r="T44" i="45"/>
  <c r="AD44" i="45" s="1"/>
  <c r="V44" i="45"/>
  <c r="Y44" i="45"/>
  <c r="AF44" i="45"/>
  <c r="AG44" i="45" s="1"/>
  <c r="AH44" i="45"/>
  <c r="AI44" i="45" s="1"/>
  <c r="AK44" i="45"/>
  <c r="AM44" i="45"/>
  <c r="T45" i="45"/>
  <c r="AD45" i="45" s="1"/>
  <c r="V45" i="45"/>
  <c r="Y45" i="45"/>
  <c r="AF45" i="45"/>
  <c r="AG45" i="45" s="1"/>
  <c r="AK45" i="45"/>
  <c r="T46" i="45"/>
  <c r="AD46" i="45" s="1"/>
  <c r="V46" i="45"/>
  <c r="Y46" i="45"/>
  <c r="AF46" i="45"/>
  <c r="AG46" i="45" s="1"/>
  <c r="AK46" i="45"/>
  <c r="AM46" i="45"/>
  <c r="T47" i="45"/>
  <c r="AD47" i="45" s="1"/>
  <c r="V47" i="45"/>
  <c r="Y47" i="45"/>
  <c r="AF47" i="45"/>
  <c r="AG47" i="45" s="1"/>
  <c r="AH47" i="45"/>
  <c r="AI47" i="45" s="1"/>
  <c r="AK47" i="45"/>
  <c r="AM47" i="45"/>
  <c r="T48" i="45"/>
  <c r="AE48" i="45" s="1"/>
  <c r="V48" i="45"/>
  <c r="Y48" i="45"/>
  <c r="AF48" i="45"/>
  <c r="AG48" i="45" s="1"/>
  <c r="AK48" i="45"/>
  <c r="AM48" i="45"/>
  <c r="T49" i="45"/>
  <c r="AE49" i="45" s="1"/>
  <c r="V49" i="45"/>
  <c r="Y49" i="45"/>
  <c r="AD49" i="45"/>
  <c r="AF49" i="45"/>
  <c r="AG49" i="45" s="1"/>
  <c r="AK49" i="45"/>
  <c r="AM49" i="45"/>
  <c r="T50" i="45"/>
  <c r="AD50" i="45" s="1"/>
  <c r="V50" i="45"/>
  <c r="Y50" i="45"/>
  <c r="AF50" i="45"/>
  <c r="AG50" i="45" s="1"/>
  <c r="AK50" i="45"/>
  <c r="AM50" i="45"/>
  <c r="T51" i="45"/>
  <c r="AH51" i="45" s="1"/>
  <c r="AI51" i="45" s="1"/>
  <c r="V51" i="45"/>
  <c r="Y51" i="45"/>
  <c r="AF51" i="45"/>
  <c r="AG51" i="45" s="1"/>
  <c r="AK51" i="45"/>
  <c r="AM51" i="45"/>
  <c r="T52" i="45"/>
  <c r="AD52" i="45" s="1"/>
  <c r="V52" i="45"/>
  <c r="Y52" i="45"/>
  <c r="AF52" i="45"/>
  <c r="AG52" i="45"/>
  <c r="AK52" i="45"/>
  <c r="AM52" i="45"/>
  <c r="T53" i="45"/>
  <c r="AD53" i="45" s="1"/>
  <c r="V53" i="45"/>
  <c r="Y53" i="45"/>
  <c r="AE53" i="45"/>
  <c r="AF53" i="45"/>
  <c r="AG53" i="45"/>
  <c r="AH53" i="45"/>
  <c r="AI53" i="45" s="1"/>
  <c r="AK53" i="45"/>
  <c r="AM53" i="45"/>
  <c r="T54" i="45"/>
  <c r="AD54" i="45" s="1"/>
  <c r="V54" i="45"/>
  <c r="Y54" i="45"/>
  <c r="AF54" i="45"/>
  <c r="AG54" i="45" s="1"/>
  <c r="AH54" i="45"/>
  <c r="AI54" i="45"/>
  <c r="AK54" i="45"/>
  <c r="AM54" i="45"/>
  <c r="T55" i="45"/>
  <c r="AH55" i="45" s="1"/>
  <c r="AI55" i="45" s="1"/>
  <c r="AJ55" i="45" s="1"/>
  <c r="V55" i="45"/>
  <c r="Y55" i="45"/>
  <c r="AD55" i="45"/>
  <c r="AE55" i="45"/>
  <c r="AF55" i="45"/>
  <c r="AG55" i="45"/>
  <c r="AL55" i="45" s="1"/>
  <c r="AK55" i="45"/>
  <c r="AM55" i="45"/>
  <c r="T56" i="45"/>
  <c r="V56" i="45"/>
  <c r="Y56" i="45"/>
  <c r="AD56" i="45"/>
  <c r="AN56" i="45" s="1"/>
  <c r="AE56" i="45"/>
  <c r="AF56" i="45"/>
  <c r="AG56" i="45" s="1"/>
  <c r="AH56" i="45"/>
  <c r="AI56" i="45" s="1"/>
  <c r="AK56" i="45"/>
  <c r="AM56" i="45"/>
  <c r="T57" i="45"/>
  <c r="AD57" i="45" s="1"/>
  <c r="V57" i="45"/>
  <c r="Y57" i="45"/>
  <c r="AE57" i="45"/>
  <c r="AF57" i="45"/>
  <c r="AG57" i="45" s="1"/>
  <c r="AK57" i="45"/>
  <c r="AM57" i="45"/>
  <c r="T58" i="45"/>
  <c r="AD58" i="45" s="1"/>
  <c r="V58" i="45"/>
  <c r="Y58" i="45"/>
  <c r="AF58" i="45"/>
  <c r="AG58" i="45" s="1"/>
  <c r="AK58" i="45"/>
  <c r="AM58" i="45"/>
  <c r="T59" i="45"/>
  <c r="V59" i="45"/>
  <c r="Y59" i="45"/>
  <c r="AD59" i="45"/>
  <c r="AN59" i="45" s="1"/>
  <c r="AE59" i="45"/>
  <c r="AF59" i="45"/>
  <c r="AG59" i="45"/>
  <c r="AH59" i="45"/>
  <c r="AI59" i="45" s="1"/>
  <c r="AK59" i="45"/>
  <c r="AM59" i="45"/>
  <c r="T60" i="45"/>
  <c r="AE60" i="45" s="1"/>
  <c r="V60" i="45"/>
  <c r="Y60" i="45"/>
  <c r="AF60" i="45"/>
  <c r="AG60" i="45" s="1"/>
  <c r="AH60" i="45"/>
  <c r="AI60" i="45" s="1"/>
  <c r="AK60" i="45"/>
  <c r="AM60" i="45"/>
  <c r="T61" i="45"/>
  <c r="AH61" i="45" s="1"/>
  <c r="AI61" i="45" s="1"/>
  <c r="V61" i="45"/>
  <c r="Y61" i="45"/>
  <c r="AD61" i="45"/>
  <c r="AE61" i="45"/>
  <c r="AF61" i="45"/>
  <c r="AG61" i="45"/>
  <c r="AK61" i="45"/>
  <c r="AM61" i="45"/>
  <c r="T25" i="44"/>
  <c r="AD25" i="44" s="1"/>
  <c r="V25" i="44"/>
  <c r="Y25" i="44"/>
  <c r="AF25" i="44"/>
  <c r="AG25" i="44" s="1"/>
  <c r="AK25" i="44"/>
  <c r="AM25" i="44"/>
  <c r="T26" i="44"/>
  <c r="AH26" i="44" s="1"/>
  <c r="AI26" i="44" s="1"/>
  <c r="V26" i="44"/>
  <c r="Y26" i="44"/>
  <c r="AF26" i="44"/>
  <c r="AG26" i="44" s="1"/>
  <c r="AK26" i="44"/>
  <c r="AM26" i="44"/>
  <c r="T27" i="44"/>
  <c r="AH27" i="44" s="1"/>
  <c r="AI27" i="44" s="1"/>
  <c r="V27" i="44"/>
  <c r="Y27" i="44"/>
  <c r="AF27" i="44"/>
  <c r="AG27" i="44"/>
  <c r="AJ27" i="44" s="1"/>
  <c r="AK27" i="44"/>
  <c r="AM27" i="44"/>
  <c r="T28" i="44"/>
  <c r="AD28" i="44" s="1"/>
  <c r="V28" i="44"/>
  <c r="Y28" i="44"/>
  <c r="AF28" i="44"/>
  <c r="AG28" i="44"/>
  <c r="AJ28" i="44" s="1"/>
  <c r="AH28" i="44"/>
  <c r="AI28" i="44" s="1"/>
  <c r="AK28" i="44"/>
  <c r="AM28" i="44"/>
  <c r="T29" i="44"/>
  <c r="AE29" i="44" s="1"/>
  <c r="V29" i="44"/>
  <c r="Y29" i="44"/>
  <c r="AD29" i="44"/>
  <c r="AN29" i="44" s="1"/>
  <c r="AF29" i="44"/>
  <c r="AG29" i="44"/>
  <c r="AH29" i="44"/>
  <c r="AI29" i="44"/>
  <c r="AJ29" i="44" s="1"/>
  <c r="AK29" i="44"/>
  <c r="AM29" i="44"/>
  <c r="T30" i="44"/>
  <c r="V30" i="44"/>
  <c r="Y30" i="44"/>
  <c r="AD30" i="44"/>
  <c r="AE30" i="44"/>
  <c r="AF30" i="44"/>
  <c r="AG30" i="44"/>
  <c r="AL30" i="44" s="1"/>
  <c r="AH30" i="44"/>
  <c r="AI30" i="44"/>
  <c r="AJ30" i="44"/>
  <c r="AK30" i="44"/>
  <c r="AM30" i="44"/>
  <c r="AN30" i="44" s="1"/>
  <c r="T31" i="44"/>
  <c r="AD31" i="44" s="1"/>
  <c r="AN31" i="44" s="1"/>
  <c r="V31" i="44"/>
  <c r="Y31" i="44"/>
  <c r="AE31" i="44"/>
  <c r="AF31" i="44"/>
  <c r="AG31" i="44" s="1"/>
  <c r="AK31" i="44"/>
  <c r="AM31" i="44"/>
  <c r="T32" i="44"/>
  <c r="AD32" i="44" s="1"/>
  <c r="V32" i="44"/>
  <c r="Y32" i="44"/>
  <c r="AF32" i="44"/>
  <c r="AG32" i="44" s="1"/>
  <c r="AK32" i="44"/>
  <c r="AM32" i="44"/>
  <c r="T33" i="44"/>
  <c r="AE33" i="44" s="1"/>
  <c r="V33" i="44"/>
  <c r="Y33" i="44"/>
  <c r="AD33" i="44"/>
  <c r="AF33" i="44"/>
  <c r="AG33" i="44"/>
  <c r="AH33" i="44"/>
  <c r="AI33" i="44" s="1"/>
  <c r="AL33" i="44" s="1"/>
  <c r="AK33" i="44"/>
  <c r="AM33" i="44"/>
  <c r="T34" i="44"/>
  <c r="AD34" i="44" s="1"/>
  <c r="AN34" i="44" s="1"/>
  <c r="V34" i="44"/>
  <c r="Y34" i="44"/>
  <c r="AE34" i="44"/>
  <c r="AF34" i="44"/>
  <c r="AG34" i="44"/>
  <c r="AH34" i="44"/>
  <c r="AI34" i="44" s="1"/>
  <c r="AK34" i="44"/>
  <c r="AM34" i="44"/>
  <c r="T35" i="44"/>
  <c r="AD35" i="44" s="1"/>
  <c r="V35" i="44"/>
  <c r="Y35" i="44"/>
  <c r="AF35" i="44"/>
  <c r="AG35" i="44" s="1"/>
  <c r="AK35" i="44"/>
  <c r="AM35" i="44"/>
  <c r="T36" i="44"/>
  <c r="V36" i="44"/>
  <c r="Y36" i="44"/>
  <c r="AD36" i="44"/>
  <c r="AE36" i="44"/>
  <c r="AF36" i="44"/>
  <c r="AG36" i="44"/>
  <c r="AL36" i="44" s="1"/>
  <c r="AH36" i="44"/>
  <c r="AI36" i="44"/>
  <c r="AJ36" i="44"/>
  <c r="AK36" i="44"/>
  <c r="AM36" i="44"/>
  <c r="T25" i="43"/>
  <c r="AH25" i="43" s="1"/>
  <c r="AI25" i="43" s="1"/>
  <c r="V25" i="43"/>
  <c r="Y25" i="43"/>
  <c r="AE25" i="43"/>
  <c r="AF25" i="43"/>
  <c r="AG25" i="43" s="1"/>
  <c r="AK25" i="43"/>
  <c r="AM25" i="43"/>
  <c r="T26" i="43"/>
  <c r="AH26" i="43" s="1"/>
  <c r="AI26" i="43" s="1"/>
  <c r="V26" i="43"/>
  <c r="Y26" i="43"/>
  <c r="AF26" i="43"/>
  <c r="AG26" i="43" s="1"/>
  <c r="AK26" i="43"/>
  <c r="AM26" i="43"/>
  <c r="T27" i="43"/>
  <c r="AH27" i="43" s="1"/>
  <c r="AI27" i="43" s="1"/>
  <c r="V27" i="43"/>
  <c r="Y27" i="43"/>
  <c r="AF27" i="43"/>
  <c r="AG27" i="43" s="1"/>
  <c r="AK27" i="43"/>
  <c r="AM27" i="43"/>
  <c r="T28" i="43"/>
  <c r="AD28" i="43" s="1"/>
  <c r="V28" i="43"/>
  <c r="Y28" i="43"/>
  <c r="AF28" i="43"/>
  <c r="AG28" i="43" s="1"/>
  <c r="AK28" i="43"/>
  <c r="AM28" i="43"/>
  <c r="T29" i="43"/>
  <c r="AD29" i="43" s="1"/>
  <c r="V29" i="43"/>
  <c r="Y29" i="43"/>
  <c r="AE29" i="43"/>
  <c r="AF29" i="43"/>
  <c r="AG29" i="43" s="1"/>
  <c r="AK29" i="43"/>
  <c r="T30" i="43"/>
  <c r="AE30" i="43" s="1"/>
  <c r="V30" i="43"/>
  <c r="Y30" i="43"/>
  <c r="AD30" i="43"/>
  <c r="AF30" i="43"/>
  <c r="AG30" i="43" s="1"/>
  <c r="AH30" i="43"/>
  <c r="AI30" i="43" s="1"/>
  <c r="AK30" i="43"/>
  <c r="T31" i="43"/>
  <c r="AE31" i="43" s="1"/>
  <c r="V31" i="43"/>
  <c r="Y31" i="43"/>
  <c r="AD31" i="43"/>
  <c r="AF31" i="43"/>
  <c r="AG31" i="43" s="1"/>
  <c r="AH31" i="43"/>
  <c r="AI31" i="43" s="1"/>
  <c r="AK31" i="43"/>
  <c r="AM31" i="43"/>
  <c r="T32" i="43"/>
  <c r="AD32" i="43" s="1"/>
  <c r="V32" i="43"/>
  <c r="Y32" i="43"/>
  <c r="AF32" i="43"/>
  <c r="AG32" i="43" s="1"/>
  <c r="AK32" i="43"/>
  <c r="AM32" i="43"/>
  <c r="T33" i="43"/>
  <c r="AD33" i="43" s="1"/>
  <c r="V33" i="43"/>
  <c r="Y33" i="43"/>
  <c r="AF33" i="43"/>
  <c r="AG33" i="43" s="1"/>
  <c r="AK33" i="43"/>
  <c r="AM33" i="43"/>
  <c r="T34" i="43"/>
  <c r="AD34" i="43" s="1"/>
  <c r="V34" i="43"/>
  <c r="Y34" i="43"/>
  <c r="AF34" i="43"/>
  <c r="AG34" i="43" s="1"/>
  <c r="AH34" i="43"/>
  <c r="AI34" i="43" s="1"/>
  <c r="AK34" i="43"/>
  <c r="AM34" i="43"/>
  <c r="T35" i="43"/>
  <c r="AE35" i="43" s="1"/>
  <c r="V35" i="43"/>
  <c r="Y35" i="43"/>
  <c r="AF35" i="43"/>
  <c r="AG35" i="43" s="1"/>
  <c r="AK35" i="43"/>
  <c r="AM35" i="43"/>
  <c r="T36" i="43"/>
  <c r="AE36" i="43" s="1"/>
  <c r="V36" i="43"/>
  <c r="Y36" i="43"/>
  <c r="AF36" i="43"/>
  <c r="AG36" i="43" s="1"/>
  <c r="AK36" i="43"/>
  <c r="T37" i="43"/>
  <c r="AH37" i="43" s="1"/>
  <c r="AI37" i="43" s="1"/>
  <c r="V37" i="43"/>
  <c r="Y37" i="43"/>
  <c r="AD37" i="43"/>
  <c r="AE37" i="43"/>
  <c r="AF37" i="43"/>
  <c r="AG37" i="43" s="1"/>
  <c r="AK37" i="43"/>
  <c r="T38" i="43"/>
  <c r="AH38" i="43" s="1"/>
  <c r="AI38" i="43" s="1"/>
  <c r="V38" i="43"/>
  <c r="Y38" i="43"/>
  <c r="AE38" i="43"/>
  <c r="AF38" i="43"/>
  <c r="AG38" i="43" s="1"/>
  <c r="AK38" i="43"/>
  <c r="AM38" i="43"/>
  <c r="T39" i="43"/>
  <c r="AH39" i="43" s="1"/>
  <c r="AI39" i="43" s="1"/>
  <c r="V39" i="43"/>
  <c r="Y39" i="43"/>
  <c r="AF39" i="43"/>
  <c r="AG39" i="43" s="1"/>
  <c r="AK39" i="43"/>
  <c r="T40" i="43"/>
  <c r="AE40" i="43" s="1"/>
  <c r="V40" i="43"/>
  <c r="Y40" i="43"/>
  <c r="AD40" i="43"/>
  <c r="AF40" i="43"/>
  <c r="AG40" i="43" s="1"/>
  <c r="AH40" i="43"/>
  <c r="AI40" i="43" s="1"/>
  <c r="AK40" i="43"/>
  <c r="AM40" i="43"/>
  <c r="T41" i="43"/>
  <c r="AD41" i="43" s="1"/>
  <c r="V41" i="43"/>
  <c r="Y41" i="43"/>
  <c r="AE41" i="43"/>
  <c r="AF41" i="43"/>
  <c r="AG41" i="43" s="1"/>
  <c r="AJ41" i="43" s="1"/>
  <c r="AH41" i="43"/>
  <c r="AI41" i="43" s="1"/>
  <c r="AK41" i="43"/>
  <c r="AM41" i="43"/>
  <c r="T42" i="43"/>
  <c r="AE42" i="43" s="1"/>
  <c r="V42" i="43"/>
  <c r="Y42" i="43"/>
  <c r="AF42" i="43"/>
  <c r="AG42" i="43" s="1"/>
  <c r="AK42" i="43"/>
  <c r="AM42" i="43"/>
  <c r="T43" i="43"/>
  <c r="AH43" i="43" s="1"/>
  <c r="AI43" i="43" s="1"/>
  <c r="V43" i="43"/>
  <c r="Y43" i="43"/>
  <c r="AD43" i="43"/>
  <c r="AF43" i="43"/>
  <c r="AG43" i="43" s="1"/>
  <c r="AL43" i="43" s="1"/>
  <c r="AK43" i="43"/>
  <c r="AM43" i="43"/>
  <c r="T44" i="43"/>
  <c r="AD44" i="43" s="1"/>
  <c r="V44" i="43"/>
  <c r="Y44" i="43"/>
  <c r="AF44" i="43"/>
  <c r="AG44" i="43" s="1"/>
  <c r="AK44" i="43"/>
  <c r="AM44" i="43"/>
  <c r="T45" i="43"/>
  <c r="AD45" i="43" s="1"/>
  <c r="V45" i="43"/>
  <c r="Y45" i="43"/>
  <c r="AF45" i="43"/>
  <c r="AG45" i="43" s="1"/>
  <c r="AK45" i="43"/>
  <c r="AM45" i="43"/>
  <c r="T46" i="43"/>
  <c r="AD46" i="43" s="1"/>
  <c r="V46" i="43"/>
  <c r="Y46" i="43"/>
  <c r="AF46" i="43"/>
  <c r="AG46" i="43" s="1"/>
  <c r="AK46" i="43"/>
  <c r="AM46" i="43"/>
  <c r="T47" i="43"/>
  <c r="AE47" i="43" s="1"/>
  <c r="AN47" i="43" s="1"/>
  <c r="V47" i="43"/>
  <c r="Y47" i="43"/>
  <c r="AD47" i="43"/>
  <c r="AF47" i="43"/>
  <c r="AG47" i="43"/>
  <c r="AJ47" i="43" s="1"/>
  <c r="AH47" i="43"/>
  <c r="AI47" i="43"/>
  <c r="AK47" i="43"/>
  <c r="AM47" i="43"/>
  <c r="T48" i="43"/>
  <c r="V48" i="43"/>
  <c r="Y48" i="43"/>
  <c r="AD48" i="43"/>
  <c r="AN48" i="43" s="1"/>
  <c r="AE48" i="43"/>
  <c r="AF48" i="43"/>
  <c r="AG48" i="43"/>
  <c r="AH48" i="43"/>
  <c r="AI48" i="43" s="1"/>
  <c r="AK48" i="43"/>
  <c r="AM48" i="43"/>
  <c r="T49" i="43"/>
  <c r="AH49" i="43" s="1"/>
  <c r="AI49" i="43" s="1"/>
  <c r="V49" i="43"/>
  <c r="Y49" i="43"/>
  <c r="AD49" i="43"/>
  <c r="AE49" i="43"/>
  <c r="AF49" i="43"/>
  <c r="AG49" i="43" s="1"/>
  <c r="AK49" i="43"/>
  <c r="AM49" i="43"/>
  <c r="T50" i="43"/>
  <c r="AH50" i="43" s="1"/>
  <c r="AI50" i="43" s="1"/>
  <c r="V50" i="43"/>
  <c r="Y50" i="43"/>
  <c r="AE50" i="43"/>
  <c r="AF50" i="43"/>
  <c r="AG50" i="43" s="1"/>
  <c r="AK50" i="43"/>
  <c r="AM50" i="43"/>
  <c r="T51" i="43"/>
  <c r="AH51" i="43" s="1"/>
  <c r="AI51" i="43" s="1"/>
  <c r="V51" i="43"/>
  <c r="Y51" i="43"/>
  <c r="AF51" i="43"/>
  <c r="AG51" i="43" s="1"/>
  <c r="AK51" i="43"/>
  <c r="AM51" i="43"/>
  <c r="T25" i="40"/>
  <c r="AD25" i="40" s="1"/>
  <c r="V25" i="40"/>
  <c r="Y25" i="40"/>
  <c r="AF25" i="40"/>
  <c r="AG25" i="40" s="1"/>
  <c r="AK25" i="40"/>
  <c r="AM25" i="40"/>
  <c r="T26" i="40"/>
  <c r="AH26" i="40" s="1"/>
  <c r="AI26" i="40" s="1"/>
  <c r="V26" i="40"/>
  <c r="Y26" i="40"/>
  <c r="AF26" i="40"/>
  <c r="AG26" i="40" s="1"/>
  <c r="AK26" i="40"/>
  <c r="AM26" i="40"/>
  <c r="T27" i="40"/>
  <c r="AH27" i="40" s="1"/>
  <c r="AI27" i="40" s="1"/>
  <c r="V27" i="40"/>
  <c r="Y27" i="40"/>
  <c r="AF27" i="40"/>
  <c r="AG27" i="40"/>
  <c r="AJ27" i="40" s="1"/>
  <c r="AK27" i="40"/>
  <c r="AM27" i="40"/>
  <c r="T28" i="40"/>
  <c r="AD28" i="40" s="1"/>
  <c r="V28" i="40"/>
  <c r="Y28" i="40"/>
  <c r="AF28" i="40"/>
  <c r="AG28" i="40"/>
  <c r="AH28" i="40"/>
  <c r="AI28" i="40" s="1"/>
  <c r="AK28" i="40"/>
  <c r="AM28" i="40"/>
  <c r="P16" i="68"/>
  <c r="L16" i="68"/>
  <c r="T25" i="78"/>
  <c r="AH25" i="78" s="1"/>
  <c r="AI25" i="78" s="1"/>
  <c r="V25" i="78"/>
  <c r="Y25" i="78"/>
  <c r="AF25" i="78"/>
  <c r="AG25" i="78" s="1"/>
  <c r="AK25" i="78"/>
  <c r="T26" i="78"/>
  <c r="AH26" i="78" s="1"/>
  <c r="AI26" i="78" s="1"/>
  <c r="V26" i="78"/>
  <c r="Y26" i="78"/>
  <c r="AF26" i="78"/>
  <c r="AG26" i="78" s="1"/>
  <c r="AK26" i="78"/>
  <c r="AM26" i="78"/>
  <c r="T27" i="78"/>
  <c r="AD27" i="78" s="1"/>
  <c r="V27" i="78"/>
  <c r="Y27" i="78"/>
  <c r="AF27" i="78"/>
  <c r="AG27" i="78" s="1"/>
  <c r="AK27" i="78"/>
  <c r="AM27" i="78"/>
  <c r="T28" i="78"/>
  <c r="AE28" i="78" s="1"/>
  <c r="V28" i="78"/>
  <c r="Y28" i="78"/>
  <c r="AF28" i="78"/>
  <c r="AG28" i="78" s="1"/>
  <c r="AK28" i="78"/>
  <c r="T29" i="78"/>
  <c r="AE29" i="78" s="1"/>
  <c r="V29" i="78"/>
  <c r="Y29" i="78"/>
  <c r="AF29" i="78"/>
  <c r="AG29" i="78" s="1"/>
  <c r="AK29" i="78"/>
  <c r="T30" i="78"/>
  <c r="AH30" i="78" s="1"/>
  <c r="AI30" i="78" s="1"/>
  <c r="V30" i="78"/>
  <c r="Y30" i="78"/>
  <c r="AF30" i="78"/>
  <c r="AG30" i="78" s="1"/>
  <c r="AK30" i="78"/>
  <c r="AM30" i="78"/>
  <c r="T31" i="78"/>
  <c r="AD31" i="78" s="1"/>
  <c r="V31" i="78"/>
  <c r="Y31" i="78"/>
  <c r="AF31" i="78"/>
  <c r="AG31" i="78" s="1"/>
  <c r="AK31" i="78"/>
  <c r="AM31" i="78"/>
  <c r="T32" i="78"/>
  <c r="AD32" i="78" s="1"/>
  <c r="V32" i="78"/>
  <c r="Y32" i="78"/>
  <c r="AF32" i="78"/>
  <c r="AG32" i="78" s="1"/>
  <c r="AK32" i="78"/>
  <c r="AM32" i="78"/>
  <c r="T33" i="78"/>
  <c r="AD33" i="78" s="1"/>
  <c r="V33" i="78"/>
  <c r="Y33" i="78"/>
  <c r="AF33" i="78"/>
  <c r="AG33" i="78" s="1"/>
  <c r="AK33" i="78"/>
  <c r="AM33" i="78"/>
  <c r="T34" i="78"/>
  <c r="AD34" i="78" s="1"/>
  <c r="V34" i="78"/>
  <c r="Y34" i="78"/>
  <c r="AF34" i="78"/>
  <c r="AG34" i="78" s="1"/>
  <c r="AK34" i="78"/>
  <c r="T35" i="78"/>
  <c r="AE35" i="78" s="1"/>
  <c r="V35" i="78"/>
  <c r="Y35" i="78"/>
  <c r="AF35" i="78"/>
  <c r="AG35" i="78" s="1"/>
  <c r="AK35" i="78"/>
  <c r="T36" i="78"/>
  <c r="AH36" i="78" s="1"/>
  <c r="AI36" i="78" s="1"/>
  <c r="V36" i="78"/>
  <c r="Y36" i="78"/>
  <c r="AF36" i="78"/>
  <c r="AG36" i="78" s="1"/>
  <c r="AK36" i="78"/>
  <c r="T37" i="78"/>
  <c r="AH37" i="78" s="1"/>
  <c r="AI37" i="78" s="1"/>
  <c r="V37" i="78"/>
  <c r="Y37" i="78"/>
  <c r="AF37" i="78"/>
  <c r="AG37" i="78" s="1"/>
  <c r="AK37" i="78"/>
  <c r="T38" i="78"/>
  <c r="AH38" i="78" s="1"/>
  <c r="AI38" i="78" s="1"/>
  <c r="V38" i="78"/>
  <c r="Y38" i="78"/>
  <c r="AF38" i="78"/>
  <c r="AG38" i="78" s="1"/>
  <c r="AK38" i="78"/>
  <c r="AM38" i="78"/>
  <c r="T39" i="78"/>
  <c r="AD39" i="78" s="1"/>
  <c r="V39" i="78"/>
  <c r="Y39" i="78"/>
  <c r="AF39" i="78"/>
  <c r="AG39" i="78" s="1"/>
  <c r="AK39" i="78"/>
  <c r="AM39" i="78"/>
  <c r="T40" i="78"/>
  <c r="AE40" i="78" s="1"/>
  <c r="V40" i="78"/>
  <c r="Y40" i="78"/>
  <c r="AF40" i="78"/>
  <c r="AG40" i="78" s="1"/>
  <c r="AK40" i="78"/>
  <c r="AM40" i="78"/>
  <c r="T41" i="78"/>
  <c r="AD41" i="78" s="1"/>
  <c r="V41" i="78"/>
  <c r="Y41" i="78"/>
  <c r="AF41" i="78"/>
  <c r="AG41" i="78" s="1"/>
  <c r="AK41" i="78"/>
  <c r="T42" i="78"/>
  <c r="AH42" i="78" s="1"/>
  <c r="AI42" i="78" s="1"/>
  <c r="V42" i="78"/>
  <c r="Y42" i="78"/>
  <c r="AF42" i="78"/>
  <c r="AG42" i="78" s="1"/>
  <c r="AK42" i="78"/>
  <c r="AM42" i="78"/>
  <c r="T43" i="78"/>
  <c r="AD43" i="78" s="1"/>
  <c r="V43" i="78"/>
  <c r="Y43" i="78"/>
  <c r="AF43" i="78"/>
  <c r="AG43" i="78" s="1"/>
  <c r="AK43" i="78"/>
  <c r="T44" i="78"/>
  <c r="AD44" i="78" s="1"/>
  <c r="V44" i="78"/>
  <c r="Y44" i="78"/>
  <c r="AF44" i="78"/>
  <c r="AG44" i="78" s="1"/>
  <c r="AK44" i="78"/>
  <c r="AM44" i="78"/>
  <c r="T45" i="78"/>
  <c r="AD45" i="78" s="1"/>
  <c r="V45" i="78"/>
  <c r="Y45" i="78"/>
  <c r="AF45" i="78"/>
  <c r="AG45" i="78" s="1"/>
  <c r="AK45" i="78"/>
  <c r="T46" i="78"/>
  <c r="AD46" i="78" s="1"/>
  <c r="V46" i="78"/>
  <c r="Y46" i="78"/>
  <c r="AF46" i="78"/>
  <c r="AG46" i="78" s="1"/>
  <c r="AK46" i="78"/>
  <c r="AM46" i="78"/>
  <c r="T47" i="78"/>
  <c r="AE47" i="78" s="1"/>
  <c r="V47" i="78"/>
  <c r="Y47" i="78"/>
  <c r="AF47" i="78"/>
  <c r="AG47" i="78" s="1"/>
  <c r="AK47" i="78"/>
  <c r="T48" i="78"/>
  <c r="AD48" i="78" s="1"/>
  <c r="V48" i="78"/>
  <c r="Y48" i="78"/>
  <c r="AF48" i="78"/>
  <c r="AG48" i="78" s="1"/>
  <c r="AK48" i="78"/>
  <c r="AM48" i="78"/>
  <c r="T49" i="78"/>
  <c r="AH49" i="78" s="1"/>
  <c r="AI49" i="78" s="1"/>
  <c r="V49" i="78"/>
  <c r="Y49" i="78"/>
  <c r="AF49" i="78"/>
  <c r="AG49" i="78" s="1"/>
  <c r="AK49" i="78"/>
  <c r="AM49" i="78"/>
  <c r="T50" i="78"/>
  <c r="AH50" i="78" s="1"/>
  <c r="AI50" i="78" s="1"/>
  <c r="V50" i="78"/>
  <c r="Y50" i="78"/>
  <c r="AF50" i="78"/>
  <c r="AG50" i="78" s="1"/>
  <c r="AK50" i="78"/>
  <c r="AM50" i="78"/>
  <c r="T51" i="78"/>
  <c r="AD51" i="78" s="1"/>
  <c r="V51" i="78"/>
  <c r="Y51" i="78"/>
  <c r="AF51" i="78"/>
  <c r="AG51" i="78" s="1"/>
  <c r="AK51" i="78"/>
  <c r="T52" i="78"/>
  <c r="AE52" i="78" s="1"/>
  <c r="V52" i="78"/>
  <c r="Y52" i="78"/>
  <c r="AF52" i="78"/>
  <c r="AG52" i="78" s="1"/>
  <c r="AH52" i="78"/>
  <c r="AI52" i="78" s="1"/>
  <c r="AK52" i="78"/>
  <c r="AM52" i="78"/>
  <c r="T53" i="78"/>
  <c r="AD53" i="78" s="1"/>
  <c r="V53" i="78"/>
  <c r="Y53" i="78"/>
  <c r="AF53" i="78"/>
  <c r="AG53" i="78" s="1"/>
  <c r="AK53" i="78"/>
  <c r="AM53" i="78"/>
  <c r="T54" i="78"/>
  <c r="AH54" i="78" s="1"/>
  <c r="AI54" i="78" s="1"/>
  <c r="V54" i="78"/>
  <c r="Y54" i="78"/>
  <c r="AD54" i="78"/>
  <c r="AF54" i="78"/>
  <c r="AG54" i="78" s="1"/>
  <c r="AK54" i="78"/>
  <c r="AM54" i="78"/>
  <c r="T55" i="78"/>
  <c r="AD55" i="78" s="1"/>
  <c r="V55" i="78"/>
  <c r="Y55" i="78"/>
  <c r="AF55" i="78"/>
  <c r="AG55" i="78" s="1"/>
  <c r="AK55" i="78"/>
  <c r="T56" i="78"/>
  <c r="AD56" i="78" s="1"/>
  <c r="V56" i="78"/>
  <c r="Y56" i="78"/>
  <c r="AF56" i="78"/>
  <c r="AG56" i="78" s="1"/>
  <c r="AK56" i="78"/>
  <c r="AM56" i="78"/>
  <c r="T57" i="78"/>
  <c r="AD57" i="78" s="1"/>
  <c r="V57" i="78"/>
  <c r="Y57" i="78"/>
  <c r="AF57" i="78"/>
  <c r="AG57" i="78" s="1"/>
  <c r="AK57" i="78"/>
  <c r="AM57" i="78"/>
  <c r="T58" i="78"/>
  <c r="AD58" i="78" s="1"/>
  <c r="V58" i="78"/>
  <c r="Y58" i="78"/>
  <c r="AF58" i="78"/>
  <c r="AG58" i="78" s="1"/>
  <c r="AK58" i="78"/>
  <c r="T59" i="78"/>
  <c r="AM59" i="78" s="1"/>
  <c r="V59" i="78"/>
  <c r="Y59" i="78"/>
  <c r="AF59" i="78"/>
  <c r="AG59" i="78" s="1"/>
  <c r="AK59" i="78"/>
  <c r="T60" i="78"/>
  <c r="AE60" i="78" s="1"/>
  <c r="V60" i="78"/>
  <c r="Y60" i="78"/>
  <c r="AF60" i="78"/>
  <c r="AG60" i="78" s="1"/>
  <c r="AK60" i="78"/>
  <c r="AM60" i="78"/>
  <c r="T61" i="78"/>
  <c r="AH61" i="78" s="1"/>
  <c r="AI61" i="78" s="1"/>
  <c r="V61" i="78"/>
  <c r="Y61" i="78"/>
  <c r="AF61" i="78"/>
  <c r="AG61" i="78" s="1"/>
  <c r="AK61" i="78"/>
  <c r="T62" i="78"/>
  <c r="AH62" i="78" s="1"/>
  <c r="AI62" i="78" s="1"/>
  <c r="V62" i="78"/>
  <c r="Y62" i="78"/>
  <c r="AF62" i="78"/>
  <c r="AG62" i="78" s="1"/>
  <c r="AK62" i="78"/>
  <c r="AM62" i="78"/>
  <c r="T63" i="78"/>
  <c r="AD63" i="78" s="1"/>
  <c r="V63" i="78"/>
  <c r="Y63" i="78"/>
  <c r="AF63" i="78"/>
  <c r="AG63" i="78"/>
  <c r="AJ63" i="78" s="1"/>
  <c r="AH63" i="78"/>
  <c r="AI63" i="78" s="1"/>
  <c r="AK63" i="78"/>
  <c r="AM63" i="78"/>
  <c r="T64" i="78"/>
  <c r="V64" i="78"/>
  <c r="Y64" i="78"/>
  <c r="AD64" i="78"/>
  <c r="AN64" i="78" s="1"/>
  <c r="AE64" i="78"/>
  <c r="AF64" i="78"/>
  <c r="AG64" i="78"/>
  <c r="AH64" i="78"/>
  <c r="AI64" i="78" s="1"/>
  <c r="AL64" i="78" s="1"/>
  <c r="AK64" i="78"/>
  <c r="AM64" i="78"/>
  <c r="T65" i="78"/>
  <c r="V65" i="78"/>
  <c r="Y65" i="78"/>
  <c r="AD65" i="78"/>
  <c r="AE65" i="78"/>
  <c r="AF65" i="78"/>
  <c r="AG65" i="78" s="1"/>
  <c r="AH65" i="78"/>
  <c r="AI65" i="78"/>
  <c r="AK65" i="78"/>
  <c r="AM65" i="78"/>
  <c r="T66" i="78"/>
  <c r="AH66" i="78" s="1"/>
  <c r="AI66" i="78" s="1"/>
  <c r="V66" i="78"/>
  <c r="Y66" i="78"/>
  <c r="AD66" i="78"/>
  <c r="AE66" i="78"/>
  <c r="AF66" i="78"/>
  <c r="AG66" i="78" s="1"/>
  <c r="AK66" i="78"/>
  <c r="AM66" i="78"/>
  <c r="T67" i="78"/>
  <c r="AD67" i="78" s="1"/>
  <c r="V67" i="78"/>
  <c r="Y67" i="78"/>
  <c r="AE67" i="78"/>
  <c r="AF67" i="78"/>
  <c r="AG67" i="78" s="1"/>
  <c r="AK67" i="78"/>
  <c r="AM67" i="78"/>
  <c r="T68" i="78"/>
  <c r="AD68" i="78" s="1"/>
  <c r="V68" i="78"/>
  <c r="Y68" i="78"/>
  <c r="AF68" i="78"/>
  <c r="AG68" i="78" s="1"/>
  <c r="AK68" i="78"/>
  <c r="AM68" i="78"/>
  <c r="T69" i="78"/>
  <c r="AD69" i="78" s="1"/>
  <c r="V69" i="78"/>
  <c r="Y69" i="78"/>
  <c r="AE69" i="78"/>
  <c r="AF69" i="78"/>
  <c r="AG69" i="78"/>
  <c r="AH69" i="78"/>
  <c r="AI69" i="78" s="1"/>
  <c r="AK69" i="78"/>
  <c r="AM69" i="78"/>
  <c r="T70" i="78"/>
  <c r="AD70" i="78" s="1"/>
  <c r="V70" i="78"/>
  <c r="Y70" i="78"/>
  <c r="AF70" i="78"/>
  <c r="AG70" i="78" s="1"/>
  <c r="AH70" i="78"/>
  <c r="AI70" i="78" s="1"/>
  <c r="AK70" i="78"/>
  <c r="AM70" i="78"/>
  <c r="T71" i="78"/>
  <c r="V71" i="78"/>
  <c r="Y71" i="78"/>
  <c r="AD71" i="78"/>
  <c r="AE71" i="78"/>
  <c r="AF71" i="78"/>
  <c r="AG71" i="78"/>
  <c r="AJ71" i="78" s="1"/>
  <c r="AH71" i="78"/>
  <c r="AI71" i="78"/>
  <c r="AK71" i="78"/>
  <c r="AM71" i="78"/>
  <c r="T72" i="78"/>
  <c r="V72" i="78"/>
  <c r="Y72" i="78"/>
  <c r="AD72" i="78"/>
  <c r="AE72" i="78"/>
  <c r="AF72" i="78"/>
  <c r="AG72" i="78" s="1"/>
  <c r="AH72" i="78"/>
  <c r="AI72" i="78" s="1"/>
  <c r="AK72" i="78"/>
  <c r="AM72" i="78"/>
  <c r="AM24" i="78"/>
  <c r="AK24" i="78"/>
  <c r="AF24" i="78"/>
  <c r="AG24" i="78" s="1"/>
  <c r="Y24" i="78"/>
  <c r="V24" i="78"/>
  <c r="T24" i="78"/>
  <c r="AD24" i="78" s="1"/>
  <c r="AK23" i="78"/>
  <c r="AF23" i="78"/>
  <c r="AG23" i="78" s="1"/>
  <c r="Y23" i="78"/>
  <c r="V23" i="78"/>
  <c r="T23" i="78"/>
  <c r="AD23" i="78" s="1"/>
  <c r="AK22" i="78"/>
  <c r="AF22" i="78"/>
  <c r="AG22" i="78" s="1"/>
  <c r="Y22" i="78"/>
  <c r="V22" i="78"/>
  <c r="T22" i="78"/>
  <c r="AD22" i="78" s="1"/>
  <c r="AK21" i="78"/>
  <c r="AF21" i="78"/>
  <c r="AG21" i="78" s="1"/>
  <c r="Y21" i="78"/>
  <c r="V21" i="78"/>
  <c r="T21" i="78"/>
  <c r="AD21" i="78" s="1"/>
  <c r="AK20" i="78"/>
  <c r="AF20" i="78"/>
  <c r="AG20" i="78" s="1"/>
  <c r="Y20" i="78"/>
  <c r="V20" i="78"/>
  <c r="T20" i="78"/>
  <c r="AE20" i="78" s="1"/>
  <c r="AM19" i="78"/>
  <c r="AK19" i="78"/>
  <c r="AF19" i="78"/>
  <c r="AG19" i="78" s="1"/>
  <c r="Y19" i="78"/>
  <c r="V19" i="78"/>
  <c r="T19" i="78"/>
  <c r="AD19" i="78" s="1"/>
  <c r="AK18" i="78"/>
  <c r="AF18" i="78"/>
  <c r="AG18" i="78" s="1"/>
  <c r="Y18" i="78"/>
  <c r="V18" i="78"/>
  <c r="T18" i="78"/>
  <c r="AK17" i="78"/>
  <c r="AF17" i="78"/>
  <c r="AG17" i="78" s="1"/>
  <c r="Y17" i="78"/>
  <c r="V17" i="78"/>
  <c r="T17" i="78"/>
  <c r="AM17" i="78" s="1"/>
  <c r="AK16" i="78"/>
  <c r="AF16" i="78"/>
  <c r="AG16" i="78" s="1"/>
  <c r="Y16" i="78"/>
  <c r="V16" i="78"/>
  <c r="T16" i="78"/>
  <c r="AH16" i="78" s="1"/>
  <c r="AI16" i="78" s="1"/>
  <c r="AK15" i="78"/>
  <c r="AF15" i="78"/>
  <c r="AG15" i="78" s="1"/>
  <c r="Y15" i="78"/>
  <c r="V15" i="78"/>
  <c r="T15" i="78"/>
  <c r="AH15" i="78" s="1"/>
  <c r="AI15" i="78" s="1"/>
  <c r="AK14" i="78"/>
  <c r="AF14" i="78"/>
  <c r="AG14" i="78" s="1"/>
  <c r="Y14" i="78"/>
  <c r="V14" i="78"/>
  <c r="T14" i="78"/>
  <c r="AH14" i="78" s="1"/>
  <c r="AI14" i="78" s="1"/>
  <c r="AK13" i="78"/>
  <c r="AF13" i="78"/>
  <c r="AG13" i="78" s="1"/>
  <c r="Y13" i="78"/>
  <c r="V13" i="78"/>
  <c r="T13" i="78"/>
  <c r="AH13" i="78" s="1"/>
  <c r="AI13" i="78" s="1"/>
  <c r="AM12" i="78"/>
  <c r="AK12" i="78"/>
  <c r="AF12" i="78"/>
  <c r="AG12" i="78" s="1"/>
  <c r="Y12" i="78"/>
  <c r="V12" i="78"/>
  <c r="T12" i="78"/>
  <c r="AH12" i="78" s="1"/>
  <c r="AI12" i="78" s="1"/>
  <c r="A12" i="78"/>
  <c r="AK11" i="78"/>
  <c r="AF11" i="78"/>
  <c r="AG11" i="78" s="1"/>
  <c r="Y11" i="78"/>
  <c r="V11" i="78"/>
  <c r="T11" i="78"/>
  <c r="AH11" i="78" s="1"/>
  <c r="AI11" i="78" s="1"/>
  <c r="AK10" i="78"/>
  <c r="AF10" i="78"/>
  <c r="AG10" i="78" s="1"/>
  <c r="Y10" i="78"/>
  <c r="V10" i="78"/>
  <c r="T10" i="78"/>
  <c r="AH10" i="78" s="1"/>
  <c r="AI10" i="78" s="1"/>
  <c r="A10" i="78"/>
  <c r="AK9" i="78"/>
  <c r="AF9" i="78"/>
  <c r="AG9" i="78" s="1"/>
  <c r="Y9" i="78"/>
  <c r="V9" i="78"/>
  <c r="T9" i="78"/>
  <c r="AM9" i="78" s="1"/>
  <c r="AK8" i="78"/>
  <c r="AF8" i="78"/>
  <c r="AG8" i="78" s="1"/>
  <c r="Y8" i="78"/>
  <c r="V8" i="78"/>
  <c r="T8" i="78"/>
  <c r="AH8" i="78" s="1"/>
  <c r="AI8" i="78" s="1"/>
  <c r="A8" i="78"/>
  <c r="AK7" i="78"/>
  <c r="AF7" i="78"/>
  <c r="AG7" i="78" s="1"/>
  <c r="Y7" i="78"/>
  <c r="V7" i="78"/>
  <c r="T7" i="78"/>
  <c r="AH7" i="78" s="1"/>
  <c r="AI7" i="78" s="1"/>
  <c r="AK6" i="78"/>
  <c r="AF6" i="78"/>
  <c r="AG6" i="78" s="1"/>
  <c r="Y6" i="78"/>
  <c r="V6" i="78"/>
  <c r="T6" i="78"/>
  <c r="AD6" i="78" s="1"/>
  <c r="A6" i="78"/>
  <c r="AK5" i="78"/>
  <c r="AF5" i="78"/>
  <c r="AG5" i="78" s="1"/>
  <c r="Y5" i="78"/>
  <c r="V5" i="78"/>
  <c r="T5" i="78"/>
  <c r="AM5" i="78" s="1"/>
  <c r="F1" i="78"/>
  <c r="T173" i="32"/>
  <c r="AD173" i="32" s="1"/>
  <c r="V173" i="32"/>
  <c r="Y173" i="32"/>
  <c r="AE173" i="32"/>
  <c r="AF173" i="32"/>
  <c r="AG173" i="32" s="1"/>
  <c r="AK173" i="32"/>
  <c r="AM173" i="32"/>
  <c r="T174" i="32"/>
  <c r="AH174" i="32" s="1"/>
  <c r="AI174" i="32" s="1"/>
  <c r="V174" i="32"/>
  <c r="Y174" i="32"/>
  <c r="AF174" i="32"/>
  <c r="AG174" i="32" s="1"/>
  <c r="AK174" i="32"/>
  <c r="T175" i="32"/>
  <c r="AE175" i="32" s="1"/>
  <c r="V175" i="32"/>
  <c r="Y175" i="32"/>
  <c r="AF175" i="32"/>
  <c r="AG175" i="32" s="1"/>
  <c r="AH175" i="32"/>
  <c r="AI175" i="32" s="1"/>
  <c r="AK175" i="32"/>
  <c r="T176" i="32"/>
  <c r="AE176" i="32" s="1"/>
  <c r="V176" i="32"/>
  <c r="Y176" i="32"/>
  <c r="AF176" i="32"/>
  <c r="AG176" i="32" s="1"/>
  <c r="AK176" i="32"/>
  <c r="AM176" i="32"/>
  <c r="T177" i="32"/>
  <c r="AD177" i="32" s="1"/>
  <c r="V177" i="32"/>
  <c r="Y177" i="32"/>
  <c r="AF177" i="32"/>
  <c r="AG177" i="32" s="1"/>
  <c r="AK177" i="32"/>
  <c r="AM177" i="32"/>
  <c r="T178" i="32"/>
  <c r="AE178" i="32" s="1"/>
  <c r="V178" i="32"/>
  <c r="Y178" i="32"/>
  <c r="AF178" i="32"/>
  <c r="AG178" i="32" s="1"/>
  <c r="AK178" i="32"/>
  <c r="T179" i="32"/>
  <c r="AD179" i="32" s="1"/>
  <c r="V179" i="32"/>
  <c r="Y179" i="32"/>
  <c r="AF179" i="32"/>
  <c r="AG179" i="32" s="1"/>
  <c r="AH179" i="32"/>
  <c r="AI179" i="32" s="1"/>
  <c r="AK179" i="32"/>
  <c r="T180" i="32"/>
  <c r="AD180" i="32" s="1"/>
  <c r="V180" i="32"/>
  <c r="Y180" i="32"/>
  <c r="AF180" i="32"/>
  <c r="AG180" i="32" s="1"/>
  <c r="AK180" i="32"/>
  <c r="T181" i="32"/>
  <c r="AM181" i="32" s="1"/>
  <c r="V181" i="32"/>
  <c r="Y181" i="32"/>
  <c r="AE181" i="32"/>
  <c r="AF181" i="32"/>
  <c r="AG181" i="32" s="1"/>
  <c r="AK181" i="32"/>
  <c r="T182" i="32"/>
  <c r="AD182" i="32" s="1"/>
  <c r="V182" i="32"/>
  <c r="Y182" i="32"/>
  <c r="AF182" i="32"/>
  <c r="AG182" i="32" s="1"/>
  <c r="AK182" i="32"/>
  <c r="AM182" i="32"/>
  <c r="T183" i="32"/>
  <c r="AD183" i="32" s="1"/>
  <c r="V183" i="32"/>
  <c r="Y183" i="32"/>
  <c r="AF183" i="32"/>
  <c r="AG183" i="32" s="1"/>
  <c r="AK183" i="32"/>
  <c r="T184" i="32"/>
  <c r="AE184" i="32" s="1"/>
  <c r="V184" i="32"/>
  <c r="Y184" i="32"/>
  <c r="AF184" i="32"/>
  <c r="AG184" i="32" s="1"/>
  <c r="AK184" i="32"/>
  <c r="T185" i="32"/>
  <c r="AD185" i="32" s="1"/>
  <c r="V185" i="32"/>
  <c r="Y185" i="32"/>
  <c r="AF185" i="32"/>
  <c r="AG185" i="32" s="1"/>
  <c r="AK185" i="32"/>
  <c r="AM185" i="32"/>
  <c r="T186" i="32"/>
  <c r="AH186" i="32" s="1"/>
  <c r="AI186" i="32" s="1"/>
  <c r="V186" i="32"/>
  <c r="Y186" i="32"/>
  <c r="AF186" i="32"/>
  <c r="AG186" i="32" s="1"/>
  <c r="AK186" i="32"/>
  <c r="T187" i="32"/>
  <c r="AE187" i="32" s="1"/>
  <c r="V187" i="32"/>
  <c r="Y187" i="32"/>
  <c r="AF187" i="32"/>
  <c r="AG187" i="32" s="1"/>
  <c r="AK187" i="32"/>
  <c r="T188" i="32"/>
  <c r="AD188" i="32" s="1"/>
  <c r="V188" i="32"/>
  <c r="Y188" i="32"/>
  <c r="AF188" i="32"/>
  <c r="AG188" i="32" s="1"/>
  <c r="AK188" i="32"/>
  <c r="T189" i="32"/>
  <c r="AD189" i="32" s="1"/>
  <c r="V189" i="32"/>
  <c r="Y189" i="32"/>
  <c r="AF189" i="32"/>
  <c r="AG189" i="32" s="1"/>
  <c r="AK189" i="32"/>
  <c r="T190" i="32"/>
  <c r="AE190" i="32" s="1"/>
  <c r="V190" i="32"/>
  <c r="Y190" i="32"/>
  <c r="AF190" i="32"/>
  <c r="AG190" i="32" s="1"/>
  <c r="AK190" i="32"/>
  <c r="T191" i="32"/>
  <c r="AD191" i="32" s="1"/>
  <c r="V191" i="32"/>
  <c r="Y191" i="32"/>
  <c r="AF191" i="32"/>
  <c r="AG191" i="32" s="1"/>
  <c r="AK191" i="32"/>
  <c r="T192" i="32"/>
  <c r="AD192" i="32" s="1"/>
  <c r="V192" i="32"/>
  <c r="Y192" i="32"/>
  <c r="AF192" i="32"/>
  <c r="AG192" i="32" s="1"/>
  <c r="AK192" i="32"/>
  <c r="T193" i="32"/>
  <c r="AH193" i="32" s="1"/>
  <c r="AI193" i="32" s="1"/>
  <c r="V193" i="32"/>
  <c r="Y193" i="32"/>
  <c r="AE193" i="32"/>
  <c r="AF193" i="32"/>
  <c r="AG193" i="32" s="1"/>
  <c r="AK193" i="32"/>
  <c r="AM193" i="32"/>
  <c r="T194" i="32"/>
  <c r="AD194" i="32" s="1"/>
  <c r="V194" i="32"/>
  <c r="Y194" i="32"/>
  <c r="AF194" i="32"/>
  <c r="AG194" i="32" s="1"/>
  <c r="AK194" i="32"/>
  <c r="AM194" i="32"/>
  <c r="T195" i="32"/>
  <c r="AD195" i="32" s="1"/>
  <c r="V195" i="32"/>
  <c r="Y195" i="32"/>
  <c r="AF195" i="32"/>
  <c r="AG195" i="32"/>
  <c r="AK195" i="32"/>
  <c r="T196" i="32"/>
  <c r="AE196" i="32" s="1"/>
  <c r="V196" i="32"/>
  <c r="Y196" i="32"/>
  <c r="AD196" i="32"/>
  <c r="AF196" i="32"/>
  <c r="AG196" i="32" s="1"/>
  <c r="AK196" i="32"/>
  <c r="T197" i="32"/>
  <c r="AD197" i="32" s="1"/>
  <c r="V197" i="32"/>
  <c r="Y197" i="32"/>
  <c r="AF197" i="32"/>
  <c r="AG197" i="32" s="1"/>
  <c r="AK197" i="32"/>
  <c r="T198" i="32"/>
  <c r="AH198" i="32" s="1"/>
  <c r="AI198" i="32" s="1"/>
  <c r="V198" i="32"/>
  <c r="Y198" i="32"/>
  <c r="AF198" i="32"/>
  <c r="AG198" i="32" s="1"/>
  <c r="AK198" i="32"/>
  <c r="AM198" i="32"/>
  <c r="T199" i="32"/>
  <c r="AD199" i="32" s="1"/>
  <c r="V199" i="32"/>
  <c r="Y199" i="32"/>
  <c r="AE199" i="32"/>
  <c r="AF199" i="32"/>
  <c r="AG199" i="32"/>
  <c r="AK199" i="32"/>
  <c r="AM199" i="32"/>
  <c r="T200" i="32"/>
  <c r="V200" i="32"/>
  <c r="Y200" i="32"/>
  <c r="AD200" i="32"/>
  <c r="AE200" i="32"/>
  <c r="AF200" i="32"/>
  <c r="AG200" i="32" s="1"/>
  <c r="AH200" i="32"/>
  <c r="AI200" i="32" s="1"/>
  <c r="AK200" i="32"/>
  <c r="AM200" i="32"/>
  <c r="T201" i="32"/>
  <c r="AD201" i="32" s="1"/>
  <c r="V201" i="32"/>
  <c r="Y201" i="32"/>
  <c r="AF201" i="32"/>
  <c r="AG201" i="32" s="1"/>
  <c r="AK201" i="32"/>
  <c r="AM201" i="32"/>
  <c r="T202" i="32"/>
  <c r="AE202" i="32" s="1"/>
  <c r="V202" i="32"/>
  <c r="Y202" i="32"/>
  <c r="AD202" i="32"/>
  <c r="AF202" i="32"/>
  <c r="AG202" i="32"/>
  <c r="AK202" i="32"/>
  <c r="AM202" i="32"/>
  <c r="T203" i="32"/>
  <c r="AD203" i="32" s="1"/>
  <c r="V203" i="32"/>
  <c r="Y203" i="32"/>
  <c r="AE203" i="32"/>
  <c r="AF203" i="32"/>
  <c r="AG203" i="32"/>
  <c r="AH203" i="32"/>
  <c r="AI203" i="32" s="1"/>
  <c r="AK203" i="32"/>
  <c r="AM203" i="32"/>
  <c r="T204" i="32"/>
  <c r="AE204" i="32" s="1"/>
  <c r="V204" i="32"/>
  <c r="Y204" i="32"/>
  <c r="AD204" i="32"/>
  <c r="AN204" i="32" s="1"/>
  <c r="AF204" i="32"/>
  <c r="AG204" i="32" s="1"/>
  <c r="AK204" i="32"/>
  <c r="AM204" i="32"/>
  <c r="T205" i="32"/>
  <c r="V205" i="32"/>
  <c r="Y205" i="32"/>
  <c r="AD205" i="32"/>
  <c r="AE205" i="32"/>
  <c r="AF205" i="32"/>
  <c r="AG205" i="32"/>
  <c r="AJ205" i="32" s="1"/>
  <c r="AH205" i="32"/>
  <c r="AI205" i="32"/>
  <c r="AK205" i="32"/>
  <c r="AM205" i="32"/>
  <c r="T206" i="32"/>
  <c r="AD206" i="32" s="1"/>
  <c r="V206" i="32"/>
  <c r="Y206" i="32"/>
  <c r="AF206" i="32"/>
  <c r="AG206" i="32" s="1"/>
  <c r="AK206" i="32"/>
  <c r="AM206" i="32"/>
  <c r="T207" i="32"/>
  <c r="AD207" i="32" s="1"/>
  <c r="V207" i="32"/>
  <c r="Y207" i="32"/>
  <c r="AE207" i="32"/>
  <c r="AF207" i="32"/>
  <c r="AG207" i="32"/>
  <c r="AK207" i="32"/>
  <c r="AM207" i="32"/>
  <c r="T208" i="32"/>
  <c r="AE208" i="32" s="1"/>
  <c r="V208" i="32"/>
  <c r="Y208" i="32"/>
  <c r="AD208" i="32"/>
  <c r="AF208" i="32"/>
  <c r="AG208" i="32" s="1"/>
  <c r="AH208" i="32"/>
  <c r="AI208" i="32" s="1"/>
  <c r="AK208" i="32"/>
  <c r="AM208" i="32"/>
  <c r="T209" i="32"/>
  <c r="AD209" i="32" s="1"/>
  <c r="V209" i="32"/>
  <c r="Y209" i="32"/>
  <c r="AE209" i="32"/>
  <c r="AF209" i="32"/>
  <c r="AG209" i="32"/>
  <c r="AJ209" i="32" s="1"/>
  <c r="AH209" i="32"/>
  <c r="AI209" i="32"/>
  <c r="AK209" i="32"/>
  <c r="AM209" i="32"/>
  <c r="T210" i="32"/>
  <c r="AH210" i="32" s="1"/>
  <c r="AI210" i="32" s="1"/>
  <c r="V210" i="32"/>
  <c r="Y210" i="32"/>
  <c r="AF210" i="32"/>
  <c r="AG210" i="32" s="1"/>
  <c r="AK210" i="32"/>
  <c r="AM210" i="32"/>
  <c r="T211" i="32"/>
  <c r="V211" i="32"/>
  <c r="Y211" i="32"/>
  <c r="AD211" i="32"/>
  <c r="AE211" i="32"/>
  <c r="AF211" i="32"/>
  <c r="AG211" i="32"/>
  <c r="AJ211" i="32" s="1"/>
  <c r="AH211" i="32"/>
  <c r="AI211" i="32"/>
  <c r="AK211" i="32"/>
  <c r="AM211" i="32"/>
  <c r="T212" i="32"/>
  <c r="V212" i="32"/>
  <c r="Y212" i="32"/>
  <c r="AD212" i="32"/>
  <c r="AE212" i="32"/>
  <c r="AF212" i="32"/>
  <c r="AG212" i="32" s="1"/>
  <c r="AH212" i="32"/>
  <c r="AI212" i="32" s="1"/>
  <c r="AK212" i="32"/>
  <c r="AM212" i="32"/>
  <c r="T60" i="31"/>
  <c r="AD60" i="31" s="1"/>
  <c r="V60" i="31"/>
  <c r="Y60" i="31"/>
  <c r="AF60" i="31"/>
  <c r="AG60" i="31" s="1"/>
  <c r="AK60" i="31"/>
  <c r="AM60" i="31"/>
  <c r="T61" i="31"/>
  <c r="AH61" i="31" s="1"/>
  <c r="AI61" i="31" s="1"/>
  <c r="V61" i="31"/>
  <c r="Y61" i="31"/>
  <c r="AF61" i="31"/>
  <c r="AG61" i="31" s="1"/>
  <c r="AK61" i="31"/>
  <c r="AM61" i="31"/>
  <c r="T62" i="31"/>
  <c r="AH62" i="31" s="1"/>
  <c r="AI62" i="31" s="1"/>
  <c r="V62" i="31"/>
  <c r="Y62" i="31"/>
  <c r="AD62" i="31"/>
  <c r="AF62" i="31"/>
  <c r="AG62" i="31" s="1"/>
  <c r="AJ62" i="31" s="1"/>
  <c r="AK62" i="31"/>
  <c r="AM62" i="31"/>
  <c r="T63" i="31"/>
  <c r="AD63" i="31" s="1"/>
  <c r="V63" i="31"/>
  <c r="Y63" i="31"/>
  <c r="AF63" i="31"/>
  <c r="AG63" i="31" s="1"/>
  <c r="AK63" i="31"/>
  <c r="AM63" i="31"/>
  <c r="T64" i="31"/>
  <c r="AD64" i="31" s="1"/>
  <c r="V64" i="31"/>
  <c r="Y64" i="31"/>
  <c r="AF64" i="31"/>
  <c r="AG64" i="31" s="1"/>
  <c r="AK64" i="31"/>
  <c r="AM64" i="31"/>
  <c r="T65" i="31"/>
  <c r="AD65" i="31" s="1"/>
  <c r="V65" i="31"/>
  <c r="Y65" i="31"/>
  <c r="AF65" i="31"/>
  <c r="AG65" i="31"/>
  <c r="AK65" i="31"/>
  <c r="AM65" i="31"/>
  <c r="T66" i="31"/>
  <c r="AE66" i="31" s="1"/>
  <c r="V66" i="31"/>
  <c r="Y66" i="31"/>
  <c r="AF66" i="31"/>
  <c r="AG66" i="31" s="1"/>
  <c r="AK66" i="31"/>
  <c r="AM66" i="31"/>
  <c r="T67" i="31"/>
  <c r="AD67" i="31" s="1"/>
  <c r="V67" i="31"/>
  <c r="Y67" i="31"/>
  <c r="AF67" i="31"/>
  <c r="AG67" i="31" s="1"/>
  <c r="AK67" i="31"/>
  <c r="AM67" i="31"/>
  <c r="T68" i="31"/>
  <c r="AE68" i="31" s="1"/>
  <c r="V68" i="31"/>
  <c r="Y68" i="31"/>
  <c r="AD68" i="31"/>
  <c r="AF68" i="31"/>
  <c r="AG68" i="31" s="1"/>
  <c r="AK68" i="31"/>
  <c r="AM68" i="31"/>
  <c r="T69" i="31"/>
  <c r="AD69" i="31" s="1"/>
  <c r="V69" i="31"/>
  <c r="Y69" i="31"/>
  <c r="AE69" i="31"/>
  <c r="AF69" i="31"/>
  <c r="AG69" i="31"/>
  <c r="AH69" i="31"/>
  <c r="AI69" i="31" s="1"/>
  <c r="AK69" i="31"/>
  <c r="AM69" i="31"/>
  <c r="T70" i="31"/>
  <c r="AD70" i="31" s="1"/>
  <c r="V70" i="31"/>
  <c r="Y70" i="31"/>
  <c r="AF70" i="31"/>
  <c r="AG70" i="31" s="1"/>
  <c r="AK70" i="31"/>
  <c r="AM70" i="31"/>
  <c r="T71" i="31"/>
  <c r="AH71" i="31" s="1"/>
  <c r="AI71" i="31" s="1"/>
  <c r="V71" i="31"/>
  <c r="Y71" i="31"/>
  <c r="AF71" i="31"/>
  <c r="AG71" i="31" s="1"/>
  <c r="AK71" i="31"/>
  <c r="AM71" i="31"/>
  <c r="T72" i="31"/>
  <c r="AD72" i="31" s="1"/>
  <c r="V72" i="31"/>
  <c r="Y72" i="31"/>
  <c r="AE72" i="31"/>
  <c r="AF72" i="31"/>
  <c r="AG72" i="31" s="1"/>
  <c r="AK72" i="31"/>
  <c r="AM72" i="31"/>
  <c r="T73" i="31"/>
  <c r="AH73" i="31" s="1"/>
  <c r="AI73" i="31" s="1"/>
  <c r="V73" i="31"/>
  <c r="Y73" i="31"/>
  <c r="AF73" i="31"/>
  <c r="AG73" i="31" s="1"/>
  <c r="AK73" i="31"/>
  <c r="AM73" i="31"/>
  <c r="T74" i="31"/>
  <c r="AH74" i="31" s="1"/>
  <c r="AI74" i="31" s="1"/>
  <c r="V74" i="31"/>
  <c r="Y74" i="31"/>
  <c r="AF74" i="31"/>
  <c r="AG74" i="31" s="1"/>
  <c r="AK74" i="31"/>
  <c r="T75" i="31"/>
  <c r="AD75" i="31" s="1"/>
  <c r="V75" i="31"/>
  <c r="Y75" i="31"/>
  <c r="AF75" i="31"/>
  <c r="AG75" i="31" s="1"/>
  <c r="AK75" i="31"/>
  <c r="AM75" i="31"/>
  <c r="T76" i="31"/>
  <c r="AD76" i="31" s="1"/>
  <c r="V76" i="31"/>
  <c r="Y76" i="31"/>
  <c r="AF76" i="31"/>
  <c r="AG76" i="31" s="1"/>
  <c r="AK76" i="31"/>
  <c r="AM76" i="31"/>
  <c r="T77" i="31"/>
  <c r="AD77" i="31" s="1"/>
  <c r="V77" i="31"/>
  <c r="Y77" i="31"/>
  <c r="AF77" i="31"/>
  <c r="AG77" i="31" s="1"/>
  <c r="AK77" i="31"/>
  <c r="AM77" i="31"/>
  <c r="T78" i="31"/>
  <c r="AE78" i="31" s="1"/>
  <c r="V78" i="31"/>
  <c r="Y78" i="31"/>
  <c r="AD78" i="31"/>
  <c r="AF78" i="31"/>
  <c r="AG78" i="31"/>
  <c r="AL78" i="31" s="1"/>
  <c r="AH78" i="31"/>
  <c r="AI78" i="31" s="1"/>
  <c r="AJ78" i="31" s="1"/>
  <c r="AK78" i="31"/>
  <c r="AM78" i="31"/>
  <c r="T79" i="31"/>
  <c r="V79" i="31"/>
  <c r="Y79" i="31"/>
  <c r="AD79" i="31"/>
  <c r="AE79" i="31"/>
  <c r="AF79" i="31"/>
  <c r="AG79" i="31"/>
  <c r="AH79" i="31"/>
  <c r="AI79" i="31"/>
  <c r="AJ79" i="31" s="1"/>
  <c r="AK79" i="31"/>
  <c r="AL79" i="31"/>
  <c r="AM79" i="31"/>
  <c r="T80" i="31"/>
  <c r="AE80" i="31" s="1"/>
  <c r="V80" i="31"/>
  <c r="Y80" i="31"/>
  <c r="AD80" i="31"/>
  <c r="AF80" i="31"/>
  <c r="AG80" i="31" s="1"/>
  <c r="AK80" i="31"/>
  <c r="AM80" i="31"/>
  <c r="T81" i="31"/>
  <c r="AD81" i="31" s="1"/>
  <c r="AN81" i="31" s="1"/>
  <c r="V81" i="31"/>
  <c r="Y81" i="31"/>
  <c r="AE81" i="31"/>
  <c r="AF81" i="31"/>
  <c r="AG81" i="31"/>
  <c r="AK81" i="31"/>
  <c r="AM81" i="31"/>
  <c r="T82" i="31"/>
  <c r="AD82" i="31" s="1"/>
  <c r="V82" i="31"/>
  <c r="Y82" i="31"/>
  <c r="AF82" i="31"/>
  <c r="AG82" i="31" s="1"/>
  <c r="AK82" i="31"/>
  <c r="AM82" i="31"/>
  <c r="T83" i="31"/>
  <c r="V83" i="31"/>
  <c r="Y83" i="31"/>
  <c r="AD83" i="31"/>
  <c r="AE83" i="31"/>
  <c r="AF83" i="31"/>
  <c r="AG83" i="31"/>
  <c r="AJ83" i="31" s="1"/>
  <c r="AH83" i="31"/>
  <c r="AI83" i="31"/>
  <c r="AK83" i="31"/>
  <c r="AM83" i="31"/>
  <c r="T84" i="31"/>
  <c r="V84" i="31"/>
  <c r="Y84" i="31"/>
  <c r="AD84" i="31"/>
  <c r="AE84" i="31"/>
  <c r="AF84" i="31"/>
  <c r="AG84" i="31" s="1"/>
  <c r="AH84" i="31"/>
  <c r="AI84" i="31" s="1"/>
  <c r="AK84" i="31"/>
  <c r="AM84" i="31"/>
  <c r="T85" i="31"/>
  <c r="AH85" i="31" s="1"/>
  <c r="AI85" i="31" s="1"/>
  <c r="V85" i="31"/>
  <c r="Y85" i="31"/>
  <c r="AF85" i="31"/>
  <c r="AG85" i="31" s="1"/>
  <c r="AK85" i="31"/>
  <c r="AM85" i="31"/>
  <c r="T86" i="31"/>
  <c r="AH86" i="31" s="1"/>
  <c r="AI86" i="31" s="1"/>
  <c r="V86" i="31"/>
  <c r="Y86" i="31"/>
  <c r="AD86" i="31"/>
  <c r="AF86" i="31"/>
  <c r="AG86" i="31"/>
  <c r="AJ86" i="31" s="1"/>
  <c r="AK86" i="31"/>
  <c r="AM86" i="31"/>
  <c r="T87" i="31"/>
  <c r="AD87" i="31" s="1"/>
  <c r="V87" i="31"/>
  <c r="Y87" i="31"/>
  <c r="AE87" i="31"/>
  <c r="AF87" i="31"/>
  <c r="AG87" i="31"/>
  <c r="AJ87" i="31" s="1"/>
  <c r="AH87" i="31"/>
  <c r="AI87" i="31" s="1"/>
  <c r="AK87" i="31"/>
  <c r="AM87" i="31"/>
  <c r="T88" i="31"/>
  <c r="AD88" i="31" s="1"/>
  <c r="V88" i="31"/>
  <c r="Y88" i="31"/>
  <c r="AF88" i="31"/>
  <c r="AG88" i="31" s="1"/>
  <c r="AK88" i="31"/>
  <c r="AM88" i="31"/>
  <c r="T89" i="31"/>
  <c r="V89" i="31"/>
  <c r="Y89" i="31"/>
  <c r="AD89" i="31"/>
  <c r="AE89" i="31"/>
  <c r="AF89" i="31"/>
  <c r="AG89" i="31"/>
  <c r="AL89" i="31" s="1"/>
  <c r="AH89" i="31"/>
  <c r="AI89" i="31"/>
  <c r="AJ89" i="31"/>
  <c r="AK89" i="31"/>
  <c r="AM89" i="31"/>
  <c r="T25" i="30"/>
  <c r="V25" i="30"/>
  <c r="Y25" i="30"/>
  <c r="AD25" i="30"/>
  <c r="AE25" i="30"/>
  <c r="AF25" i="30"/>
  <c r="AG25" i="30"/>
  <c r="AJ25" i="30" s="1"/>
  <c r="AH25" i="30"/>
  <c r="AI25" i="30"/>
  <c r="AK25" i="30"/>
  <c r="AM25" i="30"/>
  <c r="T26" i="30"/>
  <c r="AH26" i="30" s="1"/>
  <c r="AI26" i="30" s="1"/>
  <c r="V26" i="30"/>
  <c r="Y26" i="30"/>
  <c r="AF26" i="30"/>
  <c r="AG26" i="30" s="1"/>
  <c r="AK26" i="30"/>
  <c r="AM26" i="30"/>
  <c r="T84" i="29"/>
  <c r="AH84" i="29" s="1"/>
  <c r="AI84" i="29" s="1"/>
  <c r="V84" i="29"/>
  <c r="Y84" i="29"/>
  <c r="AF84" i="29"/>
  <c r="AG84" i="29" s="1"/>
  <c r="AK84" i="29"/>
  <c r="AM84" i="29"/>
  <c r="T85" i="29"/>
  <c r="AE85" i="29" s="1"/>
  <c r="V85" i="29"/>
  <c r="Y85" i="29"/>
  <c r="AF85" i="29"/>
  <c r="AG85" i="29" s="1"/>
  <c r="AK85" i="29"/>
  <c r="AM85" i="29"/>
  <c r="T86" i="29"/>
  <c r="AH86" i="29" s="1"/>
  <c r="AI86" i="29" s="1"/>
  <c r="V86" i="29"/>
  <c r="Y86" i="29"/>
  <c r="AF86" i="29"/>
  <c r="AG86" i="29" s="1"/>
  <c r="AK86" i="29"/>
  <c r="T87" i="29"/>
  <c r="AH87" i="29" s="1"/>
  <c r="AI87" i="29" s="1"/>
  <c r="V87" i="29"/>
  <c r="Y87" i="29"/>
  <c r="AF87" i="29"/>
  <c r="AG87" i="29" s="1"/>
  <c r="AK87" i="29"/>
  <c r="AM87" i="29"/>
  <c r="T88" i="29"/>
  <c r="AD88" i="29" s="1"/>
  <c r="V88" i="29"/>
  <c r="Y88" i="29"/>
  <c r="AF88" i="29"/>
  <c r="AG88" i="29" s="1"/>
  <c r="AK88" i="29"/>
  <c r="T89" i="29"/>
  <c r="AD89" i="29" s="1"/>
  <c r="V89" i="29"/>
  <c r="Y89" i="29"/>
  <c r="AF89" i="29"/>
  <c r="AG89" i="29" s="1"/>
  <c r="AK89" i="29"/>
  <c r="AM89" i="29"/>
  <c r="T90" i="29"/>
  <c r="AD90" i="29" s="1"/>
  <c r="V90" i="29"/>
  <c r="Y90" i="29"/>
  <c r="AF90" i="29"/>
  <c r="AG90" i="29" s="1"/>
  <c r="AK90" i="29"/>
  <c r="AM90" i="29"/>
  <c r="T91" i="29"/>
  <c r="AE91" i="29" s="1"/>
  <c r="V91" i="29"/>
  <c r="Y91" i="29"/>
  <c r="AF91" i="29"/>
  <c r="AG91" i="29" s="1"/>
  <c r="AK91" i="29"/>
  <c r="AM91" i="29"/>
  <c r="T92" i="29"/>
  <c r="AD92" i="29" s="1"/>
  <c r="V92" i="29"/>
  <c r="Y92" i="29"/>
  <c r="AF92" i="29"/>
  <c r="AG92" i="29" s="1"/>
  <c r="AK92" i="29"/>
  <c r="AM92" i="29"/>
  <c r="T93" i="29"/>
  <c r="AE93" i="29" s="1"/>
  <c r="V93" i="29"/>
  <c r="Y93" i="29"/>
  <c r="AF93" i="29"/>
  <c r="AG93" i="29" s="1"/>
  <c r="AK93" i="29"/>
  <c r="AM93" i="29"/>
  <c r="T94" i="29"/>
  <c r="AD94" i="29" s="1"/>
  <c r="V94" i="29"/>
  <c r="Y94" i="29"/>
  <c r="AF94" i="29"/>
  <c r="AG94" i="29" s="1"/>
  <c r="AK94" i="29"/>
  <c r="AM94" i="29"/>
  <c r="T95" i="29"/>
  <c r="AE95" i="29" s="1"/>
  <c r="V95" i="29"/>
  <c r="Y95" i="29"/>
  <c r="AF95" i="29"/>
  <c r="AG95" i="29" s="1"/>
  <c r="AK95" i="29"/>
  <c r="AM95" i="29"/>
  <c r="T96" i="29"/>
  <c r="AH96" i="29" s="1"/>
  <c r="AI96" i="29" s="1"/>
  <c r="V96" i="29"/>
  <c r="Y96" i="29"/>
  <c r="AD96" i="29"/>
  <c r="AF96" i="29"/>
  <c r="AG96" i="29"/>
  <c r="AJ96" i="29" s="1"/>
  <c r="AK96" i="29"/>
  <c r="AM96" i="29"/>
  <c r="T97" i="29"/>
  <c r="V97" i="29"/>
  <c r="Y97" i="29"/>
  <c r="AD97" i="29"/>
  <c r="AE97" i="29"/>
  <c r="AN97" i="29" s="1"/>
  <c r="AF97" i="29"/>
  <c r="AG97" i="29"/>
  <c r="AJ97" i="29" s="1"/>
  <c r="AH97" i="29"/>
  <c r="AI97" i="29" s="1"/>
  <c r="AK97" i="29"/>
  <c r="AM97" i="29"/>
  <c r="T98" i="29"/>
  <c r="AH98" i="29" s="1"/>
  <c r="AI98" i="29" s="1"/>
  <c r="V98" i="29"/>
  <c r="Y98" i="29"/>
  <c r="AF98" i="29"/>
  <c r="AG98" i="29" s="1"/>
  <c r="AK98" i="29"/>
  <c r="AM98" i="29"/>
  <c r="T99" i="29"/>
  <c r="AH99" i="29" s="1"/>
  <c r="AI99" i="29" s="1"/>
  <c r="V99" i="29"/>
  <c r="Y99" i="29"/>
  <c r="AD99" i="29"/>
  <c r="AE99" i="29"/>
  <c r="AF99" i="29"/>
  <c r="AG99" i="29"/>
  <c r="AJ99" i="29" s="1"/>
  <c r="AK99" i="29"/>
  <c r="AM99" i="29"/>
  <c r="T100" i="29"/>
  <c r="AD100" i="29" s="1"/>
  <c r="V100" i="29"/>
  <c r="Y100" i="29"/>
  <c r="AF100" i="29"/>
  <c r="AG100" i="29" s="1"/>
  <c r="AH100" i="29"/>
  <c r="AI100" i="29" s="1"/>
  <c r="AK100" i="29"/>
  <c r="AM100" i="29"/>
  <c r="T101" i="29"/>
  <c r="AD101" i="29" s="1"/>
  <c r="V101" i="29"/>
  <c r="Y101" i="29"/>
  <c r="AF101" i="29"/>
  <c r="AG101" i="29"/>
  <c r="AK101" i="29"/>
  <c r="AM101" i="29"/>
  <c r="T49" i="28"/>
  <c r="AH49" i="28" s="1"/>
  <c r="AI49" i="28" s="1"/>
  <c r="V49" i="28"/>
  <c r="Y49" i="28"/>
  <c r="AF49" i="28"/>
  <c r="AG49" i="28" s="1"/>
  <c r="AK49" i="28"/>
  <c r="AM49" i="28"/>
  <c r="T50" i="28"/>
  <c r="AH50" i="28" s="1"/>
  <c r="AI50" i="28" s="1"/>
  <c r="V50" i="28"/>
  <c r="Y50" i="28"/>
  <c r="AF50" i="28"/>
  <c r="AG50" i="28" s="1"/>
  <c r="AK50" i="28"/>
  <c r="T51" i="28"/>
  <c r="AE51" i="28" s="1"/>
  <c r="V51" i="28"/>
  <c r="Y51" i="28"/>
  <c r="AF51" i="28"/>
  <c r="AG51" i="28" s="1"/>
  <c r="AK51" i="28"/>
  <c r="AM51" i="28"/>
  <c r="T52" i="28"/>
  <c r="AD52" i="28" s="1"/>
  <c r="V52" i="28"/>
  <c r="Y52" i="28"/>
  <c r="AF52" i="28"/>
  <c r="AG52" i="28" s="1"/>
  <c r="AK52" i="28"/>
  <c r="T53" i="28"/>
  <c r="AD53" i="28" s="1"/>
  <c r="V53" i="28"/>
  <c r="Y53" i="28"/>
  <c r="AF53" i="28"/>
  <c r="AG53" i="28" s="1"/>
  <c r="AK53" i="28"/>
  <c r="T54" i="28"/>
  <c r="AD54" i="28" s="1"/>
  <c r="V54" i="28"/>
  <c r="Y54" i="28"/>
  <c r="AF54" i="28"/>
  <c r="AG54" i="28" s="1"/>
  <c r="AK54" i="28"/>
  <c r="T55" i="28"/>
  <c r="AD55" i="28" s="1"/>
  <c r="V55" i="28"/>
  <c r="Y55" i="28"/>
  <c r="AF55" i="28"/>
  <c r="AG55" i="28" s="1"/>
  <c r="AK55" i="28"/>
  <c r="AM55" i="28"/>
  <c r="T56" i="28"/>
  <c r="AD56" i="28" s="1"/>
  <c r="V56" i="28"/>
  <c r="Y56" i="28"/>
  <c r="AF56" i="28"/>
  <c r="AG56" i="28" s="1"/>
  <c r="AK56" i="28"/>
  <c r="AM56" i="28"/>
  <c r="T57" i="28"/>
  <c r="V57" i="28"/>
  <c r="Y57" i="28"/>
  <c r="AD57" i="28"/>
  <c r="AE57" i="28"/>
  <c r="AF57" i="28"/>
  <c r="AG57" i="28"/>
  <c r="AH57" i="28"/>
  <c r="AI57" i="28" s="1"/>
  <c r="AK57" i="28"/>
  <c r="AM57" i="28"/>
  <c r="T58" i="28"/>
  <c r="AD58" i="28" s="1"/>
  <c r="V58" i="28"/>
  <c r="Y58" i="28"/>
  <c r="AF58" i="28"/>
  <c r="AG58" i="28" s="1"/>
  <c r="AH58" i="28"/>
  <c r="AI58" i="28" s="1"/>
  <c r="AK58" i="28"/>
  <c r="AM58" i="28"/>
  <c r="T59" i="28"/>
  <c r="AE59" i="28" s="1"/>
  <c r="V59" i="28"/>
  <c r="Y59" i="28"/>
  <c r="AD59" i="28"/>
  <c r="AN59" i="28" s="1"/>
  <c r="AF59" i="28"/>
  <c r="AG59" i="28"/>
  <c r="AK59" i="28"/>
  <c r="AM59" i="28"/>
  <c r="T60" i="28"/>
  <c r="V60" i="28"/>
  <c r="Y60" i="28"/>
  <c r="AD60" i="28"/>
  <c r="AE60" i="28"/>
  <c r="AF60" i="28"/>
  <c r="AG60" i="28"/>
  <c r="AH60" i="28"/>
  <c r="AI60" i="28" s="1"/>
  <c r="AJ60" i="28" s="1"/>
  <c r="AK60" i="28"/>
  <c r="AM60" i="28"/>
  <c r="T61" i="28"/>
  <c r="AH61" i="28" s="1"/>
  <c r="AI61" i="28" s="1"/>
  <c r="V61" i="28"/>
  <c r="Y61" i="28"/>
  <c r="AE61" i="28"/>
  <c r="AF61" i="28"/>
  <c r="AG61" i="28" s="1"/>
  <c r="AK61" i="28"/>
  <c r="AM61" i="28"/>
  <c r="T62" i="28"/>
  <c r="AH62" i="28" s="1"/>
  <c r="AI62" i="28" s="1"/>
  <c r="V62" i="28"/>
  <c r="Y62" i="28"/>
  <c r="AF62" i="28"/>
  <c r="AG62" i="28" s="1"/>
  <c r="AK62" i="28"/>
  <c r="AM62" i="28"/>
  <c r="T29" i="24"/>
  <c r="AD29" i="24" s="1"/>
  <c r="V29" i="24"/>
  <c r="Y29" i="24"/>
  <c r="AF29" i="24"/>
  <c r="AG29" i="24" s="1"/>
  <c r="AK29" i="24"/>
  <c r="AM29" i="24"/>
  <c r="T30" i="24"/>
  <c r="AH30" i="24" s="1"/>
  <c r="AI30" i="24" s="1"/>
  <c r="V30" i="24"/>
  <c r="Y30" i="24"/>
  <c r="AF30" i="24"/>
  <c r="AG30" i="24" s="1"/>
  <c r="AK30" i="24"/>
  <c r="AM30" i="24"/>
  <c r="T31" i="24"/>
  <c r="AD31" i="24" s="1"/>
  <c r="V31" i="24"/>
  <c r="Y31" i="24"/>
  <c r="AF31" i="24"/>
  <c r="AG31" i="24" s="1"/>
  <c r="AK31" i="24"/>
  <c r="T32" i="24"/>
  <c r="AD32" i="24" s="1"/>
  <c r="V32" i="24"/>
  <c r="Y32" i="24"/>
  <c r="AF32" i="24"/>
  <c r="AG32" i="24" s="1"/>
  <c r="AK32" i="24"/>
  <c r="T33" i="24"/>
  <c r="AE33" i="24" s="1"/>
  <c r="V33" i="24"/>
  <c r="Y33" i="24"/>
  <c r="AF33" i="24"/>
  <c r="AG33" i="24" s="1"/>
  <c r="AK33" i="24"/>
  <c r="T34" i="24"/>
  <c r="AM34" i="24" s="1"/>
  <c r="V34" i="24"/>
  <c r="Y34" i="24"/>
  <c r="AF34" i="24"/>
  <c r="AG34" i="24" s="1"/>
  <c r="AH34" i="24"/>
  <c r="AI34" i="24" s="1"/>
  <c r="AK34" i="24"/>
  <c r="T35" i="24"/>
  <c r="AD35" i="24" s="1"/>
  <c r="V35" i="24"/>
  <c r="Y35" i="24"/>
  <c r="AF35" i="24"/>
  <c r="AG35" i="24" s="1"/>
  <c r="AK35" i="24"/>
  <c r="AM35" i="24"/>
  <c r="T36" i="24"/>
  <c r="AE36" i="24" s="1"/>
  <c r="V36" i="24"/>
  <c r="Y36" i="24"/>
  <c r="AF36" i="24"/>
  <c r="AG36" i="24" s="1"/>
  <c r="AK36" i="24"/>
  <c r="AM36" i="24"/>
  <c r="T37" i="24"/>
  <c r="AH37" i="24" s="1"/>
  <c r="AI37" i="24" s="1"/>
  <c r="V37" i="24"/>
  <c r="Y37" i="24"/>
  <c r="AF37" i="24"/>
  <c r="AG37" i="24"/>
  <c r="AK37" i="24"/>
  <c r="AM37" i="24"/>
  <c r="T38" i="24"/>
  <c r="AD38" i="24" s="1"/>
  <c r="V38" i="24"/>
  <c r="Y38" i="24"/>
  <c r="AF38" i="24"/>
  <c r="AG38" i="24" s="1"/>
  <c r="AK38" i="24"/>
  <c r="AM38" i="24"/>
  <c r="T39" i="24"/>
  <c r="AE39" i="24" s="1"/>
  <c r="V39" i="24"/>
  <c r="Y39" i="24"/>
  <c r="AF39" i="24"/>
  <c r="AG39" i="24" s="1"/>
  <c r="AK39" i="24"/>
  <c r="AM39" i="24"/>
  <c r="T40" i="24"/>
  <c r="AH40" i="24" s="1"/>
  <c r="AI40" i="24" s="1"/>
  <c r="V40" i="24"/>
  <c r="Y40" i="24"/>
  <c r="AF40" i="24"/>
  <c r="AG40" i="24"/>
  <c r="AK40" i="24"/>
  <c r="AM40" i="24"/>
  <c r="T41" i="24"/>
  <c r="AH41" i="24" s="1"/>
  <c r="AI41" i="24" s="1"/>
  <c r="V41" i="24"/>
  <c r="Y41" i="24"/>
  <c r="AF41" i="24"/>
  <c r="AG41" i="24" s="1"/>
  <c r="AK41" i="24"/>
  <c r="AM41" i="24"/>
  <c r="T42" i="24"/>
  <c r="AH42" i="24" s="1"/>
  <c r="AI42" i="24" s="1"/>
  <c r="V42" i="24"/>
  <c r="Y42" i="24"/>
  <c r="AF42" i="24"/>
  <c r="AG42" i="24" s="1"/>
  <c r="AK42" i="24"/>
  <c r="AM42" i="24"/>
  <c r="T43" i="24"/>
  <c r="AD43" i="24" s="1"/>
  <c r="V43" i="24"/>
  <c r="Y43" i="24"/>
  <c r="AF43" i="24"/>
  <c r="AG43" i="24" s="1"/>
  <c r="AK43" i="24"/>
  <c r="AM43" i="24"/>
  <c r="T44" i="24"/>
  <c r="AD44" i="24" s="1"/>
  <c r="V44" i="24"/>
  <c r="Y44" i="24"/>
  <c r="AF44" i="24"/>
  <c r="AG44" i="24" s="1"/>
  <c r="AK44" i="24"/>
  <c r="AM44" i="24"/>
  <c r="T45" i="24"/>
  <c r="AE45" i="24" s="1"/>
  <c r="V45" i="24"/>
  <c r="Y45" i="24"/>
  <c r="AF45" i="24"/>
  <c r="AG45" i="24" s="1"/>
  <c r="AK45" i="24"/>
  <c r="AM45" i="24"/>
  <c r="T46" i="24"/>
  <c r="AD46" i="24" s="1"/>
  <c r="V46" i="24"/>
  <c r="Y46" i="24"/>
  <c r="AF46" i="24"/>
  <c r="AG46" i="24" s="1"/>
  <c r="AH46" i="24"/>
  <c r="AI46" i="24" s="1"/>
  <c r="AK46" i="24"/>
  <c r="AM46" i="24"/>
  <c r="T47" i="24"/>
  <c r="AD47" i="24" s="1"/>
  <c r="V47" i="24"/>
  <c r="Y47" i="24"/>
  <c r="AF47" i="24"/>
  <c r="AG47" i="24" s="1"/>
  <c r="AK47" i="24"/>
  <c r="AM47" i="24"/>
  <c r="T48" i="24"/>
  <c r="AE48" i="24" s="1"/>
  <c r="V48" i="24"/>
  <c r="Y48" i="24"/>
  <c r="AF48" i="24"/>
  <c r="AG48" i="24" s="1"/>
  <c r="AK48" i="24"/>
  <c r="AM48" i="24"/>
  <c r="T49" i="24"/>
  <c r="AD49" i="24" s="1"/>
  <c r="V49" i="24"/>
  <c r="Y49" i="24"/>
  <c r="AF49" i="24"/>
  <c r="AG49" i="24" s="1"/>
  <c r="AH49" i="24"/>
  <c r="AI49" i="24" s="1"/>
  <c r="AK49" i="24"/>
  <c r="AM49" i="24"/>
  <c r="T50" i="24"/>
  <c r="AD50" i="24" s="1"/>
  <c r="V50" i="24"/>
  <c r="Y50" i="24"/>
  <c r="AF50" i="24"/>
  <c r="AG50" i="24" s="1"/>
  <c r="AK50" i="24"/>
  <c r="AM50" i="24"/>
  <c r="T51" i="24"/>
  <c r="AE51" i="24" s="1"/>
  <c r="V51" i="24"/>
  <c r="Y51" i="24"/>
  <c r="AD51" i="24"/>
  <c r="AF51" i="24"/>
  <c r="AG51" i="24"/>
  <c r="AK51" i="24"/>
  <c r="AM51" i="24"/>
  <c r="T52" i="24"/>
  <c r="V52" i="24"/>
  <c r="Y52" i="24"/>
  <c r="AD52" i="24"/>
  <c r="AE52" i="24"/>
  <c r="AF52" i="24"/>
  <c r="AG52" i="24"/>
  <c r="AH52" i="24"/>
  <c r="AI52" i="24" s="1"/>
  <c r="AJ52" i="24" s="1"/>
  <c r="AK52" i="24"/>
  <c r="AM52" i="24"/>
  <c r="T53" i="24"/>
  <c r="AH53" i="24" s="1"/>
  <c r="AI53" i="24" s="1"/>
  <c r="V53" i="24"/>
  <c r="Y53" i="24"/>
  <c r="AE53" i="24"/>
  <c r="AF53" i="24"/>
  <c r="AG53" i="24" s="1"/>
  <c r="AK53" i="24"/>
  <c r="AM53" i="24"/>
  <c r="T54" i="24"/>
  <c r="AH54" i="24" s="1"/>
  <c r="AI54" i="24" s="1"/>
  <c r="V54" i="24"/>
  <c r="Y54" i="24"/>
  <c r="AF54" i="24"/>
  <c r="AG54" i="24" s="1"/>
  <c r="AK54" i="24"/>
  <c r="AM54" i="24"/>
  <c r="T55" i="24"/>
  <c r="AD55" i="24" s="1"/>
  <c r="V55" i="24"/>
  <c r="Y55" i="24"/>
  <c r="AE55" i="24"/>
  <c r="AF55" i="24"/>
  <c r="AG55" i="24"/>
  <c r="AJ55" i="24" s="1"/>
  <c r="AH55" i="24"/>
  <c r="AI55" i="24" s="1"/>
  <c r="AK55" i="24"/>
  <c r="AM55" i="24"/>
  <c r="T56" i="24"/>
  <c r="AD56" i="24" s="1"/>
  <c r="V56" i="24"/>
  <c r="Y56" i="24"/>
  <c r="AF56" i="24"/>
  <c r="AG56" i="24" s="1"/>
  <c r="AH56" i="24"/>
  <c r="AI56" i="24" s="1"/>
  <c r="AK56" i="24"/>
  <c r="AM56" i="24"/>
  <c r="T57" i="24"/>
  <c r="V57" i="24"/>
  <c r="Y57" i="24"/>
  <c r="AD57" i="24"/>
  <c r="AE57" i="24"/>
  <c r="AF57" i="24"/>
  <c r="AG57" i="24"/>
  <c r="AJ57" i="24" s="1"/>
  <c r="AH57" i="24"/>
  <c r="AI57" i="24"/>
  <c r="AK57" i="24"/>
  <c r="AM57" i="24"/>
  <c r="T58" i="24"/>
  <c r="V58" i="24"/>
  <c r="Y58" i="24"/>
  <c r="AD58" i="24"/>
  <c r="AN58" i="24" s="1"/>
  <c r="AE58" i="24"/>
  <c r="AF58" i="24"/>
  <c r="AG58" i="24" s="1"/>
  <c r="AH58" i="24"/>
  <c r="AI58" i="24" s="1"/>
  <c r="AK58" i="24"/>
  <c r="AM58" i="24"/>
  <c r="T59" i="24"/>
  <c r="AD59" i="24" s="1"/>
  <c r="V59" i="24"/>
  <c r="Y59" i="24"/>
  <c r="AE59" i="24"/>
  <c r="AF59" i="24"/>
  <c r="AG59" i="24" s="1"/>
  <c r="AK59" i="24"/>
  <c r="AM59" i="24"/>
  <c r="T60" i="24"/>
  <c r="AE60" i="24" s="1"/>
  <c r="V60" i="24"/>
  <c r="Y60" i="24"/>
  <c r="AD60" i="24"/>
  <c r="AF60" i="24"/>
  <c r="AG60" i="24" s="1"/>
  <c r="AK60" i="24"/>
  <c r="AM60" i="24"/>
  <c r="T61" i="24"/>
  <c r="V61" i="24"/>
  <c r="Y61" i="24"/>
  <c r="AD61" i="24"/>
  <c r="AE61" i="24"/>
  <c r="AF61" i="24"/>
  <c r="AG61" i="24"/>
  <c r="AH61" i="24"/>
  <c r="AI61" i="24" s="1"/>
  <c r="AK61" i="24"/>
  <c r="AM61" i="24"/>
  <c r="T62" i="24"/>
  <c r="AD62" i="24" s="1"/>
  <c r="V62" i="24"/>
  <c r="Y62" i="24"/>
  <c r="AF62" i="24"/>
  <c r="AG62" i="24" s="1"/>
  <c r="AK62" i="24"/>
  <c r="AM62" i="24"/>
  <c r="T63" i="24"/>
  <c r="AE63" i="24" s="1"/>
  <c r="V63" i="24"/>
  <c r="Y63" i="24"/>
  <c r="AD63" i="24"/>
  <c r="AF63" i="24"/>
  <c r="AG63" i="24"/>
  <c r="AK63" i="24"/>
  <c r="AM63" i="24"/>
  <c r="T64" i="24"/>
  <c r="V64" i="24"/>
  <c r="Y64" i="24"/>
  <c r="AD64" i="24"/>
  <c r="AE64" i="24"/>
  <c r="AF64" i="24"/>
  <c r="AG64" i="24"/>
  <c r="AH64" i="24"/>
  <c r="AI64" i="24" s="1"/>
  <c r="AJ64" i="24" s="1"/>
  <c r="AK64" i="24"/>
  <c r="AM64" i="24"/>
  <c r="T28" i="23"/>
  <c r="AH28" i="23" s="1"/>
  <c r="AI28" i="23" s="1"/>
  <c r="V28" i="23"/>
  <c r="Y28" i="23"/>
  <c r="AF28" i="23"/>
  <c r="AG28" i="23" s="1"/>
  <c r="AK28" i="23"/>
  <c r="AM28" i="23"/>
  <c r="T29" i="23"/>
  <c r="AH29" i="23" s="1"/>
  <c r="AI29" i="23" s="1"/>
  <c r="V29" i="23"/>
  <c r="Y29" i="23"/>
  <c r="AF29" i="23"/>
  <c r="AG29" i="23" s="1"/>
  <c r="AK29" i="23"/>
  <c r="T30" i="23"/>
  <c r="AD30" i="23" s="1"/>
  <c r="V30" i="23"/>
  <c r="Y30" i="23"/>
  <c r="AF30" i="23"/>
  <c r="AG30" i="23" s="1"/>
  <c r="AK30" i="23"/>
  <c r="T31" i="23"/>
  <c r="AD31" i="23" s="1"/>
  <c r="V31" i="23"/>
  <c r="Y31" i="23"/>
  <c r="AF31" i="23"/>
  <c r="AG31" i="23" s="1"/>
  <c r="AK31" i="23"/>
  <c r="T32" i="23"/>
  <c r="AE32" i="23" s="1"/>
  <c r="V32" i="23"/>
  <c r="Y32" i="23"/>
  <c r="AF32" i="23"/>
  <c r="AG32" i="23" s="1"/>
  <c r="AK32" i="23"/>
  <c r="T33" i="23"/>
  <c r="AD33" i="23" s="1"/>
  <c r="V33" i="23"/>
  <c r="Y33" i="23"/>
  <c r="AF33" i="23"/>
  <c r="AG33" i="23" s="1"/>
  <c r="AK33" i="23"/>
  <c r="AM33" i="23"/>
  <c r="T34" i="23"/>
  <c r="AD34" i="23" s="1"/>
  <c r="V34" i="23"/>
  <c r="Y34" i="23"/>
  <c r="AF34" i="23"/>
  <c r="AG34" i="23" s="1"/>
  <c r="AK34" i="23"/>
  <c r="AM34" i="23"/>
  <c r="T35" i="23"/>
  <c r="AD35" i="23" s="1"/>
  <c r="V35" i="23"/>
  <c r="Y35" i="23"/>
  <c r="AF35" i="23"/>
  <c r="AG35" i="23" s="1"/>
  <c r="AK35" i="23"/>
  <c r="T36" i="23"/>
  <c r="AH36" i="23" s="1"/>
  <c r="AI36" i="23" s="1"/>
  <c r="V36" i="23"/>
  <c r="Y36" i="23"/>
  <c r="AF36" i="23"/>
  <c r="AG36" i="23" s="1"/>
  <c r="AK36" i="23"/>
  <c r="AM36" i="23"/>
  <c r="T37" i="23"/>
  <c r="AD37" i="23" s="1"/>
  <c r="V37" i="23"/>
  <c r="Y37" i="23"/>
  <c r="AF37" i="23"/>
  <c r="AG37" i="23" s="1"/>
  <c r="AK37" i="23"/>
  <c r="T38" i="23"/>
  <c r="AE38" i="23" s="1"/>
  <c r="V38" i="23"/>
  <c r="Y38" i="23"/>
  <c r="AF38" i="23"/>
  <c r="AG38" i="23" s="1"/>
  <c r="AK38" i="23"/>
  <c r="T39" i="23"/>
  <c r="AE39" i="23" s="1"/>
  <c r="V39" i="23"/>
  <c r="Y39" i="23"/>
  <c r="AF39" i="23"/>
  <c r="AG39" i="23" s="1"/>
  <c r="AK39" i="23"/>
  <c r="AM39" i="23"/>
  <c r="T40" i="23"/>
  <c r="AH40" i="23" s="1"/>
  <c r="AI40" i="23" s="1"/>
  <c r="V40" i="23"/>
  <c r="Y40" i="23"/>
  <c r="AF40" i="23"/>
  <c r="AG40" i="23" s="1"/>
  <c r="AK40" i="23"/>
  <c r="T41" i="23"/>
  <c r="AH41" i="23" s="1"/>
  <c r="AI41" i="23" s="1"/>
  <c r="V41" i="23"/>
  <c r="Y41" i="23"/>
  <c r="AF41" i="23"/>
  <c r="AG41" i="23" s="1"/>
  <c r="AK41" i="23"/>
  <c r="T42" i="23"/>
  <c r="AD42" i="23" s="1"/>
  <c r="V42" i="23"/>
  <c r="Y42" i="23"/>
  <c r="AF42" i="23"/>
  <c r="AG42" i="23" s="1"/>
  <c r="AK42" i="23"/>
  <c r="AM42" i="23"/>
  <c r="T43" i="23"/>
  <c r="AD43" i="23" s="1"/>
  <c r="V43" i="23"/>
  <c r="Y43" i="23"/>
  <c r="AF43" i="23"/>
  <c r="AG43" i="23" s="1"/>
  <c r="AK43" i="23"/>
  <c r="T44" i="23"/>
  <c r="AE44" i="23" s="1"/>
  <c r="V44" i="23"/>
  <c r="Y44" i="23"/>
  <c r="AF44" i="23"/>
  <c r="AG44" i="23" s="1"/>
  <c r="AK44" i="23"/>
  <c r="T45" i="23"/>
  <c r="V45" i="23"/>
  <c r="Y45" i="23"/>
  <c r="AD45" i="23"/>
  <c r="AN45" i="23" s="1"/>
  <c r="AE45" i="23"/>
  <c r="AF45" i="23"/>
  <c r="AG45" i="23"/>
  <c r="AH45" i="23"/>
  <c r="AI45" i="23" s="1"/>
  <c r="AJ45" i="23" s="1"/>
  <c r="AK45" i="23"/>
  <c r="AM45" i="23"/>
  <c r="T46" i="23"/>
  <c r="AD46" i="23" s="1"/>
  <c r="V46" i="23"/>
  <c r="Y46" i="23"/>
  <c r="AE46" i="23"/>
  <c r="AF46" i="23"/>
  <c r="AG46" i="23" s="1"/>
  <c r="AK46" i="23"/>
  <c r="AM46" i="23"/>
  <c r="T47" i="23"/>
  <c r="AD47" i="23" s="1"/>
  <c r="V47" i="23"/>
  <c r="Y47" i="23"/>
  <c r="AF47" i="23"/>
  <c r="AG47" i="23" s="1"/>
  <c r="AK47" i="23"/>
  <c r="AM47" i="23"/>
  <c r="T48" i="23"/>
  <c r="V48" i="23"/>
  <c r="Y48" i="23"/>
  <c r="AD48" i="23"/>
  <c r="AE48" i="23"/>
  <c r="AF48" i="23"/>
  <c r="AG48" i="23"/>
  <c r="AH48" i="23"/>
  <c r="AI48" i="23" s="1"/>
  <c r="AK48" i="23"/>
  <c r="AM48" i="23"/>
  <c r="T49" i="23"/>
  <c r="AD49" i="23" s="1"/>
  <c r="V49" i="23"/>
  <c r="Y49" i="23"/>
  <c r="AF49" i="23"/>
  <c r="AG49" i="23" s="1"/>
  <c r="AH49" i="23"/>
  <c r="AI49" i="23" s="1"/>
  <c r="AK49" i="23"/>
  <c r="AM49" i="23"/>
  <c r="T50" i="23"/>
  <c r="AE50" i="23" s="1"/>
  <c r="V50" i="23"/>
  <c r="Y50" i="23"/>
  <c r="AD50" i="23"/>
  <c r="AF50" i="23"/>
  <c r="AG50" i="23"/>
  <c r="AK50" i="23"/>
  <c r="AM50" i="23"/>
  <c r="T51" i="23"/>
  <c r="V51" i="23"/>
  <c r="Y51" i="23"/>
  <c r="AD51" i="23"/>
  <c r="AN51" i="23" s="1"/>
  <c r="AE51" i="23"/>
  <c r="AF51" i="23"/>
  <c r="AG51" i="23"/>
  <c r="AH51" i="23"/>
  <c r="AI51" i="23" s="1"/>
  <c r="AJ51" i="23" s="1"/>
  <c r="AK51" i="23"/>
  <c r="AM51" i="23"/>
  <c r="T52" i="23"/>
  <c r="AH52" i="23" s="1"/>
  <c r="AI52" i="23" s="1"/>
  <c r="V52" i="23"/>
  <c r="Y52" i="23"/>
  <c r="AE52" i="23"/>
  <c r="AF52" i="23"/>
  <c r="AG52" i="23" s="1"/>
  <c r="AK52" i="23"/>
  <c r="AM52" i="23"/>
  <c r="T53" i="23"/>
  <c r="AH53" i="23" s="1"/>
  <c r="AI53" i="23" s="1"/>
  <c r="V53" i="23"/>
  <c r="Y53" i="23"/>
  <c r="AF53" i="23"/>
  <c r="AG53" i="23" s="1"/>
  <c r="AK53" i="23"/>
  <c r="AM53" i="23"/>
  <c r="T54" i="23"/>
  <c r="AD54" i="23" s="1"/>
  <c r="V54" i="23"/>
  <c r="Y54" i="23"/>
  <c r="AE54" i="23"/>
  <c r="AF54" i="23"/>
  <c r="AG54" i="23"/>
  <c r="AH54" i="23"/>
  <c r="AI54" i="23" s="1"/>
  <c r="AK54" i="23"/>
  <c r="AM54" i="23"/>
  <c r="T55" i="23"/>
  <c r="AD55" i="23" s="1"/>
  <c r="V55" i="23"/>
  <c r="Y55" i="23"/>
  <c r="AF55" i="23"/>
  <c r="AG55" i="23" s="1"/>
  <c r="AH55" i="23"/>
  <c r="AI55" i="23" s="1"/>
  <c r="AK55" i="23"/>
  <c r="AM55" i="23"/>
  <c r="T56" i="23"/>
  <c r="AE56" i="23" s="1"/>
  <c r="V56" i="23"/>
  <c r="Y56" i="23"/>
  <c r="AD56" i="23"/>
  <c r="AF56" i="23"/>
  <c r="AG56" i="23"/>
  <c r="AL56" i="23" s="1"/>
  <c r="AH56" i="23"/>
  <c r="AI56" i="23"/>
  <c r="AJ56" i="23" s="1"/>
  <c r="AK56" i="23"/>
  <c r="AM56" i="23"/>
  <c r="T57" i="23"/>
  <c r="V57" i="23"/>
  <c r="Y57" i="23"/>
  <c r="AD57" i="23"/>
  <c r="AE57" i="23"/>
  <c r="AF57" i="23"/>
  <c r="AG57" i="23"/>
  <c r="AL57" i="23" s="1"/>
  <c r="AH57" i="23"/>
  <c r="AI57" i="23" s="1"/>
  <c r="AJ57" i="23" s="1"/>
  <c r="AK57" i="23"/>
  <c r="AM57" i="23"/>
  <c r="T69" i="22"/>
  <c r="AH69" i="22" s="1"/>
  <c r="AI69" i="22" s="1"/>
  <c r="V69" i="22"/>
  <c r="Y69" i="22"/>
  <c r="AF69" i="22"/>
  <c r="AG69" i="22" s="1"/>
  <c r="AK69" i="22"/>
  <c r="T70" i="22"/>
  <c r="AH70" i="22" s="1"/>
  <c r="AI70" i="22" s="1"/>
  <c r="V70" i="22"/>
  <c r="Y70" i="22"/>
  <c r="AF70" i="22"/>
  <c r="AG70" i="22" s="1"/>
  <c r="AK70" i="22"/>
  <c r="T71" i="22"/>
  <c r="AH71" i="22" s="1"/>
  <c r="AI71" i="22" s="1"/>
  <c r="V71" i="22"/>
  <c r="Y71" i="22"/>
  <c r="AF71" i="22"/>
  <c r="AG71" i="22" s="1"/>
  <c r="AK71" i="22"/>
  <c r="AM71" i="22"/>
  <c r="T72" i="22"/>
  <c r="AD72" i="22" s="1"/>
  <c r="V72" i="22"/>
  <c r="Y72" i="22"/>
  <c r="AF72" i="22"/>
  <c r="AG72" i="22" s="1"/>
  <c r="AK72" i="22"/>
  <c r="T73" i="22"/>
  <c r="AD73" i="22" s="1"/>
  <c r="V73" i="22"/>
  <c r="Y73" i="22"/>
  <c r="AF73" i="22"/>
  <c r="AG73" i="22" s="1"/>
  <c r="AK73" i="22"/>
  <c r="T74" i="22"/>
  <c r="AE74" i="22" s="1"/>
  <c r="V74" i="22"/>
  <c r="Y74" i="22"/>
  <c r="AF74" i="22"/>
  <c r="AG74" i="22" s="1"/>
  <c r="AK74" i="22"/>
  <c r="T75" i="22"/>
  <c r="AD75" i="22" s="1"/>
  <c r="V75" i="22"/>
  <c r="Y75" i="22"/>
  <c r="AF75" i="22"/>
  <c r="AG75" i="22" s="1"/>
  <c r="AK75" i="22"/>
  <c r="AM75" i="22"/>
  <c r="T76" i="22"/>
  <c r="AD76" i="22" s="1"/>
  <c r="V76" i="22"/>
  <c r="Y76" i="22"/>
  <c r="AF76" i="22"/>
  <c r="AG76" i="22" s="1"/>
  <c r="AK76" i="22"/>
  <c r="T77" i="22"/>
  <c r="AD77" i="22" s="1"/>
  <c r="V77" i="22"/>
  <c r="Y77" i="22"/>
  <c r="AF77" i="22"/>
  <c r="AG77" i="22" s="1"/>
  <c r="AK77" i="22"/>
  <c r="T78" i="22"/>
  <c r="AD78" i="22" s="1"/>
  <c r="V78" i="22"/>
  <c r="Y78" i="22"/>
  <c r="AF78" i="22"/>
  <c r="AG78" i="22" s="1"/>
  <c r="AK78" i="22"/>
  <c r="T79" i="22"/>
  <c r="AE79" i="22" s="1"/>
  <c r="V79" i="22"/>
  <c r="Y79" i="22"/>
  <c r="AF79" i="22"/>
  <c r="AG79" i="22" s="1"/>
  <c r="AK79" i="22"/>
  <c r="T80" i="22"/>
  <c r="AH80" i="22" s="1"/>
  <c r="AI80" i="22" s="1"/>
  <c r="V80" i="22"/>
  <c r="Y80" i="22"/>
  <c r="AF80" i="22"/>
  <c r="AG80" i="22" s="1"/>
  <c r="AK80" i="22"/>
  <c r="AM80" i="22"/>
  <c r="T81" i="22"/>
  <c r="AH81" i="22" s="1"/>
  <c r="AI81" i="22" s="1"/>
  <c r="V81" i="22"/>
  <c r="Y81" i="22"/>
  <c r="AF81" i="22"/>
  <c r="AG81" i="22" s="1"/>
  <c r="AK81" i="22"/>
  <c r="T82" i="22"/>
  <c r="AH82" i="22" s="1"/>
  <c r="AI82" i="22" s="1"/>
  <c r="V82" i="22"/>
  <c r="Y82" i="22"/>
  <c r="AF82" i="22"/>
  <c r="AG82" i="22" s="1"/>
  <c r="AK82" i="22"/>
  <c r="AM82" i="22"/>
  <c r="T83" i="22"/>
  <c r="AH83" i="22" s="1"/>
  <c r="AI83" i="22" s="1"/>
  <c r="V83" i="22"/>
  <c r="Y83" i="22"/>
  <c r="AF83" i="22"/>
  <c r="AG83" i="22" s="1"/>
  <c r="AK83" i="22"/>
  <c r="T84" i="22"/>
  <c r="AD84" i="22" s="1"/>
  <c r="V84" i="22"/>
  <c r="Y84" i="22"/>
  <c r="AF84" i="22"/>
  <c r="AG84" i="22" s="1"/>
  <c r="AK84" i="22"/>
  <c r="AM84" i="22"/>
  <c r="T85" i="22"/>
  <c r="AD85" i="22" s="1"/>
  <c r="V85" i="22"/>
  <c r="Y85" i="22"/>
  <c r="AF85" i="22"/>
  <c r="AG85" i="22" s="1"/>
  <c r="AK85" i="22"/>
  <c r="AM85" i="22"/>
  <c r="T86" i="22"/>
  <c r="AE86" i="22" s="1"/>
  <c r="V86" i="22"/>
  <c r="Y86" i="22"/>
  <c r="AF86" i="22"/>
  <c r="AG86" i="22" s="1"/>
  <c r="AK86" i="22"/>
  <c r="T87" i="22"/>
  <c r="AE87" i="22" s="1"/>
  <c r="V87" i="22"/>
  <c r="Y87" i="22"/>
  <c r="AF87" i="22"/>
  <c r="AG87" i="22" s="1"/>
  <c r="AK87" i="22"/>
  <c r="AM87" i="22"/>
  <c r="T88" i="22"/>
  <c r="AD88" i="22" s="1"/>
  <c r="V88" i="22"/>
  <c r="Y88" i="22"/>
  <c r="AF88" i="22"/>
  <c r="AG88" i="22" s="1"/>
  <c r="AK88" i="22"/>
  <c r="T81" i="20"/>
  <c r="AH81" i="20" s="1"/>
  <c r="AI81" i="20" s="1"/>
  <c r="V81" i="20"/>
  <c r="Y81" i="20"/>
  <c r="AF81" i="20"/>
  <c r="AG81" i="20" s="1"/>
  <c r="AK81" i="20"/>
  <c r="AM81" i="20"/>
  <c r="T82" i="20"/>
  <c r="AH82" i="20" s="1"/>
  <c r="AI82" i="20" s="1"/>
  <c r="V82" i="20"/>
  <c r="Y82" i="20"/>
  <c r="AF82" i="20"/>
  <c r="AG82" i="20" s="1"/>
  <c r="AK82" i="20"/>
  <c r="T83" i="20"/>
  <c r="AH83" i="20" s="1"/>
  <c r="AI83" i="20" s="1"/>
  <c r="V83" i="20"/>
  <c r="Y83" i="20"/>
  <c r="AF83" i="20"/>
  <c r="AG83" i="20"/>
  <c r="AK83" i="20"/>
  <c r="AM83" i="20"/>
  <c r="T84" i="20"/>
  <c r="AD84" i="20" s="1"/>
  <c r="V84" i="20"/>
  <c r="Y84" i="20"/>
  <c r="AF84" i="20"/>
  <c r="AG84" i="20" s="1"/>
  <c r="AK84" i="20"/>
  <c r="AM84" i="20"/>
  <c r="T85" i="20"/>
  <c r="AE85" i="20" s="1"/>
  <c r="V85" i="20"/>
  <c r="Y85" i="20"/>
  <c r="AF85" i="20"/>
  <c r="AG85" i="20" s="1"/>
  <c r="AH85" i="20"/>
  <c r="AI85" i="20" s="1"/>
  <c r="AK85" i="20"/>
  <c r="T86" i="20"/>
  <c r="AD86" i="20" s="1"/>
  <c r="V86" i="20"/>
  <c r="Y86" i="20"/>
  <c r="AF86" i="20"/>
  <c r="AG86" i="20" s="1"/>
  <c r="AH86" i="20"/>
  <c r="AI86" i="20" s="1"/>
  <c r="AL86" i="20" s="1"/>
  <c r="AK86" i="20"/>
  <c r="AM86" i="20"/>
  <c r="T87" i="20"/>
  <c r="AE87" i="20" s="1"/>
  <c r="V87" i="20"/>
  <c r="Y87" i="20"/>
  <c r="AF87" i="20"/>
  <c r="AG87" i="20" s="1"/>
  <c r="AK87" i="20"/>
  <c r="T88" i="20"/>
  <c r="AH88" i="20" s="1"/>
  <c r="AI88" i="20" s="1"/>
  <c r="V88" i="20"/>
  <c r="Y88" i="20"/>
  <c r="AD88" i="20"/>
  <c r="AF88" i="20"/>
  <c r="AG88" i="20" s="1"/>
  <c r="AK88" i="20"/>
  <c r="AM88" i="20"/>
  <c r="T89" i="20"/>
  <c r="AD89" i="20" s="1"/>
  <c r="V89" i="20"/>
  <c r="Y89" i="20"/>
  <c r="AF89" i="20"/>
  <c r="AG89" i="20" s="1"/>
  <c r="AK89" i="20"/>
  <c r="T90" i="20"/>
  <c r="AE90" i="20" s="1"/>
  <c r="V90" i="20"/>
  <c r="Y90" i="20"/>
  <c r="AF90" i="20"/>
  <c r="AG90" i="20" s="1"/>
  <c r="AK90" i="20"/>
  <c r="T91" i="20"/>
  <c r="AD91" i="20" s="1"/>
  <c r="V91" i="20"/>
  <c r="Y91" i="20"/>
  <c r="AF91" i="20"/>
  <c r="AG91" i="20" s="1"/>
  <c r="AK91" i="20"/>
  <c r="T92" i="20"/>
  <c r="AE92" i="20" s="1"/>
  <c r="V92" i="20"/>
  <c r="Y92" i="20"/>
  <c r="AF92" i="20"/>
  <c r="AG92" i="20" s="1"/>
  <c r="AK92" i="20"/>
  <c r="T93" i="20"/>
  <c r="AH93" i="20" s="1"/>
  <c r="AI93" i="20" s="1"/>
  <c r="V93" i="20"/>
  <c r="Y93" i="20"/>
  <c r="AF93" i="20"/>
  <c r="AG93" i="20" s="1"/>
  <c r="AK93" i="20"/>
  <c r="T94" i="20"/>
  <c r="AH94" i="20" s="1"/>
  <c r="AI94" i="20" s="1"/>
  <c r="V94" i="20"/>
  <c r="Y94" i="20"/>
  <c r="AF94" i="20"/>
  <c r="AG94" i="20" s="1"/>
  <c r="AK94" i="20"/>
  <c r="AM94" i="20"/>
  <c r="T95" i="20"/>
  <c r="AH95" i="20" s="1"/>
  <c r="AI95" i="20" s="1"/>
  <c r="V95" i="20"/>
  <c r="Y95" i="20"/>
  <c r="AF95" i="20"/>
  <c r="AG95" i="20" s="1"/>
  <c r="AK95" i="20"/>
  <c r="T96" i="20"/>
  <c r="AD96" i="20" s="1"/>
  <c r="V96" i="20"/>
  <c r="Y96" i="20"/>
  <c r="AF96" i="20"/>
  <c r="AG96" i="20" s="1"/>
  <c r="AK96" i="20"/>
  <c r="AM96" i="20"/>
  <c r="T97" i="20"/>
  <c r="AE97" i="20" s="1"/>
  <c r="V97" i="20"/>
  <c r="Y97" i="20"/>
  <c r="AF97" i="20"/>
  <c r="AG97" i="20" s="1"/>
  <c r="AK97" i="20"/>
  <c r="AM97" i="20"/>
  <c r="T98" i="20"/>
  <c r="AD98" i="20" s="1"/>
  <c r="V98" i="20"/>
  <c r="Y98" i="20"/>
  <c r="AF98" i="20"/>
  <c r="AG98" i="20" s="1"/>
  <c r="AK98" i="20"/>
  <c r="AM98" i="20"/>
  <c r="T99" i="20"/>
  <c r="AE99" i="20" s="1"/>
  <c r="V99" i="20"/>
  <c r="Y99" i="20"/>
  <c r="AF99" i="20"/>
  <c r="AG99" i="20" s="1"/>
  <c r="AK99" i="20"/>
  <c r="AM99" i="20"/>
  <c r="T100" i="20"/>
  <c r="AH100" i="20" s="1"/>
  <c r="AI100" i="20" s="1"/>
  <c r="V100" i="20"/>
  <c r="Y100" i="20"/>
  <c r="AD100" i="20"/>
  <c r="AE100" i="20"/>
  <c r="AF100" i="20"/>
  <c r="AG100" i="20" s="1"/>
  <c r="AJ100" i="20" s="1"/>
  <c r="AK100" i="20"/>
  <c r="AM100" i="20"/>
  <c r="T101" i="20"/>
  <c r="AD101" i="20" s="1"/>
  <c r="V101" i="20"/>
  <c r="Y101" i="20"/>
  <c r="AF101" i="20"/>
  <c r="AG101" i="20" s="1"/>
  <c r="AK101" i="20"/>
  <c r="AM101" i="20"/>
  <c r="T102" i="20"/>
  <c r="AE102" i="20" s="1"/>
  <c r="V102" i="20"/>
  <c r="Y102" i="20"/>
  <c r="AF102" i="20"/>
  <c r="AG102" i="20" s="1"/>
  <c r="AK102" i="20"/>
  <c r="T103" i="20"/>
  <c r="AD103" i="20" s="1"/>
  <c r="V103" i="20"/>
  <c r="Y103" i="20"/>
  <c r="AF103" i="20"/>
  <c r="AG103" i="20" s="1"/>
  <c r="AK103" i="20"/>
  <c r="AM103" i="20"/>
  <c r="T104" i="20"/>
  <c r="AE104" i="20" s="1"/>
  <c r="V104" i="20"/>
  <c r="Y104" i="20"/>
  <c r="AF104" i="20"/>
  <c r="AG104" i="20" s="1"/>
  <c r="AK104" i="20"/>
  <c r="AM104" i="20"/>
  <c r="T105" i="20"/>
  <c r="AH105" i="20" s="1"/>
  <c r="AI105" i="20" s="1"/>
  <c r="V105" i="20"/>
  <c r="Y105" i="20"/>
  <c r="AF105" i="20"/>
  <c r="AG105" i="20" s="1"/>
  <c r="AK105" i="20"/>
  <c r="T106" i="20"/>
  <c r="AH106" i="20" s="1"/>
  <c r="AI106" i="20" s="1"/>
  <c r="V106" i="20"/>
  <c r="Y106" i="20"/>
  <c r="AF106" i="20"/>
  <c r="AG106" i="20" s="1"/>
  <c r="AK106" i="20"/>
  <c r="T107" i="20"/>
  <c r="AH107" i="20" s="1"/>
  <c r="AI107" i="20" s="1"/>
  <c r="V107" i="20"/>
  <c r="Y107" i="20"/>
  <c r="AF107" i="20"/>
  <c r="AG107" i="20" s="1"/>
  <c r="AK107" i="20"/>
  <c r="AM107" i="20"/>
  <c r="T108" i="20"/>
  <c r="AD108" i="20" s="1"/>
  <c r="V108" i="20"/>
  <c r="Y108" i="20"/>
  <c r="AF108" i="20"/>
  <c r="AG108" i="20" s="1"/>
  <c r="AK108" i="20"/>
  <c r="T109" i="20"/>
  <c r="AD109" i="20" s="1"/>
  <c r="V109" i="20"/>
  <c r="Y109" i="20"/>
  <c r="AE109" i="20"/>
  <c r="AF109" i="20"/>
  <c r="AG109" i="20" s="1"/>
  <c r="AK109" i="20"/>
  <c r="AM109" i="20"/>
  <c r="T110" i="20"/>
  <c r="AH110" i="20" s="1"/>
  <c r="AI110" i="20" s="1"/>
  <c r="V110" i="20"/>
  <c r="Y110" i="20"/>
  <c r="AD110" i="20"/>
  <c r="AF110" i="20"/>
  <c r="AG110" i="20" s="1"/>
  <c r="AK110" i="20"/>
  <c r="AM110" i="20"/>
  <c r="T111" i="20"/>
  <c r="AE111" i="20" s="1"/>
  <c r="V111" i="20"/>
  <c r="Y111" i="20"/>
  <c r="AF111" i="20"/>
  <c r="AG111" i="20" s="1"/>
  <c r="AK111" i="20"/>
  <c r="AM111" i="20"/>
  <c r="T112" i="20"/>
  <c r="AH112" i="20" s="1"/>
  <c r="AI112" i="20" s="1"/>
  <c r="V112" i="20"/>
  <c r="Y112" i="20"/>
  <c r="AF112" i="20"/>
  <c r="AG112" i="20" s="1"/>
  <c r="AK112" i="20"/>
  <c r="AM112" i="20"/>
  <c r="T113" i="20"/>
  <c r="AD113" i="20" s="1"/>
  <c r="V113" i="20"/>
  <c r="Y113" i="20"/>
  <c r="AF113" i="20"/>
  <c r="AG113" i="20" s="1"/>
  <c r="AK113" i="20"/>
  <c r="AM113" i="20"/>
  <c r="T114" i="20"/>
  <c r="AE114" i="20" s="1"/>
  <c r="V114" i="20"/>
  <c r="Y114" i="20"/>
  <c r="AF114" i="20"/>
  <c r="AG114" i="20"/>
  <c r="AK114" i="20"/>
  <c r="AM114" i="20"/>
  <c r="T115" i="20"/>
  <c r="AH115" i="20" s="1"/>
  <c r="AI115" i="20" s="1"/>
  <c r="V115" i="20"/>
  <c r="Y115" i="20"/>
  <c r="AF115" i="20"/>
  <c r="AG115" i="20" s="1"/>
  <c r="AK115" i="20"/>
  <c r="T116" i="20"/>
  <c r="AE116" i="20" s="1"/>
  <c r="V116" i="20"/>
  <c r="Y116" i="20"/>
  <c r="AD116" i="20"/>
  <c r="AF116" i="20"/>
  <c r="AG116" i="20" s="1"/>
  <c r="AK116" i="20"/>
  <c r="AM116" i="20"/>
  <c r="T117" i="20"/>
  <c r="AH117" i="20" s="1"/>
  <c r="AI117" i="20" s="1"/>
  <c r="V117" i="20"/>
  <c r="Y117" i="20"/>
  <c r="AD117" i="20"/>
  <c r="AF117" i="20"/>
  <c r="AG117" i="20" s="1"/>
  <c r="AK117" i="20"/>
  <c r="AM117" i="20"/>
  <c r="T118" i="20"/>
  <c r="AH118" i="20" s="1"/>
  <c r="AI118" i="20" s="1"/>
  <c r="V118" i="20"/>
  <c r="Y118" i="20"/>
  <c r="AF118" i="20"/>
  <c r="AG118" i="20" s="1"/>
  <c r="AK118" i="20"/>
  <c r="T119" i="20"/>
  <c r="AH119" i="20" s="1"/>
  <c r="AI119" i="20" s="1"/>
  <c r="V119" i="20"/>
  <c r="Y119" i="20"/>
  <c r="AF119" i="20"/>
  <c r="AG119" i="20" s="1"/>
  <c r="AJ119" i="20" s="1"/>
  <c r="AK119" i="20"/>
  <c r="T120" i="20"/>
  <c r="AD120" i="20" s="1"/>
  <c r="V120" i="20"/>
  <c r="Y120" i="20"/>
  <c r="AF120" i="20"/>
  <c r="AG120" i="20" s="1"/>
  <c r="AK120" i="20"/>
  <c r="AM120" i="20"/>
  <c r="T121" i="20"/>
  <c r="AD121" i="20" s="1"/>
  <c r="V121" i="20"/>
  <c r="Y121" i="20"/>
  <c r="AF121" i="20"/>
  <c r="AG121" i="20" s="1"/>
  <c r="AK121" i="20"/>
  <c r="AM121" i="20"/>
  <c r="T122" i="20"/>
  <c r="AH122" i="20" s="1"/>
  <c r="AI122" i="20" s="1"/>
  <c r="AJ122" i="20" s="1"/>
  <c r="V122" i="20"/>
  <c r="Y122" i="20"/>
  <c r="AD122" i="20"/>
  <c r="AN122" i="20" s="1"/>
  <c r="AE122" i="20"/>
  <c r="AF122" i="20"/>
  <c r="AG122" i="20"/>
  <c r="AK122" i="20"/>
  <c r="AM122" i="20"/>
  <c r="T123" i="20"/>
  <c r="AE123" i="20" s="1"/>
  <c r="V123" i="20"/>
  <c r="Y123" i="20"/>
  <c r="AD123" i="20"/>
  <c r="AF123" i="20"/>
  <c r="AG123" i="20" s="1"/>
  <c r="AH123" i="20"/>
  <c r="AI123" i="20" s="1"/>
  <c r="AK123" i="20"/>
  <c r="AM123" i="20"/>
  <c r="T124" i="20"/>
  <c r="V124" i="20"/>
  <c r="Y124" i="20"/>
  <c r="AD124" i="20"/>
  <c r="AE124" i="20"/>
  <c r="AN124" i="20" s="1"/>
  <c r="AF124" i="20"/>
  <c r="AG124" i="20"/>
  <c r="AJ124" i="20" s="1"/>
  <c r="AH124" i="20"/>
  <c r="AI124" i="20"/>
  <c r="AK124" i="20"/>
  <c r="AL124" i="20"/>
  <c r="AM124" i="20"/>
  <c r="T125" i="20"/>
  <c r="AD125" i="20" s="1"/>
  <c r="V125" i="20"/>
  <c r="Y125" i="20"/>
  <c r="AF125" i="20"/>
  <c r="AG125" i="20" s="1"/>
  <c r="AK125" i="20"/>
  <c r="AM125" i="20"/>
  <c r="T126" i="20"/>
  <c r="AE126" i="20" s="1"/>
  <c r="AN126" i="20" s="1"/>
  <c r="V126" i="20"/>
  <c r="Y126" i="20"/>
  <c r="AD126" i="20"/>
  <c r="AF126" i="20"/>
  <c r="AG126" i="20"/>
  <c r="AK126" i="20"/>
  <c r="AM126" i="20"/>
  <c r="T127" i="20"/>
  <c r="V127" i="20"/>
  <c r="Y127" i="20"/>
  <c r="AD127" i="20"/>
  <c r="AE127" i="20"/>
  <c r="AF127" i="20"/>
  <c r="AG127" i="20"/>
  <c r="AJ127" i="20" s="1"/>
  <c r="AH127" i="20"/>
  <c r="AI127" i="20" s="1"/>
  <c r="AL127" i="20" s="1"/>
  <c r="AK127" i="20"/>
  <c r="AM127" i="20"/>
  <c r="T128" i="20"/>
  <c r="AE128" i="20" s="1"/>
  <c r="V128" i="20"/>
  <c r="Y128" i="20"/>
  <c r="AD128" i="20"/>
  <c r="AF128" i="20"/>
  <c r="AG128" i="20" s="1"/>
  <c r="AK128" i="20"/>
  <c r="AM128" i="20"/>
  <c r="T129" i="20"/>
  <c r="AH129" i="20" s="1"/>
  <c r="AI129" i="20" s="1"/>
  <c r="AJ129" i="20" s="1"/>
  <c r="V129" i="20"/>
  <c r="Y129" i="20"/>
  <c r="AD129" i="20"/>
  <c r="AE129" i="20"/>
  <c r="AF129" i="20"/>
  <c r="AG129" i="20"/>
  <c r="AL129" i="20" s="1"/>
  <c r="AK129" i="20"/>
  <c r="AM129" i="20"/>
  <c r="T130" i="20"/>
  <c r="AH130" i="20" s="1"/>
  <c r="AI130" i="20" s="1"/>
  <c r="V130" i="20"/>
  <c r="Y130" i="20"/>
  <c r="AF130" i="20"/>
  <c r="AG130" i="20" s="1"/>
  <c r="AK130" i="20"/>
  <c r="AM130" i="20"/>
  <c r="T131" i="20"/>
  <c r="AH131" i="20" s="1"/>
  <c r="AI131" i="20" s="1"/>
  <c r="V131" i="20"/>
  <c r="Y131" i="20"/>
  <c r="AD131" i="20"/>
  <c r="AF131" i="20"/>
  <c r="AG131" i="20"/>
  <c r="AK131" i="20"/>
  <c r="AM131" i="20"/>
  <c r="T132" i="20"/>
  <c r="V132" i="20"/>
  <c r="Y132" i="20"/>
  <c r="AD132" i="20"/>
  <c r="AE132" i="20"/>
  <c r="AF132" i="20"/>
  <c r="AG132" i="20"/>
  <c r="AH132" i="20"/>
  <c r="AI132" i="20" s="1"/>
  <c r="AK132" i="20"/>
  <c r="AM132" i="20"/>
  <c r="T133" i="20"/>
  <c r="AD133" i="20" s="1"/>
  <c r="V133" i="20"/>
  <c r="Y133" i="20"/>
  <c r="AF133" i="20"/>
  <c r="AG133" i="20" s="1"/>
  <c r="AH133" i="20"/>
  <c r="AI133" i="20"/>
  <c r="AK133" i="20"/>
  <c r="AM133" i="20"/>
  <c r="T25" i="14"/>
  <c r="AH25" i="14" s="1"/>
  <c r="AI25" i="14" s="1"/>
  <c r="V25" i="14"/>
  <c r="Y25" i="14"/>
  <c r="AF25" i="14"/>
  <c r="AG25" i="14" s="1"/>
  <c r="AK25" i="14"/>
  <c r="AM25" i="14"/>
  <c r="T26" i="14"/>
  <c r="AH26" i="14" s="1"/>
  <c r="AI26" i="14" s="1"/>
  <c r="V26" i="14"/>
  <c r="Y26" i="14"/>
  <c r="AF26" i="14"/>
  <c r="AG26" i="14" s="1"/>
  <c r="AK26" i="14"/>
  <c r="AM26" i="14"/>
  <c r="T27" i="14"/>
  <c r="AH27" i="14" s="1"/>
  <c r="AI27" i="14" s="1"/>
  <c r="V27" i="14"/>
  <c r="Y27" i="14"/>
  <c r="AF27" i="14"/>
  <c r="AG27" i="14" s="1"/>
  <c r="AK27" i="14"/>
  <c r="T28" i="14"/>
  <c r="AE28" i="14" s="1"/>
  <c r="V28" i="14"/>
  <c r="Y28" i="14"/>
  <c r="AF28" i="14"/>
  <c r="AG28" i="14" s="1"/>
  <c r="AK28" i="14"/>
  <c r="T29" i="14"/>
  <c r="AH29" i="14" s="1"/>
  <c r="AI29" i="14" s="1"/>
  <c r="V29" i="14"/>
  <c r="Y29" i="14"/>
  <c r="AF29" i="14"/>
  <c r="AG29" i="14" s="1"/>
  <c r="AK29" i="14"/>
  <c r="T30" i="14"/>
  <c r="AE30" i="14" s="1"/>
  <c r="V30" i="14"/>
  <c r="Y30" i="14"/>
  <c r="AD30" i="14"/>
  <c r="AF30" i="14"/>
  <c r="AG30" i="14" s="1"/>
  <c r="AK30" i="14"/>
  <c r="T31" i="14"/>
  <c r="AH31" i="14" s="1"/>
  <c r="AI31" i="14" s="1"/>
  <c r="V31" i="14"/>
  <c r="Y31" i="14"/>
  <c r="AF31" i="14"/>
  <c r="AG31" i="14" s="1"/>
  <c r="AK31" i="14"/>
  <c r="T32" i="14"/>
  <c r="AD32" i="14" s="1"/>
  <c r="V32" i="14"/>
  <c r="Y32" i="14"/>
  <c r="AF32" i="14"/>
  <c r="AG32" i="14" s="1"/>
  <c r="AK32" i="14"/>
  <c r="T33" i="14"/>
  <c r="AD33" i="14" s="1"/>
  <c r="V33" i="14"/>
  <c r="Y33" i="14"/>
  <c r="AF33" i="14"/>
  <c r="AG33" i="14" s="1"/>
  <c r="AK33" i="14"/>
  <c r="AM33" i="14"/>
  <c r="T34" i="14"/>
  <c r="AD34" i="14" s="1"/>
  <c r="V34" i="14"/>
  <c r="Y34" i="14"/>
  <c r="AF34" i="14"/>
  <c r="AG34" i="14" s="1"/>
  <c r="AK34" i="14"/>
  <c r="AM34" i="14"/>
  <c r="T35" i="14"/>
  <c r="AH35" i="14" s="1"/>
  <c r="AI35" i="14" s="1"/>
  <c r="V35" i="14"/>
  <c r="Y35" i="14"/>
  <c r="AD35" i="14"/>
  <c r="AF35" i="14"/>
  <c r="AG35" i="14" s="1"/>
  <c r="AK35" i="14"/>
  <c r="T36" i="14"/>
  <c r="AE36" i="14" s="1"/>
  <c r="V36" i="14"/>
  <c r="Y36" i="14"/>
  <c r="AF36" i="14"/>
  <c r="AG36" i="14" s="1"/>
  <c r="AK36" i="14"/>
  <c r="T37" i="14"/>
  <c r="AH37" i="14" s="1"/>
  <c r="AI37" i="14" s="1"/>
  <c r="V37" i="14"/>
  <c r="Y37" i="14"/>
  <c r="AD37" i="14"/>
  <c r="AF37" i="14"/>
  <c r="AG37" i="14" s="1"/>
  <c r="AK37" i="14"/>
  <c r="AM37" i="14"/>
  <c r="T38" i="14"/>
  <c r="AH38" i="14" s="1"/>
  <c r="AI38" i="14" s="1"/>
  <c r="V38" i="14"/>
  <c r="Y38" i="14"/>
  <c r="AF38" i="14"/>
  <c r="AG38" i="14" s="1"/>
  <c r="AK38" i="14"/>
  <c r="AM38" i="14"/>
  <c r="T39" i="14"/>
  <c r="AH39" i="14" s="1"/>
  <c r="AI39" i="14" s="1"/>
  <c r="V39" i="14"/>
  <c r="Y39" i="14"/>
  <c r="AF39" i="14"/>
  <c r="AG39" i="14" s="1"/>
  <c r="AK39" i="14"/>
  <c r="AM39" i="14"/>
  <c r="T40" i="14"/>
  <c r="AE40" i="14" s="1"/>
  <c r="V40" i="14"/>
  <c r="Y40" i="14"/>
  <c r="AF40" i="14"/>
  <c r="AG40" i="14"/>
  <c r="AK40" i="14"/>
  <c r="AM40" i="14"/>
  <c r="T41" i="14"/>
  <c r="AD41" i="14" s="1"/>
  <c r="V41" i="14"/>
  <c r="Y41" i="14"/>
  <c r="AF41" i="14"/>
  <c r="AG41" i="14" s="1"/>
  <c r="AK41" i="14"/>
  <c r="T42" i="14"/>
  <c r="AE42" i="14" s="1"/>
  <c r="V42" i="14"/>
  <c r="Y42" i="14"/>
  <c r="AF42" i="14"/>
  <c r="AG42" i="14" s="1"/>
  <c r="AK42" i="14"/>
  <c r="T43" i="14"/>
  <c r="AH43" i="14" s="1"/>
  <c r="AI43" i="14" s="1"/>
  <c r="V43" i="14"/>
  <c r="Y43" i="14"/>
  <c r="AF43" i="14"/>
  <c r="AG43" i="14" s="1"/>
  <c r="AK43" i="14"/>
  <c r="T44" i="14"/>
  <c r="AD44" i="14" s="1"/>
  <c r="V44" i="14"/>
  <c r="Y44" i="14"/>
  <c r="AF44" i="14"/>
  <c r="AG44" i="14" s="1"/>
  <c r="AK44" i="14"/>
  <c r="T45" i="14"/>
  <c r="AD45" i="14" s="1"/>
  <c r="V45" i="14"/>
  <c r="Y45" i="14"/>
  <c r="AF45" i="14"/>
  <c r="AG45" i="14" s="1"/>
  <c r="AK45" i="14"/>
  <c r="T46" i="14"/>
  <c r="AD46" i="14" s="1"/>
  <c r="V46" i="14"/>
  <c r="Y46" i="14"/>
  <c r="AF46" i="14"/>
  <c r="AG46" i="14" s="1"/>
  <c r="AK46" i="14"/>
  <c r="T47" i="14"/>
  <c r="AD47" i="14" s="1"/>
  <c r="V47" i="14"/>
  <c r="Y47" i="14"/>
  <c r="AF47" i="14"/>
  <c r="AG47" i="14"/>
  <c r="AK47" i="14"/>
  <c r="AM47" i="14"/>
  <c r="T48" i="14"/>
  <c r="AE48" i="14" s="1"/>
  <c r="V48" i="14"/>
  <c r="Y48" i="14"/>
  <c r="AF48" i="14"/>
  <c r="AG48" i="14" s="1"/>
  <c r="AK48" i="14"/>
  <c r="AM48" i="14"/>
  <c r="T49" i="14"/>
  <c r="AH49" i="14" s="1"/>
  <c r="AI49" i="14" s="1"/>
  <c r="V49" i="14"/>
  <c r="Y49" i="14"/>
  <c r="AD49" i="14"/>
  <c r="AE49" i="14"/>
  <c r="AF49" i="14"/>
  <c r="AG49" i="14"/>
  <c r="AK49" i="14"/>
  <c r="AM49" i="14"/>
  <c r="T50" i="14"/>
  <c r="AH50" i="14" s="1"/>
  <c r="AI50" i="14" s="1"/>
  <c r="V50" i="14"/>
  <c r="Y50" i="14"/>
  <c r="AF50" i="14"/>
  <c r="AG50" i="14" s="1"/>
  <c r="AK50" i="14"/>
  <c r="AM50" i="14"/>
  <c r="T51" i="14"/>
  <c r="AH51" i="14" s="1"/>
  <c r="AI51" i="14" s="1"/>
  <c r="V51" i="14"/>
  <c r="Y51" i="14"/>
  <c r="AF51" i="14"/>
  <c r="AG51" i="14" s="1"/>
  <c r="AK51" i="14"/>
  <c r="AM51" i="14"/>
  <c r="T52" i="14"/>
  <c r="AE52" i="14" s="1"/>
  <c r="V52" i="14"/>
  <c r="Y52" i="14"/>
  <c r="AD52" i="14"/>
  <c r="AF52" i="14"/>
  <c r="AG52" i="14" s="1"/>
  <c r="AH52" i="14"/>
  <c r="AI52" i="14" s="1"/>
  <c r="AK52" i="14"/>
  <c r="AM52" i="14"/>
  <c r="T53" i="14"/>
  <c r="AE53" i="14" s="1"/>
  <c r="V53" i="14"/>
  <c r="Y53" i="14"/>
  <c r="AD53" i="14"/>
  <c r="AF53" i="14"/>
  <c r="AG53" i="14"/>
  <c r="AK53" i="14"/>
  <c r="AM53" i="14"/>
  <c r="T54" i="14"/>
  <c r="AE54" i="14" s="1"/>
  <c r="V54" i="14"/>
  <c r="Y54" i="14"/>
  <c r="AD54" i="14"/>
  <c r="AF54" i="14"/>
  <c r="AG54" i="14" s="1"/>
  <c r="AK54" i="14"/>
  <c r="AM54" i="14"/>
  <c r="T55" i="14"/>
  <c r="AH55" i="14" s="1"/>
  <c r="AI55" i="14" s="1"/>
  <c r="V55" i="14"/>
  <c r="Y55" i="14"/>
  <c r="AD55" i="14"/>
  <c r="AE55" i="14"/>
  <c r="AF55" i="14"/>
  <c r="AG55" i="14"/>
  <c r="AK55" i="14"/>
  <c r="AM55" i="14"/>
  <c r="T56" i="14"/>
  <c r="AE56" i="14" s="1"/>
  <c r="V56" i="14"/>
  <c r="Y56" i="14"/>
  <c r="AD56" i="14"/>
  <c r="AF56" i="14"/>
  <c r="AG56" i="14" s="1"/>
  <c r="AK56" i="14"/>
  <c r="AM56" i="14"/>
  <c r="T57" i="14"/>
  <c r="AD57" i="14" s="1"/>
  <c r="V57" i="14"/>
  <c r="Y57" i="14"/>
  <c r="AE57" i="14"/>
  <c r="AF57" i="14"/>
  <c r="AG57" i="14"/>
  <c r="AK57" i="14"/>
  <c r="AM57" i="14"/>
  <c r="T58" i="14"/>
  <c r="AD58" i="14" s="1"/>
  <c r="V58" i="14"/>
  <c r="Y58" i="14"/>
  <c r="AF58" i="14"/>
  <c r="AG58" i="14" s="1"/>
  <c r="AK58" i="14"/>
  <c r="AM58" i="14"/>
  <c r="T59" i="14"/>
  <c r="V59" i="14"/>
  <c r="Y59" i="14"/>
  <c r="AD59" i="14"/>
  <c r="AE59" i="14"/>
  <c r="AF59" i="14"/>
  <c r="AG59" i="14"/>
  <c r="AJ59" i="14" s="1"/>
  <c r="AH59" i="14"/>
  <c r="AI59" i="14"/>
  <c r="AK59" i="14"/>
  <c r="AM59" i="14"/>
  <c r="T60" i="14"/>
  <c r="AE60" i="14" s="1"/>
  <c r="V60" i="14"/>
  <c r="Y60" i="14"/>
  <c r="AD60" i="14"/>
  <c r="AF60" i="14"/>
  <c r="AG60" i="14" s="1"/>
  <c r="AH60" i="14"/>
  <c r="AI60" i="14" s="1"/>
  <c r="AK60" i="14"/>
  <c r="AM60" i="14"/>
  <c r="T25" i="13"/>
  <c r="AE25" i="13" s="1"/>
  <c r="V25" i="13"/>
  <c r="Y25" i="13"/>
  <c r="AF25" i="13"/>
  <c r="AG25" i="13" s="1"/>
  <c r="AK25" i="13"/>
  <c r="AM25" i="13"/>
  <c r="T26" i="13"/>
  <c r="AD26" i="13" s="1"/>
  <c r="V26" i="13"/>
  <c r="Y26" i="13"/>
  <c r="AF26" i="13"/>
  <c r="AG26" i="13" s="1"/>
  <c r="AK26" i="13"/>
  <c r="T27" i="13"/>
  <c r="AH27" i="13" s="1"/>
  <c r="AI27" i="13" s="1"/>
  <c r="V27" i="13"/>
  <c r="Y27" i="13"/>
  <c r="AF27" i="13"/>
  <c r="AG27" i="13" s="1"/>
  <c r="AK27" i="13"/>
  <c r="AM27" i="13"/>
  <c r="T28" i="13"/>
  <c r="AD28" i="13" s="1"/>
  <c r="V28" i="13"/>
  <c r="Y28" i="13"/>
  <c r="AE28" i="13"/>
  <c r="AF28" i="13"/>
  <c r="AG28" i="13"/>
  <c r="AH28" i="13"/>
  <c r="AI28" i="13" s="1"/>
  <c r="AK28" i="13"/>
  <c r="AM28" i="13"/>
  <c r="T29" i="13"/>
  <c r="AD29" i="13" s="1"/>
  <c r="V29" i="13"/>
  <c r="Y29" i="13"/>
  <c r="AF29" i="13"/>
  <c r="AG29" i="13" s="1"/>
  <c r="AH29" i="13"/>
  <c r="AI29" i="13" s="1"/>
  <c r="AK29" i="13"/>
  <c r="AM29" i="13"/>
  <c r="T30" i="13"/>
  <c r="AD30" i="13" s="1"/>
  <c r="V30" i="13"/>
  <c r="Y30" i="13"/>
  <c r="AF30" i="13"/>
  <c r="AG30" i="13"/>
  <c r="AJ30" i="13" s="1"/>
  <c r="AH30" i="13"/>
  <c r="AI30" i="13"/>
  <c r="AL30" i="13" s="1"/>
  <c r="AK30" i="13"/>
  <c r="AM30" i="13"/>
  <c r="T31" i="13"/>
  <c r="AE31" i="13" s="1"/>
  <c r="V31" i="13"/>
  <c r="Y31" i="13"/>
  <c r="AD31" i="13"/>
  <c r="AF31" i="13"/>
  <c r="AG31" i="13" s="1"/>
  <c r="AH31" i="13"/>
  <c r="AI31" i="13" s="1"/>
  <c r="AK31" i="13"/>
  <c r="AM31" i="13"/>
  <c r="T32" i="13"/>
  <c r="AD32" i="13" s="1"/>
  <c r="V32" i="13"/>
  <c r="Y32" i="13"/>
  <c r="AE32" i="13"/>
  <c r="AF32" i="13"/>
  <c r="AG32" i="13"/>
  <c r="AH32" i="13"/>
  <c r="AI32" i="13"/>
  <c r="AJ32" i="13" s="1"/>
  <c r="AK32" i="13"/>
  <c r="AM32" i="13"/>
  <c r="T33" i="13"/>
  <c r="AD33" i="13" s="1"/>
  <c r="V33" i="13"/>
  <c r="Y33" i="13"/>
  <c r="AF33" i="13"/>
  <c r="AG33" i="13" s="1"/>
  <c r="AK33" i="13"/>
  <c r="AM33" i="13"/>
  <c r="T34" i="13"/>
  <c r="AE34" i="13" s="1"/>
  <c r="V34" i="13"/>
  <c r="Y34" i="13"/>
  <c r="AD34" i="13"/>
  <c r="AF34" i="13"/>
  <c r="AG34" i="13"/>
  <c r="AJ34" i="13" s="1"/>
  <c r="AH34" i="13"/>
  <c r="AI34" i="13"/>
  <c r="AK34" i="13"/>
  <c r="AL34" i="13" s="1"/>
  <c r="AM34" i="13"/>
  <c r="T35" i="13"/>
  <c r="V35" i="13"/>
  <c r="Y35" i="13"/>
  <c r="AD35" i="13"/>
  <c r="AE35" i="13"/>
  <c r="AF35" i="13"/>
  <c r="AG35" i="13" s="1"/>
  <c r="AH35" i="13"/>
  <c r="AI35" i="13" s="1"/>
  <c r="AK35" i="13"/>
  <c r="AM35" i="13"/>
  <c r="T36" i="13"/>
  <c r="AE36" i="13" s="1"/>
  <c r="V36" i="13"/>
  <c r="Y36" i="13"/>
  <c r="AF36" i="13"/>
  <c r="AG36" i="13" s="1"/>
  <c r="AK36" i="13"/>
  <c r="AM36" i="13"/>
  <c r="T37" i="13"/>
  <c r="AH37" i="13" s="1"/>
  <c r="AI37" i="13" s="1"/>
  <c r="V37" i="13"/>
  <c r="Y37" i="13"/>
  <c r="AD37" i="13"/>
  <c r="AE37" i="13"/>
  <c r="AF37" i="13"/>
  <c r="AG37" i="13"/>
  <c r="AJ37" i="13" s="1"/>
  <c r="AK37" i="13"/>
  <c r="AM37" i="13"/>
  <c r="T38" i="13"/>
  <c r="AD38" i="13" s="1"/>
  <c r="V38" i="13"/>
  <c r="Y38" i="13"/>
  <c r="AE38" i="13"/>
  <c r="AF38" i="13"/>
  <c r="AG38" i="13" s="1"/>
  <c r="AH38" i="13"/>
  <c r="AI38" i="13" s="1"/>
  <c r="AK38" i="13"/>
  <c r="AM38" i="13"/>
  <c r="T39" i="13"/>
  <c r="AH39" i="13" s="1"/>
  <c r="AI39" i="13" s="1"/>
  <c r="V39" i="13"/>
  <c r="Y39" i="13"/>
  <c r="AF39" i="13"/>
  <c r="AG39" i="13" s="1"/>
  <c r="AK39" i="13"/>
  <c r="AM39" i="13"/>
  <c r="T58" i="12"/>
  <c r="AD58" i="12" s="1"/>
  <c r="V58" i="12"/>
  <c r="Y58" i="12"/>
  <c r="AF58" i="12"/>
  <c r="AG58" i="12" s="1"/>
  <c r="AH58" i="12"/>
  <c r="AI58" i="12" s="1"/>
  <c r="AK58" i="12"/>
  <c r="AM58" i="12"/>
  <c r="T59" i="12"/>
  <c r="AH59" i="12" s="1"/>
  <c r="AI59" i="12" s="1"/>
  <c r="V59" i="12"/>
  <c r="Y59" i="12"/>
  <c r="AF59" i="12"/>
  <c r="AG59" i="12" s="1"/>
  <c r="AK59" i="12"/>
  <c r="T60" i="12"/>
  <c r="AH60" i="12" s="1"/>
  <c r="AI60" i="12" s="1"/>
  <c r="V60" i="12"/>
  <c r="Y60" i="12"/>
  <c r="AF60" i="12"/>
  <c r="AG60" i="12" s="1"/>
  <c r="AK60" i="12"/>
  <c r="AM60" i="12"/>
  <c r="T61" i="12"/>
  <c r="AD61" i="12" s="1"/>
  <c r="V61" i="12"/>
  <c r="Y61" i="12"/>
  <c r="AF61" i="12"/>
  <c r="AG61" i="12"/>
  <c r="AH61" i="12"/>
  <c r="AI61" i="12" s="1"/>
  <c r="AK61" i="12"/>
  <c r="AM61" i="12"/>
  <c r="T62" i="12"/>
  <c r="AD62" i="12" s="1"/>
  <c r="V62" i="12"/>
  <c r="Y62" i="12"/>
  <c r="AE62" i="12"/>
  <c r="AF62" i="12"/>
  <c r="AG62" i="12"/>
  <c r="AJ62" i="12" s="1"/>
  <c r="AH62" i="12"/>
  <c r="AI62" i="12" s="1"/>
  <c r="AK62" i="12"/>
  <c r="AM62" i="12"/>
  <c r="T51" i="12"/>
  <c r="AH51" i="12" s="1"/>
  <c r="AI51" i="12" s="1"/>
  <c r="V51" i="12"/>
  <c r="Y51" i="12"/>
  <c r="AE51" i="12"/>
  <c r="AF51" i="12"/>
  <c r="AG51" i="12" s="1"/>
  <c r="AK51" i="12"/>
  <c r="AM51" i="12"/>
  <c r="T52" i="12"/>
  <c r="AH52" i="12" s="1"/>
  <c r="AI52" i="12" s="1"/>
  <c r="V52" i="12"/>
  <c r="Y52" i="12"/>
  <c r="AF52" i="12"/>
  <c r="AG52" i="12" s="1"/>
  <c r="AK52" i="12"/>
  <c r="T53" i="12"/>
  <c r="AH53" i="12" s="1"/>
  <c r="AI53" i="12" s="1"/>
  <c r="V53" i="12"/>
  <c r="Y53" i="12"/>
  <c r="AF53" i="12"/>
  <c r="AG53" i="12" s="1"/>
  <c r="AJ53" i="12" s="1"/>
  <c r="AK53" i="12"/>
  <c r="AM53" i="12"/>
  <c r="T54" i="12"/>
  <c r="AD54" i="12" s="1"/>
  <c r="V54" i="12"/>
  <c r="Y54" i="12"/>
  <c r="AF54" i="12"/>
  <c r="AG54" i="12" s="1"/>
  <c r="AK54" i="12"/>
  <c r="AM54" i="12"/>
  <c r="T55" i="12"/>
  <c r="AD55" i="12" s="1"/>
  <c r="V55" i="12"/>
  <c r="Y55" i="12"/>
  <c r="AF55" i="12"/>
  <c r="AG55" i="12" s="1"/>
  <c r="AK55" i="12"/>
  <c r="AM55" i="12"/>
  <c r="T56" i="12"/>
  <c r="AE56" i="12" s="1"/>
  <c r="V56" i="12"/>
  <c r="Y56" i="12"/>
  <c r="AF56" i="12"/>
  <c r="AG56" i="12" s="1"/>
  <c r="AK56" i="12"/>
  <c r="AM56" i="12"/>
  <c r="T57" i="12"/>
  <c r="AH57" i="12" s="1"/>
  <c r="AI57" i="12" s="1"/>
  <c r="V57" i="12"/>
  <c r="Y57" i="12"/>
  <c r="AD57" i="12"/>
  <c r="AE57" i="12"/>
  <c r="AF57" i="12"/>
  <c r="AG57" i="12" s="1"/>
  <c r="AK57" i="12"/>
  <c r="T25" i="6"/>
  <c r="V25" i="6"/>
  <c r="Y25" i="6"/>
  <c r="AD25" i="6"/>
  <c r="AN25" i="6" s="1"/>
  <c r="AE25" i="6"/>
  <c r="AF25" i="6"/>
  <c r="AG25" i="6"/>
  <c r="AH25" i="6"/>
  <c r="AI25" i="6" s="1"/>
  <c r="AK25" i="6"/>
  <c r="AM25" i="6"/>
  <c r="T26" i="6"/>
  <c r="AH26" i="6" s="1"/>
  <c r="AI26" i="6" s="1"/>
  <c r="V26" i="6"/>
  <c r="Y26" i="6"/>
  <c r="AE26" i="6"/>
  <c r="AF26" i="6"/>
  <c r="AG26" i="6" s="1"/>
  <c r="AK26" i="6"/>
  <c r="AM26" i="6"/>
  <c r="T27" i="6"/>
  <c r="AH27" i="6" s="1"/>
  <c r="AI27" i="6" s="1"/>
  <c r="V27" i="6"/>
  <c r="Y27" i="6"/>
  <c r="AF27" i="6"/>
  <c r="AG27" i="6" s="1"/>
  <c r="AK27" i="6"/>
  <c r="AM27" i="6"/>
  <c r="T28" i="6"/>
  <c r="AD28" i="6" s="1"/>
  <c r="AN28" i="6" s="1"/>
  <c r="V28" i="6"/>
  <c r="Y28" i="6"/>
  <c r="AE28" i="6"/>
  <c r="AF28" i="6"/>
  <c r="AG28" i="6"/>
  <c r="AH28" i="6"/>
  <c r="AI28" i="6" s="1"/>
  <c r="AK28" i="6"/>
  <c r="AM28" i="6"/>
  <c r="T29" i="6"/>
  <c r="AD29" i="6" s="1"/>
  <c r="V29" i="6"/>
  <c r="Y29" i="6"/>
  <c r="AF29" i="6"/>
  <c r="AG29" i="6" s="1"/>
  <c r="AH29" i="6"/>
  <c r="AI29" i="6" s="1"/>
  <c r="AK29" i="6"/>
  <c r="AM29" i="6"/>
  <c r="T30" i="6"/>
  <c r="V30" i="6"/>
  <c r="Y30" i="6"/>
  <c r="AD30" i="6"/>
  <c r="AE30" i="6"/>
  <c r="AF30" i="6"/>
  <c r="AG30" i="6"/>
  <c r="AL30" i="6" s="1"/>
  <c r="AH30" i="6"/>
  <c r="AI30" i="6"/>
  <c r="AK30" i="6"/>
  <c r="AM30" i="6"/>
  <c r="T31" i="6"/>
  <c r="AD31" i="6" s="1"/>
  <c r="V31" i="6"/>
  <c r="Y31" i="6"/>
  <c r="AF31" i="6"/>
  <c r="AG31" i="6" s="1"/>
  <c r="AH31" i="6"/>
  <c r="AI31" i="6" s="1"/>
  <c r="AK31" i="6"/>
  <c r="AM31" i="6"/>
  <c r="T32" i="6"/>
  <c r="AD32" i="6" s="1"/>
  <c r="V32" i="6"/>
  <c r="Y32" i="6"/>
  <c r="AF32" i="6"/>
  <c r="AG32" i="6"/>
  <c r="AK32" i="6"/>
  <c r="AM32" i="6"/>
  <c r="T33" i="6"/>
  <c r="AE33" i="6" s="1"/>
  <c r="V33" i="6"/>
  <c r="Y33" i="6"/>
  <c r="AD33" i="6"/>
  <c r="AF33" i="6"/>
  <c r="AG33" i="6"/>
  <c r="AH33" i="6"/>
  <c r="AI33" i="6" s="1"/>
  <c r="AK33" i="6"/>
  <c r="AM33" i="6"/>
  <c r="T34" i="6"/>
  <c r="V34" i="6"/>
  <c r="Y34" i="6"/>
  <c r="AD34" i="6"/>
  <c r="AE34" i="6"/>
  <c r="AF34" i="6"/>
  <c r="AG34" i="6"/>
  <c r="AJ34" i="6" s="1"/>
  <c r="AH34" i="6"/>
  <c r="AI34" i="6"/>
  <c r="AK34" i="6"/>
  <c r="AL34" i="6" s="1"/>
  <c r="AM34" i="6"/>
  <c r="T35" i="6"/>
  <c r="AD35" i="6" s="1"/>
  <c r="V35" i="6"/>
  <c r="Y35" i="6"/>
  <c r="AF35" i="6"/>
  <c r="AG35" i="6" s="1"/>
  <c r="AK35" i="6"/>
  <c r="AM35" i="6"/>
  <c r="T53" i="5"/>
  <c r="AH53" i="5" s="1"/>
  <c r="AI53" i="5" s="1"/>
  <c r="V53" i="5"/>
  <c r="Y53" i="5"/>
  <c r="AF53" i="5"/>
  <c r="AG53" i="5" s="1"/>
  <c r="AK53" i="5"/>
  <c r="T54" i="5"/>
  <c r="AH54" i="5" s="1"/>
  <c r="AI54" i="5" s="1"/>
  <c r="V54" i="5"/>
  <c r="Y54" i="5"/>
  <c r="AF54" i="5"/>
  <c r="AG54" i="5" s="1"/>
  <c r="AK54" i="5"/>
  <c r="AM54" i="5"/>
  <c r="T55" i="5"/>
  <c r="AH55" i="5" s="1"/>
  <c r="AI55" i="5" s="1"/>
  <c r="V55" i="5"/>
  <c r="Y55" i="5"/>
  <c r="AF55" i="5"/>
  <c r="AG55" i="5" s="1"/>
  <c r="AK55" i="5"/>
  <c r="T56" i="5"/>
  <c r="AD56" i="5" s="1"/>
  <c r="V56" i="5"/>
  <c r="Y56" i="5"/>
  <c r="AF56" i="5"/>
  <c r="AG56" i="5" s="1"/>
  <c r="AK56" i="5"/>
  <c r="T57" i="5"/>
  <c r="AD57" i="5" s="1"/>
  <c r="V57" i="5"/>
  <c r="Y57" i="5"/>
  <c r="AF57" i="5"/>
  <c r="AG57" i="5" s="1"/>
  <c r="AK57" i="5"/>
  <c r="T58" i="5"/>
  <c r="AE58" i="5" s="1"/>
  <c r="V58" i="5"/>
  <c r="Y58" i="5"/>
  <c r="AF58" i="5"/>
  <c r="AG58" i="5" s="1"/>
  <c r="AH58" i="5"/>
  <c r="AI58" i="5" s="1"/>
  <c r="AK58" i="5"/>
  <c r="AM58" i="5"/>
  <c r="T59" i="5"/>
  <c r="AD59" i="5" s="1"/>
  <c r="V59" i="5"/>
  <c r="Y59" i="5"/>
  <c r="AF59" i="5"/>
  <c r="AG59" i="5" s="1"/>
  <c r="AK59" i="5"/>
  <c r="AM59" i="5"/>
  <c r="T60" i="5"/>
  <c r="AD60" i="5" s="1"/>
  <c r="V60" i="5"/>
  <c r="Y60" i="5"/>
  <c r="AF60" i="5"/>
  <c r="AG60" i="5" s="1"/>
  <c r="AK60" i="5"/>
  <c r="AM60" i="5"/>
  <c r="T61" i="5"/>
  <c r="AD61" i="5" s="1"/>
  <c r="V61" i="5"/>
  <c r="Y61" i="5"/>
  <c r="AF61" i="5"/>
  <c r="AG61" i="5" s="1"/>
  <c r="AK61" i="5"/>
  <c r="AM61" i="5"/>
  <c r="T62" i="5"/>
  <c r="AD62" i="5" s="1"/>
  <c r="V62" i="5"/>
  <c r="Y62" i="5"/>
  <c r="AF62" i="5"/>
  <c r="AG62" i="5" s="1"/>
  <c r="AK62" i="5"/>
  <c r="T63" i="5"/>
  <c r="AE63" i="5" s="1"/>
  <c r="V63" i="5"/>
  <c r="Y63" i="5"/>
  <c r="AF63" i="5"/>
  <c r="AG63" i="5" s="1"/>
  <c r="AK63" i="5"/>
  <c r="AM63" i="5"/>
  <c r="T64" i="5"/>
  <c r="AE64" i="5" s="1"/>
  <c r="V64" i="5"/>
  <c r="Y64" i="5"/>
  <c r="AD64" i="5"/>
  <c r="AF64" i="5"/>
  <c r="AG64" i="5" s="1"/>
  <c r="AK64" i="5"/>
  <c r="AM64" i="5"/>
  <c r="T65" i="5"/>
  <c r="AH65" i="5" s="1"/>
  <c r="AI65" i="5" s="1"/>
  <c r="V65" i="5"/>
  <c r="Y65" i="5"/>
  <c r="AE65" i="5"/>
  <c r="AF65" i="5"/>
  <c r="AG65" i="5" s="1"/>
  <c r="AK65" i="5"/>
  <c r="AM65" i="5"/>
  <c r="T66" i="5"/>
  <c r="AH66" i="5" s="1"/>
  <c r="AI66" i="5" s="1"/>
  <c r="V66" i="5"/>
  <c r="Y66" i="5"/>
  <c r="AE66" i="5"/>
  <c r="AF66" i="5"/>
  <c r="AG66" i="5" s="1"/>
  <c r="AK66" i="5"/>
  <c r="AM66" i="5"/>
  <c r="T67" i="5"/>
  <c r="AH67" i="5" s="1"/>
  <c r="AI67" i="5" s="1"/>
  <c r="V67" i="5"/>
  <c r="Y67" i="5"/>
  <c r="AF67" i="5"/>
  <c r="AG67" i="5" s="1"/>
  <c r="AK67" i="5"/>
  <c r="AM67" i="5"/>
  <c r="T68" i="5"/>
  <c r="AD68" i="5" s="1"/>
  <c r="V68" i="5"/>
  <c r="Y68" i="5"/>
  <c r="AF68" i="5"/>
  <c r="AG68" i="5"/>
  <c r="AJ68" i="5" s="1"/>
  <c r="AH68" i="5"/>
  <c r="AI68" i="5" s="1"/>
  <c r="AK68" i="5"/>
  <c r="AM68" i="5"/>
  <c r="T69" i="5"/>
  <c r="AE69" i="5" s="1"/>
  <c r="V69" i="5"/>
  <c r="Y69" i="5"/>
  <c r="AD69" i="5"/>
  <c r="AF69" i="5"/>
  <c r="AG69" i="5"/>
  <c r="AJ69" i="5" s="1"/>
  <c r="AH69" i="5"/>
  <c r="AI69" i="5" s="1"/>
  <c r="AK69" i="5"/>
  <c r="AM69" i="5"/>
  <c r="T70" i="5"/>
  <c r="V70" i="5"/>
  <c r="Y70" i="5"/>
  <c r="AD70" i="5"/>
  <c r="AN70" i="5" s="1"/>
  <c r="AE70" i="5"/>
  <c r="AF70" i="5"/>
  <c r="AG70" i="5"/>
  <c r="AL70" i="5" s="1"/>
  <c r="AH70" i="5"/>
  <c r="AI70" i="5"/>
  <c r="AJ70" i="5" s="1"/>
  <c r="AK70" i="5"/>
  <c r="AM70" i="5"/>
  <c r="T71" i="5"/>
  <c r="AD71" i="5" s="1"/>
  <c r="V71" i="5"/>
  <c r="Y71" i="5"/>
  <c r="AE71" i="5"/>
  <c r="AF71" i="5"/>
  <c r="AG71" i="5" s="1"/>
  <c r="AK71" i="5"/>
  <c r="AM71" i="5"/>
  <c r="T72" i="5"/>
  <c r="AD72" i="5" s="1"/>
  <c r="V72" i="5"/>
  <c r="Y72" i="5"/>
  <c r="AF72" i="5"/>
  <c r="AG72" i="5" s="1"/>
  <c r="AK72" i="5"/>
  <c r="AM72" i="5"/>
  <c r="T73" i="5"/>
  <c r="V73" i="5"/>
  <c r="Y73" i="5"/>
  <c r="AD73" i="5"/>
  <c r="AE73" i="5"/>
  <c r="AF73" i="5"/>
  <c r="AG73" i="5"/>
  <c r="AH73" i="5"/>
  <c r="AI73" i="5" s="1"/>
  <c r="AL73" i="5" s="1"/>
  <c r="AK73" i="5"/>
  <c r="AM73" i="5"/>
  <c r="T74" i="5"/>
  <c r="AD74" i="5" s="1"/>
  <c r="V74" i="5"/>
  <c r="Y74" i="5"/>
  <c r="AF74" i="5"/>
  <c r="AG74" i="5" s="1"/>
  <c r="AH74" i="5"/>
  <c r="AI74" i="5" s="1"/>
  <c r="AK74" i="5"/>
  <c r="AM74" i="5"/>
  <c r="T75" i="5"/>
  <c r="AE75" i="5" s="1"/>
  <c r="V75" i="5"/>
  <c r="Y75" i="5"/>
  <c r="AD75" i="5"/>
  <c r="AF75" i="5"/>
  <c r="AG75" i="5"/>
  <c r="AK75" i="5"/>
  <c r="AM75" i="5"/>
  <c r="T76" i="5"/>
  <c r="V76" i="5"/>
  <c r="Y76" i="5"/>
  <c r="AD76" i="5"/>
  <c r="AE76" i="5"/>
  <c r="AF76" i="5"/>
  <c r="AG76" i="5"/>
  <c r="AL76" i="5" s="1"/>
  <c r="AH76" i="5"/>
  <c r="AI76" i="5" s="1"/>
  <c r="AJ76" i="5" s="1"/>
  <c r="AK76" i="5"/>
  <c r="AM76" i="5"/>
  <c r="T77" i="5"/>
  <c r="AH77" i="5" s="1"/>
  <c r="AI77" i="5" s="1"/>
  <c r="V77" i="5"/>
  <c r="Y77" i="5"/>
  <c r="AD77" i="5"/>
  <c r="AE77" i="5"/>
  <c r="AF77" i="5"/>
  <c r="AG77" i="5" s="1"/>
  <c r="AK77" i="5"/>
  <c r="AM77" i="5"/>
  <c r="T78" i="5"/>
  <c r="AH78" i="5" s="1"/>
  <c r="AI78" i="5" s="1"/>
  <c r="V78" i="5"/>
  <c r="Y78" i="5"/>
  <c r="AE78" i="5"/>
  <c r="AF78" i="5"/>
  <c r="AG78" i="5" s="1"/>
  <c r="AK78" i="5"/>
  <c r="AM78" i="5"/>
  <c r="T79" i="5"/>
  <c r="AH79" i="5" s="1"/>
  <c r="AI79" i="5" s="1"/>
  <c r="V79" i="5"/>
  <c r="Y79" i="5"/>
  <c r="AF79" i="5"/>
  <c r="AG79" i="5" s="1"/>
  <c r="AK79" i="5"/>
  <c r="AM79" i="5"/>
  <c r="T80" i="5"/>
  <c r="AD80" i="5" s="1"/>
  <c r="V80" i="5"/>
  <c r="Y80" i="5"/>
  <c r="AF80" i="5"/>
  <c r="AG80" i="5"/>
  <c r="AH80" i="5"/>
  <c r="AI80" i="5" s="1"/>
  <c r="AK80" i="5"/>
  <c r="AM80" i="5"/>
  <c r="T81" i="5"/>
  <c r="AE81" i="5" s="1"/>
  <c r="V81" i="5"/>
  <c r="Y81" i="5"/>
  <c r="AD81" i="5"/>
  <c r="AF81" i="5"/>
  <c r="AG81" i="5"/>
  <c r="AJ81" i="5" s="1"/>
  <c r="AH81" i="5"/>
  <c r="AI81" i="5"/>
  <c r="AK81" i="5"/>
  <c r="AM81" i="5"/>
  <c r="T82" i="5"/>
  <c r="V82" i="5"/>
  <c r="Y82" i="5"/>
  <c r="AD82" i="5"/>
  <c r="AE82" i="5"/>
  <c r="AF82" i="5"/>
  <c r="AG82" i="5"/>
  <c r="AL82" i="5" s="1"/>
  <c r="AH82" i="5"/>
  <c r="AI82" i="5"/>
  <c r="AJ82" i="5"/>
  <c r="AK82" i="5"/>
  <c r="AM82" i="5"/>
  <c r="T83" i="5"/>
  <c r="AD83" i="5" s="1"/>
  <c r="V83" i="5"/>
  <c r="Y83" i="5"/>
  <c r="AE83" i="5"/>
  <c r="AF83" i="5"/>
  <c r="AG83" i="5" s="1"/>
  <c r="AK83" i="5"/>
  <c r="AM83" i="5"/>
  <c r="T84" i="5"/>
  <c r="AD84" i="5" s="1"/>
  <c r="V84" i="5"/>
  <c r="Y84" i="5"/>
  <c r="AF84" i="5"/>
  <c r="AG84" i="5" s="1"/>
  <c r="AK84" i="5"/>
  <c r="AM84" i="5"/>
  <c r="T35" i="3"/>
  <c r="V35" i="3"/>
  <c r="Y35" i="3"/>
  <c r="AD35" i="3"/>
  <c r="AN35" i="3" s="1"/>
  <c r="AE35" i="3"/>
  <c r="AF35" i="3"/>
  <c r="AG35" i="3" s="1"/>
  <c r="AH35" i="3"/>
  <c r="AI35" i="3" s="1"/>
  <c r="AK35" i="3"/>
  <c r="AM35" i="3"/>
  <c r="T36" i="3"/>
  <c r="AH36" i="3" s="1"/>
  <c r="AI36" i="3" s="1"/>
  <c r="V36" i="3"/>
  <c r="Y36" i="3"/>
  <c r="AF36" i="3"/>
  <c r="AG36" i="3" s="1"/>
  <c r="AK36" i="3"/>
  <c r="AM36" i="3"/>
  <c r="T37" i="3"/>
  <c r="AH37" i="3" s="1"/>
  <c r="AI37" i="3" s="1"/>
  <c r="V37" i="3"/>
  <c r="Y37" i="3"/>
  <c r="AF37" i="3"/>
  <c r="AG37" i="3" s="1"/>
  <c r="AK37" i="3"/>
  <c r="AM37" i="3"/>
  <c r="T38" i="3"/>
  <c r="AE38" i="3" s="1"/>
  <c r="V38" i="3"/>
  <c r="Y38" i="3"/>
  <c r="AF38" i="3"/>
  <c r="AG38" i="3" s="1"/>
  <c r="AH38" i="3"/>
  <c r="AI38" i="3" s="1"/>
  <c r="AK38" i="3"/>
  <c r="AM38" i="3"/>
  <c r="T24" i="3"/>
  <c r="AD24" i="3" s="1"/>
  <c r="V24" i="3"/>
  <c r="Y24" i="3"/>
  <c r="AF24" i="3"/>
  <c r="AG24" i="3" s="1"/>
  <c r="AK24" i="3"/>
  <c r="AM24" i="3"/>
  <c r="T25" i="3"/>
  <c r="AH25" i="3" s="1"/>
  <c r="AI25" i="3" s="1"/>
  <c r="V25" i="3"/>
  <c r="Y25" i="3"/>
  <c r="AF25" i="3"/>
  <c r="AG25" i="3" s="1"/>
  <c r="AK25" i="3"/>
  <c r="AM25" i="3"/>
  <c r="T26" i="3"/>
  <c r="AE26" i="3" s="1"/>
  <c r="V26" i="3"/>
  <c r="Y26" i="3"/>
  <c r="AF26" i="3"/>
  <c r="AG26" i="3" s="1"/>
  <c r="AK26" i="3"/>
  <c r="AM26" i="3"/>
  <c r="T27" i="3"/>
  <c r="AD27" i="3" s="1"/>
  <c r="V27" i="3"/>
  <c r="Y27" i="3"/>
  <c r="AF27" i="3"/>
  <c r="AG27" i="3" s="1"/>
  <c r="AH27" i="3"/>
  <c r="AI27" i="3" s="1"/>
  <c r="AK27" i="3"/>
  <c r="AM27" i="3"/>
  <c r="T28" i="3"/>
  <c r="AD28" i="3" s="1"/>
  <c r="V28" i="3"/>
  <c r="Y28" i="3"/>
  <c r="AF28" i="3"/>
  <c r="AG28" i="3" s="1"/>
  <c r="AK28" i="3"/>
  <c r="T29" i="3"/>
  <c r="AE29" i="3" s="1"/>
  <c r="V29" i="3"/>
  <c r="Y29" i="3"/>
  <c r="AF29" i="3"/>
  <c r="AG29" i="3" s="1"/>
  <c r="AK29" i="3"/>
  <c r="T30" i="3"/>
  <c r="AH30" i="3" s="1"/>
  <c r="AI30" i="3" s="1"/>
  <c r="V30" i="3"/>
  <c r="Y30" i="3"/>
  <c r="AF30" i="3"/>
  <c r="AG30" i="3" s="1"/>
  <c r="AK30" i="3"/>
  <c r="T31" i="3"/>
  <c r="AD31" i="3" s="1"/>
  <c r="V31" i="3"/>
  <c r="Y31" i="3"/>
  <c r="AF31" i="3"/>
  <c r="AG31" i="3" s="1"/>
  <c r="AK31" i="3"/>
  <c r="T32" i="3"/>
  <c r="AD32" i="3" s="1"/>
  <c r="V32" i="3"/>
  <c r="Y32" i="3"/>
  <c r="AF32" i="3"/>
  <c r="AG32" i="3" s="1"/>
  <c r="AK32" i="3"/>
  <c r="T33" i="3"/>
  <c r="AD33" i="3" s="1"/>
  <c r="V33" i="3"/>
  <c r="Y33" i="3"/>
  <c r="AF33" i="3"/>
  <c r="AG33" i="3" s="1"/>
  <c r="AK33" i="3"/>
  <c r="T34" i="3"/>
  <c r="AE34" i="3" s="1"/>
  <c r="V34" i="3"/>
  <c r="Y34" i="3"/>
  <c r="AF34" i="3"/>
  <c r="AG34" i="3" s="1"/>
  <c r="AK34" i="3"/>
  <c r="AM78" i="22" l="1"/>
  <c r="AM69" i="22"/>
  <c r="AD86" i="22"/>
  <c r="AH84" i="22"/>
  <c r="AI84" i="22" s="1"/>
  <c r="AJ101" i="60"/>
  <c r="AL117" i="60"/>
  <c r="AE101" i="60"/>
  <c r="AE91" i="60"/>
  <c r="AN71" i="60"/>
  <c r="AJ66" i="60"/>
  <c r="AN47" i="60"/>
  <c r="AJ85" i="60"/>
  <c r="AH110" i="60"/>
  <c r="AI110" i="60" s="1"/>
  <c r="AD109" i="60"/>
  <c r="AJ29" i="60"/>
  <c r="AD67" i="60"/>
  <c r="AN60" i="60"/>
  <c r="AH113" i="60"/>
  <c r="AI113" i="60" s="1"/>
  <c r="AE110" i="60"/>
  <c r="AE75" i="60"/>
  <c r="AH68" i="60"/>
  <c r="AI68" i="60" s="1"/>
  <c r="AH56" i="60"/>
  <c r="AI56" i="60" s="1"/>
  <c r="AJ56" i="60" s="1"/>
  <c r="AH43" i="60"/>
  <c r="AI43" i="60" s="1"/>
  <c r="AL113" i="60"/>
  <c r="AD75" i="60"/>
  <c r="AN75" i="60" s="1"/>
  <c r="AE116" i="60"/>
  <c r="AE113" i="60"/>
  <c r="AN113" i="60" s="1"/>
  <c r="AH78" i="60"/>
  <c r="AI78" i="60" s="1"/>
  <c r="AJ78" i="60" s="1"/>
  <c r="AE68" i="60"/>
  <c r="AD43" i="60"/>
  <c r="AD116" i="60"/>
  <c r="AD30" i="59"/>
  <c r="AJ54" i="59"/>
  <c r="AL42" i="59"/>
  <c r="AN42" i="59"/>
  <c r="AH59" i="59"/>
  <c r="AI59" i="59" s="1"/>
  <c r="AJ59" i="59"/>
  <c r="AE50" i="59"/>
  <c r="AE43" i="59"/>
  <c r="AE26" i="59"/>
  <c r="AE59" i="59"/>
  <c r="AH48" i="59"/>
  <c r="AI48" i="59" s="1"/>
  <c r="AD43" i="59"/>
  <c r="AN43" i="59" s="1"/>
  <c r="AH60" i="59"/>
  <c r="AI60" i="59" s="1"/>
  <c r="AE55" i="59"/>
  <c r="AD36" i="59"/>
  <c r="AH46" i="59"/>
  <c r="AI46" i="59" s="1"/>
  <c r="AL46" i="59" s="1"/>
  <c r="AL43" i="59"/>
  <c r="AH34" i="59"/>
  <c r="AI34" i="59" s="1"/>
  <c r="AH29" i="59"/>
  <c r="AI29" i="59" s="1"/>
  <c r="AE61" i="59"/>
  <c r="AJ30" i="59"/>
  <c r="AD61" i="59"/>
  <c r="AN61" i="59" s="1"/>
  <c r="AE49" i="59"/>
  <c r="AD37" i="59"/>
  <c r="AE25" i="59"/>
  <c r="AE56" i="57"/>
  <c r="AH77" i="57"/>
  <c r="AI77" i="57" s="1"/>
  <c r="AH72" i="57"/>
  <c r="AI72" i="57" s="1"/>
  <c r="AH62" i="57"/>
  <c r="AI62" i="57" s="1"/>
  <c r="AE62" i="57"/>
  <c r="AE67" i="57"/>
  <c r="AH65" i="57"/>
  <c r="AI65" i="57" s="1"/>
  <c r="AD67" i="57"/>
  <c r="AE65" i="57"/>
  <c r="AH49" i="57"/>
  <c r="AI49" i="57" s="1"/>
  <c r="AJ49" i="57" s="1"/>
  <c r="AE81" i="57"/>
  <c r="AE74" i="57"/>
  <c r="AE49" i="57"/>
  <c r="AN49" i="57" s="1"/>
  <c r="AD74" i="57"/>
  <c r="AE71" i="57"/>
  <c r="AH37" i="55"/>
  <c r="AI37" i="55" s="1"/>
  <c r="AE31" i="55"/>
  <c r="AE37" i="55"/>
  <c r="AH25" i="55"/>
  <c r="AI25" i="55" s="1"/>
  <c r="AE25" i="55"/>
  <c r="AN25" i="55" s="1"/>
  <c r="AH39" i="55"/>
  <c r="AI39" i="55" s="1"/>
  <c r="AH36" i="55"/>
  <c r="AI36" i="55" s="1"/>
  <c r="AH31" i="55"/>
  <c r="AI31" i="55" s="1"/>
  <c r="AH25" i="54"/>
  <c r="AI25" i="54" s="1"/>
  <c r="AE25" i="54"/>
  <c r="AH67" i="53"/>
  <c r="AI67" i="53" s="1"/>
  <c r="AE62" i="53"/>
  <c r="AL67" i="53"/>
  <c r="AJ58" i="53"/>
  <c r="AM66" i="53"/>
  <c r="AM58" i="53"/>
  <c r="AD61" i="53"/>
  <c r="AH59" i="53"/>
  <c r="AI59" i="53" s="1"/>
  <c r="AD58" i="53"/>
  <c r="AH56" i="53"/>
  <c r="AI56" i="53" s="1"/>
  <c r="AJ56" i="53" s="1"/>
  <c r="AE56" i="53"/>
  <c r="AN56" i="53" s="1"/>
  <c r="AN71" i="53"/>
  <c r="AH62" i="53"/>
  <c r="AI62" i="53" s="1"/>
  <c r="AD59" i="53"/>
  <c r="AH71" i="53"/>
  <c r="AI71" i="53" s="1"/>
  <c r="AH68" i="53"/>
  <c r="AI68" i="53" s="1"/>
  <c r="AJ68" i="53" s="1"/>
  <c r="AH65" i="53"/>
  <c r="AI65" i="53" s="1"/>
  <c r="AE71" i="53"/>
  <c r="AH74" i="53"/>
  <c r="AI74" i="53" s="1"/>
  <c r="AE68" i="53"/>
  <c r="AL74" i="53"/>
  <c r="AM32" i="51"/>
  <c r="AE30" i="51"/>
  <c r="AM33" i="51"/>
  <c r="AD30" i="51"/>
  <c r="AJ76" i="51"/>
  <c r="AE76" i="51"/>
  <c r="AD65" i="51"/>
  <c r="AD60" i="51"/>
  <c r="AE58" i="51"/>
  <c r="AD53" i="51"/>
  <c r="AH46" i="51"/>
  <c r="AI46" i="51" s="1"/>
  <c r="AD25" i="51"/>
  <c r="AD72" i="51"/>
  <c r="AJ48" i="51"/>
  <c r="AN41" i="51"/>
  <c r="AE36" i="51"/>
  <c r="AE49" i="51"/>
  <c r="AN40" i="51"/>
  <c r="AD36" i="51"/>
  <c r="AH34" i="51"/>
  <c r="AI34" i="51" s="1"/>
  <c r="AH52" i="51"/>
  <c r="AI52" i="51" s="1"/>
  <c r="AJ52" i="51" s="1"/>
  <c r="AJ30" i="51"/>
  <c r="AD64" i="51"/>
  <c r="AJ42" i="51"/>
  <c r="AH40" i="51"/>
  <c r="AI40" i="51" s="1"/>
  <c r="AE31" i="51"/>
  <c r="AH53" i="51"/>
  <c r="AI53" i="51" s="1"/>
  <c r="AE52" i="51"/>
  <c r="AN52" i="51" s="1"/>
  <c r="AH25" i="51"/>
  <c r="AI25" i="51" s="1"/>
  <c r="AD45" i="51"/>
  <c r="AE60" i="51"/>
  <c r="AE43" i="51"/>
  <c r="AM105" i="46"/>
  <c r="AM106" i="46"/>
  <c r="AM104" i="46"/>
  <c r="AD185" i="46"/>
  <c r="AJ192" i="46"/>
  <c r="AH150" i="46"/>
  <c r="AI150" i="46" s="1"/>
  <c r="AE119" i="46"/>
  <c r="AH168" i="46"/>
  <c r="AI168" i="46" s="1"/>
  <c r="AH156" i="46"/>
  <c r="AI156" i="46" s="1"/>
  <c r="AH148" i="46"/>
  <c r="AI148" i="46" s="1"/>
  <c r="AD192" i="46"/>
  <c r="AD112" i="46"/>
  <c r="AD106" i="46"/>
  <c r="AH124" i="46"/>
  <c r="AI124" i="46" s="1"/>
  <c r="AJ124" i="46" s="1"/>
  <c r="AN209" i="46"/>
  <c r="AL131" i="46"/>
  <c r="AH209" i="46"/>
  <c r="AI209" i="46" s="1"/>
  <c r="AE131" i="46"/>
  <c r="AH185" i="46"/>
  <c r="AI185" i="46" s="1"/>
  <c r="AD139" i="46"/>
  <c r="AE209" i="46"/>
  <c r="AN32" i="45"/>
  <c r="AE47" i="45"/>
  <c r="AE31" i="45"/>
  <c r="AH50" i="45"/>
  <c r="AI50" i="45" s="1"/>
  <c r="AH29" i="45"/>
  <c r="AI29" i="45" s="1"/>
  <c r="AJ29" i="45" s="1"/>
  <c r="AH25" i="45"/>
  <c r="AI25" i="45" s="1"/>
  <c r="AJ41" i="45"/>
  <c r="AE25" i="45"/>
  <c r="AE44" i="45"/>
  <c r="AN44" i="45" s="1"/>
  <c r="AE41" i="45"/>
  <c r="AE37" i="45"/>
  <c r="AH49" i="45"/>
  <c r="AI49" i="45" s="1"/>
  <c r="AH25" i="44"/>
  <c r="AI25" i="44" s="1"/>
  <c r="AE25" i="44"/>
  <c r="AD25" i="43"/>
  <c r="AE43" i="43"/>
  <c r="AD36" i="43"/>
  <c r="AN25" i="43"/>
  <c r="AH46" i="43"/>
  <c r="AI46" i="43" s="1"/>
  <c r="AH25" i="40"/>
  <c r="AI25" i="40" s="1"/>
  <c r="AE25" i="40"/>
  <c r="AM188" i="32"/>
  <c r="AD175" i="32"/>
  <c r="AH194" i="32"/>
  <c r="AI194" i="32" s="1"/>
  <c r="AM192" i="32"/>
  <c r="AD178" i="32"/>
  <c r="AH176" i="32"/>
  <c r="AI176" i="32" s="1"/>
  <c r="AM195" i="32"/>
  <c r="AM179" i="32"/>
  <c r="AM189" i="32"/>
  <c r="AD181" i="32"/>
  <c r="AM175" i="32"/>
  <c r="AE195" i="32"/>
  <c r="AN195" i="32" s="1"/>
  <c r="AM191" i="32"/>
  <c r="AE185" i="32"/>
  <c r="AE179" i="32"/>
  <c r="AH199" i="32"/>
  <c r="AI199" i="32" s="1"/>
  <c r="AD193" i="32"/>
  <c r="AH191" i="32"/>
  <c r="AI191" i="32" s="1"/>
  <c r="AH185" i="32"/>
  <c r="AI185" i="32" s="1"/>
  <c r="AH181" i="32"/>
  <c r="AI181" i="32" s="1"/>
  <c r="AD176" i="32"/>
  <c r="AJ199" i="32"/>
  <c r="AL191" i="32"/>
  <c r="AJ185" i="32"/>
  <c r="AH197" i="32"/>
  <c r="AI197" i="32" s="1"/>
  <c r="AJ197" i="32" s="1"/>
  <c r="AH188" i="32"/>
  <c r="AI188" i="32" s="1"/>
  <c r="AJ188" i="32" s="1"/>
  <c r="AH182" i="32"/>
  <c r="AI182" i="32" s="1"/>
  <c r="AE197" i="32"/>
  <c r="AE188" i="32"/>
  <c r="AJ175" i="32"/>
  <c r="AH173" i="32"/>
  <c r="AI173" i="32" s="1"/>
  <c r="AD71" i="31"/>
  <c r="AD66" i="31"/>
  <c r="AH72" i="31"/>
  <c r="AI72" i="31" s="1"/>
  <c r="AH75" i="31"/>
  <c r="AI75" i="31" s="1"/>
  <c r="AH60" i="31"/>
  <c r="AI60" i="31" s="1"/>
  <c r="AE75" i="31"/>
  <c r="AH65" i="31"/>
  <c r="AI65" i="31" s="1"/>
  <c r="AJ65" i="31" s="1"/>
  <c r="AH66" i="31"/>
  <c r="AI66" i="31" s="1"/>
  <c r="AE71" i="31"/>
  <c r="A20" i="78"/>
  <c r="I16" i="68"/>
  <c r="AH92" i="29"/>
  <c r="AI92" i="29" s="1"/>
  <c r="AD84" i="29"/>
  <c r="AD93" i="29"/>
  <c r="AJ87" i="29"/>
  <c r="AD91" i="29"/>
  <c r="AD87" i="29"/>
  <c r="AD85" i="29"/>
  <c r="AH55" i="28"/>
  <c r="AI55" i="28" s="1"/>
  <c r="AM54" i="28"/>
  <c r="AH54" i="28"/>
  <c r="AI54" i="28" s="1"/>
  <c r="AJ54" i="28" s="1"/>
  <c r="AE54" i="28"/>
  <c r="AE55" i="28"/>
  <c r="AH51" i="28"/>
  <c r="AI51" i="28" s="1"/>
  <c r="AD51" i="28"/>
  <c r="AE49" i="28"/>
  <c r="AH31" i="24"/>
  <c r="AI31" i="24" s="1"/>
  <c r="AE46" i="24"/>
  <c r="AD33" i="24"/>
  <c r="AH45" i="24"/>
  <c r="AI45" i="24" s="1"/>
  <c r="AH43" i="24"/>
  <c r="AI43" i="24" s="1"/>
  <c r="AM33" i="24"/>
  <c r="AM31" i="24"/>
  <c r="AE31" i="24"/>
  <c r="AH29" i="24"/>
  <c r="AI29" i="24" s="1"/>
  <c r="AD48" i="24"/>
  <c r="AD45" i="24"/>
  <c r="AN45" i="24" s="1"/>
  <c r="AJ40" i="24"/>
  <c r="AE49" i="24"/>
  <c r="AE43" i="24"/>
  <c r="AE41" i="24"/>
  <c r="AH44" i="24"/>
  <c r="AI44" i="24" s="1"/>
  <c r="AM40" i="23"/>
  <c r="AE36" i="23"/>
  <c r="AD39" i="23"/>
  <c r="AD36" i="23"/>
  <c r="AE34" i="23"/>
  <c r="AM76" i="22"/>
  <c r="AE69" i="22"/>
  <c r="AD69" i="22"/>
  <c r="AM83" i="22"/>
  <c r="AM81" i="22"/>
  <c r="AJ71" i="22"/>
  <c r="AH75" i="22"/>
  <c r="AI75" i="22" s="1"/>
  <c r="AJ75" i="22" s="1"/>
  <c r="AD87" i="22"/>
  <c r="AJ83" i="22"/>
  <c r="AH74" i="22"/>
  <c r="AI74" i="22" s="1"/>
  <c r="AJ74" i="22" s="1"/>
  <c r="AE81" i="22"/>
  <c r="AE88" i="22"/>
  <c r="AD81" i="22"/>
  <c r="AM77" i="22"/>
  <c r="AD79" i="22"/>
  <c r="AD74" i="22"/>
  <c r="AM86" i="22"/>
  <c r="AH85" i="22"/>
  <c r="AI85" i="22" s="1"/>
  <c r="AJ85" i="22" s="1"/>
  <c r="AH86" i="22"/>
  <c r="AI86" i="22" s="1"/>
  <c r="AL86" i="22" s="1"/>
  <c r="AH87" i="22"/>
  <c r="AI87" i="22" s="1"/>
  <c r="AE80" i="22"/>
  <c r="AH78" i="22"/>
  <c r="AI78" i="22" s="1"/>
  <c r="AJ78" i="22" s="1"/>
  <c r="AM74" i="22"/>
  <c r="AM88" i="22"/>
  <c r="AN88" i="22" s="1"/>
  <c r="AE75" i="22"/>
  <c r="AN75" i="22" s="1"/>
  <c r="AD80" i="22"/>
  <c r="AH73" i="22"/>
  <c r="AI73" i="22" s="1"/>
  <c r="AJ73" i="22" s="1"/>
  <c r="AD85" i="20"/>
  <c r="AH96" i="20"/>
  <c r="AI96" i="20" s="1"/>
  <c r="AM92" i="20"/>
  <c r="AM90" i="20"/>
  <c r="AM93" i="20"/>
  <c r="AM91" i="20"/>
  <c r="AM87" i="20"/>
  <c r="AJ95" i="20"/>
  <c r="AM85" i="20"/>
  <c r="AD111" i="20"/>
  <c r="AE81" i="20"/>
  <c r="AL115" i="20"/>
  <c r="AE93" i="20"/>
  <c r="AE86" i="20"/>
  <c r="AD81" i="20"/>
  <c r="AH109" i="20"/>
  <c r="AI109" i="20" s="1"/>
  <c r="AJ109" i="20" s="1"/>
  <c r="AD93" i="20"/>
  <c r="AN93" i="20" s="1"/>
  <c r="AH103" i="20"/>
  <c r="AI103" i="20" s="1"/>
  <c r="AJ107" i="20"/>
  <c r="AD87" i="20"/>
  <c r="AE103" i="20"/>
  <c r="AN103" i="20" s="1"/>
  <c r="AE110" i="20"/>
  <c r="AJ85" i="20"/>
  <c r="AL93" i="20"/>
  <c r="AM28" i="14"/>
  <c r="AM41" i="14"/>
  <c r="AE43" i="14"/>
  <c r="AM31" i="14"/>
  <c r="AL31" i="14"/>
  <c r="AM27" i="14"/>
  <c r="AE31" i="14"/>
  <c r="AL29" i="14"/>
  <c r="AM44" i="14"/>
  <c r="AM42" i="14"/>
  <c r="AD31" i="14"/>
  <c r="AD29" i="14"/>
  <c r="AJ27" i="14"/>
  <c r="AM46" i="14"/>
  <c r="AH40" i="14"/>
  <c r="AI40" i="14" s="1"/>
  <c r="AH53" i="14"/>
  <c r="AI53" i="14" s="1"/>
  <c r="AJ53" i="14" s="1"/>
  <c r="AE45" i="14"/>
  <c r="AD40" i="14"/>
  <c r="AE33" i="14"/>
  <c r="AL53" i="14"/>
  <c r="AD43" i="14"/>
  <c r="AH36" i="14"/>
  <c r="AI36" i="14" s="1"/>
  <c r="AN52" i="14"/>
  <c r="AD36" i="14"/>
  <c r="AH46" i="14"/>
  <c r="AI46" i="14" s="1"/>
  <c r="AE25" i="14"/>
  <c r="AD25" i="14"/>
  <c r="AL55" i="14"/>
  <c r="AJ51" i="14"/>
  <c r="AJ49" i="14"/>
  <c r="AN54" i="14"/>
  <c r="AE37" i="14"/>
  <c r="AD25" i="13"/>
  <c r="AH25" i="13"/>
  <c r="AI25" i="13" s="1"/>
  <c r="AE53" i="12"/>
  <c r="AD51" i="12"/>
  <c r="AE58" i="12"/>
  <c r="AM29" i="78"/>
  <c r="AM25" i="78"/>
  <c r="AM7" i="78"/>
  <c r="AM11" i="78"/>
  <c r="AE33" i="78"/>
  <c r="AH27" i="78"/>
  <c r="AI27" i="78" s="1"/>
  <c r="AM28" i="78"/>
  <c r="AM10" i="78"/>
  <c r="AM14" i="78"/>
  <c r="AM23" i="78"/>
  <c r="W10" i="78"/>
  <c r="J16" i="68"/>
  <c r="AE19" i="78"/>
  <c r="H16" i="68"/>
  <c r="C17" i="2" s="1"/>
  <c r="AE37" i="78"/>
  <c r="AE25" i="78"/>
  <c r="AH19" i="78"/>
  <c r="AI19" i="78" s="1"/>
  <c r="AJ19" i="78" s="1"/>
  <c r="AJ58" i="5"/>
  <c r="AM56" i="5"/>
  <c r="AH57" i="5"/>
  <c r="AI57" i="5" s="1"/>
  <c r="AM55" i="5"/>
  <c r="AM53" i="5"/>
  <c r="AH63" i="5"/>
  <c r="AI63" i="5" s="1"/>
  <c r="AE54" i="5"/>
  <c r="AH64" i="5"/>
  <c r="AI64" i="5" s="1"/>
  <c r="AH61" i="5"/>
  <c r="AI61" i="5" s="1"/>
  <c r="AD63" i="5"/>
  <c r="AD65" i="5"/>
  <c r="AE53" i="5"/>
  <c r="AN53" i="5" s="1"/>
  <c r="AD53" i="5"/>
  <c r="AM31" i="3"/>
  <c r="AM33" i="3"/>
  <c r="AD26" i="3"/>
  <c r="AH24" i="3"/>
  <c r="AI24" i="3" s="1"/>
  <c r="AE24" i="3"/>
  <c r="AN66" i="78"/>
  <c r="AN69" i="51"/>
  <c r="AN88" i="53"/>
  <c r="AN98" i="57"/>
  <c r="AN79" i="31"/>
  <c r="AN200" i="32"/>
  <c r="AN67" i="78"/>
  <c r="AN61" i="45"/>
  <c r="AN64" i="51"/>
  <c r="AN46" i="51"/>
  <c r="AN25" i="51"/>
  <c r="AN92" i="53"/>
  <c r="AN59" i="53"/>
  <c r="AN44" i="54"/>
  <c r="AN92" i="57"/>
  <c r="AN72" i="59"/>
  <c r="AN129" i="20"/>
  <c r="AN55" i="45"/>
  <c r="AN91" i="53"/>
  <c r="AN86" i="53"/>
  <c r="AN49" i="55"/>
  <c r="AN67" i="59"/>
  <c r="AN82" i="53"/>
  <c r="AN73" i="59"/>
  <c r="AN59" i="59"/>
  <c r="AN209" i="32"/>
  <c r="AN31" i="55"/>
  <c r="AN97" i="57"/>
  <c r="AN110" i="20"/>
  <c r="AN37" i="55"/>
  <c r="AN69" i="57"/>
  <c r="AN82" i="5"/>
  <c r="AN75" i="5"/>
  <c r="AN35" i="13"/>
  <c r="AN43" i="45"/>
  <c r="AN85" i="57"/>
  <c r="AN44" i="60"/>
  <c r="AN59" i="14"/>
  <c r="AN49" i="43"/>
  <c r="AN29" i="45"/>
  <c r="AN42" i="54"/>
  <c r="AN66" i="59"/>
  <c r="AN33" i="6"/>
  <c r="AN36" i="44"/>
  <c r="AN83" i="57"/>
  <c r="AN60" i="28"/>
  <c r="AN89" i="51"/>
  <c r="AN34" i="51"/>
  <c r="AN94" i="60"/>
  <c r="AN68" i="60"/>
  <c r="AN57" i="28"/>
  <c r="AN212" i="32"/>
  <c r="AN69" i="78"/>
  <c r="AN37" i="51"/>
  <c r="AN89" i="57"/>
  <c r="AN65" i="57"/>
  <c r="AJ42" i="60"/>
  <c r="AJ67" i="60"/>
  <c r="AJ115" i="60"/>
  <c r="AL115" i="60"/>
  <c r="AJ68" i="60"/>
  <c r="AJ34" i="60"/>
  <c r="AJ73" i="60"/>
  <c r="AE120" i="60"/>
  <c r="AN120" i="60" s="1"/>
  <c r="AD83" i="60"/>
  <c r="AN83" i="60" s="1"/>
  <c r="AD80" i="60"/>
  <c r="AN80" i="60" s="1"/>
  <c r="AE50" i="60"/>
  <c r="AE32" i="60"/>
  <c r="AN32" i="60" s="1"/>
  <c r="AL101" i="60"/>
  <c r="AD61" i="60"/>
  <c r="AN61" i="60" s="1"/>
  <c r="AD37" i="60"/>
  <c r="AN37" i="60" s="1"/>
  <c r="AH98" i="60"/>
  <c r="AI98" i="60" s="1"/>
  <c r="AN78" i="60"/>
  <c r="AN66" i="60"/>
  <c r="AL56" i="60"/>
  <c r="AH54" i="60"/>
  <c r="AI54" i="60" s="1"/>
  <c r="AJ54" i="60" s="1"/>
  <c r="AN42" i="60"/>
  <c r="AJ97" i="60"/>
  <c r="AH105" i="60"/>
  <c r="AI105" i="60" s="1"/>
  <c r="AJ105" i="60" s="1"/>
  <c r="AH89" i="60"/>
  <c r="AI89" i="60" s="1"/>
  <c r="AL89" i="60" s="1"/>
  <c r="AH35" i="60"/>
  <c r="AI35" i="60" s="1"/>
  <c r="AJ35" i="60" s="1"/>
  <c r="AH34" i="60"/>
  <c r="AI34" i="60" s="1"/>
  <c r="AL34" i="60" s="1"/>
  <c r="AH30" i="60"/>
  <c r="AI30" i="60" s="1"/>
  <c r="AJ30" i="60" s="1"/>
  <c r="AH119" i="60"/>
  <c r="AI119" i="60" s="1"/>
  <c r="AN116" i="60"/>
  <c r="AN114" i="60"/>
  <c r="AN101" i="60"/>
  <c r="AE98" i="60"/>
  <c r="AN98" i="60" s="1"/>
  <c r="AH86" i="60"/>
  <c r="AI86" i="60" s="1"/>
  <c r="AJ86" i="60" s="1"/>
  <c r="AD72" i="60"/>
  <c r="AN72" i="60" s="1"/>
  <c r="AH59" i="60"/>
  <c r="AI59" i="60" s="1"/>
  <c r="AL59" i="60" s="1"/>
  <c r="AD105" i="60"/>
  <c r="AN105" i="60" s="1"/>
  <c r="AE102" i="60"/>
  <c r="AE99" i="60"/>
  <c r="AN99" i="60" s="1"/>
  <c r="AH90" i="60"/>
  <c r="AI90" i="60" s="1"/>
  <c r="AH65" i="60"/>
  <c r="AI65" i="60" s="1"/>
  <c r="AH55" i="60"/>
  <c r="AI55" i="60" s="1"/>
  <c r="AJ55" i="60" s="1"/>
  <c r="AE54" i="60"/>
  <c r="AN54" i="60" s="1"/>
  <c r="AH41" i="60"/>
  <c r="AI41" i="60" s="1"/>
  <c r="AE89" i="60"/>
  <c r="AN89" i="60" s="1"/>
  <c r="AD85" i="60"/>
  <c r="AN85" i="60" s="1"/>
  <c r="AH83" i="60"/>
  <c r="AI83" i="60" s="1"/>
  <c r="AJ83" i="60" s="1"/>
  <c r="AH80" i="60"/>
  <c r="AI80" i="60" s="1"/>
  <c r="AJ80" i="60" s="1"/>
  <c r="AL74" i="60"/>
  <c r="AE73" i="60"/>
  <c r="AE49" i="60"/>
  <c r="AE35" i="60"/>
  <c r="AN35" i="60" s="1"/>
  <c r="AH31" i="60"/>
  <c r="AI31" i="60" s="1"/>
  <c r="AJ31" i="60" s="1"/>
  <c r="AD25" i="60"/>
  <c r="AN25" i="60" s="1"/>
  <c r="AE90" i="60"/>
  <c r="AN90" i="60" s="1"/>
  <c r="AE86" i="60"/>
  <c r="AN86" i="60" s="1"/>
  <c r="AE74" i="60"/>
  <c r="AD73" i="60"/>
  <c r="AN67" i="60"/>
  <c r="AH60" i="60"/>
  <c r="AI60" i="60" s="1"/>
  <c r="AL60" i="60" s="1"/>
  <c r="AE59" i="60"/>
  <c r="AN59" i="60" s="1"/>
  <c r="AD55" i="60"/>
  <c r="AH52" i="60"/>
  <c r="AI52" i="60" s="1"/>
  <c r="AD49" i="60"/>
  <c r="AE36" i="60"/>
  <c r="AH32" i="60"/>
  <c r="AI32" i="60" s="1"/>
  <c r="AJ32" i="60" s="1"/>
  <c r="AH28" i="60"/>
  <c r="AI28" i="60" s="1"/>
  <c r="AJ109" i="60"/>
  <c r="AE87" i="60"/>
  <c r="AN87" i="60" s="1"/>
  <c r="AD74" i="60"/>
  <c r="AL68" i="60"/>
  <c r="AD36" i="60"/>
  <c r="AD31" i="60"/>
  <c r="AN31" i="60" s="1"/>
  <c r="AN56" i="60"/>
  <c r="AL44" i="60"/>
  <c r="AJ110" i="60"/>
  <c r="AL110" i="60"/>
  <c r="AL118" i="60"/>
  <c r="AL130" i="60"/>
  <c r="AJ130" i="60"/>
  <c r="AJ127" i="60"/>
  <c r="AL127" i="60"/>
  <c r="AL121" i="60"/>
  <c r="AJ121" i="60"/>
  <c r="AL119" i="60"/>
  <c r="AJ119" i="60"/>
  <c r="AL106" i="60"/>
  <c r="AJ129" i="60"/>
  <c r="AL129" i="60"/>
  <c r="AN129" i="60"/>
  <c r="AL109" i="60"/>
  <c r="AH104" i="60"/>
  <c r="AI104" i="60" s="1"/>
  <c r="AJ104" i="60" s="1"/>
  <c r="AD104" i="60"/>
  <c r="AN104" i="60" s="1"/>
  <c r="AJ94" i="60"/>
  <c r="AL94" i="60"/>
  <c r="AD84" i="60"/>
  <c r="AE84" i="60"/>
  <c r="AL43" i="60"/>
  <c r="AJ43" i="60"/>
  <c r="AD112" i="60"/>
  <c r="AE112" i="60"/>
  <c r="AH112" i="60"/>
  <c r="AI112" i="60" s="1"/>
  <c r="AJ112" i="60" s="1"/>
  <c r="AJ90" i="60"/>
  <c r="AL90" i="60"/>
  <c r="AJ64" i="60"/>
  <c r="AL64" i="60"/>
  <c r="AH123" i="60"/>
  <c r="AI123" i="60" s="1"/>
  <c r="AL123" i="60" s="1"/>
  <c r="AN122" i="60"/>
  <c r="AN97" i="60"/>
  <c r="AJ91" i="60"/>
  <c r="AL91" i="60"/>
  <c r="AJ114" i="60"/>
  <c r="AD108" i="60"/>
  <c r="AE108" i="60"/>
  <c r="AH108" i="60"/>
  <c r="AI108" i="60" s="1"/>
  <c r="AL108" i="60" s="1"/>
  <c r="AH93" i="60"/>
  <c r="AI93" i="60" s="1"/>
  <c r="AJ93" i="60" s="1"/>
  <c r="AD93" i="60"/>
  <c r="AE93" i="60"/>
  <c r="AJ75" i="60"/>
  <c r="AL75" i="60"/>
  <c r="AH126" i="60"/>
  <c r="AI126" i="60" s="1"/>
  <c r="AL126" i="60" s="1"/>
  <c r="AE123" i="60"/>
  <c r="AN123" i="60" s="1"/>
  <c r="AJ95" i="60"/>
  <c r="AL95" i="60"/>
  <c r="AN91" i="60"/>
  <c r="AD111" i="60"/>
  <c r="AH111" i="60"/>
  <c r="AI111" i="60" s="1"/>
  <c r="AN102" i="60"/>
  <c r="AL97" i="60"/>
  <c r="AD81" i="60"/>
  <c r="AE81" i="60"/>
  <c r="AH81" i="60"/>
  <c r="AI81" i="60" s="1"/>
  <c r="AJ81" i="60" s="1"/>
  <c r="AE77" i="60"/>
  <c r="AD77" i="60"/>
  <c r="AH77" i="60"/>
  <c r="AI77" i="60" s="1"/>
  <c r="AJ77" i="60" s="1"/>
  <c r="AE130" i="60"/>
  <c r="AN130" i="60" s="1"/>
  <c r="AE126" i="60"/>
  <c r="AN126" i="60" s="1"/>
  <c r="AD121" i="60"/>
  <c r="AE119" i="60"/>
  <c r="AN119" i="60" s="1"/>
  <c r="AN118" i="60"/>
  <c r="AJ117" i="60"/>
  <c r="AN106" i="60"/>
  <c r="AJ103" i="60"/>
  <c r="AL103" i="60"/>
  <c r="AL128" i="60"/>
  <c r="AD124" i="60"/>
  <c r="AE124" i="60"/>
  <c r="AH124" i="60"/>
  <c r="AI124" i="60" s="1"/>
  <c r="AN110" i="60"/>
  <c r="AE103" i="60"/>
  <c r="AL125" i="60"/>
  <c r="AE117" i="60"/>
  <c r="AN117" i="60" s="1"/>
  <c r="AE115" i="60"/>
  <c r="AH107" i="60"/>
  <c r="AI107" i="60" s="1"/>
  <c r="AJ107" i="60" s="1"/>
  <c r="AD103" i="60"/>
  <c r="AH84" i="60"/>
  <c r="AI84" i="60" s="1"/>
  <c r="AJ84" i="60" s="1"/>
  <c r="AJ50" i="60"/>
  <c r="AL50" i="60"/>
  <c r="AE127" i="60"/>
  <c r="AH120" i="60"/>
  <c r="AI120" i="60" s="1"/>
  <c r="AL120" i="60" s="1"/>
  <c r="AD115" i="60"/>
  <c r="AJ113" i="60"/>
  <c r="AE111" i="60"/>
  <c r="AJ102" i="60"/>
  <c r="AL85" i="60"/>
  <c r="AD127" i="60"/>
  <c r="AN121" i="60"/>
  <c r="AJ116" i="60"/>
  <c r="AE107" i="60"/>
  <c r="AN107" i="60" s="1"/>
  <c r="AH92" i="60"/>
  <c r="AI92" i="60" s="1"/>
  <c r="AJ92" i="60" s="1"/>
  <c r="AD92" i="60"/>
  <c r="AN92" i="60" s="1"/>
  <c r="AE79" i="60"/>
  <c r="AD79" i="60"/>
  <c r="AH79" i="60"/>
  <c r="AI79" i="60" s="1"/>
  <c r="AJ79" i="60" s="1"/>
  <c r="AJ118" i="60"/>
  <c r="AL114" i="60"/>
  <c r="AN109" i="60"/>
  <c r="AJ106" i="60"/>
  <c r="AH96" i="60"/>
  <c r="AI96" i="60" s="1"/>
  <c r="AJ96" i="60" s="1"/>
  <c r="AJ59" i="60"/>
  <c r="AN55" i="60"/>
  <c r="AJ37" i="60"/>
  <c r="AL37" i="60"/>
  <c r="AH63" i="60"/>
  <c r="AI63" i="60" s="1"/>
  <c r="AL63" i="60" s="1"/>
  <c r="AD63" i="60"/>
  <c r="AE63" i="60"/>
  <c r="AJ60" i="60"/>
  <c r="AJ49" i="60"/>
  <c r="AL49" i="60"/>
  <c r="AH39" i="60"/>
  <c r="AI39" i="60" s="1"/>
  <c r="AJ39" i="60" s="1"/>
  <c r="AD39" i="60"/>
  <c r="AE39" i="60"/>
  <c r="AL30" i="60"/>
  <c r="AE95" i="60"/>
  <c r="AN95" i="60" s="1"/>
  <c r="AL73" i="60"/>
  <c r="AL67" i="60"/>
  <c r="AL66" i="60"/>
  <c r="AJ65" i="60"/>
  <c r="AL65" i="60"/>
  <c r="AJ40" i="60"/>
  <c r="AL40" i="60"/>
  <c r="AH99" i="60"/>
  <c r="AI99" i="60" s="1"/>
  <c r="AJ99" i="60" s="1"/>
  <c r="AE96" i="60"/>
  <c r="AN96" i="60" s="1"/>
  <c r="AH87" i="60"/>
  <c r="AI87" i="60" s="1"/>
  <c r="AL87" i="60" s="1"/>
  <c r="AL78" i="60"/>
  <c r="AL54" i="60"/>
  <c r="AH100" i="60"/>
  <c r="AI100" i="60" s="1"/>
  <c r="AL100" i="60" s="1"/>
  <c r="AH88" i="60"/>
  <c r="AI88" i="60" s="1"/>
  <c r="AJ88" i="60" s="1"/>
  <c r="AE82" i="60"/>
  <c r="AN82" i="60" s="1"/>
  <c r="AH82" i="60"/>
  <c r="AI82" i="60" s="1"/>
  <c r="AJ82" i="60" s="1"/>
  <c r="AH76" i="60"/>
  <c r="AI76" i="60" s="1"/>
  <c r="AJ76" i="60" s="1"/>
  <c r="AJ47" i="60"/>
  <c r="AL47" i="60"/>
  <c r="AJ38" i="60"/>
  <c r="AL38" i="60"/>
  <c r="AJ25" i="60"/>
  <c r="AL25" i="60"/>
  <c r="AD64" i="60"/>
  <c r="AE64" i="60"/>
  <c r="AN43" i="60"/>
  <c r="AH27" i="60"/>
  <c r="AI27" i="60" s="1"/>
  <c r="AL27" i="60" s="1"/>
  <c r="AD27" i="60"/>
  <c r="AN27" i="60" s="1"/>
  <c r="AE27" i="60"/>
  <c r="AJ61" i="60"/>
  <c r="AL61" i="60"/>
  <c r="AJ41" i="60"/>
  <c r="AJ28" i="60"/>
  <c r="AL28" i="60"/>
  <c r="AE100" i="60"/>
  <c r="AN100" i="60" s="1"/>
  <c r="AE88" i="60"/>
  <c r="AN88" i="60" s="1"/>
  <c r="AE76" i="60"/>
  <c r="AN76" i="60" s="1"/>
  <c r="AJ48" i="60"/>
  <c r="AL48" i="60"/>
  <c r="AJ72" i="60"/>
  <c r="AL72" i="60"/>
  <c r="AH62" i="60"/>
  <c r="AI62" i="60" s="1"/>
  <c r="AJ62" i="60" s="1"/>
  <c r="AD62" i="60"/>
  <c r="AN62" i="60" s="1"/>
  <c r="AH51" i="60"/>
  <c r="AI51" i="60" s="1"/>
  <c r="AJ51" i="60" s="1"/>
  <c r="AD51" i="60"/>
  <c r="AE51" i="60"/>
  <c r="AN48" i="60"/>
  <c r="AL42" i="60"/>
  <c r="AJ26" i="60"/>
  <c r="AL26" i="60"/>
  <c r="AJ71" i="60"/>
  <c r="AL71" i="60"/>
  <c r="AJ52" i="60"/>
  <c r="AL52" i="60"/>
  <c r="AJ36" i="60"/>
  <c r="AL36" i="60"/>
  <c r="AD50" i="60"/>
  <c r="AN50" i="60" s="1"/>
  <c r="AD38" i="60"/>
  <c r="AN38" i="60" s="1"/>
  <c r="AD26" i="60"/>
  <c r="AN26" i="60" s="1"/>
  <c r="AE52" i="60"/>
  <c r="AN52" i="60" s="1"/>
  <c r="AE40" i="60"/>
  <c r="AN40" i="60" s="1"/>
  <c r="AE28" i="60"/>
  <c r="AN28" i="60" s="1"/>
  <c r="AE65" i="60"/>
  <c r="AN65" i="60" s="1"/>
  <c r="AE53" i="60"/>
  <c r="AN53" i="60" s="1"/>
  <c r="AE41" i="60"/>
  <c r="AN41" i="60" s="1"/>
  <c r="AE29" i="60"/>
  <c r="AN29" i="60" s="1"/>
  <c r="AH69" i="60"/>
  <c r="AI69" i="60" s="1"/>
  <c r="AL69" i="60" s="1"/>
  <c r="AH57" i="60"/>
  <c r="AI57" i="60" s="1"/>
  <c r="AL57" i="60" s="1"/>
  <c r="AH45" i="60"/>
  <c r="AI45" i="60" s="1"/>
  <c r="AL45" i="60" s="1"/>
  <c r="AH33" i="60"/>
  <c r="AI33" i="60" s="1"/>
  <c r="AJ33" i="60" s="1"/>
  <c r="AE30" i="60"/>
  <c r="AN30" i="60" s="1"/>
  <c r="AH70" i="60"/>
  <c r="AI70" i="60" s="1"/>
  <c r="AL70" i="60" s="1"/>
  <c r="AH58" i="60"/>
  <c r="AI58" i="60" s="1"/>
  <c r="AL58" i="60" s="1"/>
  <c r="AH46" i="60"/>
  <c r="AI46" i="60" s="1"/>
  <c r="AL46" i="60" s="1"/>
  <c r="AE69" i="60"/>
  <c r="AN69" i="60" s="1"/>
  <c r="AE57" i="60"/>
  <c r="AN57" i="60" s="1"/>
  <c r="AE45" i="60"/>
  <c r="AN45" i="60" s="1"/>
  <c r="AE33" i="60"/>
  <c r="AN33" i="60" s="1"/>
  <c r="AE70" i="60"/>
  <c r="AN70" i="60" s="1"/>
  <c r="AE58" i="60"/>
  <c r="AN58" i="60" s="1"/>
  <c r="AL53" i="60"/>
  <c r="AE46" i="60"/>
  <c r="AN46" i="60" s="1"/>
  <c r="AL41" i="60"/>
  <c r="AE34" i="60"/>
  <c r="AN34" i="60" s="1"/>
  <c r="AL29" i="60"/>
  <c r="AN35" i="59"/>
  <c r="AJ58" i="59"/>
  <c r="AL54" i="59"/>
  <c r="AJ43" i="59"/>
  <c r="AN60" i="59"/>
  <c r="AL47" i="59"/>
  <c r="AN55" i="59"/>
  <c r="AN37" i="59"/>
  <c r="AJ47" i="59"/>
  <c r="AM58" i="59"/>
  <c r="AH55" i="59"/>
  <c r="AI55" i="59" s="1"/>
  <c r="AE48" i="59"/>
  <c r="AN48" i="59" s="1"/>
  <c r="AE47" i="59"/>
  <c r="AH31" i="59"/>
  <c r="AI31" i="59" s="1"/>
  <c r="AL31" i="59" s="1"/>
  <c r="AL30" i="59"/>
  <c r="AD47" i="59"/>
  <c r="AM45" i="59"/>
  <c r="AE38" i="59"/>
  <c r="AL34" i="59"/>
  <c r="AH58" i="59"/>
  <c r="AI58" i="59" s="1"/>
  <c r="AN54" i="59"/>
  <c r="AH41" i="59"/>
  <c r="AI41" i="59" s="1"/>
  <c r="AJ41" i="59" s="1"/>
  <c r="AN30" i="59"/>
  <c r="AM56" i="59"/>
  <c r="AD49" i="59"/>
  <c r="AN49" i="59" s="1"/>
  <c r="AH35" i="59"/>
  <c r="AI35" i="59" s="1"/>
  <c r="AL35" i="59" s="1"/>
  <c r="AE31" i="59"/>
  <c r="AN31" i="59" s="1"/>
  <c r="AN25" i="59"/>
  <c r="AH52" i="59"/>
  <c r="AI52" i="59" s="1"/>
  <c r="AJ52" i="59" s="1"/>
  <c r="AM50" i="59"/>
  <c r="AJ42" i="59"/>
  <c r="AH36" i="59"/>
  <c r="AI36" i="59" s="1"/>
  <c r="AH28" i="59"/>
  <c r="AI28" i="59" s="1"/>
  <c r="AJ28" i="59" s="1"/>
  <c r="AM46" i="59"/>
  <c r="AN36" i="59"/>
  <c r="AL67" i="59"/>
  <c r="AJ67" i="59"/>
  <c r="AJ61" i="59"/>
  <c r="AL61" i="59"/>
  <c r="AJ53" i="59"/>
  <c r="AJ29" i="59"/>
  <c r="AJ46" i="59"/>
  <c r="AJ70" i="59"/>
  <c r="AJ63" i="59"/>
  <c r="AL63" i="59"/>
  <c r="AJ48" i="59"/>
  <c r="AL48" i="59"/>
  <c r="AJ40" i="59"/>
  <c r="AJ51" i="59"/>
  <c r="AL51" i="59"/>
  <c r="AJ38" i="59"/>
  <c r="AL38" i="59"/>
  <c r="AJ27" i="59"/>
  <c r="AL27" i="59"/>
  <c r="AJ72" i="59"/>
  <c r="AL72" i="59"/>
  <c r="AJ62" i="59"/>
  <c r="AL62" i="59"/>
  <c r="AL55" i="59"/>
  <c r="AJ55" i="59"/>
  <c r="AJ49" i="59"/>
  <c r="AL49" i="59"/>
  <c r="AJ25" i="59"/>
  <c r="AL25" i="59"/>
  <c r="AJ37" i="59"/>
  <c r="AL37" i="59"/>
  <c r="AJ34" i="59"/>
  <c r="AJ73" i="59"/>
  <c r="AL73" i="59"/>
  <c r="AN64" i="59"/>
  <c r="AJ36" i="59"/>
  <c r="AL36" i="59"/>
  <c r="AJ60" i="59"/>
  <c r="AL60" i="59"/>
  <c r="AJ50" i="59"/>
  <c r="AL50" i="59"/>
  <c r="AJ39" i="59"/>
  <c r="AL39" i="59"/>
  <c r="AJ26" i="59"/>
  <c r="AL26" i="59"/>
  <c r="AL70" i="59"/>
  <c r="AE63" i="59"/>
  <c r="AD62" i="59"/>
  <c r="AN62" i="59" s="1"/>
  <c r="AL58" i="59"/>
  <c r="AE51" i="59"/>
  <c r="AD50" i="59"/>
  <c r="AE39" i="59"/>
  <c r="AD38" i="59"/>
  <c r="AE27" i="59"/>
  <c r="AD26" i="59"/>
  <c r="AN26" i="59" s="1"/>
  <c r="AL71" i="59"/>
  <c r="AE64" i="59"/>
  <c r="AD63" i="59"/>
  <c r="AL59" i="59"/>
  <c r="AE52" i="59"/>
  <c r="AN52" i="59" s="1"/>
  <c r="AD51" i="59"/>
  <c r="AE40" i="59"/>
  <c r="AN40" i="59" s="1"/>
  <c r="AD39" i="59"/>
  <c r="AE28" i="59"/>
  <c r="AN28" i="59" s="1"/>
  <c r="AD27" i="59"/>
  <c r="AH68" i="59"/>
  <c r="AI68" i="59" s="1"/>
  <c r="AJ68" i="59" s="1"/>
  <c r="AE65" i="59"/>
  <c r="AN65" i="59" s="1"/>
  <c r="AH56" i="59"/>
  <c r="AI56" i="59" s="1"/>
  <c r="AJ56" i="59" s="1"/>
  <c r="AE53" i="59"/>
  <c r="AN53" i="59" s="1"/>
  <c r="AH44" i="59"/>
  <c r="AI44" i="59" s="1"/>
  <c r="AJ44" i="59" s="1"/>
  <c r="AE41" i="59"/>
  <c r="AN41" i="59" s="1"/>
  <c r="AH32" i="59"/>
  <c r="AI32" i="59" s="1"/>
  <c r="AL32" i="59" s="1"/>
  <c r="AE29" i="59"/>
  <c r="AN29" i="59" s="1"/>
  <c r="AH69" i="59"/>
  <c r="AI69" i="59" s="1"/>
  <c r="AL69" i="59" s="1"/>
  <c r="AH57" i="59"/>
  <c r="AI57" i="59" s="1"/>
  <c r="AL57" i="59" s="1"/>
  <c r="AH45" i="59"/>
  <c r="AI45" i="59" s="1"/>
  <c r="AL45" i="59" s="1"/>
  <c r="AH33" i="59"/>
  <c r="AI33" i="59" s="1"/>
  <c r="AL33" i="59" s="1"/>
  <c r="AE68" i="59"/>
  <c r="AN68" i="59" s="1"/>
  <c r="AE56" i="59"/>
  <c r="AN56" i="59" s="1"/>
  <c r="AE44" i="59"/>
  <c r="AN44" i="59" s="1"/>
  <c r="AE32" i="59"/>
  <c r="AN32" i="59" s="1"/>
  <c r="AE69" i="59"/>
  <c r="AN69" i="59" s="1"/>
  <c r="AL64" i="59"/>
  <c r="AE57" i="59"/>
  <c r="AN57" i="59" s="1"/>
  <c r="AE45" i="59"/>
  <c r="AL40" i="59"/>
  <c r="AE33" i="59"/>
  <c r="AN33" i="59" s="1"/>
  <c r="AL28" i="59"/>
  <c r="AE70" i="59"/>
  <c r="AN70" i="59" s="1"/>
  <c r="AL65" i="59"/>
  <c r="AE58" i="59"/>
  <c r="AN58" i="59" s="1"/>
  <c r="AL53" i="59"/>
  <c r="AE46" i="59"/>
  <c r="AL41" i="59"/>
  <c r="AE34" i="59"/>
  <c r="AN34" i="59" s="1"/>
  <c r="AL29" i="59"/>
  <c r="AL55" i="57"/>
  <c r="AJ55" i="57"/>
  <c r="AL67" i="57"/>
  <c r="AJ67" i="57"/>
  <c r="AE77" i="57"/>
  <c r="AN77" i="57" s="1"/>
  <c r="AE61" i="57"/>
  <c r="AN61" i="57" s="1"/>
  <c r="AN68" i="57"/>
  <c r="AM50" i="57"/>
  <c r="AN73" i="57"/>
  <c r="AN62" i="57"/>
  <c r="AH79" i="57"/>
  <c r="AI79" i="57" s="1"/>
  <c r="AL79" i="57" s="1"/>
  <c r="AN67" i="57"/>
  <c r="AM66" i="57"/>
  <c r="AM57" i="57"/>
  <c r="AN56" i="57"/>
  <c r="AH50" i="57"/>
  <c r="AI50" i="57" s="1"/>
  <c r="AJ50" i="57" s="1"/>
  <c r="AH80" i="57"/>
  <c r="AI80" i="57" s="1"/>
  <c r="AJ80" i="57" s="1"/>
  <c r="AN71" i="57"/>
  <c r="AE59" i="57"/>
  <c r="AN59" i="57" s="1"/>
  <c r="AH53" i="57"/>
  <c r="AI53" i="57" s="1"/>
  <c r="AJ53" i="57" s="1"/>
  <c r="AE50" i="57"/>
  <c r="AE80" i="57"/>
  <c r="AN80" i="57" s="1"/>
  <c r="AE79" i="57"/>
  <c r="AN79" i="57" s="1"/>
  <c r="AH66" i="57"/>
  <c r="AI66" i="57" s="1"/>
  <c r="AE57" i="57"/>
  <c r="AN81" i="57"/>
  <c r="AH60" i="57"/>
  <c r="AI60" i="57" s="1"/>
  <c r="AJ60" i="57" s="1"/>
  <c r="AN55" i="57"/>
  <c r="AJ61" i="57"/>
  <c r="AE53" i="57"/>
  <c r="AN53" i="57" s="1"/>
  <c r="AJ71" i="57"/>
  <c r="AJ84" i="57"/>
  <c r="AL84" i="57"/>
  <c r="AJ62" i="57"/>
  <c r="AL62" i="57"/>
  <c r="AJ75" i="57"/>
  <c r="AL75" i="57"/>
  <c r="AJ56" i="57"/>
  <c r="AL56" i="57"/>
  <c r="AL90" i="57"/>
  <c r="AJ90" i="57"/>
  <c r="AJ77" i="57"/>
  <c r="AJ98" i="57"/>
  <c r="AL98" i="57"/>
  <c r="AJ65" i="57"/>
  <c r="AJ87" i="57"/>
  <c r="AL87" i="57"/>
  <c r="AJ68" i="57"/>
  <c r="AL68" i="57"/>
  <c r="AL54" i="57"/>
  <c r="AJ54" i="57"/>
  <c r="AJ92" i="57"/>
  <c r="AL92" i="57"/>
  <c r="AL78" i="57"/>
  <c r="AJ78" i="57"/>
  <c r="AJ95" i="57"/>
  <c r="AJ86" i="57"/>
  <c r="AL86" i="57"/>
  <c r="AJ72" i="57"/>
  <c r="AL72" i="57"/>
  <c r="AN93" i="57"/>
  <c r="AJ89" i="57"/>
  <c r="AJ63" i="57"/>
  <c r="AL63" i="57"/>
  <c r="AJ51" i="57"/>
  <c r="AL51" i="57"/>
  <c r="AL66" i="57"/>
  <c r="AJ66" i="57"/>
  <c r="AJ96" i="57"/>
  <c r="AL96" i="57"/>
  <c r="AJ74" i="57"/>
  <c r="AL74" i="57"/>
  <c r="AD96" i="57"/>
  <c r="AN96" i="57" s="1"/>
  <c r="AH88" i="57"/>
  <c r="AI88" i="57" s="1"/>
  <c r="AJ88" i="57" s="1"/>
  <c r="AD84" i="57"/>
  <c r="AN84" i="57" s="1"/>
  <c r="AH76" i="57"/>
  <c r="AI76" i="57" s="1"/>
  <c r="AJ76" i="57" s="1"/>
  <c r="AD72" i="57"/>
  <c r="AN72" i="57" s="1"/>
  <c r="AH64" i="57"/>
  <c r="AI64" i="57" s="1"/>
  <c r="AJ64" i="57" s="1"/>
  <c r="AD60" i="57"/>
  <c r="AN60" i="57" s="1"/>
  <c r="AH52" i="57"/>
  <c r="AI52" i="57" s="1"/>
  <c r="AJ52" i="57" s="1"/>
  <c r="AE87" i="57"/>
  <c r="AE75" i="57"/>
  <c r="AE63" i="57"/>
  <c r="AE51" i="57"/>
  <c r="AL95" i="57"/>
  <c r="AE88" i="57"/>
  <c r="AN88" i="57" s="1"/>
  <c r="AD87" i="57"/>
  <c r="AL83" i="57"/>
  <c r="AE76" i="57"/>
  <c r="AN76" i="57" s="1"/>
  <c r="AD75" i="57"/>
  <c r="AL71" i="57"/>
  <c r="AE64" i="57"/>
  <c r="AN64" i="57" s="1"/>
  <c r="AD63" i="57"/>
  <c r="AL59" i="57"/>
  <c r="AE52" i="57"/>
  <c r="AN52" i="57" s="1"/>
  <c r="AD51" i="57"/>
  <c r="AN51" i="57" s="1"/>
  <c r="AL97" i="57"/>
  <c r="AH93" i="57"/>
  <c r="AI93" i="57" s="1"/>
  <c r="AL93" i="57" s="1"/>
  <c r="AE90" i="57"/>
  <c r="AN90" i="57" s="1"/>
  <c r="AL85" i="57"/>
  <c r="AH81" i="57"/>
  <c r="AI81" i="57" s="1"/>
  <c r="AJ81" i="57" s="1"/>
  <c r="AE78" i="57"/>
  <c r="AN78" i="57" s="1"/>
  <c r="AL73" i="57"/>
  <c r="AH69" i="57"/>
  <c r="AI69" i="57" s="1"/>
  <c r="AL69" i="57" s="1"/>
  <c r="AE66" i="57"/>
  <c r="AL61" i="57"/>
  <c r="AH57" i="57"/>
  <c r="AI57" i="57" s="1"/>
  <c r="AJ57" i="57" s="1"/>
  <c r="AE54" i="57"/>
  <c r="AN54" i="57" s="1"/>
  <c r="AL49" i="57"/>
  <c r="AH94" i="57"/>
  <c r="AI94" i="57" s="1"/>
  <c r="AJ94" i="57" s="1"/>
  <c r="AH82" i="57"/>
  <c r="AI82" i="57" s="1"/>
  <c r="AJ82" i="57" s="1"/>
  <c r="AH70" i="57"/>
  <c r="AI70" i="57" s="1"/>
  <c r="AL70" i="57" s="1"/>
  <c r="AH58" i="57"/>
  <c r="AI58" i="57" s="1"/>
  <c r="AL58" i="57" s="1"/>
  <c r="AL88" i="57"/>
  <c r="AL52" i="57"/>
  <c r="AE94" i="57"/>
  <c r="AN94" i="57" s="1"/>
  <c r="AL89" i="57"/>
  <c r="AE82" i="57"/>
  <c r="AN82" i="57" s="1"/>
  <c r="AL77" i="57"/>
  <c r="AE70" i="57"/>
  <c r="AN70" i="57" s="1"/>
  <c r="AL65" i="57"/>
  <c r="AE58" i="57"/>
  <c r="AN58" i="57" s="1"/>
  <c r="AL53" i="57"/>
  <c r="AJ39" i="55"/>
  <c r="AJ33" i="55"/>
  <c r="AN40" i="55"/>
  <c r="AJ27" i="55"/>
  <c r="AJ37" i="55"/>
  <c r="AN39" i="55"/>
  <c r="AN28" i="55"/>
  <c r="AN33" i="55"/>
  <c r="AH32" i="55"/>
  <c r="AI32" i="55" s="1"/>
  <c r="AJ32" i="55" s="1"/>
  <c r="AE29" i="55"/>
  <c r="AN29" i="55" s="1"/>
  <c r="AM26" i="55"/>
  <c r="AD32" i="55"/>
  <c r="AN32" i="55" s="1"/>
  <c r="AJ40" i="55"/>
  <c r="AL40" i="55"/>
  <c r="AJ50" i="55"/>
  <c r="AL50" i="55"/>
  <c r="AL43" i="55"/>
  <c r="AJ28" i="55"/>
  <c r="AL28" i="55"/>
  <c r="AN48" i="55"/>
  <c r="AL31" i="55"/>
  <c r="AJ25" i="55"/>
  <c r="AJ36" i="55"/>
  <c r="AL36" i="55"/>
  <c r="AL44" i="55"/>
  <c r="AJ44" i="55"/>
  <c r="AJ51" i="55"/>
  <c r="AJ48" i="55"/>
  <c r="AL48" i="55"/>
  <c r="AJ38" i="55"/>
  <c r="AL38" i="55"/>
  <c r="AJ46" i="55"/>
  <c r="AN36" i="55"/>
  <c r="AL32" i="55"/>
  <c r="AN27" i="55"/>
  <c r="AJ26" i="55"/>
  <c r="AL26" i="55"/>
  <c r="AJ43" i="55"/>
  <c r="AH41" i="55"/>
  <c r="AI41" i="55" s="1"/>
  <c r="AJ41" i="55" s="1"/>
  <c r="AE38" i="55"/>
  <c r="AL33" i="55"/>
  <c r="AJ31" i="55"/>
  <c r="AH29" i="55"/>
  <c r="AI29" i="55" s="1"/>
  <c r="AJ29" i="55" s="1"/>
  <c r="AE26" i="55"/>
  <c r="AE51" i="55"/>
  <c r="AN51" i="55" s="1"/>
  <c r="AD50" i="55"/>
  <c r="AH42" i="55"/>
  <c r="AI42" i="55" s="1"/>
  <c r="AJ42" i="55" s="1"/>
  <c r="AD38" i="55"/>
  <c r="AH30" i="55"/>
  <c r="AI30" i="55" s="1"/>
  <c r="AL30" i="55" s="1"/>
  <c r="AD26" i="55"/>
  <c r="AD51" i="55"/>
  <c r="AL47" i="55"/>
  <c r="AL49" i="55"/>
  <c r="AE42" i="55"/>
  <c r="AN42" i="55" s="1"/>
  <c r="AL37" i="55"/>
  <c r="AE30" i="55"/>
  <c r="AN30" i="55" s="1"/>
  <c r="AL25" i="55"/>
  <c r="AH46" i="55"/>
  <c r="AI46" i="55" s="1"/>
  <c r="AL46" i="55" s="1"/>
  <c r="AH34" i="55"/>
  <c r="AI34" i="55" s="1"/>
  <c r="AJ34" i="55" s="1"/>
  <c r="AL51" i="55"/>
  <c r="AH47" i="55"/>
  <c r="AI47" i="55" s="1"/>
  <c r="AJ47" i="55" s="1"/>
  <c r="AL39" i="55"/>
  <c r="AH35" i="55"/>
  <c r="AI35" i="55" s="1"/>
  <c r="AJ35" i="55" s="1"/>
  <c r="AL27" i="55"/>
  <c r="AE50" i="55"/>
  <c r="AL52" i="55"/>
  <c r="AE46" i="55"/>
  <c r="AN46" i="55" s="1"/>
  <c r="AE34" i="55"/>
  <c r="AN34" i="55" s="1"/>
  <c r="AE47" i="55"/>
  <c r="AN47" i="55" s="1"/>
  <c r="AE35" i="55"/>
  <c r="AN35" i="55" s="1"/>
  <c r="AN25" i="54"/>
  <c r="AE26" i="54"/>
  <c r="AL43" i="54"/>
  <c r="AJ43" i="54"/>
  <c r="AJ40" i="54"/>
  <c r="AJ38" i="54"/>
  <c r="AL38" i="54"/>
  <c r="AJ27" i="54"/>
  <c r="AL27" i="54"/>
  <c r="AJ33" i="54"/>
  <c r="AL33" i="54"/>
  <c r="AJ35" i="54"/>
  <c r="AL35" i="54"/>
  <c r="AN32" i="54"/>
  <c r="AJ25" i="54"/>
  <c r="AL25" i="54"/>
  <c r="AL31" i="54"/>
  <c r="AJ31" i="54"/>
  <c r="AN43" i="54"/>
  <c r="AJ36" i="54"/>
  <c r="AL36" i="54"/>
  <c r="AN31" i="54"/>
  <c r="AJ28" i="54"/>
  <c r="AJ29" i="54"/>
  <c r="AJ39" i="54"/>
  <c r="AL39" i="54"/>
  <c r="AJ26" i="54"/>
  <c r="AL26" i="54"/>
  <c r="AJ37" i="54"/>
  <c r="AL37" i="54"/>
  <c r="AN34" i="54"/>
  <c r="AE39" i="54"/>
  <c r="AD38" i="54"/>
  <c r="AN38" i="54" s="1"/>
  <c r="AE27" i="54"/>
  <c r="AD26" i="54"/>
  <c r="AE40" i="54"/>
  <c r="AN40" i="54" s="1"/>
  <c r="AD39" i="54"/>
  <c r="AE28" i="54"/>
  <c r="AN28" i="54" s="1"/>
  <c r="AD27" i="54"/>
  <c r="AE41" i="54"/>
  <c r="AN41" i="54" s="1"/>
  <c r="AE29" i="54"/>
  <c r="AN29" i="54" s="1"/>
  <c r="AE30" i="54"/>
  <c r="AN30" i="54" s="1"/>
  <c r="AL40" i="54"/>
  <c r="AE33" i="54"/>
  <c r="AN33" i="54" s="1"/>
  <c r="AL28" i="54"/>
  <c r="AL41" i="54"/>
  <c r="AE34" i="54"/>
  <c r="AL29" i="54"/>
  <c r="AJ70" i="53"/>
  <c r="AN74" i="53"/>
  <c r="AN70" i="53"/>
  <c r="AH79" i="53"/>
  <c r="AI79" i="53" s="1"/>
  <c r="AJ79" i="53" s="1"/>
  <c r="AH76" i="53"/>
  <c r="AI76" i="53" s="1"/>
  <c r="AJ76" i="53" s="1"/>
  <c r="AM63" i="53"/>
  <c r="AN68" i="53"/>
  <c r="AN64" i="53"/>
  <c r="AE60" i="53"/>
  <c r="AN60" i="53" s="1"/>
  <c r="AJ64" i="53"/>
  <c r="AN67" i="53"/>
  <c r="AN62" i="53"/>
  <c r="AD79" i="53"/>
  <c r="AE76" i="53"/>
  <c r="AN76" i="53" s="1"/>
  <c r="AD73" i="53"/>
  <c r="AN73" i="53" s="1"/>
  <c r="AM61" i="53"/>
  <c r="AN61" i="53" s="1"/>
  <c r="AH77" i="53"/>
  <c r="AI77" i="53" s="1"/>
  <c r="AL77" i="53" s="1"/>
  <c r="AJ67" i="53"/>
  <c r="AN58" i="53"/>
  <c r="AJ81" i="53"/>
  <c r="AL81" i="53"/>
  <c r="AJ59" i="53"/>
  <c r="AL59" i="53"/>
  <c r="AL91" i="53"/>
  <c r="AJ65" i="53"/>
  <c r="AL65" i="53"/>
  <c r="AL62" i="53"/>
  <c r="AN79" i="53"/>
  <c r="AJ69" i="53"/>
  <c r="AL69" i="53"/>
  <c r="AL86" i="53"/>
  <c r="AJ83" i="53"/>
  <c r="AL83" i="53"/>
  <c r="AN75" i="53"/>
  <c r="AL73" i="53"/>
  <c r="AJ71" i="53"/>
  <c r="AL71" i="53"/>
  <c r="AN90" i="53"/>
  <c r="AJ93" i="53"/>
  <c r="AL93" i="53"/>
  <c r="AJ57" i="53"/>
  <c r="AL57" i="53"/>
  <c r="AE93" i="53"/>
  <c r="AL88" i="53"/>
  <c r="AJ86" i="53"/>
  <c r="AH84" i="53"/>
  <c r="AI84" i="53" s="1"/>
  <c r="AJ84" i="53" s="1"/>
  <c r="AE81" i="53"/>
  <c r="AJ74" i="53"/>
  <c r="AH72" i="53"/>
  <c r="AI72" i="53" s="1"/>
  <c r="AJ72" i="53" s="1"/>
  <c r="AE69" i="53"/>
  <c r="AL64" i="53"/>
  <c r="AJ62" i="53"/>
  <c r="AH60" i="53"/>
  <c r="AI60" i="53" s="1"/>
  <c r="AJ60" i="53" s="1"/>
  <c r="AE57" i="53"/>
  <c r="AD93" i="53"/>
  <c r="AH85" i="53"/>
  <c r="AI85" i="53" s="1"/>
  <c r="AJ85" i="53" s="1"/>
  <c r="AD81" i="53"/>
  <c r="AN81" i="53" s="1"/>
  <c r="AH73" i="53"/>
  <c r="AI73" i="53" s="1"/>
  <c r="AJ73" i="53" s="1"/>
  <c r="AD69" i="53"/>
  <c r="AH61" i="53"/>
  <c r="AI61" i="53" s="1"/>
  <c r="AL61" i="53" s="1"/>
  <c r="AD57" i="53"/>
  <c r="AL90" i="53"/>
  <c r="AH87" i="53"/>
  <c r="AI87" i="53" s="1"/>
  <c r="AL87" i="53" s="1"/>
  <c r="AE84" i="53"/>
  <c r="AN84" i="53" s="1"/>
  <c r="AH75" i="53"/>
  <c r="AI75" i="53" s="1"/>
  <c r="AL75" i="53" s="1"/>
  <c r="AE72" i="53"/>
  <c r="AN72" i="53" s="1"/>
  <c r="AH63" i="53"/>
  <c r="AI63" i="53" s="1"/>
  <c r="AL63" i="53" s="1"/>
  <c r="AL92" i="53"/>
  <c r="AL80" i="53"/>
  <c r="AL68" i="53"/>
  <c r="AL56" i="53"/>
  <c r="AH89" i="53"/>
  <c r="AI89" i="53" s="1"/>
  <c r="AJ89" i="53" s="1"/>
  <c r="AH90" i="53"/>
  <c r="AI90" i="53" s="1"/>
  <c r="AJ90" i="53" s="1"/>
  <c r="AL82" i="53"/>
  <c r="AH78" i="53"/>
  <c r="AI78" i="53" s="1"/>
  <c r="AL78" i="53" s="1"/>
  <c r="AE75" i="53"/>
  <c r="AL70" i="53"/>
  <c r="AH66" i="53"/>
  <c r="AI66" i="53" s="1"/>
  <c r="AL66" i="53" s="1"/>
  <c r="AE63" i="53"/>
  <c r="AL58" i="53"/>
  <c r="AE89" i="53"/>
  <c r="AN89" i="53" s="1"/>
  <c r="AE77" i="53"/>
  <c r="AN77" i="53" s="1"/>
  <c r="AE65" i="53"/>
  <c r="AN65" i="53" s="1"/>
  <c r="AE90" i="53"/>
  <c r="AE78" i="53"/>
  <c r="AN78" i="53" s="1"/>
  <c r="AE66" i="53"/>
  <c r="AN66" i="53" s="1"/>
  <c r="AL58" i="51"/>
  <c r="AJ46" i="51"/>
  <c r="AM70" i="51"/>
  <c r="AL69" i="51"/>
  <c r="AJ34" i="51"/>
  <c r="AH70" i="51"/>
  <c r="AI70" i="51" s="1"/>
  <c r="AJ70" i="51" s="1"/>
  <c r="AM67" i="51"/>
  <c r="AM57" i="51"/>
  <c r="AN53" i="51"/>
  <c r="AN43" i="51"/>
  <c r="AJ36" i="51"/>
  <c r="AM29" i="51"/>
  <c r="AJ33" i="51"/>
  <c r="AH77" i="51"/>
  <c r="AI77" i="51" s="1"/>
  <c r="AM74" i="51"/>
  <c r="AM58" i="51"/>
  <c r="AN58" i="51" s="1"/>
  <c r="AM42" i="51"/>
  <c r="AH28" i="51"/>
  <c r="AI28" i="51" s="1"/>
  <c r="AN76" i="51"/>
  <c r="AH57" i="51"/>
  <c r="AI57" i="51" s="1"/>
  <c r="AJ57" i="51" s="1"/>
  <c r="AE77" i="51"/>
  <c r="AH74" i="51"/>
  <c r="AI74" i="51" s="1"/>
  <c r="AJ71" i="51"/>
  <c r="AE70" i="51"/>
  <c r="AH64" i="51"/>
  <c r="AI64" i="51" s="1"/>
  <c r="AJ64" i="51" s="1"/>
  <c r="AM45" i="51"/>
  <c r="AN31" i="51"/>
  <c r="AH29" i="51"/>
  <c r="AI29" i="51" s="1"/>
  <c r="AJ29" i="51" s="1"/>
  <c r="AD78" i="51"/>
  <c r="AM72" i="51"/>
  <c r="AE71" i="51"/>
  <c r="AH65" i="51"/>
  <c r="AI65" i="51" s="1"/>
  <c r="AJ65" i="51" s="1"/>
  <c r="AE42" i="51"/>
  <c r="AN30" i="51"/>
  <c r="AE28" i="51"/>
  <c r="AN28" i="51" s="1"/>
  <c r="AE74" i="51"/>
  <c r="AD71" i="51"/>
  <c r="AD61" i="51"/>
  <c r="AD57" i="51"/>
  <c r="AE48" i="51"/>
  <c r="AH45" i="51"/>
  <c r="AI45" i="51" s="1"/>
  <c r="AD42" i="51"/>
  <c r="AE29" i="51"/>
  <c r="AN55" i="51"/>
  <c r="AE55" i="51"/>
  <c r="AD48" i="51"/>
  <c r="AJ90" i="51"/>
  <c r="AL90" i="51"/>
  <c r="AJ86" i="51"/>
  <c r="AL86" i="51"/>
  <c r="AJ93" i="51"/>
  <c r="AJ91" i="51"/>
  <c r="AL91" i="51"/>
  <c r="AJ80" i="51"/>
  <c r="AJ66" i="51"/>
  <c r="AL66" i="51"/>
  <c r="AJ78" i="51"/>
  <c r="AL78" i="51"/>
  <c r="AL83" i="51"/>
  <c r="AJ74" i="51"/>
  <c r="AL74" i="51"/>
  <c r="AJ89" i="51"/>
  <c r="AJ72" i="51"/>
  <c r="AL72" i="51"/>
  <c r="AH92" i="51"/>
  <c r="AI92" i="51" s="1"/>
  <c r="AJ92" i="51" s="1"/>
  <c r="AD88" i="51"/>
  <c r="AN88" i="51" s="1"/>
  <c r="AN86" i="51"/>
  <c r="AE78" i="51"/>
  <c r="AL76" i="51"/>
  <c r="AE59" i="51"/>
  <c r="AH59" i="51"/>
  <c r="AI59" i="51" s="1"/>
  <c r="AJ59" i="51" s="1"/>
  <c r="AL54" i="51"/>
  <c r="AH38" i="51"/>
  <c r="AI38" i="51" s="1"/>
  <c r="AL38" i="51" s="1"/>
  <c r="AD38" i="51"/>
  <c r="AE38" i="51"/>
  <c r="AN38" i="51" s="1"/>
  <c r="AE91" i="51"/>
  <c r="AL71" i="51"/>
  <c r="AN65" i="51"/>
  <c r="AJ49" i="51"/>
  <c r="AL49" i="51"/>
  <c r="AN45" i="51"/>
  <c r="AH26" i="51"/>
  <c r="AI26" i="51" s="1"/>
  <c r="AJ26" i="51" s="1"/>
  <c r="AD26" i="51"/>
  <c r="AE26" i="51"/>
  <c r="AN26" i="51" s="1"/>
  <c r="AJ53" i="51"/>
  <c r="AL53" i="51"/>
  <c r="AE92" i="51"/>
  <c r="AN92" i="51" s="1"/>
  <c r="AD91" i="51"/>
  <c r="AH73" i="51"/>
  <c r="AI73" i="51" s="1"/>
  <c r="AL73" i="51" s="1"/>
  <c r="AJ27" i="51"/>
  <c r="AL27" i="51"/>
  <c r="AE93" i="51"/>
  <c r="AN93" i="51" s="1"/>
  <c r="AH79" i="51"/>
  <c r="AI79" i="51" s="1"/>
  <c r="AJ69" i="51"/>
  <c r="AL59" i="51"/>
  <c r="AJ40" i="51"/>
  <c r="AJ37" i="51"/>
  <c r="AL37" i="51"/>
  <c r="AN33" i="51"/>
  <c r="AL89" i="51"/>
  <c r="AH85" i="51"/>
  <c r="AI85" i="51" s="1"/>
  <c r="AJ85" i="51" s="1"/>
  <c r="AE84" i="51"/>
  <c r="AN84" i="51" s="1"/>
  <c r="AD75" i="51"/>
  <c r="AN75" i="51" s="1"/>
  <c r="AE75" i="51"/>
  <c r="AH62" i="51"/>
  <c r="AI62" i="51" s="1"/>
  <c r="AJ62" i="51" s="1"/>
  <c r="AN61" i="51"/>
  <c r="AD59" i="51"/>
  <c r="AJ45" i="51"/>
  <c r="AJ41" i="51"/>
  <c r="AL41" i="51"/>
  <c r="AD84" i="51"/>
  <c r="AH75" i="51"/>
  <c r="AI75" i="51" s="1"/>
  <c r="AJ75" i="51" s="1"/>
  <c r="AE73" i="51"/>
  <c r="AN73" i="51" s="1"/>
  <c r="AL64" i="51"/>
  <c r="AL46" i="51"/>
  <c r="AL42" i="51"/>
  <c r="AJ28" i="51"/>
  <c r="AJ25" i="51"/>
  <c r="AL25" i="51"/>
  <c r="AH87" i="51"/>
  <c r="AI87" i="51" s="1"/>
  <c r="AJ87" i="51" s="1"/>
  <c r="AL82" i="51"/>
  <c r="AE79" i="51"/>
  <c r="AN79" i="51" s="1"/>
  <c r="AD68" i="51"/>
  <c r="AE68" i="51"/>
  <c r="AE66" i="51"/>
  <c r="AD56" i="51"/>
  <c r="AE56" i="51"/>
  <c r="AH56" i="51"/>
  <c r="AI56" i="51" s="1"/>
  <c r="AL56" i="51" s="1"/>
  <c r="AL63" i="51"/>
  <c r="AJ39" i="51"/>
  <c r="AL39" i="51"/>
  <c r="AL92" i="51"/>
  <c r="AH88" i="51"/>
  <c r="AI88" i="51" s="1"/>
  <c r="AL88" i="51" s="1"/>
  <c r="AN77" i="51"/>
  <c r="AL70" i="51"/>
  <c r="AD66" i="51"/>
  <c r="AE62" i="51"/>
  <c r="AN62" i="51" s="1"/>
  <c r="AH61" i="51"/>
  <c r="AI61" i="51" s="1"/>
  <c r="AJ61" i="51" s="1"/>
  <c r="AN60" i="51"/>
  <c r="AN54" i="51"/>
  <c r="AL34" i="51"/>
  <c r="AL30" i="51"/>
  <c r="AH68" i="51"/>
  <c r="AI68" i="51" s="1"/>
  <c r="AJ68" i="51" s="1"/>
  <c r="AE87" i="51"/>
  <c r="AN87" i="51" s="1"/>
  <c r="AD80" i="51"/>
  <c r="AN80" i="51" s="1"/>
  <c r="AE80" i="51"/>
  <c r="AE72" i="51"/>
  <c r="AJ63" i="51"/>
  <c r="AJ54" i="51"/>
  <c r="AH50" i="51"/>
  <c r="AI50" i="51" s="1"/>
  <c r="AL50" i="51" s="1"/>
  <c r="AD50" i="51"/>
  <c r="AE50" i="51"/>
  <c r="AH80" i="51"/>
  <c r="AI80" i="51" s="1"/>
  <c r="AL80" i="51" s="1"/>
  <c r="AD67" i="51"/>
  <c r="AN67" i="51" s="1"/>
  <c r="AH67" i="51"/>
  <c r="AI67" i="51" s="1"/>
  <c r="AJ67" i="51" s="1"/>
  <c r="AD63" i="51"/>
  <c r="AN63" i="51" s="1"/>
  <c r="AE63" i="51"/>
  <c r="AL60" i="51"/>
  <c r="AJ51" i="51"/>
  <c r="AL51" i="51"/>
  <c r="AN49" i="51"/>
  <c r="AL48" i="51"/>
  <c r="AN36" i="51"/>
  <c r="AL26" i="51"/>
  <c r="AL45" i="51"/>
  <c r="AL33" i="51"/>
  <c r="AE51" i="51"/>
  <c r="AE39" i="51"/>
  <c r="AE27" i="51"/>
  <c r="AH55" i="51"/>
  <c r="AI55" i="51" s="1"/>
  <c r="AL55" i="51" s="1"/>
  <c r="AD51" i="51"/>
  <c r="AH43" i="51"/>
  <c r="AI43" i="51" s="1"/>
  <c r="AL43" i="51" s="1"/>
  <c r="AD39" i="51"/>
  <c r="AH31" i="51"/>
  <c r="AI31" i="51" s="1"/>
  <c r="AL31" i="51" s="1"/>
  <c r="AD27" i="51"/>
  <c r="AH44" i="51"/>
  <c r="AI44" i="51" s="1"/>
  <c r="AL44" i="51" s="1"/>
  <c r="AH32" i="51"/>
  <c r="AI32" i="51" s="1"/>
  <c r="AL32" i="51" s="1"/>
  <c r="AH47" i="51"/>
  <c r="AI47" i="51" s="1"/>
  <c r="AJ47" i="51" s="1"/>
  <c r="AE44" i="51"/>
  <c r="AN44" i="51" s="1"/>
  <c r="AH35" i="51"/>
  <c r="AI35" i="51" s="1"/>
  <c r="AJ35" i="51" s="1"/>
  <c r="AE32" i="51"/>
  <c r="AN32" i="51" s="1"/>
  <c r="AL52" i="51"/>
  <c r="AL40" i="51"/>
  <c r="AL28" i="51"/>
  <c r="AE47" i="51"/>
  <c r="AN47" i="51" s="1"/>
  <c r="AE35" i="51"/>
  <c r="AN35" i="51" s="1"/>
  <c r="AD130" i="46"/>
  <c r="AD94" i="46"/>
  <c r="AM187" i="46"/>
  <c r="AE168" i="46"/>
  <c r="AN168" i="46" s="1"/>
  <c r="AH166" i="46"/>
  <c r="AI166" i="46" s="1"/>
  <c r="AE84" i="46"/>
  <c r="AD189" i="46"/>
  <c r="AN189" i="46" s="1"/>
  <c r="AE182" i="46"/>
  <c r="AH136" i="46"/>
  <c r="AI136" i="46" s="1"/>
  <c r="AL136" i="46" s="1"/>
  <c r="AM117" i="46"/>
  <c r="AM163" i="46"/>
  <c r="AE156" i="46"/>
  <c r="AM125" i="46"/>
  <c r="AE124" i="46"/>
  <c r="AN124" i="46" s="1"/>
  <c r="AM96" i="46"/>
  <c r="AE136" i="46"/>
  <c r="AN136" i="46" s="1"/>
  <c r="AN129" i="46"/>
  <c r="AD205" i="46"/>
  <c r="AN205" i="46" s="1"/>
  <c r="AH193" i="46"/>
  <c r="AI193" i="46" s="1"/>
  <c r="AJ193" i="46" s="1"/>
  <c r="AE190" i="46"/>
  <c r="AN190" i="46" s="1"/>
  <c r="AH165" i="46"/>
  <c r="AI165" i="46" s="1"/>
  <c r="AJ165" i="46" s="1"/>
  <c r="AD127" i="46"/>
  <c r="AN127" i="46" s="1"/>
  <c r="AH122" i="46"/>
  <c r="AI122" i="46" s="1"/>
  <c r="AJ122" i="46" s="1"/>
  <c r="AH94" i="46"/>
  <c r="AI94" i="46" s="1"/>
  <c r="AJ94" i="46" s="1"/>
  <c r="AE83" i="46"/>
  <c r="AE163" i="46"/>
  <c r="AM118" i="46"/>
  <c r="AD117" i="46"/>
  <c r="AD107" i="46"/>
  <c r="AD83" i="46"/>
  <c r="AN83" i="46" s="1"/>
  <c r="AD201" i="46"/>
  <c r="AD193" i="46"/>
  <c r="AM84" i="46"/>
  <c r="AJ211" i="46"/>
  <c r="AL211" i="46"/>
  <c r="AL214" i="46"/>
  <c r="AJ214" i="46"/>
  <c r="AN212" i="46"/>
  <c r="AJ209" i="46"/>
  <c r="AL209" i="46"/>
  <c r="AN215" i="46"/>
  <c r="AJ212" i="46"/>
  <c r="AJ210" i="46"/>
  <c r="AL210" i="46"/>
  <c r="AE211" i="46"/>
  <c r="AD210" i="46"/>
  <c r="AN210" i="46" s="1"/>
  <c r="AE212" i="46"/>
  <c r="AD211" i="46"/>
  <c r="AN211" i="46" s="1"/>
  <c r="AE214" i="46"/>
  <c r="AN214" i="46" s="1"/>
  <c r="AL212" i="46"/>
  <c r="AL213" i="46"/>
  <c r="AH100" i="46"/>
  <c r="AI100" i="46" s="1"/>
  <c r="AJ100" i="46" s="1"/>
  <c r="AE100" i="46"/>
  <c r="AN100" i="46" s="1"/>
  <c r="AL190" i="46"/>
  <c r="AN185" i="46"/>
  <c r="AJ156" i="46"/>
  <c r="AE202" i="46"/>
  <c r="AD197" i="46"/>
  <c r="AJ185" i="46"/>
  <c r="AL168" i="46"/>
  <c r="AE161" i="46"/>
  <c r="AH157" i="46"/>
  <c r="AI157" i="46" s="1"/>
  <c r="AD150" i="46"/>
  <c r="AN150" i="46" s="1"/>
  <c r="AH139" i="46"/>
  <c r="AI139" i="46" s="1"/>
  <c r="AH110" i="46"/>
  <c r="AI110" i="46" s="1"/>
  <c r="AL103" i="46"/>
  <c r="AL87" i="46"/>
  <c r="AN202" i="46"/>
  <c r="AD126" i="46"/>
  <c r="AN126" i="46" s="1"/>
  <c r="AH123" i="46"/>
  <c r="AI123" i="46" s="1"/>
  <c r="AJ123" i="46" s="1"/>
  <c r="AH88" i="46"/>
  <c r="AI88" i="46" s="1"/>
  <c r="AJ88" i="46" s="1"/>
  <c r="AH169" i="46"/>
  <c r="AI169" i="46" s="1"/>
  <c r="AH162" i="46"/>
  <c r="AI162" i="46" s="1"/>
  <c r="AJ162" i="46" s="1"/>
  <c r="AH130" i="46"/>
  <c r="AI130" i="46" s="1"/>
  <c r="AL130" i="46" s="1"/>
  <c r="AH127" i="46"/>
  <c r="AI127" i="46" s="1"/>
  <c r="AL127" i="46" s="1"/>
  <c r="AJ139" i="46"/>
  <c r="AE198" i="46"/>
  <c r="AE186" i="46"/>
  <c r="AE115" i="46"/>
  <c r="AN115" i="46" s="1"/>
  <c r="AD99" i="46"/>
  <c r="AD90" i="46"/>
  <c r="AN90" i="46" s="1"/>
  <c r="AH201" i="46"/>
  <c r="AI201" i="46" s="1"/>
  <c r="AJ201" i="46" s="1"/>
  <c r="AD198" i="46"/>
  <c r="AD186" i="46"/>
  <c r="AE181" i="46"/>
  <c r="AH149" i="46"/>
  <c r="AI149" i="46" s="1"/>
  <c r="AL149" i="46" s="1"/>
  <c r="AE133" i="46"/>
  <c r="AN133" i="46" s="1"/>
  <c r="AD123" i="46"/>
  <c r="AN123" i="46" s="1"/>
  <c r="AE118" i="46"/>
  <c r="AH189" i="46"/>
  <c r="AI189" i="46" s="1"/>
  <c r="AJ189" i="46" s="1"/>
  <c r="AE175" i="46"/>
  <c r="AN175" i="46" s="1"/>
  <c r="AE107" i="46"/>
  <c r="AJ190" i="46"/>
  <c r="AL161" i="46"/>
  <c r="AH208" i="46"/>
  <c r="AI208" i="46" s="1"/>
  <c r="AJ208" i="46" s="1"/>
  <c r="AH202" i="46"/>
  <c r="AI202" i="46" s="1"/>
  <c r="AL202" i="46" s="1"/>
  <c r="AD174" i="46"/>
  <c r="AM153" i="46"/>
  <c r="AN106" i="46"/>
  <c r="AJ87" i="46"/>
  <c r="AE165" i="46"/>
  <c r="AN165" i="46" s="1"/>
  <c r="AD162" i="46"/>
  <c r="AN162" i="46" s="1"/>
  <c r="AH118" i="46"/>
  <c r="AI118" i="46" s="1"/>
  <c r="AJ118" i="46" s="1"/>
  <c r="AN94" i="46"/>
  <c r="AM92" i="46"/>
  <c r="AM89" i="46"/>
  <c r="AL91" i="46"/>
  <c r="AM173" i="46"/>
  <c r="AH172" i="46"/>
  <c r="AI172" i="46" s="1"/>
  <c r="AL172" i="46" s="1"/>
  <c r="AE169" i="46"/>
  <c r="AM154" i="46"/>
  <c r="AH153" i="46"/>
  <c r="AI153" i="46" s="1"/>
  <c r="AJ153" i="46" s="1"/>
  <c r="AE149" i="46"/>
  <c r="AN149" i="46" s="1"/>
  <c r="AH144" i="46"/>
  <c r="AI144" i="46" s="1"/>
  <c r="AJ144" i="46" s="1"/>
  <c r="AM138" i="46"/>
  <c r="AM135" i="46"/>
  <c r="AL124" i="46"/>
  <c r="AM112" i="46"/>
  <c r="AN112" i="46" s="1"/>
  <c r="AE95" i="46"/>
  <c r="AE88" i="46"/>
  <c r="AM204" i="46"/>
  <c r="AM200" i="46"/>
  <c r="AH196" i="46"/>
  <c r="AI196" i="46" s="1"/>
  <c r="AJ196" i="46" s="1"/>
  <c r="AD176" i="46"/>
  <c r="AN176" i="46" s="1"/>
  <c r="AM170" i="46"/>
  <c r="AE166" i="46"/>
  <c r="AN166" i="46" s="1"/>
  <c r="AM145" i="46"/>
  <c r="AH115" i="46"/>
  <c r="AI115" i="46" s="1"/>
  <c r="AL115" i="46" s="1"/>
  <c r="AD114" i="46"/>
  <c r="AN114" i="46" s="1"/>
  <c r="AH111" i="46"/>
  <c r="AI111" i="46" s="1"/>
  <c r="AJ111" i="46" s="1"/>
  <c r="AE108" i="46"/>
  <c r="AD95" i="46"/>
  <c r="AD88" i="46"/>
  <c r="AN208" i="46"/>
  <c r="AM197" i="46"/>
  <c r="AN193" i="46"/>
  <c r="AH183" i="46"/>
  <c r="AI183" i="46" s="1"/>
  <c r="AL183" i="46" s="1"/>
  <c r="AH180" i="46"/>
  <c r="AI180" i="46" s="1"/>
  <c r="AJ180" i="46" s="1"/>
  <c r="AH177" i="46"/>
  <c r="AI177" i="46" s="1"/>
  <c r="AJ177" i="46" s="1"/>
  <c r="AH173" i="46"/>
  <c r="AI173" i="46" s="1"/>
  <c r="AL173" i="46" s="1"/>
  <c r="AN156" i="46"/>
  <c r="AH154" i="46"/>
  <c r="AI154" i="46" s="1"/>
  <c r="AJ154" i="46" s="1"/>
  <c r="AJ150" i="46"/>
  <c r="AN139" i="46"/>
  <c r="AN103" i="46"/>
  <c r="AH98" i="46"/>
  <c r="AI98" i="46" s="1"/>
  <c r="AM174" i="46"/>
  <c r="AN161" i="46"/>
  <c r="AH160" i="46"/>
  <c r="AI160" i="46" s="1"/>
  <c r="AL160" i="46" s="1"/>
  <c r="AE153" i="46"/>
  <c r="AH145" i="46"/>
  <c r="AI145" i="46" s="1"/>
  <c r="AJ145" i="46" s="1"/>
  <c r="AE144" i="46"/>
  <c r="AN144" i="46" s="1"/>
  <c r="AH135" i="46"/>
  <c r="AI135" i="46" s="1"/>
  <c r="AL135" i="46" s="1"/>
  <c r="AH112" i="46"/>
  <c r="AI112" i="46" s="1"/>
  <c r="AJ112" i="46" s="1"/>
  <c r="AH106" i="46"/>
  <c r="AI106" i="46" s="1"/>
  <c r="AJ106" i="46" s="1"/>
  <c r="AN99" i="46"/>
  <c r="AM93" i="46"/>
  <c r="AN93" i="46" s="1"/>
  <c r="AL198" i="46"/>
  <c r="AN201" i="46"/>
  <c r="AJ198" i="46"/>
  <c r="AE196" i="46"/>
  <c r="AN196" i="46" s="1"/>
  <c r="AE183" i="46"/>
  <c r="AN183" i="46" s="1"/>
  <c r="AM181" i="46"/>
  <c r="AM158" i="46"/>
  <c r="AE154" i="46"/>
  <c r="AN154" i="46" s="1"/>
  <c r="AH142" i="46"/>
  <c r="AI142" i="46" s="1"/>
  <c r="AD111" i="46"/>
  <c r="AN111" i="46" s="1"/>
  <c r="AD105" i="46"/>
  <c r="AN105" i="46" s="1"/>
  <c r="AH86" i="46"/>
  <c r="AI86" i="46" s="1"/>
  <c r="AJ86" i="46" s="1"/>
  <c r="AE204" i="46"/>
  <c r="AH197" i="46"/>
  <c r="AI197" i="46" s="1"/>
  <c r="AL197" i="46" s="1"/>
  <c r="AD187" i="46"/>
  <c r="AE180" i="46"/>
  <c r="AN180" i="46" s="1"/>
  <c r="AE177" i="46"/>
  <c r="AN177" i="46" s="1"/>
  <c r="AE173" i="46"/>
  <c r="AE145" i="46"/>
  <c r="AD119" i="46"/>
  <c r="AN119" i="46" s="1"/>
  <c r="AM113" i="46"/>
  <c r="AD102" i="46"/>
  <c r="AN102" i="46" s="1"/>
  <c r="AH99" i="46"/>
  <c r="AI99" i="46" s="1"/>
  <c r="AJ99" i="46" s="1"/>
  <c r="AE96" i="46"/>
  <c r="AN91" i="46"/>
  <c r="AD204" i="46"/>
  <c r="AL201" i="46"/>
  <c r="AN192" i="46"/>
  <c r="AH174" i="46"/>
  <c r="AI174" i="46" s="1"/>
  <c r="AJ174" i="46" s="1"/>
  <c r="AE151" i="46"/>
  <c r="AN151" i="46" s="1"/>
  <c r="AE142" i="46"/>
  <c r="AN142" i="46" s="1"/>
  <c r="AD135" i="46"/>
  <c r="AJ205" i="46"/>
  <c r="AL205" i="46"/>
  <c r="AJ195" i="46"/>
  <c r="AJ186" i="46"/>
  <c r="AL182" i="46"/>
  <c r="AJ182" i="46"/>
  <c r="AJ206" i="46"/>
  <c r="AL206" i="46"/>
  <c r="AJ204" i="46"/>
  <c r="AL187" i="46"/>
  <c r="AJ187" i="46"/>
  <c r="AJ207" i="46"/>
  <c r="AJ194" i="46"/>
  <c r="AL194" i="46"/>
  <c r="AE194" i="46"/>
  <c r="AJ181" i="46"/>
  <c r="AE179" i="46"/>
  <c r="AH179" i="46"/>
  <c r="AI179" i="46" s="1"/>
  <c r="AL179" i="46" s="1"/>
  <c r="AE206" i="46"/>
  <c r="AE207" i="46"/>
  <c r="AD206" i="46"/>
  <c r="AE195" i="46"/>
  <c r="AD194" i="46"/>
  <c r="AL185" i="46"/>
  <c r="AD181" i="46"/>
  <c r="AN181" i="46" s="1"/>
  <c r="AJ172" i="46"/>
  <c r="AJ166" i="46"/>
  <c r="AL166" i="46"/>
  <c r="AJ157" i="46"/>
  <c r="AL157" i="46"/>
  <c r="AL156" i="46"/>
  <c r="AD207" i="46"/>
  <c r="AH199" i="46"/>
  <c r="AI199" i="46" s="1"/>
  <c r="AL199" i="46" s="1"/>
  <c r="AD195" i="46"/>
  <c r="AD179" i="46"/>
  <c r="AL204" i="46"/>
  <c r="AH200" i="46"/>
  <c r="AI200" i="46" s="1"/>
  <c r="AL200" i="46" s="1"/>
  <c r="AL192" i="46"/>
  <c r="AH188" i="46"/>
  <c r="AI188" i="46" s="1"/>
  <c r="AL188" i="46" s="1"/>
  <c r="AE187" i="46"/>
  <c r="AH184" i="46"/>
  <c r="AI184" i="46" s="1"/>
  <c r="AL184" i="46" s="1"/>
  <c r="AJ169" i="46"/>
  <c r="AL169" i="46"/>
  <c r="AL162" i="46"/>
  <c r="AH146" i="46"/>
  <c r="AI146" i="46" s="1"/>
  <c r="AL146" i="46" s="1"/>
  <c r="AD146" i="46"/>
  <c r="AN146" i="46" s="1"/>
  <c r="AE199" i="46"/>
  <c r="AN199" i="46" s="1"/>
  <c r="AL207" i="46"/>
  <c r="AH203" i="46"/>
  <c r="AI203" i="46" s="1"/>
  <c r="AJ203" i="46" s="1"/>
  <c r="AE200" i="46"/>
  <c r="AN200" i="46" s="1"/>
  <c r="AL195" i="46"/>
  <c r="AH191" i="46"/>
  <c r="AI191" i="46" s="1"/>
  <c r="AJ191" i="46" s="1"/>
  <c r="AE188" i="46"/>
  <c r="AN188" i="46" s="1"/>
  <c r="AD184" i="46"/>
  <c r="AN184" i="46" s="1"/>
  <c r="AD182" i="46"/>
  <c r="AN182" i="46" s="1"/>
  <c r="AH178" i="46"/>
  <c r="AI178" i="46" s="1"/>
  <c r="AH176" i="46"/>
  <c r="AI176" i="46" s="1"/>
  <c r="AH170" i="46"/>
  <c r="AI170" i="46" s="1"/>
  <c r="AJ170" i="46" s="1"/>
  <c r="AD170" i="46"/>
  <c r="AJ161" i="46"/>
  <c r="AJ142" i="46"/>
  <c r="AL142" i="46"/>
  <c r="AH159" i="46"/>
  <c r="AI159" i="46" s="1"/>
  <c r="AJ159" i="46" s="1"/>
  <c r="AD159" i="46"/>
  <c r="AE159" i="46"/>
  <c r="AL208" i="46"/>
  <c r="AL196" i="46"/>
  <c r="AL181" i="46"/>
  <c r="AH171" i="46"/>
  <c r="AI171" i="46" s="1"/>
  <c r="AJ171" i="46" s="1"/>
  <c r="AD171" i="46"/>
  <c r="AE171" i="46"/>
  <c r="AD140" i="46"/>
  <c r="AE140" i="46"/>
  <c r="AE178" i="46"/>
  <c r="AN178" i="46" s="1"/>
  <c r="AN169" i="46"/>
  <c r="AD167" i="46"/>
  <c r="AE167" i="46"/>
  <c r="AH167" i="46"/>
  <c r="AI167" i="46" s="1"/>
  <c r="AJ167" i="46" s="1"/>
  <c r="AJ160" i="46"/>
  <c r="AH158" i="46"/>
  <c r="AI158" i="46" s="1"/>
  <c r="AL158" i="46" s="1"/>
  <c r="AD158" i="46"/>
  <c r="AJ148" i="46"/>
  <c r="AL148" i="46"/>
  <c r="AE203" i="46"/>
  <c r="AN203" i="46" s="1"/>
  <c r="AE191" i="46"/>
  <c r="AN191" i="46" s="1"/>
  <c r="AJ168" i="46"/>
  <c r="AD164" i="46"/>
  <c r="AE164" i="46"/>
  <c r="AH164" i="46"/>
  <c r="AI164" i="46" s="1"/>
  <c r="AL164" i="46" s="1"/>
  <c r="AJ149" i="46"/>
  <c r="AH147" i="46"/>
  <c r="AI147" i="46" s="1"/>
  <c r="AJ147" i="46" s="1"/>
  <c r="AD147" i="46"/>
  <c r="AE147" i="46"/>
  <c r="AD128" i="46"/>
  <c r="AE128" i="46"/>
  <c r="AH128" i="46"/>
  <c r="AI128" i="46" s="1"/>
  <c r="AL128" i="46" s="1"/>
  <c r="AL186" i="46"/>
  <c r="AL165" i="46"/>
  <c r="AN157" i="46"/>
  <c r="AL150" i="46"/>
  <c r="AD137" i="46"/>
  <c r="AH137" i="46"/>
  <c r="AI137" i="46" s="1"/>
  <c r="AL137" i="46" s="1"/>
  <c r="AE137" i="46"/>
  <c r="AJ140" i="46"/>
  <c r="AJ107" i="46"/>
  <c r="AL107" i="46"/>
  <c r="AH175" i="46"/>
  <c r="AI175" i="46" s="1"/>
  <c r="AL175" i="46" s="1"/>
  <c r="AE172" i="46"/>
  <c r="AN172" i="46" s="1"/>
  <c r="AH163" i="46"/>
  <c r="AI163" i="46" s="1"/>
  <c r="AJ163" i="46" s="1"/>
  <c r="AE160" i="46"/>
  <c r="AN160" i="46" s="1"/>
  <c r="AH151" i="46"/>
  <c r="AI151" i="46" s="1"/>
  <c r="AJ151" i="46" s="1"/>
  <c r="AE148" i="46"/>
  <c r="AN148" i="46" s="1"/>
  <c r="AJ131" i="46"/>
  <c r="AH109" i="46"/>
  <c r="AI109" i="46" s="1"/>
  <c r="AJ109" i="46" s="1"/>
  <c r="AD109" i="46"/>
  <c r="AE109" i="46"/>
  <c r="AH152" i="46"/>
  <c r="AI152" i="46" s="1"/>
  <c r="AL152" i="46" s="1"/>
  <c r="AJ110" i="46"/>
  <c r="AL110" i="46"/>
  <c r="AJ95" i="46"/>
  <c r="AL95" i="46"/>
  <c r="AH141" i="46"/>
  <c r="AI141" i="46" s="1"/>
  <c r="AL141" i="46" s="1"/>
  <c r="AL139" i="46"/>
  <c r="AD134" i="46"/>
  <c r="AE134" i="46"/>
  <c r="AN131" i="46"/>
  <c r="AJ127" i="46"/>
  <c r="AJ103" i="46"/>
  <c r="AH97" i="46"/>
  <c r="AI97" i="46" s="1"/>
  <c r="AJ97" i="46" s="1"/>
  <c r="AD97" i="46"/>
  <c r="AE97" i="46"/>
  <c r="AH120" i="46"/>
  <c r="AI120" i="46" s="1"/>
  <c r="AJ120" i="46" s="1"/>
  <c r="AD120" i="46"/>
  <c r="AJ108" i="46"/>
  <c r="AL108" i="46"/>
  <c r="AJ98" i="46"/>
  <c r="AL98" i="46"/>
  <c r="AJ83" i="46"/>
  <c r="AL83" i="46"/>
  <c r="AH155" i="46"/>
  <c r="AI155" i="46" s="1"/>
  <c r="AL155" i="46" s="1"/>
  <c r="AE152" i="46"/>
  <c r="AN152" i="46" s="1"/>
  <c r="AH143" i="46"/>
  <c r="AI143" i="46" s="1"/>
  <c r="AJ143" i="46" s="1"/>
  <c r="AH134" i="46"/>
  <c r="AI134" i="46" s="1"/>
  <c r="AJ134" i="46" s="1"/>
  <c r="AN130" i="46"/>
  <c r="AL111" i="46"/>
  <c r="AJ91" i="46"/>
  <c r="AH85" i="46"/>
  <c r="AI85" i="46" s="1"/>
  <c r="AJ85" i="46" s="1"/>
  <c r="AD85" i="46"/>
  <c r="AE85" i="46"/>
  <c r="AD141" i="46"/>
  <c r="AN141" i="46" s="1"/>
  <c r="AL112" i="46"/>
  <c r="AJ96" i="46"/>
  <c r="AL96" i="46"/>
  <c r="AN87" i="46"/>
  <c r="AH133" i="46"/>
  <c r="AI133" i="46" s="1"/>
  <c r="AJ133" i="46" s="1"/>
  <c r="AH132" i="46"/>
  <c r="AI132" i="46" s="1"/>
  <c r="AJ132" i="46" s="1"/>
  <c r="AD132" i="46"/>
  <c r="AN132" i="46" s="1"/>
  <c r="AH121" i="46"/>
  <c r="AI121" i="46" s="1"/>
  <c r="AL121" i="46" s="1"/>
  <c r="AD121" i="46"/>
  <c r="AE121" i="46"/>
  <c r="AE155" i="46"/>
  <c r="AN155" i="46" s="1"/>
  <c r="AE143" i="46"/>
  <c r="AN143" i="46" s="1"/>
  <c r="AL140" i="46"/>
  <c r="AE138" i="46"/>
  <c r="AN138" i="46" s="1"/>
  <c r="AH138" i="46"/>
  <c r="AI138" i="46" s="1"/>
  <c r="AJ138" i="46" s="1"/>
  <c r="AN120" i="46"/>
  <c r="AL118" i="46"/>
  <c r="AL100" i="46"/>
  <c r="AJ84" i="46"/>
  <c r="AL84" i="46"/>
  <c r="AJ135" i="46"/>
  <c r="AJ119" i="46"/>
  <c r="AL119" i="46"/>
  <c r="AD108" i="46"/>
  <c r="AN108" i="46" s="1"/>
  <c r="AD96" i="46"/>
  <c r="AD84" i="46"/>
  <c r="AH125" i="46"/>
  <c r="AI125" i="46" s="1"/>
  <c r="AJ125" i="46" s="1"/>
  <c r="AE122" i="46"/>
  <c r="AN122" i="46" s="1"/>
  <c r="AH113" i="46"/>
  <c r="AI113" i="46" s="1"/>
  <c r="AJ113" i="46" s="1"/>
  <c r="AE110" i="46"/>
  <c r="AN110" i="46" s="1"/>
  <c r="AH101" i="46"/>
  <c r="AI101" i="46" s="1"/>
  <c r="AJ101" i="46" s="1"/>
  <c r="AE98" i="46"/>
  <c r="AN98" i="46" s="1"/>
  <c r="AH89" i="46"/>
  <c r="AI89" i="46" s="1"/>
  <c r="AJ89" i="46" s="1"/>
  <c r="AE86" i="46"/>
  <c r="AN86" i="46" s="1"/>
  <c r="AH126" i="46"/>
  <c r="AI126" i="46" s="1"/>
  <c r="AL126" i="46" s="1"/>
  <c r="AH114" i="46"/>
  <c r="AI114" i="46" s="1"/>
  <c r="AL114" i="46" s="1"/>
  <c r="AH102" i="46"/>
  <c r="AI102" i="46" s="1"/>
  <c r="AL102" i="46" s="1"/>
  <c r="AH90" i="46"/>
  <c r="AI90" i="46" s="1"/>
  <c r="AL90" i="46" s="1"/>
  <c r="AE125" i="46"/>
  <c r="AN125" i="46" s="1"/>
  <c r="AH116" i="46"/>
  <c r="AI116" i="46" s="1"/>
  <c r="AJ116" i="46" s="1"/>
  <c r="AE113" i="46"/>
  <c r="AN113" i="46" s="1"/>
  <c r="AH104" i="46"/>
  <c r="AI104" i="46" s="1"/>
  <c r="AJ104" i="46" s="1"/>
  <c r="AE101" i="46"/>
  <c r="AN101" i="46" s="1"/>
  <c r="AH92" i="46"/>
  <c r="AI92" i="46" s="1"/>
  <c r="AJ92" i="46" s="1"/>
  <c r="AE89" i="46"/>
  <c r="AH129" i="46"/>
  <c r="AI129" i="46" s="1"/>
  <c r="AL129" i="46" s="1"/>
  <c r="AH117" i="46"/>
  <c r="AI117" i="46" s="1"/>
  <c r="AJ117" i="46" s="1"/>
  <c r="AH105" i="46"/>
  <c r="AI105" i="46" s="1"/>
  <c r="AJ105" i="46" s="1"/>
  <c r="AH93" i="46"/>
  <c r="AI93" i="46" s="1"/>
  <c r="AJ93" i="46" s="1"/>
  <c r="AE116" i="46"/>
  <c r="AN116" i="46" s="1"/>
  <c r="AE104" i="46"/>
  <c r="AN104" i="46" s="1"/>
  <c r="AE92" i="46"/>
  <c r="AL31" i="45"/>
  <c r="AJ31" i="45"/>
  <c r="AL43" i="45"/>
  <c r="AJ43" i="45"/>
  <c r="AN35" i="45"/>
  <c r="AJ25" i="45"/>
  <c r="AN47" i="45"/>
  <c r="AJ49" i="45"/>
  <c r="AN25" i="45"/>
  <c r="AM45" i="45"/>
  <c r="AH38" i="45"/>
  <c r="AI38" i="45" s="1"/>
  <c r="AJ38" i="45" s="1"/>
  <c r="AN49" i="45"/>
  <c r="AH48" i="45"/>
  <c r="AI48" i="45" s="1"/>
  <c r="AL48" i="45" s="1"/>
  <c r="AE38" i="45"/>
  <c r="AN38" i="45" s="1"/>
  <c r="AH35" i="45"/>
  <c r="AI35" i="45" s="1"/>
  <c r="AM26" i="45"/>
  <c r="AE45" i="45"/>
  <c r="AM36" i="45"/>
  <c r="AM33" i="45"/>
  <c r="AH26" i="45"/>
  <c r="AI26" i="45" s="1"/>
  <c r="AJ26" i="45" s="1"/>
  <c r="AH36" i="45"/>
  <c r="AI36" i="45" s="1"/>
  <c r="AJ36" i="45" s="1"/>
  <c r="AE26" i="45"/>
  <c r="AH42" i="45"/>
  <c r="AI42" i="45" s="1"/>
  <c r="AL42" i="45" s="1"/>
  <c r="AM37" i="45"/>
  <c r="AN37" i="45" s="1"/>
  <c r="AE33" i="45"/>
  <c r="AE50" i="45"/>
  <c r="AN50" i="45" s="1"/>
  <c r="AN31" i="45"/>
  <c r="AJ44" i="45"/>
  <c r="AL44" i="45"/>
  <c r="AL57" i="45"/>
  <c r="AJ47" i="45"/>
  <c r="AJ60" i="45"/>
  <c r="AL60" i="45"/>
  <c r="AJ51" i="45"/>
  <c r="AL51" i="45"/>
  <c r="AN41" i="45"/>
  <c r="AL30" i="45"/>
  <c r="AJ30" i="45"/>
  <c r="AL38" i="45"/>
  <c r="AJ61" i="45"/>
  <c r="AL54" i="45"/>
  <c r="AJ54" i="45"/>
  <c r="AJ32" i="45"/>
  <c r="AL32" i="45"/>
  <c r="AJ48" i="45"/>
  <c r="AJ35" i="45"/>
  <c r="AJ58" i="45"/>
  <c r="AJ27" i="45"/>
  <c r="AL27" i="45"/>
  <c r="AN53" i="45"/>
  <c r="AJ39" i="45"/>
  <c r="AL39" i="45"/>
  <c r="AJ56" i="45"/>
  <c r="AL56" i="45"/>
  <c r="AJ50" i="45"/>
  <c r="AL50" i="45"/>
  <c r="AJ59" i="45"/>
  <c r="AN57" i="45"/>
  <c r="AJ53" i="45"/>
  <c r="AJ37" i="45"/>
  <c r="AD60" i="45"/>
  <c r="AN60" i="45" s="1"/>
  <c r="AN58" i="45"/>
  <c r="AH52" i="45"/>
  <c r="AI52" i="45" s="1"/>
  <c r="AL52" i="45" s="1"/>
  <c r="AD48" i="45"/>
  <c r="AN48" i="45" s="1"/>
  <c r="AH40" i="45"/>
  <c r="AI40" i="45" s="1"/>
  <c r="AL40" i="45" s="1"/>
  <c r="AD36" i="45"/>
  <c r="AN36" i="45" s="1"/>
  <c r="AH28" i="45"/>
  <c r="AI28" i="45" s="1"/>
  <c r="AL28" i="45" s="1"/>
  <c r="AE51" i="45"/>
  <c r="AN51" i="45" s="1"/>
  <c r="AE39" i="45"/>
  <c r="AE27" i="45"/>
  <c r="AL59" i="45"/>
  <c r="AE52" i="45"/>
  <c r="AN52" i="45" s="1"/>
  <c r="AD51" i="45"/>
  <c r="AL47" i="45"/>
  <c r="AE40" i="45"/>
  <c r="AN40" i="45" s="1"/>
  <c r="AD39" i="45"/>
  <c r="AN39" i="45" s="1"/>
  <c r="AL35" i="45"/>
  <c r="AE28" i="45"/>
  <c r="AN28" i="45" s="1"/>
  <c r="AD27" i="45"/>
  <c r="AL61" i="45"/>
  <c r="AH57" i="45"/>
  <c r="AI57" i="45" s="1"/>
  <c r="AJ57" i="45" s="1"/>
  <c r="AE54" i="45"/>
  <c r="AN54" i="45" s="1"/>
  <c r="AL49" i="45"/>
  <c r="AH45" i="45"/>
  <c r="AI45" i="45" s="1"/>
  <c r="AL45" i="45" s="1"/>
  <c r="AE42" i="45"/>
  <c r="AN42" i="45" s="1"/>
  <c r="AL37" i="45"/>
  <c r="AH33" i="45"/>
  <c r="AI33" i="45" s="1"/>
  <c r="AL33" i="45" s="1"/>
  <c r="AE30" i="45"/>
  <c r="AN30" i="45" s="1"/>
  <c r="AL25" i="45"/>
  <c r="AH58" i="45"/>
  <c r="AI58" i="45" s="1"/>
  <c r="AL58" i="45" s="1"/>
  <c r="AH46" i="45"/>
  <c r="AI46" i="45" s="1"/>
  <c r="AJ46" i="45" s="1"/>
  <c r="AH34" i="45"/>
  <c r="AI34" i="45" s="1"/>
  <c r="AJ34" i="45" s="1"/>
  <c r="AE58" i="45"/>
  <c r="AL53" i="45"/>
  <c r="AE46" i="45"/>
  <c r="AN46" i="45" s="1"/>
  <c r="AL41" i="45"/>
  <c r="AE34" i="45"/>
  <c r="AN34" i="45" s="1"/>
  <c r="AL29" i="45"/>
  <c r="AN25" i="44"/>
  <c r="AJ34" i="44"/>
  <c r="AJ33" i="44"/>
  <c r="AJ25" i="44"/>
  <c r="AL25" i="44"/>
  <c r="AL32" i="44"/>
  <c r="AN33" i="44"/>
  <c r="AJ26" i="44"/>
  <c r="AL26" i="44"/>
  <c r="AE26" i="44"/>
  <c r="AL34" i="44"/>
  <c r="AE27" i="44"/>
  <c r="AD26" i="44"/>
  <c r="AN26" i="44" s="1"/>
  <c r="AH31" i="44"/>
  <c r="AI31" i="44" s="1"/>
  <c r="AL31" i="44" s="1"/>
  <c r="AE28" i="44"/>
  <c r="AN28" i="44" s="1"/>
  <c r="AD27" i="44"/>
  <c r="AH32" i="44"/>
  <c r="AI32" i="44" s="1"/>
  <c r="AJ32" i="44" s="1"/>
  <c r="AH35" i="44"/>
  <c r="AI35" i="44" s="1"/>
  <c r="AJ35" i="44" s="1"/>
  <c r="AE32" i="44"/>
  <c r="AN32" i="44" s="1"/>
  <c r="AL27" i="44"/>
  <c r="AL28" i="44"/>
  <c r="AL29" i="44"/>
  <c r="AE35" i="44"/>
  <c r="AN35" i="44" s="1"/>
  <c r="AL31" i="43"/>
  <c r="AJ31" i="43"/>
  <c r="AN41" i="43"/>
  <c r="AN29" i="43"/>
  <c r="AJ43" i="43"/>
  <c r="AM36" i="43"/>
  <c r="AN36" i="43" s="1"/>
  <c r="AH35" i="43"/>
  <c r="AI35" i="43" s="1"/>
  <c r="AJ35" i="43" s="1"/>
  <c r="AN31" i="43"/>
  <c r="AH28" i="43"/>
  <c r="AI28" i="43" s="1"/>
  <c r="AN40" i="43"/>
  <c r="AM29" i="43"/>
  <c r="AM39" i="43"/>
  <c r="AH36" i="43"/>
  <c r="AI36" i="43" s="1"/>
  <c r="AJ36" i="43" s="1"/>
  <c r="AN43" i="43"/>
  <c r="AD42" i="43"/>
  <c r="AN42" i="43" s="1"/>
  <c r="AM37" i="43"/>
  <c r="AN37" i="43" s="1"/>
  <c r="AD35" i="43"/>
  <c r="AN35" i="43" s="1"/>
  <c r="AH29" i="43"/>
  <c r="AI29" i="43" s="1"/>
  <c r="AJ29" i="43" s="1"/>
  <c r="AE26" i="43"/>
  <c r="AM30" i="43"/>
  <c r="AN30" i="43" s="1"/>
  <c r="AJ40" i="43"/>
  <c r="AL30" i="43"/>
  <c r="AJ30" i="43"/>
  <c r="AJ27" i="43"/>
  <c r="AL27" i="43"/>
  <c r="AJ34" i="43"/>
  <c r="AL34" i="43"/>
  <c r="AJ50" i="43"/>
  <c r="AL50" i="43"/>
  <c r="AJ46" i="43"/>
  <c r="AL46" i="43"/>
  <c r="AJ38" i="43"/>
  <c r="AL38" i="43"/>
  <c r="AJ37" i="43"/>
  <c r="AL37" i="43"/>
  <c r="AJ25" i="43"/>
  <c r="AL25" i="43"/>
  <c r="AL32" i="43"/>
  <c r="AJ48" i="43"/>
  <c r="AL48" i="43"/>
  <c r="AJ28" i="43"/>
  <c r="AJ26" i="43"/>
  <c r="AL26" i="43"/>
  <c r="AJ49" i="43"/>
  <c r="AL49" i="43"/>
  <c r="AJ51" i="43"/>
  <c r="AL51" i="43"/>
  <c r="AJ39" i="43"/>
  <c r="AL39" i="43"/>
  <c r="AE51" i="43"/>
  <c r="AD50" i="43"/>
  <c r="AN50" i="43" s="1"/>
  <c r="AH42" i="43"/>
  <c r="AI42" i="43" s="1"/>
  <c r="AL42" i="43" s="1"/>
  <c r="AE39" i="43"/>
  <c r="AD38" i="43"/>
  <c r="AN38" i="43" s="1"/>
  <c r="AE27" i="43"/>
  <c r="AD26" i="43"/>
  <c r="AD51" i="43"/>
  <c r="AN51" i="43" s="1"/>
  <c r="AL47" i="43"/>
  <c r="AD39" i="43"/>
  <c r="AE28" i="43"/>
  <c r="AN28" i="43" s="1"/>
  <c r="AD27" i="43"/>
  <c r="AH44" i="43"/>
  <c r="AI44" i="43" s="1"/>
  <c r="AJ44" i="43" s="1"/>
  <c r="AH32" i="43"/>
  <c r="AI32" i="43" s="1"/>
  <c r="AJ32" i="43" s="1"/>
  <c r="AH45" i="43"/>
  <c r="AI45" i="43" s="1"/>
  <c r="AL45" i="43" s="1"/>
  <c r="AH33" i="43"/>
  <c r="AI33" i="43" s="1"/>
  <c r="AL33" i="43" s="1"/>
  <c r="AE44" i="43"/>
  <c r="AN44" i="43" s="1"/>
  <c r="AE32" i="43"/>
  <c r="AN32" i="43" s="1"/>
  <c r="AE45" i="43"/>
  <c r="AN45" i="43" s="1"/>
  <c r="AL40" i="43"/>
  <c r="AE33" i="43"/>
  <c r="AN33" i="43" s="1"/>
  <c r="AL28" i="43"/>
  <c r="AE46" i="43"/>
  <c r="AN46" i="43" s="1"/>
  <c r="AL41" i="43"/>
  <c r="AE34" i="43"/>
  <c r="AN34" i="43" s="1"/>
  <c r="AN25" i="40"/>
  <c r="AJ25" i="40"/>
  <c r="AL25" i="40"/>
  <c r="AJ28" i="40"/>
  <c r="AJ26" i="40"/>
  <c r="AL26" i="40"/>
  <c r="AE26" i="40"/>
  <c r="AE27" i="40"/>
  <c r="AD26" i="40"/>
  <c r="AE28" i="40"/>
  <c r="AN28" i="40" s="1"/>
  <c r="AD27" i="40"/>
  <c r="AL27" i="40"/>
  <c r="AL28" i="40"/>
  <c r="AN31" i="14"/>
  <c r="AN71" i="78"/>
  <c r="AN46" i="23"/>
  <c r="AN59" i="24"/>
  <c r="AN62" i="12"/>
  <c r="AN173" i="32"/>
  <c r="AN83" i="31"/>
  <c r="AN65" i="78"/>
  <c r="AN55" i="24"/>
  <c r="AN80" i="31"/>
  <c r="AN208" i="32"/>
  <c r="AN127" i="20"/>
  <c r="AN83" i="5"/>
  <c r="AN72" i="78"/>
  <c r="AE43" i="78"/>
  <c r="AE14" i="78"/>
  <c r="AE22" i="78"/>
  <c r="AD29" i="78"/>
  <c r="AH20" i="78"/>
  <c r="AI20" i="78" s="1"/>
  <c r="AM34" i="78"/>
  <c r="AH22" i="78"/>
  <c r="AI22" i="78" s="1"/>
  <c r="AL22" i="78" s="1"/>
  <c r="AH59" i="78"/>
  <c r="AI59" i="78" s="1"/>
  <c r="AJ59" i="78" s="1"/>
  <c r="AE36" i="78"/>
  <c r="AM20" i="78"/>
  <c r="AM43" i="78"/>
  <c r="AD36" i="78"/>
  <c r="AH34" i="78"/>
  <c r="AI34" i="78" s="1"/>
  <c r="AL34" i="78" s="1"/>
  <c r="AD11" i="78"/>
  <c r="AN11" i="78" s="1"/>
  <c r="AM22" i="78"/>
  <c r="AE11" i="78"/>
  <c r="AE49" i="78"/>
  <c r="AE45" i="78"/>
  <c r="AH39" i="78"/>
  <c r="AI39" i="78" s="1"/>
  <c r="AJ39" i="78" s="1"/>
  <c r="AM37" i="78"/>
  <c r="AD10" i="78"/>
  <c r="AL52" i="78"/>
  <c r="W5" i="78"/>
  <c r="AE10" i="78"/>
  <c r="U18" i="78"/>
  <c r="AJ27" i="78"/>
  <c r="AD9" i="78"/>
  <c r="AE59" i="78"/>
  <c r="AH53" i="78"/>
  <c r="AI53" i="78" s="1"/>
  <c r="AJ53" i="78" s="1"/>
  <c r="AD52" i="78"/>
  <c r="AN52" i="78" s="1"/>
  <c r="AE9" i="78"/>
  <c r="AH60" i="78"/>
  <c r="AI60" i="78" s="1"/>
  <c r="AJ60" i="78" s="1"/>
  <c r="AH46" i="78"/>
  <c r="AI46" i="78" s="1"/>
  <c r="AJ46" i="78" s="1"/>
  <c r="AD14" i="78"/>
  <c r="W65" i="78"/>
  <c r="X65" i="78" s="1"/>
  <c r="Z65" i="78" s="1"/>
  <c r="AB65" i="78" s="1"/>
  <c r="AO65" i="78" s="1"/>
  <c r="AH40" i="78"/>
  <c r="AI40" i="78" s="1"/>
  <c r="AJ40" i="78" s="1"/>
  <c r="AE30" i="78"/>
  <c r="AH9" i="78"/>
  <c r="AI9" i="78" s="1"/>
  <c r="AL9" i="78" s="1"/>
  <c r="AD60" i="78"/>
  <c r="AE53" i="78"/>
  <c r="AD35" i="78"/>
  <c r="AD30" i="78"/>
  <c r="AN30" i="78" s="1"/>
  <c r="AD40" i="78"/>
  <c r="AN40" i="78" s="1"/>
  <c r="AH33" i="78"/>
  <c r="AI33" i="78" s="1"/>
  <c r="AJ33" i="78" s="1"/>
  <c r="U51" i="78"/>
  <c r="AM41" i="78"/>
  <c r="W29" i="78"/>
  <c r="X29" i="78" s="1"/>
  <c r="Z29" i="78" s="1"/>
  <c r="AB29" i="78" s="1"/>
  <c r="AO29" i="78" s="1"/>
  <c r="AE16" i="78"/>
  <c r="AM47" i="78"/>
  <c r="AD13" i="78"/>
  <c r="AN19" i="78"/>
  <c r="AN60" i="78"/>
  <c r="AE13" i="78"/>
  <c r="AD59" i="78"/>
  <c r="AN59" i="78" s="1"/>
  <c r="AE54" i="78"/>
  <c r="AN54" i="78" s="1"/>
  <c r="AH41" i="78"/>
  <c r="AI41" i="78" s="1"/>
  <c r="AJ41" i="78" s="1"/>
  <c r="AE31" i="78"/>
  <c r="AN31" i="78" s="1"/>
  <c r="AN29" i="78"/>
  <c r="AM16" i="78"/>
  <c r="AM18" i="78"/>
  <c r="AE21" i="78"/>
  <c r="AM61" i="78"/>
  <c r="AH57" i="78"/>
  <c r="AI57" i="78" s="1"/>
  <c r="AL57" i="78" s="1"/>
  <c r="AH47" i="78"/>
  <c r="AI47" i="78" s="1"/>
  <c r="AJ47" i="78" s="1"/>
  <c r="U39" i="78"/>
  <c r="AM35" i="78"/>
  <c r="AM55" i="78"/>
  <c r="W53" i="78"/>
  <c r="X53" i="78" s="1"/>
  <c r="Z53" i="78" s="1"/>
  <c r="AB53" i="78" s="1"/>
  <c r="AO53" i="78" s="1"/>
  <c r="AM51" i="78"/>
  <c r="AH48" i="78"/>
  <c r="AI48" i="78" s="1"/>
  <c r="AJ48" i="78" s="1"/>
  <c r="AH28" i="78"/>
  <c r="AI28" i="78" s="1"/>
  <c r="AL28" i="78" s="1"/>
  <c r="AD5" i="78"/>
  <c r="AD12" i="78"/>
  <c r="AM13" i="78"/>
  <c r="AE15" i="78"/>
  <c r="AD20" i="78"/>
  <c r="AH21" i="78"/>
  <c r="AI21" i="78" s="1"/>
  <c r="AM45" i="78"/>
  <c r="AE41" i="78"/>
  <c r="AH29" i="78"/>
  <c r="AI29" i="78" s="1"/>
  <c r="AJ29" i="78" s="1"/>
  <c r="AD7" i="78"/>
  <c r="AN7" i="78" s="1"/>
  <c r="AE12" i="78"/>
  <c r="W23" i="78"/>
  <c r="X23" i="78" s="1"/>
  <c r="AA23" i="78" s="1"/>
  <c r="AC23" i="78" s="1"/>
  <c r="AE61" i="78"/>
  <c r="AM58" i="78"/>
  <c r="AE57" i="78"/>
  <c r="AN57" i="78" s="1"/>
  <c r="AH51" i="78"/>
  <c r="AI51" i="78" s="1"/>
  <c r="AJ51" i="78" s="1"/>
  <c r="AD47" i="78"/>
  <c r="AN47" i="78" s="1"/>
  <c r="AE42" i="78"/>
  <c r="AM36" i="78"/>
  <c r="AH35" i="78"/>
  <c r="AI35" i="78" s="1"/>
  <c r="AJ35" i="78" s="1"/>
  <c r="U27" i="78"/>
  <c r="AM8" i="78"/>
  <c r="AM21" i="78"/>
  <c r="U63" i="78"/>
  <c r="AE55" i="78"/>
  <c r="AN55" i="78" s="1"/>
  <c r="AN53" i="78"/>
  <c r="AE48" i="78"/>
  <c r="AN48" i="78" s="1"/>
  <c r="AH45" i="78"/>
  <c r="AI45" i="78" s="1"/>
  <c r="AJ45" i="78" s="1"/>
  <c r="AD42" i="78"/>
  <c r="AD28" i="78"/>
  <c r="AN28" i="78" s="1"/>
  <c r="AM15" i="78"/>
  <c r="AL20" i="78"/>
  <c r="AN22" i="78"/>
  <c r="AH58" i="78"/>
  <c r="AI58" i="78" s="1"/>
  <c r="AL58" i="78" s="1"/>
  <c r="W41" i="78"/>
  <c r="X41" i="78" s="1"/>
  <c r="AA41" i="78" s="1"/>
  <c r="AC41" i="78" s="1"/>
  <c r="AN33" i="78"/>
  <c r="AJ69" i="78"/>
  <c r="AJ62" i="78"/>
  <c r="AL62" i="78"/>
  <c r="AJ52" i="78"/>
  <c r="AJ26" i="78"/>
  <c r="AL26" i="78"/>
  <c r="AL54" i="78"/>
  <c r="AJ54" i="78"/>
  <c r="AJ37" i="78"/>
  <c r="AL37" i="78"/>
  <c r="AJ50" i="78"/>
  <c r="AL50" i="78"/>
  <c r="AJ70" i="78"/>
  <c r="AL70" i="78"/>
  <c r="AL48" i="78"/>
  <c r="AJ34" i="78"/>
  <c r="AJ25" i="78"/>
  <c r="AL25" i="78"/>
  <c r="AJ64" i="78"/>
  <c r="AJ61" i="78"/>
  <c r="AL61" i="78"/>
  <c r="AL42" i="78"/>
  <c r="AJ42" i="78"/>
  <c r="AJ65" i="78"/>
  <c r="AL65" i="78"/>
  <c r="AJ49" i="78"/>
  <c r="AL49" i="78"/>
  <c r="AJ68" i="78"/>
  <c r="AL68" i="78"/>
  <c r="AJ38" i="78"/>
  <c r="AL38" i="78"/>
  <c r="AJ36" i="78"/>
  <c r="AL36" i="78"/>
  <c r="AJ72" i="78"/>
  <c r="AL72" i="78"/>
  <c r="AL66" i="78"/>
  <c r="AJ66" i="78"/>
  <c r="AJ30" i="78"/>
  <c r="AL30" i="78"/>
  <c r="AL69" i="78"/>
  <c r="W66" i="78"/>
  <c r="X66" i="78" s="1"/>
  <c r="U64" i="78"/>
  <c r="AE62" i="78"/>
  <c r="AD61" i="78"/>
  <c r="W54" i="78"/>
  <c r="X54" i="78" s="1"/>
  <c r="U52" i="78"/>
  <c r="AE50" i="78"/>
  <c r="AD49" i="78"/>
  <c r="AN49" i="78" s="1"/>
  <c r="W42" i="78"/>
  <c r="X42" i="78" s="1"/>
  <c r="U40" i="78"/>
  <c r="AE38" i="78"/>
  <c r="AD37" i="78"/>
  <c r="W30" i="78"/>
  <c r="X30" i="78" s="1"/>
  <c r="U28" i="78"/>
  <c r="AE26" i="78"/>
  <c r="AD25" i="78"/>
  <c r="AN25" i="78" s="1"/>
  <c r="W8" i="78"/>
  <c r="X8" i="78" s="1"/>
  <c r="AA8" i="78" s="1"/>
  <c r="AC8" i="78" s="1"/>
  <c r="W67" i="78"/>
  <c r="X67" i="78" s="1"/>
  <c r="U65" i="78"/>
  <c r="AE63" i="78"/>
  <c r="AN63" i="78" s="1"/>
  <c r="AD62" i="78"/>
  <c r="W55" i="78"/>
  <c r="X55" i="78" s="1"/>
  <c r="U53" i="78"/>
  <c r="AE51" i="78"/>
  <c r="AN51" i="78" s="1"/>
  <c r="AD50" i="78"/>
  <c r="W43" i="78"/>
  <c r="X43" i="78" s="1"/>
  <c r="U41" i="78"/>
  <c r="AE39" i="78"/>
  <c r="AN39" i="78" s="1"/>
  <c r="AD38" i="78"/>
  <c r="W31" i="78"/>
  <c r="X31" i="78" s="1"/>
  <c r="U29" i="78"/>
  <c r="AE27" i="78"/>
  <c r="AN27" i="78" s="1"/>
  <c r="AD26" i="78"/>
  <c r="W7" i="78"/>
  <c r="X7" i="78" s="1"/>
  <c r="W22" i="78"/>
  <c r="X22" i="78" s="1"/>
  <c r="AL71" i="78"/>
  <c r="W68" i="78"/>
  <c r="X68" i="78" s="1"/>
  <c r="AH67" i="78"/>
  <c r="AI67" i="78" s="1"/>
  <c r="AL67" i="78" s="1"/>
  <c r="U66" i="78"/>
  <c r="W56" i="78"/>
  <c r="X56" i="78" s="1"/>
  <c r="AH55" i="78"/>
  <c r="AI55" i="78" s="1"/>
  <c r="AL55" i="78" s="1"/>
  <c r="U54" i="78"/>
  <c r="W44" i="78"/>
  <c r="X44" i="78" s="1"/>
  <c r="AH43" i="78"/>
  <c r="AI43" i="78" s="1"/>
  <c r="AL43" i="78" s="1"/>
  <c r="U42" i="78"/>
  <c r="AL35" i="78"/>
  <c r="W32" i="78"/>
  <c r="X32" i="78" s="1"/>
  <c r="AH31" i="78"/>
  <c r="AI31" i="78" s="1"/>
  <c r="AL31" i="78" s="1"/>
  <c r="U30" i="78"/>
  <c r="A14" i="78"/>
  <c r="W69" i="78"/>
  <c r="X69" i="78" s="1"/>
  <c r="AH68" i="78"/>
  <c r="AI68" i="78" s="1"/>
  <c r="U67" i="78"/>
  <c r="W57" i="78"/>
  <c r="X57" i="78" s="1"/>
  <c r="AH56" i="78"/>
  <c r="AI56" i="78" s="1"/>
  <c r="AL56" i="78" s="1"/>
  <c r="U55" i="78"/>
  <c r="W45" i="78"/>
  <c r="X45" i="78" s="1"/>
  <c r="AH44" i="78"/>
  <c r="AI44" i="78" s="1"/>
  <c r="AL44" i="78" s="1"/>
  <c r="U43" i="78"/>
  <c r="W33" i="78"/>
  <c r="X33" i="78" s="1"/>
  <c r="AH32" i="78"/>
  <c r="AI32" i="78" s="1"/>
  <c r="AL32" i="78" s="1"/>
  <c r="U31" i="78"/>
  <c r="W12" i="78"/>
  <c r="X12" i="78" s="1"/>
  <c r="W70" i="78"/>
  <c r="X70" i="78" s="1"/>
  <c r="U68" i="78"/>
  <c r="W58" i="78"/>
  <c r="X58" i="78" s="1"/>
  <c r="U56" i="78"/>
  <c r="W46" i="78"/>
  <c r="X46" i="78" s="1"/>
  <c r="U44" i="78"/>
  <c r="W34" i="78"/>
  <c r="X34" i="78" s="1"/>
  <c r="U32" i="78"/>
  <c r="U17" i="78"/>
  <c r="U20" i="78"/>
  <c r="W21" i="78"/>
  <c r="X21" i="78" s="1"/>
  <c r="AA21" i="78" s="1"/>
  <c r="AC21" i="78" s="1"/>
  <c r="W71" i="78"/>
  <c r="X71" i="78" s="1"/>
  <c r="U69" i="78"/>
  <c r="W59" i="78"/>
  <c r="X59" i="78" s="1"/>
  <c r="U57" i="78"/>
  <c r="W47" i="78"/>
  <c r="X47" i="78" s="1"/>
  <c r="U45" i="78"/>
  <c r="W35" i="78"/>
  <c r="X35" i="78" s="1"/>
  <c r="U33" i="78"/>
  <c r="W11" i="78"/>
  <c r="U19" i="78"/>
  <c r="W24" i="78"/>
  <c r="X24" i="78" s="1"/>
  <c r="AA24" i="78" s="1"/>
  <c r="AC24" i="78" s="1"/>
  <c r="W72" i="78"/>
  <c r="X72" i="78" s="1"/>
  <c r="U70" i="78"/>
  <c r="AE68" i="78"/>
  <c r="AN68" i="78" s="1"/>
  <c r="AL63" i="78"/>
  <c r="W60" i="78"/>
  <c r="X60" i="78" s="1"/>
  <c r="U58" i="78"/>
  <c r="AE56" i="78"/>
  <c r="AN56" i="78" s="1"/>
  <c r="W48" i="78"/>
  <c r="X48" i="78" s="1"/>
  <c r="U46" i="78"/>
  <c r="AE44" i="78"/>
  <c r="AN44" i="78" s="1"/>
  <c r="W36" i="78"/>
  <c r="X36" i="78" s="1"/>
  <c r="U34" i="78"/>
  <c r="AE32" i="78"/>
  <c r="AN32" i="78" s="1"/>
  <c r="AL27" i="78"/>
  <c r="W6" i="78"/>
  <c r="X6" i="78" s="1"/>
  <c r="AA6" i="78" s="1"/>
  <c r="AC6" i="78" s="1"/>
  <c r="U71" i="78"/>
  <c r="W61" i="78"/>
  <c r="X61" i="78" s="1"/>
  <c r="U59" i="78"/>
  <c r="W49" i="78"/>
  <c r="X49" i="78" s="1"/>
  <c r="U47" i="78"/>
  <c r="W37" i="78"/>
  <c r="X37" i="78" s="1"/>
  <c r="U35" i="78"/>
  <c r="W25" i="78"/>
  <c r="X25" i="78" s="1"/>
  <c r="U72" i="78"/>
  <c r="AE70" i="78"/>
  <c r="AN70" i="78" s="1"/>
  <c r="W62" i="78"/>
  <c r="X62" i="78" s="1"/>
  <c r="U60" i="78"/>
  <c r="AE58" i="78"/>
  <c r="W50" i="78"/>
  <c r="X50" i="78" s="1"/>
  <c r="U48" i="78"/>
  <c r="AE46" i="78"/>
  <c r="AN46" i="78" s="1"/>
  <c r="W38" i="78"/>
  <c r="X38" i="78" s="1"/>
  <c r="U36" i="78"/>
  <c r="AE34" i="78"/>
  <c r="AN34" i="78" s="1"/>
  <c r="W26" i="78"/>
  <c r="X26" i="78" s="1"/>
  <c r="W63" i="78"/>
  <c r="X63" i="78" s="1"/>
  <c r="U61" i="78"/>
  <c r="W51" i="78"/>
  <c r="X51" i="78" s="1"/>
  <c r="U49" i="78"/>
  <c r="W39" i="78"/>
  <c r="X39" i="78" s="1"/>
  <c r="U37" i="78"/>
  <c r="W27" i="78"/>
  <c r="X27" i="78" s="1"/>
  <c r="U25" i="78"/>
  <c r="W64" i="78"/>
  <c r="X64" i="78" s="1"/>
  <c r="U62" i="78"/>
  <c r="W52" i="78"/>
  <c r="X52" i="78" s="1"/>
  <c r="U50" i="78"/>
  <c r="W40" i="78"/>
  <c r="X40" i="78" s="1"/>
  <c r="U38" i="78"/>
  <c r="W28" i="78"/>
  <c r="X28" i="78" s="1"/>
  <c r="U26" i="78"/>
  <c r="X5" i="78"/>
  <c r="AA5" i="78" s="1"/>
  <c r="AC5" i="78" s="1"/>
  <c r="A18" i="78"/>
  <c r="X10" i="78"/>
  <c r="AA10" i="78" s="1"/>
  <c r="AC10" i="78" s="1"/>
  <c r="X11" i="78"/>
  <c r="AA11" i="78" s="1"/>
  <c r="AC11" i="78" s="1"/>
  <c r="AL10" i="78"/>
  <c r="AJ10" i="78"/>
  <c r="AL14" i="78"/>
  <c r="AJ14" i="78"/>
  <c r="AL8" i="78"/>
  <c r="AL13" i="78"/>
  <c r="AJ13" i="78"/>
  <c r="AL16" i="78"/>
  <c r="AJ16" i="78"/>
  <c r="AL7" i="78"/>
  <c r="AJ7" i="78"/>
  <c r="AL15" i="78"/>
  <c r="AJ15" i="78"/>
  <c r="AJ12" i="78"/>
  <c r="AL12" i="78"/>
  <c r="AL21" i="78"/>
  <c r="AJ21" i="78"/>
  <c r="AJ11" i="78"/>
  <c r="AL11" i="78"/>
  <c r="AN73" i="5"/>
  <c r="AN31" i="24"/>
  <c r="AN123" i="20"/>
  <c r="AN87" i="22"/>
  <c r="U7" i="78"/>
  <c r="AE23" i="78"/>
  <c r="AN23" i="78" s="1"/>
  <c r="AE24" i="78"/>
  <c r="AN24" i="78" s="1"/>
  <c r="AN61" i="24"/>
  <c r="AN85" i="29"/>
  <c r="AN202" i="32"/>
  <c r="AN188" i="32"/>
  <c r="AJ8" i="78"/>
  <c r="AN38" i="13"/>
  <c r="AN71" i="5"/>
  <c r="AN48" i="23"/>
  <c r="AN46" i="24"/>
  <c r="AN89" i="31"/>
  <c r="AN211" i="32"/>
  <c r="U6" i="78"/>
  <c r="AH6" i="78"/>
  <c r="AI6" i="78" s="1"/>
  <c r="AJ6" i="78" s="1"/>
  <c r="AD17" i="78"/>
  <c r="AD18" i="78"/>
  <c r="U23" i="78"/>
  <c r="U24" i="78"/>
  <c r="AN77" i="5"/>
  <c r="AN53" i="14"/>
  <c r="AN76" i="5"/>
  <c r="AN30" i="6"/>
  <c r="AN25" i="14"/>
  <c r="AN54" i="23"/>
  <c r="AN25" i="30"/>
  <c r="AN205" i="32"/>
  <c r="AN181" i="32"/>
  <c r="U5" i="78"/>
  <c r="AH5" i="78"/>
  <c r="AI5" i="78" s="1"/>
  <c r="AJ5" i="78" s="1"/>
  <c r="AD15" i="78"/>
  <c r="AD16" i="78"/>
  <c r="AE17" i="78"/>
  <c r="AE18" i="78"/>
  <c r="U21" i="78"/>
  <c r="U22" i="78"/>
  <c r="AH23" i="78"/>
  <c r="AI23" i="78" s="1"/>
  <c r="AJ23" i="78" s="1"/>
  <c r="AH24" i="78"/>
  <c r="AI24" i="78" s="1"/>
  <c r="AL24" i="78" s="1"/>
  <c r="AN55" i="14"/>
  <c r="AN37" i="14"/>
  <c r="AN109" i="20"/>
  <c r="AN57" i="23"/>
  <c r="AN99" i="29"/>
  <c r="AN199" i="32"/>
  <c r="U15" i="78"/>
  <c r="U16" i="78"/>
  <c r="AH17" i="78"/>
  <c r="AI17" i="78" s="1"/>
  <c r="AJ17" i="78" s="1"/>
  <c r="AH18" i="78"/>
  <c r="AI18" i="78" s="1"/>
  <c r="AJ18" i="78" s="1"/>
  <c r="W19" i="78"/>
  <c r="X19" i="78" s="1"/>
  <c r="W20" i="78"/>
  <c r="X20" i="78" s="1"/>
  <c r="AN58" i="12"/>
  <c r="AN132" i="20"/>
  <c r="AN64" i="24"/>
  <c r="AN185" i="32"/>
  <c r="AM6" i="78"/>
  <c r="U13" i="78"/>
  <c r="U14" i="78"/>
  <c r="W17" i="78"/>
  <c r="X17" i="78" s="1"/>
  <c r="W18" i="78"/>
  <c r="X18" i="78" s="1"/>
  <c r="AJ20" i="78"/>
  <c r="AN32" i="13"/>
  <c r="AN78" i="31"/>
  <c r="AD8" i="78"/>
  <c r="U11" i="78"/>
  <c r="U12" i="78"/>
  <c r="W15" i="78"/>
  <c r="X15" i="78" s="1"/>
  <c r="W16" i="78"/>
  <c r="X16" i="78" s="1"/>
  <c r="AN65" i="5"/>
  <c r="AN31" i="13"/>
  <c r="AN28" i="13"/>
  <c r="AN111" i="20"/>
  <c r="AN86" i="20"/>
  <c r="AN81" i="20"/>
  <c r="AN52" i="24"/>
  <c r="AN179" i="32"/>
  <c r="U9" i="78"/>
  <c r="U10" i="78"/>
  <c r="W13" i="78"/>
  <c r="X13" i="78" s="1"/>
  <c r="W14" i="78"/>
  <c r="X14" i="78" s="1"/>
  <c r="AN37" i="13"/>
  <c r="AN63" i="24"/>
  <c r="AN57" i="24"/>
  <c r="AN84" i="31"/>
  <c r="U8" i="78"/>
  <c r="W9" i="78"/>
  <c r="X9" i="78" s="1"/>
  <c r="AN176" i="32"/>
  <c r="AJ193" i="32"/>
  <c r="AJ181" i="32"/>
  <c r="AD190" i="32"/>
  <c r="AH184" i="32"/>
  <c r="AI184" i="32" s="1"/>
  <c r="AJ184" i="32" s="1"/>
  <c r="AD187" i="32"/>
  <c r="AD184" i="32"/>
  <c r="AE191" i="32"/>
  <c r="AN191" i="32" s="1"/>
  <c r="AN197" i="32"/>
  <c r="AN193" i="32"/>
  <c r="AM186" i="32"/>
  <c r="AM183" i="32"/>
  <c r="AM196" i="32"/>
  <c r="AN196" i="32" s="1"/>
  <c r="AM180" i="32"/>
  <c r="AM190" i="32"/>
  <c r="AM187" i="32"/>
  <c r="AE177" i="32"/>
  <c r="AN177" i="32" s="1"/>
  <c r="AM197" i="32"/>
  <c r="AH196" i="32"/>
  <c r="AI196" i="32" s="1"/>
  <c r="AJ196" i="32" s="1"/>
  <c r="AM174" i="32"/>
  <c r="AM184" i="32"/>
  <c r="AM178" i="32"/>
  <c r="AN178" i="32" s="1"/>
  <c r="AH187" i="32"/>
  <c r="AI187" i="32" s="1"/>
  <c r="AJ187" i="32" s="1"/>
  <c r="AJ210" i="32"/>
  <c r="AL210" i="32"/>
  <c r="AJ194" i="32"/>
  <c r="AL194" i="32"/>
  <c r="AJ176" i="32"/>
  <c r="AL176" i="32"/>
  <c r="AJ182" i="32"/>
  <c r="AL182" i="32"/>
  <c r="AL179" i="32"/>
  <c r="AJ198" i="32"/>
  <c r="AL198" i="32"/>
  <c r="AJ212" i="32"/>
  <c r="AL212" i="32"/>
  <c r="AJ208" i="32"/>
  <c r="AL208" i="32"/>
  <c r="AJ173" i="32"/>
  <c r="AN203" i="32"/>
  <c r="AJ186" i="32"/>
  <c r="AL186" i="32"/>
  <c r="AL203" i="32"/>
  <c r="AJ200" i="32"/>
  <c r="AL200" i="32"/>
  <c r="AN207" i="32"/>
  <c r="AN175" i="32"/>
  <c r="AJ174" i="32"/>
  <c r="AL174" i="32"/>
  <c r="AE210" i="32"/>
  <c r="AL205" i="32"/>
  <c r="AJ203" i="32"/>
  <c r="AH201" i="32"/>
  <c r="AI201" i="32" s="1"/>
  <c r="AJ201" i="32" s="1"/>
  <c r="AE198" i="32"/>
  <c r="AL193" i="32"/>
  <c r="AJ191" i="32"/>
  <c r="AH189" i="32"/>
  <c r="AI189" i="32" s="1"/>
  <c r="AJ189" i="32" s="1"/>
  <c r="AE186" i="32"/>
  <c r="AL181" i="32"/>
  <c r="AJ179" i="32"/>
  <c r="AH177" i="32"/>
  <c r="AI177" i="32" s="1"/>
  <c r="AJ177" i="32" s="1"/>
  <c r="AE174" i="32"/>
  <c r="AD210" i="32"/>
  <c r="AH202" i="32"/>
  <c r="AI202" i="32" s="1"/>
  <c r="AJ202" i="32" s="1"/>
  <c r="AD198" i="32"/>
  <c r="AH190" i="32"/>
  <c r="AI190" i="32" s="1"/>
  <c r="AJ190" i="32" s="1"/>
  <c r="AD186" i="32"/>
  <c r="AH178" i="32"/>
  <c r="AI178" i="32" s="1"/>
  <c r="AJ178" i="32" s="1"/>
  <c r="AD174" i="32"/>
  <c r="AH204" i="32"/>
  <c r="AI204" i="32" s="1"/>
  <c r="AL204" i="32" s="1"/>
  <c r="AE201" i="32"/>
  <c r="AN201" i="32" s="1"/>
  <c r="AH192" i="32"/>
  <c r="AI192" i="32" s="1"/>
  <c r="AJ192" i="32" s="1"/>
  <c r="AE189" i="32"/>
  <c r="AN189" i="32" s="1"/>
  <c r="AH180" i="32"/>
  <c r="AI180" i="32" s="1"/>
  <c r="AL180" i="32" s="1"/>
  <c r="AL209" i="32"/>
  <c r="AL197" i="32"/>
  <c r="AL185" i="32"/>
  <c r="AL173" i="32"/>
  <c r="AH206" i="32"/>
  <c r="AI206" i="32" s="1"/>
  <c r="AJ206" i="32" s="1"/>
  <c r="AL211" i="32"/>
  <c r="AH207" i="32"/>
  <c r="AI207" i="32" s="1"/>
  <c r="AJ207" i="32" s="1"/>
  <c r="AL199" i="32"/>
  <c r="AH195" i="32"/>
  <c r="AI195" i="32" s="1"/>
  <c r="AJ195" i="32" s="1"/>
  <c r="AE192" i="32"/>
  <c r="AN192" i="32" s="1"/>
  <c r="AL187" i="32"/>
  <c r="AH183" i="32"/>
  <c r="AI183" i="32" s="1"/>
  <c r="AJ183" i="32" s="1"/>
  <c r="AE180" i="32"/>
  <c r="AL175" i="32"/>
  <c r="AE206" i="32"/>
  <c r="AN206" i="32" s="1"/>
  <c r="AE194" i="32"/>
  <c r="AN194" i="32" s="1"/>
  <c r="AE182" i="32"/>
  <c r="AN182" i="32" s="1"/>
  <c r="AE183" i="32"/>
  <c r="AN183" i="32" s="1"/>
  <c r="AJ71" i="31"/>
  <c r="AN72" i="31"/>
  <c r="AJ69" i="31"/>
  <c r="AJ66" i="31"/>
  <c r="AL65" i="31"/>
  <c r="AN71" i="31"/>
  <c r="AH63" i="31"/>
  <c r="AI63" i="31" s="1"/>
  <c r="AL63" i="31" s="1"/>
  <c r="AM74" i="31"/>
  <c r="AE60" i="31"/>
  <c r="AN60" i="31" s="1"/>
  <c r="AN69" i="31"/>
  <c r="AH67" i="31"/>
  <c r="AI67" i="31" s="1"/>
  <c r="AJ67" i="31" s="1"/>
  <c r="AE63" i="31"/>
  <c r="AN63" i="31" s="1"/>
  <c r="AH77" i="31"/>
  <c r="AI77" i="31" s="1"/>
  <c r="AL77" i="31" s="1"/>
  <c r="AD74" i="31"/>
  <c r="AE67" i="31"/>
  <c r="AN67" i="31" s="1"/>
  <c r="AN66" i="31"/>
  <c r="AJ80" i="31"/>
  <c r="AL80" i="31"/>
  <c r="AN87" i="31"/>
  <c r="AJ73" i="31"/>
  <c r="AL73" i="31"/>
  <c r="AL66" i="31"/>
  <c r="AJ60" i="31"/>
  <c r="AL60" i="31"/>
  <c r="AJ72" i="31"/>
  <c r="AL72" i="31"/>
  <c r="AJ84" i="31"/>
  <c r="AL84" i="31"/>
  <c r="AJ81" i="31"/>
  <c r="AJ74" i="31"/>
  <c r="AN68" i="31"/>
  <c r="AJ85" i="31"/>
  <c r="AL85" i="31"/>
  <c r="AJ75" i="31"/>
  <c r="AN75" i="31"/>
  <c r="AJ61" i="31"/>
  <c r="AL61" i="31"/>
  <c r="AH88" i="31"/>
  <c r="AI88" i="31" s="1"/>
  <c r="AJ88" i="31" s="1"/>
  <c r="AE85" i="31"/>
  <c r="AH76" i="31"/>
  <c r="AI76" i="31" s="1"/>
  <c r="AJ76" i="31" s="1"/>
  <c r="AE73" i="31"/>
  <c r="AH64" i="31"/>
  <c r="AI64" i="31" s="1"/>
  <c r="AL64" i="31" s="1"/>
  <c r="AE61" i="31"/>
  <c r="AE86" i="31"/>
  <c r="AN86" i="31" s="1"/>
  <c r="AD85" i="31"/>
  <c r="AL81" i="31"/>
  <c r="AE74" i="31"/>
  <c r="AD73" i="31"/>
  <c r="AL69" i="31"/>
  <c r="AE62" i="31"/>
  <c r="AN62" i="31" s="1"/>
  <c r="AD61" i="31"/>
  <c r="AE88" i="31"/>
  <c r="AN88" i="31" s="1"/>
  <c r="AL83" i="31"/>
  <c r="AE76" i="31"/>
  <c r="AN76" i="31" s="1"/>
  <c r="AL71" i="31"/>
  <c r="AE64" i="31"/>
  <c r="AN64" i="31" s="1"/>
  <c r="AH80" i="31"/>
  <c r="AI80" i="31" s="1"/>
  <c r="AE77" i="31"/>
  <c r="AN77" i="31" s="1"/>
  <c r="AH68" i="31"/>
  <c r="AI68" i="31" s="1"/>
  <c r="AJ68" i="31" s="1"/>
  <c r="AE65" i="31"/>
  <c r="AN65" i="31" s="1"/>
  <c r="AH81" i="31"/>
  <c r="AI81" i="31" s="1"/>
  <c r="AL86" i="31"/>
  <c r="AH82" i="31"/>
  <c r="AI82" i="31" s="1"/>
  <c r="AJ82" i="31" s="1"/>
  <c r="AL74" i="31"/>
  <c r="AH70" i="31"/>
  <c r="AI70" i="31" s="1"/>
  <c r="AJ70" i="31" s="1"/>
  <c r="AL62" i="31"/>
  <c r="AL87" i="31"/>
  <c r="AL75" i="31"/>
  <c r="AE82" i="31"/>
  <c r="AN82" i="31" s="1"/>
  <c r="AE70" i="31"/>
  <c r="AN70" i="31" s="1"/>
  <c r="AJ26" i="30"/>
  <c r="AL26" i="30"/>
  <c r="AE26" i="30"/>
  <c r="AD26" i="30"/>
  <c r="AL25" i="30"/>
  <c r="AD86" i="29"/>
  <c r="AE92" i="29"/>
  <c r="AN92" i="29" s="1"/>
  <c r="AN91" i="29"/>
  <c r="AE87" i="29"/>
  <c r="AH94" i="29"/>
  <c r="AI94" i="29" s="1"/>
  <c r="AJ94" i="29" s="1"/>
  <c r="AH90" i="29"/>
  <c r="AI90" i="29" s="1"/>
  <c r="AJ90" i="29" s="1"/>
  <c r="AN87" i="29"/>
  <c r="AM88" i="29"/>
  <c r="AH85" i="29"/>
  <c r="AI85" i="29" s="1"/>
  <c r="AJ85" i="29" s="1"/>
  <c r="AE94" i="29"/>
  <c r="AN94" i="29" s="1"/>
  <c r="AH91" i="29"/>
  <c r="AI91" i="29" s="1"/>
  <c r="AJ91" i="29" s="1"/>
  <c r="AM86" i="29"/>
  <c r="AJ98" i="29"/>
  <c r="AL98" i="29"/>
  <c r="AJ92" i="29"/>
  <c r="AL92" i="29"/>
  <c r="AL101" i="29"/>
  <c r="AJ84" i="29"/>
  <c r="AJ100" i="29"/>
  <c r="AL100" i="29"/>
  <c r="AJ86" i="29"/>
  <c r="AL86" i="29"/>
  <c r="AL88" i="29"/>
  <c r="AJ101" i="29"/>
  <c r="AE96" i="29"/>
  <c r="AN96" i="29" s="1"/>
  <c r="AD95" i="29"/>
  <c r="AN95" i="29" s="1"/>
  <c r="AN93" i="29"/>
  <c r="AE84" i="29"/>
  <c r="AN84" i="29" s="1"/>
  <c r="AH88" i="29"/>
  <c r="AI88" i="29" s="1"/>
  <c r="AJ88" i="29" s="1"/>
  <c r="AH101" i="29"/>
  <c r="AI101" i="29" s="1"/>
  <c r="AE98" i="29"/>
  <c r="AH89" i="29"/>
  <c r="AI89" i="29" s="1"/>
  <c r="AJ89" i="29" s="1"/>
  <c r="AE86" i="29"/>
  <c r="AE100" i="29"/>
  <c r="AN100" i="29" s="1"/>
  <c r="AE88" i="29"/>
  <c r="AE101" i="29"/>
  <c r="AN101" i="29" s="1"/>
  <c r="AL96" i="29"/>
  <c r="AE89" i="29"/>
  <c r="AN89" i="29" s="1"/>
  <c r="AL84" i="29"/>
  <c r="AL97" i="29"/>
  <c r="AH93" i="29"/>
  <c r="AI93" i="29" s="1"/>
  <c r="AJ93" i="29" s="1"/>
  <c r="AE90" i="29"/>
  <c r="AN90" i="29" s="1"/>
  <c r="AD98" i="29"/>
  <c r="AN98" i="29" s="1"/>
  <c r="AL99" i="29"/>
  <c r="AH95" i="29"/>
  <c r="AI95" i="29" s="1"/>
  <c r="AJ95" i="29" s="1"/>
  <c r="AL87" i="29"/>
  <c r="AL54" i="28"/>
  <c r="AM52" i="28"/>
  <c r="AN54" i="28"/>
  <c r="AH52" i="28"/>
  <c r="AI52" i="28" s="1"/>
  <c r="AL52" i="28" s="1"/>
  <c r="AN55" i="28"/>
  <c r="AE52" i="28"/>
  <c r="AM53" i="28"/>
  <c r="AM50" i="28"/>
  <c r="AL60" i="28"/>
  <c r="AJ50" i="28"/>
  <c r="AL50" i="28"/>
  <c r="AJ57" i="28"/>
  <c r="AN51" i="28"/>
  <c r="AJ61" i="28"/>
  <c r="AL61" i="28"/>
  <c r="AJ51" i="28"/>
  <c r="AL55" i="28"/>
  <c r="AJ55" i="28"/>
  <c r="AJ58" i="28"/>
  <c r="AL58" i="28"/>
  <c r="AJ49" i="28"/>
  <c r="AL49" i="28"/>
  <c r="AJ59" i="28"/>
  <c r="AJ62" i="28"/>
  <c r="AL62" i="28"/>
  <c r="AJ56" i="28"/>
  <c r="AE62" i="28"/>
  <c r="AD61" i="28"/>
  <c r="AN61" i="28" s="1"/>
  <c r="AL57" i="28"/>
  <c r="AH53" i="28"/>
  <c r="AI53" i="28" s="1"/>
  <c r="AJ53" i="28" s="1"/>
  <c r="AE50" i="28"/>
  <c r="AD49" i="28"/>
  <c r="AN49" i="28" s="1"/>
  <c r="AD62" i="28"/>
  <c r="AD50" i="28"/>
  <c r="AH56" i="28"/>
  <c r="AI56" i="28" s="1"/>
  <c r="AL56" i="28" s="1"/>
  <c r="AE53" i="28"/>
  <c r="AH59" i="28"/>
  <c r="AI59" i="28" s="1"/>
  <c r="AL59" i="28" s="1"/>
  <c r="AE56" i="28"/>
  <c r="AN56" i="28" s="1"/>
  <c r="AL51" i="28"/>
  <c r="AE58" i="28"/>
  <c r="AN58" i="28" s="1"/>
  <c r="AE40" i="24"/>
  <c r="AE37" i="24"/>
  <c r="AE34" i="24"/>
  <c r="AE47" i="24"/>
  <c r="AN47" i="24" s="1"/>
  <c r="AD40" i="24"/>
  <c r="AD37" i="24"/>
  <c r="AD34" i="24"/>
  <c r="AL40" i="24"/>
  <c r="AE35" i="24"/>
  <c r="AN35" i="24" s="1"/>
  <c r="AM32" i="24"/>
  <c r="AJ37" i="24"/>
  <c r="AN49" i="24"/>
  <c r="AH32" i="24"/>
  <c r="AI32" i="24" s="1"/>
  <c r="AJ32" i="24" s="1"/>
  <c r="AE29" i="24"/>
  <c r="AN29" i="24" s="1"/>
  <c r="AJ45" i="24"/>
  <c r="AD36" i="24"/>
  <c r="AN36" i="24" s="1"/>
  <c r="AH33" i="24"/>
  <c r="AI33" i="24" s="1"/>
  <c r="AJ33" i="24" s="1"/>
  <c r="AN43" i="24"/>
  <c r="AD39" i="24"/>
  <c r="AN39" i="24" s="1"/>
  <c r="AJ53" i="24"/>
  <c r="AL53" i="24"/>
  <c r="AJ43" i="24"/>
  <c r="AN60" i="24"/>
  <c r="AJ31" i="24"/>
  <c r="AL34" i="24"/>
  <c r="AJ34" i="24"/>
  <c r="AJ41" i="24"/>
  <c r="AL41" i="24"/>
  <c r="AL60" i="24"/>
  <c r="AJ56" i="24"/>
  <c r="AL56" i="24"/>
  <c r="AN51" i="24"/>
  <c r="AN48" i="24"/>
  <c r="AJ44" i="24"/>
  <c r="AL44" i="24"/>
  <c r="AN33" i="24"/>
  <c r="AJ29" i="24"/>
  <c r="AL29" i="24"/>
  <c r="AL64" i="24"/>
  <c r="AJ61" i="24"/>
  <c r="AJ54" i="24"/>
  <c r="AL54" i="24"/>
  <c r="AL32" i="24"/>
  <c r="AL58" i="24"/>
  <c r="AJ58" i="24"/>
  <c r="AL52" i="24"/>
  <c r="AJ49" i="24"/>
  <c r="AJ42" i="24"/>
  <c r="AL42" i="24"/>
  <c r="AL46" i="24"/>
  <c r="AJ46" i="24"/>
  <c r="AJ30" i="24"/>
  <c r="AL30" i="24"/>
  <c r="AL61" i="24"/>
  <c r="AE54" i="24"/>
  <c r="AN54" i="24" s="1"/>
  <c r="AD53" i="24"/>
  <c r="AN53" i="24" s="1"/>
  <c r="AL49" i="24"/>
  <c r="AE42" i="24"/>
  <c r="AD41" i="24"/>
  <c r="AN41" i="24" s="1"/>
  <c r="AL37" i="24"/>
  <c r="AE30" i="24"/>
  <c r="AD54" i="24"/>
  <c r="AD42" i="24"/>
  <c r="AD30" i="24"/>
  <c r="AH59" i="24"/>
  <c r="AI59" i="24" s="1"/>
  <c r="AL59" i="24" s="1"/>
  <c r="AE56" i="24"/>
  <c r="AN56" i="24" s="1"/>
  <c r="AH47" i="24"/>
  <c r="AI47" i="24" s="1"/>
  <c r="AL47" i="24" s="1"/>
  <c r="AE44" i="24"/>
  <c r="AN44" i="24" s="1"/>
  <c r="AH35" i="24"/>
  <c r="AI35" i="24" s="1"/>
  <c r="AL35" i="24" s="1"/>
  <c r="AE32" i="24"/>
  <c r="AH60" i="24"/>
  <c r="AI60" i="24" s="1"/>
  <c r="AJ60" i="24" s="1"/>
  <c r="AH48" i="24"/>
  <c r="AI48" i="24" s="1"/>
  <c r="AL48" i="24" s="1"/>
  <c r="AH36" i="24"/>
  <c r="AI36" i="24" s="1"/>
  <c r="AJ36" i="24" s="1"/>
  <c r="AH62" i="24"/>
  <c r="AI62" i="24" s="1"/>
  <c r="AJ62" i="24" s="1"/>
  <c r="AH50" i="24"/>
  <c r="AI50" i="24" s="1"/>
  <c r="AJ50" i="24" s="1"/>
  <c r="AH38" i="24"/>
  <c r="AI38" i="24" s="1"/>
  <c r="AJ38" i="24" s="1"/>
  <c r="AH63" i="24"/>
  <c r="AI63" i="24" s="1"/>
  <c r="AJ63" i="24" s="1"/>
  <c r="AL55" i="24"/>
  <c r="AH51" i="24"/>
  <c r="AI51" i="24" s="1"/>
  <c r="AJ51" i="24" s="1"/>
  <c r="AL43" i="24"/>
  <c r="AH39" i="24"/>
  <c r="AI39" i="24" s="1"/>
  <c r="AL39" i="24" s="1"/>
  <c r="AL31" i="24"/>
  <c r="AE62" i="24"/>
  <c r="AN62" i="24" s="1"/>
  <c r="AL57" i="24"/>
  <c r="AE50" i="24"/>
  <c r="AN50" i="24" s="1"/>
  <c r="AL45" i="24"/>
  <c r="AE38" i="24"/>
  <c r="AN38" i="24" s="1"/>
  <c r="AE42" i="23"/>
  <c r="AN42" i="23" s="1"/>
  <c r="AH32" i="23"/>
  <c r="AI32" i="23" s="1"/>
  <c r="AL32" i="23" s="1"/>
  <c r="AM30" i="23"/>
  <c r="AH39" i="23"/>
  <c r="AI39" i="23" s="1"/>
  <c r="AL39" i="23" s="1"/>
  <c r="AM37" i="23"/>
  <c r="AD32" i="23"/>
  <c r="AH42" i="23"/>
  <c r="AI42" i="23" s="1"/>
  <c r="AJ42" i="23" s="1"/>
  <c r="AH30" i="23"/>
  <c r="AI30" i="23" s="1"/>
  <c r="AL30" i="23" s="1"/>
  <c r="AH33" i="23"/>
  <c r="AI33" i="23" s="1"/>
  <c r="AJ33" i="23" s="1"/>
  <c r="AN36" i="23"/>
  <c r="AE30" i="23"/>
  <c r="AD38" i="23"/>
  <c r="AE33" i="23"/>
  <c r="AN33" i="23" s="1"/>
  <c r="AJ32" i="23"/>
  <c r="AD44" i="23"/>
  <c r="AN39" i="23"/>
  <c r="AM43" i="23"/>
  <c r="AE40" i="23"/>
  <c r="AH37" i="23"/>
  <c r="AI37" i="23" s="1"/>
  <c r="AJ37" i="23" s="1"/>
  <c r="AM31" i="23"/>
  <c r="AM44" i="23"/>
  <c r="AH43" i="23"/>
  <c r="AI43" i="23" s="1"/>
  <c r="AJ43" i="23" s="1"/>
  <c r="AE28" i="23"/>
  <c r="AM38" i="23"/>
  <c r="AM32" i="23"/>
  <c r="AH31" i="23"/>
  <c r="AI31" i="23" s="1"/>
  <c r="AJ31" i="23" s="1"/>
  <c r="AM41" i="23"/>
  <c r="AM35" i="23"/>
  <c r="AN34" i="23"/>
  <c r="AH44" i="23"/>
  <c r="AI44" i="23" s="1"/>
  <c r="AJ44" i="23" s="1"/>
  <c r="AM29" i="23"/>
  <c r="AL51" i="23"/>
  <c r="AJ29" i="23"/>
  <c r="AL29" i="23"/>
  <c r="AJ48" i="23"/>
  <c r="AJ54" i="23"/>
  <c r="AJ36" i="23"/>
  <c r="AJ52" i="23"/>
  <c r="AL52" i="23"/>
  <c r="AL46" i="23"/>
  <c r="AJ46" i="23"/>
  <c r="AJ40" i="23"/>
  <c r="AL40" i="23"/>
  <c r="AJ41" i="23"/>
  <c r="AL41" i="23"/>
  <c r="AN56" i="23"/>
  <c r="AJ49" i="23"/>
  <c r="AL49" i="23"/>
  <c r="AJ28" i="23"/>
  <c r="AL28" i="23"/>
  <c r="AJ55" i="23"/>
  <c r="AL55" i="23"/>
  <c r="AN50" i="23"/>
  <c r="AL45" i="23"/>
  <c r="AJ50" i="23"/>
  <c r="AJ53" i="23"/>
  <c r="AL53" i="23"/>
  <c r="AL47" i="23"/>
  <c r="AE53" i="23"/>
  <c r="AD52" i="23"/>
  <c r="AN52" i="23" s="1"/>
  <c r="AL48" i="23"/>
  <c r="AE41" i="23"/>
  <c r="AD40" i="23"/>
  <c r="AN40" i="23" s="1"/>
  <c r="AL36" i="23"/>
  <c r="AE29" i="23"/>
  <c r="AD28" i="23"/>
  <c r="AD53" i="23"/>
  <c r="AD41" i="23"/>
  <c r="AD29" i="23"/>
  <c r="AE55" i="23"/>
  <c r="AN55" i="23" s="1"/>
  <c r="AH46" i="23"/>
  <c r="AI46" i="23" s="1"/>
  <c r="AE43" i="23"/>
  <c r="AN43" i="23" s="1"/>
  <c r="AH34" i="23"/>
  <c r="AI34" i="23" s="1"/>
  <c r="AL34" i="23" s="1"/>
  <c r="AE31" i="23"/>
  <c r="AH47" i="23"/>
  <c r="AI47" i="23" s="1"/>
  <c r="AJ47" i="23" s="1"/>
  <c r="AH35" i="23"/>
  <c r="AI35" i="23" s="1"/>
  <c r="AL35" i="23" s="1"/>
  <c r="AL54" i="23"/>
  <c r="AH50" i="23"/>
  <c r="AI50" i="23" s="1"/>
  <c r="AL50" i="23" s="1"/>
  <c r="AE47" i="23"/>
  <c r="AN47" i="23" s="1"/>
  <c r="AH38" i="23"/>
  <c r="AI38" i="23" s="1"/>
  <c r="AL38" i="23" s="1"/>
  <c r="AE35" i="23"/>
  <c r="AE49" i="23"/>
  <c r="AN49" i="23" s="1"/>
  <c r="AE37" i="23"/>
  <c r="AM79" i="22"/>
  <c r="AN79" i="22" s="1"/>
  <c r="AM72" i="22"/>
  <c r="AH79" i="22"/>
  <c r="AI79" i="22" s="1"/>
  <c r="AL79" i="22" s="1"/>
  <c r="AN69" i="22"/>
  <c r="AH72" i="22"/>
  <c r="AI72" i="22" s="1"/>
  <c r="AJ72" i="22" s="1"/>
  <c r="AM73" i="22"/>
  <c r="AM70" i="22"/>
  <c r="AJ84" i="22"/>
  <c r="AL75" i="22"/>
  <c r="AJ70" i="22"/>
  <c r="AL70" i="22"/>
  <c r="AJ69" i="22"/>
  <c r="AL69" i="22"/>
  <c r="AJ81" i="22"/>
  <c r="AL81" i="22"/>
  <c r="AJ82" i="22"/>
  <c r="AL82" i="22"/>
  <c r="AL87" i="22"/>
  <c r="AJ87" i="22"/>
  <c r="AJ80" i="22"/>
  <c r="AL80" i="22"/>
  <c r="AE82" i="22"/>
  <c r="AE70" i="22"/>
  <c r="AE83" i="22"/>
  <c r="AD82" i="22"/>
  <c r="AE71" i="22"/>
  <c r="AD70" i="22"/>
  <c r="AE84" i="22"/>
  <c r="AN84" i="22" s="1"/>
  <c r="AD83" i="22"/>
  <c r="AE72" i="22"/>
  <c r="AD71" i="22"/>
  <c r="AH88" i="22"/>
  <c r="AI88" i="22" s="1"/>
  <c r="AL88" i="22" s="1"/>
  <c r="AE85" i="22"/>
  <c r="AN85" i="22" s="1"/>
  <c r="AH76" i="22"/>
  <c r="AI76" i="22" s="1"/>
  <c r="AL76" i="22" s="1"/>
  <c r="AE73" i="22"/>
  <c r="AH77" i="22"/>
  <c r="AI77" i="22" s="1"/>
  <c r="AL77" i="22" s="1"/>
  <c r="AL83" i="22"/>
  <c r="AE76" i="22"/>
  <c r="AL71" i="22"/>
  <c r="AL84" i="22"/>
  <c r="AE77" i="22"/>
  <c r="AN77" i="22" s="1"/>
  <c r="AL85" i="22"/>
  <c r="AE78" i="22"/>
  <c r="AN78" i="22" s="1"/>
  <c r="AL73" i="22"/>
  <c r="AJ86" i="20"/>
  <c r="AD112" i="20"/>
  <c r="AM119" i="20"/>
  <c r="AD115" i="20"/>
  <c r="AL109" i="20"/>
  <c r="AJ105" i="20"/>
  <c r="AE115" i="20"/>
  <c r="AD102" i="20"/>
  <c r="AN87" i="20"/>
  <c r="AL85" i="20"/>
  <c r="AN100" i="20"/>
  <c r="AH120" i="20"/>
  <c r="AI120" i="20" s="1"/>
  <c r="AL120" i="20" s="1"/>
  <c r="AM105" i="20"/>
  <c r="AD104" i="20"/>
  <c r="AN104" i="20" s="1"/>
  <c r="AH91" i="20"/>
  <c r="AI91" i="20" s="1"/>
  <c r="AJ91" i="20" s="1"/>
  <c r="AD90" i="20"/>
  <c r="AN90" i="20" s="1"/>
  <c r="AN85" i="20"/>
  <c r="AE117" i="20"/>
  <c r="AN117" i="20" s="1"/>
  <c r="AL100" i="20"/>
  <c r="AH97" i="20"/>
  <c r="AI97" i="20" s="1"/>
  <c r="AJ97" i="20" s="1"/>
  <c r="AJ93" i="20"/>
  <c r="AM115" i="20"/>
  <c r="AH98" i="20"/>
  <c r="AI98" i="20" s="1"/>
  <c r="AL98" i="20" s="1"/>
  <c r="AE88" i="20"/>
  <c r="AN88" i="20" s="1"/>
  <c r="AE120" i="20"/>
  <c r="AN120" i="20" s="1"/>
  <c r="AM118" i="20"/>
  <c r="AM108" i="20"/>
  <c r="AM102" i="20"/>
  <c r="AE91" i="20"/>
  <c r="AN91" i="20" s="1"/>
  <c r="AH84" i="20"/>
  <c r="AI84" i="20" s="1"/>
  <c r="AJ84" i="20" s="1"/>
  <c r="AD114" i="20"/>
  <c r="AN114" i="20" s="1"/>
  <c r="AE105" i="20"/>
  <c r="AD97" i="20"/>
  <c r="AN97" i="20" s="1"/>
  <c r="AM95" i="20"/>
  <c r="AM89" i="20"/>
  <c r="AM82" i="20"/>
  <c r="AL112" i="20"/>
  <c r="AJ117" i="20"/>
  <c r="AH108" i="20"/>
  <c r="AI108" i="20" s="1"/>
  <c r="AJ108" i="20" s="1"/>
  <c r="AD105" i="20"/>
  <c r="AD99" i="20"/>
  <c r="AN99" i="20" s="1"/>
  <c r="AE98" i="20"/>
  <c r="AN98" i="20" s="1"/>
  <c r="AD92" i="20"/>
  <c r="AN92" i="20" s="1"/>
  <c r="AN116" i="20"/>
  <c r="AE112" i="20"/>
  <c r="AM106" i="20"/>
  <c r="AL88" i="20"/>
  <c r="AJ132" i="20"/>
  <c r="AJ106" i="20"/>
  <c r="AL106" i="20"/>
  <c r="AJ103" i="20"/>
  <c r="AL122" i="20"/>
  <c r="AL110" i="20"/>
  <c r="AJ110" i="20"/>
  <c r="AJ126" i="20"/>
  <c r="AL117" i="20"/>
  <c r="AJ96" i="20"/>
  <c r="AJ83" i="20"/>
  <c r="AJ88" i="20"/>
  <c r="AJ81" i="20"/>
  <c r="AJ130" i="20"/>
  <c r="AL130" i="20"/>
  <c r="AL123" i="20"/>
  <c r="AJ123" i="20"/>
  <c r="AJ94" i="20"/>
  <c r="AL94" i="20"/>
  <c r="AJ133" i="20"/>
  <c r="AL133" i="20"/>
  <c r="AN128" i="20"/>
  <c r="AL105" i="20"/>
  <c r="AJ128" i="20"/>
  <c r="AJ112" i="20"/>
  <c r="AJ131" i="20"/>
  <c r="AJ118" i="20"/>
  <c r="AL118" i="20"/>
  <c r="AJ115" i="20"/>
  <c r="AJ125" i="20"/>
  <c r="AJ82" i="20"/>
  <c r="AL82" i="20"/>
  <c r="AE130" i="20"/>
  <c r="AH121" i="20"/>
  <c r="AI121" i="20" s="1"/>
  <c r="AJ121" i="20" s="1"/>
  <c r="AE118" i="20"/>
  <c r="AE106" i="20"/>
  <c r="AE94" i="20"/>
  <c r="AE82" i="20"/>
  <c r="AE131" i="20"/>
  <c r="AN131" i="20" s="1"/>
  <c r="AD130" i="20"/>
  <c r="AL126" i="20"/>
  <c r="AE119" i="20"/>
  <c r="AD118" i="20"/>
  <c r="AE107" i="20"/>
  <c r="AD106" i="20"/>
  <c r="AE95" i="20"/>
  <c r="AD94" i="20"/>
  <c r="AE83" i="20"/>
  <c r="AD82" i="20"/>
  <c r="AD119" i="20"/>
  <c r="AH111" i="20"/>
  <c r="AI111" i="20" s="1"/>
  <c r="AL111" i="20" s="1"/>
  <c r="AE108" i="20"/>
  <c r="AN108" i="20" s="1"/>
  <c r="AD107" i="20"/>
  <c r="AL103" i="20"/>
  <c r="AH99" i="20"/>
  <c r="AI99" i="20" s="1"/>
  <c r="AL99" i="20" s="1"/>
  <c r="AE96" i="20"/>
  <c r="AN96" i="20" s="1"/>
  <c r="AD95" i="20"/>
  <c r="AH87" i="20"/>
  <c r="AI87" i="20" s="1"/>
  <c r="AJ87" i="20" s="1"/>
  <c r="AE84" i="20"/>
  <c r="AN84" i="20" s="1"/>
  <c r="AD83" i="20"/>
  <c r="AE133" i="20"/>
  <c r="AN133" i="20" s="1"/>
  <c r="AE121" i="20"/>
  <c r="AN121" i="20" s="1"/>
  <c r="AH125" i="20"/>
  <c r="AI125" i="20" s="1"/>
  <c r="AL125" i="20" s="1"/>
  <c r="AH113" i="20"/>
  <c r="AI113" i="20" s="1"/>
  <c r="AJ113" i="20" s="1"/>
  <c r="AH101" i="20"/>
  <c r="AI101" i="20" s="1"/>
  <c r="AJ101" i="20" s="1"/>
  <c r="AH89" i="20"/>
  <c r="AI89" i="20" s="1"/>
  <c r="AJ89" i="20" s="1"/>
  <c r="AL81" i="20"/>
  <c r="AH126" i="20"/>
  <c r="AI126" i="20" s="1"/>
  <c r="AH114" i="20"/>
  <c r="AI114" i="20" s="1"/>
  <c r="AJ114" i="20" s="1"/>
  <c r="AH102" i="20"/>
  <c r="AI102" i="20" s="1"/>
  <c r="AL102" i="20" s="1"/>
  <c r="AH90" i="20"/>
  <c r="AI90" i="20" s="1"/>
  <c r="AL90" i="20" s="1"/>
  <c r="AL131" i="20"/>
  <c r="AL119" i="20"/>
  <c r="AL107" i="20"/>
  <c r="AL95" i="20"/>
  <c r="AL83" i="20"/>
  <c r="AL132" i="20"/>
  <c r="AH128" i="20"/>
  <c r="AI128" i="20" s="1"/>
  <c r="AL128" i="20" s="1"/>
  <c r="AE125" i="20"/>
  <c r="AN125" i="20" s="1"/>
  <c r="AH116" i="20"/>
  <c r="AI116" i="20" s="1"/>
  <c r="AL116" i="20" s="1"/>
  <c r="AE113" i="20"/>
  <c r="AN113" i="20" s="1"/>
  <c r="AL108" i="20"/>
  <c r="AH104" i="20"/>
  <c r="AI104" i="20" s="1"/>
  <c r="AJ104" i="20" s="1"/>
  <c r="AE101" i="20"/>
  <c r="AN101" i="20" s="1"/>
  <c r="AL96" i="20"/>
  <c r="AH92" i="20"/>
  <c r="AI92" i="20" s="1"/>
  <c r="AJ92" i="20" s="1"/>
  <c r="AE89" i="20"/>
  <c r="AJ29" i="14"/>
  <c r="AJ35" i="14"/>
  <c r="AD48" i="14"/>
  <c r="AN48" i="14" s="1"/>
  <c r="AM43" i="14"/>
  <c r="AN43" i="14" s="1"/>
  <c r="AD42" i="14"/>
  <c r="AN42" i="14" s="1"/>
  <c r="AE35" i="14"/>
  <c r="AN33" i="14"/>
  <c r="AE29" i="14"/>
  <c r="AL43" i="14"/>
  <c r="AM35" i="14"/>
  <c r="AM29" i="14"/>
  <c r="AH47" i="14"/>
  <c r="AI47" i="14" s="1"/>
  <c r="AH41" i="14"/>
  <c r="AI41" i="14" s="1"/>
  <c r="AJ41" i="14" s="1"/>
  <c r="AH34" i="14"/>
  <c r="AI34" i="14" s="1"/>
  <c r="AJ34" i="14" s="1"/>
  <c r="AH28" i="14"/>
  <c r="AI28" i="14" s="1"/>
  <c r="AJ28" i="14" s="1"/>
  <c r="AJ47" i="14"/>
  <c r="AM32" i="14"/>
  <c r="AH48" i="14"/>
  <c r="AI48" i="14" s="1"/>
  <c r="AJ48" i="14" s="1"/>
  <c r="AE47" i="14"/>
  <c r="AN47" i="14" s="1"/>
  <c r="AM45" i="14"/>
  <c r="AN45" i="14" s="1"/>
  <c r="AE41" i="14"/>
  <c r="AN41" i="14" s="1"/>
  <c r="AM36" i="14"/>
  <c r="AN36" i="14" s="1"/>
  <c r="AD28" i="14"/>
  <c r="AN28" i="14" s="1"/>
  <c r="AN49" i="14"/>
  <c r="AN40" i="14"/>
  <c r="AM30" i="14"/>
  <c r="AN30" i="14" s="1"/>
  <c r="AJ39" i="14"/>
  <c r="AJ58" i="14"/>
  <c r="AJ52" i="14"/>
  <c r="AL52" i="14"/>
  <c r="AJ37" i="14"/>
  <c r="AJ36" i="14"/>
  <c r="AL36" i="14"/>
  <c r="AJ40" i="14"/>
  <c r="AL40" i="14"/>
  <c r="AJ25" i="14"/>
  <c r="AN57" i="14"/>
  <c r="AJ50" i="14"/>
  <c r="AL50" i="14"/>
  <c r="AN56" i="14"/>
  <c r="AJ46" i="14"/>
  <c r="AL46" i="14"/>
  <c r="AL34" i="14"/>
  <c r="AJ38" i="14"/>
  <c r="AL38" i="14"/>
  <c r="AJ60" i="14"/>
  <c r="AL60" i="14"/>
  <c r="AN60" i="14"/>
  <c r="AJ26" i="14"/>
  <c r="AL26" i="14"/>
  <c r="AJ55" i="14"/>
  <c r="AE50" i="14"/>
  <c r="AJ43" i="14"/>
  <c r="AE38" i="14"/>
  <c r="AJ31" i="14"/>
  <c r="AE26" i="14"/>
  <c r="AH54" i="14"/>
  <c r="AI54" i="14" s="1"/>
  <c r="AJ54" i="14" s="1"/>
  <c r="AE51" i="14"/>
  <c r="AD50" i="14"/>
  <c r="AH42" i="14"/>
  <c r="AI42" i="14" s="1"/>
  <c r="AL42" i="14" s="1"/>
  <c r="AE39" i="14"/>
  <c r="AD38" i="14"/>
  <c r="AH30" i="14"/>
  <c r="AI30" i="14" s="1"/>
  <c r="AL30" i="14" s="1"/>
  <c r="AE27" i="14"/>
  <c r="AD26" i="14"/>
  <c r="AL59" i="14"/>
  <c r="AD51" i="14"/>
  <c r="AL47" i="14"/>
  <c r="AD39" i="14"/>
  <c r="AL35" i="14"/>
  <c r="AD27" i="14"/>
  <c r="AH56" i="14"/>
  <c r="AI56" i="14" s="1"/>
  <c r="AL56" i="14" s="1"/>
  <c r="AH44" i="14"/>
  <c r="AI44" i="14" s="1"/>
  <c r="AL44" i="14" s="1"/>
  <c r="AH32" i="14"/>
  <c r="AI32" i="14" s="1"/>
  <c r="AL32" i="14" s="1"/>
  <c r="AH57" i="14"/>
  <c r="AI57" i="14" s="1"/>
  <c r="AL57" i="14" s="1"/>
  <c r="AL49" i="14"/>
  <c r="AH45" i="14"/>
  <c r="AI45" i="14" s="1"/>
  <c r="AJ45" i="14" s="1"/>
  <c r="AL37" i="14"/>
  <c r="AH33" i="14"/>
  <c r="AI33" i="14" s="1"/>
  <c r="AJ33" i="14" s="1"/>
  <c r="AL25" i="14"/>
  <c r="AH58" i="14"/>
  <c r="AI58" i="14" s="1"/>
  <c r="AL58" i="14" s="1"/>
  <c r="AL51" i="14"/>
  <c r="AE44" i="14"/>
  <c r="AN44" i="14" s="1"/>
  <c r="AL39" i="14"/>
  <c r="AE32" i="14"/>
  <c r="AN32" i="14" s="1"/>
  <c r="AL27" i="14"/>
  <c r="AE58" i="14"/>
  <c r="AN58" i="14" s="1"/>
  <c r="AE46" i="14"/>
  <c r="AN46" i="14" s="1"/>
  <c r="AE34" i="14"/>
  <c r="AN34" i="14" s="1"/>
  <c r="AM26" i="13"/>
  <c r="AH26" i="13"/>
  <c r="AI26" i="13" s="1"/>
  <c r="AJ26" i="13" s="1"/>
  <c r="AN25" i="13"/>
  <c r="AE26" i="13"/>
  <c r="AJ27" i="13"/>
  <c r="AL27" i="13"/>
  <c r="AJ39" i="13"/>
  <c r="AL39" i="13"/>
  <c r="AJ25" i="13"/>
  <c r="AL31" i="13"/>
  <c r="AJ31" i="13"/>
  <c r="AJ28" i="13"/>
  <c r="AJ38" i="13"/>
  <c r="AL38" i="13"/>
  <c r="AJ35" i="13"/>
  <c r="AL35" i="13"/>
  <c r="AL33" i="13"/>
  <c r="AJ33" i="13"/>
  <c r="AJ29" i="13"/>
  <c r="AL29" i="13"/>
  <c r="AD36" i="13"/>
  <c r="AN36" i="13" s="1"/>
  <c r="AN34" i="13"/>
  <c r="AL32" i="13"/>
  <c r="AE39" i="13"/>
  <c r="AE27" i="13"/>
  <c r="AD39" i="13"/>
  <c r="AE29" i="13"/>
  <c r="AN29" i="13" s="1"/>
  <c r="AL37" i="13"/>
  <c r="AH33" i="13"/>
  <c r="AI33" i="13" s="1"/>
  <c r="AE30" i="13"/>
  <c r="AN30" i="13" s="1"/>
  <c r="AL25" i="13"/>
  <c r="AH36" i="13"/>
  <c r="AI36" i="13" s="1"/>
  <c r="AJ36" i="13" s="1"/>
  <c r="AE33" i="13"/>
  <c r="AN33" i="13" s="1"/>
  <c r="AL28" i="13"/>
  <c r="AD27" i="13"/>
  <c r="AM59" i="12"/>
  <c r="AM57" i="12"/>
  <c r="AN57" i="12" s="1"/>
  <c r="AE59" i="12"/>
  <c r="AJ60" i="12"/>
  <c r="AL60" i="12"/>
  <c r="AJ58" i="12"/>
  <c r="AL58" i="12"/>
  <c r="AJ61" i="12"/>
  <c r="AJ59" i="12"/>
  <c r="AL59" i="12"/>
  <c r="AE60" i="12"/>
  <c r="AD59" i="12"/>
  <c r="AE61" i="12"/>
  <c r="AN61" i="12" s="1"/>
  <c r="AD60" i="12"/>
  <c r="AL61" i="12"/>
  <c r="AL62" i="12"/>
  <c r="AJ57" i="12"/>
  <c r="AH56" i="12"/>
  <c r="AI56" i="12" s="1"/>
  <c r="AL56" i="12" s="1"/>
  <c r="AH54" i="12"/>
  <c r="AI54" i="12" s="1"/>
  <c r="AJ54" i="12" s="1"/>
  <c r="AL57" i="12"/>
  <c r="AD56" i="12"/>
  <c r="AN56" i="12" s="1"/>
  <c r="AM52" i="12"/>
  <c r="AN51" i="12"/>
  <c r="AH55" i="12"/>
  <c r="AI55" i="12" s="1"/>
  <c r="AJ55" i="12" s="1"/>
  <c r="AJ51" i="12"/>
  <c r="AL51" i="12"/>
  <c r="AJ52" i="12"/>
  <c r="AL52" i="12"/>
  <c r="AE52" i="12"/>
  <c r="AD52" i="12"/>
  <c r="AE54" i="12"/>
  <c r="AN54" i="12" s="1"/>
  <c r="AD53" i="12"/>
  <c r="AN53" i="12" s="1"/>
  <c r="AE55" i="12"/>
  <c r="AN55" i="12" s="1"/>
  <c r="AL53" i="12"/>
  <c r="AJ29" i="6"/>
  <c r="AL29" i="6"/>
  <c r="AJ25" i="6"/>
  <c r="AJ28" i="6"/>
  <c r="AL35" i="6"/>
  <c r="AJ35" i="6"/>
  <c r="AJ27" i="6"/>
  <c r="AL27" i="6"/>
  <c r="AL31" i="6"/>
  <c r="AJ31" i="6"/>
  <c r="AJ26" i="6"/>
  <c r="AL26" i="6"/>
  <c r="AJ33" i="6"/>
  <c r="AL33" i="6"/>
  <c r="AN34" i="6"/>
  <c r="AJ30" i="6"/>
  <c r="AE27" i="6"/>
  <c r="AD26" i="6"/>
  <c r="AN26" i="6" s="1"/>
  <c r="AD27" i="6"/>
  <c r="AH32" i="6"/>
  <c r="AI32" i="6" s="1"/>
  <c r="AE29" i="6"/>
  <c r="AN29" i="6" s="1"/>
  <c r="AL25" i="6"/>
  <c r="AE31" i="6"/>
  <c r="AN31" i="6" s="1"/>
  <c r="AH35" i="6"/>
  <c r="AI35" i="6" s="1"/>
  <c r="AE32" i="6"/>
  <c r="AN32" i="6" s="1"/>
  <c r="AL28" i="6"/>
  <c r="AE35" i="6"/>
  <c r="AN35" i="6" s="1"/>
  <c r="AL58" i="5"/>
  <c r="AN64" i="5"/>
  <c r="AL61" i="5"/>
  <c r="AN63" i="5"/>
  <c r="AM62" i="5"/>
  <c r="AH59" i="5"/>
  <c r="AI59" i="5" s="1"/>
  <c r="AL59" i="5" s="1"/>
  <c r="AD58" i="5"/>
  <c r="AN58" i="5" s="1"/>
  <c r="AH62" i="5"/>
  <c r="AI62" i="5" s="1"/>
  <c r="AJ62" i="5" s="1"/>
  <c r="AE59" i="5"/>
  <c r="AN59" i="5" s="1"/>
  <c r="AH56" i="5"/>
  <c r="AI56" i="5" s="1"/>
  <c r="AJ56" i="5" s="1"/>
  <c r="AJ63" i="5"/>
  <c r="AM57" i="5"/>
  <c r="AJ57" i="5"/>
  <c r="AJ64" i="5"/>
  <c r="AL64" i="5"/>
  <c r="AJ67" i="5"/>
  <c r="AL67" i="5"/>
  <c r="AJ65" i="5"/>
  <c r="AL65" i="5"/>
  <c r="AJ61" i="5"/>
  <c r="AJ55" i="5"/>
  <c r="AL55" i="5"/>
  <c r="AJ53" i="5"/>
  <c r="AL53" i="5"/>
  <c r="AJ79" i="5"/>
  <c r="AL79" i="5"/>
  <c r="AJ80" i="5"/>
  <c r="AJ77" i="5"/>
  <c r="AL77" i="5"/>
  <c r="AN69" i="5"/>
  <c r="AJ73" i="5"/>
  <c r="AJ66" i="5"/>
  <c r="AL66" i="5"/>
  <c r="AN81" i="5"/>
  <c r="AJ74" i="5"/>
  <c r="AL74" i="5"/>
  <c r="AJ78" i="5"/>
  <c r="AL78" i="5"/>
  <c r="AJ54" i="5"/>
  <c r="AL54" i="5"/>
  <c r="AE79" i="5"/>
  <c r="AD78" i="5"/>
  <c r="AN78" i="5" s="1"/>
  <c r="AE67" i="5"/>
  <c r="AD66" i="5"/>
  <c r="AN66" i="5" s="1"/>
  <c r="AE55" i="5"/>
  <c r="AD54" i="5"/>
  <c r="AN54" i="5" s="1"/>
  <c r="AH83" i="5"/>
  <c r="AI83" i="5" s="1"/>
  <c r="AL83" i="5" s="1"/>
  <c r="AE80" i="5"/>
  <c r="AN80" i="5" s="1"/>
  <c r="AD79" i="5"/>
  <c r="AN79" i="5" s="1"/>
  <c r="AH71" i="5"/>
  <c r="AI71" i="5" s="1"/>
  <c r="AL71" i="5" s="1"/>
  <c r="AE68" i="5"/>
  <c r="AN68" i="5" s="1"/>
  <c r="AD67" i="5"/>
  <c r="AN67" i="5" s="1"/>
  <c r="AL63" i="5"/>
  <c r="AE56" i="5"/>
  <c r="AN56" i="5" s="1"/>
  <c r="AD55" i="5"/>
  <c r="AH84" i="5"/>
  <c r="AI84" i="5" s="1"/>
  <c r="AJ84" i="5" s="1"/>
  <c r="AH72" i="5"/>
  <c r="AI72" i="5" s="1"/>
  <c r="AJ72" i="5" s="1"/>
  <c r="AH60" i="5"/>
  <c r="AI60" i="5" s="1"/>
  <c r="AL60" i="5" s="1"/>
  <c r="AE57" i="5"/>
  <c r="AN57" i="5" s="1"/>
  <c r="AE84" i="5"/>
  <c r="AN84" i="5" s="1"/>
  <c r="AH75" i="5"/>
  <c r="AI75" i="5" s="1"/>
  <c r="AE72" i="5"/>
  <c r="AN72" i="5" s="1"/>
  <c r="AE60" i="5"/>
  <c r="AN60" i="5" s="1"/>
  <c r="AL80" i="5"/>
  <c r="AL68" i="5"/>
  <c r="AE61" i="5"/>
  <c r="AN61" i="5" s="1"/>
  <c r="AL81" i="5"/>
  <c r="AE74" i="5"/>
  <c r="AN74" i="5" s="1"/>
  <c r="AL69" i="5"/>
  <c r="AE62" i="5"/>
  <c r="AL57" i="5"/>
  <c r="AE33" i="3"/>
  <c r="AM28" i="3"/>
  <c r="AN28" i="3" s="1"/>
  <c r="AM34" i="3"/>
  <c r="AD30" i="3"/>
  <c r="AH26" i="3"/>
  <c r="AI26" i="3" s="1"/>
  <c r="AJ26" i="3" s="1"/>
  <c r="AN24" i="3"/>
  <c r="AJ37" i="3"/>
  <c r="AL37" i="3"/>
  <c r="AJ35" i="3"/>
  <c r="AL35" i="3"/>
  <c r="AJ38" i="3"/>
  <c r="AL38" i="3"/>
  <c r="AJ36" i="3"/>
  <c r="AL36" i="3"/>
  <c r="AD37" i="3"/>
  <c r="AE36" i="3"/>
  <c r="AD36" i="3"/>
  <c r="AD38" i="3"/>
  <c r="AN38" i="3" s="1"/>
  <c r="AE37" i="3"/>
  <c r="AH34" i="3"/>
  <c r="AI34" i="3" s="1"/>
  <c r="AJ34" i="3" s="1"/>
  <c r="AD34" i="3"/>
  <c r="AE30" i="3"/>
  <c r="AH28" i="3"/>
  <c r="AI28" i="3" s="1"/>
  <c r="AJ28" i="3" s="1"/>
  <c r="AN33" i="3"/>
  <c r="AM32" i="3"/>
  <c r="AM29" i="3"/>
  <c r="AE27" i="3"/>
  <c r="AN27" i="3" s="1"/>
  <c r="AH32" i="3"/>
  <c r="AI32" i="3" s="1"/>
  <c r="AJ32" i="3" s="1"/>
  <c r="AM30" i="3"/>
  <c r="AH29" i="3"/>
  <c r="AI29" i="3" s="1"/>
  <c r="AL29" i="3" s="1"/>
  <c r="AD29" i="3"/>
  <c r="AH33" i="3"/>
  <c r="AI33" i="3" s="1"/>
  <c r="AL33" i="3" s="1"/>
  <c r="AJ27" i="3"/>
  <c r="AL27" i="3"/>
  <c r="AJ24" i="3"/>
  <c r="AL24" i="3"/>
  <c r="AJ25" i="3"/>
  <c r="AN26" i="3"/>
  <c r="AJ33" i="3"/>
  <c r="AJ30" i="3"/>
  <c r="AL30" i="3"/>
  <c r="AE25" i="3"/>
  <c r="AD25" i="3"/>
  <c r="AH31" i="3"/>
  <c r="AI31" i="3" s="1"/>
  <c r="AL31" i="3" s="1"/>
  <c r="AE28" i="3"/>
  <c r="AL25" i="3"/>
  <c r="AE31" i="3"/>
  <c r="AN31" i="3" s="1"/>
  <c r="AE32" i="3"/>
  <c r="AN76" i="22" l="1"/>
  <c r="AN86" i="22"/>
  <c r="AL78" i="22"/>
  <c r="AL74" i="22"/>
  <c r="AN74" i="22"/>
  <c r="AJ70" i="60"/>
  <c r="AN64" i="60"/>
  <c r="AN111" i="60"/>
  <c r="AL79" i="60"/>
  <c r="AJ69" i="60"/>
  <c r="AJ108" i="60"/>
  <c r="AN84" i="60"/>
  <c r="AL105" i="60"/>
  <c r="AL96" i="60"/>
  <c r="AL32" i="60"/>
  <c r="AJ45" i="59"/>
  <c r="AN45" i="59"/>
  <c r="AJ70" i="57"/>
  <c r="AL82" i="57"/>
  <c r="AJ79" i="57"/>
  <c r="AN74" i="57"/>
  <c r="AL42" i="55"/>
  <c r="AJ77" i="53"/>
  <c r="AJ63" i="53"/>
  <c r="AN63" i="53"/>
  <c r="AL29" i="51"/>
  <c r="AJ38" i="51"/>
  <c r="AN27" i="51"/>
  <c r="AN29" i="51"/>
  <c r="AJ50" i="51"/>
  <c r="AJ73" i="51"/>
  <c r="AN48" i="51"/>
  <c r="AN72" i="51"/>
  <c r="AN66" i="51"/>
  <c r="AL94" i="46"/>
  <c r="AL88" i="46"/>
  <c r="AL123" i="46"/>
  <c r="AL193" i="46"/>
  <c r="AL154" i="46"/>
  <c r="AN158" i="46"/>
  <c r="AL174" i="46"/>
  <c r="AN88" i="46"/>
  <c r="AN118" i="46"/>
  <c r="AJ40" i="45"/>
  <c r="AN33" i="45"/>
  <c r="AJ42" i="45"/>
  <c r="AL44" i="43"/>
  <c r="AL190" i="32"/>
  <c r="AL196" i="32"/>
  <c r="AN184" i="32"/>
  <c r="AN180" i="32"/>
  <c r="AN190" i="32"/>
  <c r="AL184" i="32"/>
  <c r="AL188" i="32"/>
  <c r="O16" i="68"/>
  <c r="N16" i="68"/>
  <c r="AN86" i="29"/>
  <c r="AL93" i="29"/>
  <c r="AN32" i="24"/>
  <c r="AJ39" i="24"/>
  <c r="AJ48" i="24"/>
  <c r="AN37" i="23"/>
  <c r="AN30" i="23"/>
  <c r="AN80" i="22"/>
  <c r="AN81" i="22"/>
  <c r="AL72" i="22"/>
  <c r="AJ79" i="22"/>
  <c r="AJ86" i="22"/>
  <c r="AJ76" i="22"/>
  <c r="AL84" i="20"/>
  <c r="AN82" i="20"/>
  <c r="AL91" i="20"/>
  <c r="AN102" i="20"/>
  <c r="AL121" i="20"/>
  <c r="AL87" i="20"/>
  <c r="AL45" i="14"/>
  <c r="AN39" i="14"/>
  <c r="AL28" i="14"/>
  <c r="AL41" i="14"/>
  <c r="AN35" i="14"/>
  <c r="AL26" i="13"/>
  <c r="AJ56" i="12"/>
  <c r="AL40" i="78"/>
  <c r="AJ9" i="78"/>
  <c r="AA65" i="78"/>
  <c r="AC65" i="78" s="1"/>
  <c r="AP65" i="78" s="1"/>
  <c r="AP11" i="78"/>
  <c r="AN16" i="78"/>
  <c r="Z22" i="78"/>
  <c r="AB22" i="78" s="1"/>
  <c r="AO22" i="78" s="1"/>
  <c r="AA22" i="78"/>
  <c r="AC22" i="78" s="1"/>
  <c r="AP22" i="78" s="1"/>
  <c r="AJ22" i="78"/>
  <c r="AN8" i="78"/>
  <c r="AP8" i="78" s="1"/>
  <c r="AN26" i="78"/>
  <c r="AN35" i="78"/>
  <c r="S16" i="68"/>
  <c r="AL59" i="78"/>
  <c r="AN12" i="78"/>
  <c r="K16" i="68"/>
  <c r="AL19" i="78"/>
  <c r="AL39" i="78"/>
  <c r="AL60" i="78"/>
  <c r="AA53" i="78"/>
  <c r="AC53" i="78" s="1"/>
  <c r="AP53" i="78" s="1"/>
  <c r="AL41" i="78"/>
  <c r="AL28" i="3"/>
  <c r="AL32" i="3"/>
  <c r="AN34" i="3"/>
  <c r="AN51" i="14"/>
  <c r="AN82" i="22"/>
  <c r="AN53" i="23"/>
  <c r="AN14" i="78"/>
  <c r="AN43" i="78"/>
  <c r="AN26" i="43"/>
  <c r="AN39" i="43"/>
  <c r="AN47" i="59"/>
  <c r="AN124" i="60"/>
  <c r="AN10" i="78"/>
  <c r="AP10" i="78" s="1"/>
  <c r="AN42" i="78"/>
  <c r="AN50" i="57"/>
  <c r="AN63" i="59"/>
  <c r="AN127" i="60"/>
  <c r="AN49" i="60"/>
  <c r="AN40" i="24"/>
  <c r="AN13" i="78"/>
  <c r="AN26" i="45"/>
  <c r="AN163" i="46"/>
  <c r="AN39" i="51"/>
  <c r="AN194" i="46"/>
  <c r="AN117" i="46"/>
  <c r="AN50" i="59"/>
  <c r="AN186" i="46"/>
  <c r="AN59" i="51"/>
  <c r="AN74" i="51"/>
  <c r="AN70" i="51"/>
  <c r="AN79" i="60"/>
  <c r="AN112" i="20"/>
  <c r="AN35" i="23"/>
  <c r="AN37" i="24"/>
  <c r="AN27" i="40"/>
  <c r="AN27" i="43"/>
  <c r="AN27" i="44"/>
  <c r="AN206" i="46"/>
  <c r="AN115" i="60"/>
  <c r="AN83" i="22"/>
  <c r="AN27" i="45"/>
  <c r="AN198" i="46"/>
  <c r="AN26" i="54"/>
  <c r="AN57" i="57"/>
  <c r="AN27" i="59"/>
  <c r="AN103" i="60"/>
  <c r="AN74" i="60"/>
  <c r="AN73" i="60"/>
  <c r="AN26" i="40"/>
  <c r="AN87" i="57"/>
  <c r="AJ27" i="60"/>
  <c r="AJ89" i="60"/>
  <c r="AJ100" i="60"/>
  <c r="AL86" i="60"/>
  <c r="AL104" i="60"/>
  <c r="AL31" i="60"/>
  <c r="AL80" i="60"/>
  <c r="AL35" i="60"/>
  <c r="AL83" i="60"/>
  <c r="AL77" i="60"/>
  <c r="AN77" i="60"/>
  <c r="AN108" i="60"/>
  <c r="AJ120" i="60"/>
  <c r="AL107" i="60"/>
  <c r="AN112" i="60"/>
  <c r="AN36" i="60"/>
  <c r="AL55" i="60"/>
  <c r="AJ87" i="60"/>
  <c r="AJ63" i="60"/>
  <c r="AL93" i="60"/>
  <c r="AJ98" i="60"/>
  <c r="AL98" i="60"/>
  <c r="AJ46" i="60"/>
  <c r="AL62" i="60"/>
  <c r="AL76" i="60"/>
  <c r="AL92" i="60"/>
  <c r="AJ111" i="60"/>
  <c r="AL111" i="60"/>
  <c r="AL99" i="60"/>
  <c r="AL33" i="60"/>
  <c r="AN51" i="60"/>
  <c r="AL84" i="60"/>
  <c r="AN63" i="60"/>
  <c r="AJ126" i="60"/>
  <c r="AJ58" i="60"/>
  <c r="AJ124" i="60"/>
  <c r="AL124" i="60"/>
  <c r="AL51" i="60"/>
  <c r="AN39" i="60"/>
  <c r="AL39" i="60"/>
  <c r="AL82" i="60"/>
  <c r="AN93" i="60"/>
  <c r="AL81" i="60"/>
  <c r="AL112" i="60"/>
  <c r="AL88" i="60"/>
  <c r="AJ123" i="60"/>
  <c r="AJ57" i="60"/>
  <c r="AJ45" i="60"/>
  <c r="AN81" i="60"/>
  <c r="AL52" i="59"/>
  <c r="AN51" i="59"/>
  <c r="AN46" i="59"/>
  <c r="AJ57" i="59"/>
  <c r="AL56" i="59"/>
  <c r="AJ32" i="59"/>
  <c r="AJ35" i="59"/>
  <c r="AJ31" i="59"/>
  <c r="AN38" i="59"/>
  <c r="AN39" i="59"/>
  <c r="AJ33" i="59"/>
  <c r="AJ69" i="59"/>
  <c r="AL68" i="59"/>
  <c r="AL44" i="59"/>
  <c r="AL50" i="57"/>
  <c r="AL60" i="57"/>
  <c r="AN66" i="57"/>
  <c r="AN63" i="57"/>
  <c r="AL81" i="57"/>
  <c r="AJ58" i="57"/>
  <c r="AL76" i="57"/>
  <c r="AL57" i="57"/>
  <c r="AN75" i="57"/>
  <c r="AL80" i="57"/>
  <c r="AJ69" i="57"/>
  <c r="AL64" i="57"/>
  <c r="AJ93" i="57"/>
  <c r="AL94" i="57"/>
  <c r="AL41" i="55"/>
  <c r="AL35" i="55"/>
  <c r="AL29" i="55"/>
  <c r="AL34" i="55"/>
  <c r="AN26" i="55"/>
  <c r="AJ30" i="55"/>
  <c r="AN38" i="55"/>
  <c r="AN50" i="55"/>
  <c r="AN27" i="54"/>
  <c r="AN39" i="54"/>
  <c r="AL79" i="53"/>
  <c r="AL72" i="53"/>
  <c r="AL76" i="53"/>
  <c r="AN57" i="53"/>
  <c r="AJ61" i="53"/>
  <c r="AL60" i="53"/>
  <c r="AL84" i="53"/>
  <c r="AN69" i="53"/>
  <c r="AJ78" i="53"/>
  <c r="AJ66" i="53"/>
  <c r="AJ87" i="53"/>
  <c r="AJ75" i="53"/>
  <c r="AL85" i="53"/>
  <c r="AN93" i="53"/>
  <c r="AL89" i="53"/>
  <c r="AN42" i="51"/>
  <c r="AJ43" i="51"/>
  <c r="AN56" i="51"/>
  <c r="AN57" i="51"/>
  <c r="AL65" i="51"/>
  <c r="AL61" i="51"/>
  <c r="AL77" i="51"/>
  <c r="AJ77" i="51"/>
  <c r="AN50" i="51"/>
  <c r="AL57" i="51"/>
  <c r="AN71" i="51"/>
  <c r="AJ55" i="51"/>
  <c r="AN78" i="51"/>
  <c r="AN68" i="51"/>
  <c r="AN51" i="51"/>
  <c r="AJ56" i="51"/>
  <c r="AL87" i="51"/>
  <c r="AJ44" i="51"/>
  <c r="AL85" i="51"/>
  <c r="AL68" i="51"/>
  <c r="AL47" i="51"/>
  <c r="AL67" i="51"/>
  <c r="AL35" i="51"/>
  <c r="AJ31" i="51"/>
  <c r="AJ88" i="51"/>
  <c r="AJ79" i="51"/>
  <c r="AL79" i="51"/>
  <c r="AN91" i="51"/>
  <c r="AL62" i="51"/>
  <c r="AL75" i="51"/>
  <c r="AJ32" i="51"/>
  <c r="AJ197" i="46"/>
  <c r="AN89" i="46"/>
  <c r="AN153" i="46"/>
  <c r="AN85" i="46"/>
  <c r="AL122" i="46"/>
  <c r="AN197" i="46"/>
  <c r="AN92" i="46"/>
  <c r="AL117" i="46"/>
  <c r="AJ173" i="46"/>
  <c r="AL177" i="46"/>
  <c r="AN187" i="46"/>
  <c r="AN135" i="46"/>
  <c r="AJ136" i="46"/>
  <c r="AL189" i="46"/>
  <c r="AL145" i="46"/>
  <c r="AN145" i="46"/>
  <c r="AN84" i="46"/>
  <c r="AJ146" i="46"/>
  <c r="AN95" i="46"/>
  <c r="AN107" i="46"/>
  <c r="AN96" i="46"/>
  <c r="AN174" i="46"/>
  <c r="AN134" i="46"/>
  <c r="AN164" i="46"/>
  <c r="AJ130" i="46"/>
  <c r="AJ164" i="46"/>
  <c r="AN147" i="46"/>
  <c r="AJ137" i="46"/>
  <c r="AN137" i="46"/>
  <c r="AJ183" i="46"/>
  <c r="AJ202" i="46"/>
  <c r="AJ121" i="46"/>
  <c r="AJ200" i="46"/>
  <c r="AL86" i="46"/>
  <c r="AN159" i="46"/>
  <c r="AL132" i="46"/>
  <c r="AL99" i="46"/>
  <c r="AL93" i="46"/>
  <c r="AJ184" i="46"/>
  <c r="AL153" i="46"/>
  <c r="AJ128" i="46"/>
  <c r="AL85" i="46"/>
  <c r="AL180" i="46"/>
  <c r="AN109" i="46"/>
  <c r="AN140" i="46"/>
  <c r="AJ179" i="46"/>
  <c r="AJ155" i="46"/>
  <c r="AN179" i="46"/>
  <c r="AN204" i="46"/>
  <c r="AN121" i="46"/>
  <c r="AN97" i="46"/>
  <c r="AJ115" i="46"/>
  <c r="AN171" i="46"/>
  <c r="AJ158" i="46"/>
  <c r="AN195" i="46"/>
  <c r="AN173" i="46"/>
  <c r="AN170" i="46"/>
  <c r="AL144" i="46"/>
  <c r="AL170" i="46"/>
  <c r="AJ188" i="46"/>
  <c r="AL106" i="46"/>
  <c r="AL101" i="46"/>
  <c r="AL104" i="46"/>
  <c r="AN128" i="46"/>
  <c r="AN167" i="46"/>
  <c r="AJ178" i="46"/>
  <c r="AL178" i="46"/>
  <c r="AJ175" i="46"/>
  <c r="AL116" i="46"/>
  <c r="AL151" i="46"/>
  <c r="AJ129" i="46"/>
  <c r="AN207" i="46"/>
  <c r="AL92" i="46"/>
  <c r="AL89" i="46"/>
  <c r="AJ114" i="46"/>
  <c r="AL143" i="46"/>
  <c r="AL133" i="46"/>
  <c r="AJ152" i="46"/>
  <c r="AJ176" i="46"/>
  <c r="AL176" i="46"/>
  <c r="AL125" i="46"/>
  <c r="AL159" i="46"/>
  <c r="AL134" i="46"/>
  <c r="AL171" i="46"/>
  <c r="AL97" i="46"/>
  <c r="AL105" i="46"/>
  <c r="AL163" i="46"/>
  <c r="AL191" i="46"/>
  <c r="AL203" i="46"/>
  <c r="AL113" i="46"/>
  <c r="AJ126" i="46"/>
  <c r="AL109" i="46"/>
  <c r="AL167" i="46"/>
  <c r="AJ141" i="46"/>
  <c r="AL147" i="46"/>
  <c r="AJ90" i="46"/>
  <c r="AJ102" i="46"/>
  <c r="AL120" i="46"/>
  <c r="AJ199" i="46"/>
  <c r="AL138" i="46"/>
  <c r="AL46" i="45"/>
  <c r="AL36" i="45"/>
  <c r="AL26" i="45"/>
  <c r="AJ28" i="45"/>
  <c r="AN45" i="45"/>
  <c r="AJ52" i="45"/>
  <c r="AJ45" i="45"/>
  <c r="AL34" i="45"/>
  <c r="AJ33" i="45"/>
  <c r="AL35" i="44"/>
  <c r="AJ31" i="44"/>
  <c r="AL36" i="43"/>
  <c r="AL29" i="43"/>
  <c r="AL35" i="43"/>
  <c r="AJ42" i="43"/>
  <c r="AJ45" i="43"/>
  <c r="AJ33" i="43"/>
  <c r="AN83" i="20"/>
  <c r="AN26" i="30"/>
  <c r="AN30" i="24"/>
  <c r="AN187" i="32"/>
  <c r="AN62" i="78"/>
  <c r="AN55" i="5"/>
  <c r="AN27" i="14"/>
  <c r="AN74" i="31"/>
  <c r="T16" i="68"/>
  <c r="AN38" i="14"/>
  <c r="AN52" i="28"/>
  <c r="AN36" i="3"/>
  <c r="AN72" i="22"/>
  <c r="AN5" i="78"/>
  <c r="AP5" i="78" s="1"/>
  <c r="AN20" i="78"/>
  <c r="AJ57" i="78"/>
  <c r="AN21" i="78"/>
  <c r="AP21" i="78" s="1"/>
  <c r="AN61" i="78"/>
  <c r="AN9" i="78"/>
  <c r="AL33" i="78"/>
  <c r="AN37" i="78"/>
  <c r="AL46" i="78"/>
  <c r="AN36" i="78"/>
  <c r="AN45" i="78"/>
  <c r="AN41" i="78"/>
  <c r="AP41" i="78" s="1"/>
  <c r="AL51" i="78"/>
  <c r="AL53" i="78"/>
  <c r="AL47" i="78"/>
  <c r="A16" i="78"/>
  <c r="AL45" i="78"/>
  <c r="AJ58" i="78"/>
  <c r="Z10" i="78"/>
  <c r="AB10" i="78" s="1"/>
  <c r="AO10" i="78" s="1"/>
  <c r="AN38" i="78"/>
  <c r="AL18" i="78"/>
  <c r="AJ28" i="78"/>
  <c r="AA29" i="78"/>
  <c r="AC29" i="78" s="1"/>
  <c r="AP29" i="78" s="1"/>
  <c r="AL5" i="78"/>
  <c r="Z8" i="78"/>
  <c r="AB8" i="78" s="1"/>
  <c r="AO8" i="78" s="1"/>
  <c r="AN50" i="78"/>
  <c r="AL6" i="78"/>
  <c r="AJ44" i="78"/>
  <c r="AJ31" i="78"/>
  <c r="Z41" i="78"/>
  <c r="AB41" i="78" s="1"/>
  <c r="AO41" i="78" s="1"/>
  <c r="AN58" i="78"/>
  <c r="AL29" i="78"/>
  <c r="AN15" i="78"/>
  <c r="AL17" i="78"/>
  <c r="AA12" i="78"/>
  <c r="AC12" i="78" s="1"/>
  <c r="AP12" i="78" s="1"/>
  <c r="Z12" i="78"/>
  <c r="AB12" i="78" s="1"/>
  <c r="AO12" i="78" s="1"/>
  <c r="Z7" i="78"/>
  <c r="AB7" i="78" s="1"/>
  <c r="AO7" i="78" s="1"/>
  <c r="AA7" i="78"/>
  <c r="AC7" i="78" s="1"/>
  <c r="AP7" i="78" s="1"/>
  <c r="Z5" i="78"/>
  <c r="AB5" i="78" s="1"/>
  <c r="AO5" i="78" s="1"/>
  <c r="Z67" i="78"/>
  <c r="AB67" i="78" s="1"/>
  <c r="AO67" i="78" s="1"/>
  <c r="AA67" i="78"/>
  <c r="AC67" i="78" s="1"/>
  <c r="AP67" i="78" s="1"/>
  <c r="Z39" i="78"/>
  <c r="AB39" i="78" s="1"/>
  <c r="AO39" i="78" s="1"/>
  <c r="AA39" i="78"/>
  <c r="AC39" i="78" s="1"/>
  <c r="AP39" i="78" s="1"/>
  <c r="Z72" i="78"/>
  <c r="AB72" i="78" s="1"/>
  <c r="AO72" i="78" s="1"/>
  <c r="AA72" i="78"/>
  <c r="AC72" i="78" s="1"/>
  <c r="AP72" i="78" s="1"/>
  <c r="AA57" i="78"/>
  <c r="AC57" i="78" s="1"/>
  <c r="AP57" i="78" s="1"/>
  <c r="Z57" i="78"/>
  <c r="AB57" i="78" s="1"/>
  <c r="AO57" i="78" s="1"/>
  <c r="AA68" i="78"/>
  <c r="AC68" i="78" s="1"/>
  <c r="AP68" i="78" s="1"/>
  <c r="Z68" i="78"/>
  <c r="AB68" i="78" s="1"/>
  <c r="AO68" i="78" s="1"/>
  <c r="Z28" i="78"/>
  <c r="AB28" i="78" s="1"/>
  <c r="AO28" i="78" s="1"/>
  <c r="AA28" i="78"/>
  <c r="AC28" i="78" s="1"/>
  <c r="AP28" i="78" s="1"/>
  <c r="Z43" i="78"/>
  <c r="AB43" i="78" s="1"/>
  <c r="AO43" i="78" s="1"/>
  <c r="AA43" i="78"/>
  <c r="AC43" i="78" s="1"/>
  <c r="AJ32" i="78"/>
  <c r="AJ67" i="78"/>
  <c r="Z36" i="78"/>
  <c r="AB36" i="78" s="1"/>
  <c r="AO36" i="78" s="1"/>
  <c r="AA36" i="78"/>
  <c r="AC36" i="78" s="1"/>
  <c r="Z23" i="78"/>
  <c r="AB23" i="78" s="1"/>
  <c r="AO23" i="78" s="1"/>
  <c r="Z37" i="78"/>
  <c r="AB37" i="78" s="1"/>
  <c r="AO37" i="78" s="1"/>
  <c r="AA37" i="78"/>
  <c r="AC37" i="78" s="1"/>
  <c r="AA44" i="78"/>
  <c r="AC44" i="78" s="1"/>
  <c r="AP44" i="78" s="1"/>
  <c r="Z44" i="78"/>
  <c r="AB44" i="78" s="1"/>
  <c r="AO44" i="78" s="1"/>
  <c r="Z54" i="78"/>
  <c r="AB54" i="78" s="1"/>
  <c r="AO54" i="78" s="1"/>
  <c r="AA54" i="78"/>
  <c r="AC54" i="78" s="1"/>
  <c r="AP54" i="78" s="1"/>
  <c r="Z71" i="78"/>
  <c r="AB71" i="78" s="1"/>
  <c r="AO71" i="78" s="1"/>
  <c r="AA71" i="78"/>
  <c r="AC71" i="78" s="1"/>
  <c r="AP71" i="78" s="1"/>
  <c r="Z40" i="78"/>
  <c r="AB40" i="78" s="1"/>
  <c r="AO40" i="78" s="1"/>
  <c r="AA40" i="78"/>
  <c r="AC40" i="78" s="1"/>
  <c r="AP40" i="78" s="1"/>
  <c r="Z51" i="78"/>
  <c r="AB51" i="78" s="1"/>
  <c r="AO51" i="78" s="1"/>
  <c r="AA51" i="78"/>
  <c r="AC51" i="78" s="1"/>
  <c r="AP51" i="78" s="1"/>
  <c r="AJ56" i="78"/>
  <c r="Z50" i="78"/>
  <c r="AB50" i="78" s="1"/>
  <c r="AO50" i="78" s="1"/>
  <c r="AA50" i="78"/>
  <c r="AC50" i="78" s="1"/>
  <c r="Z49" i="78"/>
  <c r="AB49" i="78" s="1"/>
  <c r="AO49" i="78" s="1"/>
  <c r="AA49" i="78"/>
  <c r="AC49" i="78" s="1"/>
  <c r="AP49" i="78" s="1"/>
  <c r="Z48" i="78"/>
  <c r="AB48" i="78" s="1"/>
  <c r="AO48" i="78" s="1"/>
  <c r="AA48" i="78"/>
  <c r="AC48" i="78" s="1"/>
  <c r="AP48" i="78" s="1"/>
  <c r="AA33" i="78"/>
  <c r="AC33" i="78" s="1"/>
  <c r="AP33" i="78" s="1"/>
  <c r="Z33" i="78"/>
  <c r="AB33" i="78" s="1"/>
  <c r="AO33" i="78" s="1"/>
  <c r="AA69" i="78"/>
  <c r="AC69" i="78" s="1"/>
  <c r="AP69" i="78" s="1"/>
  <c r="Z69" i="78"/>
  <c r="AB69" i="78" s="1"/>
  <c r="AO69" i="78" s="1"/>
  <c r="Z30" i="78"/>
  <c r="AB30" i="78" s="1"/>
  <c r="AO30" i="78" s="1"/>
  <c r="AA30" i="78"/>
  <c r="AC30" i="78" s="1"/>
  <c r="AP30" i="78" s="1"/>
  <c r="Z70" i="78"/>
  <c r="AB70" i="78" s="1"/>
  <c r="AO70" i="78" s="1"/>
  <c r="AA70" i="78"/>
  <c r="AC70" i="78" s="1"/>
  <c r="AP70" i="78" s="1"/>
  <c r="Z25" i="78"/>
  <c r="AB25" i="78" s="1"/>
  <c r="AO25" i="78" s="1"/>
  <c r="AA25" i="78"/>
  <c r="AC25" i="78" s="1"/>
  <c r="AP25" i="78" s="1"/>
  <c r="Z52" i="78"/>
  <c r="AB52" i="78" s="1"/>
  <c r="AO52" i="78" s="1"/>
  <c r="AA52" i="78"/>
  <c r="AC52" i="78" s="1"/>
  <c r="AP52" i="78" s="1"/>
  <c r="Z35" i="78"/>
  <c r="AB35" i="78" s="1"/>
  <c r="AO35" i="78" s="1"/>
  <c r="AA35" i="78"/>
  <c r="AC35" i="78" s="1"/>
  <c r="AP35" i="78" s="1"/>
  <c r="Z34" i="78"/>
  <c r="AB34" i="78" s="1"/>
  <c r="AO34" i="78" s="1"/>
  <c r="AA34" i="78"/>
  <c r="AC34" i="78" s="1"/>
  <c r="AP34" i="78" s="1"/>
  <c r="AJ55" i="78"/>
  <c r="Z63" i="78"/>
  <c r="AB63" i="78" s="1"/>
  <c r="AO63" i="78" s="1"/>
  <c r="AA63" i="78"/>
  <c r="AC63" i="78" s="1"/>
  <c r="AP63" i="78" s="1"/>
  <c r="Z61" i="78"/>
  <c r="AB61" i="78" s="1"/>
  <c r="AO61" i="78" s="1"/>
  <c r="AA61" i="78"/>
  <c r="AC61" i="78" s="1"/>
  <c r="Z55" i="78"/>
  <c r="AB55" i="78" s="1"/>
  <c r="AO55" i="78" s="1"/>
  <c r="AA55" i="78"/>
  <c r="AC55" i="78" s="1"/>
  <c r="AP55" i="78" s="1"/>
  <c r="AJ43" i="78"/>
  <c r="Z21" i="78"/>
  <c r="AB21" i="78" s="1"/>
  <c r="AO21" i="78" s="1"/>
  <c r="Z64" i="78"/>
  <c r="AB64" i="78" s="1"/>
  <c r="AO64" i="78" s="1"/>
  <c r="AA64" i="78"/>
  <c r="AC64" i="78" s="1"/>
  <c r="AP64" i="78" s="1"/>
  <c r="Z47" i="78"/>
  <c r="AB47" i="78" s="1"/>
  <c r="AO47" i="78" s="1"/>
  <c r="AA47" i="78"/>
  <c r="AC47" i="78" s="1"/>
  <c r="AP47" i="78" s="1"/>
  <c r="Z46" i="78"/>
  <c r="AB46" i="78" s="1"/>
  <c r="AO46" i="78" s="1"/>
  <c r="AA46" i="78"/>
  <c r="AC46" i="78" s="1"/>
  <c r="AP46" i="78" s="1"/>
  <c r="AA56" i="78"/>
  <c r="AC56" i="78" s="1"/>
  <c r="AP56" i="78" s="1"/>
  <c r="Z56" i="78"/>
  <c r="AB56" i="78" s="1"/>
  <c r="AO56" i="78" s="1"/>
  <c r="Z66" i="78"/>
  <c r="AB66" i="78" s="1"/>
  <c r="AO66" i="78" s="1"/>
  <c r="AA66" i="78"/>
  <c r="AC66" i="78" s="1"/>
  <c r="AP66" i="78" s="1"/>
  <c r="Z38" i="78"/>
  <c r="AB38" i="78" s="1"/>
  <c r="AO38" i="78" s="1"/>
  <c r="AA38" i="78"/>
  <c r="AC38" i="78" s="1"/>
  <c r="Z26" i="78"/>
  <c r="AB26" i="78" s="1"/>
  <c r="AO26" i="78" s="1"/>
  <c r="AA26" i="78"/>
  <c r="AC26" i="78" s="1"/>
  <c r="AP26" i="78" s="1"/>
  <c r="Z62" i="78"/>
  <c r="AB62" i="78" s="1"/>
  <c r="AO62" i="78" s="1"/>
  <c r="AA62" i="78"/>
  <c r="AC62" i="78" s="1"/>
  <c r="AP62" i="78" s="1"/>
  <c r="Z60" i="78"/>
  <c r="AB60" i="78" s="1"/>
  <c r="AO60" i="78" s="1"/>
  <c r="AA60" i="78"/>
  <c r="AC60" i="78" s="1"/>
  <c r="AP60" i="78" s="1"/>
  <c r="AA45" i="78"/>
  <c r="AC45" i="78" s="1"/>
  <c r="Z45" i="78"/>
  <c r="AB45" i="78" s="1"/>
  <c r="AO45" i="78" s="1"/>
  <c r="Z31" i="78"/>
  <c r="AB31" i="78" s="1"/>
  <c r="AO31" i="78" s="1"/>
  <c r="AA31" i="78"/>
  <c r="AC31" i="78" s="1"/>
  <c r="AP31" i="78" s="1"/>
  <c r="Z27" i="78"/>
  <c r="AB27" i="78" s="1"/>
  <c r="AO27" i="78" s="1"/>
  <c r="AA27" i="78"/>
  <c r="AC27" i="78" s="1"/>
  <c r="AP27" i="78" s="1"/>
  <c r="Z58" i="78"/>
  <c r="AB58" i="78" s="1"/>
  <c r="AO58" i="78" s="1"/>
  <c r="AA58" i="78"/>
  <c r="AC58" i="78" s="1"/>
  <c r="AA32" i="78"/>
  <c r="AC32" i="78" s="1"/>
  <c r="AP32" i="78" s="1"/>
  <c r="Z32" i="78"/>
  <c r="AB32" i="78" s="1"/>
  <c r="AO32" i="78" s="1"/>
  <c r="Z42" i="78"/>
  <c r="AB42" i="78" s="1"/>
  <c r="AO42" i="78" s="1"/>
  <c r="AA42" i="78"/>
  <c r="AC42" i="78" s="1"/>
  <c r="AP42" i="78" s="1"/>
  <c r="Z59" i="78"/>
  <c r="AB59" i="78" s="1"/>
  <c r="AO59" i="78" s="1"/>
  <c r="AA59" i="78"/>
  <c r="AC59" i="78" s="1"/>
  <c r="AP59" i="78" s="1"/>
  <c r="Z11" i="78"/>
  <c r="AB11" i="78" s="1"/>
  <c r="AO11" i="78" s="1"/>
  <c r="AP24" i="78"/>
  <c r="Z6" i="78"/>
  <c r="AB6" i="78" s="1"/>
  <c r="AO6" i="78" s="1"/>
  <c r="AP23" i="78"/>
  <c r="Z24" i="78"/>
  <c r="AB24" i="78" s="1"/>
  <c r="AO24" i="78" s="1"/>
  <c r="AN27" i="6"/>
  <c r="AN34" i="24"/>
  <c r="AA13" i="78"/>
  <c r="AC13" i="78" s="1"/>
  <c r="Z13" i="78"/>
  <c r="AB13" i="78" s="1"/>
  <c r="AO13" i="78" s="1"/>
  <c r="AN52" i="12"/>
  <c r="AN210" i="32"/>
  <c r="AN130" i="20"/>
  <c r="AA9" i="78"/>
  <c r="AC9" i="78" s="1"/>
  <c r="AP9" i="78" s="1"/>
  <c r="Z9" i="78"/>
  <c r="AB9" i="78" s="1"/>
  <c r="AO9" i="78" s="1"/>
  <c r="Z20" i="78"/>
  <c r="AB20" i="78" s="1"/>
  <c r="AO20" i="78" s="1"/>
  <c r="AA20" i="78"/>
  <c r="AC20" i="78" s="1"/>
  <c r="AP20" i="78" s="1"/>
  <c r="AN32" i="23"/>
  <c r="Z19" i="78"/>
  <c r="AB19" i="78" s="1"/>
  <c r="AO19" i="78" s="1"/>
  <c r="AA19" i="78"/>
  <c r="AC19" i="78" s="1"/>
  <c r="AP19" i="78" s="1"/>
  <c r="AN18" i="78"/>
  <c r="AN39" i="13"/>
  <c r="AN119" i="20"/>
  <c r="AN105" i="20"/>
  <c r="AN73" i="22"/>
  <c r="AN17" i="78"/>
  <c r="AL23" i="78"/>
  <c r="Z15" i="78"/>
  <c r="AB15" i="78" s="1"/>
  <c r="AO15" i="78" s="1"/>
  <c r="AA15" i="78"/>
  <c r="AC15" i="78" s="1"/>
  <c r="AA18" i="78"/>
  <c r="AC18" i="78" s="1"/>
  <c r="Z18" i="78"/>
  <c r="AB18" i="78" s="1"/>
  <c r="AO18" i="78" s="1"/>
  <c r="AJ24" i="78"/>
  <c r="AN6" i="78"/>
  <c r="AP6" i="78" s="1"/>
  <c r="AN115" i="20"/>
  <c r="AN62" i="28"/>
  <c r="AA17" i="78"/>
  <c r="AC17" i="78" s="1"/>
  <c r="Z17" i="78"/>
  <c r="AB17" i="78" s="1"/>
  <c r="AO17" i="78" s="1"/>
  <c r="AN85" i="31"/>
  <c r="AN37" i="3"/>
  <c r="AN26" i="13"/>
  <c r="AA14" i="78"/>
  <c r="AC14" i="78" s="1"/>
  <c r="AP14" i="78" s="1"/>
  <c r="Z14" i="78"/>
  <c r="AB14" i="78" s="1"/>
  <c r="AO14" i="78" s="1"/>
  <c r="Z16" i="78"/>
  <c r="AB16" i="78" s="1"/>
  <c r="AO16" i="78" s="1"/>
  <c r="AA16" i="78"/>
  <c r="AC16" i="78" s="1"/>
  <c r="AP16" i="78" s="1"/>
  <c r="AL183" i="32"/>
  <c r="AL195" i="32"/>
  <c r="AJ180" i="32"/>
  <c r="AL178" i="32"/>
  <c r="AL177" i="32"/>
  <c r="AL202" i="32"/>
  <c r="AL207" i="32"/>
  <c r="AL206" i="32"/>
  <c r="AL192" i="32"/>
  <c r="AN174" i="32"/>
  <c r="AL201" i="32"/>
  <c r="AN186" i="32"/>
  <c r="AL189" i="32"/>
  <c r="AJ204" i="32"/>
  <c r="AN198" i="32"/>
  <c r="AL70" i="31"/>
  <c r="AJ63" i="31"/>
  <c r="AL76" i="31"/>
  <c r="AN73" i="31"/>
  <c r="AL68" i="31"/>
  <c r="AJ64" i="31"/>
  <c r="AL67" i="31"/>
  <c r="AJ77" i="31"/>
  <c r="AL88" i="31"/>
  <c r="AN61" i="31"/>
  <c r="AL82" i="31"/>
  <c r="AL85" i="29"/>
  <c r="AL89" i="29"/>
  <c r="AL90" i="29"/>
  <c r="AL91" i="29"/>
  <c r="AL94" i="29"/>
  <c r="AN88" i="29"/>
  <c r="AL95" i="29"/>
  <c r="AN53" i="28"/>
  <c r="AL53" i="28"/>
  <c r="AN50" i="28"/>
  <c r="AJ52" i="28"/>
  <c r="AL33" i="24"/>
  <c r="AN42" i="24"/>
  <c r="AL36" i="24"/>
  <c r="AL62" i="24"/>
  <c r="AL51" i="24"/>
  <c r="AJ59" i="24"/>
  <c r="AL63" i="24"/>
  <c r="AL50" i="24"/>
  <c r="AJ47" i="24"/>
  <c r="AL38" i="24"/>
  <c r="AJ35" i="24"/>
  <c r="AJ30" i="23"/>
  <c r="AN44" i="23"/>
  <c r="AL42" i="23"/>
  <c r="AL33" i="23"/>
  <c r="AJ39" i="23"/>
  <c r="AN38" i="23"/>
  <c r="AN31" i="23"/>
  <c r="AN29" i="23"/>
  <c r="AL31" i="23"/>
  <c r="AN28" i="23"/>
  <c r="AL43" i="23"/>
  <c r="AL44" i="23"/>
  <c r="AL37" i="23"/>
  <c r="AN41" i="23"/>
  <c r="AJ35" i="23"/>
  <c r="AJ38" i="23"/>
  <c r="AJ34" i="23"/>
  <c r="AN70" i="22"/>
  <c r="AN71" i="22"/>
  <c r="AJ77" i="22"/>
  <c r="AJ88" i="22"/>
  <c r="AJ90" i="20"/>
  <c r="AJ102" i="20"/>
  <c r="AJ98" i="20"/>
  <c r="AJ120" i="20"/>
  <c r="AN94" i="20"/>
  <c r="AN106" i="20"/>
  <c r="AL92" i="20"/>
  <c r="AL97" i="20"/>
  <c r="AN118" i="20"/>
  <c r="AJ99" i="20"/>
  <c r="AL101" i="20"/>
  <c r="AL104" i="20"/>
  <c r="AJ116" i="20"/>
  <c r="AN89" i="20"/>
  <c r="AL113" i="20"/>
  <c r="AN107" i="20"/>
  <c r="AL114" i="20"/>
  <c r="AL89" i="20"/>
  <c r="AJ111" i="20"/>
  <c r="AN95" i="20"/>
  <c r="AJ42" i="14"/>
  <c r="AJ44" i="14"/>
  <c r="AL48" i="14"/>
  <c r="AL33" i="14"/>
  <c r="AN29" i="14"/>
  <c r="AN26" i="14"/>
  <c r="AJ56" i="14"/>
  <c r="AL54" i="14"/>
  <c r="AJ30" i="14"/>
  <c r="AJ57" i="14"/>
  <c r="AN50" i="14"/>
  <c r="AJ32" i="14"/>
  <c r="AN27" i="13"/>
  <c r="AL36" i="13"/>
  <c r="AL54" i="12"/>
  <c r="AN59" i="12"/>
  <c r="AN60" i="12"/>
  <c r="AL55" i="12"/>
  <c r="AJ32" i="6"/>
  <c r="AL32" i="6"/>
  <c r="AL56" i="5"/>
  <c r="AJ59" i="5"/>
  <c r="AL62" i="5"/>
  <c r="AJ60" i="5"/>
  <c r="AN62" i="5"/>
  <c r="AL72" i="5"/>
  <c r="AJ75" i="5"/>
  <c r="AL75" i="5"/>
  <c r="AJ71" i="5"/>
  <c r="AL84" i="5"/>
  <c r="AJ83" i="5"/>
  <c r="AL34" i="3"/>
  <c r="AL26" i="3"/>
  <c r="AN29" i="3"/>
  <c r="AN32" i="3"/>
  <c r="AN25" i="3"/>
  <c r="AJ29" i="3"/>
  <c r="AN30" i="3"/>
  <c r="AJ31" i="3"/>
  <c r="R16" i="68" l="1"/>
  <c r="Q16" i="68"/>
  <c r="D17" i="2"/>
  <c r="AP36" i="78"/>
  <c r="AP13" i="78"/>
  <c r="F16" i="68"/>
  <c r="AP43" i="78"/>
  <c r="AP61" i="78"/>
  <c r="E17" i="2"/>
  <c r="AP38" i="78"/>
  <c r="AP50" i="78"/>
  <c r="AP45" i="78"/>
  <c r="AP37" i="78"/>
  <c r="AP15" i="78"/>
  <c r="AP58" i="78"/>
  <c r="A24" i="78"/>
  <c r="AP18" i="78"/>
  <c r="AP17" i="78"/>
  <c r="A22" i="78"/>
  <c r="V16" i="68" l="1"/>
  <c r="U16" i="68"/>
  <c r="N117" i="77"/>
  <c r="O117" i="77" s="1"/>
  <c r="N116" i="77"/>
  <c r="O116" i="77" s="1"/>
  <c r="N115" i="77"/>
  <c r="O115" i="77" s="1"/>
  <c r="N114" i="77"/>
  <c r="O114" i="77" s="1"/>
  <c r="N113" i="77"/>
  <c r="O113" i="77" s="1"/>
  <c r="N112" i="77"/>
  <c r="O112" i="77" s="1"/>
  <c r="N111" i="77"/>
  <c r="O111" i="77" s="1"/>
  <c r="N110" i="77"/>
  <c r="O110" i="77" s="1"/>
  <c r="N109" i="77"/>
  <c r="O109" i="77" s="1"/>
  <c r="N108" i="77"/>
  <c r="O108" i="77" s="1"/>
  <c r="N107" i="77"/>
  <c r="O107" i="77" s="1"/>
  <c r="N106" i="77"/>
  <c r="O106" i="77" s="1"/>
  <c r="N105" i="77"/>
  <c r="O105" i="77" s="1"/>
  <c r="N104" i="77"/>
  <c r="O104" i="77" s="1"/>
  <c r="N103" i="77"/>
  <c r="O103" i="77" s="1"/>
  <c r="N102" i="77"/>
  <c r="O102" i="77" s="1"/>
  <c r="N101" i="77"/>
  <c r="O101" i="77" s="1"/>
  <c r="N100" i="77"/>
  <c r="O100" i="77" s="1"/>
  <c r="N99" i="77"/>
  <c r="O99" i="77" s="1"/>
  <c r="N98" i="77"/>
  <c r="O98" i="77" s="1"/>
  <c r="N97" i="77"/>
  <c r="O97" i="77" s="1"/>
  <c r="N96" i="77"/>
  <c r="O96" i="77" s="1"/>
  <c r="N95" i="77"/>
  <c r="O95" i="77" s="1"/>
  <c r="N94" i="77"/>
  <c r="O94" i="77" s="1"/>
  <c r="N93" i="77"/>
  <c r="O93" i="77" s="1"/>
  <c r="N92" i="77"/>
  <c r="O92" i="77" s="1"/>
  <c r="N91" i="77"/>
  <c r="O91" i="77" s="1"/>
  <c r="N90" i="77"/>
  <c r="O90" i="77" s="1"/>
  <c r="N89" i="77"/>
  <c r="O89" i="77" s="1"/>
  <c r="N88" i="77"/>
  <c r="O88" i="77" s="1"/>
  <c r="N87" i="77"/>
  <c r="O87" i="77" s="1"/>
  <c r="N86" i="77"/>
  <c r="O86" i="77" s="1"/>
  <c r="N85" i="77"/>
  <c r="O85" i="77" s="1"/>
  <c r="N84" i="77"/>
  <c r="O84" i="77" s="1"/>
  <c r="N83" i="77"/>
  <c r="O83" i="77" s="1"/>
  <c r="N82" i="77"/>
  <c r="O82" i="77" s="1"/>
  <c r="N81" i="77"/>
  <c r="O81" i="77" s="1"/>
  <c r="N80" i="77"/>
  <c r="O80" i="77" s="1"/>
  <c r="N79" i="77"/>
  <c r="O79" i="77" s="1"/>
  <c r="N78" i="77"/>
  <c r="O78" i="77" s="1"/>
  <c r="N77" i="77"/>
  <c r="O77" i="77" s="1"/>
  <c r="N76" i="77"/>
  <c r="O76" i="77" s="1"/>
  <c r="N75" i="77"/>
  <c r="O75" i="77" s="1"/>
  <c r="N74" i="77"/>
  <c r="O74" i="77" s="1"/>
  <c r="N73" i="77"/>
  <c r="O73" i="77" s="1"/>
  <c r="N72" i="77"/>
  <c r="O72" i="77" s="1"/>
  <c r="N71" i="77"/>
  <c r="O71" i="77" s="1"/>
  <c r="N70" i="77"/>
  <c r="O70" i="77" s="1"/>
  <c r="N69" i="77"/>
  <c r="O69" i="77" s="1"/>
  <c r="N68" i="77"/>
  <c r="O68" i="77" s="1"/>
  <c r="N67" i="77"/>
  <c r="O67" i="77" s="1"/>
  <c r="N66" i="77"/>
  <c r="O66" i="77" s="1"/>
  <c r="N65" i="77"/>
  <c r="O65" i="77" s="1"/>
  <c r="N64" i="77"/>
  <c r="O64" i="77" s="1"/>
  <c r="N63" i="77"/>
  <c r="O63" i="77" s="1"/>
  <c r="N62" i="77"/>
  <c r="O62" i="77" s="1"/>
  <c r="N61" i="77"/>
  <c r="O61" i="77" s="1"/>
  <c r="N60" i="77"/>
  <c r="O60" i="77" s="1"/>
  <c r="N59" i="77"/>
  <c r="O59" i="77" s="1"/>
  <c r="N58" i="77"/>
  <c r="O58" i="77" s="1"/>
  <c r="N57" i="77"/>
  <c r="O57" i="77" s="1"/>
  <c r="N56" i="77"/>
  <c r="O56" i="77" s="1"/>
  <c r="N55" i="77"/>
  <c r="O55" i="77" s="1"/>
  <c r="N54" i="77"/>
  <c r="O54" i="77" s="1"/>
  <c r="N53" i="77"/>
  <c r="O53" i="77" s="1"/>
  <c r="N52" i="77"/>
  <c r="O52" i="77" s="1"/>
  <c r="N51" i="77"/>
  <c r="O51" i="77" s="1"/>
  <c r="N50" i="77"/>
  <c r="O50" i="77" s="1"/>
  <c r="N49" i="77"/>
  <c r="O49" i="77" s="1"/>
  <c r="N48" i="77"/>
  <c r="O48" i="77" s="1"/>
  <c r="N47" i="77"/>
  <c r="O47" i="77" s="1"/>
  <c r="N46" i="77"/>
  <c r="O46" i="77" s="1"/>
  <c r="N45" i="77"/>
  <c r="O45" i="77" s="1"/>
  <c r="N44" i="77"/>
  <c r="O44" i="77" s="1"/>
  <c r="N43" i="77"/>
  <c r="O43" i="77" s="1"/>
  <c r="N42" i="77"/>
  <c r="O42" i="77" s="1"/>
  <c r="N41" i="77"/>
  <c r="O41" i="77" s="1"/>
  <c r="N40" i="77"/>
  <c r="O40" i="77" s="1"/>
  <c r="N39" i="77"/>
  <c r="O39" i="77" s="1"/>
  <c r="N38" i="77"/>
  <c r="O38" i="77" s="1"/>
  <c r="N37" i="77"/>
  <c r="O37" i="77" s="1"/>
  <c r="N36" i="77"/>
  <c r="O36" i="77" s="1"/>
  <c r="N35" i="77"/>
  <c r="O35" i="77" s="1"/>
  <c r="N34" i="77"/>
  <c r="O34" i="77" s="1"/>
  <c r="N33" i="77"/>
  <c r="O33" i="77" s="1"/>
  <c r="N32" i="77"/>
  <c r="O32" i="77" s="1"/>
  <c r="N31" i="77"/>
  <c r="O31" i="77" s="1"/>
  <c r="N30" i="77"/>
  <c r="O30" i="77" s="1"/>
  <c r="N29" i="77"/>
  <c r="O29" i="77" s="1"/>
  <c r="N28" i="77"/>
  <c r="O28" i="77" s="1"/>
  <c r="N27" i="77"/>
  <c r="O27" i="77" s="1"/>
  <c r="N26" i="77"/>
  <c r="O26" i="77" s="1"/>
  <c r="N25" i="77"/>
  <c r="O25" i="77" s="1"/>
  <c r="N24" i="77"/>
  <c r="O24" i="77" s="1"/>
  <c r="N23" i="77"/>
  <c r="O23" i="77" s="1"/>
  <c r="N22" i="77"/>
  <c r="O22" i="77" s="1"/>
  <c r="N21" i="77"/>
  <c r="O21" i="77" s="1"/>
  <c r="N20" i="77"/>
  <c r="O20" i="77" s="1"/>
  <c r="N19" i="77"/>
  <c r="O19" i="77" s="1"/>
  <c r="N18" i="77"/>
  <c r="O18" i="77" s="1"/>
  <c r="N17" i="77"/>
  <c r="O17" i="77" s="1"/>
  <c r="N16" i="77"/>
  <c r="O16" i="77" s="1"/>
  <c r="N15" i="77"/>
  <c r="O15" i="77" s="1"/>
  <c r="N14" i="77"/>
  <c r="O14" i="77" s="1"/>
  <c r="N13" i="77"/>
  <c r="O13" i="77" s="1"/>
  <c r="N12" i="77"/>
  <c r="O12" i="77" s="1"/>
  <c r="N11" i="77"/>
  <c r="O11" i="77" s="1"/>
  <c r="N10" i="77"/>
  <c r="O10" i="77" s="1"/>
  <c r="N9" i="77"/>
  <c r="O9" i="77" s="1"/>
  <c r="N8" i="77"/>
  <c r="O8" i="77" s="1"/>
  <c r="N7" i="77"/>
  <c r="O7" i="77" s="1"/>
  <c r="N6" i="77"/>
  <c r="O6" i="77" s="1"/>
  <c r="N5" i="77"/>
  <c r="O5" i="77" s="1"/>
  <c r="N4" i="77"/>
  <c r="O4" i="77" s="1"/>
  <c r="N3" i="77"/>
  <c r="O3" i="77" s="1"/>
  <c r="N2" i="77"/>
  <c r="O2" i="77" s="1"/>
  <c r="N124" i="76"/>
  <c r="O124" i="76" s="1"/>
  <c r="N123" i="76"/>
  <c r="O123" i="76" s="1"/>
  <c r="N122" i="76"/>
  <c r="O122" i="76" s="1"/>
  <c r="N121" i="76"/>
  <c r="O121" i="76" s="1"/>
  <c r="N120" i="76"/>
  <c r="O120" i="76" s="1"/>
  <c r="N119" i="76"/>
  <c r="O119" i="76" s="1"/>
  <c r="N118" i="76"/>
  <c r="O118" i="76" s="1"/>
  <c r="N117" i="76"/>
  <c r="O117" i="76" s="1"/>
  <c r="N116" i="76"/>
  <c r="O116" i="76" s="1"/>
  <c r="N115" i="76"/>
  <c r="O115" i="76" s="1"/>
  <c r="N114" i="76"/>
  <c r="O114" i="76" s="1"/>
  <c r="N113" i="76"/>
  <c r="O113" i="76" s="1"/>
  <c r="N112" i="76"/>
  <c r="O112" i="76" s="1"/>
  <c r="N111" i="76"/>
  <c r="O111" i="76" s="1"/>
  <c r="N110" i="76"/>
  <c r="O110" i="76" s="1"/>
  <c r="N109" i="76"/>
  <c r="O109" i="76" s="1"/>
  <c r="N108" i="76"/>
  <c r="O108" i="76" s="1"/>
  <c r="N107" i="76"/>
  <c r="O107" i="76" s="1"/>
  <c r="N106" i="76"/>
  <c r="O106" i="76" s="1"/>
  <c r="N105" i="76"/>
  <c r="O105" i="76" s="1"/>
  <c r="N104" i="76"/>
  <c r="O104" i="76" s="1"/>
  <c r="N103" i="76"/>
  <c r="O103" i="76" s="1"/>
  <c r="N102" i="76"/>
  <c r="O102" i="76" s="1"/>
  <c r="N101" i="76"/>
  <c r="O101" i="76" s="1"/>
  <c r="N100" i="76"/>
  <c r="O100" i="76" s="1"/>
  <c r="N99" i="76"/>
  <c r="O99" i="76" s="1"/>
  <c r="N98" i="76"/>
  <c r="O98" i="76" s="1"/>
  <c r="N97" i="76"/>
  <c r="O97" i="76" s="1"/>
  <c r="N96" i="76"/>
  <c r="O96" i="76" s="1"/>
  <c r="N95" i="76"/>
  <c r="O95" i="76" s="1"/>
  <c r="N94" i="76"/>
  <c r="O94" i="76" s="1"/>
  <c r="N93" i="76"/>
  <c r="O93" i="76" s="1"/>
  <c r="N92" i="76"/>
  <c r="O92" i="76" s="1"/>
  <c r="N91" i="76"/>
  <c r="O91" i="76" s="1"/>
  <c r="N90" i="76"/>
  <c r="O90" i="76" s="1"/>
  <c r="N89" i="76"/>
  <c r="O89" i="76" s="1"/>
  <c r="N88" i="76"/>
  <c r="O88" i="76" s="1"/>
  <c r="N87" i="76"/>
  <c r="O87" i="76" s="1"/>
  <c r="N86" i="76"/>
  <c r="O86" i="76" s="1"/>
  <c r="N85" i="76"/>
  <c r="O85" i="76" s="1"/>
  <c r="N84" i="76"/>
  <c r="O84" i="76" s="1"/>
  <c r="N83" i="76"/>
  <c r="O83" i="76" s="1"/>
  <c r="N82" i="76"/>
  <c r="O82" i="76" s="1"/>
  <c r="N81" i="76"/>
  <c r="O81" i="76" s="1"/>
  <c r="N80" i="76"/>
  <c r="O80" i="76" s="1"/>
  <c r="N79" i="76"/>
  <c r="O79" i="76" s="1"/>
  <c r="N78" i="76"/>
  <c r="O78" i="76" s="1"/>
  <c r="N77" i="76"/>
  <c r="O77" i="76" s="1"/>
  <c r="N76" i="76"/>
  <c r="O76" i="76" s="1"/>
  <c r="N75" i="76"/>
  <c r="O75" i="76" s="1"/>
  <c r="N74" i="76"/>
  <c r="O74" i="76" s="1"/>
  <c r="N73" i="76"/>
  <c r="O73" i="76" s="1"/>
  <c r="N72" i="76"/>
  <c r="O72" i="76" s="1"/>
  <c r="N71" i="76"/>
  <c r="O71" i="76" s="1"/>
  <c r="N70" i="76"/>
  <c r="O70" i="76" s="1"/>
  <c r="N69" i="76"/>
  <c r="O69" i="76" s="1"/>
  <c r="N68" i="76"/>
  <c r="O68" i="76" s="1"/>
  <c r="N67" i="76"/>
  <c r="O67" i="76" s="1"/>
  <c r="N66" i="76"/>
  <c r="O66" i="76" s="1"/>
  <c r="N65" i="76"/>
  <c r="O65" i="76" s="1"/>
  <c r="N64" i="76"/>
  <c r="O64" i="76" s="1"/>
  <c r="N63" i="76"/>
  <c r="O63" i="76" s="1"/>
  <c r="N62" i="76"/>
  <c r="O62" i="76" s="1"/>
  <c r="N61" i="76"/>
  <c r="O61" i="76" s="1"/>
  <c r="N60" i="76"/>
  <c r="O60" i="76" s="1"/>
  <c r="N59" i="76"/>
  <c r="O59" i="76" s="1"/>
  <c r="N58" i="76"/>
  <c r="O58" i="76" s="1"/>
  <c r="N57" i="76"/>
  <c r="O57" i="76" s="1"/>
  <c r="N56" i="76"/>
  <c r="O56" i="76" s="1"/>
  <c r="N55" i="76"/>
  <c r="O55" i="76" s="1"/>
  <c r="N54" i="76"/>
  <c r="O54" i="76" s="1"/>
  <c r="N53" i="76"/>
  <c r="O53" i="76" s="1"/>
  <c r="N52" i="76"/>
  <c r="O52" i="76" s="1"/>
  <c r="N51" i="76"/>
  <c r="O51" i="76" s="1"/>
  <c r="N50" i="76"/>
  <c r="O50" i="76" s="1"/>
  <c r="N49" i="76"/>
  <c r="O49" i="76" s="1"/>
  <c r="N48" i="76"/>
  <c r="O48" i="76" s="1"/>
  <c r="N47" i="76"/>
  <c r="O47" i="76" s="1"/>
  <c r="N46" i="76"/>
  <c r="O46" i="76" s="1"/>
  <c r="N45" i="76"/>
  <c r="O45" i="76" s="1"/>
  <c r="N44" i="76"/>
  <c r="O44" i="76" s="1"/>
  <c r="N43" i="76"/>
  <c r="O43" i="76" s="1"/>
  <c r="N42" i="76"/>
  <c r="O42" i="76" s="1"/>
  <c r="N41" i="76"/>
  <c r="O41" i="76" s="1"/>
  <c r="N40" i="76"/>
  <c r="O40" i="76" s="1"/>
  <c r="N39" i="76"/>
  <c r="O39" i="76" s="1"/>
  <c r="N38" i="76"/>
  <c r="O38" i="76" s="1"/>
  <c r="N37" i="76"/>
  <c r="O37" i="76" s="1"/>
  <c r="N36" i="76"/>
  <c r="O36" i="76" s="1"/>
  <c r="N35" i="76"/>
  <c r="O35" i="76" s="1"/>
  <c r="N34" i="76"/>
  <c r="O34" i="76" s="1"/>
  <c r="N33" i="76"/>
  <c r="O33" i="76" s="1"/>
  <c r="N32" i="76"/>
  <c r="O32" i="76" s="1"/>
  <c r="N31" i="76"/>
  <c r="O31" i="76" s="1"/>
  <c r="N30" i="76"/>
  <c r="O30" i="76" s="1"/>
  <c r="N29" i="76"/>
  <c r="O29" i="76" s="1"/>
  <c r="N28" i="76"/>
  <c r="O28" i="76" s="1"/>
  <c r="N27" i="76"/>
  <c r="O27" i="76" s="1"/>
  <c r="N26" i="76"/>
  <c r="O26" i="76" s="1"/>
  <c r="N25" i="76"/>
  <c r="O25" i="76" s="1"/>
  <c r="N24" i="76"/>
  <c r="O24" i="76" s="1"/>
  <c r="N23" i="76"/>
  <c r="O23" i="76" s="1"/>
  <c r="N22" i="76"/>
  <c r="O22" i="76" s="1"/>
  <c r="N21" i="76"/>
  <c r="O21" i="76" s="1"/>
  <c r="N20" i="76"/>
  <c r="O20" i="76" s="1"/>
  <c r="N19" i="76"/>
  <c r="O19" i="76" s="1"/>
  <c r="N18" i="76"/>
  <c r="O18" i="76" s="1"/>
  <c r="N17" i="76"/>
  <c r="O17" i="76" s="1"/>
  <c r="N16" i="76"/>
  <c r="O16" i="76" s="1"/>
  <c r="N15" i="76"/>
  <c r="O15" i="76" s="1"/>
  <c r="N14" i="76"/>
  <c r="O14" i="76" s="1"/>
  <c r="N13" i="76"/>
  <c r="O13" i="76" s="1"/>
  <c r="N12" i="76"/>
  <c r="O12" i="76" s="1"/>
  <c r="N11" i="76"/>
  <c r="O11" i="76" s="1"/>
  <c r="N10" i="76"/>
  <c r="O10" i="76" s="1"/>
  <c r="N9" i="76"/>
  <c r="O9" i="76" s="1"/>
  <c r="N8" i="76"/>
  <c r="O8" i="76" s="1"/>
  <c r="N7" i="76"/>
  <c r="O7" i="76" s="1"/>
  <c r="N6" i="76"/>
  <c r="O6" i="76" s="1"/>
  <c r="N5" i="76"/>
  <c r="O5" i="76" s="1"/>
  <c r="N4" i="76"/>
  <c r="O4" i="76" s="1"/>
  <c r="N3" i="76"/>
  <c r="O3" i="76" s="1"/>
  <c r="N2" i="76"/>
  <c r="O2" i="76" s="1"/>
  <c r="G17" i="2" l="1"/>
  <c r="F17" i="2"/>
  <c r="A6" i="27"/>
  <c r="AM24" i="64" l="1"/>
  <c r="AL24" i="64"/>
  <c r="AK24" i="64"/>
  <c r="AJ24" i="64"/>
  <c r="AI24" i="64"/>
  <c r="AH24" i="64"/>
  <c r="AG24" i="64"/>
  <c r="AF24" i="64"/>
  <c r="AE24" i="64"/>
  <c r="AD24" i="64"/>
  <c r="AN24" i="64" s="1"/>
  <c r="Y24" i="64"/>
  <c r="W24" i="64"/>
  <c r="V24" i="64"/>
  <c r="U24" i="64"/>
  <c r="T24" i="64"/>
  <c r="AM23" i="64"/>
  <c r="AL23" i="64"/>
  <c r="AK23" i="64"/>
  <c r="AJ23" i="64"/>
  <c r="AI23" i="64"/>
  <c r="AH23" i="64"/>
  <c r="AG23" i="64"/>
  <c r="AF23" i="64"/>
  <c r="AE23" i="64"/>
  <c r="AD23" i="64"/>
  <c r="Y23" i="64"/>
  <c r="W23" i="64"/>
  <c r="V23" i="64"/>
  <c r="U23" i="64"/>
  <c r="T23" i="64"/>
  <c r="AM22" i="64"/>
  <c r="AL22" i="64"/>
  <c r="AK22" i="64"/>
  <c r="AJ22" i="64"/>
  <c r="AI22" i="64"/>
  <c r="AH22" i="64"/>
  <c r="AG22" i="64"/>
  <c r="AF22" i="64"/>
  <c r="AE22" i="64"/>
  <c r="AD22" i="64"/>
  <c r="AN22" i="64" s="1"/>
  <c r="Y22" i="64"/>
  <c r="W22" i="64"/>
  <c r="V22" i="64"/>
  <c r="U22" i="64"/>
  <c r="T22" i="64"/>
  <c r="AM21" i="64"/>
  <c r="AL21" i="64"/>
  <c r="AK21" i="64"/>
  <c r="AJ21" i="64"/>
  <c r="AI21" i="64"/>
  <c r="AH21" i="64"/>
  <c r="AG21" i="64"/>
  <c r="AF21" i="64"/>
  <c r="AE21" i="64"/>
  <c r="AD21" i="64"/>
  <c r="AN21" i="64" s="1"/>
  <c r="Y21" i="64"/>
  <c r="W21" i="64"/>
  <c r="V21" i="64"/>
  <c r="U21" i="64"/>
  <c r="T21" i="64"/>
  <c r="AM20" i="64"/>
  <c r="AL20" i="64"/>
  <c r="AK20" i="64"/>
  <c r="AJ20" i="64"/>
  <c r="AI20" i="64"/>
  <c r="AH20" i="64"/>
  <c r="AG20" i="64"/>
  <c r="AF20" i="64"/>
  <c r="AE20" i="64"/>
  <c r="AD20" i="64"/>
  <c r="AN20" i="64" s="1"/>
  <c r="Y20" i="64"/>
  <c r="W20" i="64"/>
  <c r="V20" i="64"/>
  <c r="U20" i="64"/>
  <c r="T20" i="64"/>
  <c r="AM19" i="64"/>
  <c r="AL19" i="64"/>
  <c r="AK19" i="64"/>
  <c r="AJ19" i="64"/>
  <c r="AI19" i="64"/>
  <c r="AH19" i="64"/>
  <c r="AG19" i="64"/>
  <c r="AF19" i="64"/>
  <c r="AE19" i="64"/>
  <c r="AD19" i="64"/>
  <c r="Y19" i="64"/>
  <c r="W19" i="64"/>
  <c r="V19" i="64"/>
  <c r="U19" i="64"/>
  <c r="T19" i="64"/>
  <c r="AM18" i="64"/>
  <c r="AL18" i="64"/>
  <c r="AK18" i="64"/>
  <c r="AJ18" i="64"/>
  <c r="AI18" i="64"/>
  <c r="AH18" i="64"/>
  <c r="AG18" i="64"/>
  <c r="AF18" i="64"/>
  <c r="AE18" i="64"/>
  <c r="AD18" i="64"/>
  <c r="AN18" i="64" s="1"/>
  <c r="Y18" i="64"/>
  <c r="W18" i="64"/>
  <c r="V18" i="64"/>
  <c r="U18" i="64"/>
  <c r="T18" i="64"/>
  <c r="AM17" i="64"/>
  <c r="AL17" i="64"/>
  <c r="AK17" i="64"/>
  <c r="AJ17" i="64"/>
  <c r="AI17" i="64"/>
  <c r="AH17" i="64"/>
  <c r="AG17" i="64"/>
  <c r="AF17" i="64"/>
  <c r="AE17" i="64"/>
  <c r="AD17" i="64"/>
  <c r="AN17" i="64" s="1"/>
  <c r="Y17" i="64"/>
  <c r="W17" i="64"/>
  <c r="V17" i="64"/>
  <c r="U17" i="64"/>
  <c r="T17" i="64"/>
  <c r="AM16" i="64"/>
  <c r="AL16" i="64"/>
  <c r="AK16" i="64"/>
  <c r="AJ16" i="64"/>
  <c r="AI16" i="64"/>
  <c r="AH16" i="64"/>
  <c r="AG16" i="64"/>
  <c r="AF16" i="64"/>
  <c r="AE16" i="64"/>
  <c r="AD16" i="64"/>
  <c r="AN16" i="64" s="1"/>
  <c r="Y16" i="64"/>
  <c r="W16" i="64"/>
  <c r="V16" i="64"/>
  <c r="U16" i="64"/>
  <c r="T16" i="64"/>
  <c r="A16" i="64"/>
  <c r="AM15" i="64"/>
  <c r="AL15" i="64"/>
  <c r="AK15" i="64"/>
  <c r="AJ15" i="64"/>
  <c r="AI15" i="64"/>
  <c r="AH15" i="64"/>
  <c r="AG15" i="64"/>
  <c r="AF15" i="64"/>
  <c r="AE15" i="64"/>
  <c r="AD15" i="64"/>
  <c r="Y15" i="64"/>
  <c r="W15" i="64"/>
  <c r="V15" i="64"/>
  <c r="U15" i="64"/>
  <c r="T15" i="64"/>
  <c r="AM14" i="64"/>
  <c r="AL14" i="64"/>
  <c r="AK14" i="64"/>
  <c r="AJ14" i="64"/>
  <c r="AI14" i="64"/>
  <c r="AH14" i="64"/>
  <c r="AG14" i="64"/>
  <c r="AF14" i="64"/>
  <c r="AE14" i="64"/>
  <c r="AD14" i="64"/>
  <c r="Y14" i="64"/>
  <c r="W14" i="64"/>
  <c r="V14" i="64"/>
  <c r="U14" i="64"/>
  <c r="T14" i="64"/>
  <c r="A14" i="64"/>
  <c r="AM13" i="64"/>
  <c r="AL13" i="64"/>
  <c r="AK13" i="64"/>
  <c r="AJ13" i="64"/>
  <c r="AI13" i="64"/>
  <c r="AH13" i="64"/>
  <c r="AG13" i="64"/>
  <c r="AF13" i="64"/>
  <c r="AE13" i="64"/>
  <c r="AD13" i="64"/>
  <c r="Y13" i="64"/>
  <c r="W13" i="64"/>
  <c r="V13" i="64"/>
  <c r="U13" i="64"/>
  <c r="T13" i="64"/>
  <c r="AM12" i="64"/>
  <c r="AL12" i="64"/>
  <c r="AK12" i="64"/>
  <c r="AJ12" i="64"/>
  <c r="AI12" i="64"/>
  <c r="AH12" i="64"/>
  <c r="AG12" i="64"/>
  <c r="AF12" i="64"/>
  <c r="AE12" i="64"/>
  <c r="AD12" i="64"/>
  <c r="Y12" i="64"/>
  <c r="W12" i="64"/>
  <c r="V12" i="64"/>
  <c r="U12" i="64"/>
  <c r="T12" i="64"/>
  <c r="A12" i="64"/>
  <c r="AN11" i="64"/>
  <c r="AM11" i="64"/>
  <c r="AL11" i="64"/>
  <c r="AK11" i="64"/>
  <c r="AJ11" i="64"/>
  <c r="AI11" i="64"/>
  <c r="AH11" i="64"/>
  <c r="AG11" i="64"/>
  <c r="AF11" i="64"/>
  <c r="AE11" i="64"/>
  <c r="AD11" i="64"/>
  <c r="Y11" i="64"/>
  <c r="W11" i="64"/>
  <c r="V11" i="64"/>
  <c r="U11" i="64"/>
  <c r="T11" i="64"/>
  <c r="AM10" i="64"/>
  <c r="AL10" i="64"/>
  <c r="AK10" i="64"/>
  <c r="AJ10" i="64"/>
  <c r="AI10" i="64"/>
  <c r="AH10" i="64"/>
  <c r="AG10" i="64"/>
  <c r="AF10" i="64"/>
  <c r="AE10" i="64"/>
  <c r="AD10" i="64"/>
  <c r="AN10" i="64" s="1"/>
  <c r="Y10" i="64"/>
  <c r="W10" i="64"/>
  <c r="V10" i="64"/>
  <c r="U10" i="64"/>
  <c r="T10" i="64"/>
  <c r="A10" i="64"/>
  <c r="AM9" i="64"/>
  <c r="AL9" i="64"/>
  <c r="AK9" i="64"/>
  <c r="AJ9" i="64"/>
  <c r="AI9" i="64"/>
  <c r="AH9" i="64"/>
  <c r="AG9" i="64"/>
  <c r="AF9" i="64"/>
  <c r="AE9" i="64"/>
  <c r="AD9" i="64"/>
  <c r="Y9" i="64"/>
  <c r="W9" i="64"/>
  <c r="V9" i="64"/>
  <c r="U9" i="64"/>
  <c r="T9" i="64"/>
  <c r="AM8" i="64"/>
  <c r="AL8" i="64"/>
  <c r="AK8" i="64"/>
  <c r="AJ8" i="64"/>
  <c r="AI8" i="64"/>
  <c r="AH8" i="64"/>
  <c r="AG8" i="64"/>
  <c r="AF8" i="64"/>
  <c r="AD8" i="64"/>
  <c r="AN8" i="64" s="1"/>
  <c r="Y8" i="64"/>
  <c r="W8" i="64"/>
  <c r="V8" i="64"/>
  <c r="U8" i="64"/>
  <c r="T8" i="64"/>
  <c r="AM7" i="64"/>
  <c r="AL7" i="64"/>
  <c r="AK7" i="64"/>
  <c r="AJ7" i="64"/>
  <c r="AI7" i="64"/>
  <c r="AH7" i="64"/>
  <c r="AG7" i="64"/>
  <c r="AF7" i="64"/>
  <c r="AD7" i="64"/>
  <c r="AN7" i="64" s="1"/>
  <c r="Y7" i="64"/>
  <c r="W7" i="64"/>
  <c r="V7" i="64"/>
  <c r="U7" i="64"/>
  <c r="T7" i="64"/>
  <c r="AN6" i="64"/>
  <c r="AM6" i="64"/>
  <c r="AL6" i="64"/>
  <c r="AK6" i="64"/>
  <c r="AJ6" i="64"/>
  <c r="AI6" i="64"/>
  <c r="AH6" i="64"/>
  <c r="AG6" i="64"/>
  <c r="AF6" i="64"/>
  <c r="AD6" i="64"/>
  <c r="Y6" i="64"/>
  <c r="W6" i="64"/>
  <c r="V6" i="64"/>
  <c r="U6" i="64"/>
  <c r="T6" i="64"/>
  <c r="A6" i="64"/>
  <c r="AM5" i="64"/>
  <c r="AL5" i="64"/>
  <c r="AK5" i="64"/>
  <c r="AJ5" i="64"/>
  <c r="AI5" i="64"/>
  <c r="AH5" i="64"/>
  <c r="AG5" i="64"/>
  <c r="AF5" i="64"/>
  <c r="AD5" i="64"/>
  <c r="AN5" i="64" s="1"/>
  <c r="Y5" i="64"/>
  <c r="W5" i="64"/>
  <c r="V5" i="64"/>
  <c r="U5" i="64"/>
  <c r="T5" i="64"/>
  <c r="F1" i="64"/>
  <c r="AM24" i="63"/>
  <c r="AL24" i="63"/>
  <c r="AK24" i="63"/>
  <c r="AJ24" i="63"/>
  <c r="AI24" i="63"/>
  <c r="AH24" i="63"/>
  <c r="AG24" i="63"/>
  <c r="AF24" i="63"/>
  <c r="AE24" i="63"/>
  <c r="AD24" i="63"/>
  <c r="Y24" i="63"/>
  <c r="V24" i="63"/>
  <c r="T24" i="63"/>
  <c r="AN23" i="63"/>
  <c r="AM23" i="63"/>
  <c r="AL23" i="63"/>
  <c r="AK23" i="63"/>
  <c r="AJ23" i="63"/>
  <c r="AI23" i="63"/>
  <c r="AH23" i="63"/>
  <c r="AG23" i="63"/>
  <c r="AF23" i="63"/>
  <c r="AE23" i="63"/>
  <c r="AD23" i="63"/>
  <c r="Y23" i="63"/>
  <c r="W23" i="63"/>
  <c r="V23" i="63"/>
  <c r="U23" i="63"/>
  <c r="T23" i="63"/>
  <c r="AM22" i="63"/>
  <c r="AL22" i="63"/>
  <c r="AK22" i="63"/>
  <c r="AJ22" i="63"/>
  <c r="AI22" i="63"/>
  <c r="AH22" i="63"/>
  <c r="AG22" i="63"/>
  <c r="AF22" i="63"/>
  <c r="AE22" i="63"/>
  <c r="AD22" i="63"/>
  <c r="Y22" i="63"/>
  <c r="W22" i="63"/>
  <c r="V22" i="63"/>
  <c r="T22" i="63"/>
  <c r="AM21" i="63"/>
  <c r="AL21" i="63"/>
  <c r="AK21" i="63"/>
  <c r="AJ21" i="63"/>
  <c r="AI21" i="63"/>
  <c r="AH21" i="63"/>
  <c r="AG21" i="63"/>
  <c r="AF21" i="63"/>
  <c r="AE21" i="63"/>
  <c r="AD21" i="63"/>
  <c r="Y21" i="63"/>
  <c r="V21" i="63"/>
  <c r="T21" i="63"/>
  <c r="AM20" i="63"/>
  <c r="AL20" i="63"/>
  <c r="AK20" i="63"/>
  <c r="AJ20" i="63"/>
  <c r="AI20" i="63"/>
  <c r="AH20" i="63"/>
  <c r="AG20" i="63"/>
  <c r="AF20" i="63"/>
  <c r="AE20" i="63"/>
  <c r="AD20" i="63"/>
  <c r="Y20" i="63"/>
  <c r="V20" i="63"/>
  <c r="T20" i="63"/>
  <c r="AM19" i="63"/>
  <c r="AL19" i="63"/>
  <c r="AK19" i="63"/>
  <c r="AJ19" i="63"/>
  <c r="AI19" i="63"/>
  <c r="AH19" i="63"/>
  <c r="AG19" i="63"/>
  <c r="AF19" i="63"/>
  <c r="AE19" i="63"/>
  <c r="AD19" i="63"/>
  <c r="AN19" i="63" s="1"/>
  <c r="Y19" i="63"/>
  <c r="W19" i="63"/>
  <c r="V19" i="63"/>
  <c r="U19" i="63"/>
  <c r="T19" i="63"/>
  <c r="AM18" i="63"/>
  <c r="AL18" i="63"/>
  <c r="AK18" i="63"/>
  <c r="AJ18" i="63"/>
  <c r="AI18" i="63"/>
  <c r="AH18" i="63"/>
  <c r="AG18" i="63"/>
  <c r="AF18" i="63"/>
  <c r="AE18" i="63"/>
  <c r="AD18" i="63"/>
  <c r="Y18" i="63"/>
  <c r="W18" i="63"/>
  <c r="V18" i="63"/>
  <c r="T18" i="63"/>
  <c r="AM17" i="63"/>
  <c r="AL17" i="63"/>
  <c r="AK17" i="63"/>
  <c r="AJ17" i="63"/>
  <c r="AI17" i="63"/>
  <c r="AH17" i="63"/>
  <c r="AG17" i="63"/>
  <c r="AF17" i="63"/>
  <c r="AE17" i="63"/>
  <c r="AD17" i="63"/>
  <c r="AN17" i="63" s="1"/>
  <c r="Y17" i="63"/>
  <c r="V17" i="63"/>
  <c r="T17" i="63"/>
  <c r="AM16" i="63"/>
  <c r="AL16" i="63"/>
  <c r="AK16" i="63"/>
  <c r="AJ16" i="63"/>
  <c r="AI16" i="63"/>
  <c r="AH16" i="63"/>
  <c r="AG16" i="63"/>
  <c r="AF16" i="63"/>
  <c r="AE16" i="63"/>
  <c r="AD16" i="63"/>
  <c r="Y16" i="63"/>
  <c r="V16" i="63"/>
  <c r="U16" i="63"/>
  <c r="T16" i="63"/>
  <c r="AM15" i="63"/>
  <c r="AL15" i="63"/>
  <c r="AK15" i="63"/>
  <c r="AJ15" i="63"/>
  <c r="AI15" i="63"/>
  <c r="AH15" i="63"/>
  <c r="AG15" i="63"/>
  <c r="AF15" i="63"/>
  <c r="AE15" i="63"/>
  <c r="AD15" i="63"/>
  <c r="Y15" i="63"/>
  <c r="W15" i="63"/>
  <c r="V15" i="63"/>
  <c r="U15" i="63"/>
  <c r="T15" i="63"/>
  <c r="AM14" i="63"/>
  <c r="AL14" i="63"/>
  <c r="AK14" i="63"/>
  <c r="AJ14" i="63"/>
  <c r="AI14" i="63"/>
  <c r="AH14" i="63"/>
  <c r="AG14" i="63"/>
  <c r="AF14" i="63"/>
  <c r="AE14" i="63"/>
  <c r="AD14" i="63"/>
  <c r="Y14" i="63"/>
  <c r="W14" i="63"/>
  <c r="V14" i="63"/>
  <c r="T14" i="63"/>
  <c r="AM13" i="63"/>
  <c r="AL13" i="63"/>
  <c r="AK13" i="63"/>
  <c r="AJ13" i="63"/>
  <c r="AI13" i="63"/>
  <c r="AH13" i="63"/>
  <c r="AG13" i="63"/>
  <c r="AF13" i="63"/>
  <c r="AE13" i="63"/>
  <c r="AD13" i="63"/>
  <c r="AN13" i="63" s="1"/>
  <c r="Y13" i="63"/>
  <c r="V13" i="63"/>
  <c r="T13" i="63"/>
  <c r="AM12" i="63"/>
  <c r="AL12" i="63"/>
  <c r="AK12" i="63"/>
  <c r="AJ12" i="63"/>
  <c r="AI12" i="63"/>
  <c r="AH12" i="63"/>
  <c r="AG12" i="63"/>
  <c r="AF12" i="63"/>
  <c r="AE12" i="63"/>
  <c r="AD12" i="63"/>
  <c r="Y12" i="63"/>
  <c r="W12" i="63"/>
  <c r="V12" i="63"/>
  <c r="U12" i="63"/>
  <c r="T12" i="63"/>
  <c r="A12" i="63"/>
  <c r="AM11" i="63"/>
  <c r="AL11" i="63"/>
  <c r="AK11" i="63"/>
  <c r="AJ11" i="63"/>
  <c r="AI11" i="63"/>
  <c r="AH11" i="63"/>
  <c r="AG11" i="63"/>
  <c r="AF11" i="63"/>
  <c r="AE11" i="63"/>
  <c r="AD11" i="63"/>
  <c r="Y11" i="63"/>
  <c r="W11" i="63"/>
  <c r="V11" i="63"/>
  <c r="T11" i="63"/>
  <c r="AM10" i="63"/>
  <c r="AL10" i="63"/>
  <c r="AK10" i="63"/>
  <c r="AJ10" i="63"/>
  <c r="AI10" i="63"/>
  <c r="AH10" i="63"/>
  <c r="AG10" i="63"/>
  <c r="AF10" i="63"/>
  <c r="AE10" i="63"/>
  <c r="AD10" i="63"/>
  <c r="Y10" i="63"/>
  <c r="V10" i="63"/>
  <c r="T10" i="63"/>
  <c r="A10" i="63"/>
  <c r="AM9" i="63"/>
  <c r="AL9" i="63"/>
  <c r="AK9" i="63"/>
  <c r="AJ9" i="63"/>
  <c r="AI9" i="63"/>
  <c r="AH9" i="63"/>
  <c r="AG9" i="63"/>
  <c r="AF9" i="63"/>
  <c r="AE9" i="63"/>
  <c r="AD9" i="63"/>
  <c r="AN9" i="63" s="1"/>
  <c r="Y9" i="63"/>
  <c r="W9" i="63"/>
  <c r="V9" i="63"/>
  <c r="U9" i="63"/>
  <c r="T9" i="63"/>
  <c r="AN8" i="63"/>
  <c r="AM8" i="63"/>
  <c r="AL8" i="63"/>
  <c r="AK8" i="63"/>
  <c r="AJ8" i="63"/>
  <c r="AI8" i="63"/>
  <c r="AH8" i="63"/>
  <c r="AG8" i="63"/>
  <c r="AF8" i="63"/>
  <c r="AD8" i="63"/>
  <c r="Y8" i="63"/>
  <c r="W8" i="63"/>
  <c r="V8" i="63"/>
  <c r="U8" i="63"/>
  <c r="T8" i="63"/>
  <c r="AM7" i="63"/>
  <c r="AK7" i="63"/>
  <c r="AH7" i="63"/>
  <c r="AI7" i="63" s="1"/>
  <c r="AF7" i="63"/>
  <c r="AG7" i="63" s="1"/>
  <c r="AD7" i="63"/>
  <c r="AN7" i="63" s="1"/>
  <c r="Y7" i="63"/>
  <c r="W7" i="63"/>
  <c r="V7" i="63"/>
  <c r="T7" i="63"/>
  <c r="AM6" i="63"/>
  <c r="AK6" i="63"/>
  <c r="AH6" i="63"/>
  <c r="AI6" i="63" s="1"/>
  <c r="AG6" i="63"/>
  <c r="AL6" i="63" s="1"/>
  <c r="AF6" i="63"/>
  <c r="AD6" i="63"/>
  <c r="Y6" i="63"/>
  <c r="A14" i="63" s="1"/>
  <c r="V6" i="63"/>
  <c r="U6" i="63"/>
  <c r="T6" i="63"/>
  <c r="A6" i="63"/>
  <c r="AM5" i="63"/>
  <c r="AL5" i="63"/>
  <c r="AK5" i="63"/>
  <c r="AJ5" i="63"/>
  <c r="AI5" i="63"/>
  <c r="AH5" i="63"/>
  <c r="AG5" i="63"/>
  <c r="AF5" i="63"/>
  <c r="AD5" i="63"/>
  <c r="AN5" i="63" s="1"/>
  <c r="Y5" i="63"/>
  <c r="V5" i="63"/>
  <c r="U5" i="63"/>
  <c r="A16" i="63" s="1"/>
  <c r="T5" i="63"/>
  <c r="F1" i="63"/>
  <c r="AM24" i="62"/>
  <c r="AL24" i="62"/>
  <c r="AK24" i="62"/>
  <c r="AJ24" i="62"/>
  <c r="AI24" i="62"/>
  <c r="AH24" i="62"/>
  <c r="AG24" i="62"/>
  <c r="AF24" i="62"/>
  <c r="AE24" i="62"/>
  <c r="AD24" i="62"/>
  <c r="Y24" i="62"/>
  <c r="V24" i="62"/>
  <c r="T24" i="62"/>
  <c r="AM23" i="62"/>
  <c r="AL23" i="62"/>
  <c r="AK23" i="62"/>
  <c r="AJ23" i="62"/>
  <c r="AI23" i="62"/>
  <c r="AH23" i="62"/>
  <c r="AG23" i="62"/>
  <c r="AF23" i="62"/>
  <c r="AE23" i="62"/>
  <c r="AD23" i="62"/>
  <c r="Y23" i="62"/>
  <c r="V23" i="62"/>
  <c r="T23" i="62"/>
  <c r="AM22" i="62"/>
  <c r="AL22" i="62"/>
  <c r="AK22" i="62"/>
  <c r="AJ22" i="62"/>
  <c r="AI22" i="62"/>
  <c r="AH22" i="62"/>
  <c r="AG22" i="62"/>
  <c r="AF22" i="62"/>
  <c r="AE22" i="62"/>
  <c r="AD22" i="62"/>
  <c r="Y22" i="62"/>
  <c r="V22" i="62"/>
  <c r="T22" i="62"/>
  <c r="AM21" i="62"/>
  <c r="AL21" i="62"/>
  <c r="AK21" i="62"/>
  <c r="AJ21" i="62"/>
  <c r="AI21" i="62"/>
  <c r="AH21" i="62"/>
  <c r="AG21" i="62"/>
  <c r="AF21" i="62"/>
  <c r="AE21" i="62"/>
  <c r="AD21" i="62"/>
  <c r="Y21" i="62"/>
  <c r="V21" i="62"/>
  <c r="T21" i="62"/>
  <c r="AM20" i="62"/>
  <c r="AL20" i="62"/>
  <c r="AK20" i="62"/>
  <c r="AJ20" i="62"/>
  <c r="AI20" i="62"/>
  <c r="AH20" i="62"/>
  <c r="AG20" i="62"/>
  <c r="AF20" i="62"/>
  <c r="AE20" i="62"/>
  <c r="AD20" i="62"/>
  <c r="Y20" i="62"/>
  <c r="V20" i="62"/>
  <c r="T20" i="62"/>
  <c r="AM19" i="62"/>
  <c r="AL19" i="62"/>
  <c r="AK19" i="62"/>
  <c r="AJ19" i="62"/>
  <c r="AI19" i="62"/>
  <c r="AH19" i="62"/>
  <c r="AG19" i="62"/>
  <c r="AF19" i="62"/>
  <c r="AE19" i="62"/>
  <c r="AD19" i="62"/>
  <c r="Y19" i="62"/>
  <c r="V19" i="62"/>
  <c r="T19" i="62"/>
  <c r="AM18" i="62"/>
  <c r="AL18" i="62"/>
  <c r="AK18" i="62"/>
  <c r="AJ18" i="62"/>
  <c r="AI18" i="62"/>
  <c r="AH18" i="62"/>
  <c r="AG18" i="62"/>
  <c r="AF18" i="62"/>
  <c r="AE18" i="62"/>
  <c r="AD18" i="62"/>
  <c r="Y18" i="62"/>
  <c r="V18" i="62"/>
  <c r="T18" i="62"/>
  <c r="AM17" i="62"/>
  <c r="AL17" i="62"/>
  <c r="AK17" i="62"/>
  <c r="AJ17" i="62"/>
  <c r="AI17" i="62"/>
  <c r="AH17" i="62"/>
  <c r="AG17" i="62"/>
  <c r="AF17" i="62"/>
  <c r="AE17" i="62"/>
  <c r="AD17" i="62"/>
  <c r="Y17" i="62"/>
  <c r="V17" i="62"/>
  <c r="T17" i="62"/>
  <c r="AM16" i="62"/>
  <c r="AL16" i="62"/>
  <c r="AK16" i="62"/>
  <c r="AJ16" i="62"/>
  <c r="AI16" i="62"/>
  <c r="AH16" i="62"/>
  <c r="AG16" i="62"/>
  <c r="AF16" i="62"/>
  <c r="AE16" i="62"/>
  <c r="AD16" i="62"/>
  <c r="Y16" i="62"/>
  <c r="V16" i="62"/>
  <c r="T16" i="62"/>
  <c r="AM15" i="62"/>
  <c r="AL15" i="62"/>
  <c r="AK15" i="62"/>
  <c r="AJ15" i="62"/>
  <c r="AI15" i="62"/>
  <c r="AH15" i="62"/>
  <c r="AG15" i="62"/>
  <c r="AF15" i="62"/>
  <c r="AE15" i="62"/>
  <c r="AD15" i="62"/>
  <c r="Y15" i="62"/>
  <c r="V15" i="62"/>
  <c r="T15" i="62"/>
  <c r="AM14" i="62"/>
  <c r="AL14" i="62"/>
  <c r="AK14" i="62"/>
  <c r="AJ14" i="62"/>
  <c r="AI14" i="62"/>
  <c r="AH14" i="62"/>
  <c r="AG14" i="62"/>
  <c r="AF14" i="62"/>
  <c r="AE14" i="62"/>
  <c r="AD14" i="62"/>
  <c r="Y14" i="62"/>
  <c r="V14" i="62"/>
  <c r="T14" i="62"/>
  <c r="A14" i="62"/>
  <c r="AN13" i="62"/>
  <c r="AM13" i="62"/>
  <c r="AL13" i="62"/>
  <c r="AK13" i="62"/>
  <c r="AJ13" i="62"/>
  <c r="AI13" i="62"/>
  <c r="AH13" i="62"/>
  <c r="AG13" i="62"/>
  <c r="AF13" i="62"/>
  <c r="AE13" i="62"/>
  <c r="AD13" i="62"/>
  <c r="Y13" i="62"/>
  <c r="V13" i="62"/>
  <c r="T13" i="62"/>
  <c r="AM12" i="62"/>
  <c r="AL12" i="62"/>
  <c r="AK12" i="62"/>
  <c r="AJ12" i="62"/>
  <c r="AI12" i="62"/>
  <c r="AH12" i="62"/>
  <c r="AG12" i="62"/>
  <c r="AF12" i="62"/>
  <c r="AE12" i="62"/>
  <c r="AD12" i="62"/>
  <c r="Y12" i="62"/>
  <c r="V12" i="62"/>
  <c r="T12" i="62"/>
  <c r="A12" i="62"/>
  <c r="AM11" i="62"/>
  <c r="AL11" i="62"/>
  <c r="AK11" i="62"/>
  <c r="AJ11" i="62"/>
  <c r="AI11" i="62"/>
  <c r="AH11" i="62"/>
  <c r="AG11" i="62"/>
  <c r="AF11" i="62"/>
  <c r="AE11" i="62"/>
  <c r="AD11" i="62"/>
  <c r="Y11" i="62"/>
  <c r="V11" i="62"/>
  <c r="T11" i="62"/>
  <c r="AM10" i="62"/>
  <c r="AL10" i="62"/>
  <c r="AK10" i="62"/>
  <c r="AJ10" i="62"/>
  <c r="AI10" i="62"/>
  <c r="AH10" i="62"/>
  <c r="AG10" i="62"/>
  <c r="AF10" i="62"/>
  <c r="AE10" i="62"/>
  <c r="AD10" i="62"/>
  <c r="Y10" i="62"/>
  <c r="V10" i="62"/>
  <c r="T10" i="62"/>
  <c r="A10" i="62"/>
  <c r="W23" i="62" s="1"/>
  <c r="AM9" i="62"/>
  <c r="AL9" i="62"/>
  <c r="AK9" i="62"/>
  <c r="AJ9" i="62"/>
  <c r="AI9" i="62"/>
  <c r="AH9" i="62"/>
  <c r="AG9" i="62"/>
  <c r="AF9" i="62"/>
  <c r="AE9" i="62"/>
  <c r="AD9" i="62"/>
  <c r="AN9" i="62" s="1"/>
  <c r="Y9" i="62"/>
  <c r="W9" i="62"/>
  <c r="V9" i="62"/>
  <c r="U9" i="62"/>
  <c r="T9" i="62"/>
  <c r="AM8" i="62"/>
  <c r="AK8" i="62"/>
  <c r="AF8" i="62"/>
  <c r="AG8" i="62" s="1"/>
  <c r="Y8" i="62"/>
  <c r="W8" i="62"/>
  <c r="V8" i="62"/>
  <c r="T8" i="62"/>
  <c r="AH8" i="62" s="1"/>
  <c r="AI8" i="62" s="1"/>
  <c r="A20" i="62"/>
  <c r="O38" i="67" s="1"/>
  <c r="AM7" i="62"/>
  <c r="AK7" i="62"/>
  <c r="AF7" i="62"/>
  <c r="AG7" i="62" s="1"/>
  <c r="Y7" i="62"/>
  <c r="V7" i="62"/>
  <c r="T7" i="62"/>
  <c r="AH7" i="62" s="1"/>
  <c r="AI7" i="62" s="1"/>
  <c r="AK6" i="62"/>
  <c r="AF6" i="62"/>
  <c r="AG6" i="62" s="1"/>
  <c r="Y6" i="62"/>
  <c r="V6" i="62"/>
  <c r="T6" i="62"/>
  <c r="AD6" i="62" s="1"/>
  <c r="AM5" i="62"/>
  <c r="AL5" i="62"/>
  <c r="AK5" i="62"/>
  <c r="AJ5" i="62"/>
  <c r="AI5" i="62"/>
  <c r="AH5" i="62"/>
  <c r="AG5" i="62"/>
  <c r="AF5" i="62"/>
  <c r="AD5" i="62"/>
  <c r="AN5" i="62" s="1"/>
  <c r="Y5" i="62"/>
  <c r="W5" i="62"/>
  <c r="V5" i="62"/>
  <c r="U5" i="62"/>
  <c r="T5" i="62"/>
  <c r="F1" i="62"/>
  <c r="AM24" i="61"/>
  <c r="AL24" i="61"/>
  <c r="AK24" i="61"/>
  <c r="AJ24" i="61"/>
  <c r="AI24" i="61"/>
  <c r="AH24" i="61"/>
  <c r="AG24" i="61"/>
  <c r="AF24" i="61"/>
  <c r="AE24" i="61"/>
  <c r="AD24" i="61"/>
  <c r="Y24" i="61"/>
  <c r="V24" i="61"/>
  <c r="U24" i="61"/>
  <c r="T24" i="61"/>
  <c r="AM23" i="61"/>
  <c r="AL23" i="61"/>
  <c r="AK23" i="61"/>
  <c r="AJ23" i="61"/>
  <c r="AI23" i="61"/>
  <c r="AH23" i="61"/>
  <c r="AG23" i="61"/>
  <c r="AF23" i="61"/>
  <c r="AE23" i="61"/>
  <c r="AD23" i="61"/>
  <c r="Y23" i="61"/>
  <c r="W23" i="61"/>
  <c r="V23" i="61"/>
  <c r="T23" i="61"/>
  <c r="AM22" i="61"/>
  <c r="AL22" i="61"/>
  <c r="AK22" i="61"/>
  <c r="AJ22" i="61"/>
  <c r="AI22" i="61"/>
  <c r="AH22" i="61"/>
  <c r="AG22" i="61"/>
  <c r="AF22" i="61"/>
  <c r="AE22" i="61"/>
  <c r="AD22" i="61"/>
  <c r="Y22" i="61"/>
  <c r="V22" i="61"/>
  <c r="T22" i="61"/>
  <c r="AM21" i="61"/>
  <c r="AL21" i="61"/>
  <c r="AK21" i="61"/>
  <c r="AJ21" i="61"/>
  <c r="AI21" i="61"/>
  <c r="AH21" i="61"/>
  <c r="AG21" i="61"/>
  <c r="AF21" i="61"/>
  <c r="AE21" i="61"/>
  <c r="AD21" i="61"/>
  <c r="Y21" i="61"/>
  <c r="V21" i="61"/>
  <c r="T21" i="61"/>
  <c r="AM20" i="61"/>
  <c r="AL20" i="61"/>
  <c r="AK20" i="61"/>
  <c r="AJ20" i="61"/>
  <c r="AI20" i="61"/>
  <c r="AH20" i="61"/>
  <c r="AG20" i="61"/>
  <c r="AF20" i="61"/>
  <c r="AE20" i="61"/>
  <c r="AD20" i="61"/>
  <c r="Y20" i="61"/>
  <c r="V20" i="61"/>
  <c r="U20" i="61"/>
  <c r="T20" i="61"/>
  <c r="AM19" i="61"/>
  <c r="AL19" i="61"/>
  <c r="AK19" i="61"/>
  <c r="AJ19" i="61"/>
  <c r="AI19" i="61"/>
  <c r="AH19" i="61"/>
  <c r="AG19" i="61"/>
  <c r="AF19" i="61"/>
  <c r="AE19" i="61"/>
  <c r="AD19" i="61"/>
  <c r="Y19" i="61"/>
  <c r="W19" i="61"/>
  <c r="V19" i="61"/>
  <c r="T19" i="61"/>
  <c r="AM18" i="61"/>
  <c r="AL18" i="61"/>
  <c r="AK18" i="61"/>
  <c r="AJ18" i="61"/>
  <c r="AI18" i="61"/>
  <c r="AH18" i="61"/>
  <c r="AG18" i="61"/>
  <c r="AF18" i="61"/>
  <c r="AE18" i="61"/>
  <c r="AD18" i="61"/>
  <c r="Y18" i="61"/>
  <c r="V18" i="61"/>
  <c r="T18" i="61"/>
  <c r="AM17" i="61"/>
  <c r="AL17" i="61"/>
  <c r="AK17" i="61"/>
  <c r="AJ17" i="61"/>
  <c r="AI17" i="61"/>
  <c r="AH17" i="61"/>
  <c r="AG17" i="61"/>
  <c r="AF17" i="61"/>
  <c r="AE17" i="61"/>
  <c r="AD17" i="61"/>
  <c r="Y17" i="61"/>
  <c r="V17" i="61"/>
  <c r="T17" i="61"/>
  <c r="AM16" i="61"/>
  <c r="AL16" i="61"/>
  <c r="AK16" i="61"/>
  <c r="AJ16" i="61"/>
  <c r="AI16" i="61"/>
  <c r="AH16" i="61"/>
  <c r="AG16" i="61"/>
  <c r="AF16" i="61"/>
  <c r="AE16" i="61"/>
  <c r="AD16" i="61"/>
  <c r="Y16" i="61"/>
  <c r="V16" i="61"/>
  <c r="U16" i="61"/>
  <c r="T16" i="61"/>
  <c r="AM15" i="61"/>
  <c r="AL15" i="61"/>
  <c r="AK15" i="61"/>
  <c r="AJ15" i="61"/>
  <c r="AI15" i="61"/>
  <c r="AH15" i="61"/>
  <c r="AG15" i="61"/>
  <c r="AF15" i="61"/>
  <c r="AE15" i="61"/>
  <c r="AN15" i="61" s="1"/>
  <c r="AD15" i="61"/>
  <c r="Y15" i="61"/>
  <c r="V15" i="61"/>
  <c r="T15" i="61"/>
  <c r="AM14" i="61"/>
  <c r="AL14" i="61"/>
  <c r="AK14" i="61"/>
  <c r="AJ14" i="61"/>
  <c r="AI14" i="61"/>
  <c r="AH14" i="61"/>
  <c r="AG14" i="61"/>
  <c r="AF14" i="61"/>
  <c r="AE14" i="61"/>
  <c r="AD14" i="61"/>
  <c r="Y14" i="61"/>
  <c r="V14" i="61"/>
  <c r="T14" i="61"/>
  <c r="AM13" i="61"/>
  <c r="AL13" i="61"/>
  <c r="AK13" i="61"/>
  <c r="AJ13" i="61"/>
  <c r="AI13" i="61"/>
  <c r="AH13" i="61"/>
  <c r="AG13" i="61"/>
  <c r="AF13" i="61"/>
  <c r="AE13" i="61"/>
  <c r="AD13" i="61"/>
  <c r="Y13" i="61"/>
  <c r="V13" i="61"/>
  <c r="T13" i="61"/>
  <c r="AM12" i="61"/>
  <c r="AL12" i="61"/>
  <c r="AK12" i="61"/>
  <c r="AJ12" i="61"/>
  <c r="AI12" i="61"/>
  <c r="AH12" i="61"/>
  <c r="AG12" i="61"/>
  <c r="AF12" i="61"/>
  <c r="AE12" i="61"/>
  <c r="AD12" i="61"/>
  <c r="Y12" i="61"/>
  <c r="W12" i="61"/>
  <c r="V12" i="61"/>
  <c r="T12" i="61"/>
  <c r="A12" i="61"/>
  <c r="AM11" i="61"/>
  <c r="AL11" i="61"/>
  <c r="AK11" i="61"/>
  <c r="AJ11" i="61"/>
  <c r="AI11" i="61"/>
  <c r="AH11" i="61"/>
  <c r="AG11" i="61"/>
  <c r="AF11" i="61"/>
  <c r="AE11" i="61"/>
  <c r="AD11" i="61"/>
  <c r="AN11" i="61" s="1"/>
  <c r="Y11" i="61"/>
  <c r="W11" i="61"/>
  <c r="V11" i="61"/>
  <c r="T11" i="61"/>
  <c r="AM10" i="61"/>
  <c r="AL10" i="61"/>
  <c r="AK10" i="61"/>
  <c r="AJ10" i="61"/>
  <c r="AI10" i="61"/>
  <c r="AH10" i="61"/>
  <c r="AG10" i="61"/>
  <c r="AF10" i="61"/>
  <c r="AE10" i="61"/>
  <c r="AD10" i="61"/>
  <c r="Y10" i="61"/>
  <c r="V10" i="61"/>
  <c r="T10" i="61"/>
  <c r="A10" i="61"/>
  <c r="AM9" i="61"/>
  <c r="AL9" i="61"/>
  <c r="AK9" i="61"/>
  <c r="AJ9" i="61"/>
  <c r="AI9" i="61"/>
  <c r="AH9" i="61"/>
  <c r="AG9" i="61"/>
  <c r="AF9" i="61"/>
  <c r="AE9" i="61"/>
  <c r="AD9" i="61"/>
  <c r="Y9" i="61"/>
  <c r="W9" i="61"/>
  <c r="V9" i="61"/>
  <c r="U9" i="61"/>
  <c r="T9" i="61"/>
  <c r="AM8" i="61"/>
  <c r="AL8" i="61"/>
  <c r="AK8" i="61"/>
  <c r="AJ8" i="61"/>
  <c r="AI8" i="61"/>
  <c r="AH8" i="61"/>
  <c r="AG8" i="61"/>
  <c r="AF8" i="61"/>
  <c r="AD8" i="61"/>
  <c r="AN8" i="61" s="1"/>
  <c r="Y8" i="61"/>
  <c r="W8" i="61"/>
  <c r="V8" i="61"/>
  <c r="T8" i="61"/>
  <c r="AM7" i="61"/>
  <c r="AL7" i="61"/>
  <c r="AK7" i="61"/>
  <c r="AJ7" i="61"/>
  <c r="AI7" i="61"/>
  <c r="AH7" i="61"/>
  <c r="AG7" i="61"/>
  <c r="AF7" i="61"/>
  <c r="AD7" i="61"/>
  <c r="AN7" i="61" s="1"/>
  <c r="Y7" i="61"/>
  <c r="V7" i="61"/>
  <c r="T7" i="61"/>
  <c r="AM6" i="61"/>
  <c r="AK6" i="61"/>
  <c r="AH6" i="61"/>
  <c r="AI6" i="61" s="1"/>
  <c r="AG6" i="61"/>
  <c r="AL6" i="61" s="1"/>
  <c r="AF6" i="61"/>
  <c r="AD6" i="61"/>
  <c r="Y6" i="61"/>
  <c r="A14" i="61" s="1"/>
  <c r="V6" i="61"/>
  <c r="U6" i="61"/>
  <c r="T6" i="61"/>
  <c r="A6" i="61"/>
  <c r="AM5" i="61"/>
  <c r="AL5" i="61"/>
  <c r="AK5" i="61"/>
  <c r="AJ5" i="61"/>
  <c r="AI5" i="61"/>
  <c r="AH5" i="61"/>
  <c r="AG5" i="61"/>
  <c r="AF5" i="61"/>
  <c r="AD5" i="61"/>
  <c r="AN5" i="61" s="1"/>
  <c r="Y5" i="61"/>
  <c r="V5" i="61"/>
  <c r="U5" i="61"/>
  <c r="A16" i="61" s="1"/>
  <c r="T5" i="61"/>
  <c r="F1" i="61"/>
  <c r="AM24" i="60"/>
  <c r="AK24" i="60"/>
  <c r="AF24" i="60"/>
  <c r="AG24" i="60" s="1"/>
  <c r="Y24" i="60"/>
  <c r="V24" i="60"/>
  <c r="T24" i="60"/>
  <c r="AH24" i="60" s="1"/>
  <c r="AI24" i="60" s="1"/>
  <c r="AM23" i="60"/>
  <c r="AK23" i="60"/>
  <c r="AH23" i="60"/>
  <c r="AI23" i="60" s="1"/>
  <c r="AF23" i="60"/>
  <c r="AG23" i="60" s="1"/>
  <c r="AE23" i="60"/>
  <c r="Y23" i="60"/>
  <c r="V23" i="60"/>
  <c r="T23" i="60"/>
  <c r="AD23" i="60" s="1"/>
  <c r="AM22" i="60"/>
  <c r="AK22" i="60"/>
  <c r="AF22" i="60"/>
  <c r="AG22" i="60" s="1"/>
  <c r="Y22" i="60"/>
  <c r="V22" i="60"/>
  <c r="T22" i="60"/>
  <c r="AE22" i="60" s="1"/>
  <c r="AM21" i="60"/>
  <c r="AK21" i="60"/>
  <c r="AF21" i="60"/>
  <c r="AG21" i="60" s="1"/>
  <c r="Y21" i="60"/>
  <c r="V21" i="60"/>
  <c r="T21" i="60"/>
  <c r="AE21" i="60" s="1"/>
  <c r="AM20" i="60"/>
  <c r="AK20" i="60"/>
  <c r="AF20" i="60"/>
  <c r="AG20" i="60" s="1"/>
  <c r="Y20" i="60"/>
  <c r="V20" i="60"/>
  <c r="T20" i="60"/>
  <c r="AH20" i="60" s="1"/>
  <c r="AI20" i="60" s="1"/>
  <c r="AM19" i="60"/>
  <c r="AK19" i="60"/>
  <c r="AF19" i="60"/>
  <c r="AG19" i="60" s="1"/>
  <c r="Y19" i="60"/>
  <c r="V19" i="60"/>
  <c r="T19" i="60"/>
  <c r="AH19" i="60" s="1"/>
  <c r="AI19" i="60" s="1"/>
  <c r="AM18" i="60"/>
  <c r="AK18" i="60"/>
  <c r="AF18" i="60"/>
  <c r="AG18" i="60" s="1"/>
  <c r="AJ18" i="60" s="1"/>
  <c r="Y18" i="60"/>
  <c r="V18" i="60"/>
  <c r="T18" i="60"/>
  <c r="AH18" i="60" s="1"/>
  <c r="AI18" i="60" s="1"/>
  <c r="AM17" i="60"/>
  <c r="AK17" i="60"/>
  <c r="AF17" i="60"/>
  <c r="AG17" i="60" s="1"/>
  <c r="AD17" i="60"/>
  <c r="Y17" i="60"/>
  <c r="V17" i="60"/>
  <c r="T17" i="60"/>
  <c r="AH17" i="60" s="1"/>
  <c r="AI17" i="60" s="1"/>
  <c r="AM16" i="60"/>
  <c r="AK16" i="60"/>
  <c r="AF16" i="60"/>
  <c r="AG16" i="60" s="1"/>
  <c r="AD16" i="60"/>
  <c r="Y16" i="60"/>
  <c r="V16" i="60"/>
  <c r="T16" i="60"/>
  <c r="AH16" i="60" s="1"/>
  <c r="AI16" i="60" s="1"/>
  <c r="AM15" i="60"/>
  <c r="AK15" i="60"/>
  <c r="AH15" i="60"/>
  <c r="AI15" i="60" s="1"/>
  <c r="AF15" i="60"/>
  <c r="AG15" i="60" s="1"/>
  <c r="Y15" i="60"/>
  <c r="V15" i="60"/>
  <c r="T15" i="60"/>
  <c r="AE15" i="60" s="1"/>
  <c r="AM14" i="60"/>
  <c r="AK14" i="60"/>
  <c r="AF14" i="60"/>
  <c r="AG14" i="60" s="1"/>
  <c r="Y14" i="60"/>
  <c r="V14" i="60"/>
  <c r="T14" i="60"/>
  <c r="AE14" i="60" s="1"/>
  <c r="AM13" i="60"/>
  <c r="AK13" i="60"/>
  <c r="AG13" i="60"/>
  <c r="AF13" i="60"/>
  <c r="Y13" i="60"/>
  <c r="V13" i="60"/>
  <c r="T13" i="60"/>
  <c r="AH13" i="60" s="1"/>
  <c r="AI13" i="60" s="1"/>
  <c r="AM12" i="60"/>
  <c r="AK12" i="60"/>
  <c r="AF12" i="60"/>
  <c r="AG12" i="60" s="1"/>
  <c r="Y12" i="60"/>
  <c r="V12" i="60"/>
  <c r="T12" i="60"/>
  <c r="AH12" i="60" s="1"/>
  <c r="AI12" i="60" s="1"/>
  <c r="A12" i="60"/>
  <c r="AM11" i="60"/>
  <c r="AK11" i="60"/>
  <c r="AF11" i="60"/>
  <c r="AG11" i="60" s="1"/>
  <c r="Y11" i="60"/>
  <c r="V11" i="60"/>
  <c r="T11" i="60"/>
  <c r="AH11" i="60" s="1"/>
  <c r="AI11" i="60" s="1"/>
  <c r="AM10" i="60"/>
  <c r="AK10" i="60"/>
  <c r="AF10" i="60"/>
  <c r="AG10" i="60" s="1"/>
  <c r="Y10" i="60"/>
  <c r="V10" i="60"/>
  <c r="T10" i="60"/>
  <c r="AD10" i="60" s="1"/>
  <c r="A10" i="60"/>
  <c r="AM9" i="60"/>
  <c r="AK9" i="60"/>
  <c r="AF9" i="60"/>
  <c r="AG9" i="60" s="1"/>
  <c r="Y9" i="60"/>
  <c r="V9" i="60"/>
  <c r="T9" i="60"/>
  <c r="AH9" i="60" s="1"/>
  <c r="AI9" i="60" s="1"/>
  <c r="AM8" i="60"/>
  <c r="AL8" i="60"/>
  <c r="AK8" i="60"/>
  <c r="AJ8" i="60"/>
  <c r="AI8" i="60"/>
  <c r="AH8" i="60"/>
  <c r="AG8" i="60"/>
  <c r="AF8" i="60"/>
  <c r="AD8" i="60"/>
  <c r="AN8" i="60" s="1"/>
  <c r="Y8" i="60"/>
  <c r="V8" i="60"/>
  <c r="T8" i="60"/>
  <c r="AM7" i="60"/>
  <c r="AL7" i="60"/>
  <c r="AK7" i="60"/>
  <c r="AJ7" i="60"/>
  <c r="AI7" i="60"/>
  <c r="AH7" i="60"/>
  <c r="AG7" i="60"/>
  <c r="AF7" i="60"/>
  <c r="AD7" i="60"/>
  <c r="AN7" i="60" s="1"/>
  <c r="Y7" i="60"/>
  <c r="V7" i="60"/>
  <c r="T7" i="60"/>
  <c r="AM6" i="60"/>
  <c r="AL6" i="60"/>
  <c r="AK6" i="60"/>
  <c r="AJ6" i="60"/>
  <c r="AI6" i="60"/>
  <c r="AH6" i="60"/>
  <c r="AG6" i="60"/>
  <c r="AF6" i="60"/>
  <c r="AD6" i="60"/>
  <c r="AN6" i="60" s="1"/>
  <c r="Y6" i="60"/>
  <c r="V6" i="60"/>
  <c r="U6" i="60"/>
  <c r="T6" i="60"/>
  <c r="AM5" i="60"/>
  <c r="AL5" i="60"/>
  <c r="AK5" i="60"/>
  <c r="AJ5" i="60"/>
  <c r="AI5" i="60"/>
  <c r="AH5" i="60"/>
  <c r="AG5" i="60"/>
  <c r="AF5" i="60"/>
  <c r="AD5" i="60"/>
  <c r="AN5" i="60" s="1"/>
  <c r="Y5" i="60"/>
  <c r="V5" i="60"/>
  <c r="T5" i="60"/>
  <c r="F1" i="60"/>
  <c r="AK24" i="59"/>
  <c r="AF24" i="59"/>
  <c r="AG24" i="59" s="1"/>
  <c r="Y24" i="59"/>
  <c r="V24" i="59"/>
  <c r="T24" i="59"/>
  <c r="AE24" i="59" s="1"/>
  <c r="AK23" i="59"/>
  <c r="AH23" i="59"/>
  <c r="AI23" i="59" s="1"/>
  <c r="AF23" i="59"/>
  <c r="AG23" i="59" s="1"/>
  <c r="Y23" i="59"/>
  <c r="V23" i="59"/>
  <c r="T23" i="59"/>
  <c r="AE23" i="59" s="1"/>
  <c r="AK22" i="59"/>
  <c r="AF22" i="59"/>
  <c r="AG22" i="59" s="1"/>
  <c r="Y22" i="59"/>
  <c r="V22" i="59"/>
  <c r="T22" i="59"/>
  <c r="AH22" i="59" s="1"/>
  <c r="AI22" i="59" s="1"/>
  <c r="AM21" i="59"/>
  <c r="AK21" i="59"/>
  <c r="AF21" i="59"/>
  <c r="AG21" i="59" s="1"/>
  <c r="Y21" i="59"/>
  <c r="V21" i="59"/>
  <c r="T21" i="59"/>
  <c r="AH21" i="59" s="1"/>
  <c r="AI21" i="59" s="1"/>
  <c r="AK20" i="59"/>
  <c r="AF20" i="59"/>
  <c r="AG20" i="59" s="1"/>
  <c r="Y20" i="59"/>
  <c r="V20" i="59"/>
  <c r="T20" i="59"/>
  <c r="AH20" i="59" s="1"/>
  <c r="AI20" i="59" s="1"/>
  <c r="AM19" i="59"/>
  <c r="AK19" i="59"/>
  <c r="AF19" i="59"/>
  <c r="AG19" i="59" s="1"/>
  <c r="Y19" i="59"/>
  <c r="V19" i="59"/>
  <c r="T19" i="59"/>
  <c r="AH19" i="59" s="1"/>
  <c r="AI19" i="59" s="1"/>
  <c r="AK18" i="59"/>
  <c r="AF18" i="59"/>
  <c r="AG18" i="59" s="1"/>
  <c r="AD18" i="59"/>
  <c r="Y18" i="59"/>
  <c r="V18" i="59"/>
  <c r="T18" i="59"/>
  <c r="AM18" i="59" s="1"/>
  <c r="AM17" i="59"/>
  <c r="AK17" i="59"/>
  <c r="AF17" i="59"/>
  <c r="AG17" i="59" s="1"/>
  <c r="Y17" i="59"/>
  <c r="V17" i="59"/>
  <c r="T17" i="59"/>
  <c r="AE17" i="59" s="1"/>
  <c r="AK16" i="59"/>
  <c r="AH16" i="59"/>
  <c r="AI16" i="59" s="1"/>
  <c r="AF16" i="59"/>
  <c r="AG16" i="59" s="1"/>
  <c r="Y16" i="59"/>
  <c r="V16" i="59"/>
  <c r="T16" i="59"/>
  <c r="AE16" i="59" s="1"/>
  <c r="AM15" i="59"/>
  <c r="AK15" i="59"/>
  <c r="AF15" i="59"/>
  <c r="AG15" i="59" s="1"/>
  <c r="Y15" i="59"/>
  <c r="V15" i="59"/>
  <c r="T15" i="59"/>
  <c r="AH15" i="59" s="1"/>
  <c r="AI15" i="59" s="1"/>
  <c r="AM14" i="59"/>
  <c r="AK14" i="59"/>
  <c r="AF14" i="59"/>
  <c r="AG14" i="59" s="1"/>
  <c r="Y14" i="59"/>
  <c r="V14" i="59"/>
  <c r="T14" i="59"/>
  <c r="AH14" i="59" s="1"/>
  <c r="AI14" i="59" s="1"/>
  <c r="AM13" i="59"/>
  <c r="AL13" i="59"/>
  <c r="AK13" i="59"/>
  <c r="AJ13" i="59"/>
  <c r="AI13" i="59"/>
  <c r="AH13" i="59"/>
  <c r="AG13" i="59"/>
  <c r="AF13" i="59"/>
  <c r="AE13" i="59"/>
  <c r="AD13" i="59"/>
  <c r="Y13" i="59"/>
  <c r="V13" i="59"/>
  <c r="T13" i="59"/>
  <c r="AM12" i="59"/>
  <c r="AL12" i="59"/>
  <c r="AK12" i="59"/>
  <c r="AJ12" i="59"/>
  <c r="AI12" i="59"/>
  <c r="AH12" i="59"/>
  <c r="AG12" i="59"/>
  <c r="AF12" i="59"/>
  <c r="AE12" i="59"/>
  <c r="AD12" i="59"/>
  <c r="Y12" i="59"/>
  <c r="V12" i="59"/>
  <c r="T12" i="59"/>
  <c r="A12" i="59"/>
  <c r="AM11" i="59"/>
  <c r="AL11" i="59"/>
  <c r="AK11" i="59"/>
  <c r="AJ11" i="59"/>
  <c r="AI11" i="59"/>
  <c r="AH11" i="59"/>
  <c r="AG11" i="59"/>
  <c r="AF11" i="59"/>
  <c r="AE11" i="59"/>
  <c r="AD11" i="59"/>
  <c r="AN11" i="59" s="1"/>
  <c r="Y11" i="59"/>
  <c r="V11" i="59"/>
  <c r="T11" i="59"/>
  <c r="AM10" i="59"/>
  <c r="AL10" i="59"/>
  <c r="AK10" i="59"/>
  <c r="AJ10" i="59"/>
  <c r="AI10" i="59"/>
  <c r="AH10" i="59"/>
  <c r="AG10" i="59"/>
  <c r="AF10" i="59"/>
  <c r="AE10" i="59"/>
  <c r="AD10" i="59"/>
  <c r="Y10" i="59"/>
  <c r="V10" i="59"/>
  <c r="T10" i="59"/>
  <c r="A10" i="59"/>
  <c r="AM9" i="59"/>
  <c r="AL9" i="59"/>
  <c r="AK9" i="59"/>
  <c r="AJ9" i="59"/>
  <c r="AI9" i="59"/>
  <c r="AH9" i="59"/>
  <c r="AG9" i="59"/>
  <c r="AF9" i="59"/>
  <c r="AE9" i="59"/>
  <c r="AD9" i="59"/>
  <c r="Y9" i="59"/>
  <c r="V9" i="59"/>
  <c r="T9" i="59"/>
  <c r="AM8" i="59"/>
  <c r="AL8" i="59"/>
  <c r="AK8" i="59"/>
  <c r="AJ8" i="59"/>
  <c r="AI8" i="59"/>
  <c r="AH8" i="59"/>
  <c r="AG8" i="59"/>
  <c r="AF8" i="59"/>
  <c r="AD8" i="59"/>
  <c r="AN8" i="59" s="1"/>
  <c r="Y8" i="59"/>
  <c r="V8" i="59"/>
  <c r="T8" i="59"/>
  <c r="AM7" i="59"/>
  <c r="AL7" i="59"/>
  <c r="AK7" i="59"/>
  <c r="AJ7" i="59"/>
  <c r="AI7" i="59"/>
  <c r="AH7" i="59"/>
  <c r="AG7" i="59"/>
  <c r="AF7" i="59"/>
  <c r="AD7" i="59"/>
  <c r="AN7" i="59" s="1"/>
  <c r="Y7" i="59"/>
  <c r="V7" i="59"/>
  <c r="T7" i="59"/>
  <c r="AM6" i="59"/>
  <c r="AL6" i="59"/>
  <c r="AK6" i="59"/>
  <c r="AJ6" i="59"/>
  <c r="AI6" i="59"/>
  <c r="AH6" i="59"/>
  <c r="AG6" i="59"/>
  <c r="AF6" i="59"/>
  <c r="AD6" i="59"/>
  <c r="AN6" i="59" s="1"/>
  <c r="Y6" i="59"/>
  <c r="V6" i="59"/>
  <c r="T6" i="59"/>
  <c r="A6" i="59"/>
  <c r="AM5" i="59"/>
  <c r="AL5" i="59"/>
  <c r="AK5" i="59"/>
  <c r="AJ5" i="59"/>
  <c r="AI5" i="59"/>
  <c r="AH5" i="59"/>
  <c r="AG5" i="59"/>
  <c r="AF5" i="59"/>
  <c r="AD5" i="59"/>
  <c r="AN5" i="59" s="1"/>
  <c r="Y5" i="59"/>
  <c r="V5" i="59"/>
  <c r="T5" i="59"/>
  <c r="F1" i="59"/>
  <c r="AM24" i="58"/>
  <c r="AL24" i="58"/>
  <c r="AK24" i="58"/>
  <c r="AJ24" i="58"/>
  <c r="AI24" i="58"/>
  <c r="AH24" i="58"/>
  <c r="AG24" i="58"/>
  <c r="AF24" i="58"/>
  <c r="AE24" i="58"/>
  <c r="AD24" i="58"/>
  <c r="AN24" i="58" s="1"/>
  <c r="Y24" i="58"/>
  <c r="V24" i="58"/>
  <c r="T24" i="58"/>
  <c r="AM23" i="58"/>
  <c r="AL23" i="58"/>
  <c r="AK23" i="58"/>
  <c r="AJ23" i="58"/>
  <c r="AI23" i="58"/>
  <c r="AH23" i="58"/>
  <c r="AG23" i="58"/>
  <c r="AF23" i="58"/>
  <c r="AE23" i="58"/>
  <c r="AD23" i="58"/>
  <c r="Y23" i="58"/>
  <c r="V23" i="58"/>
  <c r="T23" i="58"/>
  <c r="AM22" i="58"/>
  <c r="AL22" i="58"/>
  <c r="AK22" i="58"/>
  <c r="AJ22" i="58"/>
  <c r="AI22" i="58"/>
  <c r="AH22" i="58"/>
  <c r="AG22" i="58"/>
  <c r="AF22" i="58"/>
  <c r="AE22" i="58"/>
  <c r="AD22" i="58"/>
  <c r="Y22" i="58"/>
  <c r="V22" i="58"/>
  <c r="T22" i="58"/>
  <c r="AN21" i="58"/>
  <c r="AM21" i="58"/>
  <c r="AL21" i="58"/>
  <c r="AK21" i="58"/>
  <c r="AJ21" i="58"/>
  <c r="AI21" i="58"/>
  <c r="AH21" i="58"/>
  <c r="AG21" i="58"/>
  <c r="AF21" i="58"/>
  <c r="AE21" i="58"/>
  <c r="AD21" i="58"/>
  <c r="Y21" i="58"/>
  <c r="V21" i="58"/>
  <c r="T21" i="58"/>
  <c r="AM20" i="58"/>
  <c r="AL20" i="58"/>
  <c r="AK20" i="58"/>
  <c r="AJ20" i="58"/>
  <c r="AI20" i="58"/>
  <c r="AH20" i="58"/>
  <c r="AG20" i="58"/>
  <c r="AF20" i="58"/>
  <c r="AE20" i="58"/>
  <c r="AD20" i="58"/>
  <c r="Y20" i="58"/>
  <c r="V20" i="58"/>
  <c r="T20" i="58"/>
  <c r="AM19" i="58"/>
  <c r="AL19" i="58"/>
  <c r="AK19" i="58"/>
  <c r="AJ19" i="58"/>
  <c r="AI19" i="58"/>
  <c r="AH19" i="58"/>
  <c r="AG19" i="58"/>
  <c r="AF19" i="58"/>
  <c r="AE19" i="58"/>
  <c r="AD19" i="58"/>
  <c r="Y19" i="58"/>
  <c r="V19" i="58"/>
  <c r="T19" i="58"/>
  <c r="AM18" i="58"/>
  <c r="AL18" i="58"/>
  <c r="AK18" i="58"/>
  <c r="AJ18" i="58"/>
  <c r="AI18" i="58"/>
  <c r="AH18" i="58"/>
  <c r="AG18" i="58"/>
  <c r="AF18" i="58"/>
  <c r="AE18" i="58"/>
  <c r="AD18" i="58"/>
  <c r="Y18" i="58"/>
  <c r="V18" i="58"/>
  <c r="T18" i="58"/>
  <c r="AM17" i="58"/>
  <c r="AL17" i="58"/>
  <c r="AK17" i="58"/>
  <c r="AJ17" i="58"/>
  <c r="AI17" i="58"/>
  <c r="AH17" i="58"/>
  <c r="AG17" i="58"/>
  <c r="AF17" i="58"/>
  <c r="AE17" i="58"/>
  <c r="AD17" i="58"/>
  <c r="Y17" i="58"/>
  <c r="V17" i="58"/>
  <c r="T17" i="58"/>
  <c r="AM16" i="58"/>
  <c r="AL16" i="58"/>
  <c r="AK16" i="58"/>
  <c r="AJ16" i="58"/>
  <c r="AI16" i="58"/>
  <c r="AH16" i="58"/>
  <c r="AG16" i="58"/>
  <c r="AF16" i="58"/>
  <c r="AE16" i="58"/>
  <c r="AD16" i="58"/>
  <c r="Y16" i="58"/>
  <c r="V16" i="58"/>
  <c r="T16" i="58"/>
  <c r="AM15" i="58"/>
  <c r="AL15" i="58"/>
  <c r="AK15" i="58"/>
  <c r="AJ15" i="58"/>
  <c r="AI15" i="58"/>
  <c r="AH15" i="58"/>
  <c r="AG15" i="58"/>
  <c r="AF15" i="58"/>
  <c r="AE15" i="58"/>
  <c r="AD15" i="58"/>
  <c r="Y15" i="58"/>
  <c r="V15" i="58"/>
  <c r="T15" i="58"/>
  <c r="AM14" i="58"/>
  <c r="AK14" i="58"/>
  <c r="AF14" i="58"/>
  <c r="AG14" i="58" s="1"/>
  <c r="Y14" i="58"/>
  <c r="V14" i="58"/>
  <c r="T14" i="58"/>
  <c r="AH14" i="58" s="1"/>
  <c r="AI14" i="58" s="1"/>
  <c r="AK13" i="58"/>
  <c r="AF13" i="58"/>
  <c r="AG13" i="58" s="1"/>
  <c r="Y13" i="58"/>
  <c r="V13" i="58"/>
  <c r="T13" i="58"/>
  <c r="AD13" i="58" s="1"/>
  <c r="AM12" i="58"/>
  <c r="AK12" i="58"/>
  <c r="AF12" i="58"/>
  <c r="AG12" i="58" s="1"/>
  <c r="Y12" i="58"/>
  <c r="V12" i="58"/>
  <c r="T12" i="58"/>
  <c r="AH12" i="58" s="1"/>
  <c r="AI12" i="58" s="1"/>
  <c r="A12" i="58"/>
  <c r="AK11" i="58"/>
  <c r="AF11" i="58"/>
  <c r="AG11" i="58" s="1"/>
  <c r="Y11" i="58"/>
  <c r="V11" i="58"/>
  <c r="T11" i="58"/>
  <c r="AH11" i="58" s="1"/>
  <c r="AI11" i="58" s="1"/>
  <c r="AM10" i="58"/>
  <c r="AK10" i="58"/>
  <c r="AF10" i="58"/>
  <c r="AG10" i="58" s="1"/>
  <c r="Y10" i="58"/>
  <c r="V10" i="58"/>
  <c r="T10" i="58"/>
  <c r="AE10" i="58" s="1"/>
  <c r="A10" i="58"/>
  <c r="W12" i="58" s="1"/>
  <c r="AM9" i="58"/>
  <c r="AL9" i="58"/>
  <c r="AK9" i="58"/>
  <c r="AJ9" i="58"/>
  <c r="AI9" i="58"/>
  <c r="AH9" i="58"/>
  <c r="AG9" i="58"/>
  <c r="AF9" i="58"/>
  <c r="AE9" i="58"/>
  <c r="AD9" i="58"/>
  <c r="Y9" i="58"/>
  <c r="W9" i="58"/>
  <c r="V9" i="58"/>
  <c r="T9" i="58"/>
  <c r="AM8" i="58"/>
  <c r="AL8" i="58"/>
  <c r="AK8" i="58"/>
  <c r="AJ8" i="58"/>
  <c r="AI8" i="58"/>
  <c r="AH8" i="58"/>
  <c r="AG8" i="58"/>
  <c r="AF8" i="58"/>
  <c r="AD8" i="58"/>
  <c r="AN8" i="58" s="1"/>
  <c r="Y8" i="58"/>
  <c r="V8" i="58"/>
  <c r="T8" i="58"/>
  <c r="AM7" i="58"/>
  <c r="AL7" i="58"/>
  <c r="AK7" i="58"/>
  <c r="AJ7" i="58"/>
  <c r="AI7" i="58"/>
  <c r="AH7" i="58"/>
  <c r="AG7" i="58"/>
  <c r="AF7" i="58"/>
  <c r="AD7" i="58"/>
  <c r="AN7" i="58" s="1"/>
  <c r="Y7" i="58"/>
  <c r="V7" i="58"/>
  <c r="T7" i="58"/>
  <c r="AM6" i="58"/>
  <c r="AL6" i="58"/>
  <c r="AK6" i="58"/>
  <c r="AJ6" i="58"/>
  <c r="AI6" i="58"/>
  <c r="AH6" i="58"/>
  <c r="AG6" i="58"/>
  <c r="AF6" i="58"/>
  <c r="AD6" i="58"/>
  <c r="AN6" i="58" s="1"/>
  <c r="Y6" i="58"/>
  <c r="V6" i="58"/>
  <c r="T6" i="58"/>
  <c r="A6" i="58"/>
  <c r="AM5" i="58"/>
  <c r="AL5" i="58"/>
  <c r="AK5" i="58"/>
  <c r="AJ5" i="58"/>
  <c r="AI5" i="58"/>
  <c r="AH5" i="58"/>
  <c r="AG5" i="58"/>
  <c r="AF5" i="58"/>
  <c r="AD5" i="58"/>
  <c r="AN5" i="58" s="1"/>
  <c r="Y5" i="58"/>
  <c r="V5" i="58"/>
  <c r="T5" i="58"/>
  <c r="F1" i="58"/>
  <c r="AK48" i="57"/>
  <c r="AF48" i="57"/>
  <c r="AG48" i="57" s="1"/>
  <c r="Y48" i="57"/>
  <c r="V48" i="57"/>
  <c r="T48" i="57"/>
  <c r="AH48" i="57" s="1"/>
  <c r="AI48" i="57" s="1"/>
  <c r="AK47" i="57"/>
  <c r="AF47" i="57"/>
  <c r="AG47" i="57" s="1"/>
  <c r="Y47" i="57"/>
  <c r="V47" i="57"/>
  <c r="T47" i="57"/>
  <c r="AH47" i="57" s="1"/>
  <c r="AI47" i="57" s="1"/>
  <c r="AM46" i="57"/>
  <c r="AK46" i="57"/>
  <c r="AF46" i="57"/>
  <c r="AG46" i="57" s="1"/>
  <c r="Y46" i="57"/>
  <c r="V46" i="57"/>
  <c r="T46" i="57"/>
  <c r="AH46" i="57" s="1"/>
  <c r="AI46" i="57" s="1"/>
  <c r="AM45" i="57"/>
  <c r="AK45" i="57"/>
  <c r="AF45" i="57"/>
  <c r="AG45" i="57" s="1"/>
  <c r="Y45" i="57"/>
  <c r="V45" i="57"/>
  <c r="T45" i="57"/>
  <c r="AD45" i="57" s="1"/>
  <c r="AK44" i="57"/>
  <c r="AF44" i="57"/>
  <c r="AG44" i="57" s="1"/>
  <c r="Y44" i="57"/>
  <c r="V44" i="57"/>
  <c r="T44" i="57"/>
  <c r="AH44" i="57" s="1"/>
  <c r="AI44" i="57" s="1"/>
  <c r="AK43" i="57"/>
  <c r="AF43" i="57"/>
  <c r="AG43" i="57" s="1"/>
  <c r="Y43" i="57"/>
  <c r="V43" i="57"/>
  <c r="T43" i="57"/>
  <c r="AD43" i="57" s="1"/>
  <c r="AM42" i="57"/>
  <c r="AK42" i="57"/>
  <c r="AF42" i="57"/>
  <c r="AG42" i="57" s="1"/>
  <c r="Y42" i="57"/>
  <c r="V42" i="57"/>
  <c r="T42" i="57"/>
  <c r="AE42" i="57" s="1"/>
  <c r="AM41" i="57"/>
  <c r="AK41" i="57"/>
  <c r="AH41" i="57"/>
  <c r="AI41" i="57" s="1"/>
  <c r="AG41" i="57"/>
  <c r="AF41" i="57"/>
  <c r="AD41" i="57"/>
  <c r="Y41" i="57"/>
  <c r="V41" i="57"/>
  <c r="T41" i="57"/>
  <c r="AE41" i="57" s="1"/>
  <c r="AM40" i="57"/>
  <c r="AK40" i="57"/>
  <c r="AF40" i="57"/>
  <c r="AG40" i="57" s="1"/>
  <c r="Y40" i="57"/>
  <c r="V40" i="57"/>
  <c r="T40" i="57"/>
  <c r="AH40" i="57" s="1"/>
  <c r="AI40" i="57" s="1"/>
  <c r="AK39" i="57"/>
  <c r="AF39" i="57"/>
  <c r="AG39" i="57" s="1"/>
  <c r="Y39" i="57"/>
  <c r="V39" i="57"/>
  <c r="T39" i="57"/>
  <c r="AH39" i="57" s="1"/>
  <c r="AI39" i="57" s="1"/>
  <c r="AM38" i="57"/>
  <c r="AK38" i="57"/>
  <c r="AF38" i="57"/>
  <c r="AG38" i="57" s="1"/>
  <c r="Y38" i="57"/>
  <c r="V38" i="57"/>
  <c r="T38" i="57"/>
  <c r="AE38" i="57" s="1"/>
  <c r="AM37" i="57"/>
  <c r="AK37" i="57"/>
  <c r="AF37" i="57"/>
  <c r="AG37" i="57" s="1"/>
  <c r="Y37" i="57"/>
  <c r="V37" i="57"/>
  <c r="T37" i="57"/>
  <c r="AH37" i="57" s="1"/>
  <c r="AI37" i="57" s="1"/>
  <c r="AK36" i="57"/>
  <c r="AF36" i="57"/>
  <c r="AG36" i="57" s="1"/>
  <c r="Y36" i="57"/>
  <c r="V36" i="57"/>
  <c r="T36" i="57"/>
  <c r="AH36" i="57" s="1"/>
  <c r="AI36" i="57" s="1"/>
  <c r="AM35" i="57"/>
  <c r="AL35" i="57"/>
  <c r="AK35" i="57"/>
  <c r="AJ35" i="57"/>
  <c r="AI35" i="57"/>
  <c r="AH35" i="57"/>
  <c r="AG35" i="57"/>
  <c r="AF35" i="57"/>
  <c r="AE35" i="57"/>
  <c r="AD35" i="57"/>
  <c r="Y35" i="57"/>
  <c r="V35" i="57"/>
  <c r="T35" i="57"/>
  <c r="AM34" i="57"/>
  <c r="AL34" i="57"/>
  <c r="AK34" i="57"/>
  <c r="AJ34" i="57"/>
  <c r="AI34" i="57"/>
  <c r="AH34" i="57"/>
  <c r="AG34" i="57"/>
  <c r="AF34" i="57"/>
  <c r="AE34" i="57"/>
  <c r="AD34" i="57"/>
  <c r="Y34" i="57"/>
  <c r="V34" i="57"/>
  <c r="T34" i="57"/>
  <c r="AM33" i="57"/>
  <c r="AL33" i="57"/>
  <c r="AK33" i="57"/>
  <c r="AJ33" i="57"/>
  <c r="AI33" i="57"/>
  <c r="AH33" i="57"/>
  <c r="AG33" i="57"/>
  <c r="AF33" i="57"/>
  <c r="AE33" i="57"/>
  <c r="AD33" i="57"/>
  <c r="AN33" i="57" s="1"/>
  <c r="Y33" i="57"/>
  <c r="V33" i="57"/>
  <c r="T33" i="57"/>
  <c r="AM32" i="57"/>
  <c r="AL32" i="57"/>
  <c r="AK32" i="57"/>
  <c r="AJ32" i="57"/>
  <c r="AI32" i="57"/>
  <c r="AH32" i="57"/>
  <c r="AG32" i="57"/>
  <c r="AF32" i="57"/>
  <c r="AE32" i="57"/>
  <c r="AD32" i="57"/>
  <c r="AN32" i="57" s="1"/>
  <c r="Y32" i="57"/>
  <c r="V32" i="57"/>
  <c r="T32" i="57"/>
  <c r="AM31" i="57"/>
  <c r="AL31" i="57"/>
  <c r="AK31" i="57"/>
  <c r="AJ31" i="57"/>
  <c r="AI31" i="57"/>
  <c r="AH31" i="57"/>
  <c r="AG31" i="57"/>
  <c r="AF31" i="57"/>
  <c r="AE31" i="57"/>
  <c r="AD31" i="57"/>
  <c r="Y31" i="57"/>
  <c r="V31" i="57"/>
  <c r="T31" i="57"/>
  <c r="AM30" i="57"/>
  <c r="AL30" i="57"/>
  <c r="AK30" i="57"/>
  <c r="AJ30" i="57"/>
  <c r="AI30" i="57"/>
  <c r="AH30" i="57"/>
  <c r="AG30" i="57"/>
  <c r="AF30" i="57"/>
  <c r="AE30" i="57"/>
  <c r="AD30" i="57"/>
  <c r="Y30" i="57"/>
  <c r="V30" i="57"/>
  <c r="T30" i="57"/>
  <c r="AM29" i="57"/>
  <c r="AL29" i="57"/>
  <c r="AK29" i="57"/>
  <c r="AJ29" i="57"/>
  <c r="AI29" i="57"/>
  <c r="AH29" i="57"/>
  <c r="AG29" i="57"/>
  <c r="AF29" i="57"/>
  <c r="AE29" i="57"/>
  <c r="AD29" i="57"/>
  <c r="Y29" i="57"/>
  <c r="V29" i="57"/>
  <c r="T29" i="57"/>
  <c r="AM28" i="57"/>
  <c r="AL28" i="57"/>
  <c r="AK28" i="57"/>
  <c r="AJ28" i="57"/>
  <c r="AI28" i="57"/>
  <c r="AH28" i="57"/>
  <c r="AG28" i="57"/>
  <c r="AF28" i="57"/>
  <c r="AE28" i="57"/>
  <c r="AD28" i="57"/>
  <c r="Y28" i="57"/>
  <c r="V28" i="57"/>
  <c r="T28" i="57"/>
  <c r="AM27" i="57"/>
  <c r="AL27" i="57"/>
  <c r="AK27" i="57"/>
  <c r="AJ27" i="57"/>
  <c r="AI27" i="57"/>
  <c r="AH27" i="57"/>
  <c r="AG27" i="57"/>
  <c r="AF27" i="57"/>
  <c r="AE27" i="57"/>
  <c r="AD27" i="57"/>
  <c r="Y27" i="57"/>
  <c r="V27" i="57"/>
  <c r="T27" i="57"/>
  <c r="AM26" i="57"/>
  <c r="AL26" i="57"/>
  <c r="AK26" i="57"/>
  <c r="AJ26" i="57"/>
  <c r="AI26" i="57"/>
  <c r="AH26" i="57"/>
  <c r="AG26" i="57"/>
  <c r="AF26" i="57"/>
  <c r="AE26" i="57"/>
  <c r="AD26" i="57"/>
  <c r="Y26" i="57"/>
  <c r="V26" i="57"/>
  <c r="T26" i="57"/>
  <c r="AM25" i="57"/>
  <c r="AL25" i="57"/>
  <c r="AK25" i="57"/>
  <c r="AJ25" i="57"/>
  <c r="AI25" i="57"/>
  <c r="AH25" i="57"/>
  <c r="AG25" i="57"/>
  <c r="AF25" i="57"/>
  <c r="AE25" i="57"/>
  <c r="AD25" i="57"/>
  <c r="Y25" i="57"/>
  <c r="V25" i="57"/>
  <c r="T25" i="57"/>
  <c r="AM24" i="57"/>
  <c r="AL24" i="57"/>
  <c r="AK24" i="57"/>
  <c r="AJ24" i="57"/>
  <c r="AI24" i="57"/>
  <c r="AH24" i="57"/>
  <c r="AG24" i="57"/>
  <c r="AF24" i="57"/>
  <c r="AE24" i="57"/>
  <c r="AD24" i="57"/>
  <c r="AN24" i="57" s="1"/>
  <c r="Y24" i="57"/>
  <c r="V24" i="57"/>
  <c r="T24" i="57"/>
  <c r="AM23" i="57"/>
  <c r="AL23" i="57"/>
  <c r="AK23" i="57"/>
  <c r="AJ23" i="57"/>
  <c r="AI23" i="57"/>
  <c r="AH23" i="57"/>
  <c r="AG23" i="57"/>
  <c r="AF23" i="57"/>
  <c r="AE23" i="57"/>
  <c r="AD23" i="57"/>
  <c r="Y23" i="57"/>
  <c r="V23" i="57"/>
  <c r="T23" i="57"/>
  <c r="AM22" i="57"/>
  <c r="AL22" i="57"/>
  <c r="AK22" i="57"/>
  <c r="AJ22" i="57"/>
  <c r="AI22" i="57"/>
  <c r="AH22" i="57"/>
  <c r="AG22" i="57"/>
  <c r="AF22" i="57"/>
  <c r="AE22" i="57"/>
  <c r="AD22" i="57"/>
  <c r="Y22" i="57"/>
  <c r="V22" i="57"/>
  <c r="T22" i="57"/>
  <c r="AM21" i="57"/>
  <c r="AL21" i="57"/>
  <c r="AK21" i="57"/>
  <c r="AJ21" i="57"/>
  <c r="AI21" i="57"/>
  <c r="AH21" i="57"/>
  <c r="AG21" i="57"/>
  <c r="AF21" i="57"/>
  <c r="AE21" i="57"/>
  <c r="AD21" i="57"/>
  <c r="AN21" i="57" s="1"/>
  <c r="Y21" i="57"/>
  <c r="V21" i="57"/>
  <c r="T21" i="57"/>
  <c r="AM20" i="57"/>
  <c r="AL20" i="57"/>
  <c r="AK20" i="57"/>
  <c r="AJ20" i="57"/>
  <c r="AI20" i="57"/>
  <c r="AH20" i="57"/>
  <c r="AG20" i="57"/>
  <c r="AF20" i="57"/>
  <c r="AE20" i="57"/>
  <c r="AD20" i="57"/>
  <c r="AN20" i="57" s="1"/>
  <c r="Y20" i="57"/>
  <c r="V20" i="57"/>
  <c r="T20" i="57"/>
  <c r="AM19" i="57"/>
  <c r="AL19" i="57"/>
  <c r="AK19" i="57"/>
  <c r="AJ19" i="57"/>
  <c r="AI19" i="57"/>
  <c r="AH19" i="57"/>
  <c r="AG19" i="57"/>
  <c r="AF19" i="57"/>
  <c r="AE19" i="57"/>
  <c r="AD19" i="57"/>
  <c r="Y19" i="57"/>
  <c r="V19" i="57"/>
  <c r="T19" i="57"/>
  <c r="AM18" i="57"/>
  <c r="AL18" i="57"/>
  <c r="AK18" i="57"/>
  <c r="AJ18" i="57"/>
  <c r="AI18" i="57"/>
  <c r="AH18" i="57"/>
  <c r="AG18" i="57"/>
  <c r="AF18" i="57"/>
  <c r="AE18" i="57"/>
  <c r="AD18" i="57"/>
  <c r="Y18" i="57"/>
  <c r="V18" i="57"/>
  <c r="T18" i="57"/>
  <c r="AM17" i="57"/>
  <c r="AL17" i="57"/>
  <c r="AK17" i="57"/>
  <c r="AJ17" i="57"/>
  <c r="AI17" i="57"/>
  <c r="AH17" i="57"/>
  <c r="AG17" i="57"/>
  <c r="AF17" i="57"/>
  <c r="AE17" i="57"/>
  <c r="AD17" i="57"/>
  <c r="Y17" i="57"/>
  <c r="V17" i="57"/>
  <c r="T17" i="57"/>
  <c r="AM16" i="57"/>
  <c r="AL16" i="57"/>
  <c r="AK16" i="57"/>
  <c r="AJ16" i="57"/>
  <c r="AI16" i="57"/>
  <c r="AH16" i="57"/>
  <c r="AG16" i="57"/>
  <c r="AF16" i="57"/>
  <c r="AE16" i="57"/>
  <c r="AD16" i="57"/>
  <c r="Y16" i="57"/>
  <c r="V16" i="57"/>
  <c r="T16" i="57"/>
  <c r="AM15" i="57"/>
  <c r="AL15" i="57"/>
  <c r="AK15" i="57"/>
  <c r="AJ15" i="57"/>
  <c r="AI15" i="57"/>
  <c r="AH15" i="57"/>
  <c r="AG15" i="57"/>
  <c r="AF15" i="57"/>
  <c r="AE15" i="57"/>
  <c r="AD15" i="57"/>
  <c r="Y15" i="57"/>
  <c r="V15" i="57"/>
  <c r="T15" i="57"/>
  <c r="AM14" i="57"/>
  <c r="AL14" i="57"/>
  <c r="AK14" i="57"/>
  <c r="AJ14" i="57"/>
  <c r="AI14" i="57"/>
  <c r="AH14" i="57"/>
  <c r="AG14" i="57"/>
  <c r="AF14" i="57"/>
  <c r="AE14" i="57"/>
  <c r="AD14" i="57"/>
  <c r="Y14" i="57"/>
  <c r="V14" i="57"/>
  <c r="T14" i="57"/>
  <c r="AM13" i="57"/>
  <c r="AL13" i="57"/>
  <c r="AK13" i="57"/>
  <c r="AJ13" i="57"/>
  <c r="AI13" i="57"/>
  <c r="AH13" i="57"/>
  <c r="AG13" i="57"/>
  <c r="AF13" i="57"/>
  <c r="AE13" i="57"/>
  <c r="AD13" i="57"/>
  <c r="Y13" i="57"/>
  <c r="V13" i="57"/>
  <c r="T13" i="57"/>
  <c r="AM12" i="57"/>
  <c r="AL12" i="57"/>
  <c r="AK12" i="57"/>
  <c r="AJ12" i="57"/>
  <c r="AI12" i="57"/>
  <c r="AH12" i="57"/>
  <c r="AG12" i="57"/>
  <c r="AF12" i="57"/>
  <c r="AE12" i="57"/>
  <c r="AD12" i="57"/>
  <c r="AN12" i="57" s="1"/>
  <c r="Y12" i="57"/>
  <c r="V12" i="57"/>
  <c r="T12" i="57"/>
  <c r="A12" i="57"/>
  <c r="AM11" i="57"/>
  <c r="AL11" i="57"/>
  <c r="AK11" i="57"/>
  <c r="AJ11" i="57"/>
  <c r="AI11" i="57"/>
  <c r="AH11" i="57"/>
  <c r="AG11" i="57"/>
  <c r="AF11" i="57"/>
  <c r="AE11" i="57"/>
  <c r="AD11" i="57"/>
  <c r="Y11" i="57"/>
  <c r="V11" i="57"/>
  <c r="T11" i="57"/>
  <c r="AM10" i="57"/>
  <c r="AL10" i="57"/>
  <c r="AK10" i="57"/>
  <c r="AJ10" i="57"/>
  <c r="AI10" i="57"/>
  <c r="AH10" i="57"/>
  <c r="AG10" i="57"/>
  <c r="AF10" i="57"/>
  <c r="AE10" i="57"/>
  <c r="AD10" i="57"/>
  <c r="Y10" i="57"/>
  <c r="V10" i="57"/>
  <c r="T10" i="57"/>
  <c r="A10" i="57"/>
  <c r="AM9" i="57"/>
  <c r="AL9" i="57"/>
  <c r="AK9" i="57"/>
  <c r="AJ9" i="57"/>
  <c r="AI9" i="57"/>
  <c r="AH9" i="57"/>
  <c r="AG9" i="57"/>
  <c r="AF9" i="57"/>
  <c r="AE9" i="57"/>
  <c r="AD9" i="57"/>
  <c r="AN9" i="57" s="1"/>
  <c r="Y9" i="57"/>
  <c r="W9" i="57"/>
  <c r="V9" i="57"/>
  <c r="T9" i="57"/>
  <c r="AM8" i="57"/>
  <c r="AL8" i="57"/>
  <c r="AK8" i="57"/>
  <c r="AJ8" i="57"/>
  <c r="AI8" i="57"/>
  <c r="AH8" i="57"/>
  <c r="AG8" i="57"/>
  <c r="AF8" i="57"/>
  <c r="AD8" i="57"/>
  <c r="AN8" i="57" s="1"/>
  <c r="Y8" i="57"/>
  <c r="V8" i="57"/>
  <c r="T8" i="57"/>
  <c r="AM7" i="57"/>
  <c r="AL7" i="57"/>
  <c r="AK7" i="57"/>
  <c r="AJ7" i="57"/>
  <c r="AI7" i="57"/>
  <c r="AH7" i="57"/>
  <c r="AG7" i="57"/>
  <c r="AF7" i="57"/>
  <c r="AD7" i="57"/>
  <c r="AN7" i="57" s="1"/>
  <c r="Y7" i="57"/>
  <c r="V7" i="57"/>
  <c r="T7" i="57"/>
  <c r="AM6" i="57"/>
  <c r="AL6" i="57"/>
  <c r="AK6" i="57"/>
  <c r="AJ6" i="57"/>
  <c r="AI6" i="57"/>
  <c r="AH6" i="57"/>
  <c r="AG6" i="57"/>
  <c r="AF6" i="57"/>
  <c r="AD6" i="57"/>
  <c r="AN6" i="57" s="1"/>
  <c r="Y6" i="57"/>
  <c r="V6" i="57"/>
  <c r="T6" i="57"/>
  <c r="A6" i="57"/>
  <c r="AM5" i="57"/>
  <c r="AL5" i="57"/>
  <c r="AK5" i="57"/>
  <c r="AJ5" i="57"/>
  <c r="AI5" i="57"/>
  <c r="AH5" i="57"/>
  <c r="AG5" i="57"/>
  <c r="AF5" i="57"/>
  <c r="AD5" i="57"/>
  <c r="AN5" i="57" s="1"/>
  <c r="Y5" i="57"/>
  <c r="V5" i="57"/>
  <c r="T5" i="57"/>
  <c r="F1" i="57"/>
  <c r="AM24" i="56"/>
  <c r="AL24" i="56"/>
  <c r="AK24" i="56"/>
  <c r="AJ24" i="56"/>
  <c r="AI24" i="56"/>
  <c r="AH24" i="56"/>
  <c r="AG24" i="56"/>
  <c r="AF24" i="56"/>
  <c r="AE24" i="56"/>
  <c r="AD24" i="56"/>
  <c r="Y24" i="56"/>
  <c r="W24" i="56"/>
  <c r="V24" i="56"/>
  <c r="U24" i="56"/>
  <c r="T24" i="56"/>
  <c r="AM23" i="56"/>
  <c r="AL23" i="56"/>
  <c r="AK23" i="56"/>
  <c r="AJ23" i="56"/>
  <c r="AI23" i="56"/>
  <c r="AH23" i="56"/>
  <c r="AG23" i="56"/>
  <c r="AF23" i="56"/>
  <c r="AE23" i="56"/>
  <c r="AD23" i="56"/>
  <c r="Y23" i="56"/>
  <c r="W23" i="56"/>
  <c r="V23" i="56"/>
  <c r="U23" i="56"/>
  <c r="T23" i="56"/>
  <c r="AM22" i="56"/>
  <c r="AL22" i="56"/>
  <c r="AK22" i="56"/>
  <c r="AJ22" i="56"/>
  <c r="AI22" i="56"/>
  <c r="AH22" i="56"/>
  <c r="AG22" i="56"/>
  <c r="AF22" i="56"/>
  <c r="AE22" i="56"/>
  <c r="AD22" i="56"/>
  <c r="Y22" i="56"/>
  <c r="W22" i="56"/>
  <c r="V22" i="56"/>
  <c r="U22" i="56"/>
  <c r="T22" i="56"/>
  <c r="AM21" i="56"/>
  <c r="AL21" i="56"/>
  <c r="AK21" i="56"/>
  <c r="AJ21" i="56"/>
  <c r="AI21" i="56"/>
  <c r="AH21" i="56"/>
  <c r="AG21" i="56"/>
  <c r="AF21" i="56"/>
  <c r="AE21" i="56"/>
  <c r="AD21" i="56"/>
  <c r="AN21" i="56" s="1"/>
  <c r="Y21" i="56"/>
  <c r="W21" i="56"/>
  <c r="V21" i="56"/>
  <c r="U21" i="56"/>
  <c r="T21" i="56"/>
  <c r="AM20" i="56"/>
  <c r="AL20" i="56"/>
  <c r="AK20" i="56"/>
  <c r="AJ20" i="56"/>
  <c r="AI20" i="56"/>
  <c r="AH20" i="56"/>
  <c r="AG20" i="56"/>
  <c r="AF20" i="56"/>
  <c r="AE20" i="56"/>
  <c r="AD20" i="56"/>
  <c r="AN20" i="56" s="1"/>
  <c r="Y20" i="56"/>
  <c r="W20" i="56"/>
  <c r="V20" i="56"/>
  <c r="U20" i="56"/>
  <c r="T20" i="56"/>
  <c r="AM19" i="56"/>
  <c r="AL19" i="56"/>
  <c r="AK19" i="56"/>
  <c r="AJ19" i="56"/>
  <c r="AI19" i="56"/>
  <c r="AH19" i="56"/>
  <c r="AG19" i="56"/>
  <c r="AF19" i="56"/>
  <c r="AE19" i="56"/>
  <c r="AD19" i="56"/>
  <c r="AN19" i="56" s="1"/>
  <c r="Y19" i="56"/>
  <c r="W19" i="56"/>
  <c r="V19" i="56"/>
  <c r="U19" i="56"/>
  <c r="T19" i="56"/>
  <c r="AM18" i="56"/>
  <c r="AL18" i="56"/>
  <c r="AK18" i="56"/>
  <c r="AJ18" i="56"/>
  <c r="AI18" i="56"/>
  <c r="AH18" i="56"/>
  <c r="AG18" i="56"/>
  <c r="AF18" i="56"/>
  <c r="AE18" i="56"/>
  <c r="AD18" i="56"/>
  <c r="Y18" i="56"/>
  <c r="W18" i="56"/>
  <c r="V18" i="56"/>
  <c r="U18" i="56"/>
  <c r="T18" i="56"/>
  <c r="AM17" i="56"/>
  <c r="AL17" i="56"/>
  <c r="AK17" i="56"/>
  <c r="AJ17" i="56"/>
  <c r="AI17" i="56"/>
  <c r="AH17" i="56"/>
  <c r="AG17" i="56"/>
  <c r="AF17" i="56"/>
  <c r="AE17" i="56"/>
  <c r="AD17" i="56"/>
  <c r="AN17" i="56" s="1"/>
  <c r="Y17" i="56"/>
  <c r="W17" i="56"/>
  <c r="V17" i="56"/>
  <c r="U17" i="56"/>
  <c r="T17" i="56"/>
  <c r="AM16" i="56"/>
  <c r="AL16" i="56"/>
  <c r="AK16" i="56"/>
  <c r="AJ16" i="56"/>
  <c r="AI16" i="56"/>
  <c r="AH16" i="56"/>
  <c r="AG16" i="56"/>
  <c r="AF16" i="56"/>
  <c r="AE16" i="56"/>
  <c r="AD16" i="56"/>
  <c r="Y16" i="56"/>
  <c r="W16" i="56"/>
  <c r="V16" i="56"/>
  <c r="U16" i="56"/>
  <c r="T16" i="56"/>
  <c r="A16" i="56"/>
  <c r="AM15" i="56"/>
  <c r="AL15" i="56"/>
  <c r="AK15" i="56"/>
  <c r="AJ15" i="56"/>
  <c r="AI15" i="56"/>
  <c r="AH15" i="56"/>
  <c r="AG15" i="56"/>
  <c r="AF15" i="56"/>
  <c r="AE15" i="56"/>
  <c r="AD15" i="56"/>
  <c r="Y15" i="56"/>
  <c r="W15" i="56"/>
  <c r="V15" i="56"/>
  <c r="U15" i="56"/>
  <c r="T15" i="56"/>
  <c r="AM14" i="56"/>
  <c r="AL14" i="56"/>
  <c r="AK14" i="56"/>
  <c r="AJ14" i="56"/>
  <c r="AI14" i="56"/>
  <c r="AH14" i="56"/>
  <c r="AG14" i="56"/>
  <c r="AF14" i="56"/>
  <c r="AE14" i="56"/>
  <c r="AD14" i="56"/>
  <c r="Y14" i="56"/>
  <c r="W14" i="56"/>
  <c r="V14" i="56"/>
  <c r="U14" i="56"/>
  <c r="T14" i="56"/>
  <c r="A14" i="56"/>
  <c r="AM13" i="56"/>
  <c r="AL13" i="56"/>
  <c r="AK13" i="56"/>
  <c r="AJ13" i="56"/>
  <c r="AI13" i="56"/>
  <c r="AH13" i="56"/>
  <c r="AG13" i="56"/>
  <c r="AF13" i="56"/>
  <c r="AE13" i="56"/>
  <c r="AD13" i="56"/>
  <c r="Y13" i="56"/>
  <c r="W13" i="56"/>
  <c r="V13" i="56"/>
  <c r="U13" i="56"/>
  <c r="T13" i="56"/>
  <c r="AM12" i="56"/>
  <c r="AL12" i="56"/>
  <c r="AK12" i="56"/>
  <c r="AJ12" i="56"/>
  <c r="AI12" i="56"/>
  <c r="AH12" i="56"/>
  <c r="AG12" i="56"/>
  <c r="AF12" i="56"/>
  <c r="AE12" i="56"/>
  <c r="AD12" i="56"/>
  <c r="Y12" i="56"/>
  <c r="W12" i="56"/>
  <c r="V12" i="56"/>
  <c r="U12" i="56"/>
  <c r="T12" i="56"/>
  <c r="A12" i="56"/>
  <c r="AM11" i="56"/>
  <c r="AL11" i="56"/>
  <c r="AK11" i="56"/>
  <c r="AJ11" i="56"/>
  <c r="AI11" i="56"/>
  <c r="AH11" i="56"/>
  <c r="AG11" i="56"/>
  <c r="AF11" i="56"/>
  <c r="AE11" i="56"/>
  <c r="AD11" i="56"/>
  <c r="Y11" i="56"/>
  <c r="W11" i="56"/>
  <c r="V11" i="56"/>
  <c r="U11" i="56"/>
  <c r="T11" i="56"/>
  <c r="AM10" i="56"/>
  <c r="AL10" i="56"/>
  <c r="AK10" i="56"/>
  <c r="AJ10" i="56"/>
  <c r="AI10" i="56"/>
  <c r="AH10" i="56"/>
  <c r="AG10" i="56"/>
  <c r="AF10" i="56"/>
  <c r="AE10" i="56"/>
  <c r="AD10" i="56"/>
  <c r="Y10" i="56"/>
  <c r="W10" i="56"/>
  <c r="V10" i="56"/>
  <c r="U10" i="56"/>
  <c r="T10" i="56"/>
  <c r="A10" i="56"/>
  <c r="AM9" i="56"/>
  <c r="AL9" i="56"/>
  <c r="AK9" i="56"/>
  <c r="AJ9" i="56"/>
  <c r="AI9" i="56"/>
  <c r="AH9" i="56"/>
  <c r="AG9" i="56"/>
  <c r="AF9" i="56"/>
  <c r="AE9" i="56"/>
  <c r="AD9" i="56"/>
  <c r="Y9" i="56"/>
  <c r="W9" i="56"/>
  <c r="V9" i="56"/>
  <c r="U9" i="56"/>
  <c r="T9" i="56"/>
  <c r="AM8" i="56"/>
  <c r="AL8" i="56"/>
  <c r="AK8" i="56"/>
  <c r="AJ8" i="56"/>
  <c r="AI8" i="56"/>
  <c r="AH8" i="56"/>
  <c r="AG8" i="56"/>
  <c r="AF8" i="56"/>
  <c r="AD8" i="56"/>
  <c r="AN8" i="56" s="1"/>
  <c r="Y8" i="56"/>
  <c r="W8" i="56"/>
  <c r="V8" i="56"/>
  <c r="U8" i="56"/>
  <c r="T8" i="56"/>
  <c r="AM7" i="56"/>
  <c r="AL7" i="56"/>
  <c r="AK7" i="56"/>
  <c r="AJ7" i="56"/>
  <c r="AI7" i="56"/>
  <c r="AH7" i="56"/>
  <c r="AG7" i="56"/>
  <c r="AF7" i="56"/>
  <c r="AD7" i="56"/>
  <c r="AN7" i="56" s="1"/>
  <c r="Y7" i="56"/>
  <c r="W7" i="56"/>
  <c r="V7" i="56"/>
  <c r="U7" i="56"/>
  <c r="T7" i="56"/>
  <c r="AM6" i="56"/>
  <c r="AL6" i="56"/>
  <c r="AK6" i="56"/>
  <c r="AJ6" i="56"/>
  <c r="AI6" i="56"/>
  <c r="AH6" i="56"/>
  <c r="AG6" i="56"/>
  <c r="AF6" i="56"/>
  <c r="AD6" i="56"/>
  <c r="AN6" i="56" s="1"/>
  <c r="Y6" i="56"/>
  <c r="W6" i="56"/>
  <c r="V6" i="56"/>
  <c r="U6" i="56"/>
  <c r="T6" i="56"/>
  <c r="A6" i="56"/>
  <c r="AM5" i="56"/>
  <c r="AL5" i="56"/>
  <c r="AK5" i="56"/>
  <c r="AJ5" i="56"/>
  <c r="AI5" i="56"/>
  <c r="AH5" i="56"/>
  <c r="AG5" i="56"/>
  <c r="AF5" i="56"/>
  <c r="AD5" i="56"/>
  <c r="AN5" i="56" s="1"/>
  <c r="Y5" i="56"/>
  <c r="W5" i="56"/>
  <c r="V5" i="56"/>
  <c r="U5" i="56"/>
  <c r="T5" i="56"/>
  <c r="F1" i="56"/>
  <c r="AK24" i="55"/>
  <c r="AF24" i="55"/>
  <c r="AG24" i="55" s="1"/>
  <c r="Y24" i="55"/>
  <c r="V24" i="55"/>
  <c r="T24" i="55"/>
  <c r="AM24" i="55" s="1"/>
  <c r="AK23" i="55"/>
  <c r="AF23" i="55"/>
  <c r="AG23" i="55" s="1"/>
  <c r="Y23" i="55"/>
  <c r="V23" i="55"/>
  <c r="T23" i="55"/>
  <c r="AM23" i="55" s="1"/>
  <c r="AK22" i="55"/>
  <c r="AF22" i="55"/>
  <c r="AG22" i="55" s="1"/>
  <c r="Y22" i="55"/>
  <c r="V22" i="55"/>
  <c r="T22" i="55"/>
  <c r="AD22" i="55" s="1"/>
  <c r="AM21" i="55"/>
  <c r="AK21" i="55"/>
  <c r="AF21" i="55"/>
  <c r="AG21" i="55" s="1"/>
  <c r="Y21" i="55"/>
  <c r="V21" i="55"/>
  <c r="T21" i="55"/>
  <c r="AE21" i="55" s="1"/>
  <c r="AK20" i="55"/>
  <c r="AH20" i="55"/>
  <c r="AI20" i="55" s="1"/>
  <c r="AF20" i="55"/>
  <c r="AG20" i="55" s="1"/>
  <c r="Y20" i="55"/>
  <c r="V20" i="55"/>
  <c r="T20" i="55"/>
  <c r="AM20" i="55" s="1"/>
  <c r="AM19" i="55"/>
  <c r="AK19" i="55"/>
  <c r="AF19" i="55"/>
  <c r="AG19" i="55" s="1"/>
  <c r="AE19" i="55"/>
  <c r="Y19" i="55"/>
  <c r="V19" i="55"/>
  <c r="T19" i="55"/>
  <c r="AH19" i="55" s="1"/>
  <c r="AI19" i="55" s="1"/>
  <c r="AM18" i="55"/>
  <c r="AK18" i="55"/>
  <c r="AF18" i="55"/>
  <c r="AG18" i="55" s="1"/>
  <c r="Y18" i="55"/>
  <c r="V18" i="55"/>
  <c r="T18" i="55"/>
  <c r="AD18" i="55" s="1"/>
  <c r="AM17" i="55"/>
  <c r="AK17" i="55"/>
  <c r="AF17" i="55"/>
  <c r="AG17" i="55" s="1"/>
  <c r="Y17" i="55"/>
  <c r="V17" i="55"/>
  <c r="T17" i="55"/>
  <c r="AH17" i="55" s="1"/>
  <c r="AI17" i="55" s="1"/>
  <c r="AK16" i="55"/>
  <c r="AF16" i="55"/>
  <c r="AG16" i="55" s="1"/>
  <c r="Y16" i="55"/>
  <c r="V16" i="55"/>
  <c r="T16" i="55"/>
  <c r="AH16" i="55" s="1"/>
  <c r="AI16" i="55" s="1"/>
  <c r="AM15" i="55"/>
  <c r="AK15" i="55"/>
  <c r="AF15" i="55"/>
  <c r="AG15" i="55" s="1"/>
  <c r="Y15" i="55"/>
  <c r="V15" i="55"/>
  <c r="T15" i="55"/>
  <c r="AH15" i="55" s="1"/>
  <c r="AI15" i="55" s="1"/>
  <c r="AM14" i="55"/>
  <c r="AK14" i="55"/>
  <c r="AF14" i="55"/>
  <c r="AG14" i="55" s="1"/>
  <c r="Y14" i="55"/>
  <c r="V14" i="55"/>
  <c r="T14" i="55"/>
  <c r="AH14" i="55" s="1"/>
  <c r="AI14" i="55" s="1"/>
  <c r="AK13" i="55"/>
  <c r="AF13" i="55"/>
  <c r="AG13" i="55" s="1"/>
  <c r="Y13" i="55"/>
  <c r="V13" i="55"/>
  <c r="T13" i="55"/>
  <c r="AE13" i="55" s="1"/>
  <c r="AM12" i="55"/>
  <c r="AK12" i="55"/>
  <c r="AF12" i="55"/>
  <c r="AG12" i="55" s="1"/>
  <c r="Y12" i="55"/>
  <c r="V12" i="55"/>
  <c r="T12" i="55"/>
  <c r="AE12" i="55" s="1"/>
  <c r="A12" i="55"/>
  <c r="AM11" i="55"/>
  <c r="AK11" i="55"/>
  <c r="AF11" i="55"/>
  <c r="AG11" i="55" s="1"/>
  <c r="Y11" i="55"/>
  <c r="V11" i="55"/>
  <c r="T11" i="55"/>
  <c r="AE11" i="55" s="1"/>
  <c r="AK10" i="55"/>
  <c r="AF10" i="55"/>
  <c r="AG10" i="55" s="1"/>
  <c r="Y10" i="55"/>
  <c r="V10" i="55"/>
  <c r="T10" i="55"/>
  <c r="AH10" i="55" s="1"/>
  <c r="AI10" i="55" s="1"/>
  <c r="A10" i="55"/>
  <c r="W13" i="55" s="1"/>
  <c r="AK9" i="55"/>
  <c r="AF9" i="55"/>
  <c r="AG9" i="55" s="1"/>
  <c r="Y9" i="55"/>
  <c r="V9" i="55"/>
  <c r="T9" i="55"/>
  <c r="AH9" i="55" s="1"/>
  <c r="AI9" i="55" s="1"/>
  <c r="AM8" i="55"/>
  <c r="AL8" i="55"/>
  <c r="AK8" i="55"/>
  <c r="AJ8" i="55"/>
  <c r="AI8" i="55"/>
  <c r="AH8" i="55"/>
  <c r="AG8" i="55"/>
  <c r="AF8" i="55"/>
  <c r="AD8" i="55"/>
  <c r="AN8" i="55" s="1"/>
  <c r="Y8" i="55"/>
  <c r="V8" i="55"/>
  <c r="T8" i="55"/>
  <c r="AM7" i="55"/>
  <c r="AL7" i="55"/>
  <c r="AK7" i="55"/>
  <c r="AJ7" i="55"/>
  <c r="AI7" i="55"/>
  <c r="AH7" i="55"/>
  <c r="AG7" i="55"/>
  <c r="AF7" i="55"/>
  <c r="AD7" i="55"/>
  <c r="AN7" i="55" s="1"/>
  <c r="Y7" i="55"/>
  <c r="V7" i="55"/>
  <c r="T7" i="55"/>
  <c r="AM6" i="55"/>
  <c r="AL6" i="55"/>
  <c r="AK6" i="55"/>
  <c r="AJ6" i="55"/>
  <c r="AI6" i="55"/>
  <c r="AH6" i="55"/>
  <c r="AG6" i="55"/>
  <c r="AF6" i="55"/>
  <c r="AD6" i="55"/>
  <c r="AN6" i="55" s="1"/>
  <c r="Y6" i="55"/>
  <c r="V6" i="55"/>
  <c r="T6" i="55"/>
  <c r="A6" i="55"/>
  <c r="AM5" i="55"/>
  <c r="AL5" i="55"/>
  <c r="AK5" i="55"/>
  <c r="AJ5" i="55"/>
  <c r="AI5" i="55"/>
  <c r="AH5" i="55"/>
  <c r="AG5" i="55"/>
  <c r="AF5" i="55"/>
  <c r="AD5" i="55"/>
  <c r="AN5" i="55" s="1"/>
  <c r="Y5" i="55"/>
  <c r="V5" i="55"/>
  <c r="T5" i="55"/>
  <c r="F1" i="55"/>
  <c r="AM24" i="54"/>
  <c r="AK24" i="54"/>
  <c r="AF24" i="54"/>
  <c r="AG24" i="54" s="1"/>
  <c r="Y24" i="54"/>
  <c r="V24" i="54"/>
  <c r="T24" i="54"/>
  <c r="AD24" i="54" s="1"/>
  <c r="AM23" i="54"/>
  <c r="AK23" i="54"/>
  <c r="AF23" i="54"/>
  <c r="AG23" i="54" s="1"/>
  <c r="Y23" i="54"/>
  <c r="V23" i="54"/>
  <c r="T23" i="54"/>
  <c r="AE23" i="54" s="1"/>
  <c r="AM22" i="54"/>
  <c r="AK22" i="54"/>
  <c r="AF22" i="54"/>
  <c r="AG22" i="54" s="1"/>
  <c r="Y22" i="54"/>
  <c r="V22" i="54"/>
  <c r="T22" i="54"/>
  <c r="AE22" i="54" s="1"/>
  <c r="AK21" i="54"/>
  <c r="AF21" i="54"/>
  <c r="AG21" i="54" s="1"/>
  <c r="Y21" i="54"/>
  <c r="V21" i="54"/>
  <c r="T21" i="54"/>
  <c r="AH21" i="54" s="1"/>
  <c r="AI21" i="54" s="1"/>
  <c r="AM20" i="54"/>
  <c r="AK20" i="54"/>
  <c r="AF20" i="54"/>
  <c r="AG20" i="54" s="1"/>
  <c r="Y20" i="54"/>
  <c r="V20" i="54"/>
  <c r="T20" i="54"/>
  <c r="AH20" i="54" s="1"/>
  <c r="AI20" i="54" s="1"/>
  <c r="AM19" i="54"/>
  <c r="AK19" i="54"/>
  <c r="AF19" i="54"/>
  <c r="AG19" i="54" s="1"/>
  <c r="AD19" i="54"/>
  <c r="Y19" i="54"/>
  <c r="V19" i="54"/>
  <c r="T19" i="54"/>
  <c r="AH19" i="54" s="1"/>
  <c r="AI19" i="54" s="1"/>
  <c r="AM18" i="54"/>
  <c r="AK18" i="54"/>
  <c r="AH18" i="54"/>
  <c r="AI18" i="54" s="1"/>
  <c r="AF18" i="54"/>
  <c r="AG18" i="54" s="1"/>
  <c r="AE18" i="54"/>
  <c r="Y18" i="54"/>
  <c r="V18" i="54"/>
  <c r="T18" i="54"/>
  <c r="AD18" i="54" s="1"/>
  <c r="AM17" i="54"/>
  <c r="AK17" i="54"/>
  <c r="AI17" i="54"/>
  <c r="AH17" i="54"/>
  <c r="AF17" i="54"/>
  <c r="AG17" i="54" s="1"/>
  <c r="AE17" i="54"/>
  <c r="AD17" i="54"/>
  <c r="Y17" i="54"/>
  <c r="V17" i="54"/>
  <c r="T17" i="54"/>
  <c r="AM16" i="54"/>
  <c r="AK16" i="54"/>
  <c r="AH16" i="54"/>
  <c r="AI16" i="54" s="1"/>
  <c r="AF16" i="54"/>
  <c r="AG16" i="54" s="1"/>
  <c r="AL16" i="54" s="1"/>
  <c r="AE16" i="54"/>
  <c r="AD16" i="54"/>
  <c r="Y16" i="54"/>
  <c r="V16" i="54"/>
  <c r="T16" i="54"/>
  <c r="AM15" i="54"/>
  <c r="AK15" i="54"/>
  <c r="AF15" i="54"/>
  <c r="AG15" i="54" s="1"/>
  <c r="Y15" i="54"/>
  <c r="V15" i="54"/>
  <c r="T15" i="54"/>
  <c r="AD15" i="54" s="1"/>
  <c r="AM14" i="54"/>
  <c r="AK14" i="54"/>
  <c r="AG14" i="54"/>
  <c r="AF14" i="54"/>
  <c r="Y14" i="54"/>
  <c r="V14" i="54"/>
  <c r="T14" i="54"/>
  <c r="AE14" i="54" s="1"/>
  <c r="AM13" i="54"/>
  <c r="AK13" i="54"/>
  <c r="AF13" i="54"/>
  <c r="AG13" i="54" s="1"/>
  <c r="Y13" i="54"/>
  <c r="V13" i="54"/>
  <c r="T13" i="54"/>
  <c r="AH13" i="54" s="1"/>
  <c r="AI13" i="54" s="1"/>
  <c r="AM12" i="54"/>
  <c r="AK12" i="54"/>
  <c r="AF12" i="54"/>
  <c r="AG12" i="54" s="1"/>
  <c r="Y12" i="54"/>
  <c r="V12" i="54"/>
  <c r="T12" i="54"/>
  <c r="AH12" i="54" s="1"/>
  <c r="AI12" i="54" s="1"/>
  <c r="A12" i="54"/>
  <c r="AM11" i="54"/>
  <c r="AK11" i="54"/>
  <c r="AF11" i="54"/>
  <c r="AG11" i="54" s="1"/>
  <c r="Y11" i="54"/>
  <c r="V11" i="54"/>
  <c r="T11" i="54"/>
  <c r="AH11" i="54" s="1"/>
  <c r="AI11" i="54" s="1"/>
  <c r="AK10" i="54"/>
  <c r="AF10" i="54"/>
  <c r="AG10" i="54" s="1"/>
  <c r="Y10" i="54"/>
  <c r="V10" i="54"/>
  <c r="T10" i="54"/>
  <c r="AM10" i="54" s="1"/>
  <c r="A10" i="54"/>
  <c r="U15" i="54" s="1"/>
  <c r="AM9" i="54"/>
  <c r="AK9" i="54"/>
  <c r="AH9" i="54"/>
  <c r="AI9" i="54" s="1"/>
  <c r="AF9" i="54"/>
  <c r="AG9" i="54" s="1"/>
  <c r="Y9" i="54"/>
  <c r="V9" i="54"/>
  <c r="T9" i="54"/>
  <c r="AE9" i="54" s="1"/>
  <c r="AK8" i="54"/>
  <c r="AF8" i="54"/>
  <c r="AG8" i="54" s="1"/>
  <c r="AD8" i="54"/>
  <c r="Y8" i="54"/>
  <c r="V8" i="54"/>
  <c r="T8" i="54"/>
  <c r="AH8" i="54" s="1"/>
  <c r="AI8" i="54" s="1"/>
  <c r="AM7" i="54"/>
  <c r="AL7" i="54"/>
  <c r="AK7" i="54"/>
  <c r="AJ7" i="54"/>
  <c r="AI7" i="54"/>
  <c r="AH7" i="54"/>
  <c r="AG7" i="54"/>
  <c r="AF7" i="54"/>
  <c r="AD7" i="54"/>
  <c r="AN7" i="54" s="1"/>
  <c r="Y7" i="54"/>
  <c r="V7" i="54"/>
  <c r="T7" i="54"/>
  <c r="AM6" i="54"/>
  <c r="AL6" i="54"/>
  <c r="AK6" i="54"/>
  <c r="AJ6" i="54"/>
  <c r="AI6" i="54"/>
  <c r="AH6" i="54"/>
  <c r="AG6" i="54"/>
  <c r="AF6" i="54"/>
  <c r="AD6" i="54"/>
  <c r="AN6" i="54" s="1"/>
  <c r="Y6" i="54"/>
  <c r="V6" i="54"/>
  <c r="T6" i="54"/>
  <c r="A6" i="54"/>
  <c r="AM5" i="54"/>
  <c r="AL5" i="54"/>
  <c r="AK5" i="54"/>
  <c r="AJ5" i="54"/>
  <c r="AI5" i="54"/>
  <c r="AH5" i="54"/>
  <c r="AG5" i="54"/>
  <c r="AF5" i="54"/>
  <c r="AD5" i="54"/>
  <c r="AN5" i="54" s="1"/>
  <c r="Y5" i="54"/>
  <c r="V5" i="54"/>
  <c r="T5" i="54"/>
  <c r="F1" i="54"/>
  <c r="AM24" i="73"/>
  <c r="AL24" i="73"/>
  <c r="AK24" i="73"/>
  <c r="AJ24" i="73"/>
  <c r="AI24" i="73"/>
  <c r="AH24" i="73"/>
  <c r="AG24" i="73"/>
  <c r="AF24" i="73"/>
  <c r="AE24" i="73"/>
  <c r="AD24" i="73"/>
  <c r="Y24" i="73"/>
  <c r="V24" i="73"/>
  <c r="T24" i="73"/>
  <c r="AM23" i="73"/>
  <c r="AL23" i="73"/>
  <c r="AK23" i="73"/>
  <c r="AJ23" i="73"/>
  <c r="AI23" i="73"/>
  <c r="AH23" i="73"/>
  <c r="AG23" i="73"/>
  <c r="AF23" i="73"/>
  <c r="AE23" i="73"/>
  <c r="AD23" i="73"/>
  <c r="Y23" i="73"/>
  <c r="V23" i="73"/>
  <c r="T23" i="73"/>
  <c r="AM22" i="73"/>
  <c r="AL22" i="73"/>
  <c r="AK22" i="73"/>
  <c r="AJ22" i="73"/>
  <c r="AI22" i="73"/>
  <c r="AH22" i="73"/>
  <c r="AG22" i="73"/>
  <c r="AF22" i="73"/>
  <c r="AE22" i="73"/>
  <c r="AD22" i="73"/>
  <c r="Y22" i="73"/>
  <c r="V22" i="73"/>
  <c r="T22" i="73"/>
  <c r="AM21" i="73"/>
  <c r="AL21" i="73"/>
  <c r="AK21" i="73"/>
  <c r="AJ21" i="73"/>
  <c r="AI21" i="73"/>
  <c r="AH21" i="73"/>
  <c r="AG21" i="73"/>
  <c r="AF21" i="73"/>
  <c r="AE21" i="73"/>
  <c r="AD21" i="73"/>
  <c r="Y21" i="73"/>
  <c r="V21" i="73"/>
  <c r="T21" i="73"/>
  <c r="AM20" i="73"/>
  <c r="AL20" i="73"/>
  <c r="AK20" i="73"/>
  <c r="AJ20" i="73"/>
  <c r="AI20" i="73"/>
  <c r="AH20" i="73"/>
  <c r="AG20" i="73"/>
  <c r="AF20" i="73"/>
  <c r="AE20" i="73"/>
  <c r="AD20" i="73"/>
  <c r="Y20" i="73"/>
  <c r="V20" i="73"/>
  <c r="T20" i="73"/>
  <c r="AM19" i="73"/>
  <c r="AL19" i="73"/>
  <c r="AK19" i="73"/>
  <c r="AJ19" i="73"/>
  <c r="AI19" i="73"/>
  <c r="AH19" i="73"/>
  <c r="AG19" i="73"/>
  <c r="AF19" i="73"/>
  <c r="AE19" i="73"/>
  <c r="AD19" i="73"/>
  <c r="AN19" i="73" s="1"/>
  <c r="Y19" i="73"/>
  <c r="V19" i="73"/>
  <c r="T19" i="73"/>
  <c r="AM18" i="73"/>
  <c r="AL18" i="73"/>
  <c r="AK18" i="73"/>
  <c r="AJ18" i="73"/>
  <c r="AI18" i="73"/>
  <c r="AH18" i="73"/>
  <c r="AG18" i="73"/>
  <c r="AF18" i="73"/>
  <c r="AE18" i="73"/>
  <c r="AD18" i="73"/>
  <c r="Y18" i="73"/>
  <c r="V18" i="73"/>
  <c r="T18" i="73"/>
  <c r="AM17" i="73"/>
  <c r="AL17" i="73"/>
  <c r="AK17" i="73"/>
  <c r="AJ17" i="73"/>
  <c r="AI17" i="73"/>
  <c r="AH17" i="73"/>
  <c r="AG17" i="73"/>
  <c r="AF17" i="73"/>
  <c r="AE17" i="73"/>
  <c r="AD17" i="73"/>
  <c r="AN17" i="73" s="1"/>
  <c r="Y17" i="73"/>
  <c r="V17" i="73"/>
  <c r="T17" i="73"/>
  <c r="AM16" i="73"/>
  <c r="AL16" i="73"/>
  <c r="AK16" i="73"/>
  <c r="AJ16" i="73"/>
  <c r="AI16" i="73"/>
  <c r="AH16" i="73"/>
  <c r="AG16" i="73"/>
  <c r="AF16" i="73"/>
  <c r="AE16" i="73"/>
  <c r="AD16" i="73"/>
  <c r="Y16" i="73"/>
  <c r="V16" i="73"/>
  <c r="T16" i="73"/>
  <c r="AM15" i="73"/>
  <c r="AL15" i="73"/>
  <c r="AK15" i="73"/>
  <c r="AJ15" i="73"/>
  <c r="AI15" i="73"/>
  <c r="AH15" i="73"/>
  <c r="AG15" i="73"/>
  <c r="AF15" i="73"/>
  <c r="AE15" i="73"/>
  <c r="AN15" i="73" s="1"/>
  <c r="AD15" i="73"/>
  <c r="Y15" i="73"/>
  <c r="V15" i="73"/>
  <c r="T15" i="73"/>
  <c r="AM14" i="73"/>
  <c r="AL14" i="73"/>
  <c r="AK14" i="73"/>
  <c r="AJ14" i="73"/>
  <c r="AI14" i="73"/>
  <c r="AH14" i="73"/>
  <c r="AG14" i="73"/>
  <c r="AF14" i="73"/>
  <c r="AE14" i="73"/>
  <c r="AN14" i="73" s="1"/>
  <c r="AD14" i="73"/>
  <c r="Y14" i="73"/>
  <c r="V14" i="73"/>
  <c r="T14" i="73"/>
  <c r="AM13" i="73"/>
  <c r="AL13" i="73"/>
  <c r="AK13" i="73"/>
  <c r="AJ13" i="73"/>
  <c r="AI13" i="73"/>
  <c r="AH13" i="73"/>
  <c r="AG13" i="73"/>
  <c r="AF13" i="73"/>
  <c r="AE13" i="73"/>
  <c r="AD13" i="73"/>
  <c r="Y13" i="73"/>
  <c r="V13" i="73"/>
  <c r="T13" i="73"/>
  <c r="AM12" i="73"/>
  <c r="AL12" i="73"/>
  <c r="AK12" i="73"/>
  <c r="AJ12" i="73"/>
  <c r="AI12" i="73"/>
  <c r="AH12" i="73"/>
  <c r="AG12" i="73"/>
  <c r="AF12" i="73"/>
  <c r="AE12" i="73"/>
  <c r="AD12" i="73"/>
  <c r="AN12" i="73" s="1"/>
  <c r="Y12" i="73"/>
  <c r="V12" i="73"/>
  <c r="T12" i="73"/>
  <c r="A12" i="73"/>
  <c r="AM11" i="73"/>
  <c r="AL11" i="73"/>
  <c r="AK11" i="73"/>
  <c r="AJ11" i="73"/>
  <c r="AI11" i="73"/>
  <c r="AH11" i="73"/>
  <c r="AG11" i="73"/>
  <c r="AF11" i="73"/>
  <c r="AE11" i="73"/>
  <c r="AD11" i="73"/>
  <c r="Y11" i="73"/>
  <c r="W11" i="73"/>
  <c r="V11" i="73"/>
  <c r="T11" i="73"/>
  <c r="AM10" i="73"/>
  <c r="AL10" i="73"/>
  <c r="AK10" i="73"/>
  <c r="AJ10" i="73"/>
  <c r="AI10" i="73"/>
  <c r="AH10" i="73"/>
  <c r="AG10" i="73"/>
  <c r="AF10" i="73"/>
  <c r="AE10" i="73"/>
  <c r="AD10" i="73"/>
  <c r="AN10" i="73" s="1"/>
  <c r="Y10" i="73"/>
  <c r="V10" i="73"/>
  <c r="T10" i="73"/>
  <c r="A10" i="73"/>
  <c r="AM9" i="73"/>
  <c r="S25" i="67" s="1"/>
  <c r="AK9" i="73"/>
  <c r="AF9" i="73"/>
  <c r="AG9" i="73" s="1"/>
  <c r="Y9" i="73"/>
  <c r="V9" i="73"/>
  <c r="T9" i="73"/>
  <c r="AH9" i="73" s="1"/>
  <c r="AI9" i="73" s="1"/>
  <c r="AM8" i="73"/>
  <c r="AK8" i="73"/>
  <c r="AF8" i="73"/>
  <c r="AG8" i="73" s="1"/>
  <c r="Y8" i="73"/>
  <c r="V8" i="73"/>
  <c r="T8" i="73"/>
  <c r="AH8" i="73" s="1"/>
  <c r="AI8" i="73" s="1"/>
  <c r="AM7" i="73"/>
  <c r="AK7" i="73"/>
  <c r="AF7" i="73"/>
  <c r="AG7" i="73" s="1"/>
  <c r="Y7" i="73"/>
  <c r="V7" i="73"/>
  <c r="T7" i="73"/>
  <c r="AH7" i="73" s="1"/>
  <c r="AI7" i="73" s="1"/>
  <c r="AM6" i="73"/>
  <c r="AK6" i="73"/>
  <c r="AI6" i="73"/>
  <c r="AH6" i="73"/>
  <c r="AG6" i="73"/>
  <c r="AF6" i="73"/>
  <c r="Y6" i="73"/>
  <c r="A14" i="73" s="1"/>
  <c r="V6" i="73"/>
  <c r="T6" i="73"/>
  <c r="AD6" i="73" s="1"/>
  <c r="A6" i="73"/>
  <c r="AM5" i="73"/>
  <c r="AL5" i="73"/>
  <c r="AK5" i="73"/>
  <c r="AJ5" i="73"/>
  <c r="AI5" i="73"/>
  <c r="AH5" i="73"/>
  <c r="AG5" i="73"/>
  <c r="AF5" i="73"/>
  <c r="AD5" i="73"/>
  <c r="AN5" i="73" s="1"/>
  <c r="Y5" i="73"/>
  <c r="V5" i="73"/>
  <c r="T5" i="73"/>
  <c r="F1" i="73"/>
  <c r="AM24" i="71"/>
  <c r="AL24" i="71"/>
  <c r="AK24" i="71"/>
  <c r="AJ24" i="71"/>
  <c r="AI24" i="71"/>
  <c r="AH24" i="71"/>
  <c r="AG24" i="71"/>
  <c r="AF24" i="71"/>
  <c r="AE24" i="71"/>
  <c r="AD24" i="71"/>
  <c r="AN24" i="71" s="1"/>
  <c r="Y24" i="71"/>
  <c r="W24" i="71"/>
  <c r="V24" i="71"/>
  <c r="U24" i="71"/>
  <c r="T24" i="71"/>
  <c r="AM23" i="71"/>
  <c r="AL23" i="71"/>
  <c r="AK23" i="71"/>
  <c r="AJ23" i="71"/>
  <c r="AI23" i="71"/>
  <c r="AH23" i="71"/>
  <c r="AG23" i="71"/>
  <c r="AF23" i="71"/>
  <c r="AE23" i="71"/>
  <c r="AD23" i="71"/>
  <c r="Y23" i="71"/>
  <c r="W23" i="71"/>
  <c r="V23" i="71"/>
  <c r="U23" i="71"/>
  <c r="T23" i="71"/>
  <c r="AM22" i="71"/>
  <c r="AL22" i="71"/>
  <c r="AK22" i="71"/>
  <c r="AJ22" i="71"/>
  <c r="AI22" i="71"/>
  <c r="AH22" i="71"/>
  <c r="AG22" i="71"/>
  <c r="AF22" i="71"/>
  <c r="AE22" i="71"/>
  <c r="AD22" i="71"/>
  <c r="Y22" i="71"/>
  <c r="W22" i="71"/>
  <c r="V22" i="71"/>
  <c r="U22" i="71"/>
  <c r="T22" i="71"/>
  <c r="AM21" i="71"/>
  <c r="AL21" i="71"/>
  <c r="AK21" i="71"/>
  <c r="AJ21" i="71"/>
  <c r="AI21" i="71"/>
  <c r="AH21" i="71"/>
  <c r="AG21" i="71"/>
  <c r="AF21" i="71"/>
  <c r="AE21" i="71"/>
  <c r="AD21" i="71"/>
  <c r="Y21" i="71"/>
  <c r="W21" i="71"/>
  <c r="V21" i="71"/>
  <c r="U21" i="71"/>
  <c r="T21" i="71"/>
  <c r="AM20" i="71"/>
  <c r="AL20" i="71"/>
  <c r="AK20" i="71"/>
  <c r="AJ20" i="71"/>
  <c r="AI20" i="71"/>
  <c r="AH20" i="71"/>
  <c r="AG20" i="71"/>
  <c r="AF20" i="71"/>
  <c r="AE20" i="71"/>
  <c r="AN20" i="71" s="1"/>
  <c r="AD20" i="71"/>
  <c r="Y20" i="71"/>
  <c r="W20" i="71"/>
  <c r="V20" i="71"/>
  <c r="U20" i="71"/>
  <c r="T20" i="71"/>
  <c r="AM19" i="71"/>
  <c r="AL19" i="71"/>
  <c r="AK19" i="71"/>
  <c r="AJ19" i="71"/>
  <c r="AI19" i="71"/>
  <c r="AH19" i="71"/>
  <c r="AG19" i="71"/>
  <c r="AF19" i="71"/>
  <c r="AE19" i="71"/>
  <c r="AD19" i="71"/>
  <c r="Y19" i="71"/>
  <c r="W19" i="71"/>
  <c r="V19" i="71"/>
  <c r="U19" i="71"/>
  <c r="T19" i="71"/>
  <c r="AM18" i="71"/>
  <c r="AL18" i="71"/>
  <c r="AK18" i="71"/>
  <c r="AJ18" i="71"/>
  <c r="AI18" i="71"/>
  <c r="AH18" i="71"/>
  <c r="AG18" i="71"/>
  <c r="AF18" i="71"/>
  <c r="AE18" i="71"/>
  <c r="AD18" i="71"/>
  <c r="Y18" i="71"/>
  <c r="W18" i="71"/>
  <c r="V18" i="71"/>
  <c r="U18" i="71"/>
  <c r="T18" i="71"/>
  <c r="AM17" i="71"/>
  <c r="AL17" i="71"/>
  <c r="AK17" i="71"/>
  <c r="AJ17" i="71"/>
  <c r="AI17" i="71"/>
  <c r="AH17" i="71"/>
  <c r="AG17" i="71"/>
  <c r="AF17" i="71"/>
  <c r="AE17" i="71"/>
  <c r="AD17" i="71"/>
  <c r="AN17" i="71" s="1"/>
  <c r="Y17" i="71"/>
  <c r="W17" i="71"/>
  <c r="V17" i="71"/>
  <c r="U17" i="71"/>
  <c r="T17" i="71"/>
  <c r="AM16" i="71"/>
  <c r="AL16" i="71"/>
  <c r="AK16" i="71"/>
  <c r="AJ16" i="71"/>
  <c r="AI16" i="71"/>
  <c r="AH16" i="71"/>
  <c r="AG16" i="71"/>
  <c r="AF16" i="71"/>
  <c r="AE16" i="71"/>
  <c r="AD16" i="71"/>
  <c r="Y16" i="71"/>
  <c r="W16" i="71"/>
  <c r="V16" i="71"/>
  <c r="U16" i="71"/>
  <c r="T16" i="71"/>
  <c r="A16" i="71"/>
  <c r="AM15" i="71"/>
  <c r="AL15" i="71"/>
  <c r="AK15" i="71"/>
  <c r="AJ15" i="71"/>
  <c r="AI15" i="71"/>
  <c r="AH15" i="71"/>
  <c r="AG15" i="71"/>
  <c r="AF15" i="71"/>
  <c r="AE15" i="71"/>
  <c r="AD15" i="71"/>
  <c r="Y15" i="71"/>
  <c r="W15" i="71"/>
  <c r="V15" i="71"/>
  <c r="U15" i="71"/>
  <c r="T15" i="71"/>
  <c r="AM14" i="71"/>
  <c r="AL14" i="71"/>
  <c r="AK14" i="71"/>
  <c r="AJ14" i="71"/>
  <c r="AI14" i="71"/>
  <c r="AH14" i="71"/>
  <c r="AG14" i="71"/>
  <c r="AF14" i="71"/>
  <c r="AE14" i="71"/>
  <c r="AD14" i="71"/>
  <c r="Y14" i="71"/>
  <c r="W14" i="71"/>
  <c r="V14" i="71"/>
  <c r="U14" i="71"/>
  <c r="T14" i="71"/>
  <c r="A14" i="71"/>
  <c r="AM13" i="71"/>
  <c r="AL13" i="71"/>
  <c r="AK13" i="71"/>
  <c r="AJ13" i="71"/>
  <c r="AI13" i="71"/>
  <c r="AH13" i="71"/>
  <c r="AG13" i="71"/>
  <c r="AF13" i="71"/>
  <c r="AE13" i="71"/>
  <c r="AD13" i="71"/>
  <c r="AN13" i="71" s="1"/>
  <c r="Y13" i="71"/>
  <c r="W13" i="71"/>
  <c r="V13" i="71"/>
  <c r="U13" i="71"/>
  <c r="T13" i="71"/>
  <c r="AM12" i="71"/>
  <c r="AL12" i="71"/>
  <c r="AK12" i="71"/>
  <c r="AJ12" i="71"/>
  <c r="AI12" i="71"/>
  <c r="AH12" i="71"/>
  <c r="AG12" i="71"/>
  <c r="AF12" i="71"/>
  <c r="AE12" i="71"/>
  <c r="AD12" i="71"/>
  <c r="Y12" i="71"/>
  <c r="W12" i="71"/>
  <c r="V12" i="71"/>
  <c r="U12" i="71"/>
  <c r="T12" i="71"/>
  <c r="A12" i="71"/>
  <c r="AM11" i="71"/>
  <c r="AL11" i="71"/>
  <c r="AK11" i="71"/>
  <c r="AJ11" i="71"/>
  <c r="AI11" i="71"/>
  <c r="AH11" i="71"/>
  <c r="AG11" i="71"/>
  <c r="AF11" i="71"/>
  <c r="AE11" i="71"/>
  <c r="AD11" i="71"/>
  <c r="Y11" i="71"/>
  <c r="W11" i="71"/>
  <c r="V11" i="71"/>
  <c r="U11" i="71"/>
  <c r="T11" i="71"/>
  <c r="AM10" i="71"/>
  <c r="AL10" i="71"/>
  <c r="AK10" i="71"/>
  <c r="AJ10" i="71"/>
  <c r="AI10" i="71"/>
  <c r="AH10" i="71"/>
  <c r="AG10" i="71"/>
  <c r="AF10" i="71"/>
  <c r="AE10" i="71"/>
  <c r="AD10" i="71"/>
  <c r="AN10" i="71" s="1"/>
  <c r="Y10" i="71"/>
  <c r="W10" i="71"/>
  <c r="V10" i="71"/>
  <c r="U10" i="71"/>
  <c r="T10" i="71"/>
  <c r="A10" i="71"/>
  <c r="AM9" i="71"/>
  <c r="AL9" i="71"/>
  <c r="AK9" i="71"/>
  <c r="AJ9" i="71"/>
  <c r="AI9" i="71"/>
  <c r="AH9" i="71"/>
  <c r="AG9" i="71"/>
  <c r="AF9" i="71"/>
  <c r="AE9" i="71"/>
  <c r="AD9" i="71"/>
  <c r="AN9" i="71" s="1"/>
  <c r="Y9" i="71"/>
  <c r="W9" i="71"/>
  <c r="V9" i="71"/>
  <c r="U9" i="71"/>
  <c r="T9" i="71"/>
  <c r="AM8" i="71"/>
  <c r="AL8" i="71"/>
  <c r="AK8" i="71"/>
  <c r="AJ8" i="71"/>
  <c r="AI8" i="71"/>
  <c r="AH8" i="71"/>
  <c r="AG8" i="71"/>
  <c r="AF8" i="71"/>
  <c r="AD8" i="71"/>
  <c r="AN8" i="71" s="1"/>
  <c r="Y8" i="71"/>
  <c r="W8" i="71"/>
  <c r="V8" i="71"/>
  <c r="U8" i="71"/>
  <c r="T8" i="71"/>
  <c r="AM7" i="71"/>
  <c r="AL7" i="71"/>
  <c r="AK7" i="71"/>
  <c r="AJ7" i="71"/>
  <c r="AI7" i="71"/>
  <c r="AH7" i="71"/>
  <c r="AG7" i="71"/>
  <c r="AF7" i="71"/>
  <c r="AD7" i="71"/>
  <c r="AN7" i="71" s="1"/>
  <c r="Y7" i="71"/>
  <c r="W7" i="71"/>
  <c r="V7" i="71"/>
  <c r="U7" i="71"/>
  <c r="T7" i="71"/>
  <c r="AM6" i="71"/>
  <c r="AL6" i="71"/>
  <c r="AK6" i="71"/>
  <c r="AJ6" i="71"/>
  <c r="AI6" i="71"/>
  <c r="AH6" i="71"/>
  <c r="AG6" i="71"/>
  <c r="AF6" i="71"/>
  <c r="AD6" i="71"/>
  <c r="AN6" i="71" s="1"/>
  <c r="Y6" i="71"/>
  <c r="W6" i="71"/>
  <c r="V6" i="71"/>
  <c r="U6" i="71"/>
  <c r="T6" i="71"/>
  <c r="A6" i="71"/>
  <c r="AM5" i="71"/>
  <c r="AL5" i="71"/>
  <c r="AK5" i="71"/>
  <c r="AJ5" i="71"/>
  <c r="AI5" i="71"/>
  <c r="AH5" i="71"/>
  <c r="AG5" i="71"/>
  <c r="AF5" i="71"/>
  <c r="AD5" i="71"/>
  <c r="AN5" i="71" s="1"/>
  <c r="Y5" i="71"/>
  <c r="W5" i="71"/>
  <c r="V5" i="71"/>
  <c r="U5" i="71"/>
  <c r="T5" i="71"/>
  <c r="F1" i="71"/>
  <c r="AM55" i="53"/>
  <c r="AK55" i="53"/>
  <c r="AF55" i="53"/>
  <c r="AG55" i="53" s="1"/>
  <c r="Y55" i="53"/>
  <c r="V55" i="53"/>
  <c r="T55" i="53"/>
  <c r="AH55" i="53" s="1"/>
  <c r="AI55" i="53" s="1"/>
  <c r="AK54" i="53"/>
  <c r="AF54" i="53"/>
  <c r="AG54" i="53" s="1"/>
  <c r="Y54" i="53"/>
  <c r="V54" i="53"/>
  <c r="T54" i="53"/>
  <c r="AH54" i="53" s="1"/>
  <c r="AI54" i="53" s="1"/>
  <c r="AM53" i="53"/>
  <c r="AK53" i="53"/>
  <c r="AF53" i="53"/>
  <c r="AG53" i="53" s="1"/>
  <c r="Y53" i="53"/>
  <c r="V53" i="53"/>
  <c r="T53" i="53"/>
  <c r="AH53" i="53" s="1"/>
  <c r="AI53" i="53" s="1"/>
  <c r="AK52" i="53"/>
  <c r="AF52" i="53"/>
  <c r="AG52" i="53" s="1"/>
  <c r="Y52" i="53"/>
  <c r="V52" i="53"/>
  <c r="T52" i="53"/>
  <c r="AE52" i="53" s="1"/>
  <c r="AM51" i="53"/>
  <c r="AK51" i="53"/>
  <c r="AF51" i="53"/>
  <c r="AG51" i="53" s="1"/>
  <c r="Y51" i="53"/>
  <c r="V51" i="53"/>
  <c r="T51" i="53"/>
  <c r="AE51" i="53" s="1"/>
  <c r="AK50" i="53"/>
  <c r="AF50" i="53"/>
  <c r="AG50" i="53" s="1"/>
  <c r="Y50" i="53"/>
  <c r="V50" i="53"/>
  <c r="T50" i="53"/>
  <c r="AE50" i="53" s="1"/>
  <c r="AK49" i="53"/>
  <c r="AF49" i="53"/>
  <c r="AG49" i="53" s="1"/>
  <c r="Y49" i="53"/>
  <c r="V49" i="53"/>
  <c r="T49" i="53"/>
  <c r="AH49" i="53" s="1"/>
  <c r="AI49" i="53" s="1"/>
  <c r="AM48" i="53"/>
  <c r="AK48" i="53"/>
  <c r="AF48" i="53"/>
  <c r="AG48" i="53" s="1"/>
  <c r="Y48" i="53"/>
  <c r="V48" i="53"/>
  <c r="T48" i="53"/>
  <c r="AH48" i="53" s="1"/>
  <c r="AI48" i="53" s="1"/>
  <c r="AM47" i="53"/>
  <c r="AK47" i="53"/>
  <c r="AF47" i="53"/>
  <c r="AG47" i="53" s="1"/>
  <c r="AE47" i="53"/>
  <c r="Y47" i="53"/>
  <c r="V47" i="53"/>
  <c r="T47" i="53"/>
  <c r="AH47" i="53" s="1"/>
  <c r="AI47" i="53" s="1"/>
  <c r="AM46" i="53"/>
  <c r="AK46" i="53"/>
  <c r="AF46" i="53"/>
  <c r="AG46" i="53" s="1"/>
  <c r="Y46" i="53"/>
  <c r="V46" i="53"/>
  <c r="T46" i="53"/>
  <c r="AE46" i="53" s="1"/>
  <c r="AM45" i="53"/>
  <c r="AK45" i="53"/>
  <c r="AF45" i="53"/>
  <c r="AG45" i="53" s="1"/>
  <c r="AD45" i="53"/>
  <c r="Y45" i="53"/>
  <c r="V45" i="53"/>
  <c r="T45" i="53"/>
  <c r="AH45" i="53" s="1"/>
  <c r="AI45" i="53" s="1"/>
  <c r="AK44" i="53"/>
  <c r="AF44" i="53"/>
  <c r="AG44" i="53" s="1"/>
  <c r="Y44" i="53"/>
  <c r="V44" i="53"/>
  <c r="T44" i="53"/>
  <c r="AE44" i="53" s="1"/>
  <c r="AK43" i="53"/>
  <c r="AF43" i="53"/>
  <c r="AG43" i="53" s="1"/>
  <c r="AL43" i="53" s="1"/>
  <c r="Y43" i="53"/>
  <c r="V43" i="53"/>
  <c r="T43" i="53"/>
  <c r="AH43" i="53" s="1"/>
  <c r="AI43" i="53" s="1"/>
  <c r="AK42" i="53"/>
  <c r="AF42" i="53"/>
  <c r="AG42" i="53" s="1"/>
  <c r="Y42" i="53"/>
  <c r="V42" i="53"/>
  <c r="T42" i="53"/>
  <c r="AM42" i="53" s="1"/>
  <c r="AK41" i="53"/>
  <c r="AF41" i="53"/>
  <c r="AG41" i="53" s="1"/>
  <c r="Y41" i="53"/>
  <c r="V41" i="53"/>
  <c r="T41" i="53"/>
  <c r="AM41" i="53" s="1"/>
  <c r="AM40" i="53"/>
  <c r="AK40" i="53"/>
  <c r="AF40" i="53"/>
  <c r="AG40" i="53" s="1"/>
  <c r="Y40" i="53"/>
  <c r="V40" i="53"/>
  <c r="T40" i="53"/>
  <c r="AH40" i="53" s="1"/>
  <c r="AI40" i="53" s="1"/>
  <c r="AM39" i="53"/>
  <c r="AK39" i="53"/>
  <c r="AF39" i="53"/>
  <c r="AG39" i="53" s="1"/>
  <c r="Y39" i="53"/>
  <c r="V39" i="53"/>
  <c r="T39" i="53"/>
  <c r="AD39" i="53" s="1"/>
  <c r="AM38" i="53"/>
  <c r="AK38" i="53"/>
  <c r="AF38" i="53"/>
  <c r="AG38" i="53" s="1"/>
  <c r="Y38" i="53"/>
  <c r="V38" i="53"/>
  <c r="T38" i="53"/>
  <c r="AE38" i="53" s="1"/>
  <c r="AK37" i="53"/>
  <c r="AG37" i="53"/>
  <c r="AF37" i="53"/>
  <c r="Y37" i="53"/>
  <c r="V37" i="53"/>
  <c r="T37" i="53"/>
  <c r="AH37" i="53" s="1"/>
  <c r="AI37" i="53" s="1"/>
  <c r="AM36" i="53"/>
  <c r="AK36" i="53"/>
  <c r="AF36" i="53"/>
  <c r="AG36" i="53" s="1"/>
  <c r="Y36" i="53"/>
  <c r="V36" i="53"/>
  <c r="T36" i="53"/>
  <c r="AD36" i="53" s="1"/>
  <c r="AM35" i="53"/>
  <c r="AK35" i="53"/>
  <c r="AF35" i="53"/>
  <c r="AG35" i="53" s="1"/>
  <c r="Y35" i="53"/>
  <c r="V35" i="53"/>
  <c r="T35" i="53"/>
  <c r="AE35" i="53" s="1"/>
  <c r="AM34" i="53"/>
  <c r="AK34" i="53"/>
  <c r="AF34" i="53"/>
  <c r="AG34" i="53" s="1"/>
  <c r="Y34" i="53"/>
  <c r="V34" i="53"/>
  <c r="T34" i="53"/>
  <c r="AH34" i="53" s="1"/>
  <c r="AI34" i="53" s="1"/>
  <c r="AM33" i="53"/>
  <c r="AK33" i="53"/>
  <c r="AF33" i="53"/>
  <c r="AG33" i="53" s="1"/>
  <c r="AE33" i="53"/>
  <c r="Y33" i="53"/>
  <c r="V33" i="53"/>
  <c r="T33" i="53"/>
  <c r="AD33" i="53" s="1"/>
  <c r="AK32" i="53"/>
  <c r="AH32" i="53"/>
  <c r="AI32" i="53" s="1"/>
  <c r="AF32" i="53"/>
  <c r="AG32" i="53" s="1"/>
  <c r="Y32" i="53"/>
  <c r="V32" i="53"/>
  <c r="T32" i="53"/>
  <c r="AD32" i="53" s="1"/>
  <c r="AK31" i="53"/>
  <c r="AF31" i="53"/>
  <c r="AG31" i="53" s="1"/>
  <c r="Y31" i="53"/>
  <c r="V31" i="53"/>
  <c r="T31" i="53"/>
  <c r="AE31" i="53" s="1"/>
  <c r="AK30" i="53"/>
  <c r="AF30" i="53"/>
  <c r="AG30" i="53" s="1"/>
  <c r="AL30" i="53" s="1"/>
  <c r="Y30" i="53"/>
  <c r="V30" i="53"/>
  <c r="T30" i="53"/>
  <c r="AH30" i="53" s="1"/>
  <c r="AI30" i="53" s="1"/>
  <c r="AM29" i="53"/>
  <c r="AL29" i="53"/>
  <c r="AK29" i="53"/>
  <c r="AJ29" i="53"/>
  <c r="AI29" i="53"/>
  <c r="AH29" i="53"/>
  <c r="AG29" i="53"/>
  <c r="AF29" i="53"/>
  <c r="AE29" i="53"/>
  <c r="AD29" i="53"/>
  <c r="AN29" i="53" s="1"/>
  <c r="Y29" i="53"/>
  <c r="V29" i="53"/>
  <c r="T29" i="53"/>
  <c r="AM28" i="53"/>
  <c r="AL28" i="53"/>
  <c r="AK28" i="53"/>
  <c r="AJ28" i="53"/>
  <c r="AI28" i="53"/>
  <c r="AH28" i="53"/>
  <c r="AG28" i="53"/>
  <c r="AF28" i="53"/>
  <c r="AE28" i="53"/>
  <c r="AD28" i="53"/>
  <c r="Y28" i="53"/>
  <c r="V28" i="53"/>
  <c r="T28" i="53"/>
  <c r="AM27" i="53"/>
  <c r="AL27" i="53"/>
  <c r="AK27" i="53"/>
  <c r="AJ27" i="53"/>
  <c r="AI27" i="53"/>
  <c r="AH27" i="53"/>
  <c r="AG27" i="53"/>
  <c r="AF27" i="53"/>
  <c r="AE27" i="53"/>
  <c r="AD27" i="53"/>
  <c r="Y27" i="53"/>
  <c r="V27" i="53"/>
  <c r="T27" i="53"/>
  <c r="AM26" i="53"/>
  <c r="AL26" i="53"/>
  <c r="AK26" i="53"/>
  <c r="AJ26" i="53"/>
  <c r="AI26" i="53"/>
  <c r="AH26" i="53"/>
  <c r="AG26" i="53"/>
  <c r="AF26" i="53"/>
  <c r="AE26" i="53"/>
  <c r="AD26" i="53"/>
  <c r="Y26" i="53"/>
  <c r="V26" i="53"/>
  <c r="T26" i="53"/>
  <c r="AM25" i="53"/>
  <c r="AL25" i="53"/>
  <c r="AK25" i="53"/>
  <c r="AJ25" i="53"/>
  <c r="AI25" i="53"/>
  <c r="AH25" i="53"/>
  <c r="AG25" i="53"/>
  <c r="AF25" i="53"/>
  <c r="AE25" i="53"/>
  <c r="AD25" i="53"/>
  <c r="Y25" i="53"/>
  <c r="V25" i="53"/>
  <c r="T25" i="53"/>
  <c r="AM24" i="53"/>
  <c r="AL24" i="53"/>
  <c r="AK24" i="53"/>
  <c r="AJ24" i="53"/>
  <c r="AI24" i="53"/>
  <c r="AH24" i="53"/>
  <c r="AG24" i="53"/>
  <c r="AF24" i="53"/>
  <c r="AE24" i="53"/>
  <c r="AD24" i="53"/>
  <c r="Y24" i="53"/>
  <c r="V24" i="53"/>
  <c r="T24" i="53"/>
  <c r="AM23" i="53"/>
  <c r="AL23" i="53"/>
  <c r="AK23" i="53"/>
  <c r="AJ23" i="53"/>
  <c r="AI23" i="53"/>
  <c r="AH23" i="53"/>
  <c r="AG23" i="53"/>
  <c r="AF23" i="53"/>
  <c r="AE23" i="53"/>
  <c r="AD23" i="53"/>
  <c r="Y23" i="53"/>
  <c r="V23" i="53"/>
  <c r="T23" i="53"/>
  <c r="AM22" i="53"/>
  <c r="AL22" i="53"/>
  <c r="AK22" i="53"/>
  <c r="AJ22" i="53"/>
  <c r="AI22" i="53"/>
  <c r="AH22" i="53"/>
  <c r="AG22" i="53"/>
  <c r="AF22" i="53"/>
  <c r="AE22" i="53"/>
  <c r="AD22" i="53"/>
  <c r="Y22" i="53"/>
  <c r="V22" i="53"/>
  <c r="T22" i="53"/>
  <c r="AM21" i="53"/>
  <c r="AL21" i="53"/>
  <c r="AK21" i="53"/>
  <c r="AJ21" i="53"/>
  <c r="AI21" i="53"/>
  <c r="AH21" i="53"/>
  <c r="AG21" i="53"/>
  <c r="AF21" i="53"/>
  <c r="AE21" i="53"/>
  <c r="AD21" i="53"/>
  <c r="Y21" i="53"/>
  <c r="V21" i="53"/>
  <c r="T21" i="53"/>
  <c r="AM20" i="53"/>
  <c r="AL20" i="53"/>
  <c r="AK20" i="53"/>
  <c r="AJ20" i="53"/>
  <c r="AI20" i="53"/>
  <c r="AH20" i="53"/>
  <c r="AG20" i="53"/>
  <c r="AF20" i="53"/>
  <c r="AE20" i="53"/>
  <c r="AD20" i="53"/>
  <c r="Y20" i="53"/>
  <c r="V20" i="53"/>
  <c r="T20" i="53"/>
  <c r="AM19" i="53"/>
  <c r="AL19" i="53"/>
  <c r="AK19" i="53"/>
  <c r="AJ19" i="53"/>
  <c r="AI19" i="53"/>
  <c r="AH19" i="53"/>
  <c r="AG19" i="53"/>
  <c r="AF19" i="53"/>
  <c r="AE19" i="53"/>
  <c r="AD19" i="53"/>
  <c r="Y19" i="53"/>
  <c r="V19" i="53"/>
  <c r="T19" i="53"/>
  <c r="AM18" i="53"/>
  <c r="AL18" i="53"/>
  <c r="AK18" i="53"/>
  <c r="AJ18" i="53"/>
  <c r="AI18" i="53"/>
  <c r="AH18" i="53"/>
  <c r="AG18" i="53"/>
  <c r="AF18" i="53"/>
  <c r="AE18" i="53"/>
  <c r="AD18" i="53"/>
  <c r="Y18" i="53"/>
  <c r="V18" i="53"/>
  <c r="T18" i="53"/>
  <c r="AM17" i="53"/>
  <c r="AL17" i="53"/>
  <c r="AK17" i="53"/>
  <c r="AJ17" i="53"/>
  <c r="AI17" i="53"/>
  <c r="AH17" i="53"/>
  <c r="AG17" i="53"/>
  <c r="AF17" i="53"/>
  <c r="AE17" i="53"/>
  <c r="AD17" i="53"/>
  <c r="AN17" i="53" s="1"/>
  <c r="Y17" i="53"/>
  <c r="V17" i="53"/>
  <c r="T17" i="53"/>
  <c r="AM16" i="53"/>
  <c r="AL16" i="53"/>
  <c r="AK16" i="53"/>
  <c r="AJ16" i="53"/>
  <c r="AI16" i="53"/>
  <c r="AH16" i="53"/>
  <c r="AG16" i="53"/>
  <c r="AF16" i="53"/>
  <c r="AE16" i="53"/>
  <c r="AD16" i="53"/>
  <c r="Y16" i="53"/>
  <c r="V16" i="53"/>
  <c r="T16" i="53"/>
  <c r="AM15" i="53"/>
  <c r="AL15" i="53"/>
  <c r="AK15" i="53"/>
  <c r="AJ15" i="53"/>
  <c r="AI15" i="53"/>
  <c r="AH15" i="53"/>
  <c r="AG15" i="53"/>
  <c r="AF15" i="53"/>
  <c r="AE15" i="53"/>
  <c r="AN15" i="53" s="1"/>
  <c r="AD15" i="53"/>
  <c r="Y15" i="53"/>
  <c r="V15" i="53"/>
  <c r="T15" i="53"/>
  <c r="AM14" i="53"/>
  <c r="AL14" i="53"/>
  <c r="AK14" i="53"/>
  <c r="AJ14" i="53"/>
  <c r="AI14" i="53"/>
  <c r="AH14" i="53"/>
  <c r="AG14" i="53"/>
  <c r="AF14" i="53"/>
  <c r="AE14" i="53"/>
  <c r="AN14" i="53" s="1"/>
  <c r="AD14" i="53"/>
  <c r="Y14" i="53"/>
  <c r="V14" i="53"/>
  <c r="T14" i="53"/>
  <c r="AM13" i="53"/>
  <c r="AL13" i="53"/>
  <c r="AK13" i="53"/>
  <c r="AJ13" i="53"/>
  <c r="AI13" i="53"/>
  <c r="AH13" i="53"/>
  <c r="AG13" i="53"/>
  <c r="AF13" i="53"/>
  <c r="AE13" i="53"/>
  <c r="AD13" i="53"/>
  <c r="Y13" i="53"/>
  <c r="V13" i="53"/>
  <c r="T13" i="53"/>
  <c r="AM12" i="53"/>
  <c r="AL12" i="53"/>
  <c r="AK12" i="53"/>
  <c r="AJ12" i="53"/>
  <c r="AI12" i="53"/>
  <c r="AH12" i="53"/>
  <c r="AG12" i="53"/>
  <c r="AF12" i="53"/>
  <c r="AE12" i="53"/>
  <c r="AD12" i="53"/>
  <c r="Y12" i="53"/>
  <c r="V12" i="53"/>
  <c r="T12" i="53"/>
  <c r="A12" i="53"/>
  <c r="AM11" i="53"/>
  <c r="AL11" i="53"/>
  <c r="AK11" i="53"/>
  <c r="AJ11" i="53"/>
  <c r="AI11" i="53"/>
  <c r="AH11" i="53"/>
  <c r="AG11" i="53"/>
  <c r="AF11" i="53"/>
  <c r="AE11" i="53"/>
  <c r="AD11" i="53"/>
  <c r="Y11" i="53"/>
  <c r="V11" i="53"/>
  <c r="T11" i="53"/>
  <c r="AM10" i="53"/>
  <c r="AL10" i="53"/>
  <c r="AK10" i="53"/>
  <c r="AJ10" i="53"/>
  <c r="AI10" i="53"/>
  <c r="AH10" i="53"/>
  <c r="AG10" i="53"/>
  <c r="AF10" i="53"/>
  <c r="AE10" i="53"/>
  <c r="AD10" i="53"/>
  <c r="Y10" i="53"/>
  <c r="V10" i="53"/>
  <c r="T10" i="53"/>
  <c r="A10" i="53"/>
  <c r="AM9" i="53"/>
  <c r="AL9" i="53"/>
  <c r="AK9" i="53"/>
  <c r="AJ9" i="53"/>
  <c r="AI9" i="53"/>
  <c r="AH9" i="53"/>
  <c r="AG9" i="53"/>
  <c r="AF9" i="53"/>
  <c r="AE9" i="53"/>
  <c r="AD9" i="53"/>
  <c r="Y9" i="53"/>
  <c r="V9" i="53"/>
  <c r="T9" i="53"/>
  <c r="AM8" i="53"/>
  <c r="AL8" i="53"/>
  <c r="AK8" i="53"/>
  <c r="AJ8" i="53"/>
  <c r="AI8" i="53"/>
  <c r="AH8" i="53"/>
  <c r="AG8" i="53"/>
  <c r="AF8" i="53"/>
  <c r="AD8" i="53"/>
  <c r="AN8" i="53" s="1"/>
  <c r="Y8" i="53"/>
  <c r="V8" i="53"/>
  <c r="T8" i="53"/>
  <c r="AM7" i="53"/>
  <c r="AL7" i="53"/>
  <c r="AK7" i="53"/>
  <c r="AJ7" i="53"/>
  <c r="AI7" i="53"/>
  <c r="AH7" i="53"/>
  <c r="AG7" i="53"/>
  <c r="AF7" i="53"/>
  <c r="AD7" i="53"/>
  <c r="AN7" i="53" s="1"/>
  <c r="Y7" i="53"/>
  <c r="V7" i="53"/>
  <c r="T7" i="53"/>
  <c r="AM6" i="53"/>
  <c r="AL6" i="53"/>
  <c r="AK6" i="53"/>
  <c r="AJ6" i="53"/>
  <c r="AI6" i="53"/>
  <c r="AH6" i="53"/>
  <c r="AG6" i="53"/>
  <c r="AF6" i="53"/>
  <c r="AD6" i="53"/>
  <c r="AN6" i="53" s="1"/>
  <c r="Y6" i="53"/>
  <c r="V6" i="53"/>
  <c r="T6" i="53"/>
  <c r="A6" i="53"/>
  <c r="AM5" i="53"/>
  <c r="AL5" i="53"/>
  <c r="AK5" i="53"/>
  <c r="AJ5" i="53"/>
  <c r="AI5" i="53"/>
  <c r="AH5" i="53"/>
  <c r="AG5" i="53"/>
  <c r="AF5" i="53"/>
  <c r="AD5" i="53"/>
  <c r="AN5" i="53" s="1"/>
  <c r="Y5" i="53"/>
  <c r="V5" i="53"/>
  <c r="T5" i="53"/>
  <c r="F1" i="53"/>
  <c r="AM24" i="52"/>
  <c r="AL24" i="52"/>
  <c r="AK24" i="52"/>
  <c r="AJ24" i="52"/>
  <c r="AI24" i="52"/>
  <c r="AH24" i="52"/>
  <c r="AG24" i="52"/>
  <c r="AF24" i="52"/>
  <c r="AE24" i="52"/>
  <c r="AD24" i="52"/>
  <c r="Y24" i="52"/>
  <c r="V24" i="52"/>
  <c r="T24" i="52"/>
  <c r="AM23" i="52"/>
  <c r="AL23" i="52"/>
  <c r="AK23" i="52"/>
  <c r="AJ23" i="52"/>
  <c r="AI23" i="52"/>
  <c r="AH23" i="52"/>
  <c r="AG23" i="52"/>
  <c r="AF23" i="52"/>
  <c r="AE23" i="52"/>
  <c r="AD23" i="52"/>
  <c r="Y23" i="52"/>
  <c r="V23" i="52"/>
  <c r="T23" i="52"/>
  <c r="AM22" i="52"/>
  <c r="AL22" i="52"/>
  <c r="AK22" i="52"/>
  <c r="AJ22" i="52"/>
  <c r="AI22" i="52"/>
  <c r="AH22" i="52"/>
  <c r="AG22" i="52"/>
  <c r="AF22" i="52"/>
  <c r="AE22" i="52"/>
  <c r="AD22" i="52"/>
  <c r="AN22" i="52" s="1"/>
  <c r="Y22" i="52"/>
  <c r="V22" i="52"/>
  <c r="T22" i="52"/>
  <c r="AM21" i="52"/>
  <c r="AL21" i="52"/>
  <c r="AK21" i="52"/>
  <c r="AJ21" i="52"/>
  <c r="AI21" i="52"/>
  <c r="AH21" i="52"/>
  <c r="AG21" i="52"/>
  <c r="AF21" i="52"/>
  <c r="AE21" i="52"/>
  <c r="AD21" i="52"/>
  <c r="Y21" i="52"/>
  <c r="V21" i="52"/>
  <c r="T21" i="52"/>
  <c r="AM20" i="52"/>
  <c r="AK20" i="52"/>
  <c r="AF20" i="52"/>
  <c r="AG20" i="52" s="1"/>
  <c r="Y20" i="52"/>
  <c r="V20" i="52"/>
  <c r="T20" i="52"/>
  <c r="AH20" i="52" s="1"/>
  <c r="AI20" i="52" s="1"/>
  <c r="AM19" i="52"/>
  <c r="AK19" i="52"/>
  <c r="AF19" i="52"/>
  <c r="AG19" i="52" s="1"/>
  <c r="Y19" i="52"/>
  <c r="V19" i="52"/>
  <c r="T19" i="52"/>
  <c r="AH19" i="52" s="1"/>
  <c r="AI19" i="52" s="1"/>
  <c r="AM18" i="52"/>
  <c r="AK18" i="52"/>
  <c r="AF18" i="52"/>
  <c r="AG18" i="52" s="1"/>
  <c r="AE18" i="52"/>
  <c r="Y18" i="52"/>
  <c r="V18" i="52"/>
  <c r="T18" i="52"/>
  <c r="AD18" i="52" s="1"/>
  <c r="AK17" i="52"/>
  <c r="AF17" i="52"/>
  <c r="AG17" i="52" s="1"/>
  <c r="Y17" i="52"/>
  <c r="V17" i="52"/>
  <c r="T17" i="52"/>
  <c r="AH17" i="52" s="1"/>
  <c r="AI17" i="52" s="1"/>
  <c r="AK16" i="52"/>
  <c r="AF16" i="52"/>
  <c r="AG16" i="52" s="1"/>
  <c r="Y16" i="52"/>
  <c r="V16" i="52"/>
  <c r="T16" i="52"/>
  <c r="AH16" i="52" s="1"/>
  <c r="AI16" i="52" s="1"/>
  <c r="AM15" i="52"/>
  <c r="AK15" i="52"/>
  <c r="AF15" i="52"/>
  <c r="AG15" i="52" s="1"/>
  <c r="Y15" i="52"/>
  <c r="V15" i="52"/>
  <c r="T15" i="52"/>
  <c r="AH15" i="52" s="1"/>
  <c r="AI15" i="52" s="1"/>
  <c r="AK14" i="52"/>
  <c r="AF14" i="52"/>
  <c r="AG14" i="52" s="1"/>
  <c r="Y14" i="52"/>
  <c r="V14" i="52"/>
  <c r="T14" i="52"/>
  <c r="AE14" i="52" s="1"/>
  <c r="AK13" i="52"/>
  <c r="AF13" i="52"/>
  <c r="AG13" i="52" s="1"/>
  <c r="Y13" i="52"/>
  <c r="V13" i="52"/>
  <c r="T13" i="52"/>
  <c r="AH13" i="52" s="1"/>
  <c r="AI13" i="52" s="1"/>
  <c r="AM12" i="52"/>
  <c r="AK12" i="52"/>
  <c r="AF12" i="52"/>
  <c r="AG12" i="52" s="1"/>
  <c r="Y12" i="52"/>
  <c r="V12" i="52"/>
  <c r="T12" i="52"/>
  <c r="AH12" i="52" s="1"/>
  <c r="AI12" i="52" s="1"/>
  <c r="A12" i="52"/>
  <c r="AK11" i="52"/>
  <c r="AF11" i="52"/>
  <c r="AG11" i="52" s="1"/>
  <c r="Y11" i="52"/>
  <c r="V11" i="52"/>
  <c r="T11" i="52"/>
  <c r="AD11" i="52" s="1"/>
  <c r="AM10" i="52"/>
  <c r="AK10" i="52"/>
  <c r="AF10" i="52"/>
  <c r="AG10" i="52" s="1"/>
  <c r="Y10" i="52"/>
  <c r="V10" i="52"/>
  <c r="T10" i="52"/>
  <c r="AH10" i="52" s="1"/>
  <c r="AI10" i="52" s="1"/>
  <c r="A10" i="52"/>
  <c r="W9" i="52" s="1"/>
  <c r="AK9" i="52"/>
  <c r="AF9" i="52"/>
  <c r="AG9" i="52" s="1"/>
  <c r="AD9" i="52"/>
  <c r="Y9" i="52"/>
  <c r="V9" i="52"/>
  <c r="T9" i="52"/>
  <c r="AE9" i="52" s="1"/>
  <c r="AM8" i="52"/>
  <c r="AL8" i="52"/>
  <c r="AK8" i="52"/>
  <c r="AJ8" i="52"/>
  <c r="AI8" i="52"/>
  <c r="AH8" i="52"/>
  <c r="AG8" i="52"/>
  <c r="AF8" i="52"/>
  <c r="AD8" i="52"/>
  <c r="AN8" i="52" s="1"/>
  <c r="Y8" i="52"/>
  <c r="V8" i="52"/>
  <c r="T8" i="52"/>
  <c r="AM7" i="52"/>
  <c r="AL7" i="52"/>
  <c r="AK7" i="52"/>
  <c r="AJ7" i="52"/>
  <c r="AI7" i="52"/>
  <c r="AH7" i="52"/>
  <c r="AG7" i="52"/>
  <c r="AF7" i="52"/>
  <c r="AD7" i="52"/>
  <c r="AN7" i="52" s="1"/>
  <c r="Y7" i="52"/>
  <c r="V7" i="52"/>
  <c r="T7" i="52"/>
  <c r="AM6" i="52"/>
  <c r="AL6" i="52"/>
  <c r="AK6" i="52"/>
  <c r="AJ6" i="52"/>
  <c r="AI6" i="52"/>
  <c r="AH6" i="52"/>
  <c r="AG6" i="52"/>
  <c r="AF6" i="52"/>
  <c r="AD6" i="52"/>
  <c r="AN6" i="52" s="1"/>
  <c r="Y6" i="52"/>
  <c r="V6" i="52"/>
  <c r="T6" i="52"/>
  <c r="A6" i="52"/>
  <c r="AM5" i="52"/>
  <c r="AL5" i="52"/>
  <c r="AK5" i="52"/>
  <c r="AJ5" i="52"/>
  <c r="AI5" i="52"/>
  <c r="AH5" i="52"/>
  <c r="AG5" i="52"/>
  <c r="AF5" i="52"/>
  <c r="AD5" i="52"/>
  <c r="AN5" i="52" s="1"/>
  <c r="Y5" i="52"/>
  <c r="V5" i="52"/>
  <c r="T5" i="52"/>
  <c r="F1" i="52"/>
  <c r="AK24" i="51"/>
  <c r="AF24" i="51"/>
  <c r="AG24" i="51" s="1"/>
  <c r="Y24" i="51"/>
  <c r="V24" i="51"/>
  <c r="T24" i="51"/>
  <c r="AH24" i="51" s="1"/>
  <c r="AI24" i="51" s="1"/>
  <c r="AK23" i="51"/>
  <c r="AF23" i="51"/>
  <c r="AG23" i="51" s="1"/>
  <c r="Y23" i="51"/>
  <c r="V23" i="51"/>
  <c r="T23" i="51"/>
  <c r="AH23" i="51" s="1"/>
  <c r="AI23" i="51" s="1"/>
  <c r="AK22" i="51"/>
  <c r="AF22" i="51"/>
  <c r="AG22" i="51" s="1"/>
  <c r="Y22" i="51"/>
  <c r="V22" i="51"/>
  <c r="T22" i="51"/>
  <c r="AD22" i="51" s="1"/>
  <c r="AK21" i="51"/>
  <c r="AF21" i="51"/>
  <c r="AG21" i="51" s="1"/>
  <c r="Y21" i="51"/>
  <c r="V21" i="51"/>
  <c r="T21" i="51"/>
  <c r="AE21" i="51" s="1"/>
  <c r="AK20" i="51"/>
  <c r="AF20" i="51"/>
  <c r="AG20" i="51" s="1"/>
  <c r="Y20" i="51"/>
  <c r="V20" i="51"/>
  <c r="T20" i="51"/>
  <c r="AE20" i="51" s="1"/>
  <c r="AK19" i="51"/>
  <c r="AF19" i="51"/>
  <c r="AG19" i="51" s="1"/>
  <c r="Y19" i="51"/>
  <c r="V19" i="51"/>
  <c r="T19" i="51"/>
  <c r="AH19" i="51" s="1"/>
  <c r="AI19" i="51" s="1"/>
  <c r="AM18" i="51"/>
  <c r="AK18" i="51"/>
  <c r="AF18" i="51"/>
  <c r="AG18" i="51" s="1"/>
  <c r="Y18" i="51"/>
  <c r="V18" i="51"/>
  <c r="T18" i="51"/>
  <c r="AH18" i="51" s="1"/>
  <c r="AI18" i="51" s="1"/>
  <c r="AK17" i="51"/>
  <c r="AF17" i="51"/>
  <c r="AG17" i="51" s="1"/>
  <c r="Y17" i="51"/>
  <c r="V17" i="51"/>
  <c r="T17" i="51"/>
  <c r="AH17" i="51" s="1"/>
  <c r="AI17" i="51" s="1"/>
  <c r="AM16" i="51"/>
  <c r="AK16" i="51"/>
  <c r="AH16" i="51"/>
  <c r="AI16" i="51" s="1"/>
  <c r="AF16" i="51"/>
  <c r="AG16" i="51" s="1"/>
  <c r="Y16" i="51"/>
  <c r="V16" i="51"/>
  <c r="T16" i="51"/>
  <c r="AE16" i="51" s="1"/>
  <c r="AM15" i="51"/>
  <c r="AL15" i="51"/>
  <c r="AK15" i="51"/>
  <c r="AJ15" i="51"/>
  <c r="AI15" i="51"/>
  <c r="AH15" i="51"/>
  <c r="AG15" i="51"/>
  <c r="AF15" i="51"/>
  <c r="AE15" i="51"/>
  <c r="AD15" i="51"/>
  <c r="Y15" i="51"/>
  <c r="V15" i="51"/>
  <c r="T15" i="51"/>
  <c r="AM14" i="51"/>
  <c r="AL14" i="51"/>
  <c r="AK14" i="51"/>
  <c r="AJ14" i="51"/>
  <c r="AI14" i="51"/>
  <c r="AH14" i="51"/>
  <c r="AG14" i="51"/>
  <c r="AF14" i="51"/>
  <c r="AE14" i="51"/>
  <c r="AD14" i="51"/>
  <c r="Y14" i="51"/>
  <c r="V14" i="51"/>
  <c r="T14" i="51"/>
  <c r="AM13" i="51"/>
  <c r="AL13" i="51"/>
  <c r="AK13" i="51"/>
  <c r="AJ13" i="51"/>
  <c r="AI13" i="51"/>
  <c r="AH13" i="51"/>
  <c r="AG13" i="51"/>
  <c r="AF13" i="51"/>
  <c r="AE13" i="51"/>
  <c r="AD13" i="51"/>
  <c r="Y13" i="51"/>
  <c r="V13" i="51"/>
  <c r="T13" i="51"/>
  <c r="AM12" i="51"/>
  <c r="AL12" i="51"/>
  <c r="AK12" i="51"/>
  <c r="AJ12" i="51"/>
  <c r="AI12" i="51"/>
  <c r="AH12" i="51"/>
  <c r="AG12" i="51"/>
  <c r="AF12" i="51"/>
  <c r="AE12" i="51"/>
  <c r="AD12" i="51"/>
  <c r="AN12" i="51" s="1"/>
  <c r="Y12" i="51"/>
  <c r="V12" i="51"/>
  <c r="T12" i="51"/>
  <c r="A12" i="51"/>
  <c r="AM11" i="51"/>
  <c r="AL11" i="51"/>
  <c r="AK11" i="51"/>
  <c r="AJ11" i="51"/>
  <c r="AI11" i="51"/>
  <c r="AH11" i="51"/>
  <c r="AG11" i="51"/>
  <c r="AF11" i="51"/>
  <c r="AE11" i="51"/>
  <c r="AD11" i="51"/>
  <c r="AN11" i="51" s="1"/>
  <c r="Y11" i="51"/>
  <c r="V11" i="51"/>
  <c r="T11" i="51"/>
  <c r="AM10" i="51"/>
  <c r="AL10" i="51"/>
  <c r="AK10" i="51"/>
  <c r="AJ10" i="51"/>
  <c r="AI10" i="51"/>
  <c r="AH10" i="51"/>
  <c r="AG10" i="51"/>
  <c r="AF10" i="51"/>
  <c r="AE10" i="51"/>
  <c r="AD10" i="51"/>
  <c r="Y10" i="51"/>
  <c r="V10" i="51"/>
  <c r="T10" i="51"/>
  <c r="A10" i="51"/>
  <c r="AM9" i="51"/>
  <c r="AL9" i="51"/>
  <c r="AK9" i="51"/>
  <c r="AJ9" i="51"/>
  <c r="AI9" i="51"/>
  <c r="AH9" i="51"/>
  <c r="AG9" i="51"/>
  <c r="AF9" i="51"/>
  <c r="AE9" i="51"/>
  <c r="AD9" i="51"/>
  <c r="Y9" i="51"/>
  <c r="V9" i="51"/>
  <c r="T9" i="51"/>
  <c r="AM8" i="51"/>
  <c r="AL8" i="51"/>
  <c r="AK8" i="51"/>
  <c r="AJ8" i="51"/>
  <c r="AI8" i="51"/>
  <c r="AH8" i="51"/>
  <c r="AG8" i="51"/>
  <c r="AF8" i="51"/>
  <c r="AD8" i="51"/>
  <c r="AN8" i="51" s="1"/>
  <c r="Y8" i="51"/>
  <c r="V8" i="51"/>
  <c r="T8" i="51"/>
  <c r="AM7" i="51"/>
  <c r="AL7" i="51"/>
  <c r="AK7" i="51"/>
  <c r="AJ7" i="51"/>
  <c r="AI7" i="51"/>
  <c r="AH7" i="51"/>
  <c r="AG7" i="51"/>
  <c r="AF7" i="51"/>
  <c r="AD7" i="51"/>
  <c r="AN7" i="51" s="1"/>
  <c r="Y7" i="51"/>
  <c r="V7" i="51"/>
  <c r="T7" i="51"/>
  <c r="AM6" i="51"/>
  <c r="AL6" i="51"/>
  <c r="AK6" i="51"/>
  <c r="AJ6" i="51"/>
  <c r="AI6" i="51"/>
  <c r="AH6" i="51"/>
  <c r="AG6" i="51"/>
  <c r="AF6" i="51"/>
  <c r="AD6" i="51"/>
  <c r="AN6" i="51" s="1"/>
  <c r="Y6" i="51"/>
  <c r="V6" i="51"/>
  <c r="T6" i="51"/>
  <c r="A6" i="51"/>
  <c r="AM5" i="51"/>
  <c r="AL5" i="51"/>
  <c r="AK5" i="51"/>
  <c r="AJ5" i="51"/>
  <c r="AI5" i="51"/>
  <c r="AH5" i="51"/>
  <c r="AG5" i="51"/>
  <c r="AF5" i="51"/>
  <c r="AD5" i="51"/>
  <c r="AN5" i="51" s="1"/>
  <c r="Y5" i="51"/>
  <c r="V5" i="51"/>
  <c r="T5" i="51"/>
  <c r="F1" i="51"/>
  <c r="AM24" i="50"/>
  <c r="AL24" i="50"/>
  <c r="AK24" i="50"/>
  <c r="AJ24" i="50"/>
  <c r="AI24" i="50"/>
  <c r="AH24" i="50"/>
  <c r="AG24" i="50"/>
  <c r="AF24" i="50"/>
  <c r="AE24" i="50"/>
  <c r="AD24" i="50"/>
  <c r="Y24" i="50"/>
  <c r="W24" i="50"/>
  <c r="V24" i="50"/>
  <c r="U24" i="50"/>
  <c r="T24" i="50"/>
  <c r="AM23" i="50"/>
  <c r="AL23" i="50"/>
  <c r="AK23" i="50"/>
  <c r="AJ23" i="50"/>
  <c r="AI23" i="50"/>
  <c r="AH23" i="50"/>
  <c r="AG23" i="50"/>
  <c r="AF23" i="50"/>
  <c r="AE23" i="50"/>
  <c r="AD23" i="50"/>
  <c r="AN23" i="50" s="1"/>
  <c r="Y23" i="50"/>
  <c r="W23" i="50"/>
  <c r="V23" i="50"/>
  <c r="U23" i="50"/>
  <c r="T23" i="50"/>
  <c r="AM22" i="50"/>
  <c r="AL22" i="50"/>
  <c r="AK22" i="50"/>
  <c r="AJ22" i="50"/>
  <c r="AI22" i="50"/>
  <c r="AH22" i="50"/>
  <c r="AG22" i="50"/>
  <c r="AF22" i="50"/>
  <c r="AE22" i="50"/>
  <c r="AD22" i="50"/>
  <c r="AN22" i="50" s="1"/>
  <c r="Y22" i="50"/>
  <c r="W22" i="50"/>
  <c r="V22" i="50"/>
  <c r="U22" i="50"/>
  <c r="T22" i="50"/>
  <c r="AM21" i="50"/>
  <c r="AL21" i="50"/>
  <c r="AK21" i="50"/>
  <c r="AJ21" i="50"/>
  <c r="AI21" i="50"/>
  <c r="AH21" i="50"/>
  <c r="AG21" i="50"/>
  <c r="AF21" i="50"/>
  <c r="AE21" i="50"/>
  <c r="AD21" i="50"/>
  <c r="Y21" i="50"/>
  <c r="W21" i="50"/>
  <c r="V21" i="50"/>
  <c r="U21" i="50"/>
  <c r="T21" i="50"/>
  <c r="AM20" i="50"/>
  <c r="AL20" i="50"/>
  <c r="AK20" i="50"/>
  <c r="AJ20" i="50"/>
  <c r="AI20" i="50"/>
  <c r="AH20" i="50"/>
  <c r="AG20" i="50"/>
  <c r="AF20" i="50"/>
  <c r="AE20" i="50"/>
  <c r="AD20" i="50"/>
  <c r="Y20" i="50"/>
  <c r="W20" i="50"/>
  <c r="V20" i="50"/>
  <c r="U20" i="50"/>
  <c r="T20" i="50"/>
  <c r="AM19" i="50"/>
  <c r="AL19" i="50"/>
  <c r="AK19" i="50"/>
  <c r="AJ19" i="50"/>
  <c r="AI19" i="50"/>
  <c r="AH19" i="50"/>
  <c r="AG19" i="50"/>
  <c r="AF19" i="50"/>
  <c r="AE19" i="50"/>
  <c r="AD19" i="50"/>
  <c r="AN19" i="50" s="1"/>
  <c r="Y19" i="50"/>
  <c r="W19" i="50"/>
  <c r="V19" i="50"/>
  <c r="U19" i="50"/>
  <c r="T19" i="50"/>
  <c r="AM18" i="50"/>
  <c r="AL18" i="50"/>
  <c r="AK18" i="50"/>
  <c r="AJ18" i="50"/>
  <c r="AI18" i="50"/>
  <c r="AH18" i="50"/>
  <c r="AG18" i="50"/>
  <c r="AF18" i="50"/>
  <c r="AE18" i="50"/>
  <c r="AD18" i="50"/>
  <c r="Y18" i="50"/>
  <c r="W18" i="50"/>
  <c r="V18" i="50"/>
  <c r="U18" i="50"/>
  <c r="T18" i="50"/>
  <c r="AM17" i="50"/>
  <c r="AL17" i="50"/>
  <c r="AK17" i="50"/>
  <c r="AJ17" i="50"/>
  <c r="AI17" i="50"/>
  <c r="AH17" i="50"/>
  <c r="AG17" i="50"/>
  <c r="AF17" i="50"/>
  <c r="AE17" i="50"/>
  <c r="AD17" i="50"/>
  <c r="Y17" i="50"/>
  <c r="W17" i="50"/>
  <c r="V17" i="50"/>
  <c r="U17" i="50"/>
  <c r="T17" i="50"/>
  <c r="AM16" i="50"/>
  <c r="AL16" i="50"/>
  <c r="AK16" i="50"/>
  <c r="AJ16" i="50"/>
  <c r="AI16" i="50"/>
  <c r="AH16" i="50"/>
  <c r="AG16" i="50"/>
  <c r="AF16" i="50"/>
  <c r="AE16" i="50"/>
  <c r="AD16" i="50"/>
  <c r="Y16" i="50"/>
  <c r="W16" i="50"/>
  <c r="V16" i="50"/>
  <c r="U16" i="50"/>
  <c r="T16" i="50"/>
  <c r="A16" i="50"/>
  <c r="AM15" i="50"/>
  <c r="AL15" i="50"/>
  <c r="AK15" i="50"/>
  <c r="AJ15" i="50"/>
  <c r="AI15" i="50"/>
  <c r="AH15" i="50"/>
  <c r="AG15" i="50"/>
  <c r="AF15" i="50"/>
  <c r="AE15" i="50"/>
  <c r="AD15" i="50"/>
  <c r="Y15" i="50"/>
  <c r="W15" i="50"/>
  <c r="V15" i="50"/>
  <c r="U15" i="50"/>
  <c r="T15" i="50"/>
  <c r="AM14" i="50"/>
  <c r="AL14" i="50"/>
  <c r="AK14" i="50"/>
  <c r="AJ14" i="50"/>
  <c r="AI14" i="50"/>
  <c r="AH14" i="50"/>
  <c r="AG14" i="50"/>
  <c r="AF14" i="50"/>
  <c r="AE14" i="50"/>
  <c r="AD14" i="50"/>
  <c r="Y14" i="50"/>
  <c r="W14" i="50"/>
  <c r="V14" i="50"/>
  <c r="U14" i="50"/>
  <c r="T14" i="50"/>
  <c r="A14" i="50"/>
  <c r="AM13" i="50"/>
  <c r="AL13" i="50"/>
  <c r="AK13" i="50"/>
  <c r="AJ13" i="50"/>
  <c r="AI13" i="50"/>
  <c r="AH13" i="50"/>
  <c r="AG13" i="50"/>
  <c r="AF13" i="50"/>
  <c r="AE13" i="50"/>
  <c r="AD13" i="50"/>
  <c r="AN13" i="50" s="1"/>
  <c r="Y13" i="50"/>
  <c r="W13" i="50"/>
  <c r="V13" i="50"/>
  <c r="U13" i="50"/>
  <c r="T13" i="50"/>
  <c r="AM12" i="50"/>
  <c r="AL12" i="50"/>
  <c r="AK12" i="50"/>
  <c r="AJ12" i="50"/>
  <c r="AI12" i="50"/>
  <c r="AH12" i="50"/>
  <c r="AG12" i="50"/>
  <c r="AF12" i="50"/>
  <c r="AE12" i="50"/>
  <c r="AD12" i="50"/>
  <c r="AN12" i="50" s="1"/>
  <c r="Y12" i="50"/>
  <c r="W12" i="50"/>
  <c r="V12" i="50"/>
  <c r="U12" i="50"/>
  <c r="T12" i="50"/>
  <c r="A12" i="50"/>
  <c r="AM11" i="50"/>
  <c r="AL11" i="50"/>
  <c r="AK11" i="50"/>
  <c r="AJ11" i="50"/>
  <c r="AI11" i="50"/>
  <c r="AH11" i="50"/>
  <c r="AG11" i="50"/>
  <c r="AF11" i="50"/>
  <c r="AE11" i="50"/>
  <c r="AD11" i="50"/>
  <c r="AN11" i="50" s="1"/>
  <c r="Y11" i="50"/>
  <c r="W11" i="50"/>
  <c r="V11" i="50"/>
  <c r="U11" i="50"/>
  <c r="T11" i="50"/>
  <c r="AM10" i="50"/>
  <c r="AL10" i="50"/>
  <c r="AK10" i="50"/>
  <c r="AJ10" i="50"/>
  <c r="AI10" i="50"/>
  <c r="AH10" i="50"/>
  <c r="AG10" i="50"/>
  <c r="AF10" i="50"/>
  <c r="AE10" i="50"/>
  <c r="AD10" i="50"/>
  <c r="Y10" i="50"/>
  <c r="W10" i="50"/>
  <c r="V10" i="50"/>
  <c r="U10" i="50"/>
  <c r="T10" i="50"/>
  <c r="A10" i="50"/>
  <c r="AM9" i="50"/>
  <c r="AL9" i="50"/>
  <c r="AK9" i="50"/>
  <c r="AJ9" i="50"/>
  <c r="AI9" i="50"/>
  <c r="AH9" i="50"/>
  <c r="AG9" i="50"/>
  <c r="AF9" i="50"/>
  <c r="AE9" i="50"/>
  <c r="AD9" i="50"/>
  <c r="Y9" i="50"/>
  <c r="W9" i="50"/>
  <c r="V9" i="50"/>
  <c r="U9" i="50"/>
  <c r="T9" i="50"/>
  <c r="AM8" i="50"/>
  <c r="AL8" i="50"/>
  <c r="AK8" i="50"/>
  <c r="AJ8" i="50"/>
  <c r="AI8" i="50"/>
  <c r="AH8" i="50"/>
  <c r="AG8" i="50"/>
  <c r="AF8" i="50"/>
  <c r="AD8" i="50"/>
  <c r="AN8" i="50" s="1"/>
  <c r="Y8" i="50"/>
  <c r="W8" i="50"/>
  <c r="V8" i="50"/>
  <c r="U8" i="50"/>
  <c r="T8" i="50"/>
  <c r="A8" i="50"/>
  <c r="AM7" i="50"/>
  <c r="AL7" i="50"/>
  <c r="AK7" i="50"/>
  <c r="AJ7" i="50"/>
  <c r="AI7" i="50"/>
  <c r="AH7" i="50"/>
  <c r="AG7" i="50"/>
  <c r="AF7" i="50"/>
  <c r="AD7" i="50"/>
  <c r="AN7" i="50" s="1"/>
  <c r="Y7" i="50"/>
  <c r="W7" i="50"/>
  <c r="V7" i="50"/>
  <c r="U7" i="50"/>
  <c r="T7" i="50"/>
  <c r="AM6" i="50"/>
  <c r="AL6" i="50"/>
  <c r="AK6" i="50"/>
  <c r="AJ6" i="50"/>
  <c r="AI6" i="50"/>
  <c r="AH6" i="50"/>
  <c r="AG6" i="50"/>
  <c r="AF6" i="50"/>
  <c r="AD6" i="50"/>
  <c r="AN6" i="50" s="1"/>
  <c r="Y6" i="50"/>
  <c r="W6" i="50"/>
  <c r="V6" i="50"/>
  <c r="U6" i="50"/>
  <c r="T6" i="50"/>
  <c r="A6" i="50"/>
  <c r="AM5" i="50"/>
  <c r="AL5" i="50"/>
  <c r="AK5" i="50"/>
  <c r="AJ5" i="50"/>
  <c r="AI5" i="50"/>
  <c r="AH5" i="50"/>
  <c r="AG5" i="50"/>
  <c r="AF5" i="50"/>
  <c r="AD5" i="50"/>
  <c r="AN5" i="50" s="1"/>
  <c r="Y5" i="50"/>
  <c r="W5" i="50"/>
  <c r="V5" i="50"/>
  <c r="U5" i="50"/>
  <c r="T5" i="50"/>
  <c r="F1" i="50"/>
  <c r="AM24" i="49"/>
  <c r="AL24" i="49"/>
  <c r="AK24" i="49"/>
  <c r="AJ24" i="49"/>
  <c r="AI24" i="49"/>
  <c r="AH24" i="49"/>
  <c r="AG24" i="49"/>
  <c r="AF24" i="49"/>
  <c r="AE24" i="49"/>
  <c r="AD24" i="49"/>
  <c r="Y24" i="49"/>
  <c r="V24" i="49"/>
  <c r="T24" i="49"/>
  <c r="AM23" i="49"/>
  <c r="AL23" i="49"/>
  <c r="AK23" i="49"/>
  <c r="AJ23" i="49"/>
  <c r="AI23" i="49"/>
  <c r="AH23" i="49"/>
  <c r="AG23" i="49"/>
  <c r="AF23" i="49"/>
  <c r="AE23" i="49"/>
  <c r="AD23" i="49"/>
  <c r="Y23" i="49"/>
  <c r="V23" i="49"/>
  <c r="T23" i="49"/>
  <c r="AM22" i="49"/>
  <c r="AL22" i="49"/>
  <c r="AK22" i="49"/>
  <c r="AJ22" i="49"/>
  <c r="AI22" i="49"/>
  <c r="AH22" i="49"/>
  <c r="AG22" i="49"/>
  <c r="AF22" i="49"/>
  <c r="AE22" i="49"/>
  <c r="AD22" i="49"/>
  <c r="Y22" i="49"/>
  <c r="V22" i="49"/>
  <c r="T22" i="49"/>
  <c r="AM21" i="49"/>
  <c r="AL21" i="49"/>
  <c r="AK21" i="49"/>
  <c r="AJ21" i="49"/>
  <c r="AI21" i="49"/>
  <c r="AH21" i="49"/>
  <c r="AG21" i="49"/>
  <c r="AF21" i="49"/>
  <c r="AE21" i="49"/>
  <c r="AD21" i="49"/>
  <c r="AN21" i="49" s="1"/>
  <c r="Y21" i="49"/>
  <c r="V21" i="49"/>
  <c r="T21" i="49"/>
  <c r="AM20" i="49"/>
  <c r="AL20" i="49"/>
  <c r="AK20" i="49"/>
  <c r="AJ20" i="49"/>
  <c r="AI20" i="49"/>
  <c r="AH20" i="49"/>
  <c r="AG20" i="49"/>
  <c r="AF20" i="49"/>
  <c r="AE20" i="49"/>
  <c r="AD20" i="49"/>
  <c r="Y20" i="49"/>
  <c r="V20" i="49"/>
  <c r="T20" i="49"/>
  <c r="AM19" i="49"/>
  <c r="AL19" i="49"/>
  <c r="AK19" i="49"/>
  <c r="AJ19" i="49"/>
  <c r="AI19" i="49"/>
  <c r="AH19" i="49"/>
  <c r="AG19" i="49"/>
  <c r="AF19" i="49"/>
  <c r="AE19" i="49"/>
  <c r="AD19" i="49"/>
  <c r="Y19" i="49"/>
  <c r="V19" i="49"/>
  <c r="T19" i="49"/>
  <c r="AM18" i="49"/>
  <c r="AL18" i="49"/>
  <c r="AK18" i="49"/>
  <c r="AJ18" i="49"/>
  <c r="AI18" i="49"/>
  <c r="AH18" i="49"/>
  <c r="AG18" i="49"/>
  <c r="AF18" i="49"/>
  <c r="AE18" i="49"/>
  <c r="AD18" i="49"/>
  <c r="Y18" i="49"/>
  <c r="V18" i="49"/>
  <c r="T18" i="49"/>
  <c r="AM17" i="49"/>
  <c r="AL17" i="49"/>
  <c r="AK17" i="49"/>
  <c r="AJ17" i="49"/>
  <c r="AI17" i="49"/>
  <c r="AH17" i="49"/>
  <c r="AG17" i="49"/>
  <c r="AF17" i="49"/>
  <c r="AE17" i="49"/>
  <c r="AD17" i="49"/>
  <c r="AN17" i="49" s="1"/>
  <c r="Y17" i="49"/>
  <c r="V17" i="49"/>
  <c r="T17" i="49"/>
  <c r="AM16" i="49"/>
  <c r="AL16" i="49"/>
  <c r="AK16" i="49"/>
  <c r="AJ16" i="49"/>
  <c r="AI16" i="49"/>
  <c r="AH16" i="49"/>
  <c r="AG16" i="49"/>
  <c r="AF16" i="49"/>
  <c r="AE16" i="49"/>
  <c r="AD16" i="49"/>
  <c r="Y16" i="49"/>
  <c r="V16" i="49"/>
  <c r="T16" i="49"/>
  <c r="AM15" i="49"/>
  <c r="AL15" i="49"/>
  <c r="AK15" i="49"/>
  <c r="AJ15" i="49"/>
  <c r="AI15" i="49"/>
  <c r="AH15" i="49"/>
  <c r="AG15" i="49"/>
  <c r="AF15" i="49"/>
  <c r="AE15" i="49"/>
  <c r="AD15" i="49"/>
  <c r="Y15" i="49"/>
  <c r="V15" i="49"/>
  <c r="T15" i="49"/>
  <c r="AM14" i="49"/>
  <c r="AL14" i="49"/>
  <c r="AK14" i="49"/>
  <c r="AJ14" i="49"/>
  <c r="AI14" i="49"/>
  <c r="AH14" i="49"/>
  <c r="AG14" i="49"/>
  <c r="AF14" i="49"/>
  <c r="AE14" i="49"/>
  <c r="AD14" i="49"/>
  <c r="Y14" i="49"/>
  <c r="V14" i="49"/>
  <c r="T14" i="49"/>
  <c r="AM13" i="49"/>
  <c r="AL13" i="49"/>
  <c r="AK13" i="49"/>
  <c r="AJ13" i="49"/>
  <c r="AI13" i="49"/>
  <c r="AH13" i="49"/>
  <c r="AG13" i="49"/>
  <c r="AF13" i="49"/>
  <c r="AE13" i="49"/>
  <c r="AD13" i="49"/>
  <c r="Y13" i="49"/>
  <c r="V13" i="49"/>
  <c r="T13" i="49"/>
  <c r="AM12" i="49"/>
  <c r="AL12" i="49"/>
  <c r="AK12" i="49"/>
  <c r="AJ12" i="49"/>
  <c r="AI12" i="49"/>
  <c r="AH12" i="49"/>
  <c r="AG12" i="49"/>
  <c r="AF12" i="49"/>
  <c r="AE12" i="49"/>
  <c r="AD12" i="49"/>
  <c r="Y12" i="49"/>
  <c r="V12" i="49"/>
  <c r="T12" i="49"/>
  <c r="A12" i="49"/>
  <c r="AM11" i="49"/>
  <c r="AL11" i="49"/>
  <c r="AK11" i="49"/>
  <c r="AJ11" i="49"/>
  <c r="AI11" i="49"/>
  <c r="AH11" i="49"/>
  <c r="AG11" i="49"/>
  <c r="AF11" i="49"/>
  <c r="AE11" i="49"/>
  <c r="AD11" i="49"/>
  <c r="Y11" i="49"/>
  <c r="V11" i="49"/>
  <c r="T11" i="49"/>
  <c r="AK10" i="49"/>
  <c r="AF10" i="49"/>
  <c r="AG10" i="49" s="1"/>
  <c r="Y10" i="49"/>
  <c r="V10" i="49"/>
  <c r="T10" i="49"/>
  <c r="AD10" i="49" s="1"/>
  <c r="A10" i="49"/>
  <c r="U18" i="49" s="1"/>
  <c r="AK9" i="49"/>
  <c r="AF9" i="49"/>
  <c r="AG9" i="49" s="1"/>
  <c r="AL9" i="49" s="1"/>
  <c r="Y9" i="49"/>
  <c r="V9" i="49"/>
  <c r="T9" i="49"/>
  <c r="AH9" i="49" s="1"/>
  <c r="AI9" i="49" s="1"/>
  <c r="AM8" i="49"/>
  <c r="AK8" i="49"/>
  <c r="AH8" i="49"/>
  <c r="AI8" i="49" s="1"/>
  <c r="AF8" i="49"/>
  <c r="AG8" i="49" s="1"/>
  <c r="Y8" i="49"/>
  <c r="V8" i="49"/>
  <c r="AD8" i="49"/>
  <c r="AM7" i="49"/>
  <c r="AK7" i="49"/>
  <c r="AF7" i="49"/>
  <c r="AG7" i="49" s="1"/>
  <c r="Y7" i="49"/>
  <c r="A14" i="49" s="1"/>
  <c r="V7" i="49"/>
  <c r="AM6" i="49"/>
  <c r="AL6" i="49"/>
  <c r="AK6" i="49"/>
  <c r="AJ6" i="49"/>
  <c r="AI6" i="49"/>
  <c r="AH6" i="49"/>
  <c r="AG6" i="49"/>
  <c r="AF6" i="49"/>
  <c r="AD6" i="49"/>
  <c r="AN6" i="49" s="1"/>
  <c r="Y6" i="49"/>
  <c r="V6" i="49"/>
  <c r="T6" i="49"/>
  <c r="A6" i="49"/>
  <c r="AM5" i="49"/>
  <c r="AL5" i="49"/>
  <c r="AK5" i="49"/>
  <c r="AJ5" i="49"/>
  <c r="AI5" i="49"/>
  <c r="AH5" i="49"/>
  <c r="AG5" i="49"/>
  <c r="AF5" i="49"/>
  <c r="AD5" i="49"/>
  <c r="AN5" i="49" s="1"/>
  <c r="Y5" i="49"/>
  <c r="V5" i="49"/>
  <c r="T5" i="49"/>
  <c r="F1" i="49"/>
  <c r="AM67" i="75"/>
  <c r="AL67" i="75"/>
  <c r="AK67" i="75"/>
  <c r="AJ67" i="75"/>
  <c r="AI67" i="75"/>
  <c r="AH67" i="75"/>
  <c r="AG67" i="75"/>
  <c r="AF67" i="75"/>
  <c r="AE67" i="75"/>
  <c r="AD67" i="75"/>
  <c r="Y67" i="75"/>
  <c r="V67" i="75"/>
  <c r="T67" i="75"/>
  <c r="AM66" i="75"/>
  <c r="AL66" i="75"/>
  <c r="AK66" i="75"/>
  <c r="AJ66" i="75"/>
  <c r="AI66" i="75"/>
  <c r="AH66" i="75"/>
  <c r="AG66" i="75"/>
  <c r="AF66" i="75"/>
  <c r="AE66" i="75"/>
  <c r="AD66" i="75"/>
  <c r="Y66" i="75"/>
  <c r="V66" i="75"/>
  <c r="T66" i="75"/>
  <c r="AM65" i="75"/>
  <c r="AL65" i="75"/>
  <c r="AK65" i="75"/>
  <c r="AJ65" i="75"/>
  <c r="AI65" i="75"/>
  <c r="AH65" i="75"/>
  <c r="AG65" i="75"/>
  <c r="AF65" i="75"/>
  <c r="AE65" i="75"/>
  <c r="AD65" i="75"/>
  <c r="Y65" i="75"/>
  <c r="V65" i="75"/>
  <c r="T65" i="75"/>
  <c r="AM64" i="75"/>
  <c r="AL64" i="75"/>
  <c r="AK64" i="75"/>
  <c r="AJ64" i="75"/>
  <c r="AI64" i="75"/>
  <c r="AH64" i="75"/>
  <c r="AG64" i="75"/>
  <c r="AF64" i="75"/>
  <c r="AE64" i="75"/>
  <c r="AD64" i="75"/>
  <c r="Y64" i="75"/>
  <c r="V64" i="75"/>
  <c r="T64" i="75"/>
  <c r="AM63" i="75"/>
  <c r="AL63" i="75"/>
  <c r="AK63" i="75"/>
  <c r="AJ63" i="75"/>
  <c r="AI63" i="75"/>
  <c r="AH63" i="75"/>
  <c r="AG63" i="75"/>
  <c r="AF63" i="75"/>
  <c r="AE63" i="75"/>
  <c r="AD63" i="75"/>
  <c r="Y63" i="75"/>
  <c r="V63" i="75"/>
  <c r="T63" i="75"/>
  <c r="AM62" i="75"/>
  <c r="AL62" i="75"/>
  <c r="AK62" i="75"/>
  <c r="AJ62" i="75"/>
  <c r="AI62" i="75"/>
  <c r="AH62" i="75"/>
  <c r="AG62" i="75"/>
  <c r="AF62" i="75"/>
  <c r="AE62" i="75"/>
  <c r="AD62" i="75"/>
  <c r="AN62" i="75" s="1"/>
  <c r="Y62" i="75"/>
  <c r="V62" i="75"/>
  <c r="T62" i="75"/>
  <c r="AM61" i="75"/>
  <c r="AL61" i="75"/>
  <c r="AK61" i="75"/>
  <c r="AJ61" i="75"/>
  <c r="AI61" i="75"/>
  <c r="AH61" i="75"/>
  <c r="AG61" i="75"/>
  <c r="AF61" i="75"/>
  <c r="AE61" i="75"/>
  <c r="AD61" i="75"/>
  <c r="Y61" i="75"/>
  <c r="V61" i="75"/>
  <c r="T61" i="75"/>
  <c r="AM60" i="75"/>
  <c r="AL60" i="75"/>
  <c r="AK60" i="75"/>
  <c r="AJ60" i="75"/>
  <c r="AI60" i="75"/>
  <c r="AH60" i="75"/>
  <c r="AG60" i="75"/>
  <c r="AF60" i="75"/>
  <c r="AE60" i="75"/>
  <c r="AD60" i="75"/>
  <c r="Y60" i="75"/>
  <c r="V60" i="75"/>
  <c r="T60" i="75"/>
  <c r="AN59" i="75"/>
  <c r="AM59" i="75"/>
  <c r="AL59" i="75"/>
  <c r="AK59" i="75"/>
  <c r="AJ59" i="75"/>
  <c r="AI59" i="75"/>
  <c r="AH59" i="75"/>
  <c r="AG59" i="75"/>
  <c r="AF59" i="75"/>
  <c r="AE59" i="75"/>
  <c r="AD59" i="75"/>
  <c r="Y59" i="75"/>
  <c r="W59" i="75"/>
  <c r="V59" i="75"/>
  <c r="T59" i="75"/>
  <c r="AM58" i="75"/>
  <c r="AL58" i="75"/>
  <c r="AK58" i="75"/>
  <c r="AJ58" i="75"/>
  <c r="AI58" i="75"/>
  <c r="AH58" i="75"/>
  <c r="AG58" i="75"/>
  <c r="AF58" i="75"/>
  <c r="AE58" i="75"/>
  <c r="AD58" i="75"/>
  <c r="Y58" i="75"/>
  <c r="V58" i="75"/>
  <c r="T58" i="75"/>
  <c r="AM57" i="75"/>
  <c r="AL57" i="75"/>
  <c r="AK57" i="75"/>
  <c r="AJ57" i="75"/>
  <c r="AI57" i="75"/>
  <c r="AH57" i="75"/>
  <c r="AG57" i="75"/>
  <c r="AF57" i="75"/>
  <c r="AE57" i="75"/>
  <c r="AD57" i="75"/>
  <c r="Y57" i="75"/>
  <c r="V57" i="75"/>
  <c r="T57" i="75"/>
  <c r="AM56" i="75"/>
  <c r="AL56" i="75"/>
  <c r="AK56" i="75"/>
  <c r="AJ56" i="75"/>
  <c r="AI56" i="75"/>
  <c r="AH56" i="75"/>
  <c r="AG56" i="75"/>
  <c r="AF56" i="75"/>
  <c r="AE56" i="75"/>
  <c r="AD56" i="75"/>
  <c r="Y56" i="75"/>
  <c r="V56" i="75"/>
  <c r="T56" i="75"/>
  <c r="AM55" i="75"/>
  <c r="AL55" i="75"/>
  <c r="AK55" i="75"/>
  <c r="AJ55" i="75"/>
  <c r="AI55" i="75"/>
  <c r="AH55" i="75"/>
  <c r="AG55" i="75"/>
  <c r="AF55" i="75"/>
  <c r="AE55" i="75"/>
  <c r="AD55" i="75"/>
  <c r="Y55" i="75"/>
  <c r="W55" i="75"/>
  <c r="V55" i="75"/>
  <c r="T55" i="75"/>
  <c r="AM54" i="75"/>
  <c r="AL54" i="75"/>
  <c r="AK54" i="75"/>
  <c r="AJ54" i="75"/>
  <c r="AI54" i="75"/>
  <c r="AH54" i="75"/>
  <c r="AG54" i="75"/>
  <c r="AF54" i="75"/>
  <c r="AE54" i="75"/>
  <c r="AD54" i="75"/>
  <c r="Y54" i="75"/>
  <c r="V54" i="75"/>
  <c r="T54" i="75"/>
  <c r="AM53" i="75"/>
  <c r="AL53" i="75"/>
  <c r="AK53" i="75"/>
  <c r="AJ53" i="75"/>
  <c r="AI53" i="75"/>
  <c r="AH53" i="75"/>
  <c r="AG53" i="75"/>
  <c r="AF53" i="75"/>
  <c r="AE53" i="75"/>
  <c r="AD53" i="75"/>
  <c r="AN53" i="75" s="1"/>
  <c r="Y53" i="75"/>
  <c r="V53" i="75"/>
  <c r="T53" i="75"/>
  <c r="AM52" i="75"/>
  <c r="AL52" i="75"/>
  <c r="AK52" i="75"/>
  <c r="AJ52" i="75"/>
  <c r="AI52" i="75"/>
  <c r="AH52" i="75"/>
  <c r="AG52" i="75"/>
  <c r="AF52" i="75"/>
  <c r="AE52" i="75"/>
  <c r="AD52" i="75"/>
  <c r="Y52" i="75"/>
  <c r="V52" i="75"/>
  <c r="T52" i="75"/>
  <c r="AM51" i="75"/>
  <c r="AL51" i="75"/>
  <c r="AK51" i="75"/>
  <c r="AJ51" i="75"/>
  <c r="AI51" i="75"/>
  <c r="AH51" i="75"/>
  <c r="AG51" i="75"/>
  <c r="AF51" i="75"/>
  <c r="AE51" i="75"/>
  <c r="AD51" i="75"/>
  <c r="Y51" i="75"/>
  <c r="W51" i="75"/>
  <c r="V51" i="75"/>
  <c r="T51" i="75"/>
  <c r="AM50" i="75"/>
  <c r="AL50" i="75"/>
  <c r="AK50" i="75"/>
  <c r="AJ50" i="75"/>
  <c r="AI50" i="75"/>
  <c r="AH50" i="75"/>
  <c r="AG50" i="75"/>
  <c r="AF50" i="75"/>
  <c r="AE50" i="75"/>
  <c r="AN50" i="75" s="1"/>
  <c r="AD50" i="75"/>
  <c r="Y50" i="75"/>
  <c r="V50" i="75"/>
  <c r="T50" i="75"/>
  <c r="AM49" i="75"/>
  <c r="AL49" i="75"/>
  <c r="AK49" i="75"/>
  <c r="AJ49" i="75"/>
  <c r="AI49" i="75"/>
  <c r="AH49" i="75"/>
  <c r="AG49" i="75"/>
  <c r="AF49" i="75"/>
  <c r="AE49" i="75"/>
  <c r="AD49" i="75"/>
  <c r="Y49" i="75"/>
  <c r="V49" i="75"/>
  <c r="T49" i="75"/>
  <c r="AM48" i="75"/>
  <c r="AL48" i="75"/>
  <c r="AK48" i="75"/>
  <c r="AJ48" i="75"/>
  <c r="AI48" i="75"/>
  <c r="AH48" i="75"/>
  <c r="AG48" i="75"/>
  <c r="AF48" i="75"/>
  <c r="AE48" i="75"/>
  <c r="AD48" i="75"/>
  <c r="Y48" i="75"/>
  <c r="V48" i="75"/>
  <c r="T48" i="75"/>
  <c r="AM47" i="75"/>
  <c r="AL47" i="75"/>
  <c r="AK47" i="75"/>
  <c r="AJ47" i="75"/>
  <c r="AI47" i="75"/>
  <c r="AH47" i="75"/>
  <c r="AG47" i="75"/>
  <c r="AF47" i="75"/>
  <c r="AE47" i="75"/>
  <c r="AD47" i="75"/>
  <c r="Y47" i="75"/>
  <c r="W47" i="75"/>
  <c r="V47" i="75"/>
  <c r="T47" i="75"/>
  <c r="AM46" i="75"/>
  <c r="AL46" i="75"/>
  <c r="AK46" i="75"/>
  <c r="AJ46" i="75"/>
  <c r="AI46" i="75"/>
  <c r="AH46" i="75"/>
  <c r="AG46" i="75"/>
  <c r="AF46" i="75"/>
  <c r="AE46" i="75"/>
  <c r="AD46" i="75"/>
  <c r="Y46" i="75"/>
  <c r="V46" i="75"/>
  <c r="T46" i="75"/>
  <c r="AM45" i="75"/>
  <c r="AL45" i="75"/>
  <c r="AK45" i="75"/>
  <c r="AJ45" i="75"/>
  <c r="AI45" i="75"/>
  <c r="AH45" i="75"/>
  <c r="AG45" i="75"/>
  <c r="AF45" i="75"/>
  <c r="AE45" i="75"/>
  <c r="AD45" i="75"/>
  <c r="Y45" i="75"/>
  <c r="V45" i="75"/>
  <c r="T45" i="75"/>
  <c r="AM44" i="75"/>
  <c r="AL44" i="75"/>
  <c r="AK44" i="75"/>
  <c r="AJ44" i="75"/>
  <c r="AI44" i="75"/>
  <c r="AH44" i="75"/>
  <c r="AG44" i="75"/>
  <c r="AF44" i="75"/>
  <c r="AE44" i="75"/>
  <c r="AD44" i="75"/>
  <c r="Y44" i="75"/>
  <c r="V44" i="75"/>
  <c r="T44" i="75"/>
  <c r="AM43" i="75"/>
  <c r="AL43" i="75"/>
  <c r="AK43" i="75"/>
  <c r="AJ43" i="75"/>
  <c r="AI43" i="75"/>
  <c r="AH43" i="75"/>
  <c r="AG43" i="75"/>
  <c r="AF43" i="75"/>
  <c r="AE43" i="75"/>
  <c r="AD43" i="75"/>
  <c r="Y43" i="75"/>
  <c r="W43" i="75"/>
  <c r="V43" i="75"/>
  <c r="T43" i="75"/>
  <c r="AM42" i="75"/>
  <c r="AL42" i="75"/>
  <c r="AK42" i="75"/>
  <c r="AJ42" i="75"/>
  <c r="AI42" i="75"/>
  <c r="AH42" i="75"/>
  <c r="AG42" i="75"/>
  <c r="AF42" i="75"/>
  <c r="AE42" i="75"/>
  <c r="AD42" i="75"/>
  <c r="Y42" i="75"/>
  <c r="V42" i="75"/>
  <c r="T42" i="75"/>
  <c r="AM41" i="75"/>
  <c r="AL41" i="75"/>
  <c r="AK41" i="75"/>
  <c r="AJ41" i="75"/>
  <c r="AI41" i="75"/>
  <c r="AH41" i="75"/>
  <c r="AG41" i="75"/>
  <c r="AF41" i="75"/>
  <c r="AE41" i="75"/>
  <c r="AD41" i="75"/>
  <c r="Y41" i="75"/>
  <c r="V41" i="75"/>
  <c r="T41" i="75"/>
  <c r="AM40" i="75"/>
  <c r="AL40" i="75"/>
  <c r="AK40" i="75"/>
  <c r="AJ40" i="75"/>
  <c r="AI40" i="75"/>
  <c r="AH40" i="75"/>
  <c r="AG40" i="75"/>
  <c r="AF40" i="75"/>
  <c r="AE40" i="75"/>
  <c r="AD40" i="75"/>
  <c r="Y40" i="75"/>
  <c r="V40" i="75"/>
  <c r="T40" i="75"/>
  <c r="AM39" i="75"/>
  <c r="AL39" i="75"/>
  <c r="AK39" i="75"/>
  <c r="AJ39" i="75"/>
  <c r="AI39" i="75"/>
  <c r="AH39" i="75"/>
  <c r="AG39" i="75"/>
  <c r="AF39" i="75"/>
  <c r="AE39" i="75"/>
  <c r="AD39" i="75"/>
  <c r="Y39" i="75"/>
  <c r="W39" i="75"/>
  <c r="V39" i="75"/>
  <c r="T39" i="75"/>
  <c r="AM38" i="75"/>
  <c r="AL38" i="75"/>
  <c r="AK38" i="75"/>
  <c r="AJ38" i="75"/>
  <c r="AI38" i="75"/>
  <c r="AH38" i="75"/>
  <c r="AG38" i="75"/>
  <c r="AF38" i="75"/>
  <c r="AE38" i="75"/>
  <c r="AD38" i="75"/>
  <c r="Y38" i="75"/>
  <c r="V38" i="75"/>
  <c r="T38" i="75"/>
  <c r="AM37" i="75"/>
  <c r="AL37" i="75"/>
  <c r="AK37" i="75"/>
  <c r="AJ37" i="75"/>
  <c r="AI37" i="75"/>
  <c r="AH37" i="75"/>
  <c r="AG37" i="75"/>
  <c r="AF37" i="75"/>
  <c r="AE37" i="75"/>
  <c r="AD37" i="75"/>
  <c r="Y37" i="75"/>
  <c r="V37" i="75"/>
  <c r="T37" i="75"/>
  <c r="AM36" i="75"/>
  <c r="AL36" i="75"/>
  <c r="AK36" i="75"/>
  <c r="AJ36" i="75"/>
  <c r="AI36" i="75"/>
  <c r="AH36" i="75"/>
  <c r="AG36" i="75"/>
  <c r="AF36" i="75"/>
  <c r="AE36" i="75"/>
  <c r="AD36" i="75"/>
  <c r="Y36" i="75"/>
  <c r="V36" i="75"/>
  <c r="T36" i="75"/>
  <c r="AM35" i="75"/>
  <c r="AL35" i="75"/>
  <c r="AK35" i="75"/>
  <c r="AJ35" i="75"/>
  <c r="AI35" i="75"/>
  <c r="AH35" i="75"/>
  <c r="AG35" i="75"/>
  <c r="AF35" i="75"/>
  <c r="AE35" i="75"/>
  <c r="AD35" i="75"/>
  <c r="Y35" i="75"/>
  <c r="W35" i="75"/>
  <c r="V35" i="75"/>
  <c r="T35" i="75"/>
  <c r="AM34" i="75"/>
  <c r="AL34" i="75"/>
  <c r="AK34" i="75"/>
  <c r="AJ34" i="75"/>
  <c r="AI34" i="75"/>
  <c r="AH34" i="75"/>
  <c r="AG34" i="75"/>
  <c r="AF34" i="75"/>
  <c r="AE34" i="75"/>
  <c r="AD34" i="75"/>
  <c r="Y34" i="75"/>
  <c r="V34" i="75"/>
  <c r="T34" i="75"/>
  <c r="AM33" i="75"/>
  <c r="AL33" i="75"/>
  <c r="AK33" i="75"/>
  <c r="AJ33" i="75"/>
  <c r="AI33" i="75"/>
  <c r="AH33" i="75"/>
  <c r="AG33" i="75"/>
  <c r="AF33" i="75"/>
  <c r="AE33" i="75"/>
  <c r="AD33" i="75"/>
  <c r="Y33" i="75"/>
  <c r="V33" i="75"/>
  <c r="T33" i="75"/>
  <c r="AM32" i="75"/>
  <c r="AL32" i="75"/>
  <c r="AK32" i="75"/>
  <c r="AJ32" i="75"/>
  <c r="AI32" i="75"/>
  <c r="AH32" i="75"/>
  <c r="AG32" i="75"/>
  <c r="AF32" i="75"/>
  <c r="AE32" i="75"/>
  <c r="AD32" i="75"/>
  <c r="AN32" i="75" s="1"/>
  <c r="Y32" i="75"/>
  <c r="V32" i="75"/>
  <c r="T32" i="75"/>
  <c r="AM31" i="75"/>
  <c r="AL31" i="75"/>
  <c r="AK31" i="75"/>
  <c r="AJ31" i="75"/>
  <c r="AI31" i="75"/>
  <c r="AH31" i="75"/>
  <c r="AG31" i="75"/>
  <c r="AF31" i="75"/>
  <c r="AE31" i="75"/>
  <c r="AD31" i="75"/>
  <c r="Y31" i="75"/>
  <c r="W31" i="75"/>
  <c r="V31" i="75"/>
  <c r="T31" i="75"/>
  <c r="AM30" i="75"/>
  <c r="AL30" i="75"/>
  <c r="AK30" i="75"/>
  <c r="AJ30" i="75"/>
  <c r="AI30" i="75"/>
  <c r="AH30" i="75"/>
  <c r="AG30" i="75"/>
  <c r="AF30" i="75"/>
  <c r="AE30" i="75"/>
  <c r="AD30" i="75"/>
  <c r="Y30" i="75"/>
  <c r="V30" i="75"/>
  <c r="T30" i="75"/>
  <c r="AM29" i="75"/>
  <c r="AL29" i="75"/>
  <c r="AK29" i="75"/>
  <c r="AJ29" i="75"/>
  <c r="AI29" i="75"/>
  <c r="AH29" i="75"/>
  <c r="AG29" i="75"/>
  <c r="AF29" i="75"/>
  <c r="AE29" i="75"/>
  <c r="AD29" i="75"/>
  <c r="Y29" i="75"/>
  <c r="V29" i="75"/>
  <c r="T29" i="75"/>
  <c r="AM28" i="75"/>
  <c r="AL28" i="75"/>
  <c r="AK28" i="75"/>
  <c r="AJ28" i="75"/>
  <c r="AI28" i="75"/>
  <c r="AH28" i="75"/>
  <c r="AG28" i="75"/>
  <c r="AF28" i="75"/>
  <c r="AE28" i="75"/>
  <c r="AD28" i="75"/>
  <c r="Y28" i="75"/>
  <c r="V28" i="75"/>
  <c r="T28" i="75"/>
  <c r="AM27" i="75"/>
  <c r="AL27" i="75"/>
  <c r="AK27" i="75"/>
  <c r="AJ27" i="75"/>
  <c r="AI27" i="75"/>
  <c r="AH27" i="75"/>
  <c r="AG27" i="75"/>
  <c r="AF27" i="75"/>
  <c r="AE27" i="75"/>
  <c r="AD27" i="75"/>
  <c r="Y27" i="75"/>
  <c r="W27" i="75"/>
  <c r="V27" i="75"/>
  <c r="T27" i="75"/>
  <c r="AM26" i="75"/>
  <c r="AL26" i="75"/>
  <c r="AK26" i="75"/>
  <c r="AJ26" i="75"/>
  <c r="AI26" i="75"/>
  <c r="AH26" i="75"/>
  <c r="AG26" i="75"/>
  <c r="AF26" i="75"/>
  <c r="AE26" i="75"/>
  <c r="AD26" i="75"/>
  <c r="Y26" i="75"/>
  <c r="V26" i="75"/>
  <c r="T26" i="75"/>
  <c r="AM25" i="75"/>
  <c r="AL25" i="75"/>
  <c r="AK25" i="75"/>
  <c r="AJ25" i="75"/>
  <c r="AI25" i="75"/>
  <c r="AH25" i="75"/>
  <c r="AG25" i="75"/>
  <c r="AF25" i="75"/>
  <c r="AE25" i="75"/>
  <c r="AD25" i="75"/>
  <c r="Y25" i="75"/>
  <c r="V25" i="75"/>
  <c r="T25" i="75"/>
  <c r="AM24" i="75"/>
  <c r="AL24" i="75"/>
  <c r="AK24" i="75"/>
  <c r="AJ24" i="75"/>
  <c r="AI24" i="75"/>
  <c r="AH24" i="75"/>
  <c r="AG24" i="75"/>
  <c r="AF24" i="75"/>
  <c r="AE24" i="75"/>
  <c r="AD24" i="75"/>
  <c r="AN24" i="75" s="1"/>
  <c r="Y24" i="75"/>
  <c r="V24" i="75"/>
  <c r="T24" i="75"/>
  <c r="AM23" i="75"/>
  <c r="AL23" i="75"/>
  <c r="AK23" i="75"/>
  <c r="AJ23" i="75"/>
  <c r="AI23" i="75"/>
  <c r="AH23" i="75"/>
  <c r="AG23" i="75"/>
  <c r="AF23" i="75"/>
  <c r="AE23" i="75"/>
  <c r="AN23" i="75" s="1"/>
  <c r="AD23" i="75"/>
  <c r="Y23" i="75"/>
  <c r="W23" i="75"/>
  <c r="V23" i="75"/>
  <c r="T23" i="75"/>
  <c r="AM22" i="75"/>
  <c r="AL22" i="75"/>
  <c r="AK22" i="75"/>
  <c r="AJ22" i="75"/>
  <c r="AI22" i="75"/>
  <c r="AH22" i="75"/>
  <c r="AG22" i="75"/>
  <c r="AF22" i="75"/>
  <c r="AE22" i="75"/>
  <c r="AD22" i="75"/>
  <c r="Y22" i="75"/>
  <c r="V22" i="75"/>
  <c r="T22" i="75"/>
  <c r="AM21" i="75"/>
  <c r="AL21" i="75"/>
  <c r="AK21" i="75"/>
  <c r="AJ21" i="75"/>
  <c r="AI21" i="75"/>
  <c r="AH21" i="75"/>
  <c r="AG21" i="75"/>
  <c r="AF21" i="75"/>
  <c r="AE21" i="75"/>
  <c r="AD21" i="75"/>
  <c r="Y21" i="75"/>
  <c r="V21" i="75"/>
  <c r="T21" i="75"/>
  <c r="AM20" i="75"/>
  <c r="AL20" i="75"/>
  <c r="AK20" i="75"/>
  <c r="AJ20" i="75"/>
  <c r="AI20" i="75"/>
  <c r="AH20" i="75"/>
  <c r="AG20" i="75"/>
  <c r="AF20" i="75"/>
  <c r="AE20" i="75"/>
  <c r="AD20" i="75"/>
  <c r="AN20" i="75" s="1"/>
  <c r="Y20" i="75"/>
  <c r="V20" i="75"/>
  <c r="T20" i="75"/>
  <c r="AM19" i="75"/>
  <c r="AL19" i="75"/>
  <c r="AK19" i="75"/>
  <c r="AJ19" i="75"/>
  <c r="AI19" i="75"/>
  <c r="AH19" i="75"/>
  <c r="AG19" i="75"/>
  <c r="AF19" i="75"/>
  <c r="AE19" i="75"/>
  <c r="AD19" i="75"/>
  <c r="Y19" i="75"/>
  <c r="W19" i="75"/>
  <c r="V19" i="75"/>
  <c r="T19" i="75"/>
  <c r="AM18" i="75"/>
  <c r="AL18" i="75"/>
  <c r="AK18" i="75"/>
  <c r="AJ18" i="75"/>
  <c r="AI18" i="75"/>
  <c r="AH18" i="75"/>
  <c r="AG18" i="75"/>
  <c r="AF18" i="75"/>
  <c r="AE18" i="75"/>
  <c r="AD18" i="75"/>
  <c r="Y18" i="75"/>
  <c r="V18" i="75"/>
  <c r="T18" i="75"/>
  <c r="AM17" i="75"/>
  <c r="AL17" i="75"/>
  <c r="AK17" i="75"/>
  <c r="AJ17" i="75"/>
  <c r="AI17" i="75"/>
  <c r="AH17" i="75"/>
  <c r="AG17" i="75"/>
  <c r="AF17" i="75"/>
  <c r="AE17" i="75"/>
  <c r="AD17" i="75"/>
  <c r="AN17" i="75" s="1"/>
  <c r="Y17" i="75"/>
  <c r="V17" i="75"/>
  <c r="T17" i="75"/>
  <c r="AM16" i="75"/>
  <c r="AL16" i="75"/>
  <c r="AK16" i="75"/>
  <c r="AJ16" i="75"/>
  <c r="AI16" i="75"/>
  <c r="AH16" i="75"/>
  <c r="AG16" i="75"/>
  <c r="AF16" i="75"/>
  <c r="AE16" i="75"/>
  <c r="AD16" i="75"/>
  <c r="Y16" i="75"/>
  <c r="V16" i="75"/>
  <c r="T16" i="75"/>
  <c r="AM15" i="75"/>
  <c r="AL15" i="75"/>
  <c r="AK15" i="75"/>
  <c r="AJ15" i="75"/>
  <c r="AI15" i="75"/>
  <c r="AH15" i="75"/>
  <c r="AG15" i="75"/>
  <c r="AF15" i="75"/>
  <c r="AE15" i="75"/>
  <c r="AD15" i="75"/>
  <c r="Y15" i="75"/>
  <c r="V15" i="75"/>
  <c r="T15" i="75"/>
  <c r="AM14" i="75"/>
  <c r="AL14" i="75"/>
  <c r="AK14" i="75"/>
  <c r="AJ14" i="75"/>
  <c r="AI14" i="75"/>
  <c r="AH14" i="75"/>
  <c r="AG14" i="75"/>
  <c r="AF14" i="75"/>
  <c r="AE14" i="75"/>
  <c r="AD14" i="75"/>
  <c r="Y14" i="75"/>
  <c r="V14" i="75"/>
  <c r="T14" i="75"/>
  <c r="AM13" i="75"/>
  <c r="AL13" i="75"/>
  <c r="AK13" i="75"/>
  <c r="AJ13" i="75"/>
  <c r="AI13" i="75"/>
  <c r="AH13" i="75"/>
  <c r="AG13" i="75"/>
  <c r="AF13" i="75"/>
  <c r="AE13" i="75"/>
  <c r="AD13" i="75"/>
  <c r="AN13" i="75" s="1"/>
  <c r="Y13" i="75"/>
  <c r="V13" i="75"/>
  <c r="T13" i="75"/>
  <c r="AM12" i="75"/>
  <c r="AL12" i="75"/>
  <c r="AK12" i="75"/>
  <c r="AJ12" i="75"/>
  <c r="AI12" i="75"/>
  <c r="AH12" i="75"/>
  <c r="AG12" i="75"/>
  <c r="AF12" i="75"/>
  <c r="AE12" i="75"/>
  <c r="AD12" i="75"/>
  <c r="Y12" i="75"/>
  <c r="V12" i="75"/>
  <c r="T12" i="75"/>
  <c r="A12" i="75"/>
  <c r="AM11" i="75"/>
  <c r="AL11" i="75"/>
  <c r="AK11" i="75"/>
  <c r="AJ11" i="75"/>
  <c r="AI11" i="75"/>
  <c r="AH11" i="75"/>
  <c r="AG11" i="75"/>
  <c r="AF11" i="75"/>
  <c r="AE11" i="75"/>
  <c r="AD11" i="75"/>
  <c r="Y11" i="75"/>
  <c r="W11" i="75"/>
  <c r="V11" i="75"/>
  <c r="T11" i="75"/>
  <c r="AM10" i="75"/>
  <c r="AL10" i="75"/>
  <c r="AK10" i="75"/>
  <c r="AJ10" i="75"/>
  <c r="AI10" i="75"/>
  <c r="AH10" i="75"/>
  <c r="AG10" i="75"/>
  <c r="AF10" i="75"/>
  <c r="AE10" i="75"/>
  <c r="AD10" i="75"/>
  <c r="Y10" i="75"/>
  <c r="V10" i="75"/>
  <c r="T10" i="75"/>
  <c r="A10" i="75"/>
  <c r="AM9" i="75"/>
  <c r="AL9" i="75"/>
  <c r="AK9" i="75"/>
  <c r="AJ9" i="75"/>
  <c r="AI9" i="75"/>
  <c r="AH9" i="75"/>
  <c r="AG9" i="75"/>
  <c r="AF9" i="75"/>
  <c r="AE9" i="75"/>
  <c r="AD9" i="75"/>
  <c r="Y9" i="75"/>
  <c r="W9" i="75"/>
  <c r="V9" i="75"/>
  <c r="U9" i="75"/>
  <c r="T9" i="75"/>
  <c r="AM8" i="75"/>
  <c r="AL8" i="75"/>
  <c r="AK8" i="75"/>
  <c r="AJ8" i="75"/>
  <c r="AI8" i="75"/>
  <c r="AH8" i="75"/>
  <c r="AG8" i="75"/>
  <c r="AF8" i="75"/>
  <c r="AD8" i="75"/>
  <c r="AN8" i="75" s="1"/>
  <c r="Y8" i="75"/>
  <c r="W8" i="75"/>
  <c r="V8" i="75"/>
  <c r="T8" i="75"/>
  <c r="AM7" i="75"/>
  <c r="AL7" i="75"/>
  <c r="AK7" i="75"/>
  <c r="AJ7" i="75"/>
  <c r="AI7" i="75"/>
  <c r="AH7" i="75"/>
  <c r="AG7" i="75"/>
  <c r="AF7" i="75"/>
  <c r="AD7" i="75"/>
  <c r="AN7" i="75" s="1"/>
  <c r="Y7" i="75"/>
  <c r="V7" i="75"/>
  <c r="T7" i="75"/>
  <c r="AM6" i="75"/>
  <c r="AK6" i="75"/>
  <c r="AG6" i="75"/>
  <c r="AL6" i="75" s="1"/>
  <c r="AF6" i="75"/>
  <c r="AD6" i="75"/>
  <c r="Y6" i="75"/>
  <c r="A14" i="75" s="1"/>
  <c r="V6" i="75"/>
  <c r="U6" i="75"/>
  <c r="T6" i="75"/>
  <c r="AH6" i="75" s="1"/>
  <c r="AI6" i="75" s="1"/>
  <c r="A6" i="75"/>
  <c r="AM5" i="75"/>
  <c r="AL5" i="75"/>
  <c r="AK5" i="75"/>
  <c r="AJ5" i="75"/>
  <c r="AI5" i="75"/>
  <c r="AH5" i="75"/>
  <c r="AG5" i="75"/>
  <c r="AF5" i="75"/>
  <c r="AD5" i="75"/>
  <c r="AN5" i="75" s="1"/>
  <c r="Y5" i="75"/>
  <c r="W5" i="75"/>
  <c r="V5" i="75"/>
  <c r="U5" i="75"/>
  <c r="A16" i="75" s="1"/>
  <c r="T5" i="75"/>
  <c r="F1" i="75"/>
  <c r="AM67" i="47"/>
  <c r="AL67" i="47"/>
  <c r="AK67" i="47"/>
  <c r="AJ67" i="47"/>
  <c r="AI67" i="47"/>
  <c r="AH67" i="47"/>
  <c r="AG67" i="47"/>
  <c r="AF67" i="47"/>
  <c r="AE67" i="47"/>
  <c r="AD67" i="47"/>
  <c r="Y67" i="47"/>
  <c r="V67" i="47"/>
  <c r="T67" i="47"/>
  <c r="AM66" i="47"/>
  <c r="AL66" i="47"/>
  <c r="AK66" i="47"/>
  <c r="AJ66" i="47"/>
  <c r="AI66" i="47"/>
  <c r="AH66" i="47"/>
  <c r="AG66" i="47"/>
  <c r="AF66" i="47"/>
  <c r="AE66" i="47"/>
  <c r="AD66" i="47"/>
  <c r="Y66" i="47"/>
  <c r="V66" i="47"/>
  <c r="T66" i="47"/>
  <c r="AM65" i="47"/>
  <c r="AL65" i="47"/>
  <c r="AK65" i="47"/>
  <c r="AJ65" i="47"/>
  <c r="AI65" i="47"/>
  <c r="AH65" i="47"/>
  <c r="AG65" i="47"/>
  <c r="AF65" i="47"/>
  <c r="AE65" i="47"/>
  <c r="AD65" i="47"/>
  <c r="Y65" i="47"/>
  <c r="V65" i="47"/>
  <c r="T65" i="47"/>
  <c r="AM64" i="47"/>
  <c r="AL64" i="47"/>
  <c r="AK64" i="47"/>
  <c r="AJ64" i="47"/>
  <c r="AI64" i="47"/>
  <c r="AH64" i="47"/>
  <c r="AG64" i="47"/>
  <c r="AF64" i="47"/>
  <c r="AE64" i="47"/>
  <c r="AD64" i="47"/>
  <c r="AN64" i="47" s="1"/>
  <c r="Y64" i="47"/>
  <c r="V64" i="47"/>
  <c r="T64" i="47"/>
  <c r="AM63" i="47"/>
  <c r="AL63" i="47"/>
  <c r="AK63" i="47"/>
  <c r="AJ63" i="47"/>
  <c r="AI63" i="47"/>
  <c r="AH63" i="47"/>
  <c r="AG63" i="47"/>
  <c r="AF63" i="47"/>
  <c r="AE63" i="47"/>
  <c r="AD63" i="47"/>
  <c r="Y63" i="47"/>
  <c r="V63" i="47"/>
  <c r="T63" i="47"/>
  <c r="AM62" i="47"/>
  <c r="AL62" i="47"/>
  <c r="AK62" i="47"/>
  <c r="AJ62" i="47"/>
  <c r="AI62" i="47"/>
  <c r="AH62" i="47"/>
  <c r="AG62" i="47"/>
  <c r="AF62" i="47"/>
  <c r="AE62" i="47"/>
  <c r="AD62" i="47"/>
  <c r="Y62" i="47"/>
  <c r="V62" i="47"/>
  <c r="T62" i="47"/>
  <c r="AM61" i="47"/>
  <c r="AL61" i="47"/>
  <c r="AK61" i="47"/>
  <c r="AJ61" i="47"/>
  <c r="AI61" i="47"/>
  <c r="AH61" i="47"/>
  <c r="AG61" i="47"/>
  <c r="AF61" i="47"/>
  <c r="AE61" i="47"/>
  <c r="AD61" i="47"/>
  <c r="Y61" i="47"/>
  <c r="V61" i="47"/>
  <c r="T61" i="47"/>
  <c r="AM60" i="47"/>
  <c r="AL60" i="47"/>
  <c r="AK60" i="47"/>
  <c r="AJ60" i="47"/>
  <c r="AI60" i="47"/>
  <c r="AH60" i="47"/>
  <c r="AG60" i="47"/>
  <c r="AF60" i="47"/>
  <c r="AE60" i="47"/>
  <c r="AN60" i="47" s="1"/>
  <c r="AD60" i="47"/>
  <c r="Y60" i="47"/>
  <c r="V60" i="47"/>
  <c r="T60" i="47"/>
  <c r="AM59" i="47"/>
  <c r="AL59" i="47"/>
  <c r="AK59" i="47"/>
  <c r="AJ59" i="47"/>
  <c r="AI59" i="47"/>
  <c r="AH59" i="47"/>
  <c r="AG59" i="47"/>
  <c r="AF59" i="47"/>
  <c r="AE59" i="47"/>
  <c r="AD59" i="47"/>
  <c r="Y59" i="47"/>
  <c r="V59" i="47"/>
  <c r="T59" i="47"/>
  <c r="AM58" i="47"/>
  <c r="AL58" i="47"/>
  <c r="AK58" i="47"/>
  <c r="AJ58" i="47"/>
  <c r="AI58" i="47"/>
  <c r="AH58" i="47"/>
  <c r="AG58" i="47"/>
  <c r="AF58" i="47"/>
  <c r="AE58" i="47"/>
  <c r="AD58" i="47"/>
  <c r="Y58" i="47"/>
  <c r="V58" i="47"/>
  <c r="T58" i="47"/>
  <c r="AM57" i="47"/>
  <c r="AL57" i="47"/>
  <c r="AK57" i="47"/>
  <c r="AJ57" i="47"/>
  <c r="AI57" i="47"/>
  <c r="AH57" i="47"/>
  <c r="AG57" i="47"/>
  <c r="AF57" i="47"/>
  <c r="AE57" i="47"/>
  <c r="AN57" i="47" s="1"/>
  <c r="AD57" i="47"/>
  <c r="Y57" i="47"/>
  <c r="V57" i="47"/>
  <c r="T57" i="47"/>
  <c r="AM56" i="47"/>
  <c r="AL56" i="47"/>
  <c r="AK56" i="47"/>
  <c r="AJ56" i="47"/>
  <c r="AI56" i="47"/>
  <c r="AH56" i="47"/>
  <c r="AG56" i="47"/>
  <c r="AF56" i="47"/>
  <c r="AE56" i="47"/>
  <c r="AD56" i="47"/>
  <c r="Y56" i="47"/>
  <c r="V56" i="47"/>
  <c r="T56" i="47"/>
  <c r="AM55" i="47"/>
  <c r="AL55" i="47"/>
  <c r="AK55" i="47"/>
  <c r="AJ55" i="47"/>
  <c r="AI55" i="47"/>
  <c r="AH55" i="47"/>
  <c r="AG55" i="47"/>
  <c r="AF55" i="47"/>
  <c r="AE55" i="47"/>
  <c r="AD55" i="47"/>
  <c r="Y55" i="47"/>
  <c r="V55" i="47"/>
  <c r="T55" i="47"/>
  <c r="AM54" i="47"/>
  <c r="AL54" i="47"/>
  <c r="AK54" i="47"/>
  <c r="AJ54" i="47"/>
  <c r="AI54" i="47"/>
  <c r="AH54" i="47"/>
  <c r="AG54" i="47"/>
  <c r="AF54" i="47"/>
  <c r="AE54" i="47"/>
  <c r="AD54" i="47"/>
  <c r="Y54" i="47"/>
  <c r="V54" i="47"/>
  <c r="T54" i="47"/>
  <c r="AM53" i="47"/>
  <c r="AL53" i="47"/>
  <c r="AK53" i="47"/>
  <c r="AJ53" i="47"/>
  <c r="AI53" i="47"/>
  <c r="AH53" i="47"/>
  <c r="AG53" i="47"/>
  <c r="AF53" i="47"/>
  <c r="AE53" i="47"/>
  <c r="AD53" i="47"/>
  <c r="Y53" i="47"/>
  <c r="V53" i="47"/>
  <c r="T53" i="47"/>
  <c r="AM52" i="47"/>
  <c r="AL52" i="47"/>
  <c r="AK52" i="47"/>
  <c r="AJ52" i="47"/>
  <c r="AI52" i="47"/>
  <c r="AH52" i="47"/>
  <c r="AG52" i="47"/>
  <c r="AF52" i="47"/>
  <c r="AE52" i="47"/>
  <c r="AD52" i="47"/>
  <c r="Y52" i="47"/>
  <c r="V52" i="47"/>
  <c r="T52" i="47"/>
  <c r="AM51" i="47"/>
  <c r="AL51" i="47"/>
  <c r="AK51" i="47"/>
  <c r="AJ51" i="47"/>
  <c r="AI51" i="47"/>
  <c r="AH51" i="47"/>
  <c r="AG51" i="47"/>
  <c r="AF51" i="47"/>
  <c r="AE51" i="47"/>
  <c r="AN51" i="47" s="1"/>
  <c r="AD51" i="47"/>
  <c r="Y51" i="47"/>
  <c r="V51" i="47"/>
  <c r="T51" i="47"/>
  <c r="AM50" i="47"/>
  <c r="AL50" i="47"/>
  <c r="AK50" i="47"/>
  <c r="AJ50" i="47"/>
  <c r="AI50" i="47"/>
  <c r="AH50" i="47"/>
  <c r="AG50" i="47"/>
  <c r="AF50" i="47"/>
  <c r="AE50" i="47"/>
  <c r="AD50" i="47"/>
  <c r="AN50" i="47" s="1"/>
  <c r="Y50" i="47"/>
  <c r="V50" i="47"/>
  <c r="T50" i="47"/>
  <c r="AM49" i="47"/>
  <c r="AL49" i="47"/>
  <c r="AK49" i="47"/>
  <c r="AJ49" i="47"/>
  <c r="AI49" i="47"/>
  <c r="AH49" i="47"/>
  <c r="AG49" i="47"/>
  <c r="AF49" i="47"/>
  <c r="AE49" i="47"/>
  <c r="AD49" i="47"/>
  <c r="Y49" i="47"/>
  <c r="V49" i="47"/>
  <c r="T49" i="47"/>
  <c r="AM48" i="47"/>
  <c r="AL48" i="47"/>
  <c r="AK48" i="47"/>
  <c r="AJ48" i="47"/>
  <c r="AI48" i="47"/>
  <c r="AH48" i="47"/>
  <c r="AG48" i="47"/>
  <c r="AF48" i="47"/>
  <c r="AE48" i="47"/>
  <c r="AN48" i="47" s="1"/>
  <c r="AD48" i="47"/>
  <c r="Y48" i="47"/>
  <c r="V48" i="47"/>
  <c r="T48" i="47"/>
  <c r="AM47" i="47"/>
  <c r="AL47" i="47"/>
  <c r="AK47" i="47"/>
  <c r="AJ47" i="47"/>
  <c r="AI47" i="47"/>
  <c r="AH47" i="47"/>
  <c r="AG47" i="47"/>
  <c r="AF47" i="47"/>
  <c r="AE47" i="47"/>
  <c r="AD47" i="47"/>
  <c r="Y47" i="47"/>
  <c r="V47" i="47"/>
  <c r="T47" i="47"/>
  <c r="AM46" i="47"/>
  <c r="AL46" i="47"/>
  <c r="AK46" i="47"/>
  <c r="AJ46" i="47"/>
  <c r="AI46" i="47"/>
  <c r="AH46" i="47"/>
  <c r="AG46" i="47"/>
  <c r="AF46" i="47"/>
  <c r="AE46" i="47"/>
  <c r="AD46" i="47"/>
  <c r="Y46" i="47"/>
  <c r="V46" i="47"/>
  <c r="T46" i="47"/>
  <c r="AM45" i="47"/>
  <c r="AL45" i="47"/>
  <c r="AK45" i="47"/>
  <c r="AJ45" i="47"/>
  <c r="AI45" i="47"/>
  <c r="AH45" i="47"/>
  <c r="AG45" i="47"/>
  <c r="AF45" i="47"/>
  <c r="AE45" i="47"/>
  <c r="AD45" i="47"/>
  <c r="Y45" i="47"/>
  <c r="V45" i="47"/>
  <c r="T45" i="47"/>
  <c r="AM44" i="47"/>
  <c r="AL44" i="47"/>
  <c r="AK44" i="47"/>
  <c r="AJ44" i="47"/>
  <c r="AI44" i="47"/>
  <c r="AH44" i="47"/>
  <c r="AG44" i="47"/>
  <c r="AF44" i="47"/>
  <c r="AE44" i="47"/>
  <c r="AD44" i="47"/>
  <c r="Y44" i="47"/>
  <c r="V44" i="47"/>
  <c r="T44" i="47"/>
  <c r="AM43" i="47"/>
  <c r="AL43" i="47"/>
  <c r="AK43" i="47"/>
  <c r="AJ43" i="47"/>
  <c r="AI43" i="47"/>
  <c r="AH43" i="47"/>
  <c r="AG43" i="47"/>
  <c r="AF43" i="47"/>
  <c r="AE43" i="47"/>
  <c r="AD43" i="47"/>
  <c r="Y43" i="47"/>
  <c r="V43" i="47"/>
  <c r="T43" i="47"/>
  <c r="AM42" i="47"/>
  <c r="AL42" i="47"/>
  <c r="AK42" i="47"/>
  <c r="AJ42" i="47"/>
  <c r="AI42" i="47"/>
  <c r="AH42" i="47"/>
  <c r="AG42" i="47"/>
  <c r="AF42" i="47"/>
  <c r="AE42" i="47"/>
  <c r="AD42" i="47"/>
  <c r="Y42" i="47"/>
  <c r="V42" i="47"/>
  <c r="T42" i="47"/>
  <c r="AM41" i="47"/>
  <c r="AL41" i="47"/>
  <c r="AK41" i="47"/>
  <c r="AJ41" i="47"/>
  <c r="AI41" i="47"/>
  <c r="AH41" i="47"/>
  <c r="AG41" i="47"/>
  <c r="AF41" i="47"/>
  <c r="AE41" i="47"/>
  <c r="AD41" i="47"/>
  <c r="AN41" i="47" s="1"/>
  <c r="Y41" i="47"/>
  <c r="V41" i="47"/>
  <c r="T41" i="47"/>
  <c r="AM40" i="47"/>
  <c r="AL40" i="47"/>
  <c r="AK40" i="47"/>
  <c r="AJ40" i="47"/>
  <c r="AI40" i="47"/>
  <c r="AH40" i="47"/>
  <c r="AG40" i="47"/>
  <c r="AF40" i="47"/>
  <c r="AE40" i="47"/>
  <c r="AD40" i="47"/>
  <c r="AN40" i="47" s="1"/>
  <c r="Y40" i="47"/>
  <c r="V40" i="47"/>
  <c r="T40" i="47"/>
  <c r="AM39" i="47"/>
  <c r="AL39" i="47"/>
  <c r="AK39" i="47"/>
  <c r="AJ39" i="47"/>
  <c r="AI39" i="47"/>
  <c r="AH39" i="47"/>
  <c r="AG39" i="47"/>
  <c r="AF39" i="47"/>
  <c r="AE39" i="47"/>
  <c r="AD39" i="47"/>
  <c r="Y39" i="47"/>
  <c r="V39" i="47"/>
  <c r="T39" i="47"/>
  <c r="AM38" i="47"/>
  <c r="AL38" i="47"/>
  <c r="AK38" i="47"/>
  <c r="AJ38" i="47"/>
  <c r="AI38" i="47"/>
  <c r="AH38" i="47"/>
  <c r="AG38" i="47"/>
  <c r="AF38" i="47"/>
  <c r="AE38" i="47"/>
  <c r="AD38" i="47"/>
  <c r="AN38" i="47" s="1"/>
  <c r="Y38" i="47"/>
  <c r="V38" i="47"/>
  <c r="T38" i="47"/>
  <c r="AM37" i="47"/>
  <c r="AL37" i="47"/>
  <c r="AK37" i="47"/>
  <c r="AJ37" i="47"/>
  <c r="AI37" i="47"/>
  <c r="AH37" i="47"/>
  <c r="AG37" i="47"/>
  <c r="AF37" i="47"/>
  <c r="AE37" i="47"/>
  <c r="AD37" i="47"/>
  <c r="Y37" i="47"/>
  <c r="V37" i="47"/>
  <c r="T37" i="47"/>
  <c r="AM36" i="47"/>
  <c r="AL36" i="47"/>
  <c r="AK36" i="47"/>
  <c r="AJ36" i="47"/>
  <c r="AI36" i="47"/>
  <c r="AH36" i="47"/>
  <c r="AG36" i="47"/>
  <c r="AF36" i="47"/>
  <c r="AE36" i="47"/>
  <c r="AD36" i="47"/>
  <c r="AN36" i="47" s="1"/>
  <c r="Y36" i="47"/>
  <c r="V36" i="47"/>
  <c r="T36" i="47"/>
  <c r="AM35" i="47"/>
  <c r="AL35" i="47"/>
  <c r="AK35" i="47"/>
  <c r="AJ35" i="47"/>
  <c r="AI35" i="47"/>
  <c r="AH35" i="47"/>
  <c r="AG35" i="47"/>
  <c r="AF35" i="47"/>
  <c r="AE35" i="47"/>
  <c r="AD35" i="47"/>
  <c r="Y35" i="47"/>
  <c r="V35" i="47"/>
  <c r="T35" i="47"/>
  <c r="AM34" i="47"/>
  <c r="AL34" i="47"/>
  <c r="AK34" i="47"/>
  <c r="AJ34" i="47"/>
  <c r="AI34" i="47"/>
  <c r="AH34" i="47"/>
  <c r="AG34" i="47"/>
  <c r="AF34" i="47"/>
  <c r="AE34" i="47"/>
  <c r="AD34" i="47"/>
  <c r="Y34" i="47"/>
  <c r="V34" i="47"/>
  <c r="T34" i="47"/>
  <c r="AM33" i="47"/>
  <c r="AL33" i="47"/>
  <c r="AK33" i="47"/>
  <c r="AJ33" i="47"/>
  <c r="AI33" i="47"/>
  <c r="AH33" i="47"/>
  <c r="AG33" i="47"/>
  <c r="AF33" i="47"/>
  <c r="AE33" i="47"/>
  <c r="AD33" i="47"/>
  <c r="Y33" i="47"/>
  <c r="V33" i="47"/>
  <c r="T33" i="47"/>
  <c r="AM32" i="47"/>
  <c r="AL32" i="47"/>
  <c r="AK32" i="47"/>
  <c r="AJ32" i="47"/>
  <c r="AI32" i="47"/>
  <c r="AH32" i="47"/>
  <c r="AG32" i="47"/>
  <c r="AF32" i="47"/>
  <c r="AE32" i="47"/>
  <c r="AD32" i="47"/>
  <c r="AN32" i="47" s="1"/>
  <c r="Y32" i="47"/>
  <c r="V32" i="47"/>
  <c r="T32" i="47"/>
  <c r="AM31" i="47"/>
  <c r="AL31" i="47"/>
  <c r="AK31" i="47"/>
  <c r="AJ31" i="47"/>
  <c r="AI31" i="47"/>
  <c r="AH31" i="47"/>
  <c r="AG31" i="47"/>
  <c r="AF31" i="47"/>
  <c r="AE31" i="47"/>
  <c r="AD31" i="47"/>
  <c r="Y31" i="47"/>
  <c r="V31" i="47"/>
  <c r="T31" i="47"/>
  <c r="AM30" i="47"/>
  <c r="AL30" i="47"/>
  <c r="AK30" i="47"/>
  <c r="AJ30" i="47"/>
  <c r="AI30" i="47"/>
  <c r="AH30" i="47"/>
  <c r="AG30" i="47"/>
  <c r="AF30" i="47"/>
  <c r="AE30" i="47"/>
  <c r="AD30" i="47"/>
  <c r="Y30" i="47"/>
  <c r="V30" i="47"/>
  <c r="T30" i="47"/>
  <c r="AM29" i="47"/>
  <c r="AL29" i="47"/>
  <c r="AK29" i="47"/>
  <c r="AJ29" i="47"/>
  <c r="AI29" i="47"/>
  <c r="AH29" i="47"/>
  <c r="AG29" i="47"/>
  <c r="AF29" i="47"/>
  <c r="AE29" i="47"/>
  <c r="AD29" i="47"/>
  <c r="AN29" i="47" s="1"/>
  <c r="Y29" i="47"/>
  <c r="V29" i="47"/>
  <c r="T29" i="47"/>
  <c r="AM28" i="47"/>
  <c r="AL28" i="47"/>
  <c r="AK28" i="47"/>
  <c r="AJ28" i="47"/>
  <c r="AI28" i="47"/>
  <c r="AH28" i="47"/>
  <c r="AG28" i="47"/>
  <c r="AF28" i="47"/>
  <c r="AE28" i="47"/>
  <c r="AD28" i="47"/>
  <c r="AN28" i="47" s="1"/>
  <c r="Y28" i="47"/>
  <c r="V28" i="47"/>
  <c r="T28" i="47"/>
  <c r="AM27" i="47"/>
  <c r="AL27" i="47"/>
  <c r="AK27" i="47"/>
  <c r="AJ27" i="47"/>
  <c r="AI27" i="47"/>
  <c r="AH27" i="47"/>
  <c r="AG27" i="47"/>
  <c r="AF27" i="47"/>
  <c r="AE27" i="47"/>
  <c r="AD27" i="47"/>
  <c r="Y27" i="47"/>
  <c r="V27" i="47"/>
  <c r="T27" i="47"/>
  <c r="AM26" i="47"/>
  <c r="AL26" i="47"/>
  <c r="AK26" i="47"/>
  <c r="AJ26" i="47"/>
  <c r="AI26" i="47"/>
  <c r="AH26" i="47"/>
  <c r="AG26" i="47"/>
  <c r="AF26" i="47"/>
  <c r="AE26" i="47"/>
  <c r="AD26" i="47"/>
  <c r="AN26" i="47" s="1"/>
  <c r="Y26" i="47"/>
  <c r="V26" i="47"/>
  <c r="T26" i="47"/>
  <c r="AM25" i="47"/>
  <c r="AL25" i="47"/>
  <c r="AK25" i="47"/>
  <c r="AJ25" i="47"/>
  <c r="AI25" i="47"/>
  <c r="AH25" i="47"/>
  <c r="AG25" i="47"/>
  <c r="AF25" i="47"/>
  <c r="AE25" i="47"/>
  <c r="AD25" i="47"/>
  <c r="Y25" i="47"/>
  <c r="V25" i="47"/>
  <c r="T25" i="47"/>
  <c r="AM24" i="47"/>
  <c r="AL24" i="47"/>
  <c r="AK24" i="47"/>
  <c r="AJ24" i="47"/>
  <c r="AI24" i="47"/>
  <c r="AH24" i="47"/>
  <c r="AG24" i="47"/>
  <c r="AF24" i="47"/>
  <c r="AE24" i="47"/>
  <c r="AD24" i="47"/>
  <c r="Y24" i="47"/>
  <c r="V24" i="47"/>
  <c r="T24" i="47"/>
  <c r="AM23" i="47"/>
  <c r="AL23" i="47"/>
  <c r="AK23" i="47"/>
  <c r="AJ23" i="47"/>
  <c r="AI23" i="47"/>
  <c r="AH23" i="47"/>
  <c r="AG23" i="47"/>
  <c r="AF23" i="47"/>
  <c r="AE23" i="47"/>
  <c r="AD23" i="47"/>
  <c r="AN23" i="47" s="1"/>
  <c r="Y23" i="47"/>
  <c r="V23" i="47"/>
  <c r="T23" i="47"/>
  <c r="AM22" i="47"/>
  <c r="AL22" i="47"/>
  <c r="AK22" i="47"/>
  <c r="AJ22" i="47"/>
  <c r="AI22" i="47"/>
  <c r="AH22" i="47"/>
  <c r="AG22" i="47"/>
  <c r="AF22" i="47"/>
  <c r="AE22" i="47"/>
  <c r="AD22" i="47"/>
  <c r="AN22" i="47" s="1"/>
  <c r="Y22" i="47"/>
  <c r="V22" i="47"/>
  <c r="T22" i="47"/>
  <c r="AM21" i="47"/>
  <c r="AL21" i="47"/>
  <c r="AK21" i="47"/>
  <c r="AJ21" i="47"/>
  <c r="AI21" i="47"/>
  <c r="AH21" i="47"/>
  <c r="AG21" i="47"/>
  <c r="AF21" i="47"/>
  <c r="AE21" i="47"/>
  <c r="AD21" i="47"/>
  <c r="Y21" i="47"/>
  <c r="V21" i="47"/>
  <c r="T21" i="47"/>
  <c r="AM20" i="47"/>
  <c r="AL20" i="47"/>
  <c r="AK20" i="47"/>
  <c r="AJ20" i="47"/>
  <c r="AI20" i="47"/>
  <c r="AH20" i="47"/>
  <c r="AG20" i="47"/>
  <c r="AF20" i="47"/>
  <c r="AE20" i="47"/>
  <c r="AD20" i="47"/>
  <c r="AN20" i="47" s="1"/>
  <c r="Y20" i="47"/>
  <c r="V20" i="47"/>
  <c r="T20" i="47"/>
  <c r="AM19" i="47"/>
  <c r="AL19" i="47"/>
  <c r="AK19" i="47"/>
  <c r="AJ19" i="47"/>
  <c r="AI19" i="47"/>
  <c r="AH19" i="47"/>
  <c r="AG19" i="47"/>
  <c r="AF19" i="47"/>
  <c r="AE19" i="47"/>
  <c r="AD19" i="47"/>
  <c r="Y19" i="47"/>
  <c r="V19" i="47"/>
  <c r="T19" i="47"/>
  <c r="AM18" i="47"/>
  <c r="AL18" i="47"/>
  <c r="AK18" i="47"/>
  <c r="AJ18" i="47"/>
  <c r="AI18" i="47"/>
  <c r="AH18" i="47"/>
  <c r="AG18" i="47"/>
  <c r="AF18" i="47"/>
  <c r="AE18" i="47"/>
  <c r="AD18" i="47"/>
  <c r="Y18" i="47"/>
  <c r="V18" i="47"/>
  <c r="T18" i="47"/>
  <c r="AM17" i="47"/>
  <c r="AL17" i="47"/>
  <c r="AK17" i="47"/>
  <c r="AJ17" i="47"/>
  <c r="AI17" i="47"/>
  <c r="AH17" i="47"/>
  <c r="AG17" i="47"/>
  <c r="AF17" i="47"/>
  <c r="AE17" i="47"/>
  <c r="AD17" i="47"/>
  <c r="AN17" i="47" s="1"/>
  <c r="Y17" i="47"/>
  <c r="V17" i="47"/>
  <c r="T17" i="47"/>
  <c r="AM16" i="47"/>
  <c r="AL16" i="47"/>
  <c r="AK16" i="47"/>
  <c r="AJ16" i="47"/>
  <c r="AI16" i="47"/>
  <c r="AH16" i="47"/>
  <c r="AG16" i="47"/>
  <c r="AF16" i="47"/>
  <c r="AE16" i="47"/>
  <c r="AD16" i="47"/>
  <c r="AN16" i="47" s="1"/>
  <c r="Y16" i="47"/>
  <c r="V16" i="47"/>
  <c r="T16" i="47"/>
  <c r="AM15" i="47"/>
  <c r="AL15" i="47"/>
  <c r="AK15" i="47"/>
  <c r="AJ15" i="47"/>
  <c r="AI15" i="47"/>
  <c r="AH15" i="47"/>
  <c r="AG15" i="47"/>
  <c r="AF15" i="47"/>
  <c r="AE15" i="47"/>
  <c r="AN15" i="47" s="1"/>
  <c r="AD15" i="47"/>
  <c r="Y15" i="47"/>
  <c r="V15" i="47"/>
  <c r="T15" i="47"/>
  <c r="AM14" i="47"/>
  <c r="AL14" i="47"/>
  <c r="AK14" i="47"/>
  <c r="AJ14" i="47"/>
  <c r="AI14" i="47"/>
  <c r="AH14" i="47"/>
  <c r="AG14" i="47"/>
  <c r="AF14" i="47"/>
  <c r="AE14" i="47"/>
  <c r="AN14" i="47" s="1"/>
  <c r="AD14" i="47"/>
  <c r="Y14" i="47"/>
  <c r="V14" i="47"/>
  <c r="T14" i="47"/>
  <c r="AM13" i="47"/>
  <c r="AL13" i="47"/>
  <c r="AK13" i="47"/>
  <c r="AJ13" i="47"/>
  <c r="AI13" i="47"/>
  <c r="AH13" i="47"/>
  <c r="AG13" i="47"/>
  <c r="AF13" i="47"/>
  <c r="AE13" i="47"/>
  <c r="AD13" i="47"/>
  <c r="AN13" i="47" s="1"/>
  <c r="Y13" i="47"/>
  <c r="V13" i="47"/>
  <c r="T13" i="47"/>
  <c r="AM12" i="47"/>
  <c r="AL12" i="47"/>
  <c r="AK12" i="47"/>
  <c r="AJ12" i="47"/>
  <c r="AI12" i="47"/>
  <c r="AH12" i="47"/>
  <c r="AG12" i="47"/>
  <c r="AF12" i="47"/>
  <c r="AE12" i="47"/>
  <c r="AD12" i="47"/>
  <c r="Y12" i="47"/>
  <c r="V12" i="47"/>
  <c r="T12" i="47"/>
  <c r="A12" i="47"/>
  <c r="AM11" i="47"/>
  <c r="AL11" i="47"/>
  <c r="AK11" i="47"/>
  <c r="AJ11" i="47"/>
  <c r="AI11" i="47"/>
  <c r="AH11" i="47"/>
  <c r="AG11" i="47"/>
  <c r="AF11" i="47"/>
  <c r="AE11" i="47"/>
  <c r="AD11" i="47"/>
  <c r="Y11" i="47"/>
  <c r="V11" i="47"/>
  <c r="T11" i="47"/>
  <c r="AM10" i="47"/>
  <c r="AL10" i="47"/>
  <c r="AK10" i="47"/>
  <c r="AJ10" i="47"/>
  <c r="AI10" i="47"/>
  <c r="AH10" i="47"/>
  <c r="AG10" i="47"/>
  <c r="AF10" i="47"/>
  <c r="AE10" i="47"/>
  <c r="AD10" i="47"/>
  <c r="Y10" i="47"/>
  <c r="V10" i="47"/>
  <c r="T10" i="47"/>
  <c r="A10" i="47"/>
  <c r="W11" i="47" s="1"/>
  <c r="AM9" i="47"/>
  <c r="AL9" i="47"/>
  <c r="AK9" i="47"/>
  <c r="AJ9" i="47"/>
  <c r="AI9" i="47"/>
  <c r="AH9" i="47"/>
  <c r="AG9" i="47"/>
  <c r="AF9" i="47"/>
  <c r="AE9" i="47"/>
  <c r="AD9" i="47"/>
  <c r="Y9" i="47"/>
  <c r="W9" i="47"/>
  <c r="V9" i="47"/>
  <c r="T9" i="47"/>
  <c r="AK8" i="47"/>
  <c r="AF8" i="47"/>
  <c r="AG8" i="47" s="1"/>
  <c r="Y8" i="47"/>
  <c r="V8" i="47"/>
  <c r="T8" i="47"/>
  <c r="AH8" i="47" s="1"/>
  <c r="AI8" i="47" s="1"/>
  <c r="AK7" i="47"/>
  <c r="AF7" i="47"/>
  <c r="AG7" i="47" s="1"/>
  <c r="Y7" i="47"/>
  <c r="V7" i="47"/>
  <c r="T7" i="47"/>
  <c r="AD7" i="47" s="1"/>
  <c r="AM6" i="47"/>
  <c r="AL6" i="47"/>
  <c r="AK6" i="47"/>
  <c r="AJ6" i="47"/>
  <c r="AI6" i="47"/>
  <c r="AH6" i="47"/>
  <c r="AG6" i="47"/>
  <c r="AF6" i="47"/>
  <c r="AD6" i="47"/>
  <c r="AN6" i="47" s="1"/>
  <c r="Y6" i="47"/>
  <c r="V6" i="47"/>
  <c r="T6" i="47"/>
  <c r="A6" i="47"/>
  <c r="AM5" i="47"/>
  <c r="AK5" i="47"/>
  <c r="AH5" i="47"/>
  <c r="AI5" i="47" s="1"/>
  <c r="AF5" i="47"/>
  <c r="AG5" i="47" s="1"/>
  <c r="AD5" i="47"/>
  <c r="Y5" i="47"/>
  <c r="V5" i="47"/>
  <c r="T5" i="47"/>
  <c r="F1" i="47"/>
  <c r="AK82" i="46"/>
  <c r="AF82" i="46"/>
  <c r="AG82" i="46" s="1"/>
  <c r="Y82" i="46"/>
  <c r="V82" i="46"/>
  <c r="T82" i="46"/>
  <c r="AH82" i="46" s="1"/>
  <c r="AI82" i="46" s="1"/>
  <c r="AM81" i="46"/>
  <c r="AK81" i="46"/>
  <c r="AF81" i="46"/>
  <c r="AG81" i="46" s="1"/>
  <c r="Y81" i="46"/>
  <c r="V81" i="46"/>
  <c r="T81" i="46"/>
  <c r="AH81" i="46" s="1"/>
  <c r="AI81" i="46" s="1"/>
  <c r="AK80" i="46"/>
  <c r="AF80" i="46"/>
  <c r="AG80" i="46" s="1"/>
  <c r="Y80" i="46"/>
  <c r="V80" i="46"/>
  <c r="T80" i="46"/>
  <c r="AH80" i="46" s="1"/>
  <c r="AI80" i="46" s="1"/>
  <c r="AK79" i="46"/>
  <c r="AF79" i="46"/>
  <c r="AG79" i="46" s="1"/>
  <c r="Y79" i="46"/>
  <c r="V79" i="46"/>
  <c r="T79" i="46"/>
  <c r="AM79" i="46" s="1"/>
  <c r="AK78" i="46"/>
  <c r="AF78" i="46"/>
  <c r="AG78" i="46" s="1"/>
  <c r="Y78" i="46"/>
  <c r="V78" i="46"/>
  <c r="T78" i="46"/>
  <c r="AM78" i="46" s="1"/>
  <c r="AM77" i="46"/>
  <c r="AK77" i="46"/>
  <c r="AF77" i="46"/>
  <c r="AG77" i="46" s="1"/>
  <c r="Y77" i="46"/>
  <c r="V77" i="46"/>
  <c r="T77" i="46"/>
  <c r="AE77" i="46" s="1"/>
  <c r="AK76" i="46"/>
  <c r="AF76" i="46"/>
  <c r="AG76" i="46" s="1"/>
  <c r="Y76" i="46"/>
  <c r="V76" i="46"/>
  <c r="T76" i="46"/>
  <c r="AH76" i="46" s="1"/>
  <c r="AI76" i="46" s="1"/>
  <c r="AM75" i="46"/>
  <c r="AK75" i="46"/>
  <c r="AF75" i="46"/>
  <c r="AG75" i="46" s="1"/>
  <c r="Y75" i="46"/>
  <c r="V75" i="46"/>
  <c r="T75" i="46"/>
  <c r="AD75" i="46" s="1"/>
  <c r="AM74" i="46"/>
  <c r="AK74" i="46"/>
  <c r="AF74" i="46"/>
  <c r="AG74" i="46" s="1"/>
  <c r="Y74" i="46"/>
  <c r="V74" i="46"/>
  <c r="T74" i="46"/>
  <c r="AH74" i="46" s="1"/>
  <c r="AI74" i="46" s="1"/>
  <c r="AM73" i="46"/>
  <c r="AK73" i="46"/>
  <c r="AF73" i="46"/>
  <c r="AG73" i="46" s="1"/>
  <c r="Y73" i="46"/>
  <c r="V73" i="46"/>
  <c r="T73" i="46"/>
  <c r="AH73" i="46" s="1"/>
  <c r="AI73" i="46" s="1"/>
  <c r="AK72" i="46"/>
  <c r="AF72" i="46"/>
  <c r="AG72" i="46" s="1"/>
  <c r="Y72" i="46"/>
  <c r="V72" i="46"/>
  <c r="T72" i="46"/>
  <c r="AD72" i="46" s="1"/>
  <c r="AM71" i="46"/>
  <c r="AK71" i="46"/>
  <c r="AF71" i="46"/>
  <c r="AG71" i="46" s="1"/>
  <c r="Y71" i="46"/>
  <c r="V71" i="46"/>
  <c r="T71" i="46"/>
  <c r="AH71" i="46" s="1"/>
  <c r="AI71" i="46" s="1"/>
  <c r="AM70" i="46"/>
  <c r="AK70" i="46"/>
  <c r="AF70" i="46"/>
  <c r="AG70" i="46" s="1"/>
  <c r="Y70" i="46"/>
  <c r="V70" i="46"/>
  <c r="T70" i="46"/>
  <c r="AH70" i="46" s="1"/>
  <c r="AI70" i="46" s="1"/>
  <c r="AM69" i="46"/>
  <c r="AK69" i="46"/>
  <c r="AF69" i="46"/>
  <c r="AG69" i="46" s="1"/>
  <c r="Y69" i="46"/>
  <c r="V69" i="46"/>
  <c r="T69" i="46"/>
  <c r="AH69" i="46" s="1"/>
  <c r="AI69" i="46" s="1"/>
  <c r="AK68" i="46"/>
  <c r="AF68" i="46"/>
  <c r="AG68" i="46" s="1"/>
  <c r="Y68" i="46"/>
  <c r="V68" i="46"/>
  <c r="T68" i="46"/>
  <c r="AD68" i="46" s="1"/>
  <c r="AK67" i="46"/>
  <c r="AF67" i="46"/>
  <c r="AG67" i="46" s="1"/>
  <c r="Y67" i="46"/>
  <c r="V67" i="46"/>
  <c r="T67" i="46"/>
  <c r="AE67" i="46" s="1"/>
  <c r="AK66" i="46"/>
  <c r="AF66" i="46"/>
  <c r="AG66" i="46" s="1"/>
  <c r="Y66" i="46"/>
  <c r="V66" i="46"/>
  <c r="T66" i="46"/>
  <c r="AM66" i="46" s="1"/>
  <c r="AK65" i="46"/>
  <c r="AF65" i="46"/>
  <c r="AG65" i="46" s="1"/>
  <c r="Y65" i="46"/>
  <c r="V65" i="46"/>
  <c r="T65" i="46"/>
  <c r="AH65" i="46" s="1"/>
  <c r="AI65" i="46" s="1"/>
  <c r="AK64" i="46"/>
  <c r="AF64" i="46"/>
  <c r="AG64" i="46" s="1"/>
  <c r="Y64" i="46"/>
  <c r="V64" i="46"/>
  <c r="T64" i="46"/>
  <c r="AD64" i="46" s="1"/>
  <c r="AK63" i="46"/>
  <c r="AF63" i="46"/>
  <c r="AG63" i="46" s="1"/>
  <c r="Y63" i="46"/>
  <c r="V63" i="46"/>
  <c r="T63" i="46"/>
  <c r="AH63" i="46" s="1"/>
  <c r="AI63" i="46" s="1"/>
  <c r="AM62" i="46"/>
  <c r="AK62" i="46"/>
  <c r="AF62" i="46"/>
  <c r="AG62" i="46" s="1"/>
  <c r="Y62" i="46"/>
  <c r="V62" i="46"/>
  <c r="T62" i="46"/>
  <c r="AH62" i="46" s="1"/>
  <c r="AI62" i="46" s="1"/>
  <c r="AM61" i="46"/>
  <c r="AK61" i="46"/>
  <c r="AF61" i="46"/>
  <c r="AG61" i="46" s="1"/>
  <c r="Y61" i="46"/>
  <c r="V61" i="46"/>
  <c r="T61" i="46"/>
  <c r="AH61" i="46" s="1"/>
  <c r="AI61" i="46" s="1"/>
  <c r="AM60" i="46"/>
  <c r="AK60" i="46"/>
  <c r="AF60" i="46"/>
  <c r="AG60" i="46" s="1"/>
  <c r="Y60" i="46"/>
  <c r="V60" i="46"/>
  <c r="T60" i="46"/>
  <c r="AH60" i="46" s="1"/>
  <c r="AI60" i="46" s="1"/>
  <c r="AM59" i="46"/>
  <c r="AK59" i="46"/>
  <c r="AF59" i="46"/>
  <c r="AG59" i="46" s="1"/>
  <c r="Y59" i="46"/>
  <c r="V59" i="46"/>
  <c r="T59" i="46"/>
  <c r="AH59" i="46" s="1"/>
  <c r="AI59" i="46" s="1"/>
  <c r="AM58" i="46"/>
  <c r="AK58" i="46"/>
  <c r="AF58" i="46"/>
  <c r="AG58" i="46" s="1"/>
  <c r="Y58" i="46"/>
  <c r="V58" i="46"/>
  <c r="T58" i="46"/>
  <c r="AD58" i="46" s="1"/>
  <c r="AM57" i="46"/>
  <c r="AK57" i="46"/>
  <c r="AF57" i="46"/>
  <c r="AG57" i="46" s="1"/>
  <c r="Y57" i="46"/>
  <c r="V57" i="46"/>
  <c r="T57" i="46"/>
  <c r="AH57" i="46" s="1"/>
  <c r="AI57" i="46" s="1"/>
  <c r="AM56" i="46"/>
  <c r="AK56" i="46"/>
  <c r="AF56" i="46"/>
  <c r="AG56" i="46" s="1"/>
  <c r="Y56" i="46"/>
  <c r="V56" i="46"/>
  <c r="T56" i="46"/>
  <c r="AD56" i="46" s="1"/>
  <c r="AM55" i="46"/>
  <c r="AK55" i="46"/>
  <c r="AF55" i="46"/>
  <c r="AG55" i="46" s="1"/>
  <c r="Y55" i="46"/>
  <c r="V55" i="46"/>
  <c r="T55" i="46"/>
  <c r="AH55" i="46" s="1"/>
  <c r="AI55" i="46" s="1"/>
  <c r="AM54" i="46"/>
  <c r="AK54" i="46"/>
  <c r="AF54" i="46"/>
  <c r="AG54" i="46" s="1"/>
  <c r="Y54" i="46"/>
  <c r="V54" i="46"/>
  <c r="T54" i="46"/>
  <c r="AH54" i="46" s="1"/>
  <c r="AI54" i="46" s="1"/>
  <c r="AM53" i="46"/>
  <c r="AK53" i="46"/>
  <c r="AF53" i="46"/>
  <c r="AG53" i="46" s="1"/>
  <c r="Y53" i="46"/>
  <c r="V53" i="46"/>
  <c r="T53" i="46"/>
  <c r="AE53" i="46" s="1"/>
  <c r="AM52" i="46"/>
  <c r="AK52" i="46"/>
  <c r="AF52" i="46"/>
  <c r="AG52" i="46" s="1"/>
  <c r="Y52" i="46"/>
  <c r="V52" i="46"/>
  <c r="T52" i="46"/>
  <c r="AH52" i="46" s="1"/>
  <c r="AI52" i="46" s="1"/>
  <c r="AM51" i="46"/>
  <c r="AK51" i="46"/>
  <c r="AF51" i="46"/>
  <c r="AG51" i="46" s="1"/>
  <c r="Y51" i="46"/>
  <c r="V51" i="46"/>
  <c r="T51" i="46"/>
  <c r="AH51" i="46" s="1"/>
  <c r="AI51" i="46" s="1"/>
  <c r="AM50" i="46"/>
  <c r="AK50" i="46"/>
  <c r="AF50" i="46"/>
  <c r="AG50" i="46" s="1"/>
  <c r="Y50" i="46"/>
  <c r="V50" i="46"/>
  <c r="T50" i="46"/>
  <c r="AH50" i="46" s="1"/>
  <c r="AI50" i="46" s="1"/>
  <c r="AK49" i="46"/>
  <c r="AF49" i="46"/>
  <c r="AG49" i="46" s="1"/>
  <c r="Y49" i="46"/>
  <c r="V49" i="46"/>
  <c r="T49" i="46"/>
  <c r="AD49" i="46" s="1"/>
  <c r="AK48" i="46"/>
  <c r="AF48" i="46"/>
  <c r="AG48" i="46" s="1"/>
  <c r="Y48" i="46"/>
  <c r="V48" i="46"/>
  <c r="T48" i="46"/>
  <c r="AE48" i="46" s="1"/>
  <c r="AK47" i="46"/>
  <c r="AF47" i="46"/>
  <c r="AG47" i="46" s="1"/>
  <c r="Y47" i="46"/>
  <c r="V47" i="46"/>
  <c r="T47" i="46"/>
  <c r="AH47" i="46" s="1"/>
  <c r="AI47" i="46" s="1"/>
  <c r="AM46" i="46"/>
  <c r="AK46" i="46"/>
  <c r="AF46" i="46"/>
  <c r="AG46" i="46" s="1"/>
  <c r="Y46" i="46"/>
  <c r="V46" i="46"/>
  <c r="T46" i="46"/>
  <c r="AH46" i="46" s="1"/>
  <c r="AI46" i="46" s="1"/>
  <c r="AM45" i="46"/>
  <c r="AK45" i="46"/>
  <c r="AF45" i="46"/>
  <c r="AG45" i="46" s="1"/>
  <c r="AE45" i="46"/>
  <c r="Y45" i="46"/>
  <c r="V45" i="46"/>
  <c r="T45" i="46"/>
  <c r="AH45" i="46" s="1"/>
  <c r="AI45" i="46" s="1"/>
  <c r="AM44" i="46"/>
  <c r="AL44" i="46"/>
  <c r="AK44" i="46"/>
  <c r="AJ44" i="46"/>
  <c r="AI44" i="46"/>
  <c r="AH44" i="46"/>
  <c r="AG44" i="46"/>
  <c r="AF44" i="46"/>
  <c r="AE44" i="46"/>
  <c r="AD44" i="46"/>
  <c r="Y44" i="46"/>
  <c r="V44" i="46"/>
  <c r="T44" i="46"/>
  <c r="AM43" i="46"/>
  <c r="AL43" i="46"/>
  <c r="AK43" i="46"/>
  <c r="AJ43" i="46"/>
  <c r="AI43" i="46"/>
  <c r="AH43" i="46"/>
  <c r="AG43" i="46"/>
  <c r="AF43" i="46"/>
  <c r="AE43" i="46"/>
  <c r="AD43" i="46"/>
  <c r="Y43" i="46"/>
  <c r="V43" i="46"/>
  <c r="T43" i="46"/>
  <c r="AM42" i="46"/>
  <c r="AL42" i="46"/>
  <c r="AK42" i="46"/>
  <c r="AJ42" i="46"/>
  <c r="AI42" i="46"/>
  <c r="AH42" i="46"/>
  <c r="AG42" i="46"/>
  <c r="AF42" i="46"/>
  <c r="AE42" i="46"/>
  <c r="AD42" i="46"/>
  <c r="Y42" i="46"/>
  <c r="V42" i="46"/>
  <c r="T42" i="46"/>
  <c r="AM41" i="46"/>
  <c r="AL41" i="46"/>
  <c r="AK41" i="46"/>
  <c r="AJ41" i="46"/>
  <c r="AI41" i="46"/>
  <c r="AH41" i="46"/>
  <c r="AG41" i="46"/>
  <c r="AF41" i="46"/>
  <c r="AE41" i="46"/>
  <c r="AD41" i="46"/>
  <c r="AN41" i="46" s="1"/>
  <c r="Y41" i="46"/>
  <c r="V41" i="46"/>
  <c r="T41" i="46"/>
  <c r="AM40" i="46"/>
  <c r="AL40" i="46"/>
  <c r="AK40" i="46"/>
  <c r="AJ40" i="46"/>
  <c r="AI40" i="46"/>
  <c r="AH40" i="46"/>
  <c r="AG40" i="46"/>
  <c r="AF40" i="46"/>
  <c r="AE40" i="46"/>
  <c r="AD40" i="46"/>
  <c r="Y40" i="46"/>
  <c r="V40" i="46"/>
  <c r="T40" i="46"/>
  <c r="AM39" i="46"/>
  <c r="AL39" i="46"/>
  <c r="AK39" i="46"/>
  <c r="AJ39" i="46"/>
  <c r="AI39" i="46"/>
  <c r="AH39" i="46"/>
  <c r="AG39" i="46"/>
  <c r="AF39" i="46"/>
  <c r="AE39" i="46"/>
  <c r="AD39" i="46"/>
  <c r="Y39" i="46"/>
  <c r="V39" i="46"/>
  <c r="T39" i="46"/>
  <c r="AM38" i="46"/>
  <c r="AL38" i="46"/>
  <c r="AK38" i="46"/>
  <c r="AJ38" i="46"/>
  <c r="AI38" i="46"/>
  <c r="AH38" i="46"/>
  <c r="AG38" i="46"/>
  <c r="AF38" i="46"/>
  <c r="AE38" i="46"/>
  <c r="AD38" i="46"/>
  <c r="Y38" i="46"/>
  <c r="V38" i="46"/>
  <c r="T38" i="46"/>
  <c r="AM37" i="46"/>
  <c r="AL37" i="46"/>
  <c r="AK37" i="46"/>
  <c r="AJ37" i="46"/>
  <c r="AI37" i="46"/>
  <c r="AH37" i="46"/>
  <c r="AG37" i="46"/>
  <c r="AF37" i="46"/>
  <c r="AE37" i="46"/>
  <c r="AD37" i="46"/>
  <c r="Y37" i="46"/>
  <c r="V37" i="46"/>
  <c r="T37" i="46"/>
  <c r="AM36" i="46"/>
  <c r="AL36" i="46"/>
  <c r="AK36" i="46"/>
  <c r="AJ36" i="46"/>
  <c r="AI36" i="46"/>
  <c r="AH36" i="46"/>
  <c r="AG36" i="46"/>
  <c r="AF36" i="46"/>
  <c r="AE36" i="46"/>
  <c r="AD36" i="46"/>
  <c r="Y36" i="46"/>
  <c r="V36" i="46"/>
  <c r="T36" i="46"/>
  <c r="AM35" i="46"/>
  <c r="AL35" i="46"/>
  <c r="AK35" i="46"/>
  <c r="AJ35" i="46"/>
  <c r="AI35" i="46"/>
  <c r="AH35" i="46"/>
  <c r="AG35" i="46"/>
  <c r="AF35" i="46"/>
  <c r="AE35" i="46"/>
  <c r="AD35" i="46"/>
  <c r="Y35" i="46"/>
  <c r="V35" i="46"/>
  <c r="T35" i="46"/>
  <c r="AM34" i="46"/>
  <c r="AL34" i="46"/>
  <c r="AK34" i="46"/>
  <c r="AJ34" i="46"/>
  <c r="AI34" i="46"/>
  <c r="AH34" i="46"/>
  <c r="AG34" i="46"/>
  <c r="AF34" i="46"/>
  <c r="AE34" i="46"/>
  <c r="AD34" i="46"/>
  <c r="Y34" i="46"/>
  <c r="V34" i="46"/>
  <c r="T34" i="46"/>
  <c r="AM33" i="46"/>
  <c r="AL33" i="46"/>
  <c r="AK33" i="46"/>
  <c r="AJ33" i="46"/>
  <c r="AI33" i="46"/>
  <c r="AH33" i="46"/>
  <c r="AG33" i="46"/>
  <c r="AF33" i="46"/>
  <c r="AE33" i="46"/>
  <c r="AD33" i="46"/>
  <c r="AN33" i="46" s="1"/>
  <c r="Y33" i="46"/>
  <c r="V33" i="46"/>
  <c r="T33" i="46"/>
  <c r="AM32" i="46"/>
  <c r="AL32" i="46"/>
  <c r="AK32" i="46"/>
  <c r="AJ32" i="46"/>
  <c r="AI32" i="46"/>
  <c r="AH32" i="46"/>
  <c r="AG32" i="46"/>
  <c r="AF32" i="46"/>
  <c r="AE32" i="46"/>
  <c r="AD32" i="46"/>
  <c r="Y32" i="46"/>
  <c r="V32" i="46"/>
  <c r="T32" i="46"/>
  <c r="AM31" i="46"/>
  <c r="AL31" i="46"/>
  <c r="AK31" i="46"/>
  <c r="AJ31" i="46"/>
  <c r="AI31" i="46"/>
  <c r="AH31" i="46"/>
  <c r="AG31" i="46"/>
  <c r="AF31" i="46"/>
  <c r="AE31" i="46"/>
  <c r="AD31" i="46"/>
  <c r="Y31" i="46"/>
  <c r="V31" i="46"/>
  <c r="T31" i="46"/>
  <c r="AM30" i="46"/>
  <c r="AL30" i="46"/>
  <c r="AK30" i="46"/>
  <c r="AJ30" i="46"/>
  <c r="AI30" i="46"/>
  <c r="AH30" i="46"/>
  <c r="AG30" i="46"/>
  <c r="AF30" i="46"/>
  <c r="AE30" i="46"/>
  <c r="AD30" i="46"/>
  <c r="AN30" i="46" s="1"/>
  <c r="Y30" i="46"/>
  <c r="V30" i="46"/>
  <c r="T30" i="46"/>
  <c r="AM29" i="46"/>
  <c r="AL29" i="46"/>
  <c r="AK29" i="46"/>
  <c r="AJ29" i="46"/>
  <c r="AI29" i="46"/>
  <c r="AH29" i="46"/>
  <c r="AG29" i="46"/>
  <c r="AF29" i="46"/>
  <c r="AE29" i="46"/>
  <c r="AD29" i="46"/>
  <c r="Y29" i="46"/>
  <c r="V29" i="46"/>
  <c r="T29" i="46"/>
  <c r="AM28" i="46"/>
  <c r="AL28" i="46"/>
  <c r="AK28" i="46"/>
  <c r="AJ28" i="46"/>
  <c r="AI28" i="46"/>
  <c r="AH28" i="46"/>
  <c r="AG28" i="46"/>
  <c r="AF28" i="46"/>
  <c r="AE28" i="46"/>
  <c r="AD28" i="46"/>
  <c r="Y28" i="46"/>
  <c r="V28" i="46"/>
  <c r="T28" i="46"/>
  <c r="AM27" i="46"/>
  <c r="AL27" i="46"/>
  <c r="AK27" i="46"/>
  <c r="AJ27" i="46"/>
  <c r="AI27" i="46"/>
  <c r="AH27" i="46"/>
  <c r="AG27" i="46"/>
  <c r="AF27" i="46"/>
  <c r="AE27" i="46"/>
  <c r="AD27" i="46"/>
  <c r="Y27" i="46"/>
  <c r="V27" i="46"/>
  <c r="T27" i="46"/>
  <c r="AM26" i="46"/>
  <c r="AL26" i="46"/>
  <c r="AK26" i="46"/>
  <c r="AJ26" i="46"/>
  <c r="AI26" i="46"/>
  <c r="AH26" i="46"/>
  <c r="AG26" i="46"/>
  <c r="AF26" i="46"/>
  <c r="AE26" i="46"/>
  <c r="AD26" i="46"/>
  <c r="Y26" i="46"/>
  <c r="V26" i="46"/>
  <c r="T26" i="46"/>
  <c r="AM25" i="46"/>
  <c r="AL25" i="46"/>
  <c r="AK25" i="46"/>
  <c r="AJ25" i="46"/>
  <c r="AI25" i="46"/>
  <c r="AH25" i="46"/>
  <c r="AG25" i="46"/>
  <c r="AF25" i="46"/>
  <c r="AE25" i="46"/>
  <c r="AD25" i="46"/>
  <c r="Y25" i="46"/>
  <c r="V25" i="46"/>
  <c r="T25" i="46"/>
  <c r="AM24" i="46"/>
  <c r="AL24" i="46"/>
  <c r="AK24" i="46"/>
  <c r="AJ24" i="46"/>
  <c r="AI24" i="46"/>
  <c r="AH24" i="46"/>
  <c r="AG24" i="46"/>
  <c r="AF24" i="46"/>
  <c r="AE24" i="46"/>
  <c r="AD24" i="46"/>
  <c r="Y24" i="46"/>
  <c r="V24" i="46"/>
  <c r="T24" i="46"/>
  <c r="AM23" i="46"/>
  <c r="AL23" i="46"/>
  <c r="AK23" i="46"/>
  <c r="AJ23" i="46"/>
  <c r="AI23" i="46"/>
  <c r="AH23" i="46"/>
  <c r="AG23" i="46"/>
  <c r="AF23" i="46"/>
  <c r="AE23" i="46"/>
  <c r="AD23" i="46"/>
  <c r="Y23" i="46"/>
  <c r="V23" i="46"/>
  <c r="T23" i="46"/>
  <c r="AM22" i="46"/>
  <c r="AL22" i="46"/>
  <c r="AK22" i="46"/>
  <c r="AJ22" i="46"/>
  <c r="AI22" i="46"/>
  <c r="AH22" i="46"/>
  <c r="AG22" i="46"/>
  <c r="AF22" i="46"/>
  <c r="AE22" i="46"/>
  <c r="AD22" i="46"/>
  <c r="Y22" i="46"/>
  <c r="V22" i="46"/>
  <c r="T22" i="46"/>
  <c r="AM21" i="46"/>
  <c r="AL21" i="46"/>
  <c r="AK21" i="46"/>
  <c r="AJ21" i="46"/>
  <c r="AI21" i="46"/>
  <c r="AH21" i="46"/>
  <c r="AG21" i="46"/>
  <c r="AF21" i="46"/>
  <c r="AE21" i="46"/>
  <c r="AD21" i="46"/>
  <c r="AN21" i="46" s="1"/>
  <c r="Y21" i="46"/>
  <c r="V21" i="46"/>
  <c r="T21" i="46"/>
  <c r="AM20" i="46"/>
  <c r="AL20" i="46"/>
  <c r="AK20" i="46"/>
  <c r="AJ20" i="46"/>
  <c r="AI20" i="46"/>
  <c r="AH20" i="46"/>
  <c r="AG20" i="46"/>
  <c r="AF20" i="46"/>
  <c r="AE20" i="46"/>
  <c r="AD20" i="46"/>
  <c r="Y20" i="46"/>
  <c r="V20" i="46"/>
  <c r="T20" i="46"/>
  <c r="AM19" i="46"/>
  <c r="AL19" i="46"/>
  <c r="AK19" i="46"/>
  <c r="AJ19" i="46"/>
  <c r="AI19" i="46"/>
  <c r="AH19" i="46"/>
  <c r="AG19" i="46"/>
  <c r="AF19" i="46"/>
  <c r="AE19" i="46"/>
  <c r="AD19" i="46"/>
  <c r="Y19" i="46"/>
  <c r="V19" i="46"/>
  <c r="T19" i="46"/>
  <c r="AM18" i="46"/>
  <c r="AL18" i="46"/>
  <c r="AK18" i="46"/>
  <c r="AJ18" i="46"/>
  <c r="AI18" i="46"/>
  <c r="AH18" i="46"/>
  <c r="AG18" i="46"/>
  <c r="AF18" i="46"/>
  <c r="AE18" i="46"/>
  <c r="AD18" i="46"/>
  <c r="Y18" i="46"/>
  <c r="V18" i="46"/>
  <c r="T18" i="46"/>
  <c r="AM17" i="46"/>
  <c r="AL17" i="46"/>
  <c r="AK17" i="46"/>
  <c r="AJ17" i="46"/>
  <c r="AI17" i="46"/>
  <c r="AH17" i="46"/>
  <c r="AG17" i="46"/>
  <c r="AF17" i="46"/>
  <c r="AE17" i="46"/>
  <c r="AD17" i="46"/>
  <c r="Y17" i="46"/>
  <c r="V17" i="46"/>
  <c r="T17" i="46"/>
  <c r="AM16" i="46"/>
  <c r="AL16" i="46"/>
  <c r="AK16" i="46"/>
  <c r="AJ16" i="46"/>
  <c r="AI16" i="46"/>
  <c r="AH16" i="46"/>
  <c r="AG16" i="46"/>
  <c r="AF16" i="46"/>
  <c r="AE16" i="46"/>
  <c r="AD16" i="46"/>
  <c r="Y16" i="46"/>
  <c r="V16" i="46"/>
  <c r="T16" i="46"/>
  <c r="AM15" i="46"/>
  <c r="AL15" i="46"/>
  <c r="AK15" i="46"/>
  <c r="AJ15" i="46"/>
  <c r="AI15" i="46"/>
  <c r="AH15" i="46"/>
  <c r="AG15" i="46"/>
  <c r="AF15" i="46"/>
  <c r="AE15" i="46"/>
  <c r="AN15" i="46" s="1"/>
  <c r="AD15" i="46"/>
  <c r="Y15" i="46"/>
  <c r="V15" i="46"/>
  <c r="T15" i="46"/>
  <c r="AM14" i="46"/>
  <c r="AL14" i="46"/>
  <c r="AK14" i="46"/>
  <c r="AJ14" i="46"/>
  <c r="AI14" i="46"/>
  <c r="AH14" i="46"/>
  <c r="AG14" i="46"/>
  <c r="AF14" i="46"/>
  <c r="AE14" i="46"/>
  <c r="AD14" i="46"/>
  <c r="Y14" i="46"/>
  <c r="V14" i="46"/>
  <c r="T14" i="46"/>
  <c r="AM13" i="46"/>
  <c r="AL13" i="46"/>
  <c r="AK13" i="46"/>
  <c r="AJ13" i="46"/>
  <c r="AI13" i="46"/>
  <c r="AH13" i="46"/>
  <c r="AG13" i="46"/>
  <c r="AF13" i="46"/>
  <c r="AE13" i="46"/>
  <c r="AD13" i="46"/>
  <c r="Y13" i="46"/>
  <c r="V13" i="46"/>
  <c r="T13" i="46"/>
  <c r="AM12" i="46"/>
  <c r="AL12" i="46"/>
  <c r="AK12" i="46"/>
  <c r="AJ12" i="46"/>
  <c r="AI12" i="46"/>
  <c r="AH12" i="46"/>
  <c r="AG12" i="46"/>
  <c r="AF12" i="46"/>
  <c r="AE12" i="46"/>
  <c r="AD12" i="46"/>
  <c r="Y12" i="46"/>
  <c r="V12" i="46"/>
  <c r="T12" i="46"/>
  <c r="A12" i="46"/>
  <c r="AM11" i="46"/>
  <c r="AL11" i="46"/>
  <c r="AK11" i="46"/>
  <c r="AJ11" i="46"/>
  <c r="AI11" i="46"/>
  <c r="AH11" i="46"/>
  <c r="AG11" i="46"/>
  <c r="AF11" i="46"/>
  <c r="AE11" i="46"/>
  <c r="AD11" i="46"/>
  <c r="Y11" i="46"/>
  <c r="V11" i="46"/>
  <c r="T11" i="46"/>
  <c r="AM10" i="46"/>
  <c r="AL10" i="46"/>
  <c r="AK10" i="46"/>
  <c r="AJ10" i="46"/>
  <c r="AI10" i="46"/>
  <c r="AH10" i="46"/>
  <c r="AG10" i="46"/>
  <c r="AF10" i="46"/>
  <c r="AE10" i="46"/>
  <c r="AD10" i="46"/>
  <c r="AN10" i="46" s="1"/>
  <c r="Y10" i="46"/>
  <c r="V10" i="46"/>
  <c r="T10" i="46"/>
  <c r="A10" i="46"/>
  <c r="AM9" i="46"/>
  <c r="AL9" i="46"/>
  <c r="AK9" i="46"/>
  <c r="AJ9" i="46"/>
  <c r="AI9" i="46"/>
  <c r="AH9" i="46"/>
  <c r="AG9" i="46"/>
  <c r="AF9" i="46"/>
  <c r="AE9" i="46"/>
  <c r="AD9" i="46"/>
  <c r="AN9" i="46" s="1"/>
  <c r="Y9" i="46"/>
  <c r="W9" i="46"/>
  <c r="V9" i="46"/>
  <c r="T9" i="46"/>
  <c r="AM8" i="46"/>
  <c r="AL8" i="46"/>
  <c r="AK8" i="46"/>
  <c r="AJ8" i="46"/>
  <c r="AI8" i="46"/>
  <c r="AH8" i="46"/>
  <c r="AG8" i="46"/>
  <c r="AF8" i="46"/>
  <c r="AD8" i="46"/>
  <c r="AN8" i="46" s="1"/>
  <c r="Y8" i="46"/>
  <c r="V8" i="46"/>
  <c r="T8" i="46"/>
  <c r="AM7" i="46"/>
  <c r="AL7" i="46"/>
  <c r="AK7" i="46"/>
  <c r="AJ7" i="46"/>
  <c r="AI7" i="46"/>
  <c r="AH7" i="46"/>
  <c r="AG7" i="46"/>
  <c r="AF7" i="46"/>
  <c r="AD7" i="46"/>
  <c r="AN7" i="46" s="1"/>
  <c r="Y7" i="46"/>
  <c r="V7" i="46"/>
  <c r="T7" i="46"/>
  <c r="AM6" i="46"/>
  <c r="AL6" i="46"/>
  <c r="AK6" i="46"/>
  <c r="AJ6" i="46"/>
  <c r="AI6" i="46"/>
  <c r="AH6" i="46"/>
  <c r="AG6" i="46"/>
  <c r="AF6" i="46"/>
  <c r="AD6" i="46"/>
  <c r="AN6" i="46" s="1"/>
  <c r="Y6" i="46"/>
  <c r="V6" i="46"/>
  <c r="T6" i="46"/>
  <c r="A6" i="46"/>
  <c r="AM5" i="46"/>
  <c r="AL5" i="46"/>
  <c r="AK5" i="46"/>
  <c r="AJ5" i="46"/>
  <c r="AI5" i="46"/>
  <c r="AH5" i="46"/>
  <c r="AG5" i="46"/>
  <c r="AF5" i="46"/>
  <c r="AD5" i="46"/>
  <c r="AN5" i="46" s="1"/>
  <c r="Y5" i="46"/>
  <c r="V5" i="46"/>
  <c r="T5" i="46"/>
  <c r="F1" i="46"/>
  <c r="AM24" i="45"/>
  <c r="AK24" i="45"/>
  <c r="AF24" i="45"/>
  <c r="AG24" i="45" s="1"/>
  <c r="Y24" i="45"/>
  <c r="V24" i="45"/>
  <c r="T24" i="45"/>
  <c r="AH24" i="45" s="1"/>
  <c r="AI24" i="45" s="1"/>
  <c r="AM23" i="45"/>
  <c r="AK23" i="45"/>
  <c r="AF23" i="45"/>
  <c r="AG23" i="45" s="1"/>
  <c r="Y23" i="45"/>
  <c r="V23" i="45"/>
  <c r="T23" i="45"/>
  <c r="AH23" i="45" s="1"/>
  <c r="AI23" i="45" s="1"/>
  <c r="AK22" i="45"/>
  <c r="AF22" i="45"/>
  <c r="AG22" i="45" s="1"/>
  <c r="Y22" i="45"/>
  <c r="V22" i="45"/>
  <c r="T22" i="45"/>
  <c r="AH22" i="45" s="1"/>
  <c r="AI22" i="45" s="1"/>
  <c r="AK21" i="45"/>
  <c r="AF21" i="45"/>
  <c r="AG21" i="45" s="1"/>
  <c r="Y21" i="45"/>
  <c r="V21" i="45"/>
  <c r="T21" i="45"/>
  <c r="AH21" i="45" s="1"/>
  <c r="AI21" i="45" s="1"/>
  <c r="AK20" i="45"/>
  <c r="AF20" i="45"/>
  <c r="AG20" i="45" s="1"/>
  <c r="Y20" i="45"/>
  <c r="V20" i="45"/>
  <c r="T20" i="45"/>
  <c r="AM20" i="45" s="1"/>
  <c r="AK19" i="45"/>
  <c r="AF19" i="45"/>
  <c r="AG19" i="45" s="1"/>
  <c r="Y19" i="45"/>
  <c r="V19" i="45"/>
  <c r="T19" i="45"/>
  <c r="AH19" i="45" s="1"/>
  <c r="AI19" i="45" s="1"/>
  <c r="AM18" i="45"/>
  <c r="AL18" i="45"/>
  <c r="AK18" i="45"/>
  <c r="AJ18" i="45"/>
  <c r="AI18" i="45"/>
  <c r="AH18" i="45"/>
  <c r="AG18" i="45"/>
  <c r="AF18" i="45"/>
  <c r="AE18" i="45"/>
  <c r="AD18" i="45"/>
  <c r="Y18" i="45"/>
  <c r="V18" i="45"/>
  <c r="T18" i="45"/>
  <c r="AM17" i="45"/>
  <c r="AL17" i="45"/>
  <c r="AK17" i="45"/>
  <c r="AJ17" i="45"/>
  <c r="AI17" i="45"/>
  <c r="AH17" i="45"/>
  <c r="AG17" i="45"/>
  <c r="AF17" i="45"/>
  <c r="AE17" i="45"/>
  <c r="AD17" i="45"/>
  <c r="Y17" i="45"/>
  <c r="V17" i="45"/>
  <c r="T17" i="45"/>
  <c r="AM16" i="45"/>
  <c r="AL16" i="45"/>
  <c r="AK16" i="45"/>
  <c r="AJ16" i="45"/>
  <c r="AI16" i="45"/>
  <c r="AH16" i="45"/>
  <c r="AG16" i="45"/>
  <c r="AF16" i="45"/>
  <c r="AE16" i="45"/>
  <c r="AD16" i="45"/>
  <c r="Y16" i="45"/>
  <c r="V16" i="45"/>
  <c r="T16" i="45"/>
  <c r="AM15" i="45"/>
  <c r="AL15" i="45"/>
  <c r="AK15" i="45"/>
  <c r="AJ15" i="45"/>
  <c r="AI15" i="45"/>
  <c r="AH15" i="45"/>
  <c r="AG15" i="45"/>
  <c r="AF15" i="45"/>
  <c r="AE15" i="45"/>
  <c r="AD15" i="45"/>
  <c r="Y15" i="45"/>
  <c r="V15" i="45"/>
  <c r="T15" i="45"/>
  <c r="AM14" i="45"/>
  <c r="AL14" i="45"/>
  <c r="AK14" i="45"/>
  <c r="AJ14" i="45"/>
  <c r="AI14" i="45"/>
  <c r="AH14" i="45"/>
  <c r="AG14" i="45"/>
  <c r="AF14" i="45"/>
  <c r="AE14" i="45"/>
  <c r="AD14" i="45"/>
  <c r="Y14" i="45"/>
  <c r="V14" i="45"/>
  <c r="T14" i="45"/>
  <c r="A14" i="45"/>
  <c r="AM13" i="45"/>
  <c r="AL13" i="45"/>
  <c r="AK13" i="45"/>
  <c r="AJ13" i="45"/>
  <c r="AI13" i="45"/>
  <c r="AH13" i="45"/>
  <c r="AG13" i="45"/>
  <c r="AF13" i="45"/>
  <c r="AE13" i="45"/>
  <c r="AD13" i="45"/>
  <c r="Y13" i="45"/>
  <c r="V13" i="45"/>
  <c r="T13" i="45"/>
  <c r="AM12" i="45"/>
  <c r="AL12" i="45"/>
  <c r="AK12" i="45"/>
  <c r="AJ12" i="45"/>
  <c r="AI12" i="45"/>
  <c r="AH12" i="45"/>
  <c r="AG12" i="45"/>
  <c r="AF12" i="45"/>
  <c r="AE12" i="45"/>
  <c r="AD12" i="45"/>
  <c r="Y12" i="45"/>
  <c r="V12" i="45"/>
  <c r="T12" i="45"/>
  <c r="A12" i="45"/>
  <c r="AM11" i="45"/>
  <c r="AL11" i="45"/>
  <c r="AK11" i="45"/>
  <c r="AJ11" i="45"/>
  <c r="AI11" i="45"/>
  <c r="AH11" i="45"/>
  <c r="AG11" i="45"/>
  <c r="AF11" i="45"/>
  <c r="AE11" i="45"/>
  <c r="AD11" i="45"/>
  <c r="Y11" i="45"/>
  <c r="V11" i="45"/>
  <c r="T11" i="45"/>
  <c r="AM10" i="45"/>
  <c r="AL10" i="45"/>
  <c r="AK10" i="45"/>
  <c r="AJ10" i="45"/>
  <c r="AI10" i="45"/>
  <c r="AH10" i="45"/>
  <c r="AG10" i="45"/>
  <c r="AF10" i="45"/>
  <c r="AE10" i="45"/>
  <c r="AD10" i="45"/>
  <c r="Y10" i="45"/>
  <c r="V10" i="45"/>
  <c r="T10" i="45"/>
  <c r="A10" i="45"/>
  <c r="U14" i="45" s="1"/>
  <c r="AM9" i="45"/>
  <c r="AL9" i="45"/>
  <c r="AK9" i="45"/>
  <c r="AJ9" i="45"/>
  <c r="AI9" i="45"/>
  <c r="AH9" i="45"/>
  <c r="AG9" i="45"/>
  <c r="AF9" i="45"/>
  <c r="AE9" i="45"/>
  <c r="AD9" i="45"/>
  <c r="Y9" i="45"/>
  <c r="W9" i="45"/>
  <c r="V9" i="45"/>
  <c r="T9" i="45"/>
  <c r="AM8" i="45"/>
  <c r="AL8" i="45"/>
  <c r="AK8" i="45"/>
  <c r="AJ8" i="45"/>
  <c r="AI8" i="45"/>
  <c r="AH8" i="45"/>
  <c r="AG8" i="45"/>
  <c r="AF8" i="45"/>
  <c r="AD8" i="45"/>
  <c r="AN8" i="45" s="1"/>
  <c r="Y8" i="45"/>
  <c r="V8" i="45"/>
  <c r="T8" i="45"/>
  <c r="AM7" i="45"/>
  <c r="AL7" i="45"/>
  <c r="AK7" i="45"/>
  <c r="AJ7" i="45"/>
  <c r="AI7" i="45"/>
  <c r="AH7" i="45"/>
  <c r="AG7" i="45"/>
  <c r="AF7" i="45"/>
  <c r="AD7" i="45"/>
  <c r="AN7" i="45" s="1"/>
  <c r="Y7" i="45"/>
  <c r="V7" i="45"/>
  <c r="T7" i="45"/>
  <c r="AM6" i="45"/>
  <c r="AL6" i="45"/>
  <c r="AK6" i="45"/>
  <c r="AJ6" i="45"/>
  <c r="AI6" i="45"/>
  <c r="AH6" i="45"/>
  <c r="AG6" i="45"/>
  <c r="AF6" i="45"/>
  <c r="AD6" i="45"/>
  <c r="AN6" i="45" s="1"/>
  <c r="Y6" i="45"/>
  <c r="V6" i="45"/>
  <c r="T6" i="45"/>
  <c r="A6" i="45"/>
  <c r="AM5" i="45"/>
  <c r="AL5" i="45"/>
  <c r="AK5" i="45"/>
  <c r="AJ5" i="45"/>
  <c r="AI5" i="45"/>
  <c r="AH5" i="45"/>
  <c r="AG5" i="45"/>
  <c r="AF5" i="45"/>
  <c r="AD5" i="45"/>
  <c r="AN5" i="45" s="1"/>
  <c r="Y5" i="45"/>
  <c r="V5" i="45"/>
  <c r="T5" i="45"/>
  <c r="F1" i="45"/>
  <c r="AM24" i="44"/>
  <c r="AK24" i="44"/>
  <c r="AF24" i="44"/>
  <c r="AG24" i="44" s="1"/>
  <c r="Y24" i="44"/>
  <c r="V24" i="44"/>
  <c r="T24" i="44"/>
  <c r="AH24" i="44" s="1"/>
  <c r="AI24" i="44" s="1"/>
  <c r="AM23" i="44"/>
  <c r="AK23" i="44"/>
  <c r="AF23" i="44"/>
  <c r="AG23" i="44" s="1"/>
  <c r="Y23" i="44"/>
  <c r="V23" i="44"/>
  <c r="T23" i="44"/>
  <c r="AE23" i="44" s="1"/>
  <c r="AK22" i="44"/>
  <c r="AF22" i="44"/>
  <c r="AG22" i="44" s="1"/>
  <c r="Y22" i="44"/>
  <c r="V22" i="44"/>
  <c r="T22" i="44"/>
  <c r="AM22" i="44" s="1"/>
  <c r="AK21" i="44"/>
  <c r="AF21" i="44"/>
  <c r="AG21" i="44" s="1"/>
  <c r="Y21" i="44"/>
  <c r="V21" i="44"/>
  <c r="T21" i="44"/>
  <c r="AM21" i="44" s="1"/>
  <c r="AM20" i="44"/>
  <c r="AK20" i="44"/>
  <c r="AF20" i="44"/>
  <c r="AG20" i="44" s="1"/>
  <c r="Y20" i="44"/>
  <c r="V20" i="44"/>
  <c r="T20" i="44"/>
  <c r="AD20" i="44" s="1"/>
  <c r="AK19" i="44"/>
  <c r="AF19" i="44"/>
  <c r="AG19" i="44" s="1"/>
  <c r="Y19" i="44"/>
  <c r="V19" i="44"/>
  <c r="T19" i="44"/>
  <c r="AD19" i="44" s="1"/>
  <c r="AK18" i="44"/>
  <c r="AG18" i="44"/>
  <c r="AF18" i="44"/>
  <c r="Y18" i="44"/>
  <c r="V18" i="44"/>
  <c r="T18" i="44"/>
  <c r="AH18" i="44" s="1"/>
  <c r="AI18" i="44" s="1"/>
  <c r="AK17" i="44"/>
  <c r="AF17" i="44"/>
  <c r="AG17" i="44" s="1"/>
  <c r="AE17" i="44"/>
  <c r="Y17" i="44"/>
  <c r="V17" i="44"/>
  <c r="T17" i="44"/>
  <c r="AD17" i="44" s="1"/>
  <c r="AK16" i="44"/>
  <c r="AF16" i="44"/>
  <c r="AG16" i="44" s="1"/>
  <c r="Y16" i="44"/>
  <c r="V16" i="44"/>
  <c r="T16" i="44"/>
  <c r="AH16" i="44" s="1"/>
  <c r="AI16" i="44" s="1"/>
  <c r="AK15" i="44"/>
  <c r="AF15" i="44"/>
  <c r="AG15" i="44" s="1"/>
  <c r="Y15" i="44"/>
  <c r="V15" i="44"/>
  <c r="T15" i="44"/>
  <c r="AH15" i="44" s="1"/>
  <c r="AI15" i="44" s="1"/>
  <c r="AM14" i="44"/>
  <c r="AK14" i="44"/>
  <c r="AF14" i="44"/>
  <c r="AG14" i="44" s="1"/>
  <c r="Y14" i="44"/>
  <c r="V14" i="44"/>
  <c r="T14" i="44"/>
  <c r="AH14" i="44" s="1"/>
  <c r="AI14" i="44" s="1"/>
  <c r="AM13" i="44"/>
  <c r="AL13" i="44"/>
  <c r="AK13" i="44"/>
  <c r="AJ13" i="44"/>
  <c r="AI13" i="44"/>
  <c r="AH13" i="44"/>
  <c r="AG13" i="44"/>
  <c r="AF13" i="44"/>
  <c r="AE13" i="44"/>
  <c r="AD13" i="44"/>
  <c r="Y13" i="44"/>
  <c r="V13" i="44"/>
  <c r="T13" i="44"/>
  <c r="AM12" i="44"/>
  <c r="AL12" i="44"/>
  <c r="AK12" i="44"/>
  <c r="AJ12" i="44"/>
  <c r="AI12" i="44"/>
  <c r="AH12" i="44"/>
  <c r="AG12" i="44"/>
  <c r="AF12" i="44"/>
  <c r="AE12" i="44"/>
  <c r="AD12" i="44"/>
  <c r="Y12" i="44"/>
  <c r="V12" i="44"/>
  <c r="T12" i="44"/>
  <c r="A12" i="44"/>
  <c r="AM11" i="44"/>
  <c r="AL11" i="44"/>
  <c r="AK11" i="44"/>
  <c r="AJ11" i="44"/>
  <c r="AI11" i="44"/>
  <c r="AH11" i="44"/>
  <c r="AG11" i="44"/>
  <c r="AF11" i="44"/>
  <c r="AE11" i="44"/>
  <c r="AD11" i="44"/>
  <c r="Y11" i="44"/>
  <c r="V11" i="44"/>
  <c r="T11" i="44"/>
  <c r="AM10" i="44"/>
  <c r="AL10" i="44"/>
  <c r="AK10" i="44"/>
  <c r="AJ10" i="44"/>
  <c r="AI10" i="44"/>
  <c r="AH10" i="44"/>
  <c r="AG10" i="44"/>
  <c r="AF10" i="44"/>
  <c r="AE10" i="44"/>
  <c r="AD10" i="44"/>
  <c r="Y10" i="44"/>
  <c r="V10" i="44"/>
  <c r="T10" i="44"/>
  <c r="A10" i="44"/>
  <c r="AM9" i="44"/>
  <c r="AL9" i="44"/>
  <c r="AK9" i="44"/>
  <c r="AJ9" i="44"/>
  <c r="AI9" i="44"/>
  <c r="AH9" i="44"/>
  <c r="AG9" i="44"/>
  <c r="AF9" i="44"/>
  <c r="AE9" i="44"/>
  <c r="AD9" i="44"/>
  <c r="Y9" i="44"/>
  <c r="W9" i="44"/>
  <c r="V9" i="44"/>
  <c r="T9" i="44"/>
  <c r="AM8" i="44"/>
  <c r="AL8" i="44"/>
  <c r="AK8" i="44"/>
  <c r="AJ8" i="44"/>
  <c r="AI8" i="44"/>
  <c r="AH8" i="44"/>
  <c r="AG8" i="44"/>
  <c r="AF8" i="44"/>
  <c r="AD8" i="44"/>
  <c r="AN8" i="44" s="1"/>
  <c r="Y8" i="44"/>
  <c r="V8" i="44"/>
  <c r="T8" i="44"/>
  <c r="AM7" i="44"/>
  <c r="AL7" i="44"/>
  <c r="AK7" i="44"/>
  <c r="AJ7" i="44"/>
  <c r="AI7" i="44"/>
  <c r="AH7" i="44"/>
  <c r="AG7" i="44"/>
  <c r="AF7" i="44"/>
  <c r="AD7" i="44"/>
  <c r="AN7" i="44" s="1"/>
  <c r="Y7" i="44"/>
  <c r="V7" i="44"/>
  <c r="T7" i="44"/>
  <c r="AM6" i="44"/>
  <c r="AL6" i="44"/>
  <c r="AK6" i="44"/>
  <c r="AJ6" i="44"/>
  <c r="AI6" i="44"/>
  <c r="AH6" i="44"/>
  <c r="AG6" i="44"/>
  <c r="AF6" i="44"/>
  <c r="AD6" i="44"/>
  <c r="AN6" i="44" s="1"/>
  <c r="Y6" i="44"/>
  <c r="V6" i="44"/>
  <c r="T6" i="44"/>
  <c r="A6" i="44"/>
  <c r="AM5" i="44"/>
  <c r="AL5" i="44"/>
  <c r="AK5" i="44"/>
  <c r="AJ5" i="44"/>
  <c r="AI5" i="44"/>
  <c r="AH5" i="44"/>
  <c r="AG5" i="44"/>
  <c r="AF5" i="44"/>
  <c r="AD5" i="44"/>
  <c r="AN5" i="44" s="1"/>
  <c r="Y5" i="44"/>
  <c r="V5" i="44"/>
  <c r="T5" i="44"/>
  <c r="F1" i="44"/>
  <c r="AM24" i="43"/>
  <c r="AK24" i="43"/>
  <c r="AF24" i="43"/>
  <c r="AG24" i="43" s="1"/>
  <c r="Y24" i="43"/>
  <c r="V24" i="43"/>
  <c r="T24" i="43"/>
  <c r="AH24" i="43" s="1"/>
  <c r="AI24" i="43" s="1"/>
  <c r="AK23" i="43"/>
  <c r="AF23" i="43"/>
  <c r="AG23" i="43" s="1"/>
  <c r="Y23" i="43"/>
  <c r="V23" i="43"/>
  <c r="T23" i="43"/>
  <c r="AM23" i="43" s="1"/>
  <c r="AK22" i="43"/>
  <c r="AF22" i="43"/>
  <c r="AG22" i="43" s="1"/>
  <c r="Y22" i="43"/>
  <c r="V22" i="43"/>
  <c r="T22" i="43"/>
  <c r="AH22" i="43" s="1"/>
  <c r="AI22" i="43" s="1"/>
  <c r="AK21" i="43"/>
  <c r="AF21" i="43"/>
  <c r="AG21" i="43" s="1"/>
  <c r="Y21" i="43"/>
  <c r="V21" i="43"/>
  <c r="T21" i="43"/>
  <c r="AM21" i="43" s="1"/>
  <c r="AK20" i="43"/>
  <c r="AF20" i="43"/>
  <c r="AG20" i="43" s="1"/>
  <c r="Y20" i="43"/>
  <c r="V20" i="43"/>
  <c r="T20" i="43"/>
  <c r="AH20" i="43" s="1"/>
  <c r="AI20" i="43" s="1"/>
  <c r="A20" i="43"/>
  <c r="AK19" i="43"/>
  <c r="AF19" i="43"/>
  <c r="AG19" i="43" s="1"/>
  <c r="Y19" i="43"/>
  <c r="V19" i="43"/>
  <c r="T19" i="43"/>
  <c r="AH19" i="43" s="1"/>
  <c r="AI19" i="43" s="1"/>
  <c r="AK18" i="43"/>
  <c r="AF18" i="43"/>
  <c r="AG18" i="43" s="1"/>
  <c r="AD18" i="43"/>
  <c r="Y18" i="43"/>
  <c r="V18" i="43"/>
  <c r="T18" i="43"/>
  <c r="AM18" i="43" s="1"/>
  <c r="A18" i="43"/>
  <c r="AM17" i="43"/>
  <c r="AK17" i="43"/>
  <c r="AF17" i="43"/>
  <c r="AG17" i="43" s="1"/>
  <c r="Y17" i="43"/>
  <c r="V17" i="43"/>
  <c r="T17" i="43"/>
  <c r="AH17" i="43" s="1"/>
  <c r="AI17" i="43" s="1"/>
  <c r="AK16" i="43"/>
  <c r="AF16" i="43"/>
  <c r="AG16" i="43" s="1"/>
  <c r="Y16" i="43"/>
  <c r="V16" i="43"/>
  <c r="T16" i="43"/>
  <c r="AH16" i="43" s="1"/>
  <c r="AI16" i="43" s="1"/>
  <c r="AM15" i="43"/>
  <c r="AL15" i="43"/>
  <c r="AK15" i="43"/>
  <c r="AJ15" i="43"/>
  <c r="AI15" i="43"/>
  <c r="AH15" i="43"/>
  <c r="AG15" i="43"/>
  <c r="AF15" i="43"/>
  <c r="AE15" i="43"/>
  <c r="AD15" i="43"/>
  <c r="Y15" i="43"/>
  <c r="V15" i="43"/>
  <c r="T15" i="43"/>
  <c r="AM14" i="43"/>
  <c r="AL14" i="43"/>
  <c r="AK14" i="43"/>
  <c r="AJ14" i="43"/>
  <c r="AI14" i="43"/>
  <c r="AH14" i="43"/>
  <c r="AG14" i="43"/>
  <c r="AF14" i="43"/>
  <c r="AE14" i="43"/>
  <c r="AD14" i="43"/>
  <c r="Y14" i="43"/>
  <c r="V14" i="43"/>
  <c r="T14" i="43"/>
  <c r="AM13" i="43"/>
  <c r="AL13" i="43"/>
  <c r="AK13" i="43"/>
  <c r="AJ13" i="43"/>
  <c r="AI13" i="43"/>
  <c r="AH13" i="43"/>
  <c r="AG13" i="43"/>
  <c r="AF13" i="43"/>
  <c r="AE13" i="43"/>
  <c r="AD13" i="43"/>
  <c r="Y13" i="43"/>
  <c r="V13" i="43"/>
  <c r="T13" i="43"/>
  <c r="AM12" i="43"/>
  <c r="AL12" i="43"/>
  <c r="AK12" i="43"/>
  <c r="AJ12" i="43"/>
  <c r="AI12" i="43"/>
  <c r="AH12" i="43"/>
  <c r="AG12" i="43"/>
  <c r="AF12" i="43"/>
  <c r="AE12" i="43"/>
  <c r="AD12" i="43"/>
  <c r="Y12" i="43"/>
  <c r="V12" i="43"/>
  <c r="T12" i="43"/>
  <c r="A12" i="43"/>
  <c r="AM11" i="43"/>
  <c r="AL11" i="43"/>
  <c r="AK11" i="43"/>
  <c r="AJ11" i="43"/>
  <c r="AI11" i="43"/>
  <c r="AH11" i="43"/>
  <c r="AG11" i="43"/>
  <c r="AF11" i="43"/>
  <c r="AE11" i="43"/>
  <c r="AD11" i="43"/>
  <c r="AN11" i="43" s="1"/>
  <c r="Y11" i="43"/>
  <c r="V11" i="43"/>
  <c r="T11" i="43"/>
  <c r="AM10" i="43"/>
  <c r="AL10" i="43"/>
  <c r="AK10" i="43"/>
  <c r="AJ10" i="43"/>
  <c r="AI10" i="43"/>
  <c r="AH10" i="43"/>
  <c r="AG10" i="43"/>
  <c r="AF10" i="43"/>
  <c r="AE10" i="43"/>
  <c r="AD10" i="43"/>
  <c r="Y10" i="43"/>
  <c r="V10" i="43"/>
  <c r="T10" i="43"/>
  <c r="A10" i="43"/>
  <c r="W23" i="43" s="1"/>
  <c r="X23" i="43" s="1"/>
  <c r="AM9" i="43"/>
  <c r="AL9" i="43"/>
  <c r="AK9" i="43"/>
  <c r="AJ9" i="43"/>
  <c r="AI9" i="43"/>
  <c r="AH9" i="43"/>
  <c r="AG9" i="43"/>
  <c r="AF9" i="43"/>
  <c r="AE9" i="43"/>
  <c r="AD9" i="43"/>
  <c r="Y9" i="43"/>
  <c r="V9" i="43"/>
  <c r="T9" i="43"/>
  <c r="AM8" i="43"/>
  <c r="AL8" i="43"/>
  <c r="AK8" i="43"/>
  <c r="AJ8" i="43"/>
  <c r="AI8" i="43"/>
  <c r="AH8" i="43"/>
  <c r="AG8" i="43"/>
  <c r="AF8" i="43"/>
  <c r="AD8" i="43"/>
  <c r="AN8" i="43" s="1"/>
  <c r="Y8" i="43"/>
  <c r="W8" i="43"/>
  <c r="X8" i="43" s="1"/>
  <c r="V8" i="43"/>
  <c r="T8" i="43"/>
  <c r="AM7" i="43"/>
  <c r="AL7" i="43"/>
  <c r="AK7" i="43"/>
  <c r="AJ7" i="43"/>
  <c r="AI7" i="43"/>
  <c r="AH7" i="43"/>
  <c r="AG7" i="43"/>
  <c r="AF7" i="43"/>
  <c r="AD7" i="43"/>
  <c r="AN7" i="43" s="1"/>
  <c r="Y7" i="43"/>
  <c r="V7" i="43"/>
  <c r="T7" i="43"/>
  <c r="AM6" i="43"/>
  <c r="AL6" i="43"/>
  <c r="AK6" i="43"/>
  <c r="AJ6" i="43"/>
  <c r="AI6" i="43"/>
  <c r="AH6" i="43"/>
  <c r="AG6" i="43"/>
  <c r="AF6" i="43"/>
  <c r="AD6" i="43"/>
  <c r="AN6" i="43" s="1"/>
  <c r="Y6" i="43"/>
  <c r="V6" i="43"/>
  <c r="T6" i="43"/>
  <c r="AM5" i="43"/>
  <c r="AL5" i="43"/>
  <c r="AK5" i="43"/>
  <c r="AJ5" i="43"/>
  <c r="AI5" i="43"/>
  <c r="AH5" i="43"/>
  <c r="AG5" i="43"/>
  <c r="AF5" i="43"/>
  <c r="AD5" i="43"/>
  <c r="AN5" i="43" s="1"/>
  <c r="Y5" i="43"/>
  <c r="V5" i="43"/>
  <c r="T5" i="43"/>
  <c r="F1" i="43"/>
  <c r="AM24" i="42"/>
  <c r="AL24" i="42"/>
  <c r="AK24" i="42"/>
  <c r="AJ24" i="42"/>
  <c r="AI24" i="42"/>
  <c r="AH24" i="42"/>
  <c r="AG24" i="42"/>
  <c r="AF24" i="42"/>
  <c r="AE24" i="42"/>
  <c r="AD24" i="42"/>
  <c r="AN24" i="42" s="1"/>
  <c r="Y24" i="42"/>
  <c r="W24" i="42"/>
  <c r="V24" i="42"/>
  <c r="U24" i="42"/>
  <c r="T24" i="42"/>
  <c r="AM23" i="42"/>
  <c r="AL23" i="42"/>
  <c r="AK23" i="42"/>
  <c r="AJ23" i="42"/>
  <c r="AI23" i="42"/>
  <c r="AH23" i="42"/>
  <c r="AG23" i="42"/>
  <c r="AF23" i="42"/>
  <c r="AE23" i="42"/>
  <c r="AD23" i="42"/>
  <c r="Y23" i="42"/>
  <c r="W23" i="42"/>
  <c r="V23" i="42"/>
  <c r="U23" i="42"/>
  <c r="T23" i="42"/>
  <c r="AM22" i="42"/>
  <c r="AL22" i="42"/>
  <c r="AK22" i="42"/>
  <c r="AJ22" i="42"/>
  <c r="AI22" i="42"/>
  <c r="AH22" i="42"/>
  <c r="AG22" i="42"/>
  <c r="AF22" i="42"/>
  <c r="AE22" i="42"/>
  <c r="AD22" i="42"/>
  <c r="AN22" i="42" s="1"/>
  <c r="Y22" i="42"/>
  <c r="W22" i="42"/>
  <c r="V22" i="42"/>
  <c r="U22" i="42"/>
  <c r="T22" i="42"/>
  <c r="AM21" i="42"/>
  <c r="AL21" i="42"/>
  <c r="AK21" i="42"/>
  <c r="AJ21" i="42"/>
  <c r="AI21" i="42"/>
  <c r="AH21" i="42"/>
  <c r="AG21" i="42"/>
  <c r="AF21" i="42"/>
  <c r="AE21" i="42"/>
  <c r="AD21" i="42"/>
  <c r="Y21" i="42"/>
  <c r="W21" i="42"/>
  <c r="V21" i="42"/>
  <c r="U21" i="42"/>
  <c r="T21" i="42"/>
  <c r="AM20" i="42"/>
  <c r="AL20" i="42"/>
  <c r="AK20" i="42"/>
  <c r="AJ20" i="42"/>
  <c r="AI20" i="42"/>
  <c r="AH20" i="42"/>
  <c r="AG20" i="42"/>
  <c r="AF20" i="42"/>
  <c r="AE20" i="42"/>
  <c r="AD20" i="42"/>
  <c r="Y20" i="42"/>
  <c r="W20" i="42"/>
  <c r="V20" i="42"/>
  <c r="U20" i="42"/>
  <c r="T20" i="42"/>
  <c r="AM19" i="42"/>
  <c r="AL19" i="42"/>
  <c r="AK19" i="42"/>
  <c r="AJ19" i="42"/>
  <c r="AI19" i="42"/>
  <c r="AH19" i="42"/>
  <c r="AG19" i="42"/>
  <c r="AF19" i="42"/>
  <c r="AE19" i="42"/>
  <c r="AD19" i="42"/>
  <c r="Y19" i="42"/>
  <c r="W19" i="42"/>
  <c r="V19" i="42"/>
  <c r="U19" i="42"/>
  <c r="T19" i="42"/>
  <c r="AM18" i="42"/>
  <c r="AL18" i="42"/>
  <c r="AK18" i="42"/>
  <c r="AJ18" i="42"/>
  <c r="AI18" i="42"/>
  <c r="AH18" i="42"/>
  <c r="AG18" i="42"/>
  <c r="AF18" i="42"/>
  <c r="AE18" i="42"/>
  <c r="AD18" i="42"/>
  <c r="Y18" i="42"/>
  <c r="W18" i="42"/>
  <c r="V18" i="42"/>
  <c r="U18" i="42"/>
  <c r="T18" i="42"/>
  <c r="AM17" i="42"/>
  <c r="AL17" i="42"/>
  <c r="AK17" i="42"/>
  <c r="AJ17" i="42"/>
  <c r="AI17" i="42"/>
  <c r="AH17" i="42"/>
  <c r="AG17" i="42"/>
  <c r="AF17" i="42"/>
  <c r="AE17" i="42"/>
  <c r="AD17" i="42"/>
  <c r="Y17" i="42"/>
  <c r="W17" i="42"/>
  <c r="V17" i="42"/>
  <c r="U17" i="42"/>
  <c r="T17" i="42"/>
  <c r="AM16" i="42"/>
  <c r="AL16" i="42"/>
  <c r="AK16" i="42"/>
  <c r="AJ16" i="42"/>
  <c r="AI16" i="42"/>
  <c r="AH16" i="42"/>
  <c r="AG16" i="42"/>
  <c r="AF16" i="42"/>
  <c r="AE16" i="42"/>
  <c r="AD16" i="42"/>
  <c r="Y16" i="42"/>
  <c r="W16" i="42"/>
  <c r="V16" i="42"/>
  <c r="U16" i="42"/>
  <c r="T16" i="42"/>
  <c r="A16" i="42"/>
  <c r="AM15" i="42"/>
  <c r="AL15" i="42"/>
  <c r="AK15" i="42"/>
  <c r="AJ15" i="42"/>
  <c r="AI15" i="42"/>
  <c r="AH15" i="42"/>
  <c r="AG15" i="42"/>
  <c r="AF15" i="42"/>
  <c r="AE15" i="42"/>
  <c r="AD15" i="42"/>
  <c r="Y15" i="42"/>
  <c r="W15" i="42"/>
  <c r="V15" i="42"/>
  <c r="U15" i="42"/>
  <c r="T15" i="42"/>
  <c r="AM14" i="42"/>
  <c r="AL14" i="42"/>
  <c r="AK14" i="42"/>
  <c r="AJ14" i="42"/>
  <c r="AI14" i="42"/>
  <c r="AH14" i="42"/>
  <c r="AG14" i="42"/>
  <c r="AF14" i="42"/>
  <c r="AE14" i="42"/>
  <c r="AD14" i="42"/>
  <c r="Y14" i="42"/>
  <c r="W14" i="42"/>
  <c r="V14" i="42"/>
  <c r="U14" i="42"/>
  <c r="T14" i="42"/>
  <c r="A14" i="42"/>
  <c r="AM13" i="42"/>
  <c r="AL13" i="42"/>
  <c r="AK13" i="42"/>
  <c r="AJ13" i="42"/>
  <c r="AI13" i="42"/>
  <c r="AH13" i="42"/>
  <c r="AG13" i="42"/>
  <c r="AF13" i="42"/>
  <c r="AE13" i="42"/>
  <c r="AD13" i="42"/>
  <c r="AN13" i="42" s="1"/>
  <c r="Y13" i="42"/>
  <c r="W13" i="42"/>
  <c r="V13" i="42"/>
  <c r="U13" i="42"/>
  <c r="T13" i="42"/>
  <c r="AM12" i="42"/>
  <c r="AL12" i="42"/>
  <c r="AK12" i="42"/>
  <c r="AJ12" i="42"/>
  <c r="AI12" i="42"/>
  <c r="AH12" i="42"/>
  <c r="AG12" i="42"/>
  <c r="AF12" i="42"/>
  <c r="AE12" i="42"/>
  <c r="AD12" i="42"/>
  <c r="Y12" i="42"/>
  <c r="W12" i="42"/>
  <c r="V12" i="42"/>
  <c r="U12" i="42"/>
  <c r="T12" i="42"/>
  <c r="A12" i="42"/>
  <c r="AM11" i="42"/>
  <c r="AL11" i="42"/>
  <c r="AK11" i="42"/>
  <c r="AJ11" i="42"/>
  <c r="AI11" i="42"/>
  <c r="AH11" i="42"/>
  <c r="AG11" i="42"/>
  <c r="AF11" i="42"/>
  <c r="AE11" i="42"/>
  <c r="AD11" i="42"/>
  <c r="Y11" i="42"/>
  <c r="W11" i="42"/>
  <c r="V11" i="42"/>
  <c r="U11" i="42"/>
  <c r="T11" i="42"/>
  <c r="AM10" i="42"/>
  <c r="AL10" i="42"/>
  <c r="AK10" i="42"/>
  <c r="AJ10" i="42"/>
  <c r="AI10" i="42"/>
  <c r="AH10" i="42"/>
  <c r="AG10" i="42"/>
  <c r="AF10" i="42"/>
  <c r="AE10" i="42"/>
  <c r="AD10" i="42"/>
  <c r="AN10" i="42" s="1"/>
  <c r="Y10" i="42"/>
  <c r="W10" i="42"/>
  <c r="V10" i="42"/>
  <c r="U10" i="42"/>
  <c r="T10" i="42"/>
  <c r="A10" i="42"/>
  <c r="AM9" i="42"/>
  <c r="AL9" i="42"/>
  <c r="AK9" i="42"/>
  <c r="AJ9" i="42"/>
  <c r="AI9" i="42"/>
  <c r="AH9" i="42"/>
  <c r="AG9" i="42"/>
  <c r="AF9" i="42"/>
  <c r="AE9" i="42"/>
  <c r="AD9" i="42"/>
  <c r="Y9" i="42"/>
  <c r="W9" i="42"/>
  <c r="V9" i="42"/>
  <c r="U9" i="42"/>
  <c r="T9" i="42"/>
  <c r="AM8" i="42"/>
  <c r="AL8" i="42"/>
  <c r="AK8" i="42"/>
  <c r="AJ8" i="42"/>
  <c r="AI8" i="42"/>
  <c r="AH8" i="42"/>
  <c r="AG8" i="42"/>
  <c r="AF8" i="42"/>
  <c r="AD8" i="42"/>
  <c r="AN8" i="42" s="1"/>
  <c r="Y8" i="42"/>
  <c r="W8" i="42"/>
  <c r="V8" i="42"/>
  <c r="U8" i="42"/>
  <c r="T8" i="42"/>
  <c r="A8" i="42"/>
  <c r="X12" i="42" s="1"/>
  <c r="AM7" i="42"/>
  <c r="AL7" i="42"/>
  <c r="AK7" i="42"/>
  <c r="AJ7" i="42"/>
  <c r="AI7" i="42"/>
  <c r="AH7" i="42"/>
  <c r="AG7" i="42"/>
  <c r="AF7" i="42"/>
  <c r="AD7" i="42"/>
  <c r="AN7" i="42" s="1"/>
  <c r="Y7" i="42"/>
  <c r="W7" i="42"/>
  <c r="V7" i="42"/>
  <c r="U7" i="42"/>
  <c r="T7" i="42"/>
  <c r="AM6" i="42"/>
  <c r="AL6" i="42"/>
  <c r="AK6" i="42"/>
  <c r="AJ6" i="42"/>
  <c r="AI6" i="42"/>
  <c r="AH6" i="42"/>
  <c r="AG6" i="42"/>
  <c r="AF6" i="42"/>
  <c r="AD6" i="42"/>
  <c r="AN6" i="42" s="1"/>
  <c r="Y6" i="42"/>
  <c r="W6" i="42"/>
  <c r="V6" i="42"/>
  <c r="U6" i="42"/>
  <c r="T6" i="42"/>
  <c r="A6" i="42"/>
  <c r="AM5" i="42"/>
  <c r="AL5" i="42"/>
  <c r="AK5" i="42"/>
  <c r="AJ5" i="42"/>
  <c r="AI5" i="42"/>
  <c r="AH5" i="42"/>
  <c r="AG5" i="42"/>
  <c r="AF5" i="42"/>
  <c r="AD5" i="42"/>
  <c r="AN5" i="42" s="1"/>
  <c r="Y5" i="42"/>
  <c r="W5" i="42"/>
  <c r="V5" i="42"/>
  <c r="U5" i="42"/>
  <c r="T5" i="42"/>
  <c r="F1" i="42"/>
  <c r="AM24" i="41"/>
  <c r="AL24" i="41"/>
  <c r="AK24" i="41"/>
  <c r="AJ24" i="41"/>
  <c r="AI24" i="41"/>
  <c r="AH24" i="41"/>
  <c r="AG24" i="41"/>
  <c r="AF24" i="41"/>
  <c r="AE24" i="41"/>
  <c r="AD24" i="41"/>
  <c r="AN24" i="41" s="1"/>
  <c r="Y24" i="41"/>
  <c r="V24" i="41"/>
  <c r="T24" i="41"/>
  <c r="AM23" i="41"/>
  <c r="AL23" i="41"/>
  <c r="AK23" i="41"/>
  <c r="AJ23" i="41"/>
  <c r="AI23" i="41"/>
  <c r="AH23" i="41"/>
  <c r="AG23" i="41"/>
  <c r="AF23" i="41"/>
  <c r="AE23" i="41"/>
  <c r="AD23" i="41"/>
  <c r="Y23" i="41"/>
  <c r="V23" i="41"/>
  <c r="T23" i="41"/>
  <c r="AM22" i="41"/>
  <c r="AL22" i="41"/>
  <c r="AK22" i="41"/>
  <c r="AJ22" i="41"/>
  <c r="AI22" i="41"/>
  <c r="AH22" i="41"/>
  <c r="AG22" i="41"/>
  <c r="AF22" i="41"/>
  <c r="AE22" i="41"/>
  <c r="AD22" i="41"/>
  <c r="Y22" i="41"/>
  <c r="V22" i="41"/>
  <c r="T22" i="41"/>
  <c r="AM21" i="41"/>
  <c r="AL21" i="41"/>
  <c r="AK21" i="41"/>
  <c r="AJ21" i="41"/>
  <c r="AI21" i="41"/>
  <c r="AH21" i="41"/>
  <c r="AG21" i="41"/>
  <c r="AF21" i="41"/>
  <c r="AE21" i="41"/>
  <c r="AD21" i="41"/>
  <c r="Y21" i="41"/>
  <c r="V21" i="41"/>
  <c r="T21" i="41"/>
  <c r="AM20" i="41"/>
  <c r="AL20" i="41"/>
  <c r="AK20" i="41"/>
  <c r="AJ20" i="41"/>
  <c r="AI20" i="41"/>
  <c r="AH20" i="41"/>
  <c r="AG20" i="41"/>
  <c r="AF20" i="41"/>
  <c r="AE20" i="41"/>
  <c r="AD20" i="41"/>
  <c r="Y20" i="41"/>
  <c r="V20" i="41"/>
  <c r="T20" i="41"/>
  <c r="AM19" i="41"/>
  <c r="AL19" i="41"/>
  <c r="AK19" i="41"/>
  <c r="AJ19" i="41"/>
  <c r="AI19" i="41"/>
  <c r="AH19" i="41"/>
  <c r="AG19" i="41"/>
  <c r="AF19" i="41"/>
  <c r="AE19" i="41"/>
  <c r="AD19" i="41"/>
  <c r="Y19" i="41"/>
  <c r="V19" i="41"/>
  <c r="T19" i="41"/>
  <c r="AM18" i="41"/>
  <c r="AL18" i="41"/>
  <c r="AK18" i="41"/>
  <c r="AJ18" i="41"/>
  <c r="AI18" i="41"/>
  <c r="AH18" i="41"/>
  <c r="AG18" i="41"/>
  <c r="AF18" i="41"/>
  <c r="AE18" i="41"/>
  <c r="AD18" i="41"/>
  <c r="AN18" i="41" s="1"/>
  <c r="Y18" i="41"/>
  <c r="V18" i="41"/>
  <c r="T18" i="41"/>
  <c r="AM17" i="41"/>
  <c r="AL17" i="41"/>
  <c r="AK17" i="41"/>
  <c r="AJ17" i="41"/>
  <c r="AI17" i="41"/>
  <c r="AH17" i="41"/>
  <c r="AG17" i="41"/>
  <c r="AF17" i="41"/>
  <c r="AE17" i="41"/>
  <c r="AN17" i="41" s="1"/>
  <c r="AD17" i="41"/>
  <c r="Y17" i="41"/>
  <c r="V17" i="41"/>
  <c r="T17" i="41"/>
  <c r="AM16" i="41"/>
  <c r="AL16" i="41"/>
  <c r="AK16" i="41"/>
  <c r="AJ16" i="41"/>
  <c r="AI16" i="41"/>
  <c r="AH16" i="41"/>
  <c r="AG16" i="41"/>
  <c r="AF16" i="41"/>
  <c r="AE16" i="41"/>
  <c r="AD16" i="41"/>
  <c r="Y16" i="41"/>
  <c r="V16" i="41"/>
  <c r="T16" i="41"/>
  <c r="AM15" i="41"/>
  <c r="AL15" i="41"/>
  <c r="AK15" i="41"/>
  <c r="AJ15" i="41"/>
  <c r="AI15" i="41"/>
  <c r="AH15" i="41"/>
  <c r="AG15" i="41"/>
  <c r="AF15" i="41"/>
  <c r="AE15" i="41"/>
  <c r="AD15" i="41"/>
  <c r="Y15" i="41"/>
  <c r="V15" i="41"/>
  <c r="T15" i="41"/>
  <c r="AM14" i="41"/>
  <c r="AL14" i="41"/>
  <c r="AK14" i="41"/>
  <c r="AJ14" i="41"/>
  <c r="AI14" i="41"/>
  <c r="AH14" i="41"/>
  <c r="AG14" i="41"/>
  <c r="AF14" i="41"/>
  <c r="AE14" i="41"/>
  <c r="AD14" i="41"/>
  <c r="Y14" i="41"/>
  <c r="V14" i="41"/>
  <c r="T14" i="41"/>
  <c r="AM13" i="41"/>
  <c r="AL13" i="41"/>
  <c r="AK13" i="41"/>
  <c r="AJ13" i="41"/>
  <c r="AI13" i="41"/>
  <c r="AH13" i="41"/>
  <c r="AG13" i="41"/>
  <c r="AF13" i="41"/>
  <c r="AE13" i="41"/>
  <c r="AD13" i="41"/>
  <c r="Y13" i="41"/>
  <c r="W13" i="41"/>
  <c r="V13" i="41"/>
  <c r="T13" i="41"/>
  <c r="AM12" i="41"/>
  <c r="AL12" i="41"/>
  <c r="AK12" i="41"/>
  <c r="AJ12" i="41"/>
  <c r="AI12" i="41"/>
  <c r="AH12" i="41"/>
  <c r="AG12" i="41"/>
  <c r="AF12" i="41"/>
  <c r="AE12" i="41"/>
  <c r="AD12" i="41"/>
  <c r="Y12" i="41"/>
  <c r="V12" i="41"/>
  <c r="T12" i="41"/>
  <c r="A12" i="41"/>
  <c r="AM11" i="41"/>
  <c r="AL11" i="41"/>
  <c r="AK11" i="41"/>
  <c r="AJ11" i="41"/>
  <c r="AI11" i="41"/>
  <c r="AH11" i="41"/>
  <c r="AG11" i="41"/>
  <c r="AF11" i="41"/>
  <c r="AE11" i="41"/>
  <c r="AD11" i="41"/>
  <c r="Y11" i="41"/>
  <c r="W11" i="41"/>
  <c r="V11" i="41"/>
  <c r="T11" i="41"/>
  <c r="AM10" i="41"/>
  <c r="AL10" i="41"/>
  <c r="AK10" i="41"/>
  <c r="AJ10" i="41"/>
  <c r="AI10" i="41"/>
  <c r="AH10" i="41"/>
  <c r="AG10" i="41"/>
  <c r="AF10" i="41"/>
  <c r="AE10" i="41"/>
  <c r="AD10" i="41"/>
  <c r="Y10" i="41"/>
  <c r="V10" i="41"/>
  <c r="U10" i="41"/>
  <c r="T10" i="41"/>
  <c r="A10" i="41"/>
  <c r="W15" i="41" s="1"/>
  <c r="AM9" i="41"/>
  <c r="AL9" i="41"/>
  <c r="AK9" i="41"/>
  <c r="AJ9" i="41"/>
  <c r="AI9" i="41"/>
  <c r="AH9" i="41"/>
  <c r="AG9" i="41"/>
  <c r="AF9" i="41"/>
  <c r="AE9" i="41"/>
  <c r="AD9" i="41"/>
  <c r="Y9" i="41"/>
  <c r="W9" i="41"/>
  <c r="V9" i="41"/>
  <c r="T9" i="41"/>
  <c r="AM8" i="41"/>
  <c r="AL8" i="41"/>
  <c r="AK8" i="41"/>
  <c r="AJ8" i="41"/>
  <c r="AI8" i="41"/>
  <c r="AH8" i="41"/>
  <c r="AG8" i="41"/>
  <c r="AF8" i="41"/>
  <c r="AD8" i="41"/>
  <c r="AN8" i="41" s="1"/>
  <c r="Y8" i="41"/>
  <c r="V8" i="41"/>
  <c r="T8" i="41"/>
  <c r="AM7" i="41"/>
  <c r="AL7" i="41"/>
  <c r="AK7" i="41"/>
  <c r="AJ7" i="41"/>
  <c r="AI7" i="41"/>
  <c r="AH7" i="41"/>
  <c r="AG7" i="41"/>
  <c r="AF7" i="41"/>
  <c r="AD7" i="41"/>
  <c r="AN7" i="41" s="1"/>
  <c r="Y7" i="41"/>
  <c r="V7" i="41"/>
  <c r="T7" i="41"/>
  <c r="AM6" i="41"/>
  <c r="AK6" i="41"/>
  <c r="AF6" i="41"/>
  <c r="AG6" i="41" s="1"/>
  <c r="AD6" i="41"/>
  <c r="AN6" i="41" s="1"/>
  <c r="Y6" i="41"/>
  <c r="A14" i="41" s="1"/>
  <c r="V6" i="41"/>
  <c r="U6" i="41"/>
  <c r="T6" i="41"/>
  <c r="AH6" i="41" s="1"/>
  <c r="AI6" i="41" s="1"/>
  <c r="A6" i="41"/>
  <c r="AM5" i="41"/>
  <c r="AL5" i="41"/>
  <c r="AK5" i="41"/>
  <c r="AJ5" i="41"/>
  <c r="AI5" i="41"/>
  <c r="AH5" i="41"/>
  <c r="AG5" i="41"/>
  <c r="AF5" i="41"/>
  <c r="AD5" i="41"/>
  <c r="AN5" i="41" s="1"/>
  <c r="Y5" i="41"/>
  <c r="W5" i="41"/>
  <c r="V5" i="41"/>
  <c r="T5" i="41"/>
  <c r="F1" i="41"/>
  <c r="AM24" i="40"/>
  <c r="AK24" i="40"/>
  <c r="AF24" i="40"/>
  <c r="AG24" i="40" s="1"/>
  <c r="Y24" i="40"/>
  <c r="V24" i="40"/>
  <c r="T24" i="40"/>
  <c r="AH24" i="40" s="1"/>
  <c r="AI24" i="40" s="1"/>
  <c r="AK23" i="40"/>
  <c r="AF23" i="40"/>
  <c r="AG23" i="40" s="1"/>
  <c r="Y23" i="40"/>
  <c r="V23" i="40"/>
  <c r="T23" i="40"/>
  <c r="AD23" i="40" s="1"/>
  <c r="AK22" i="40"/>
  <c r="AF22" i="40"/>
  <c r="AG22" i="40" s="1"/>
  <c r="Y22" i="40"/>
  <c r="V22" i="40"/>
  <c r="T22" i="40"/>
  <c r="AD22" i="40" s="1"/>
  <c r="AK21" i="40"/>
  <c r="AF21" i="40"/>
  <c r="AG21" i="40" s="1"/>
  <c r="Y21" i="40"/>
  <c r="V21" i="40"/>
  <c r="T21" i="40"/>
  <c r="AD21" i="40" s="1"/>
  <c r="AM20" i="40"/>
  <c r="AK20" i="40"/>
  <c r="AF20" i="40"/>
  <c r="AG20" i="40" s="1"/>
  <c r="Y20" i="40"/>
  <c r="V20" i="40"/>
  <c r="T20" i="40"/>
  <c r="AH20" i="40" s="1"/>
  <c r="AI20" i="40" s="1"/>
  <c r="AK19" i="40"/>
  <c r="AF19" i="40"/>
  <c r="AG19" i="40" s="1"/>
  <c r="Y19" i="40"/>
  <c r="V19" i="40"/>
  <c r="T19" i="40"/>
  <c r="AD19" i="40" s="1"/>
  <c r="AM18" i="40"/>
  <c r="AK18" i="40"/>
  <c r="AF18" i="40"/>
  <c r="AG18" i="40" s="1"/>
  <c r="Y18" i="40"/>
  <c r="V18" i="40"/>
  <c r="T18" i="40"/>
  <c r="AD18" i="40" s="1"/>
  <c r="AK17" i="40"/>
  <c r="AF17" i="40"/>
  <c r="AG17" i="40" s="1"/>
  <c r="Y17" i="40"/>
  <c r="V17" i="40"/>
  <c r="T17" i="40"/>
  <c r="AD17" i="40" s="1"/>
  <c r="AK16" i="40"/>
  <c r="AF16" i="40"/>
  <c r="AG16" i="40" s="1"/>
  <c r="Y16" i="40"/>
  <c r="V16" i="40"/>
  <c r="T16" i="40"/>
  <c r="AM16" i="40" s="1"/>
  <c r="AK15" i="40"/>
  <c r="AF15" i="40"/>
  <c r="AG15" i="40" s="1"/>
  <c r="Y15" i="40"/>
  <c r="V15" i="40"/>
  <c r="T15" i="40"/>
  <c r="AE15" i="40" s="1"/>
  <c r="AM14" i="40"/>
  <c r="AK14" i="40"/>
  <c r="AF14" i="40"/>
  <c r="AG14" i="40" s="1"/>
  <c r="Y14" i="40"/>
  <c r="V14" i="40"/>
  <c r="T14" i="40"/>
  <c r="AH14" i="40" s="1"/>
  <c r="AI14" i="40" s="1"/>
  <c r="AK13" i="40"/>
  <c r="AF13" i="40"/>
  <c r="AG13" i="40" s="1"/>
  <c r="Y13" i="40"/>
  <c r="V13" i="40"/>
  <c r="T13" i="40"/>
  <c r="AE13" i="40" s="1"/>
  <c r="AK12" i="40"/>
  <c r="AF12" i="40"/>
  <c r="AG12" i="40" s="1"/>
  <c r="Y12" i="40"/>
  <c r="V12" i="40"/>
  <c r="T12" i="40"/>
  <c r="AH12" i="40" s="1"/>
  <c r="AI12" i="40" s="1"/>
  <c r="A12" i="40"/>
  <c r="AM11" i="40"/>
  <c r="AL11" i="40"/>
  <c r="AK11" i="40"/>
  <c r="AJ11" i="40"/>
  <c r="AI11" i="40"/>
  <c r="AH11" i="40"/>
  <c r="AG11" i="40"/>
  <c r="AF11" i="40"/>
  <c r="AE11" i="40"/>
  <c r="AD11" i="40"/>
  <c r="Y11" i="40"/>
  <c r="V11" i="40"/>
  <c r="T11" i="40"/>
  <c r="AM10" i="40"/>
  <c r="AL10" i="40"/>
  <c r="AK10" i="40"/>
  <c r="AJ10" i="40"/>
  <c r="AI10" i="40"/>
  <c r="AH10" i="40"/>
  <c r="AG10" i="40"/>
  <c r="AF10" i="40"/>
  <c r="AE10" i="40"/>
  <c r="AD10" i="40"/>
  <c r="Y10" i="40"/>
  <c r="V10" i="40"/>
  <c r="T10" i="40"/>
  <c r="A10" i="40"/>
  <c r="AM9" i="40"/>
  <c r="AL9" i="40"/>
  <c r="AK9" i="40"/>
  <c r="AJ9" i="40"/>
  <c r="AI9" i="40"/>
  <c r="AH9" i="40"/>
  <c r="AG9" i="40"/>
  <c r="AF9" i="40"/>
  <c r="AE9" i="40"/>
  <c r="AD9" i="40"/>
  <c r="Y9" i="40"/>
  <c r="W9" i="40"/>
  <c r="V9" i="40"/>
  <c r="T9" i="40"/>
  <c r="AM8" i="40"/>
  <c r="AL8" i="40"/>
  <c r="AK8" i="40"/>
  <c r="AJ8" i="40"/>
  <c r="AI8" i="40"/>
  <c r="AH8" i="40"/>
  <c r="AG8" i="40"/>
  <c r="AF8" i="40"/>
  <c r="AD8" i="40"/>
  <c r="AN8" i="40" s="1"/>
  <c r="Y8" i="40"/>
  <c r="V8" i="40"/>
  <c r="T8" i="40"/>
  <c r="AM7" i="40"/>
  <c r="AL7" i="40"/>
  <c r="AK7" i="40"/>
  <c r="AJ7" i="40"/>
  <c r="AI7" i="40"/>
  <c r="AH7" i="40"/>
  <c r="AG7" i="40"/>
  <c r="AF7" i="40"/>
  <c r="AD7" i="40"/>
  <c r="AN7" i="40" s="1"/>
  <c r="Y7" i="40"/>
  <c r="V7" i="40"/>
  <c r="T7" i="40"/>
  <c r="AM6" i="40"/>
  <c r="AL6" i="40"/>
  <c r="AK6" i="40"/>
  <c r="AJ6" i="40"/>
  <c r="AI6" i="40"/>
  <c r="AH6" i="40"/>
  <c r="AG6" i="40"/>
  <c r="AF6" i="40"/>
  <c r="AD6" i="40"/>
  <c r="AN6" i="40" s="1"/>
  <c r="Y6" i="40"/>
  <c r="V6" i="40"/>
  <c r="T6" i="40"/>
  <c r="A6" i="40"/>
  <c r="AM5" i="40"/>
  <c r="AL5" i="40"/>
  <c r="AK5" i="40"/>
  <c r="AJ5" i="40"/>
  <c r="AI5" i="40"/>
  <c r="AH5" i="40"/>
  <c r="AG5" i="40"/>
  <c r="AF5" i="40"/>
  <c r="AD5" i="40"/>
  <c r="AN5" i="40" s="1"/>
  <c r="Y5" i="40"/>
  <c r="V5" i="40"/>
  <c r="T5" i="40"/>
  <c r="F1" i="40"/>
  <c r="AM50" i="39"/>
  <c r="AL50" i="39"/>
  <c r="AK50" i="39"/>
  <c r="AJ50" i="39"/>
  <c r="AI50" i="39"/>
  <c r="AH50" i="39"/>
  <c r="AG50" i="39"/>
  <c r="AF50" i="39"/>
  <c r="AE50" i="39"/>
  <c r="AD50" i="39"/>
  <c r="AN50" i="39" s="1"/>
  <c r="Y50" i="39"/>
  <c r="V50" i="39"/>
  <c r="T50" i="39"/>
  <c r="AM49" i="39"/>
  <c r="AL49" i="39"/>
  <c r="AK49" i="39"/>
  <c r="AJ49" i="39"/>
  <c r="AI49" i="39"/>
  <c r="AH49" i="39"/>
  <c r="AG49" i="39"/>
  <c r="AF49" i="39"/>
  <c r="AE49" i="39"/>
  <c r="AD49" i="39"/>
  <c r="Y49" i="39"/>
  <c r="V49" i="39"/>
  <c r="T49" i="39"/>
  <c r="AM48" i="39"/>
  <c r="AL48" i="39"/>
  <c r="AK48" i="39"/>
  <c r="AJ48" i="39"/>
  <c r="AI48" i="39"/>
  <c r="AH48" i="39"/>
  <c r="AG48" i="39"/>
  <c r="AF48" i="39"/>
  <c r="AE48" i="39"/>
  <c r="AD48" i="39"/>
  <c r="Y48" i="39"/>
  <c r="V48" i="39"/>
  <c r="T48" i="39"/>
  <c r="AM47" i="39"/>
  <c r="AL47" i="39"/>
  <c r="AK47" i="39"/>
  <c r="AJ47" i="39"/>
  <c r="AI47" i="39"/>
  <c r="AH47" i="39"/>
  <c r="AG47" i="39"/>
  <c r="AF47" i="39"/>
  <c r="AE47" i="39"/>
  <c r="AD47" i="39"/>
  <c r="Y47" i="39"/>
  <c r="V47" i="39"/>
  <c r="T47" i="39"/>
  <c r="AM46" i="39"/>
  <c r="AL46" i="39"/>
  <c r="AK46" i="39"/>
  <c r="AJ46" i="39"/>
  <c r="AI46" i="39"/>
  <c r="AH46" i="39"/>
  <c r="AG46" i="39"/>
  <c r="AF46" i="39"/>
  <c r="AE46" i="39"/>
  <c r="AD46" i="39"/>
  <c r="Y46" i="39"/>
  <c r="V46" i="39"/>
  <c r="T46" i="39"/>
  <c r="AM45" i="39"/>
  <c r="AL45" i="39"/>
  <c r="AK45" i="39"/>
  <c r="AJ45" i="39"/>
  <c r="AI45" i="39"/>
  <c r="AH45" i="39"/>
  <c r="AG45" i="39"/>
  <c r="AF45" i="39"/>
  <c r="AE45" i="39"/>
  <c r="AD45" i="39"/>
  <c r="Y45" i="39"/>
  <c r="V45" i="39"/>
  <c r="T45" i="39"/>
  <c r="AM44" i="39"/>
  <c r="AL44" i="39"/>
  <c r="AK44" i="39"/>
  <c r="AJ44" i="39"/>
  <c r="AI44" i="39"/>
  <c r="AH44" i="39"/>
  <c r="AG44" i="39"/>
  <c r="AF44" i="39"/>
  <c r="AE44" i="39"/>
  <c r="AD44" i="39"/>
  <c r="AN44" i="39" s="1"/>
  <c r="Y44" i="39"/>
  <c r="V44" i="39"/>
  <c r="T44" i="39"/>
  <c r="AM43" i="39"/>
  <c r="AL43" i="39"/>
  <c r="AK43" i="39"/>
  <c r="AJ43" i="39"/>
  <c r="AI43" i="39"/>
  <c r="AH43" i="39"/>
  <c r="AG43" i="39"/>
  <c r="AF43" i="39"/>
  <c r="AE43" i="39"/>
  <c r="AN43" i="39" s="1"/>
  <c r="AD43" i="39"/>
  <c r="Y43" i="39"/>
  <c r="V43" i="39"/>
  <c r="T43" i="39"/>
  <c r="AM42" i="39"/>
  <c r="AL42" i="39"/>
  <c r="AK42" i="39"/>
  <c r="AJ42" i="39"/>
  <c r="AI42" i="39"/>
  <c r="AH42" i="39"/>
  <c r="AG42" i="39"/>
  <c r="AF42" i="39"/>
  <c r="AE42" i="39"/>
  <c r="AD42" i="39"/>
  <c r="Y42" i="39"/>
  <c r="V42" i="39"/>
  <c r="T42" i="39"/>
  <c r="AM41" i="39"/>
  <c r="AL41" i="39"/>
  <c r="AK41" i="39"/>
  <c r="AJ41" i="39"/>
  <c r="AI41" i="39"/>
  <c r="AH41" i="39"/>
  <c r="AG41" i="39"/>
  <c r="AF41" i="39"/>
  <c r="AE41" i="39"/>
  <c r="AD41" i="39"/>
  <c r="Y41" i="39"/>
  <c r="V41" i="39"/>
  <c r="T41" i="39"/>
  <c r="AM40" i="39"/>
  <c r="AL40" i="39"/>
  <c r="AK40" i="39"/>
  <c r="AJ40" i="39"/>
  <c r="AI40" i="39"/>
  <c r="AH40" i="39"/>
  <c r="AG40" i="39"/>
  <c r="AF40" i="39"/>
  <c r="AE40" i="39"/>
  <c r="AD40" i="39"/>
  <c r="Y40" i="39"/>
  <c r="V40" i="39"/>
  <c r="T40" i="39"/>
  <c r="AM39" i="39"/>
  <c r="AL39" i="39"/>
  <c r="AK39" i="39"/>
  <c r="AJ39" i="39"/>
  <c r="AI39" i="39"/>
  <c r="AH39" i="39"/>
  <c r="AG39" i="39"/>
  <c r="AF39" i="39"/>
  <c r="AE39" i="39"/>
  <c r="AD39" i="39"/>
  <c r="Y39" i="39"/>
  <c r="V39" i="39"/>
  <c r="T39" i="39"/>
  <c r="AM38" i="39"/>
  <c r="AL38" i="39"/>
  <c r="AK38" i="39"/>
  <c r="AJ38" i="39"/>
  <c r="AI38" i="39"/>
  <c r="AH38" i="39"/>
  <c r="AG38" i="39"/>
  <c r="AF38" i="39"/>
  <c r="AE38" i="39"/>
  <c r="AD38" i="39"/>
  <c r="AN38" i="39" s="1"/>
  <c r="Y38" i="39"/>
  <c r="V38" i="39"/>
  <c r="T38" i="39"/>
  <c r="AM37" i="39"/>
  <c r="AL37" i="39"/>
  <c r="AK37" i="39"/>
  <c r="AJ37" i="39"/>
  <c r="AI37" i="39"/>
  <c r="AH37" i="39"/>
  <c r="AG37" i="39"/>
  <c r="AF37" i="39"/>
  <c r="AE37" i="39"/>
  <c r="AD37" i="39"/>
  <c r="Y37" i="39"/>
  <c r="V37" i="39"/>
  <c r="T37" i="39"/>
  <c r="AM36" i="39"/>
  <c r="AL36" i="39"/>
  <c r="AK36" i="39"/>
  <c r="AJ36" i="39"/>
  <c r="AI36" i="39"/>
  <c r="AH36" i="39"/>
  <c r="AG36" i="39"/>
  <c r="AF36" i="39"/>
  <c r="AE36" i="39"/>
  <c r="AD36" i="39"/>
  <c r="Y36" i="39"/>
  <c r="V36" i="39"/>
  <c r="T36" i="39"/>
  <c r="AM35" i="39"/>
  <c r="AL35" i="39"/>
  <c r="AK35" i="39"/>
  <c r="AJ35" i="39"/>
  <c r="AI35" i="39"/>
  <c r="AH35" i="39"/>
  <c r="AG35" i="39"/>
  <c r="AF35" i="39"/>
  <c r="AE35" i="39"/>
  <c r="AD35" i="39"/>
  <c r="Y35" i="39"/>
  <c r="V35" i="39"/>
  <c r="T35" i="39"/>
  <c r="AM34" i="39"/>
  <c r="AL34" i="39"/>
  <c r="AK34" i="39"/>
  <c r="AJ34" i="39"/>
  <c r="AI34" i="39"/>
  <c r="AH34" i="39"/>
  <c r="AG34" i="39"/>
  <c r="AF34" i="39"/>
  <c r="AE34" i="39"/>
  <c r="AD34" i="39"/>
  <c r="AN34" i="39" s="1"/>
  <c r="Y34" i="39"/>
  <c r="V34" i="39"/>
  <c r="T34" i="39"/>
  <c r="AM33" i="39"/>
  <c r="AL33" i="39"/>
  <c r="AK33" i="39"/>
  <c r="AJ33" i="39"/>
  <c r="AI33" i="39"/>
  <c r="AH33" i="39"/>
  <c r="AG33" i="39"/>
  <c r="AF33" i="39"/>
  <c r="AE33" i="39"/>
  <c r="AD33" i="39"/>
  <c r="Y33" i="39"/>
  <c r="V33" i="39"/>
  <c r="T33" i="39"/>
  <c r="AM32" i="39"/>
  <c r="AK32" i="39"/>
  <c r="AF32" i="39"/>
  <c r="AG32" i="39" s="1"/>
  <c r="Y32" i="39"/>
  <c r="V32" i="39"/>
  <c r="T32" i="39"/>
  <c r="AH32" i="39" s="1"/>
  <c r="AI32" i="39" s="1"/>
  <c r="AM31" i="39"/>
  <c r="AK31" i="39"/>
  <c r="AF31" i="39"/>
  <c r="AG31" i="39" s="1"/>
  <c r="Y31" i="39"/>
  <c r="V31" i="39"/>
  <c r="T31" i="39"/>
  <c r="AH31" i="39" s="1"/>
  <c r="AI31" i="39" s="1"/>
  <c r="AM30" i="39"/>
  <c r="AK30" i="39"/>
  <c r="AF30" i="39"/>
  <c r="AG30" i="39" s="1"/>
  <c r="AE30" i="39"/>
  <c r="AD30" i="39"/>
  <c r="Y30" i="39"/>
  <c r="V30" i="39"/>
  <c r="T30" i="39"/>
  <c r="AH30" i="39" s="1"/>
  <c r="AI30" i="39" s="1"/>
  <c r="AM29" i="39"/>
  <c r="AK29" i="39"/>
  <c r="AG29" i="39"/>
  <c r="AF29" i="39"/>
  <c r="AE29" i="39"/>
  <c r="Y29" i="39"/>
  <c r="V29" i="39"/>
  <c r="T29" i="39"/>
  <c r="AD29" i="39" s="1"/>
  <c r="AM28" i="39"/>
  <c r="AK28" i="39"/>
  <c r="AF28" i="39"/>
  <c r="AG28" i="39" s="1"/>
  <c r="Y28" i="39"/>
  <c r="V28" i="39"/>
  <c r="T28" i="39"/>
  <c r="AH28" i="39" s="1"/>
  <c r="AI28" i="39" s="1"/>
  <c r="AM27" i="39"/>
  <c r="AK27" i="39"/>
  <c r="AF27" i="39"/>
  <c r="AG27" i="39" s="1"/>
  <c r="AD27" i="39"/>
  <c r="Y27" i="39"/>
  <c r="V27" i="39"/>
  <c r="T27" i="39"/>
  <c r="AH27" i="39" s="1"/>
  <c r="AI27" i="39" s="1"/>
  <c r="AM26" i="39"/>
  <c r="AK26" i="39"/>
  <c r="AF26" i="39"/>
  <c r="AG26" i="39" s="1"/>
  <c r="AE26" i="39"/>
  <c r="AD26" i="39"/>
  <c r="Y26" i="39"/>
  <c r="V26" i="39"/>
  <c r="T26" i="39"/>
  <c r="AH26" i="39" s="1"/>
  <c r="AI26" i="39" s="1"/>
  <c r="AM25" i="39"/>
  <c r="AK25" i="39"/>
  <c r="AG25" i="39"/>
  <c r="AF25" i="39"/>
  <c r="Y25" i="39"/>
  <c r="V25" i="39"/>
  <c r="T25" i="39"/>
  <c r="AD25" i="39" s="1"/>
  <c r="AM24" i="39"/>
  <c r="AK24" i="39"/>
  <c r="AF24" i="39"/>
  <c r="AG24" i="39" s="1"/>
  <c r="Y24" i="39"/>
  <c r="V24" i="39"/>
  <c r="T24" i="39"/>
  <c r="AH24" i="39" s="1"/>
  <c r="AI24" i="39" s="1"/>
  <c r="AM23" i="39"/>
  <c r="AK23" i="39"/>
  <c r="AF23" i="39"/>
  <c r="AG23" i="39" s="1"/>
  <c r="AD23" i="39"/>
  <c r="Y23" i="39"/>
  <c r="V23" i="39"/>
  <c r="T23" i="39"/>
  <c r="AH23" i="39" s="1"/>
  <c r="AI23" i="39" s="1"/>
  <c r="AK22" i="39"/>
  <c r="AF22" i="39"/>
  <c r="AG22" i="39" s="1"/>
  <c r="Y22" i="39"/>
  <c r="V22" i="39"/>
  <c r="T22" i="39"/>
  <c r="AM22" i="39" s="1"/>
  <c r="AK21" i="39"/>
  <c r="AH21" i="39"/>
  <c r="AI21" i="39" s="1"/>
  <c r="AF21" i="39"/>
  <c r="AG21" i="39" s="1"/>
  <c r="AE21" i="39"/>
  <c r="Y21" i="39"/>
  <c r="V21" i="39"/>
  <c r="T21" i="39"/>
  <c r="AD21" i="39" s="1"/>
  <c r="AK20" i="39"/>
  <c r="AF20" i="39"/>
  <c r="AG20" i="39" s="1"/>
  <c r="Y20" i="39"/>
  <c r="V20" i="39"/>
  <c r="T20" i="39"/>
  <c r="AH20" i="39" s="1"/>
  <c r="AI20" i="39" s="1"/>
  <c r="AK19" i="39"/>
  <c r="AF19" i="39"/>
  <c r="AG19" i="39" s="1"/>
  <c r="AD19" i="39"/>
  <c r="Y19" i="39"/>
  <c r="V19" i="39"/>
  <c r="T19" i="39"/>
  <c r="AH19" i="39" s="1"/>
  <c r="AI19" i="39" s="1"/>
  <c r="AK18" i="39"/>
  <c r="AF18" i="39"/>
  <c r="AG18" i="39" s="1"/>
  <c r="Y18" i="39"/>
  <c r="V18" i="39"/>
  <c r="T18" i="39"/>
  <c r="AH18" i="39" s="1"/>
  <c r="AI18" i="39" s="1"/>
  <c r="AK17" i="39"/>
  <c r="AF17" i="39"/>
  <c r="AG17" i="39" s="1"/>
  <c r="Y17" i="39"/>
  <c r="V17" i="39"/>
  <c r="T17" i="39"/>
  <c r="AD17" i="39" s="1"/>
  <c r="AK16" i="39"/>
  <c r="AF16" i="39"/>
  <c r="AG16" i="39" s="1"/>
  <c r="Y16" i="39"/>
  <c r="V16" i="39"/>
  <c r="T16" i="39"/>
  <c r="AH16" i="39" s="1"/>
  <c r="AI16" i="39" s="1"/>
  <c r="AK15" i="39"/>
  <c r="AF15" i="39"/>
  <c r="AG15" i="39" s="1"/>
  <c r="Y15" i="39"/>
  <c r="V15" i="39"/>
  <c r="T15" i="39"/>
  <c r="AH15" i="39" s="1"/>
  <c r="AI15" i="39" s="1"/>
  <c r="AK14" i="39"/>
  <c r="AF14" i="39"/>
  <c r="AG14" i="39" s="1"/>
  <c r="Y14" i="39"/>
  <c r="V14" i="39"/>
  <c r="T14" i="39"/>
  <c r="AE14" i="39" s="1"/>
  <c r="AK13" i="39"/>
  <c r="AF13" i="39"/>
  <c r="AG13" i="39" s="1"/>
  <c r="Y13" i="39"/>
  <c r="V13" i="39"/>
  <c r="T13" i="39"/>
  <c r="AH13" i="39" s="1"/>
  <c r="AI13" i="39" s="1"/>
  <c r="AK12" i="39"/>
  <c r="AF12" i="39"/>
  <c r="AG12" i="39" s="1"/>
  <c r="Y12" i="39"/>
  <c r="V12" i="39"/>
  <c r="T12" i="39"/>
  <c r="AH12" i="39" s="1"/>
  <c r="AI12" i="39" s="1"/>
  <c r="A12" i="39"/>
  <c r="AK11" i="39"/>
  <c r="AF11" i="39"/>
  <c r="AG11" i="39" s="1"/>
  <c r="Y11" i="39"/>
  <c r="V11" i="39"/>
  <c r="T11" i="39"/>
  <c r="AM11" i="39" s="1"/>
  <c r="AK10" i="39"/>
  <c r="AF10" i="39"/>
  <c r="AG10" i="39" s="1"/>
  <c r="Y10" i="39"/>
  <c r="V10" i="39"/>
  <c r="T10" i="39"/>
  <c r="AD10" i="39" s="1"/>
  <c r="A10" i="39"/>
  <c r="U44" i="39" s="1"/>
  <c r="AM9" i="39"/>
  <c r="AL9" i="39"/>
  <c r="AK9" i="39"/>
  <c r="AJ9" i="39"/>
  <c r="AI9" i="39"/>
  <c r="AH9" i="39"/>
  <c r="AG9" i="39"/>
  <c r="AF9" i="39"/>
  <c r="AE9" i="39"/>
  <c r="AD9" i="39"/>
  <c r="Y9" i="39"/>
  <c r="W9" i="39"/>
  <c r="V9" i="39"/>
  <c r="T9" i="39"/>
  <c r="AM8" i="39"/>
  <c r="AL8" i="39"/>
  <c r="AK8" i="39"/>
  <c r="AJ8" i="39"/>
  <c r="AI8" i="39"/>
  <c r="AH8" i="39"/>
  <c r="AG8" i="39"/>
  <c r="AF8" i="39"/>
  <c r="AD8" i="39"/>
  <c r="AN8" i="39" s="1"/>
  <c r="Y8" i="39"/>
  <c r="V8" i="39"/>
  <c r="T8" i="39"/>
  <c r="AM7" i="39"/>
  <c r="AL7" i="39"/>
  <c r="AK7" i="39"/>
  <c r="AJ7" i="39"/>
  <c r="AI7" i="39"/>
  <c r="AH7" i="39"/>
  <c r="AG7" i="39"/>
  <c r="AF7" i="39"/>
  <c r="AD7" i="39"/>
  <c r="AN7" i="39" s="1"/>
  <c r="Y7" i="39"/>
  <c r="V7" i="39"/>
  <c r="T7" i="39"/>
  <c r="AM6" i="39"/>
  <c r="AL6" i="39"/>
  <c r="AK6" i="39"/>
  <c r="AJ6" i="39"/>
  <c r="AI6" i="39"/>
  <c r="AH6" i="39"/>
  <c r="AG6" i="39"/>
  <c r="AF6" i="39"/>
  <c r="AD6" i="39"/>
  <c r="AN6" i="39" s="1"/>
  <c r="Y6" i="39"/>
  <c r="V6" i="39"/>
  <c r="T6" i="39"/>
  <c r="A6" i="39"/>
  <c r="AM5" i="39"/>
  <c r="AL5" i="39"/>
  <c r="AK5" i="39"/>
  <c r="AJ5" i="39"/>
  <c r="AI5" i="39"/>
  <c r="AH5" i="39"/>
  <c r="AG5" i="39"/>
  <c r="AF5" i="39"/>
  <c r="AD5" i="39"/>
  <c r="AN5" i="39" s="1"/>
  <c r="Y5" i="39"/>
  <c r="V5" i="39"/>
  <c r="T5" i="39"/>
  <c r="F1" i="39"/>
  <c r="AM41" i="66"/>
  <c r="AL41" i="66"/>
  <c r="AK41" i="66"/>
  <c r="AJ41" i="66"/>
  <c r="AI41" i="66"/>
  <c r="AH41" i="66"/>
  <c r="AG41" i="66"/>
  <c r="AF41" i="66"/>
  <c r="AE41" i="66"/>
  <c r="AD41" i="66"/>
  <c r="AN41" i="66" s="1"/>
  <c r="Y41" i="66"/>
  <c r="V41" i="66"/>
  <c r="T41" i="66"/>
  <c r="AM40" i="66"/>
  <c r="AL40" i="66"/>
  <c r="AK40" i="66"/>
  <c r="AJ40" i="66"/>
  <c r="AI40" i="66"/>
  <c r="AH40" i="66"/>
  <c r="AG40" i="66"/>
  <c r="AF40" i="66"/>
  <c r="AE40" i="66"/>
  <c r="AD40" i="66"/>
  <c r="Y40" i="66"/>
  <c r="V40" i="66"/>
  <c r="T40" i="66"/>
  <c r="AM39" i="66"/>
  <c r="AL39" i="66"/>
  <c r="AK39" i="66"/>
  <c r="AJ39" i="66"/>
  <c r="AI39" i="66"/>
  <c r="AH39" i="66"/>
  <c r="AG39" i="66"/>
  <c r="AF39" i="66"/>
  <c r="AE39" i="66"/>
  <c r="AD39" i="66"/>
  <c r="AN39" i="66" s="1"/>
  <c r="Y39" i="66"/>
  <c r="V39" i="66"/>
  <c r="T39" i="66"/>
  <c r="AM38" i="66"/>
  <c r="AL38" i="66"/>
  <c r="AK38" i="66"/>
  <c r="AJ38" i="66"/>
  <c r="AI38" i="66"/>
  <c r="AH38" i="66"/>
  <c r="AG38" i="66"/>
  <c r="AF38" i="66"/>
  <c r="AE38" i="66"/>
  <c r="AD38" i="66"/>
  <c r="AN38" i="66" s="1"/>
  <c r="Y38" i="66"/>
  <c r="V38" i="66"/>
  <c r="T38" i="66"/>
  <c r="AM37" i="66"/>
  <c r="AL37" i="66"/>
  <c r="AK37" i="66"/>
  <c r="AJ37" i="66"/>
  <c r="AI37" i="66"/>
  <c r="AH37" i="66"/>
  <c r="AG37" i="66"/>
  <c r="AF37" i="66"/>
  <c r="AE37" i="66"/>
  <c r="AD37" i="66"/>
  <c r="AN37" i="66" s="1"/>
  <c r="Y37" i="66"/>
  <c r="V37" i="66"/>
  <c r="T37" i="66"/>
  <c r="AM36" i="66"/>
  <c r="AL36" i="66"/>
  <c r="AK36" i="66"/>
  <c r="AJ36" i="66"/>
  <c r="AI36" i="66"/>
  <c r="AH36" i="66"/>
  <c r="AG36" i="66"/>
  <c r="AF36" i="66"/>
  <c r="AE36" i="66"/>
  <c r="AD36" i="66"/>
  <c r="Y36" i="66"/>
  <c r="V36" i="66"/>
  <c r="T36" i="66"/>
  <c r="AM35" i="66"/>
  <c r="AL35" i="66"/>
  <c r="AK35" i="66"/>
  <c r="AJ35" i="66"/>
  <c r="AI35" i="66"/>
  <c r="AH35" i="66"/>
  <c r="AG35" i="66"/>
  <c r="AF35" i="66"/>
  <c r="AE35" i="66"/>
  <c r="AD35" i="66"/>
  <c r="AN35" i="66" s="1"/>
  <c r="Y35" i="66"/>
  <c r="V35" i="66"/>
  <c r="T35" i="66"/>
  <c r="AM34" i="66"/>
  <c r="AL34" i="66"/>
  <c r="AK34" i="66"/>
  <c r="AJ34" i="66"/>
  <c r="AI34" i="66"/>
  <c r="AH34" i="66"/>
  <c r="AG34" i="66"/>
  <c r="AF34" i="66"/>
  <c r="AE34" i="66"/>
  <c r="AD34" i="66"/>
  <c r="AN34" i="66" s="1"/>
  <c r="Y34" i="66"/>
  <c r="V34" i="66"/>
  <c r="T34" i="66"/>
  <c r="AM33" i="66"/>
  <c r="AL33" i="66"/>
  <c r="AK33" i="66"/>
  <c r="AJ33" i="66"/>
  <c r="AI33" i="66"/>
  <c r="AH33" i="66"/>
  <c r="AG33" i="66"/>
  <c r="AF33" i="66"/>
  <c r="AE33" i="66"/>
  <c r="AD33" i="66"/>
  <c r="AN33" i="66" s="1"/>
  <c r="Y33" i="66"/>
  <c r="V33" i="66"/>
  <c r="T33" i="66"/>
  <c r="AM32" i="66"/>
  <c r="AL32" i="66"/>
  <c r="AK32" i="66"/>
  <c r="AJ32" i="66"/>
  <c r="AI32" i="66"/>
  <c r="AH32" i="66"/>
  <c r="AG32" i="66"/>
  <c r="AF32" i="66"/>
  <c r="AE32" i="66"/>
  <c r="AD32" i="66"/>
  <c r="Y32" i="66"/>
  <c r="V32" i="66"/>
  <c r="T32" i="66"/>
  <c r="AM31" i="66"/>
  <c r="AL31" i="66"/>
  <c r="AK31" i="66"/>
  <c r="AJ31" i="66"/>
  <c r="AI31" i="66"/>
  <c r="AH31" i="66"/>
  <c r="AG31" i="66"/>
  <c r="AF31" i="66"/>
  <c r="AE31" i="66"/>
  <c r="AD31" i="66"/>
  <c r="AN31" i="66" s="1"/>
  <c r="Y31" i="66"/>
  <c r="V31" i="66"/>
  <c r="T31" i="66"/>
  <c r="AM30" i="66"/>
  <c r="AL30" i="66"/>
  <c r="AK30" i="66"/>
  <c r="AJ30" i="66"/>
  <c r="AI30" i="66"/>
  <c r="AH30" i="66"/>
  <c r="AG30" i="66"/>
  <c r="AF30" i="66"/>
  <c r="AE30" i="66"/>
  <c r="AD30" i="66"/>
  <c r="AN30" i="66" s="1"/>
  <c r="Y30" i="66"/>
  <c r="V30" i="66"/>
  <c r="T30" i="66"/>
  <c r="AM29" i="66"/>
  <c r="AL29" i="66"/>
  <c r="AK29" i="66"/>
  <c r="AJ29" i="66"/>
  <c r="AI29" i="66"/>
  <c r="AH29" i="66"/>
  <c r="AG29" i="66"/>
  <c r="AF29" i="66"/>
  <c r="AE29" i="66"/>
  <c r="AD29" i="66"/>
  <c r="AN29" i="66" s="1"/>
  <c r="Y29" i="66"/>
  <c r="V29" i="66"/>
  <c r="T29" i="66"/>
  <c r="AM28" i="66"/>
  <c r="AL28" i="66"/>
  <c r="AK28" i="66"/>
  <c r="AJ28" i="66"/>
  <c r="AI28" i="66"/>
  <c r="AH28" i="66"/>
  <c r="AG28" i="66"/>
  <c r="AF28" i="66"/>
  <c r="AE28" i="66"/>
  <c r="AD28" i="66"/>
  <c r="Y28" i="66"/>
  <c r="V28" i="66"/>
  <c r="T28" i="66"/>
  <c r="AM27" i="66"/>
  <c r="AL27" i="66"/>
  <c r="AK27" i="66"/>
  <c r="AJ27" i="66"/>
  <c r="AI27" i="66"/>
  <c r="AH27" i="66"/>
  <c r="AG27" i="66"/>
  <c r="AF27" i="66"/>
  <c r="AE27" i="66"/>
  <c r="AD27" i="66"/>
  <c r="AN27" i="66" s="1"/>
  <c r="Y27" i="66"/>
  <c r="V27" i="66"/>
  <c r="T27" i="66"/>
  <c r="AM26" i="66"/>
  <c r="AL26" i="66"/>
  <c r="AK26" i="66"/>
  <c r="AJ26" i="66"/>
  <c r="AI26" i="66"/>
  <c r="AH26" i="66"/>
  <c r="AG26" i="66"/>
  <c r="AF26" i="66"/>
  <c r="AE26" i="66"/>
  <c r="AD26" i="66"/>
  <c r="AN26" i="66" s="1"/>
  <c r="Y26" i="66"/>
  <c r="V26" i="66"/>
  <c r="T26" i="66"/>
  <c r="AM25" i="66"/>
  <c r="AL25" i="66"/>
  <c r="AK25" i="66"/>
  <c r="AJ25" i="66"/>
  <c r="AI25" i="66"/>
  <c r="AH25" i="66"/>
  <c r="AG25" i="66"/>
  <c r="AF25" i="66"/>
  <c r="AE25" i="66"/>
  <c r="AD25" i="66"/>
  <c r="AN25" i="66" s="1"/>
  <c r="Y25" i="66"/>
  <c r="V25" i="66"/>
  <c r="T25" i="66"/>
  <c r="AM24" i="66"/>
  <c r="AL24" i="66"/>
  <c r="AK24" i="66"/>
  <c r="AJ24" i="66"/>
  <c r="AI24" i="66"/>
  <c r="AH24" i="66"/>
  <c r="AG24" i="66"/>
  <c r="AF24" i="66"/>
  <c r="AE24" i="66"/>
  <c r="AD24" i="66"/>
  <c r="Y24" i="66"/>
  <c r="V24" i="66"/>
  <c r="T24" i="66"/>
  <c r="AM23" i="66"/>
  <c r="AL23" i="66"/>
  <c r="AK23" i="66"/>
  <c r="AJ23" i="66"/>
  <c r="AI23" i="66"/>
  <c r="AH23" i="66"/>
  <c r="AG23" i="66"/>
  <c r="AF23" i="66"/>
  <c r="AE23" i="66"/>
  <c r="AD23" i="66"/>
  <c r="AN23" i="66" s="1"/>
  <c r="Y23" i="66"/>
  <c r="V23" i="66"/>
  <c r="T23" i="66"/>
  <c r="AM22" i="66"/>
  <c r="AL22" i="66"/>
  <c r="AK22" i="66"/>
  <c r="AJ22" i="66"/>
  <c r="AI22" i="66"/>
  <c r="AH22" i="66"/>
  <c r="AG22" i="66"/>
  <c r="AF22" i="66"/>
  <c r="AE22" i="66"/>
  <c r="AD22" i="66"/>
  <c r="AN22" i="66" s="1"/>
  <c r="Y22" i="66"/>
  <c r="V22" i="66"/>
  <c r="T22" i="66"/>
  <c r="AM21" i="66"/>
  <c r="AL21" i="66"/>
  <c r="AK21" i="66"/>
  <c r="AJ21" i="66"/>
  <c r="AI21" i="66"/>
  <c r="AH21" i="66"/>
  <c r="AG21" i="66"/>
  <c r="AF21" i="66"/>
  <c r="AE21" i="66"/>
  <c r="AD21" i="66"/>
  <c r="AN21" i="66" s="1"/>
  <c r="Y21" i="66"/>
  <c r="V21" i="66"/>
  <c r="T21" i="66"/>
  <c r="AM20" i="66"/>
  <c r="AL20" i="66"/>
  <c r="AK20" i="66"/>
  <c r="AJ20" i="66"/>
  <c r="AI20" i="66"/>
  <c r="AH20" i="66"/>
  <c r="AG20" i="66"/>
  <c r="AF20" i="66"/>
  <c r="AE20" i="66"/>
  <c r="AD20" i="66"/>
  <c r="Y20" i="66"/>
  <c r="V20" i="66"/>
  <c r="T20" i="66"/>
  <c r="AM19" i="66"/>
  <c r="AL19" i="66"/>
  <c r="AK19" i="66"/>
  <c r="AJ19" i="66"/>
  <c r="AI19" i="66"/>
  <c r="AH19" i="66"/>
  <c r="AG19" i="66"/>
  <c r="AF19" i="66"/>
  <c r="AE19" i="66"/>
  <c r="AD19" i="66"/>
  <c r="AN19" i="66" s="1"/>
  <c r="Y19" i="66"/>
  <c r="V19" i="66"/>
  <c r="T19" i="66"/>
  <c r="AM18" i="66"/>
  <c r="AL18" i="66"/>
  <c r="AK18" i="66"/>
  <c r="AJ18" i="66"/>
  <c r="AI18" i="66"/>
  <c r="AH18" i="66"/>
  <c r="AG18" i="66"/>
  <c r="AF18" i="66"/>
  <c r="AE18" i="66"/>
  <c r="AD18" i="66"/>
  <c r="AN18" i="66" s="1"/>
  <c r="Y18" i="66"/>
  <c r="V18" i="66"/>
  <c r="T18" i="66"/>
  <c r="AM17" i="66"/>
  <c r="AL17" i="66"/>
  <c r="AK17" i="66"/>
  <c r="AJ17" i="66"/>
  <c r="AI17" i="66"/>
  <c r="AH17" i="66"/>
  <c r="AG17" i="66"/>
  <c r="AF17" i="66"/>
  <c r="AE17" i="66"/>
  <c r="AD17" i="66"/>
  <c r="AN17" i="66" s="1"/>
  <c r="Y17" i="66"/>
  <c r="V17" i="66"/>
  <c r="T17" i="66"/>
  <c r="AM16" i="66"/>
  <c r="AL16" i="66"/>
  <c r="AK16" i="66"/>
  <c r="AJ16" i="66"/>
  <c r="AI16" i="66"/>
  <c r="AH16" i="66"/>
  <c r="AG16" i="66"/>
  <c r="AF16" i="66"/>
  <c r="AE16" i="66"/>
  <c r="AD16" i="66"/>
  <c r="Y16" i="66"/>
  <c r="V16" i="66"/>
  <c r="T16" i="66"/>
  <c r="AM15" i="66"/>
  <c r="AL15" i="66"/>
  <c r="AK15" i="66"/>
  <c r="AJ15" i="66"/>
  <c r="AI15" i="66"/>
  <c r="AH15" i="66"/>
  <c r="AG15" i="66"/>
  <c r="AF15" i="66"/>
  <c r="AE15" i="66"/>
  <c r="AD15" i="66"/>
  <c r="Y15" i="66"/>
  <c r="V15" i="66"/>
  <c r="T15" i="66"/>
  <c r="AM14" i="66"/>
  <c r="AL14" i="66"/>
  <c r="AK14" i="66"/>
  <c r="AJ14" i="66"/>
  <c r="AI14" i="66"/>
  <c r="AH14" i="66"/>
  <c r="AG14" i="66"/>
  <c r="AF14" i="66"/>
  <c r="AE14" i="66"/>
  <c r="AD14" i="66"/>
  <c r="Y14" i="66"/>
  <c r="V14" i="66"/>
  <c r="T14" i="66"/>
  <c r="AM13" i="66"/>
  <c r="AL13" i="66"/>
  <c r="AK13" i="66"/>
  <c r="AJ13" i="66"/>
  <c r="AI13" i="66"/>
  <c r="AH13" i="66"/>
  <c r="AG13" i="66"/>
  <c r="AF13" i="66"/>
  <c r="AE13" i="66"/>
  <c r="AD13" i="66"/>
  <c r="Y13" i="66"/>
  <c r="V13" i="66"/>
  <c r="T13" i="66"/>
  <c r="AM12" i="66"/>
  <c r="AL12" i="66"/>
  <c r="AK12" i="66"/>
  <c r="AJ12" i="66"/>
  <c r="AI12" i="66"/>
  <c r="AH12" i="66"/>
  <c r="AG12" i="66"/>
  <c r="AF12" i="66"/>
  <c r="AE12" i="66"/>
  <c r="AD12" i="66"/>
  <c r="AN12" i="66" s="1"/>
  <c r="Y12" i="66"/>
  <c r="V12" i="66"/>
  <c r="T12" i="66"/>
  <c r="A12" i="66"/>
  <c r="AM11" i="66"/>
  <c r="AL11" i="66"/>
  <c r="AK11" i="66"/>
  <c r="AJ11" i="66"/>
  <c r="AI11" i="66"/>
  <c r="AH11" i="66"/>
  <c r="AG11" i="66"/>
  <c r="AF11" i="66"/>
  <c r="AE11" i="66"/>
  <c r="AD11" i="66"/>
  <c r="Y11" i="66"/>
  <c r="W11" i="66"/>
  <c r="V11" i="66"/>
  <c r="T11" i="66"/>
  <c r="AM10" i="66"/>
  <c r="AL10" i="66"/>
  <c r="AK10" i="66"/>
  <c r="AJ10" i="66"/>
  <c r="AI10" i="66"/>
  <c r="AH10" i="66"/>
  <c r="AG10" i="66"/>
  <c r="AF10" i="66"/>
  <c r="AE10" i="66"/>
  <c r="AD10" i="66"/>
  <c r="Y10" i="66"/>
  <c r="V10" i="66"/>
  <c r="T10" i="66"/>
  <c r="A10" i="66"/>
  <c r="AM9" i="66"/>
  <c r="AL9" i="66"/>
  <c r="AK9" i="66"/>
  <c r="AJ9" i="66"/>
  <c r="AI9" i="66"/>
  <c r="AH9" i="66"/>
  <c r="AG9" i="66"/>
  <c r="AF9" i="66"/>
  <c r="AE9" i="66"/>
  <c r="AD9" i="66"/>
  <c r="Y9" i="66"/>
  <c r="W9" i="66"/>
  <c r="V9" i="66"/>
  <c r="T9" i="66"/>
  <c r="AM8" i="66"/>
  <c r="AL8" i="66"/>
  <c r="AK8" i="66"/>
  <c r="AJ8" i="66"/>
  <c r="AI8" i="66"/>
  <c r="AH8" i="66"/>
  <c r="AG8" i="66"/>
  <c r="AF8" i="66"/>
  <c r="AE8" i="66"/>
  <c r="AD8" i="66"/>
  <c r="Y8" i="66"/>
  <c r="V8" i="66"/>
  <c r="T8" i="66"/>
  <c r="AM7" i="66"/>
  <c r="AL7" i="66"/>
  <c r="AK7" i="66"/>
  <c r="AJ7" i="66"/>
  <c r="AI7" i="66"/>
  <c r="AH7" i="66"/>
  <c r="AG7" i="66"/>
  <c r="AF7" i="66"/>
  <c r="AE7" i="66"/>
  <c r="AD7" i="66"/>
  <c r="Y7" i="66"/>
  <c r="V7" i="66"/>
  <c r="T7" i="66"/>
  <c r="AM6" i="66"/>
  <c r="AL6" i="66"/>
  <c r="AK6" i="66"/>
  <c r="AJ6" i="66"/>
  <c r="AI6" i="66"/>
  <c r="AH6" i="66"/>
  <c r="AG6" i="66"/>
  <c r="AF6" i="66"/>
  <c r="AD6" i="66"/>
  <c r="AN6" i="66" s="1"/>
  <c r="Y6" i="66"/>
  <c r="V6" i="66"/>
  <c r="T6" i="66"/>
  <c r="A6" i="66"/>
  <c r="AM5" i="66"/>
  <c r="AL5" i="66"/>
  <c r="AK5" i="66"/>
  <c r="AJ5" i="66"/>
  <c r="AI5" i="66"/>
  <c r="AH5" i="66"/>
  <c r="AG5" i="66"/>
  <c r="AF5" i="66"/>
  <c r="AD5" i="66"/>
  <c r="AN5" i="66" s="1"/>
  <c r="Y5" i="66"/>
  <c r="V5" i="66"/>
  <c r="T5" i="66"/>
  <c r="F1" i="66"/>
  <c r="AM24" i="38"/>
  <c r="AL24" i="38"/>
  <c r="AK24" i="38"/>
  <c r="AJ24" i="38"/>
  <c r="AI24" i="38"/>
  <c r="AH24" i="38"/>
  <c r="AG24" i="38"/>
  <c r="AF24" i="38"/>
  <c r="AE24" i="38"/>
  <c r="AD24" i="38"/>
  <c r="Y24" i="38"/>
  <c r="V24" i="38"/>
  <c r="T24" i="38"/>
  <c r="AM23" i="38"/>
  <c r="AL23" i="38"/>
  <c r="AK23" i="38"/>
  <c r="AJ23" i="38"/>
  <c r="AI23" i="38"/>
  <c r="AH23" i="38"/>
  <c r="AG23" i="38"/>
  <c r="AF23" i="38"/>
  <c r="AE23" i="38"/>
  <c r="AD23" i="38"/>
  <c r="Y23" i="38"/>
  <c r="V23" i="38"/>
  <c r="T23" i="38"/>
  <c r="AM22" i="38"/>
  <c r="AL22" i="38"/>
  <c r="AK22" i="38"/>
  <c r="AJ22" i="38"/>
  <c r="AI22" i="38"/>
  <c r="AH22" i="38"/>
  <c r="AG22" i="38"/>
  <c r="AF22" i="38"/>
  <c r="AE22" i="38"/>
  <c r="AD22" i="38"/>
  <c r="Y22" i="38"/>
  <c r="V22" i="38"/>
  <c r="T22" i="38"/>
  <c r="AM21" i="38"/>
  <c r="AL21" i="38"/>
  <c r="AK21" i="38"/>
  <c r="AJ21" i="38"/>
  <c r="AI21" i="38"/>
  <c r="AH21" i="38"/>
  <c r="AG21" i="38"/>
  <c r="AF21" i="38"/>
  <c r="AE21" i="38"/>
  <c r="AD21" i="38"/>
  <c r="Y21" i="38"/>
  <c r="V21" i="38"/>
  <c r="T21" i="38"/>
  <c r="AM20" i="38"/>
  <c r="AL20" i="38"/>
  <c r="AK20" i="38"/>
  <c r="AJ20" i="38"/>
  <c r="AI20" i="38"/>
  <c r="AH20" i="38"/>
  <c r="AG20" i="38"/>
  <c r="AF20" i="38"/>
  <c r="AE20" i="38"/>
  <c r="AD20" i="38"/>
  <c r="Y20" i="38"/>
  <c r="V20" i="38"/>
  <c r="T20" i="38"/>
  <c r="AM19" i="38"/>
  <c r="AL19" i="38"/>
  <c r="AK19" i="38"/>
  <c r="AJ19" i="38"/>
  <c r="AI19" i="38"/>
  <c r="AH19" i="38"/>
  <c r="AG19" i="38"/>
  <c r="AF19" i="38"/>
  <c r="AE19" i="38"/>
  <c r="AD19" i="38"/>
  <c r="Y19" i="38"/>
  <c r="V19" i="38"/>
  <c r="T19" i="38"/>
  <c r="AM18" i="38"/>
  <c r="AL18" i="38"/>
  <c r="AK18" i="38"/>
  <c r="AJ18" i="38"/>
  <c r="AI18" i="38"/>
  <c r="AH18" i="38"/>
  <c r="AG18" i="38"/>
  <c r="AF18" i="38"/>
  <c r="AE18" i="38"/>
  <c r="AD18" i="38"/>
  <c r="Y18" i="38"/>
  <c r="V18" i="38"/>
  <c r="T18" i="38"/>
  <c r="AM17" i="38"/>
  <c r="AL17" i="38"/>
  <c r="AK17" i="38"/>
  <c r="AJ17" i="38"/>
  <c r="AI17" i="38"/>
  <c r="AH17" i="38"/>
  <c r="AG17" i="38"/>
  <c r="AF17" i="38"/>
  <c r="AE17" i="38"/>
  <c r="AD17" i="38"/>
  <c r="Y17" i="38"/>
  <c r="V17" i="38"/>
  <c r="T17" i="38"/>
  <c r="AM16" i="38"/>
  <c r="AL16" i="38"/>
  <c r="AK16" i="38"/>
  <c r="AJ16" i="38"/>
  <c r="AI16" i="38"/>
  <c r="AH16" i="38"/>
  <c r="AG16" i="38"/>
  <c r="AF16" i="38"/>
  <c r="AE16" i="38"/>
  <c r="AD16" i="38"/>
  <c r="Y16" i="38"/>
  <c r="V16" i="38"/>
  <c r="T16" i="38"/>
  <c r="AM15" i="38"/>
  <c r="AL15" i="38"/>
  <c r="AK15" i="38"/>
  <c r="AJ15" i="38"/>
  <c r="AI15" i="38"/>
  <c r="AH15" i="38"/>
  <c r="AG15" i="38"/>
  <c r="AF15" i="38"/>
  <c r="AE15" i="38"/>
  <c r="AD15" i="38"/>
  <c r="Y15" i="38"/>
  <c r="V15" i="38"/>
  <c r="T15" i="38"/>
  <c r="AM14" i="38"/>
  <c r="AL14" i="38"/>
  <c r="AK14" i="38"/>
  <c r="AJ14" i="38"/>
  <c r="AI14" i="38"/>
  <c r="AH14" i="38"/>
  <c r="AG14" i="38"/>
  <c r="AF14" i="38"/>
  <c r="AE14" i="38"/>
  <c r="AD14" i="38"/>
  <c r="Y14" i="38"/>
  <c r="V14" i="38"/>
  <c r="T14" i="38"/>
  <c r="AM13" i="38"/>
  <c r="AL13" i="38"/>
  <c r="AK13" i="38"/>
  <c r="AJ13" i="38"/>
  <c r="AI13" i="38"/>
  <c r="AH13" i="38"/>
  <c r="AG13" i="38"/>
  <c r="AF13" i="38"/>
  <c r="AE13" i="38"/>
  <c r="AD13" i="38"/>
  <c r="Y13" i="38"/>
  <c r="V13" i="38"/>
  <c r="T13" i="38"/>
  <c r="AM12" i="38"/>
  <c r="AL12" i="38"/>
  <c r="AK12" i="38"/>
  <c r="AJ12" i="38"/>
  <c r="AI12" i="38"/>
  <c r="AH12" i="38"/>
  <c r="AG12" i="38"/>
  <c r="AF12" i="38"/>
  <c r="AE12" i="38"/>
  <c r="AD12" i="38"/>
  <c r="Y12" i="38"/>
  <c r="V12" i="38"/>
  <c r="T12" i="38"/>
  <c r="A12" i="38"/>
  <c r="AM11" i="38"/>
  <c r="AL11" i="38"/>
  <c r="AK11" i="38"/>
  <c r="AJ11" i="38"/>
  <c r="AI11" i="38"/>
  <c r="AH11" i="38"/>
  <c r="AG11" i="38"/>
  <c r="AF11" i="38"/>
  <c r="AE11" i="38"/>
  <c r="AD11" i="38"/>
  <c r="Y11" i="38"/>
  <c r="V11" i="38"/>
  <c r="T11" i="38"/>
  <c r="AM10" i="38"/>
  <c r="AL10" i="38"/>
  <c r="AK10" i="38"/>
  <c r="AJ10" i="38"/>
  <c r="AI10" i="38"/>
  <c r="AH10" i="38"/>
  <c r="AG10" i="38"/>
  <c r="AF10" i="38"/>
  <c r="AE10" i="38"/>
  <c r="AD10" i="38"/>
  <c r="Y10" i="38"/>
  <c r="V10" i="38"/>
  <c r="T10" i="38"/>
  <c r="A10" i="38"/>
  <c r="AM9" i="38"/>
  <c r="AL9" i="38"/>
  <c r="AK9" i="38"/>
  <c r="AJ9" i="38"/>
  <c r="AI9" i="38"/>
  <c r="AH9" i="38"/>
  <c r="AG9" i="38"/>
  <c r="AF9" i="38"/>
  <c r="AE9" i="38"/>
  <c r="AD9" i="38"/>
  <c r="Y9" i="38"/>
  <c r="W9" i="38"/>
  <c r="V9" i="38"/>
  <c r="T9" i="38"/>
  <c r="AM8" i="38"/>
  <c r="AK8" i="38"/>
  <c r="AF8" i="38"/>
  <c r="AG8" i="38" s="1"/>
  <c r="Y8" i="38"/>
  <c r="V8" i="38"/>
  <c r="U8" i="38"/>
  <c r="T8" i="38"/>
  <c r="AH8" i="38" s="1"/>
  <c r="AI8" i="38" s="1"/>
  <c r="AM7" i="38"/>
  <c r="AK7" i="38"/>
  <c r="AF7" i="38"/>
  <c r="AG7" i="38" s="1"/>
  <c r="Y7" i="38"/>
  <c r="A14" i="38" s="1"/>
  <c r="W7" i="38"/>
  <c r="V7" i="38"/>
  <c r="U7" i="38"/>
  <c r="T7" i="38"/>
  <c r="AD7" i="38" s="1"/>
  <c r="AM6" i="38"/>
  <c r="AL6" i="38"/>
  <c r="AK6" i="38"/>
  <c r="AJ6" i="38"/>
  <c r="AI6" i="38"/>
  <c r="AH6" i="38"/>
  <c r="AG6" i="38"/>
  <c r="AF6" i="38"/>
  <c r="AD6" i="38"/>
  <c r="AN6" i="38" s="1"/>
  <c r="Y6" i="38"/>
  <c r="V6" i="38"/>
  <c r="T6" i="38"/>
  <c r="A6" i="38"/>
  <c r="AM5" i="38"/>
  <c r="AL5" i="38"/>
  <c r="AK5" i="38"/>
  <c r="AJ5" i="38"/>
  <c r="AI5" i="38"/>
  <c r="AH5" i="38"/>
  <c r="AG5" i="38"/>
  <c r="AF5" i="38"/>
  <c r="AD5" i="38"/>
  <c r="AN5" i="38" s="1"/>
  <c r="Y5" i="38"/>
  <c r="V5" i="38"/>
  <c r="U5" i="38"/>
  <c r="T5" i="38"/>
  <c r="F1" i="38"/>
  <c r="AM24" i="37"/>
  <c r="AL24" i="37"/>
  <c r="AK24" i="37"/>
  <c r="AJ24" i="37"/>
  <c r="AI24" i="37"/>
  <c r="AH24" i="37"/>
  <c r="AG24" i="37"/>
  <c r="AF24" i="37"/>
  <c r="AE24" i="37"/>
  <c r="AD24" i="37"/>
  <c r="Y24" i="37"/>
  <c r="V24" i="37"/>
  <c r="T24" i="37"/>
  <c r="AM23" i="37"/>
  <c r="AL23" i="37"/>
  <c r="AK23" i="37"/>
  <c r="AJ23" i="37"/>
  <c r="AI23" i="37"/>
  <c r="AH23" i="37"/>
  <c r="AG23" i="37"/>
  <c r="AF23" i="37"/>
  <c r="AE23" i="37"/>
  <c r="AD23" i="37"/>
  <c r="Y23" i="37"/>
  <c r="V23" i="37"/>
  <c r="T23" i="37"/>
  <c r="AM22" i="37"/>
  <c r="AL22" i="37"/>
  <c r="AK22" i="37"/>
  <c r="AJ22" i="37"/>
  <c r="AI22" i="37"/>
  <c r="AH22" i="37"/>
  <c r="AG22" i="37"/>
  <c r="AF22" i="37"/>
  <c r="AE22" i="37"/>
  <c r="AD22" i="37"/>
  <c r="Y22" i="37"/>
  <c r="V22" i="37"/>
  <c r="T22" i="37"/>
  <c r="AM21" i="37"/>
  <c r="AL21" i="37"/>
  <c r="AK21" i="37"/>
  <c r="AJ21" i="37"/>
  <c r="AI21" i="37"/>
  <c r="AH21" i="37"/>
  <c r="AG21" i="37"/>
  <c r="AF21" i="37"/>
  <c r="AE21" i="37"/>
  <c r="AD21" i="37"/>
  <c r="Y21" i="37"/>
  <c r="V21" i="37"/>
  <c r="T21" i="37"/>
  <c r="AM20" i="37"/>
  <c r="AL20" i="37"/>
  <c r="AK20" i="37"/>
  <c r="AJ20" i="37"/>
  <c r="AI20" i="37"/>
  <c r="AH20" i="37"/>
  <c r="AG20" i="37"/>
  <c r="AF20" i="37"/>
  <c r="AE20" i="37"/>
  <c r="AD20" i="37"/>
  <c r="AN20" i="37" s="1"/>
  <c r="Y20" i="37"/>
  <c r="V20" i="37"/>
  <c r="T20" i="37"/>
  <c r="AM19" i="37"/>
  <c r="AL19" i="37"/>
  <c r="AK19" i="37"/>
  <c r="AJ19" i="37"/>
  <c r="AI19" i="37"/>
  <c r="AH19" i="37"/>
  <c r="AG19" i="37"/>
  <c r="AF19" i="37"/>
  <c r="AE19" i="37"/>
  <c r="AD19" i="37"/>
  <c r="Y19" i="37"/>
  <c r="V19" i="37"/>
  <c r="T19" i="37"/>
  <c r="AM18" i="37"/>
  <c r="AL18" i="37"/>
  <c r="AK18" i="37"/>
  <c r="AJ18" i="37"/>
  <c r="AI18" i="37"/>
  <c r="AH18" i="37"/>
  <c r="AG18" i="37"/>
  <c r="AF18" i="37"/>
  <c r="AE18" i="37"/>
  <c r="AD18" i="37"/>
  <c r="Y18" i="37"/>
  <c r="V18" i="37"/>
  <c r="T18" i="37"/>
  <c r="AM17" i="37"/>
  <c r="AL17" i="37"/>
  <c r="AK17" i="37"/>
  <c r="AJ17" i="37"/>
  <c r="AI17" i="37"/>
  <c r="AH17" i="37"/>
  <c r="AG17" i="37"/>
  <c r="AF17" i="37"/>
  <c r="AE17" i="37"/>
  <c r="AD17" i="37"/>
  <c r="Y17" i="37"/>
  <c r="V17" i="37"/>
  <c r="T17" i="37"/>
  <c r="AM16" i="37"/>
  <c r="AL16" i="37"/>
  <c r="AK16" i="37"/>
  <c r="AJ16" i="37"/>
  <c r="AI16" i="37"/>
  <c r="AH16" i="37"/>
  <c r="AG16" i="37"/>
  <c r="AF16" i="37"/>
  <c r="AE16" i="37"/>
  <c r="AD16" i="37"/>
  <c r="Y16" i="37"/>
  <c r="V16" i="37"/>
  <c r="T16" i="37"/>
  <c r="AM15" i="37"/>
  <c r="AL15" i="37"/>
  <c r="AK15" i="37"/>
  <c r="AJ15" i="37"/>
  <c r="AI15" i="37"/>
  <c r="AH15" i="37"/>
  <c r="AG15" i="37"/>
  <c r="AF15" i="37"/>
  <c r="AE15" i="37"/>
  <c r="AD15" i="37"/>
  <c r="Y15" i="37"/>
  <c r="V15" i="37"/>
  <c r="T15" i="37"/>
  <c r="AM14" i="37"/>
  <c r="AL14" i="37"/>
  <c r="AK14" i="37"/>
  <c r="AJ14" i="37"/>
  <c r="AI14" i="37"/>
  <c r="AH14" i="37"/>
  <c r="AG14" i="37"/>
  <c r="AF14" i="37"/>
  <c r="AE14" i="37"/>
  <c r="AD14" i="37"/>
  <c r="Y14" i="37"/>
  <c r="V14" i="37"/>
  <c r="T14" i="37"/>
  <c r="AM13" i="37"/>
  <c r="AL13" i="37"/>
  <c r="AK13" i="37"/>
  <c r="AJ13" i="37"/>
  <c r="AI13" i="37"/>
  <c r="AH13" i="37"/>
  <c r="AG13" i="37"/>
  <c r="AF13" i="37"/>
  <c r="AE13" i="37"/>
  <c r="AD13" i="37"/>
  <c r="Y13" i="37"/>
  <c r="V13" i="37"/>
  <c r="T13" i="37"/>
  <c r="AM12" i="37"/>
  <c r="AL12" i="37"/>
  <c r="AK12" i="37"/>
  <c r="AJ12" i="37"/>
  <c r="AI12" i="37"/>
  <c r="AH12" i="37"/>
  <c r="AG12" i="37"/>
  <c r="AF12" i="37"/>
  <c r="AE12" i="37"/>
  <c r="AD12" i="37"/>
  <c r="AN12" i="37" s="1"/>
  <c r="Y12" i="37"/>
  <c r="V12" i="37"/>
  <c r="T12" i="37"/>
  <c r="A12" i="37"/>
  <c r="AM11" i="37"/>
  <c r="AL11" i="37"/>
  <c r="AK11" i="37"/>
  <c r="AJ11" i="37"/>
  <c r="AI11" i="37"/>
  <c r="AH11" i="37"/>
  <c r="AG11" i="37"/>
  <c r="AF11" i="37"/>
  <c r="AE11" i="37"/>
  <c r="AD11" i="37"/>
  <c r="AN11" i="37" s="1"/>
  <c r="Y11" i="37"/>
  <c r="W11" i="37"/>
  <c r="V11" i="37"/>
  <c r="T11" i="37"/>
  <c r="AM10" i="37"/>
  <c r="AL10" i="37"/>
  <c r="AK10" i="37"/>
  <c r="AJ10" i="37"/>
  <c r="AI10" i="37"/>
  <c r="AH10" i="37"/>
  <c r="AG10" i="37"/>
  <c r="AF10" i="37"/>
  <c r="AE10" i="37"/>
  <c r="AN10" i="37" s="1"/>
  <c r="AD10" i="37"/>
  <c r="Y10" i="37"/>
  <c r="V10" i="37"/>
  <c r="T10" i="37"/>
  <c r="A10" i="37"/>
  <c r="W22" i="37" s="1"/>
  <c r="AM9" i="37"/>
  <c r="AL9" i="37"/>
  <c r="AK9" i="37"/>
  <c r="AJ9" i="37"/>
  <c r="AI9" i="37"/>
  <c r="AH9" i="37"/>
  <c r="AG9" i="37"/>
  <c r="AF9" i="37"/>
  <c r="AE9" i="37"/>
  <c r="AD9" i="37"/>
  <c r="Y9" i="37"/>
  <c r="W9" i="37"/>
  <c r="V9" i="37"/>
  <c r="T9" i="37"/>
  <c r="AM8" i="37"/>
  <c r="AL8" i="37"/>
  <c r="AK8" i="37"/>
  <c r="AJ8" i="37"/>
  <c r="AI8" i="37"/>
  <c r="AH8" i="37"/>
  <c r="AG8" i="37"/>
  <c r="AF8" i="37"/>
  <c r="AD8" i="37"/>
  <c r="AN8" i="37" s="1"/>
  <c r="Y8" i="37"/>
  <c r="V8" i="37"/>
  <c r="T8" i="37"/>
  <c r="AM7" i="37"/>
  <c r="AL7" i="37"/>
  <c r="AK7" i="37"/>
  <c r="AJ7" i="37"/>
  <c r="AI7" i="37"/>
  <c r="AH7" i="37"/>
  <c r="AG7" i="37"/>
  <c r="AF7" i="37"/>
  <c r="AD7" i="37"/>
  <c r="AN7" i="37" s="1"/>
  <c r="Y7" i="37"/>
  <c r="V7" i="37"/>
  <c r="T7" i="37"/>
  <c r="AK6" i="37"/>
  <c r="AG6" i="37"/>
  <c r="Y6" i="37"/>
  <c r="A14" i="37" s="1"/>
  <c r="V6" i="37"/>
  <c r="T6" i="37"/>
  <c r="AM6" i="37" s="1"/>
  <c r="A6" i="37"/>
  <c r="AM5" i="37"/>
  <c r="AL5" i="37"/>
  <c r="AK5" i="37"/>
  <c r="AJ5" i="37"/>
  <c r="AI5" i="37"/>
  <c r="AH5" i="37"/>
  <c r="AG5" i="37"/>
  <c r="AF5" i="37"/>
  <c r="AD5" i="37"/>
  <c r="AN5" i="37" s="1"/>
  <c r="Y5" i="37"/>
  <c r="W5" i="37"/>
  <c r="V5" i="37"/>
  <c r="T5" i="37"/>
  <c r="F1" i="37"/>
  <c r="AM24" i="36"/>
  <c r="AL24" i="36"/>
  <c r="AK24" i="36"/>
  <c r="AJ24" i="36"/>
  <c r="AI24" i="36"/>
  <c r="AH24" i="36"/>
  <c r="AG24" i="36"/>
  <c r="AF24" i="36"/>
  <c r="AE24" i="36"/>
  <c r="AD24" i="36"/>
  <c r="Y24" i="36"/>
  <c r="W24" i="36"/>
  <c r="V24" i="36"/>
  <c r="U24" i="36"/>
  <c r="T24" i="36"/>
  <c r="AM23" i="36"/>
  <c r="AL23" i="36"/>
  <c r="AK23" i="36"/>
  <c r="AJ23" i="36"/>
  <c r="AI23" i="36"/>
  <c r="AH23" i="36"/>
  <c r="AG23" i="36"/>
  <c r="AF23" i="36"/>
  <c r="AE23" i="36"/>
  <c r="AD23" i="36"/>
  <c r="AN23" i="36" s="1"/>
  <c r="Y23" i="36"/>
  <c r="W23" i="36"/>
  <c r="V23" i="36"/>
  <c r="U23" i="36"/>
  <c r="T23" i="36"/>
  <c r="AM22" i="36"/>
  <c r="AL22" i="36"/>
  <c r="AK22" i="36"/>
  <c r="AJ22" i="36"/>
  <c r="AI22" i="36"/>
  <c r="AH22" i="36"/>
  <c r="AG22" i="36"/>
  <c r="AF22" i="36"/>
  <c r="AE22" i="36"/>
  <c r="AD22" i="36"/>
  <c r="Y22" i="36"/>
  <c r="W22" i="36"/>
  <c r="V22" i="36"/>
  <c r="U22" i="36"/>
  <c r="T22" i="36"/>
  <c r="AM21" i="36"/>
  <c r="AL21" i="36"/>
  <c r="AK21" i="36"/>
  <c r="AJ21" i="36"/>
  <c r="AI21" i="36"/>
  <c r="AH21" i="36"/>
  <c r="AG21" i="36"/>
  <c r="AF21" i="36"/>
  <c r="AE21" i="36"/>
  <c r="AD21" i="36"/>
  <c r="Y21" i="36"/>
  <c r="W21" i="36"/>
  <c r="V21" i="36"/>
  <c r="U21" i="36"/>
  <c r="T21" i="36"/>
  <c r="AM20" i="36"/>
  <c r="AL20" i="36"/>
  <c r="AK20" i="36"/>
  <c r="AJ20" i="36"/>
  <c r="AI20" i="36"/>
  <c r="AH20" i="36"/>
  <c r="AG20" i="36"/>
  <c r="AF20" i="36"/>
  <c r="AE20" i="36"/>
  <c r="AD20" i="36"/>
  <c r="Y20" i="36"/>
  <c r="W20" i="36"/>
  <c r="V20" i="36"/>
  <c r="U20" i="36"/>
  <c r="T20" i="36"/>
  <c r="AM19" i="36"/>
  <c r="AL19" i="36"/>
  <c r="AK19" i="36"/>
  <c r="AJ19" i="36"/>
  <c r="AI19" i="36"/>
  <c r="AH19" i="36"/>
  <c r="AG19" i="36"/>
  <c r="AF19" i="36"/>
  <c r="AE19" i="36"/>
  <c r="AD19" i="36"/>
  <c r="AN19" i="36" s="1"/>
  <c r="Y19" i="36"/>
  <c r="W19" i="36"/>
  <c r="V19" i="36"/>
  <c r="U19" i="36"/>
  <c r="T19" i="36"/>
  <c r="AM18" i="36"/>
  <c r="AL18" i="36"/>
  <c r="AK18" i="36"/>
  <c r="AJ18" i="36"/>
  <c r="AI18" i="36"/>
  <c r="AH18" i="36"/>
  <c r="AG18" i="36"/>
  <c r="AF18" i="36"/>
  <c r="AE18" i="36"/>
  <c r="AD18" i="36"/>
  <c r="Y18" i="36"/>
  <c r="W18" i="36"/>
  <c r="V18" i="36"/>
  <c r="U18" i="36"/>
  <c r="T18" i="36"/>
  <c r="AM17" i="36"/>
  <c r="AL17" i="36"/>
  <c r="AK17" i="36"/>
  <c r="AJ17" i="36"/>
  <c r="AI17" i="36"/>
  <c r="AH17" i="36"/>
  <c r="AG17" i="36"/>
  <c r="AF17" i="36"/>
  <c r="AE17" i="36"/>
  <c r="AD17" i="36"/>
  <c r="Y17" i="36"/>
  <c r="W17" i="36"/>
  <c r="V17" i="36"/>
  <c r="U17" i="36"/>
  <c r="T17" i="36"/>
  <c r="AM16" i="36"/>
  <c r="AL16" i="36"/>
  <c r="AK16" i="36"/>
  <c r="AJ16" i="36"/>
  <c r="AI16" i="36"/>
  <c r="AH16" i="36"/>
  <c r="AG16" i="36"/>
  <c r="AF16" i="36"/>
  <c r="AE16" i="36"/>
  <c r="AD16" i="36"/>
  <c r="Y16" i="36"/>
  <c r="W16" i="36"/>
  <c r="V16" i="36"/>
  <c r="U16" i="36"/>
  <c r="T16" i="36"/>
  <c r="A16" i="36"/>
  <c r="AM15" i="36"/>
  <c r="AL15" i="36"/>
  <c r="AK15" i="36"/>
  <c r="AJ15" i="36"/>
  <c r="AI15" i="36"/>
  <c r="AH15" i="36"/>
  <c r="AG15" i="36"/>
  <c r="AF15" i="36"/>
  <c r="AE15" i="36"/>
  <c r="AD15" i="36"/>
  <c r="Y15" i="36"/>
  <c r="W15" i="36"/>
  <c r="V15" i="36"/>
  <c r="U15" i="36"/>
  <c r="T15" i="36"/>
  <c r="AM14" i="36"/>
  <c r="AL14" i="36"/>
  <c r="AK14" i="36"/>
  <c r="AJ14" i="36"/>
  <c r="AI14" i="36"/>
  <c r="AH14" i="36"/>
  <c r="AG14" i="36"/>
  <c r="AF14" i="36"/>
  <c r="AE14" i="36"/>
  <c r="AD14" i="36"/>
  <c r="AN14" i="36" s="1"/>
  <c r="Y14" i="36"/>
  <c r="W14" i="36"/>
  <c r="V14" i="36"/>
  <c r="U14" i="36"/>
  <c r="T14" i="36"/>
  <c r="A14" i="36"/>
  <c r="AM13" i="36"/>
  <c r="AL13" i="36"/>
  <c r="AK13" i="36"/>
  <c r="AJ13" i="36"/>
  <c r="AI13" i="36"/>
  <c r="AH13" i="36"/>
  <c r="AG13" i="36"/>
  <c r="AF13" i="36"/>
  <c r="AE13" i="36"/>
  <c r="AD13" i="36"/>
  <c r="Y13" i="36"/>
  <c r="W13" i="36"/>
  <c r="V13" i="36"/>
  <c r="U13" i="36"/>
  <c r="T13" i="36"/>
  <c r="AM12" i="36"/>
  <c r="AL12" i="36"/>
  <c r="AK12" i="36"/>
  <c r="AJ12" i="36"/>
  <c r="AI12" i="36"/>
  <c r="AH12" i="36"/>
  <c r="AG12" i="36"/>
  <c r="AF12" i="36"/>
  <c r="AE12" i="36"/>
  <c r="AD12" i="36"/>
  <c r="Y12" i="36"/>
  <c r="W12" i="36"/>
  <c r="V12" i="36"/>
  <c r="U12" i="36"/>
  <c r="T12" i="36"/>
  <c r="A12" i="36"/>
  <c r="AM11" i="36"/>
  <c r="AL11" i="36"/>
  <c r="AK11" i="36"/>
  <c r="AJ11" i="36"/>
  <c r="AI11" i="36"/>
  <c r="AH11" i="36"/>
  <c r="AG11" i="36"/>
  <c r="AF11" i="36"/>
  <c r="AE11" i="36"/>
  <c r="AD11" i="36"/>
  <c r="AN11" i="36" s="1"/>
  <c r="Y11" i="36"/>
  <c r="W11" i="36"/>
  <c r="V11" i="36"/>
  <c r="U11" i="36"/>
  <c r="T11" i="36"/>
  <c r="AM10" i="36"/>
  <c r="AL10" i="36"/>
  <c r="AK10" i="36"/>
  <c r="AJ10" i="36"/>
  <c r="AI10" i="36"/>
  <c r="AH10" i="36"/>
  <c r="AG10" i="36"/>
  <c r="AF10" i="36"/>
  <c r="AE10" i="36"/>
  <c r="AD10" i="36"/>
  <c r="Y10" i="36"/>
  <c r="W10" i="36"/>
  <c r="V10" i="36"/>
  <c r="U10" i="36"/>
  <c r="T10" i="36"/>
  <c r="A10" i="36"/>
  <c r="AM9" i="36"/>
  <c r="AL9" i="36"/>
  <c r="AK9" i="36"/>
  <c r="AJ9" i="36"/>
  <c r="AI9" i="36"/>
  <c r="AH9" i="36"/>
  <c r="AG9" i="36"/>
  <c r="AF9" i="36"/>
  <c r="AE9" i="36"/>
  <c r="AD9" i="36"/>
  <c r="AN9" i="36" s="1"/>
  <c r="Y9" i="36"/>
  <c r="W9" i="36"/>
  <c r="V9" i="36"/>
  <c r="U9" i="36"/>
  <c r="T9" i="36"/>
  <c r="AM8" i="36"/>
  <c r="AL8" i="36"/>
  <c r="AK8" i="36"/>
  <c r="AJ8" i="36"/>
  <c r="AI8" i="36"/>
  <c r="AH8" i="36"/>
  <c r="AG8" i="36"/>
  <c r="AF8" i="36"/>
  <c r="AD8" i="36"/>
  <c r="AN8" i="36" s="1"/>
  <c r="Y8" i="36"/>
  <c r="W8" i="36"/>
  <c r="V8" i="36"/>
  <c r="U8" i="36"/>
  <c r="T8" i="36"/>
  <c r="AM7" i="36"/>
  <c r="AL7" i="36"/>
  <c r="AK7" i="36"/>
  <c r="AJ7" i="36"/>
  <c r="AI7" i="36"/>
  <c r="AH7" i="36"/>
  <c r="AG7" i="36"/>
  <c r="AF7" i="36"/>
  <c r="AD7" i="36"/>
  <c r="AN7" i="36" s="1"/>
  <c r="Y7" i="36"/>
  <c r="W7" i="36"/>
  <c r="V7" i="36"/>
  <c r="U7" i="36"/>
  <c r="T7" i="36"/>
  <c r="AM6" i="36"/>
  <c r="AL6" i="36"/>
  <c r="AK6" i="36"/>
  <c r="AJ6" i="36"/>
  <c r="AI6" i="36"/>
  <c r="AH6" i="36"/>
  <c r="AG6" i="36"/>
  <c r="AF6" i="36"/>
  <c r="AD6" i="36"/>
  <c r="AN6" i="36" s="1"/>
  <c r="Y6" i="36"/>
  <c r="W6" i="36"/>
  <c r="V6" i="36"/>
  <c r="U6" i="36"/>
  <c r="T6" i="36"/>
  <c r="A6" i="36"/>
  <c r="AM5" i="36"/>
  <c r="AL5" i="36"/>
  <c r="AK5" i="36"/>
  <c r="AJ5" i="36"/>
  <c r="AI5" i="36"/>
  <c r="AH5" i="36"/>
  <c r="AG5" i="36"/>
  <c r="AF5" i="36"/>
  <c r="AD5" i="36"/>
  <c r="AN5" i="36" s="1"/>
  <c r="Y5" i="36"/>
  <c r="W5" i="36"/>
  <c r="V5" i="36"/>
  <c r="U5" i="36"/>
  <c r="T5" i="36"/>
  <c r="F1" i="36"/>
  <c r="AM24" i="35"/>
  <c r="AL24" i="35"/>
  <c r="AK24" i="35"/>
  <c r="AJ24" i="35"/>
  <c r="AI24" i="35"/>
  <c r="AH24" i="35"/>
  <c r="AG24" i="35"/>
  <c r="AF24" i="35"/>
  <c r="AE24" i="35"/>
  <c r="AN24" i="35" s="1"/>
  <c r="AD24" i="35"/>
  <c r="Y24" i="35"/>
  <c r="V24" i="35"/>
  <c r="U24" i="35"/>
  <c r="T24" i="35"/>
  <c r="AM23" i="35"/>
  <c r="AL23" i="35"/>
  <c r="AK23" i="35"/>
  <c r="AJ23" i="35"/>
  <c r="AI23" i="35"/>
  <c r="AH23" i="35"/>
  <c r="AG23" i="35"/>
  <c r="AF23" i="35"/>
  <c r="AE23" i="35"/>
  <c r="AD23" i="35"/>
  <c r="Y23" i="35"/>
  <c r="W23" i="35"/>
  <c r="V23" i="35"/>
  <c r="T23" i="35"/>
  <c r="AM22" i="35"/>
  <c r="AL22" i="35"/>
  <c r="AK22" i="35"/>
  <c r="AJ22" i="35"/>
  <c r="AI22" i="35"/>
  <c r="AH22" i="35"/>
  <c r="AG22" i="35"/>
  <c r="AF22" i="35"/>
  <c r="AE22" i="35"/>
  <c r="AD22" i="35"/>
  <c r="Y22" i="35"/>
  <c r="V22" i="35"/>
  <c r="T22" i="35"/>
  <c r="AM21" i="35"/>
  <c r="AL21" i="35"/>
  <c r="AK21" i="35"/>
  <c r="AJ21" i="35"/>
  <c r="AI21" i="35"/>
  <c r="AH21" i="35"/>
  <c r="AG21" i="35"/>
  <c r="AF21" i="35"/>
  <c r="AE21" i="35"/>
  <c r="AD21" i="35"/>
  <c r="Y21" i="35"/>
  <c r="V21" i="35"/>
  <c r="T21" i="35"/>
  <c r="AM20" i="35"/>
  <c r="AL20" i="35"/>
  <c r="AK20" i="35"/>
  <c r="AJ20" i="35"/>
  <c r="AI20" i="35"/>
  <c r="AH20" i="35"/>
  <c r="AG20" i="35"/>
  <c r="AF20" i="35"/>
  <c r="AE20" i="35"/>
  <c r="AD20" i="35"/>
  <c r="Y20" i="35"/>
  <c r="V20" i="35"/>
  <c r="U20" i="35"/>
  <c r="T20" i="35"/>
  <c r="AM19" i="35"/>
  <c r="AL19" i="35"/>
  <c r="AK19" i="35"/>
  <c r="AJ19" i="35"/>
  <c r="AI19" i="35"/>
  <c r="AH19" i="35"/>
  <c r="AG19" i="35"/>
  <c r="AF19" i="35"/>
  <c r="AE19" i="35"/>
  <c r="AD19" i="35"/>
  <c r="AN19" i="35" s="1"/>
  <c r="Y19" i="35"/>
  <c r="W19" i="35"/>
  <c r="V19" i="35"/>
  <c r="T19" i="35"/>
  <c r="AM18" i="35"/>
  <c r="AL18" i="35"/>
  <c r="AK18" i="35"/>
  <c r="AJ18" i="35"/>
  <c r="AI18" i="35"/>
  <c r="AH18" i="35"/>
  <c r="AG18" i="35"/>
  <c r="AF18" i="35"/>
  <c r="AE18" i="35"/>
  <c r="AD18" i="35"/>
  <c r="Y18" i="35"/>
  <c r="V18" i="35"/>
  <c r="T18" i="35"/>
  <c r="AM17" i="35"/>
  <c r="AL17" i="35"/>
  <c r="AK17" i="35"/>
  <c r="AJ17" i="35"/>
  <c r="AI17" i="35"/>
  <c r="AH17" i="35"/>
  <c r="AG17" i="35"/>
  <c r="AF17" i="35"/>
  <c r="AE17" i="35"/>
  <c r="AD17" i="35"/>
  <c r="AN17" i="35" s="1"/>
  <c r="Y17" i="35"/>
  <c r="V17" i="35"/>
  <c r="T17" i="35"/>
  <c r="AM16" i="35"/>
  <c r="AL16" i="35"/>
  <c r="AK16" i="35"/>
  <c r="AJ16" i="35"/>
  <c r="AI16" i="35"/>
  <c r="AH16" i="35"/>
  <c r="AG16" i="35"/>
  <c r="AF16" i="35"/>
  <c r="AE16" i="35"/>
  <c r="AD16" i="35"/>
  <c r="Y16" i="35"/>
  <c r="V16" i="35"/>
  <c r="U16" i="35"/>
  <c r="T16" i="35"/>
  <c r="AM15" i="35"/>
  <c r="AL15" i="35"/>
  <c r="AK15" i="35"/>
  <c r="AJ15" i="35"/>
  <c r="AI15" i="35"/>
  <c r="AH15" i="35"/>
  <c r="AG15" i="35"/>
  <c r="AF15" i="35"/>
  <c r="AE15" i="35"/>
  <c r="AD15" i="35"/>
  <c r="Y15" i="35"/>
  <c r="V15" i="35"/>
  <c r="T15" i="35"/>
  <c r="AM14" i="35"/>
  <c r="AL14" i="35"/>
  <c r="AK14" i="35"/>
  <c r="AJ14" i="35"/>
  <c r="AI14" i="35"/>
  <c r="AH14" i="35"/>
  <c r="AG14" i="35"/>
  <c r="AF14" i="35"/>
  <c r="AE14" i="35"/>
  <c r="AD14" i="35"/>
  <c r="AN14" i="35" s="1"/>
  <c r="Y14" i="35"/>
  <c r="V14" i="35"/>
  <c r="T14" i="35"/>
  <c r="AM13" i="35"/>
  <c r="AL13" i="35"/>
  <c r="AK13" i="35"/>
  <c r="AJ13" i="35"/>
  <c r="AI13" i="35"/>
  <c r="AH13" i="35"/>
  <c r="AG13" i="35"/>
  <c r="AF13" i="35"/>
  <c r="AE13" i="35"/>
  <c r="AD13" i="35"/>
  <c r="Y13" i="35"/>
  <c r="V13" i="35"/>
  <c r="T13" i="35"/>
  <c r="AM12" i="35"/>
  <c r="AL12" i="35"/>
  <c r="AK12" i="35"/>
  <c r="AJ12" i="35"/>
  <c r="AI12" i="35"/>
  <c r="AH12" i="35"/>
  <c r="AG12" i="35"/>
  <c r="AF12" i="35"/>
  <c r="AE12" i="35"/>
  <c r="AD12" i="35"/>
  <c r="AN12" i="35" s="1"/>
  <c r="Y12" i="35"/>
  <c r="W12" i="35"/>
  <c r="V12" i="35"/>
  <c r="T12" i="35"/>
  <c r="A12" i="35"/>
  <c r="AM11" i="35"/>
  <c r="AL11" i="35"/>
  <c r="AK11" i="35"/>
  <c r="AJ11" i="35"/>
  <c r="AI11" i="35"/>
  <c r="AH11" i="35"/>
  <c r="AG11" i="35"/>
  <c r="AF11" i="35"/>
  <c r="AE11" i="35"/>
  <c r="AD11" i="35"/>
  <c r="AN11" i="35" s="1"/>
  <c r="Y11" i="35"/>
  <c r="W11" i="35"/>
  <c r="V11" i="35"/>
  <c r="T11" i="35"/>
  <c r="AM10" i="35"/>
  <c r="AK10" i="35"/>
  <c r="AH10" i="35"/>
  <c r="AI10" i="35" s="1"/>
  <c r="AF10" i="35"/>
  <c r="AG10" i="35" s="1"/>
  <c r="Y10" i="35"/>
  <c r="V10" i="35"/>
  <c r="T10" i="35"/>
  <c r="AE10" i="35" s="1"/>
  <c r="A10" i="35"/>
  <c r="AM9" i="35"/>
  <c r="AK9" i="35"/>
  <c r="AF9" i="35"/>
  <c r="AG9" i="35" s="1"/>
  <c r="Y9" i="35"/>
  <c r="A14" i="35" s="1"/>
  <c r="W9" i="35"/>
  <c r="V9" i="35"/>
  <c r="U9" i="35"/>
  <c r="T9" i="35"/>
  <c r="AH9" i="35" s="1"/>
  <c r="AI9" i="35" s="1"/>
  <c r="AM8" i="35"/>
  <c r="AL8" i="35"/>
  <c r="AK8" i="35"/>
  <c r="AJ8" i="35"/>
  <c r="AI8" i="35"/>
  <c r="AH8" i="35"/>
  <c r="AG8" i="35"/>
  <c r="AF8" i="35"/>
  <c r="AD8" i="35"/>
  <c r="AN8" i="35" s="1"/>
  <c r="Y8" i="35"/>
  <c r="W8" i="35"/>
  <c r="V8" i="35"/>
  <c r="U8" i="35"/>
  <c r="T8" i="35"/>
  <c r="AM7" i="35"/>
  <c r="AL7" i="35"/>
  <c r="AK7" i="35"/>
  <c r="AJ7" i="35"/>
  <c r="AI7" i="35"/>
  <c r="AH7" i="35"/>
  <c r="AG7" i="35"/>
  <c r="AF7" i="35"/>
  <c r="AD7" i="35"/>
  <c r="AN7" i="35" s="1"/>
  <c r="Y7" i="35"/>
  <c r="W7" i="35"/>
  <c r="V7" i="35"/>
  <c r="U7" i="35"/>
  <c r="T7" i="35"/>
  <c r="AM6" i="35"/>
  <c r="AL6" i="35"/>
  <c r="AK6" i="35"/>
  <c r="AJ6" i="35"/>
  <c r="AI6" i="35"/>
  <c r="AH6" i="35"/>
  <c r="AG6" i="35"/>
  <c r="AF6" i="35"/>
  <c r="AD6" i="35"/>
  <c r="AN6" i="35" s="1"/>
  <c r="Y6" i="35"/>
  <c r="W6" i="35"/>
  <c r="V6" i="35"/>
  <c r="U6" i="35"/>
  <c r="T6" i="35"/>
  <c r="A6" i="35"/>
  <c r="AM5" i="35"/>
  <c r="AL5" i="35"/>
  <c r="AK5" i="35"/>
  <c r="AJ5" i="35"/>
  <c r="AI5" i="35"/>
  <c r="AH5" i="35"/>
  <c r="AG5" i="35"/>
  <c r="AF5" i="35"/>
  <c r="AD5" i="35"/>
  <c r="AN5" i="35" s="1"/>
  <c r="Y5" i="35"/>
  <c r="W5" i="35"/>
  <c r="V5" i="35"/>
  <c r="U5" i="35"/>
  <c r="T5" i="35"/>
  <c r="F1" i="35"/>
  <c r="AM23" i="34"/>
  <c r="AK23" i="34"/>
  <c r="AF23" i="34"/>
  <c r="AG23" i="34" s="1"/>
  <c r="AJ23" i="34" s="1"/>
  <c r="Y23" i="34"/>
  <c r="V23" i="34"/>
  <c r="T23" i="34"/>
  <c r="AH23" i="34" s="1"/>
  <c r="AI23" i="34" s="1"/>
  <c r="AM22" i="34"/>
  <c r="AK22" i="34"/>
  <c r="AF22" i="34"/>
  <c r="AG22" i="34" s="1"/>
  <c r="Y22" i="34"/>
  <c r="V22" i="34"/>
  <c r="T22" i="34"/>
  <c r="AH22" i="34" s="1"/>
  <c r="AI22" i="34" s="1"/>
  <c r="AM21" i="34"/>
  <c r="AK21" i="34"/>
  <c r="AF21" i="34"/>
  <c r="AG21" i="34" s="1"/>
  <c r="Y21" i="34"/>
  <c r="V21" i="34"/>
  <c r="T21" i="34"/>
  <c r="AH21" i="34" s="1"/>
  <c r="AI21" i="34" s="1"/>
  <c r="AM20" i="34"/>
  <c r="AK20" i="34"/>
  <c r="AF20" i="34"/>
  <c r="AG20" i="34" s="1"/>
  <c r="AL20" i="34" s="1"/>
  <c r="AD20" i="34"/>
  <c r="Y20" i="34"/>
  <c r="V20" i="34"/>
  <c r="T20" i="34"/>
  <c r="AH20" i="34" s="1"/>
  <c r="AI20" i="34" s="1"/>
  <c r="AM19" i="34"/>
  <c r="AK19" i="34"/>
  <c r="AF19" i="34"/>
  <c r="AG19" i="34" s="1"/>
  <c r="Y19" i="34"/>
  <c r="V19" i="34"/>
  <c r="T19" i="34"/>
  <c r="AH19" i="34" s="1"/>
  <c r="AI19" i="34" s="1"/>
  <c r="AM18" i="34"/>
  <c r="AK18" i="34"/>
  <c r="AH18" i="34"/>
  <c r="AI18" i="34" s="1"/>
  <c r="AF18" i="34"/>
  <c r="AG18" i="34" s="1"/>
  <c r="AE18" i="34"/>
  <c r="AD18" i="34"/>
  <c r="Y18" i="34"/>
  <c r="V18" i="34"/>
  <c r="T18" i="34"/>
  <c r="AM17" i="34"/>
  <c r="AK17" i="34"/>
  <c r="AF17" i="34"/>
  <c r="AG17" i="34" s="1"/>
  <c r="AE17" i="34"/>
  <c r="Y17" i="34"/>
  <c r="V17" i="34"/>
  <c r="T17" i="34"/>
  <c r="AD17" i="34" s="1"/>
  <c r="AM16" i="34"/>
  <c r="AK16" i="34"/>
  <c r="AF16" i="34"/>
  <c r="AG16" i="34" s="1"/>
  <c r="Y16" i="34"/>
  <c r="V16" i="34"/>
  <c r="T16" i="34"/>
  <c r="AE16" i="34" s="1"/>
  <c r="AM15" i="34"/>
  <c r="AK15" i="34"/>
  <c r="AH15" i="34"/>
  <c r="AI15" i="34" s="1"/>
  <c r="AF15" i="34"/>
  <c r="AG15" i="34" s="1"/>
  <c r="AL15" i="34" s="1"/>
  <c r="Y15" i="34"/>
  <c r="V15" i="34"/>
  <c r="T15" i="34"/>
  <c r="AE15" i="34" s="1"/>
  <c r="AM14" i="34"/>
  <c r="AK14" i="34"/>
  <c r="AG14" i="34"/>
  <c r="AF14" i="34"/>
  <c r="Y14" i="34"/>
  <c r="V14" i="34"/>
  <c r="T14" i="34"/>
  <c r="AE14" i="34" s="1"/>
  <c r="AM13" i="34"/>
  <c r="AK13" i="34"/>
  <c r="AF13" i="34"/>
  <c r="AG13" i="34" s="1"/>
  <c r="Y13" i="34"/>
  <c r="V13" i="34"/>
  <c r="T13" i="34"/>
  <c r="AH13" i="34" s="1"/>
  <c r="AI13" i="34" s="1"/>
  <c r="AM12" i="34"/>
  <c r="AK12" i="34"/>
  <c r="AF12" i="34"/>
  <c r="AG12" i="34" s="1"/>
  <c r="Y12" i="34"/>
  <c r="V12" i="34"/>
  <c r="T12" i="34"/>
  <c r="AH12" i="34" s="1"/>
  <c r="AI12" i="34" s="1"/>
  <c r="A12" i="34"/>
  <c r="AM11" i="34"/>
  <c r="AK11" i="34"/>
  <c r="AF11" i="34"/>
  <c r="AG11" i="34" s="1"/>
  <c r="Y11" i="34"/>
  <c r="V11" i="34"/>
  <c r="T11" i="34"/>
  <c r="AD11" i="34" s="1"/>
  <c r="AM10" i="34"/>
  <c r="AK10" i="34"/>
  <c r="AF10" i="34"/>
  <c r="AG10" i="34" s="1"/>
  <c r="Y10" i="34"/>
  <c r="V10" i="34"/>
  <c r="T10" i="34"/>
  <c r="AE10" i="34" s="1"/>
  <c r="A10" i="34"/>
  <c r="W9" i="34" s="1"/>
  <c r="AM9" i="34"/>
  <c r="AK9" i="34"/>
  <c r="AF9" i="34"/>
  <c r="AG9" i="34" s="1"/>
  <c r="Y9" i="34"/>
  <c r="V9" i="34"/>
  <c r="AH9" i="34"/>
  <c r="AI9" i="34" s="1"/>
  <c r="Y8" i="34"/>
  <c r="V8" i="34"/>
  <c r="AM7" i="34"/>
  <c r="AK7" i="34"/>
  <c r="AG7" i="34"/>
  <c r="AF7" i="34"/>
  <c r="AD7" i="34"/>
  <c r="AN7" i="34" s="1"/>
  <c r="Y7" i="34"/>
  <c r="V7" i="34"/>
  <c r="AH7" i="34"/>
  <c r="AI7" i="34" s="1"/>
  <c r="AM6" i="34"/>
  <c r="AK6" i="34"/>
  <c r="AF6" i="34"/>
  <c r="AG6" i="34" s="1"/>
  <c r="AL6" i="34" s="1"/>
  <c r="Y6" i="34"/>
  <c r="W6" i="34"/>
  <c r="V6" i="34"/>
  <c r="AH6" i="34"/>
  <c r="AI6" i="34" s="1"/>
  <c r="F1" i="34"/>
  <c r="AM24" i="33"/>
  <c r="AL24" i="33"/>
  <c r="AK24" i="33"/>
  <c r="AJ24" i="33"/>
  <c r="AI24" i="33"/>
  <c r="AH24" i="33"/>
  <c r="AG24" i="33"/>
  <c r="AF24" i="33"/>
  <c r="AE24" i="33"/>
  <c r="AD24" i="33"/>
  <c r="Y24" i="33"/>
  <c r="W24" i="33"/>
  <c r="V24" i="33"/>
  <c r="U24" i="33"/>
  <c r="T24" i="33"/>
  <c r="AM23" i="33"/>
  <c r="AL23" i="33"/>
  <c r="AK23" i="33"/>
  <c r="AJ23" i="33"/>
  <c r="AI23" i="33"/>
  <c r="AH23" i="33"/>
  <c r="AG23" i="33"/>
  <c r="AF23" i="33"/>
  <c r="AE23" i="33"/>
  <c r="AD23" i="33"/>
  <c r="Y23" i="33"/>
  <c r="W23" i="33"/>
  <c r="V23" i="33"/>
  <c r="U23" i="33"/>
  <c r="T23" i="33"/>
  <c r="AM22" i="33"/>
  <c r="AL22" i="33"/>
  <c r="AK22" i="33"/>
  <c r="AJ22" i="33"/>
  <c r="AI22" i="33"/>
  <c r="AH22" i="33"/>
  <c r="AG22" i="33"/>
  <c r="AF22" i="33"/>
  <c r="AE22" i="33"/>
  <c r="AD22" i="33"/>
  <c r="Y22" i="33"/>
  <c r="W22" i="33"/>
  <c r="V22" i="33"/>
  <c r="U22" i="33"/>
  <c r="T22" i="33"/>
  <c r="AM21" i="33"/>
  <c r="AL21" i="33"/>
  <c r="AK21" i="33"/>
  <c r="AJ21" i="33"/>
  <c r="AI21" i="33"/>
  <c r="AH21" i="33"/>
  <c r="AG21" i="33"/>
  <c r="AF21" i="33"/>
  <c r="AE21" i="33"/>
  <c r="AD21" i="33"/>
  <c r="Y21" i="33"/>
  <c r="W21" i="33"/>
  <c r="V21" i="33"/>
  <c r="U21" i="33"/>
  <c r="T21" i="33"/>
  <c r="AM20" i="33"/>
  <c r="AL20" i="33"/>
  <c r="AK20" i="33"/>
  <c r="AJ20" i="33"/>
  <c r="AI20" i="33"/>
  <c r="AH20" i="33"/>
  <c r="AG20" i="33"/>
  <c r="AF20" i="33"/>
  <c r="AE20" i="33"/>
  <c r="AN20" i="33" s="1"/>
  <c r="AD20" i="33"/>
  <c r="Y20" i="33"/>
  <c r="W20" i="33"/>
  <c r="V20" i="33"/>
  <c r="U20" i="33"/>
  <c r="T20" i="33"/>
  <c r="AM19" i="33"/>
  <c r="AL19" i="33"/>
  <c r="AK19" i="33"/>
  <c r="AJ19" i="33"/>
  <c r="AI19" i="33"/>
  <c r="AH19" i="33"/>
  <c r="AG19" i="33"/>
  <c r="AF19" i="33"/>
  <c r="AE19" i="33"/>
  <c r="AD19" i="33"/>
  <c r="Y19" i="33"/>
  <c r="W19" i="33"/>
  <c r="V19" i="33"/>
  <c r="U19" i="33"/>
  <c r="T19" i="33"/>
  <c r="AM18" i="33"/>
  <c r="AL18" i="33"/>
  <c r="AK18" i="33"/>
  <c r="AJ18" i="33"/>
  <c r="AI18" i="33"/>
  <c r="AH18" i="33"/>
  <c r="AG18" i="33"/>
  <c r="AF18" i="33"/>
  <c r="AE18" i="33"/>
  <c r="AD18" i="33"/>
  <c r="Y18" i="33"/>
  <c r="W18" i="33"/>
  <c r="V18" i="33"/>
  <c r="U18" i="33"/>
  <c r="T18" i="33"/>
  <c r="AM17" i="33"/>
  <c r="AL17" i="33"/>
  <c r="AK17" i="33"/>
  <c r="AJ17" i="33"/>
  <c r="AI17" i="33"/>
  <c r="AH17" i="33"/>
  <c r="AG17" i="33"/>
  <c r="AF17" i="33"/>
  <c r="AE17" i="33"/>
  <c r="AD17" i="33"/>
  <c r="Y17" i="33"/>
  <c r="W17" i="33"/>
  <c r="V17" i="33"/>
  <c r="U17" i="33"/>
  <c r="T17" i="33"/>
  <c r="AM16" i="33"/>
  <c r="AL16" i="33"/>
  <c r="AK16" i="33"/>
  <c r="AJ16" i="33"/>
  <c r="AI16" i="33"/>
  <c r="AH16" i="33"/>
  <c r="AG16" i="33"/>
  <c r="AF16" i="33"/>
  <c r="AE16" i="33"/>
  <c r="AD16" i="33"/>
  <c r="Y16" i="33"/>
  <c r="W16" i="33"/>
  <c r="V16" i="33"/>
  <c r="U16" i="33"/>
  <c r="T16" i="33"/>
  <c r="A16" i="33"/>
  <c r="AM15" i="33"/>
  <c r="AL15" i="33"/>
  <c r="AK15" i="33"/>
  <c r="AJ15" i="33"/>
  <c r="AI15" i="33"/>
  <c r="AH15" i="33"/>
  <c r="AG15" i="33"/>
  <c r="AF15" i="33"/>
  <c r="AE15" i="33"/>
  <c r="AD15" i="33"/>
  <c r="AN15" i="33" s="1"/>
  <c r="Y15" i="33"/>
  <c r="W15" i="33"/>
  <c r="V15" i="33"/>
  <c r="U15" i="33"/>
  <c r="T15" i="33"/>
  <c r="AM14" i="33"/>
  <c r="AL14" i="33"/>
  <c r="AK14" i="33"/>
  <c r="AJ14" i="33"/>
  <c r="AI14" i="33"/>
  <c r="AH14" i="33"/>
  <c r="AG14" i="33"/>
  <c r="AF14" i="33"/>
  <c r="AE14" i="33"/>
  <c r="AD14" i="33"/>
  <c r="Y14" i="33"/>
  <c r="W14" i="33"/>
  <c r="V14" i="33"/>
  <c r="U14" i="33"/>
  <c r="T14" i="33"/>
  <c r="A14" i="33"/>
  <c r="AM13" i="33"/>
  <c r="AL13" i="33"/>
  <c r="AK13" i="33"/>
  <c r="AJ13" i="33"/>
  <c r="AI13" i="33"/>
  <c r="AH13" i="33"/>
  <c r="AG13" i="33"/>
  <c r="AF13" i="33"/>
  <c r="AE13" i="33"/>
  <c r="AD13" i="33"/>
  <c r="Y13" i="33"/>
  <c r="W13" i="33"/>
  <c r="V13" i="33"/>
  <c r="U13" i="33"/>
  <c r="T13" i="33"/>
  <c r="AM12" i="33"/>
  <c r="AL12" i="33"/>
  <c r="AK12" i="33"/>
  <c r="AJ12" i="33"/>
  <c r="AI12" i="33"/>
  <c r="AH12" i="33"/>
  <c r="AG12" i="33"/>
  <c r="AF12" i="33"/>
  <c r="AE12" i="33"/>
  <c r="AD12" i="33"/>
  <c r="Y12" i="33"/>
  <c r="W12" i="33"/>
  <c r="V12" i="33"/>
  <c r="U12" i="33"/>
  <c r="T12" i="33"/>
  <c r="A12" i="33"/>
  <c r="AM11" i="33"/>
  <c r="AL11" i="33"/>
  <c r="AK11" i="33"/>
  <c r="AJ11" i="33"/>
  <c r="AI11" i="33"/>
  <c r="AH11" i="33"/>
  <c r="AG11" i="33"/>
  <c r="AF11" i="33"/>
  <c r="AE11" i="33"/>
  <c r="AD11" i="33"/>
  <c r="Y11" i="33"/>
  <c r="W11" i="33"/>
  <c r="V11" i="33"/>
  <c r="U11" i="33"/>
  <c r="T11" i="33"/>
  <c r="AM10" i="33"/>
  <c r="AL10" i="33"/>
  <c r="AK10" i="33"/>
  <c r="AJ10" i="33"/>
  <c r="AI10" i="33"/>
  <c r="AH10" i="33"/>
  <c r="AG10" i="33"/>
  <c r="AF10" i="33"/>
  <c r="AE10" i="33"/>
  <c r="AD10" i="33"/>
  <c r="AN10" i="33" s="1"/>
  <c r="Y10" i="33"/>
  <c r="W10" i="33"/>
  <c r="V10" i="33"/>
  <c r="U10" i="33"/>
  <c r="T10" i="33"/>
  <c r="A10" i="33"/>
  <c r="AM9" i="33"/>
  <c r="AL9" i="33"/>
  <c r="AK9" i="33"/>
  <c r="AJ9" i="33"/>
  <c r="AI9" i="33"/>
  <c r="AH9" i="33"/>
  <c r="AG9" i="33"/>
  <c r="AF9" i="33"/>
  <c r="AE9" i="33"/>
  <c r="AD9" i="33"/>
  <c r="AN9" i="33" s="1"/>
  <c r="Y9" i="33"/>
  <c r="W9" i="33"/>
  <c r="V9" i="33"/>
  <c r="U9" i="33"/>
  <c r="T9" i="33"/>
  <c r="AM8" i="33"/>
  <c r="AL8" i="33"/>
  <c r="AK8" i="33"/>
  <c r="AJ8" i="33"/>
  <c r="AI8" i="33"/>
  <c r="AH8" i="33"/>
  <c r="AG8" i="33"/>
  <c r="AF8" i="33"/>
  <c r="AD8" i="33"/>
  <c r="AN8" i="33" s="1"/>
  <c r="Y8" i="33"/>
  <c r="W8" i="33"/>
  <c r="V8" i="33"/>
  <c r="U8" i="33"/>
  <c r="T8" i="33"/>
  <c r="AM7" i="33"/>
  <c r="AL7" i="33"/>
  <c r="AK7" i="33"/>
  <c r="AJ7" i="33"/>
  <c r="AI7" i="33"/>
  <c r="AH7" i="33"/>
  <c r="AG7" i="33"/>
  <c r="AF7" i="33"/>
  <c r="AD7" i="33"/>
  <c r="AN7" i="33" s="1"/>
  <c r="Y7" i="33"/>
  <c r="W7" i="33"/>
  <c r="V7" i="33"/>
  <c r="U7" i="33"/>
  <c r="T7" i="33"/>
  <c r="AM6" i="33"/>
  <c r="AL6" i="33"/>
  <c r="AK6" i="33"/>
  <c r="AJ6" i="33"/>
  <c r="AI6" i="33"/>
  <c r="AH6" i="33"/>
  <c r="AG6" i="33"/>
  <c r="AF6" i="33"/>
  <c r="AD6" i="33"/>
  <c r="AN6" i="33" s="1"/>
  <c r="Y6" i="33"/>
  <c r="W6" i="33"/>
  <c r="V6" i="33"/>
  <c r="U6" i="33"/>
  <c r="T6" i="33"/>
  <c r="AM5" i="33"/>
  <c r="AL5" i="33"/>
  <c r="AK5" i="33"/>
  <c r="AJ5" i="33"/>
  <c r="AI5" i="33"/>
  <c r="AH5" i="33"/>
  <c r="AG5" i="33"/>
  <c r="AF5" i="33"/>
  <c r="AD5" i="33"/>
  <c r="AN5" i="33" s="1"/>
  <c r="Y5" i="33"/>
  <c r="W5" i="33"/>
  <c r="V5" i="33"/>
  <c r="U5" i="33"/>
  <c r="T5" i="33"/>
  <c r="F1" i="33"/>
  <c r="AK172" i="32"/>
  <c r="AF172" i="32"/>
  <c r="AG172" i="32" s="1"/>
  <c r="Y172" i="32"/>
  <c r="V172" i="32"/>
  <c r="T172" i="32"/>
  <c r="AH172" i="32" s="1"/>
  <c r="AI172" i="32" s="1"/>
  <c r="AK171" i="32"/>
  <c r="AF171" i="32"/>
  <c r="AG171" i="32" s="1"/>
  <c r="Y171" i="32"/>
  <c r="V171" i="32"/>
  <c r="T171" i="32"/>
  <c r="AM171" i="32" s="1"/>
  <c r="AK170" i="32"/>
  <c r="AF170" i="32"/>
  <c r="AG170" i="32" s="1"/>
  <c r="Y170" i="32"/>
  <c r="V170" i="32"/>
  <c r="T170" i="32"/>
  <c r="AM170" i="32" s="1"/>
  <c r="AK169" i="32"/>
  <c r="AF169" i="32"/>
  <c r="AG169" i="32" s="1"/>
  <c r="Y169" i="32"/>
  <c r="V169" i="32"/>
  <c r="T169" i="32"/>
  <c r="AD169" i="32" s="1"/>
  <c r="AK168" i="32"/>
  <c r="AF168" i="32"/>
  <c r="AG168" i="32" s="1"/>
  <c r="Y168" i="32"/>
  <c r="V168" i="32"/>
  <c r="T168" i="32"/>
  <c r="AE168" i="32" s="1"/>
  <c r="AK167" i="32"/>
  <c r="AF167" i="32"/>
  <c r="AG167" i="32" s="1"/>
  <c r="AE167" i="32"/>
  <c r="Y167" i="32"/>
  <c r="V167" i="32"/>
  <c r="T167" i="32"/>
  <c r="AD167" i="32" s="1"/>
  <c r="AK166" i="32"/>
  <c r="AF166" i="32"/>
  <c r="AG166" i="32" s="1"/>
  <c r="Y166" i="32"/>
  <c r="V166" i="32"/>
  <c r="T166" i="32"/>
  <c r="AE166" i="32" s="1"/>
  <c r="AK165" i="32"/>
  <c r="AF165" i="32"/>
  <c r="AG165" i="32" s="1"/>
  <c r="AE165" i="32"/>
  <c r="Y165" i="32"/>
  <c r="V165" i="32"/>
  <c r="T165" i="32"/>
  <c r="AH165" i="32" s="1"/>
  <c r="AI165" i="32" s="1"/>
  <c r="AK164" i="32"/>
  <c r="AF164" i="32"/>
  <c r="AG164" i="32" s="1"/>
  <c r="Y164" i="32"/>
  <c r="V164" i="32"/>
  <c r="T164" i="32"/>
  <c r="AE164" i="32" s="1"/>
  <c r="AK163" i="32"/>
  <c r="AF163" i="32"/>
  <c r="AG163" i="32" s="1"/>
  <c r="Y163" i="32"/>
  <c r="V163" i="32"/>
  <c r="T163" i="32"/>
  <c r="AH163" i="32" s="1"/>
  <c r="AI163" i="32" s="1"/>
  <c r="AK162" i="32"/>
  <c r="AF162" i="32"/>
  <c r="AG162" i="32" s="1"/>
  <c r="Y162" i="32"/>
  <c r="V162" i="32"/>
  <c r="T162" i="32"/>
  <c r="AH162" i="32" s="1"/>
  <c r="AI162" i="32" s="1"/>
  <c r="AK161" i="32"/>
  <c r="AF161" i="32"/>
  <c r="AG161" i="32" s="1"/>
  <c r="AE161" i="32"/>
  <c r="Y161" i="32"/>
  <c r="V161" i="32"/>
  <c r="T161" i="32"/>
  <c r="AM161" i="32" s="1"/>
  <c r="AK160" i="32"/>
  <c r="AF160" i="32"/>
  <c r="AG160" i="32" s="1"/>
  <c r="Y160" i="32"/>
  <c r="V160" i="32"/>
  <c r="T160" i="32"/>
  <c r="AM160" i="32" s="1"/>
  <c r="AK159" i="32"/>
  <c r="AF159" i="32"/>
  <c r="AG159" i="32" s="1"/>
  <c r="AD159" i="32"/>
  <c r="Y159" i="32"/>
  <c r="V159" i="32"/>
  <c r="T159" i="32"/>
  <c r="AM159" i="32" s="1"/>
  <c r="AK158" i="32"/>
  <c r="AF158" i="32"/>
  <c r="AG158" i="32" s="1"/>
  <c r="Y158" i="32"/>
  <c r="V158" i="32"/>
  <c r="T158" i="32"/>
  <c r="AD158" i="32" s="1"/>
  <c r="AK157" i="32"/>
  <c r="AF157" i="32"/>
  <c r="AG157" i="32" s="1"/>
  <c r="Y157" i="32"/>
  <c r="V157" i="32"/>
  <c r="T157" i="32"/>
  <c r="AE157" i="32" s="1"/>
  <c r="AK156" i="32"/>
  <c r="AF156" i="32"/>
  <c r="AG156" i="32" s="1"/>
  <c r="Y156" i="32"/>
  <c r="V156" i="32"/>
  <c r="T156" i="32"/>
  <c r="AD156" i="32" s="1"/>
  <c r="AK155" i="32"/>
  <c r="AF155" i="32"/>
  <c r="AG155" i="32" s="1"/>
  <c r="Y155" i="32"/>
  <c r="V155" i="32"/>
  <c r="T155" i="32"/>
  <c r="AE155" i="32" s="1"/>
  <c r="AK154" i="32"/>
  <c r="AF154" i="32"/>
  <c r="AG154" i="32" s="1"/>
  <c r="Y154" i="32"/>
  <c r="V154" i="32"/>
  <c r="T154" i="32"/>
  <c r="AH154" i="32" s="1"/>
  <c r="AI154" i="32" s="1"/>
  <c r="AK153" i="32"/>
  <c r="AF153" i="32"/>
  <c r="AG153" i="32" s="1"/>
  <c r="Y153" i="32"/>
  <c r="V153" i="32"/>
  <c r="T153" i="32"/>
  <c r="AH153" i="32" s="1"/>
  <c r="AI153" i="32" s="1"/>
  <c r="AK152" i="32"/>
  <c r="AF152" i="32"/>
  <c r="AG152" i="32" s="1"/>
  <c r="Y152" i="32"/>
  <c r="V152" i="32"/>
  <c r="T152" i="32"/>
  <c r="AH152" i="32" s="1"/>
  <c r="AI152" i="32" s="1"/>
  <c r="AK151" i="32"/>
  <c r="AF151" i="32"/>
  <c r="AG151" i="32" s="1"/>
  <c r="Y151" i="32"/>
  <c r="V151" i="32"/>
  <c r="T151" i="32"/>
  <c r="AH151" i="32" s="1"/>
  <c r="AI151" i="32" s="1"/>
  <c r="AK150" i="32"/>
  <c r="AF150" i="32"/>
  <c r="AG150" i="32" s="1"/>
  <c r="Y150" i="32"/>
  <c r="V150" i="32"/>
  <c r="T150" i="32"/>
  <c r="AM150" i="32" s="1"/>
  <c r="AK149" i="32"/>
  <c r="AF149" i="32"/>
  <c r="AG149" i="32" s="1"/>
  <c r="AE149" i="32"/>
  <c r="AD149" i="32"/>
  <c r="Y149" i="32"/>
  <c r="V149" i="32"/>
  <c r="T149" i="32"/>
  <c r="AM149" i="32" s="1"/>
  <c r="AK148" i="32"/>
  <c r="AF148" i="32"/>
  <c r="AG148" i="32" s="1"/>
  <c r="Y148" i="32"/>
  <c r="V148" i="32"/>
  <c r="T148" i="32"/>
  <c r="AM148" i="32" s="1"/>
  <c r="AK147" i="32"/>
  <c r="AF147" i="32"/>
  <c r="AG147" i="32" s="1"/>
  <c r="Y147" i="32"/>
  <c r="V147" i="32"/>
  <c r="T147" i="32"/>
  <c r="AD147" i="32" s="1"/>
  <c r="AK146" i="32"/>
  <c r="AF146" i="32"/>
  <c r="AG146" i="32" s="1"/>
  <c r="Y146" i="32"/>
  <c r="V146" i="32"/>
  <c r="T146" i="32"/>
  <c r="AE146" i="32" s="1"/>
  <c r="AK145" i="32"/>
  <c r="AF145" i="32"/>
  <c r="AG145" i="32" s="1"/>
  <c r="AE145" i="32"/>
  <c r="Y145" i="32"/>
  <c r="V145" i="32"/>
  <c r="T145" i="32"/>
  <c r="AD145" i="32" s="1"/>
  <c r="AK144" i="32"/>
  <c r="AF144" i="32"/>
  <c r="AG144" i="32" s="1"/>
  <c r="AD144" i="32"/>
  <c r="Y144" i="32"/>
  <c r="V144" i="32"/>
  <c r="T144" i="32"/>
  <c r="AH144" i="32" s="1"/>
  <c r="AI144" i="32" s="1"/>
  <c r="AK143" i="32"/>
  <c r="AF143" i="32"/>
  <c r="AG143" i="32" s="1"/>
  <c r="Y143" i="32"/>
  <c r="V143" i="32"/>
  <c r="T143" i="32"/>
  <c r="AD143" i="32" s="1"/>
  <c r="AK142" i="32"/>
  <c r="AG142" i="32"/>
  <c r="AF142" i="32"/>
  <c r="Y142" i="32"/>
  <c r="V142" i="32"/>
  <c r="T142" i="32"/>
  <c r="AH142" i="32" s="1"/>
  <c r="AI142" i="32" s="1"/>
  <c r="AK141" i="32"/>
  <c r="AF141" i="32"/>
  <c r="AG141" i="32" s="1"/>
  <c r="Y141" i="32"/>
  <c r="V141" i="32"/>
  <c r="T141" i="32"/>
  <c r="AH141" i="32" s="1"/>
  <c r="AI141" i="32" s="1"/>
  <c r="AM140" i="32"/>
  <c r="AK140" i="32"/>
  <c r="AF140" i="32"/>
  <c r="AG140" i="32" s="1"/>
  <c r="Y140" i="32"/>
  <c r="V140" i="32"/>
  <c r="T140" i="32"/>
  <c r="AH140" i="32" s="1"/>
  <c r="AI140" i="32" s="1"/>
  <c r="AK139" i="32"/>
  <c r="AF139" i="32"/>
  <c r="AG139" i="32" s="1"/>
  <c r="Y139" i="32"/>
  <c r="V139" i="32"/>
  <c r="T139" i="32"/>
  <c r="AM139" i="32" s="1"/>
  <c r="AK138" i="32"/>
  <c r="AF138" i="32"/>
  <c r="AG138" i="32" s="1"/>
  <c r="Y138" i="32"/>
  <c r="V138" i="32"/>
  <c r="T138" i="32"/>
  <c r="AM138" i="32" s="1"/>
  <c r="AK137" i="32"/>
  <c r="AF137" i="32"/>
  <c r="AG137" i="32" s="1"/>
  <c r="Y137" i="32"/>
  <c r="V137" i="32"/>
  <c r="T137" i="32"/>
  <c r="AM137" i="32" s="1"/>
  <c r="AK136" i="32"/>
  <c r="AF136" i="32"/>
  <c r="AG136" i="32" s="1"/>
  <c r="Y136" i="32"/>
  <c r="V136" i="32"/>
  <c r="T136" i="32"/>
  <c r="AD136" i="32" s="1"/>
  <c r="AK135" i="32"/>
  <c r="AF135" i="32"/>
  <c r="AG135" i="32" s="1"/>
  <c r="Y135" i="32"/>
  <c r="V135" i="32"/>
  <c r="T135" i="32"/>
  <c r="AD135" i="32" s="1"/>
  <c r="AK134" i="32"/>
  <c r="AH134" i="32"/>
  <c r="AI134" i="32" s="1"/>
  <c r="AF134" i="32"/>
  <c r="AG134" i="32" s="1"/>
  <c r="AD134" i="32"/>
  <c r="Y134" i="32"/>
  <c r="V134" i="32"/>
  <c r="T134" i="32"/>
  <c r="AE134" i="32" s="1"/>
  <c r="AK133" i="32"/>
  <c r="AF133" i="32"/>
  <c r="AG133" i="32" s="1"/>
  <c r="Y133" i="32"/>
  <c r="V133" i="32"/>
  <c r="T133" i="32"/>
  <c r="AM133" i="32" s="1"/>
  <c r="AK132" i="32"/>
  <c r="AF132" i="32"/>
  <c r="AG132" i="32" s="1"/>
  <c r="Y132" i="32"/>
  <c r="V132" i="32"/>
  <c r="T132" i="32"/>
  <c r="AM132" i="32" s="1"/>
  <c r="AK131" i="32"/>
  <c r="AG131" i="32"/>
  <c r="AF131" i="32"/>
  <c r="Y131" i="32"/>
  <c r="V131" i="32"/>
  <c r="T131" i="32"/>
  <c r="AH131" i="32" s="1"/>
  <c r="AI131" i="32" s="1"/>
  <c r="AK130" i="32"/>
  <c r="AG130" i="32"/>
  <c r="AF130" i="32"/>
  <c r="Y130" i="32"/>
  <c r="V130" i="32"/>
  <c r="T130" i="32"/>
  <c r="AM130" i="32" s="1"/>
  <c r="AK129" i="32"/>
  <c r="AG129" i="32"/>
  <c r="AF129" i="32"/>
  <c r="Y129" i="32"/>
  <c r="V129" i="32"/>
  <c r="T129" i="32"/>
  <c r="AH129" i="32" s="1"/>
  <c r="AI129" i="32" s="1"/>
  <c r="AK128" i="32"/>
  <c r="AF128" i="32"/>
  <c r="AG128" i="32" s="1"/>
  <c r="Y128" i="32"/>
  <c r="V128" i="32"/>
  <c r="T128" i="32"/>
  <c r="AM128" i="32" s="1"/>
  <c r="AK127" i="32"/>
  <c r="AF127" i="32"/>
  <c r="AG127" i="32" s="1"/>
  <c r="Y127" i="32"/>
  <c r="V127" i="32"/>
  <c r="T127" i="32"/>
  <c r="AM127" i="32" s="1"/>
  <c r="AK126" i="32"/>
  <c r="AF126" i="32"/>
  <c r="AG126" i="32" s="1"/>
  <c r="Y126" i="32"/>
  <c r="V126" i="32"/>
  <c r="T126" i="32"/>
  <c r="AD126" i="32" s="1"/>
  <c r="AK125" i="32"/>
  <c r="AF125" i="32"/>
  <c r="AG125" i="32" s="1"/>
  <c r="Y125" i="32"/>
  <c r="V125" i="32"/>
  <c r="T125" i="32"/>
  <c r="AE125" i="32" s="1"/>
  <c r="AK124" i="32"/>
  <c r="AF124" i="32"/>
  <c r="AG124" i="32" s="1"/>
  <c r="Y124" i="32"/>
  <c r="V124" i="32"/>
  <c r="T124" i="32"/>
  <c r="AD124" i="32" s="1"/>
  <c r="AK123" i="32"/>
  <c r="AF123" i="32"/>
  <c r="AG123" i="32" s="1"/>
  <c r="Y123" i="32"/>
  <c r="V123" i="32"/>
  <c r="T123" i="32"/>
  <c r="AE123" i="32" s="1"/>
  <c r="AK122" i="32"/>
  <c r="AF122" i="32"/>
  <c r="AG122" i="32" s="1"/>
  <c r="AE122" i="32"/>
  <c r="AD122" i="32"/>
  <c r="Y122" i="32"/>
  <c r="V122" i="32"/>
  <c r="T122" i="32"/>
  <c r="AM122" i="32" s="1"/>
  <c r="AK121" i="32"/>
  <c r="AF121" i="32"/>
  <c r="AG121" i="32" s="1"/>
  <c r="Y121" i="32"/>
  <c r="V121" i="32"/>
  <c r="T121" i="32"/>
  <c r="AM121" i="32" s="1"/>
  <c r="AK120" i="32"/>
  <c r="AF120" i="32"/>
  <c r="AG120" i="32" s="1"/>
  <c r="AJ120" i="32" s="1"/>
  <c r="Y120" i="32"/>
  <c r="V120" i="32"/>
  <c r="T120" i="32"/>
  <c r="AH120" i="32" s="1"/>
  <c r="AI120" i="32" s="1"/>
  <c r="AK119" i="32"/>
  <c r="AF119" i="32"/>
  <c r="AG119" i="32" s="1"/>
  <c r="Y119" i="32"/>
  <c r="V119" i="32"/>
  <c r="T119" i="32"/>
  <c r="AH119" i="32" s="1"/>
  <c r="AI119" i="32" s="1"/>
  <c r="AK118" i="32"/>
  <c r="AF118" i="32"/>
  <c r="AG118" i="32" s="1"/>
  <c r="Y118" i="32"/>
  <c r="V118" i="32"/>
  <c r="T118" i="32"/>
  <c r="AH118" i="32" s="1"/>
  <c r="AI118" i="32" s="1"/>
  <c r="AK117" i="32"/>
  <c r="AF117" i="32"/>
  <c r="AG117" i="32" s="1"/>
  <c r="Y117" i="32"/>
  <c r="V117" i="32"/>
  <c r="T117" i="32"/>
  <c r="AM117" i="32" s="1"/>
  <c r="AK116" i="32"/>
  <c r="AF116" i="32"/>
  <c r="AG116" i="32" s="1"/>
  <c r="Y116" i="32"/>
  <c r="V116" i="32"/>
  <c r="T116" i="32"/>
  <c r="AM116" i="32" s="1"/>
  <c r="AK115" i="32"/>
  <c r="AF115" i="32"/>
  <c r="AG115" i="32" s="1"/>
  <c r="AD115" i="32"/>
  <c r="Y115" i="32"/>
  <c r="V115" i="32"/>
  <c r="T115" i="32"/>
  <c r="AM115" i="32" s="1"/>
  <c r="AK114" i="32"/>
  <c r="AF114" i="32"/>
  <c r="AG114" i="32" s="1"/>
  <c r="Y114" i="32"/>
  <c r="V114" i="32"/>
  <c r="T114" i="32"/>
  <c r="AD114" i="32" s="1"/>
  <c r="AK113" i="32"/>
  <c r="AF113" i="32"/>
  <c r="AG113" i="32" s="1"/>
  <c r="AD113" i="32"/>
  <c r="Y113" i="32"/>
  <c r="V113" i="32"/>
  <c r="T113" i="32"/>
  <c r="AE113" i="32" s="1"/>
  <c r="AK112" i="32"/>
  <c r="AF112" i="32"/>
  <c r="AG112" i="32" s="1"/>
  <c r="Y112" i="32"/>
  <c r="V112" i="32"/>
  <c r="T112" i="32"/>
  <c r="AD112" i="32" s="1"/>
  <c r="AK111" i="32"/>
  <c r="AF111" i="32"/>
  <c r="AG111" i="32" s="1"/>
  <c r="AD111" i="32"/>
  <c r="Y111" i="32"/>
  <c r="V111" i="32"/>
  <c r="T111" i="32"/>
  <c r="AE111" i="32" s="1"/>
  <c r="AK110" i="32"/>
  <c r="AF110" i="32"/>
  <c r="AG110" i="32" s="1"/>
  <c r="Y110" i="32"/>
  <c r="V110" i="32"/>
  <c r="T110" i="32"/>
  <c r="AM110" i="32" s="1"/>
  <c r="AK109" i="32"/>
  <c r="AH109" i="32"/>
  <c r="AI109" i="32" s="1"/>
  <c r="AF109" i="32"/>
  <c r="AG109" i="32" s="1"/>
  <c r="Y109" i="32"/>
  <c r="V109" i="32"/>
  <c r="T109" i="32"/>
  <c r="AM109" i="32" s="1"/>
  <c r="AM108" i="32"/>
  <c r="AK108" i="32"/>
  <c r="AF108" i="32"/>
  <c r="AG108" i="32" s="1"/>
  <c r="Y108" i="32"/>
  <c r="V108" i="32"/>
  <c r="T108" i="32"/>
  <c r="AH108" i="32" s="1"/>
  <c r="AI108" i="32" s="1"/>
  <c r="AK107" i="32"/>
  <c r="AF107" i="32"/>
  <c r="AG107" i="32" s="1"/>
  <c r="AJ107" i="32" s="1"/>
  <c r="Y107" i="32"/>
  <c r="V107" i="32"/>
  <c r="T107" i="32"/>
  <c r="AH107" i="32" s="1"/>
  <c r="AI107" i="32" s="1"/>
  <c r="AK106" i="32"/>
  <c r="AG106" i="32"/>
  <c r="AF106" i="32"/>
  <c r="Y106" i="32"/>
  <c r="V106" i="32"/>
  <c r="T106" i="32"/>
  <c r="AM106" i="32" s="1"/>
  <c r="AK105" i="32"/>
  <c r="AF105" i="32"/>
  <c r="AG105" i="32" s="1"/>
  <c r="AE105" i="32"/>
  <c r="Y105" i="32"/>
  <c r="V105" i="32"/>
  <c r="T105" i="32"/>
  <c r="AM105" i="32" s="1"/>
  <c r="AK104" i="32"/>
  <c r="AF104" i="32"/>
  <c r="AG104" i="32" s="1"/>
  <c r="Y104" i="32"/>
  <c r="V104" i="32"/>
  <c r="T104" i="32"/>
  <c r="AM104" i="32" s="1"/>
  <c r="AK103" i="32"/>
  <c r="AF103" i="32"/>
  <c r="AG103" i="32" s="1"/>
  <c r="Y103" i="32"/>
  <c r="V103" i="32"/>
  <c r="T103" i="32"/>
  <c r="AD103" i="32" s="1"/>
  <c r="AK102" i="32"/>
  <c r="AF102" i="32"/>
  <c r="AG102" i="32" s="1"/>
  <c r="AE102" i="32"/>
  <c r="Y102" i="32"/>
  <c r="V102" i="32"/>
  <c r="T102" i="32"/>
  <c r="AM102" i="32" s="1"/>
  <c r="AK101" i="32"/>
  <c r="AF101" i="32"/>
  <c r="AG101" i="32" s="1"/>
  <c r="Y101" i="32"/>
  <c r="V101" i="32"/>
  <c r="T101" i="32"/>
  <c r="AD101" i="32" s="1"/>
  <c r="AK100" i="32"/>
  <c r="AH100" i="32"/>
  <c r="AI100" i="32" s="1"/>
  <c r="AF100" i="32"/>
  <c r="AG100" i="32" s="1"/>
  <c r="Y100" i="32"/>
  <c r="V100" i="32"/>
  <c r="T100" i="32"/>
  <c r="AE100" i="32" s="1"/>
  <c r="AK99" i="32"/>
  <c r="AF99" i="32"/>
  <c r="AG99" i="32" s="1"/>
  <c r="AE99" i="32"/>
  <c r="Y99" i="32"/>
  <c r="V99" i="32"/>
  <c r="T99" i="32"/>
  <c r="AM99" i="32" s="1"/>
  <c r="AK98" i="32"/>
  <c r="AF98" i="32"/>
  <c r="AG98" i="32" s="1"/>
  <c r="Y98" i="32"/>
  <c r="V98" i="32"/>
  <c r="T98" i="32"/>
  <c r="AM98" i="32" s="1"/>
  <c r="AK97" i="32"/>
  <c r="AF97" i="32"/>
  <c r="AG97" i="32" s="1"/>
  <c r="Y97" i="32"/>
  <c r="V97" i="32"/>
  <c r="T97" i="32"/>
  <c r="AH97" i="32" s="1"/>
  <c r="AI97" i="32" s="1"/>
  <c r="AK96" i="32"/>
  <c r="AF96" i="32"/>
  <c r="AG96" i="32" s="1"/>
  <c r="Y96" i="32"/>
  <c r="V96" i="32"/>
  <c r="T96" i="32"/>
  <c r="AH96" i="32" s="1"/>
  <c r="AI96" i="32" s="1"/>
  <c r="AK95" i="32"/>
  <c r="AF95" i="32"/>
  <c r="AG95" i="32" s="1"/>
  <c r="Y95" i="32"/>
  <c r="V95" i="32"/>
  <c r="T95" i="32"/>
  <c r="AH95" i="32" s="1"/>
  <c r="AI95" i="32" s="1"/>
  <c r="AK94" i="32"/>
  <c r="AF94" i="32"/>
  <c r="AG94" i="32" s="1"/>
  <c r="Y94" i="32"/>
  <c r="V94" i="32"/>
  <c r="T94" i="32"/>
  <c r="AM94" i="32" s="1"/>
  <c r="AK93" i="32"/>
  <c r="AF93" i="32"/>
  <c r="AG93" i="32" s="1"/>
  <c r="Y93" i="32"/>
  <c r="V93" i="32"/>
  <c r="T93" i="32"/>
  <c r="AM93" i="32" s="1"/>
  <c r="AK92" i="32"/>
  <c r="AF92" i="32"/>
  <c r="AG92" i="32" s="1"/>
  <c r="Y92" i="32"/>
  <c r="V92" i="32"/>
  <c r="T92" i="32"/>
  <c r="AM92" i="32" s="1"/>
  <c r="AK91" i="32"/>
  <c r="AF91" i="32"/>
  <c r="AG91" i="32" s="1"/>
  <c r="Y91" i="32"/>
  <c r="V91" i="32"/>
  <c r="T91" i="32"/>
  <c r="AD91" i="32" s="1"/>
  <c r="AK90" i="32"/>
  <c r="AF90" i="32"/>
  <c r="AG90" i="32" s="1"/>
  <c r="Y90" i="32"/>
  <c r="V90" i="32"/>
  <c r="T90" i="32"/>
  <c r="AM90" i="32" s="1"/>
  <c r="AK89" i="32"/>
  <c r="AF89" i="32"/>
  <c r="AG89" i="32" s="1"/>
  <c r="AE89" i="32"/>
  <c r="Y89" i="32"/>
  <c r="V89" i="32"/>
  <c r="T89" i="32"/>
  <c r="AD89" i="32" s="1"/>
  <c r="AK88" i="32"/>
  <c r="AF88" i="32"/>
  <c r="AG88" i="32" s="1"/>
  <c r="Y88" i="32"/>
  <c r="V88" i="32"/>
  <c r="T88" i="32"/>
  <c r="AE88" i="32" s="1"/>
  <c r="AK87" i="32"/>
  <c r="AF87" i="32"/>
  <c r="AG87" i="32" s="1"/>
  <c r="Y87" i="32"/>
  <c r="V87" i="32"/>
  <c r="T87" i="32"/>
  <c r="AM87" i="32" s="1"/>
  <c r="AM86" i="32"/>
  <c r="AL86" i="32"/>
  <c r="AK86" i="32"/>
  <c r="AJ86" i="32"/>
  <c r="AI86" i="32"/>
  <c r="AH86" i="32"/>
  <c r="AG86" i="32"/>
  <c r="AF86" i="32"/>
  <c r="AE86" i="32"/>
  <c r="AD86" i="32"/>
  <c r="Y86" i="32"/>
  <c r="V86" i="32"/>
  <c r="T86" i="32"/>
  <c r="AM85" i="32"/>
  <c r="AL85" i="32"/>
  <c r="AK85" i="32"/>
  <c r="AJ85" i="32"/>
  <c r="AI85" i="32"/>
  <c r="AH85" i="32"/>
  <c r="AG85" i="32"/>
  <c r="AF85" i="32"/>
  <c r="AE85" i="32"/>
  <c r="AD85" i="32"/>
  <c r="Y85" i="32"/>
  <c r="V85" i="32"/>
  <c r="T85" i="32"/>
  <c r="AM84" i="32"/>
  <c r="AL84" i="32"/>
  <c r="AK84" i="32"/>
  <c r="AJ84" i="32"/>
  <c r="AI84" i="32"/>
  <c r="AH84" i="32"/>
  <c r="AG84" i="32"/>
  <c r="AF84" i="32"/>
  <c r="AE84" i="32"/>
  <c r="AD84" i="32"/>
  <c r="Y84" i="32"/>
  <c r="V84" i="32"/>
  <c r="T84" i="32"/>
  <c r="AM83" i="32"/>
  <c r="AL83" i="32"/>
  <c r="AK83" i="32"/>
  <c r="AJ83" i="32"/>
  <c r="AI83" i="32"/>
  <c r="AH83" i="32"/>
  <c r="AG83" i="32"/>
  <c r="AF83" i="32"/>
  <c r="AE83" i="32"/>
  <c r="AD83" i="32"/>
  <c r="Y83" i="32"/>
  <c r="V83" i="32"/>
  <c r="T83" i="32"/>
  <c r="AM82" i="32"/>
  <c r="AL82" i="32"/>
  <c r="AK82" i="32"/>
  <c r="AJ82" i="32"/>
  <c r="AI82" i="32"/>
  <c r="AH82" i="32"/>
  <c r="AG82" i="32"/>
  <c r="AF82" i="32"/>
  <c r="AE82" i="32"/>
  <c r="AD82" i="32"/>
  <c r="Y82" i="32"/>
  <c r="V82" i="32"/>
  <c r="T82" i="32"/>
  <c r="AM81" i="32"/>
  <c r="AL81" i="32"/>
  <c r="AK81" i="32"/>
  <c r="AJ81" i="32"/>
  <c r="AI81" i="32"/>
  <c r="AH81" i="32"/>
  <c r="AG81" i="32"/>
  <c r="AF81" i="32"/>
  <c r="AE81" i="32"/>
  <c r="AD81" i="32"/>
  <c r="Y81" i="32"/>
  <c r="V81" i="32"/>
  <c r="T81" i="32"/>
  <c r="AM80" i="32"/>
  <c r="AL80" i="32"/>
  <c r="AK80" i="32"/>
  <c r="AJ80" i="32"/>
  <c r="AI80" i="32"/>
  <c r="AH80" i="32"/>
  <c r="AG80" i="32"/>
  <c r="AF80" i="32"/>
  <c r="AE80" i="32"/>
  <c r="AD80" i="32"/>
  <c r="AN80" i="32" s="1"/>
  <c r="Y80" i="32"/>
  <c r="V80" i="32"/>
  <c r="T80" i="32"/>
  <c r="AM79" i="32"/>
  <c r="AL79" i="32"/>
  <c r="AK79" i="32"/>
  <c r="AJ79" i="32"/>
  <c r="AI79" i="32"/>
  <c r="AH79" i="32"/>
  <c r="AG79" i="32"/>
  <c r="AF79" i="32"/>
  <c r="AE79" i="32"/>
  <c r="AD79" i="32"/>
  <c r="Y79" i="32"/>
  <c r="V79" i="32"/>
  <c r="T79" i="32"/>
  <c r="AM78" i="32"/>
  <c r="AL78" i="32"/>
  <c r="AK78" i="32"/>
  <c r="AJ78" i="32"/>
  <c r="AI78" i="32"/>
  <c r="AH78" i="32"/>
  <c r="AG78" i="32"/>
  <c r="AF78" i="32"/>
  <c r="AE78" i="32"/>
  <c r="AD78" i="32"/>
  <c r="Y78" i="32"/>
  <c r="V78" i="32"/>
  <c r="T78" i="32"/>
  <c r="AM77" i="32"/>
  <c r="AL77" i="32"/>
  <c r="AK77" i="32"/>
  <c r="AJ77" i="32"/>
  <c r="AI77" i="32"/>
  <c r="AH77" i="32"/>
  <c r="AG77" i="32"/>
  <c r="AF77" i="32"/>
  <c r="AE77" i="32"/>
  <c r="AD77" i="32"/>
  <c r="Y77" i="32"/>
  <c r="V77" i="32"/>
  <c r="T77" i="32"/>
  <c r="AM76" i="32"/>
  <c r="AL76" i="32"/>
  <c r="AK76" i="32"/>
  <c r="AJ76" i="32"/>
  <c r="AI76" i="32"/>
  <c r="AH76" i="32"/>
  <c r="AG76" i="32"/>
  <c r="AF76" i="32"/>
  <c r="AE76" i="32"/>
  <c r="AD76" i="32"/>
  <c r="Y76" i="32"/>
  <c r="V76" i="32"/>
  <c r="T76" i="32"/>
  <c r="AM75" i="32"/>
  <c r="AL75" i="32"/>
  <c r="AK75" i="32"/>
  <c r="AJ75" i="32"/>
  <c r="AI75" i="32"/>
  <c r="AH75" i="32"/>
  <c r="AG75" i="32"/>
  <c r="AF75" i="32"/>
  <c r="AE75" i="32"/>
  <c r="AD75" i="32"/>
  <c r="Y75" i="32"/>
  <c r="V75" i="32"/>
  <c r="T75" i="32"/>
  <c r="AM74" i="32"/>
  <c r="AL74" i="32"/>
  <c r="AK74" i="32"/>
  <c r="AJ74" i="32"/>
  <c r="AI74" i="32"/>
  <c r="AH74" i="32"/>
  <c r="AG74" i="32"/>
  <c r="AF74" i="32"/>
  <c r="AE74" i="32"/>
  <c r="AD74" i="32"/>
  <c r="Y74" i="32"/>
  <c r="V74" i="32"/>
  <c r="T74" i="32"/>
  <c r="AM73" i="32"/>
  <c r="AL73" i="32"/>
  <c r="AK73" i="32"/>
  <c r="AJ73" i="32"/>
  <c r="AI73" i="32"/>
  <c r="AH73" i="32"/>
  <c r="AG73" i="32"/>
  <c r="AF73" i="32"/>
  <c r="AE73" i="32"/>
  <c r="AD73" i="32"/>
  <c r="Y73" i="32"/>
  <c r="V73" i="32"/>
  <c r="T73" i="32"/>
  <c r="AM72" i="32"/>
  <c r="AL72" i="32"/>
  <c r="AK72" i="32"/>
  <c r="AJ72" i="32"/>
  <c r="AI72" i="32"/>
  <c r="AH72" i="32"/>
  <c r="AG72" i="32"/>
  <c r="AF72" i="32"/>
  <c r="AE72" i="32"/>
  <c r="AD72" i="32"/>
  <c r="Y72" i="32"/>
  <c r="V72" i="32"/>
  <c r="T72" i="32"/>
  <c r="AM71" i="32"/>
  <c r="AL71" i="32"/>
  <c r="AK71" i="32"/>
  <c r="AJ71" i="32"/>
  <c r="AI71" i="32"/>
  <c r="AH71" i="32"/>
  <c r="AG71" i="32"/>
  <c r="AF71" i="32"/>
  <c r="AE71" i="32"/>
  <c r="AD71" i="32"/>
  <c r="Y71" i="32"/>
  <c r="V71" i="32"/>
  <c r="T71" i="32"/>
  <c r="AM70" i="32"/>
  <c r="AL70" i="32"/>
  <c r="AK70" i="32"/>
  <c r="AJ70" i="32"/>
  <c r="AI70" i="32"/>
  <c r="AH70" i="32"/>
  <c r="AG70" i="32"/>
  <c r="AF70" i="32"/>
  <c r="AE70" i="32"/>
  <c r="AD70" i="32"/>
  <c r="Y70" i="32"/>
  <c r="V70" i="32"/>
  <c r="T70" i="32"/>
  <c r="AM69" i="32"/>
  <c r="AL69" i="32"/>
  <c r="AK69" i="32"/>
  <c r="AJ69" i="32"/>
  <c r="AI69" i="32"/>
  <c r="AH69" i="32"/>
  <c r="AG69" i="32"/>
  <c r="AF69" i="32"/>
  <c r="AE69" i="32"/>
  <c r="AD69" i="32"/>
  <c r="AN69" i="32" s="1"/>
  <c r="Y69" i="32"/>
  <c r="V69" i="32"/>
  <c r="T69" i="32"/>
  <c r="AM68" i="32"/>
  <c r="AL68" i="32"/>
  <c r="AK68" i="32"/>
  <c r="AJ68" i="32"/>
  <c r="AI68" i="32"/>
  <c r="AH68" i="32"/>
  <c r="AG68" i="32"/>
  <c r="AF68" i="32"/>
  <c r="AE68" i="32"/>
  <c r="AD68" i="32"/>
  <c r="Y68" i="32"/>
  <c r="V68" i="32"/>
  <c r="T68" i="32"/>
  <c r="AM67" i="32"/>
  <c r="AL67" i="32"/>
  <c r="AK67" i="32"/>
  <c r="AJ67" i="32"/>
  <c r="AI67" i="32"/>
  <c r="AH67" i="32"/>
  <c r="AG67" i="32"/>
  <c r="AF67" i="32"/>
  <c r="AE67" i="32"/>
  <c r="AD67" i="32"/>
  <c r="Y67" i="32"/>
  <c r="V67" i="32"/>
  <c r="T67" i="32"/>
  <c r="AM66" i="32"/>
  <c r="AL66" i="32"/>
  <c r="AK66" i="32"/>
  <c r="AJ66" i="32"/>
  <c r="AI66" i="32"/>
  <c r="AH66" i="32"/>
  <c r="AG66" i="32"/>
  <c r="AF66" i="32"/>
  <c r="AE66" i="32"/>
  <c r="AD66" i="32"/>
  <c r="Y66" i="32"/>
  <c r="V66" i="32"/>
  <c r="T66" i="32"/>
  <c r="AM65" i="32"/>
  <c r="AL65" i="32"/>
  <c r="AK65" i="32"/>
  <c r="AJ65" i="32"/>
  <c r="AI65" i="32"/>
  <c r="AH65" i="32"/>
  <c r="AG65" i="32"/>
  <c r="AF65" i="32"/>
  <c r="AE65" i="32"/>
  <c r="AD65" i="32"/>
  <c r="Y65" i="32"/>
  <c r="V65" i="32"/>
  <c r="T65" i="32"/>
  <c r="AM64" i="32"/>
  <c r="AL64" i="32"/>
  <c r="AK64" i="32"/>
  <c r="AJ64" i="32"/>
  <c r="AI64" i="32"/>
  <c r="AH64" i="32"/>
  <c r="AG64" i="32"/>
  <c r="AF64" i="32"/>
  <c r="AE64" i="32"/>
  <c r="AD64" i="32"/>
  <c r="Y64" i="32"/>
  <c r="V64" i="32"/>
  <c r="T64" i="32"/>
  <c r="AM63" i="32"/>
  <c r="AL63" i="32"/>
  <c r="AK63" i="32"/>
  <c r="AJ63" i="32"/>
  <c r="AI63" i="32"/>
  <c r="AH63" i="32"/>
  <c r="AG63" i="32"/>
  <c r="AF63" i="32"/>
  <c r="AE63" i="32"/>
  <c r="AD63" i="32"/>
  <c r="Y63" i="32"/>
  <c r="V63" i="32"/>
  <c r="T63" i="32"/>
  <c r="AM62" i="32"/>
  <c r="AL62" i="32"/>
  <c r="AK62" i="32"/>
  <c r="AJ62" i="32"/>
  <c r="AI62" i="32"/>
  <c r="AH62" i="32"/>
  <c r="AG62" i="32"/>
  <c r="AF62" i="32"/>
  <c r="AE62" i="32"/>
  <c r="AD62" i="32"/>
  <c r="Y62" i="32"/>
  <c r="V62" i="32"/>
  <c r="T62" i="32"/>
  <c r="AM61" i="32"/>
  <c r="AL61" i="32"/>
  <c r="AK61" i="32"/>
  <c r="AJ61" i="32"/>
  <c r="AI61" i="32"/>
  <c r="AH61" i="32"/>
  <c r="AG61" i="32"/>
  <c r="AF61" i="32"/>
  <c r="AE61" i="32"/>
  <c r="AD61" i="32"/>
  <c r="Y61" i="32"/>
  <c r="V61" i="32"/>
  <c r="T61" i="32"/>
  <c r="AM60" i="32"/>
  <c r="AL60" i="32"/>
  <c r="AK60" i="32"/>
  <c r="AJ60" i="32"/>
  <c r="AI60" i="32"/>
  <c r="AH60" i="32"/>
  <c r="AG60" i="32"/>
  <c r="AF60" i="32"/>
  <c r="AE60" i="32"/>
  <c r="AD60" i="32"/>
  <c r="Y60" i="32"/>
  <c r="V60" i="32"/>
  <c r="T60" i="32"/>
  <c r="AM59" i="32"/>
  <c r="AL59" i="32"/>
  <c r="AK59" i="32"/>
  <c r="AJ59" i="32"/>
  <c r="AI59" i="32"/>
  <c r="AH59" i="32"/>
  <c r="AG59" i="32"/>
  <c r="AF59" i="32"/>
  <c r="AE59" i="32"/>
  <c r="AD59" i="32"/>
  <c r="Y59" i="32"/>
  <c r="V59" i="32"/>
  <c r="T59" i="32"/>
  <c r="AM58" i="32"/>
  <c r="AL58" i="32"/>
  <c r="AK58" i="32"/>
  <c r="AJ58" i="32"/>
  <c r="AI58" i="32"/>
  <c r="AH58" i="32"/>
  <c r="AG58" i="32"/>
  <c r="AF58" i="32"/>
  <c r="AE58" i="32"/>
  <c r="AD58" i="32"/>
  <c r="Y58" i="32"/>
  <c r="V58" i="32"/>
  <c r="T58" i="32"/>
  <c r="AM57" i="32"/>
  <c r="AL57" i="32"/>
  <c r="AK57" i="32"/>
  <c r="AJ57" i="32"/>
  <c r="AI57" i="32"/>
  <c r="AH57" i="32"/>
  <c r="AG57" i="32"/>
  <c r="AF57" i="32"/>
  <c r="AE57" i="32"/>
  <c r="AD57" i="32"/>
  <c r="Y57" i="32"/>
  <c r="V57" i="32"/>
  <c r="T57" i="32"/>
  <c r="AM56" i="32"/>
  <c r="AL56" i="32"/>
  <c r="AK56" i="32"/>
  <c r="AJ56" i="32"/>
  <c r="AI56" i="32"/>
  <c r="AH56" i="32"/>
  <c r="AG56" i="32"/>
  <c r="AF56" i="32"/>
  <c r="AE56" i="32"/>
  <c r="AD56" i="32"/>
  <c r="Y56" i="32"/>
  <c r="V56" i="32"/>
  <c r="T56" i="32"/>
  <c r="AM55" i="32"/>
  <c r="AL55" i="32"/>
  <c r="AK55" i="32"/>
  <c r="AJ55" i="32"/>
  <c r="AI55" i="32"/>
  <c r="AH55" i="32"/>
  <c r="AG55" i="32"/>
  <c r="AF55" i="32"/>
  <c r="AE55" i="32"/>
  <c r="AD55" i="32"/>
  <c r="Y55" i="32"/>
  <c r="V55" i="32"/>
  <c r="T55" i="32"/>
  <c r="AM54" i="32"/>
  <c r="AL54" i="32"/>
  <c r="AK54" i="32"/>
  <c r="AJ54" i="32"/>
  <c r="AI54" i="32"/>
  <c r="AH54" i="32"/>
  <c r="AG54" i="32"/>
  <c r="AF54" i="32"/>
  <c r="AE54" i="32"/>
  <c r="AN54" i="32" s="1"/>
  <c r="AD54" i="32"/>
  <c r="Y54" i="32"/>
  <c r="V54" i="32"/>
  <c r="T54" i="32"/>
  <c r="AM53" i="32"/>
  <c r="AL53" i="32"/>
  <c r="AK53" i="32"/>
  <c r="AJ53" i="32"/>
  <c r="AI53" i="32"/>
  <c r="AH53" i="32"/>
  <c r="AG53" i="32"/>
  <c r="AF53" i="32"/>
  <c r="AE53" i="32"/>
  <c r="AD53" i="32"/>
  <c r="Y53" i="32"/>
  <c r="V53" i="32"/>
  <c r="T53" i="32"/>
  <c r="AM52" i="32"/>
  <c r="AL52" i="32"/>
  <c r="AK52" i="32"/>
  <c r="AJ52" i="32"/>
  <c r="AI52" i="32"/>
  <c r="AH52" i="32"/>
  <c r="AG52" i="32"/>
  <c r="AF52" i="32"/>
  <c r="AE52" i="32"/>
  <c r="AD52" i="32"/>
  <c r="Y52" i="32"/>
  <c r="V52" i="32"/>
  <c r="T52" i="32"/>
  <c r="AM51" i="32"/>
  <c r="AL51" i="32"/>
  <c r="AK51" i="32"/>
  <c r="AJ51" i="32"/>
  <c r="AI51" i="32"/>
  <c r="AH51" i="32"/>
  <c r="AG51" i="32"/>
  <c r="AF51" i="32"/>
  <c r="AE51" i="32"/>
  <c r="AD51" i="32"/>
  <c r="Y51" i="32"/>
  <c r="V51" i="32"/>
  <c r="T51" i="32"/>
  <c r="AM50" i="32"/>
  <c r="AL50" i="32"/>
  <c r="AK50" i="32"/>
  <c r="AJ50" i="32"/>
  <c r="AI50" i="32"/>
  <c r="AH50" i="32"/>
  <c r="AG50" i="32"/>
  <c r="AF50" i="32"/>
  <c r="AE50" i="32"/>
  <c r="AD50" i="32"/>
  <c r="Y50" i="32"/>
  <c r="V50" i="32"/>
  <c r="T50" i="32"/>
  <c r="AM49" i="32"/>
  <c r="AL49" i="32"/>
  <c r="AK49" i="32"/>
  <c r="AJ49" i="32"/>
  <c r="AI49" i="32"/>
  <c r="AH49" i="32"/>
  <c r="AG49" i="32"/>
  <c r="AF49" i="32"/>
  <c r="AE49" i="32"/>
  <c r="AD49" i="32"/>
  <c r="Y49" i="32"/>
  <c r="V49" i="32"/>
  <c r="T49" i="32"/>
  <c r="AM48" i="32"/>
  <c r="AL48" i="32"/>
  <c r="AK48" i="32"/>
  <c r="AJ48" i="32"/>
  <c r="AI48" i="32"/>
  <c r="AH48" i="32"/>
  <c r="AG48" i="32"/>
  <c r="AF48" i="32"/>
  <c r="AE48" i="32"/>
  <c r="AD48" i="32"/>
  <c r="Y48" i="32"/>
  <c r="V48" i="32"/>
  <c r="T48" i="32"/>
  <c r="AM47" i="32"/>
  <c r="AL47" i="32"/>
  <c r="AK47" i="32"/>
  <c r="AJ47" i="32"/>
  <c r="AI47" i="32"/>
  <c r="AH47" i="32"/>
  <c r="AG47" i="32"/>
  <c r="AF47" i="32"/>
  <c r="AE47" i="32"/>
  <c r="AD47" i="32"/>
  <c r="Y47" i="32"/>
  <c r="V47" i="32"/>
  <c r="T47" i="32"/>
  <c r="AM46" i="32"/>
  <c r="AL46" i="32"/>
  <c r="AK46" i="32"/>
  <c r="AJ46" i="32"/>
  <c r="AI46" i="32"/>
  <c r="AH46" i="32"/>
  <c r="AG46" i="32"/>
  <c r="AF46" i="32"/>
  <c r="AE46" i="32"/>
  <c r="AD46" i="32"/>
  <c r="Y46" i="32"/>
  <c r="V46" i="32"/>
  <c r="T46" i="32"/>
  <c r="AM45" i="32"/>
  <c r="AL45" i="32"/>
  <c r="AK45" i="32"/>
  <c r="AJ45" i="32"/>
  <c r="AI45" i="32"/>
  <c r="AH45" i="32"/>
  <c r="AG45" i="32"/>
  <c r="AF45" i="32"/>
  <c r="AE45" i="32"/>
  <c r="AD45" i="32"/>
  <c r="Y45" i="32"/>
  <c r="V45" i="32"/>
  <c r="T45" i="32"/>
  <c r="AM44" i="32"/>
  <c r="AL44" i="32"/>
  <c r="AK44" i="32"/>
  <c r="AJ44" i="32"/>
  <c r="AI44" i="32"/>
  <c r="AH44" i="32"/>
  <c r="AG44" i="32"/>
  <c r="AF44" i="32"/>
  <c r="AE44" i="32"/>
  <c r="AD44" i="32"/>
  <c r="Y44" i="32"/>
  <c r="V44" i="32"/>
  <c r="T44" i="32"/>
  <c r="AM43" i="32"/>
  <c r="AL43" i="32"/>
  <c r="AK43" i="32"/>
  <c r="AJ43" i="32"/>
  <c r="AI43" i="32"/>
  <c r="AH43" i="32"/>
  <c r="AG43" i="32"/>
  <c r="AF43" i="32"/>
  <c r="AE43" i="32"/>
  <c r="AD43" i="32"/>
  <c r="Y43" i="32"/>
  <c r="V43" i="32"/>
  <c r="T43" i="32"/>
  <c r="AM42" i="32"/>
  <c r="AL42" i="32"/>
  <c r="AK42" i="32"/>
  <c r="AJ42" i="32"/>
  <c r="AI42" i="32"/>
  <c r="AH42" i="32"/>
  <c r="AG42" i="32"/>
  <c r="AF42" i="32"/>
  <c r="AE42" i="32"/>
  <c r="AD42" i="32"/>
  <c r="Y42" i="32"/>
  <c r="V42" i="32"/>
  <c r="T42" i="32"/>
  <c r="AM41" i="32"/>
  <c r="AL41" i="32"/>
  <c r="AK41" i="32"/>
  <c r="AJ41" i="32"/>
  <c r="AI41" i="32"/>
  <c r="AH41" i="32"/>
  <c r="AG41" i="32"/>
  <c r="AF41" i="32"/>
  <c r="AE41" i="32"/>
  <c r="AD41" i="32"/>
  <c r="Y41" i="32"/>
  <c r="V41" i="32"/>
  <c r="T41" i="32"/>
  <c r="AM40" i="32"/>
  <c r="AL40" i="32"/>
  <c r="AK40" i="32"/>
  <c r="AJ40" i="32"/>
  <c r="AI40" i="32"/>
  <c r="AH40" i="32"/>
  <c r="AG40" i="32"/>
  <c r="AF40" i="32"/>
  <c r="AE40" i="32"/>
  <c r="AD40" i="32"/>
  <c r="Y40" i="32"/>
  <c r="V40" i="32"/>
  <c r="T40" i="32"/>
  <c r="AM39" i="32"/>
  <c r="AL39" i="32"/>
  <c r="AK39" i="32"/>
  <c r="AJ39" i="32"/>
  <c r="AI39" i="32"/>
  <c r="AH39" i="32"/>
  <c r="AG39" i="32"/>
  <c r="AF39" i="32"/>
  <c r="AE39" i="32"/>
  <c r="AD39" i="32"/>
  <c r="Y39" i="32"/>
  <c r="V39" i="32"/>
  <c r="T39" i="32"/>
  <c r="AM38" i="32"/>
  <c r="AL38" i="32"/>
  <c r="AK38" i="32"/>
  <c r="AJ38" i="32"/>
  <c r="AI38" i="32"/>
  <c r="AH38" i="32"/>
  <c r="AG38" i="32"/>
  <c r="AF38" i="32"/>
  <c r="AE38" i="32"/>
  <c r="AD38" i="32"/>
  <c r="Y38" i="32"/>
  <c r="V38" i="32"/>
  <c r="T38" i="32"/>
  <c r="AM37" i="32"/>
  <c r="AL37" i="32"/>
  <c r="AK37" i="32"/>
  <c r="AJ37" i="32"/>
  <c r="AI37" i="32"/>
  <c r="AH37" i="32"/>
  <c r="AG37" i="32"/>
  <c r="AF37" i="32"/>
  <c r="AE37" i="32"/>
  <c r="AD37" i="32"/>
  <c r="Y37" i="32"/>
  <c r="V37" i="32"/>
  <c r="T37" i="32"/>
  <c r="AM36" i="32"/>
  <c r="AL36" i="32"/>
  <c r="AK36" i="32"/>
  <c r="AJ36" i="32"/>
  <c r="AI36" i="32"/>
  <c r="AH36" i="32"/>
  <c r="AG36" i="32"/>
  <c r="AF36" i="32"/>
  <c r="AE36" i="32"/>
  <c r="AD36" i="32"/>
  <c r="Y36" i="32"/>
  <c r="V36" i="32"/>
  <c r="T36" i="32"/>
  <c r="AM35" i="32"/>
  <c r="AL35" i="32"/>
  <c r="AK35" i="32"/>
  <c r="AJ35" i="32"/>
  <c r="AI35" i="32"/>
  <c r="AH35" i="32"/>
  <c r="AG35" i="32"/>
  <c r="AF35" i="32"/>
  <c r="AE35" i="32"/>
  <c r="AD35" i="32"/>
  <c r="Y35" i="32"/>
  <c r="V35" i="32"/>
  <c r="T35" i="32"/>
  <c r="AM34" i="32"/>
  <c r="AL34" i="32"/>
  <c r="AK34" i="32"/>
  <c r="AJ34" i="32"/>
  <c r="AI34" i="32"/>
  <c r="AH34" i="32"/>
  <c r="AG34" i="32"/>
  <c r="AF34" i="32"/>
  <c r="AE34" i="32"/>
  <c r="AD34" i="32"/>
  <c r="Y34" i="32"/>
  <c r="V34" i="32"/>
  <c r="T34" i="32"/>
  <c r="AM33" i="32"/>
  <c r="AL33" i="32"/>
  <c r="AK33" i="32"/>
  <c r="AJ33" i="32"/>
  <c r="AI33" i="32"/>
  <c r="AH33" i="32"/>
  <c r="AG33" i="32"/>
  <c r="AF33" i="32"/>
  <c r="AE33" i="32"/>
  <c r="AD33" i="32"/>
  <c r="Y33" i="32"/>
  <c r="V33" i="32"/>
  <c r="T33" i="32"/>
  <c r="AM32" i="32"/>
  <c r="AL32" i="32"/>
  <c r="AK32" i="32"/>
  <c r="AJ32" i="32"/>
  <c r="AI32" i="32"/>
  <c r="AH32" i="32"/>
  <c r="AG32" i="32"/>
  <c r="AF32" i="32"/>
  <c r="AE32" i="32"/>
  <c r="AD32" i="32"/>
  <c r="Y32" i="32"/>
  <c r="V32" i="32"/>
  <c r="T32" i="32"/>
  <c r="AM31" i="32"/>
  <c r="AL31" i="32"/>
  <c r="AK31" i="32"/>
  <c r="AJ31" i="32"/>
  <c r="AI31" i="32"/>
  <c r="AH31" i="32"/>
  <c r="AG31" i="32"/>
  <c r="AF31" i="32"/>
  <c r="AE31" i="32"/>
  <c r="AD31" i="32"/>
  <c r="Y31" i="32"/>
  <c r="V31" i="32"/>
  <c r="T31" i="32"/>
  <c r="AM30" i="32"/>
  <c r="AL30" i="32"/>
  <c r="AK30" i="32"/>
  <c r="AJ30" i="32"/>
  <c r="AI30" i="32"/>
  <c r="AH30" i="32"/>
  <c r="AG30" i="32"/>
  <c r="AF30" i="32"/>
  <c r="AE30" i="32"/>
  <c r="AD30" i="32"/>
  <c r="Y30" i="32"/>
  <c r="V30" i="32"/>
  <c r="T30" i="32"/>
  <c r="AM29" i="32"/>
  <c r="AL29" i="32"/>
  <c r="AK29" i="32"/>
  <c r="AJ29" i="32"/>
  <c r="AI29" i="32"/>
  <c r="AH29" i="32"/>
  <c r="AG29" i="32"/>
  <c r="AF29" i="32"/>
  <c r="AE29" i="32"/>
  <c r="AD29" i="32"/>
  <c r="Y29" i="32"/>
  <c r="V29" i="32"/>
  <c r="T29" i="32"/>
  <c r="AM28" i="32"/>
  <c r="AL28" i="32"/>
  <c r="AK28" i="32"/>
  <c r="AJ28" i="32"/>
  <c r="AI28" i="32"/>
  <c r="AH28" i="32"/>
  <c r="AG28" i="32"/>
  <c r="AF28" i="32"/>
  <c r="AE28" i="32"/>
  <c r="AD28" i="32"/>
  <c r="Y28" i="32"/>
  <c r="V28" i="32"/>
  <c r="T28" i="32"/>
  <c r="AM27" i="32"/>
  <c r="AL27" i="32"/>
  <c r="AK27" i="32"/>
  <c r="AJ27" i="32"/>
  <c r="AI27" i="32"/>
  <c r="AH27" i="32"/>
  <c r="AG27" i="32"/>
  <c r="AF27" i="32"/>
  <c r="AE27" i="32"/>
  <c r="AD27" i="32"/>
  <c r="Y27" i="32"/>
  <c r="V27" i="32"/>
  <c r="T27" i="32"/>
  <c r="AM26" i="32"/>
  <c r="AL26" i="32"/>
  <c r="AK26" i="32"/>
  <c r="AJ26" i="32"/>
  <c r="AI26" i="32"/>
  <c r="AH26" i="32"/>
  <c r="AG26" i="32"/>
  <c r="AF26" i="32"/>
  <c r="AE26" i="32"/>
  <c r="AD26" i="32"/>
  <c r="Y26" i="32"/>
  <c r="V26" i="32"/>
  <c r="T26" i="32"/>
  <c r="AM25" i="32"/>
  <c r="AL25" i="32"/>
  <c r="AK25" i="32"/>
  <c r="AJ25" i="32"/>
  <c r="AI25" i="32"/>
  <c r="AH25" i="32"/>
  <c r="AG25" i="32"/>
  <c r="AF25" i="32"/>
  <c r="AE25" i="32"/>
  <c r="AD25" i="32"/>
  <c r="Y25" i="32"/>
  <c r="V25" i="32"/>
  <c r="T25" i="32"/>
  <c r="AM24" i="32"/>
  <c r="AL24" i="32"/>
  <c r="AK24" i="32"/>
  <c r="AJ24" i="32"/>
  <c r="AI24" i="32"/>
  <c r="AH24" i="32"/>
  <c r="AG24" i="32"/>
  <c r="AF24" i="32"/>
  <c r="AE24" i="32"/>
  <c r="AD24" i="32"/>
  <c r="Y24" i="32"/>
  <c r="V24" i="32"/>
  <c r="T24" i="32"/>
  <c r="AM23" i="32"/>
  <c r="AL23" i="32"/>
  <c r="AK23" i="32"/>
  <c r="AJ23" i="32"/>
  <c r="AI23" i="32"/>
  <c r="AH23" i="32"/>
  <c r="AG23" i="32"/>
  <c r="AF23" i="32"/>
  <c r="AE23" i="32"/>
  <c r="AD23" i="32"/>
  <c r="Y23" i="32"/>
  <c r="V23" i="32"/>
  <c r="T23" i="32"/>
  <c r="AM22" i="32"/>
  <c r="AL22" i="32"/>
  <c r="AK22" i="32"/>
  <c r="AJ22" i="32"/>
  <c r="AI22" i="32"/>
  <c r="AH22" i="32"/>
  <c r="AG22" i="32"/>
  <c r="AF22" i="32"/>
  <c r="AE22" i="32"/>
  <c r="AD22" i="32"/>
  <c r="Y22" i="32"/>
  <c r="V22" i="32"/>
  <c r="T22" i="32"/>
  <c r="AM21" i="32"/>
  <c r="AL21" i="32"/>
  <c r="AK21" i="32"/>
  <c r="AJ21" i="32"/>
  <c r="AI21" i="32"/>
  <c r="AH21" i="32"/>
  <c r="AG21" i="32"/>
  <c r="AF21" i="32"/>
  <c r="AE21" i="32"/>
  <c r="AD21" i="32"/>
  <c r="Y21" i="32"/>
  <c r="V21" i="32"/>
  <c r="T21" i="32"/>
  <c r="AM20" i="32"/>
  <c r="AL20" i="32"/>
  <c r="AK20" i="32"/>
  <c r="AJ20" i="32"/>
  <c r="AI20" i="32"/>
  <c r="AH20" i="32"/>
  <c r="AG20" i="32"/>
  <c r="AF20" i="32"/>
  <c r="AE20" i="32"/>
  <c r="AD20" i="32"/>
  <c r="Y20" i="32"/>
  <c r="V20" i="32"/>
  <c r="T20" i="32"/>
  <c r="AM19" i="32"/>
  <c r="AL19" i="32"/>
  <c r="AK19" i="32"/>
  <c r="AJ19" i="32"/>
  <c r="AI19" i="32"/>
  <c r="AH19" i="32"/>
  <c r="AG19" i="32"/>
  <c r="AF19" i="32"/>
  <c r="AE19" i="32"/>
  <c r="AD19" i="32"/>
  <c r="Y19" i="32"/>
  <c r="V19" i="32"/>
  <c r="T19" i="32"/>
  <c r="AM18" i="32"/>
  <c r="AL18" i="32"/>
  <c r="AK18" i="32"/>
  <c r="AJ18" i="32"/>
  <c r="AI18" i="32"/>
  <c r="AH18" i="32"/>
  <c r="AG18" i="32"/>
  <c r="AF18" i="32"/>
  <c r="AE18" i="32"/>
  <c r="AD18" i="32"/>
  <c r="Y18" i="32"/>
  <c r="V18" i="32"/>
  <c r="T18" i="32"/>
  <c r="AM17" i="32"/>
  <c r="AL17" i="32"/>
  <c r="AK17" i="32"/>
  <c r="AJ17" i="32"/>
  <c r="AI17" i="32"/>
  <c r="AH17" i="32"/>
  <c r="AG17" i="32"/>
  <c r="AF17" i="32"/>
  <c r="AE17" i="32"/>
  <c r="AD17" i="32"/>
  <c r="Y17" i="32"/>
  <c r="V17" i="32"/>
  <c r="T17" i="32"/>
  <c r="AM16" i="32"/>
  <c r="AL16" i="32"/>
  <c r="AK16" i="32"/>
  <c r="AJ16" i="32"/>
  <c r="AI16" i="32"/>
  <c r="AH16" i="32"/>
  <c r="AG16" i="32"/>
  <c r="AF16" i="32"/>
  <c r="AE16" i="32"/>
  <c r="AD16" i="32"/>
  <c r="Y16" i="32"/>
  <c r="V16" i="32"/>
  <c r="T16" i="32"/>
  <c r="AM15" i="32"/>
  <c r="AL15" i="32"/>
  <c r="AK15" i="32"/>
  <c r="AJ15" i="32"/>
  <c r="AI15" i="32"/>
  <c r="AH15" i="32"/>
  <c r="AG15" i="32"/>
  <c r="AF15" i="32"/>
  <c r="AE15" i="32"/>
  <c r="AD15" i="32"/>
  <c r="Y15" i="32"/>
  <c r="V15" i="32"/>
  <c r="T15" i="32"/>
  <c r="AM14" i="32"/>
  <c r="AL14" i="32"/>
  <c r="AK14" i="32"/>
  <c r="AJ14" i="32"/>
  <c r="AI14" i="32"/>
  <c r="AH14" i="32"/>
  <c r="AG14" i="32"/>
  <c r="AF14" i="32"/>
  <c r="AE14" i="32"/>
  <c r="AD14" i="32"/>
  <c r="Y14" i="32"/>
  <c r="V14" i="32"/>
  <c r="T14" i="32"/>
  <c r="AM13" i="32"/>
  <c r="AL13" i="32"/>
  <c r="AK13" i="32"/>
  <c r="AJ13" i="32"/>
  <c r="AI13" i="32"/>
  <c r="AH13" i="32"/>
  <c r="AG13" i="32"/>
  <c r="AF13" i="32"/>
  <c r="AE13" i="32"/>
  <c r="AD13" i="32"/>
  <c r="Y13" i="32"/>
  <c r="V13" i="32"/>
  <c r="T13" i="32"/>
  <c r="AM12" i="32"/>
  <c r="AL12" i="32"/>
  <c r="AK12" i="32"/>
  <c r="AJ12" i="32"/>
  <c r="AI12" i="32"/>
  <c r="AH12" i="32"/>
  <c r="AG12" i="32"/>
  <c r="AF12" i="32"/>
  <c r="AE12" i="32"/>
  <c r="AD12" i="32"/>
  <c r="Y12" i="32"/>
  <c r="V12" i="32"/>
  <c r="T12" i="32"/>
  <c r="A12" i="32"/>
  <c r="AM11" i="32"/>
  <c r="AL11" i="32"/>
  <c r="AK11" i="32"/>
  <c r="AJ11" i="32"/>
  <c r="AI11" i="32"/>
  <c r="AH11" i="32"/>
  <c r="AG11" i="32"/>
  <c r="AF11" i="32"/>
  <c r="AE11" i="32"/>
  <c r="AD11" i="32"/>
  <c r="Y11" i="32"/>
  <c r="V11" i="32"/>
  <c r="T11" i="32"/>
  <c r="AM10" i="32"/>
  <c r="AL10" i="32"/>
  <c r="AK10" i="32"/>
  <c r="AJ10" i="32"/>
  <c r="AI10" i="32"/>
  <c r="AH10" i="32"/>
  <c r="AG10" i="32"/>
  <c r="AF10" i="32"/>
  <c r="AE10" i="32"/>
  <c r="AD10" i="32"/>
  <c r="Y10" i="32"/>
  <c r="V10" i="32"/>
  <c r="T10" i="32"/>
  <c r="A10" i="32"/>
  <c r="AM9" i="32"/>
  <c r="AL9" i="32"/>
  <c r="AK9" i="32"/>
  <c r="AJ9" i="32"/>
  <c r="AI9" i="32"/>
  <c r="AH9" i="32"/>
  <c r="AG9" i="32"/>
  <c r="AF9" i="32"/>
  <c r="AE9" i="32"/>
  <c r="AD9" i="32"/>
  <c r="Y9" i="32"/>
  <c r="V9" i="32"/>
  <c r="T9" i="32"/>
  <c r="AM8" i="32"/>
  <c r="AL8" i="32"/>
  <c r="AK8" i="32"/>
  <c r="AJ8" i="32"/>
  <c r="AI8" i="32"/>
  <c r="AH8" i="32"/>
  <c r="AG8" i="32"/>
  <c r="AF8" i="32"/>
  <c r="AE8" i="32"/>
  <c r="AD8" i="32"/>
  <c r="Y8" i="32"/>
  <c r="V8" i="32"/>
  <c r="T8" i="32"/>
  <c r="AM7" i="32"/>
  <c r="AL7" i="32"/>
  <c r="AK7" i="32"/>
  <c r="AJ7" i="32"/>
  <c r="AI7" i="32"/>
  <c r="AH7" i="32"/>
  <c r="AG7" i="32"/>
  <c r="AF7" i="32"/>
  <c r="AD7" i="32"/>
  <c r="AN7" i="32" s="1"/>
  <c r="Y7" i="32"/>
  <c r="V7" i="32"/>
  <c r="T7" i="32"/>
  <c r="AM6" i="32"/>
  <c r="AL6" i="32"/>
  <c r="AK6" i="32"/>
  <c r="AJ6" i="32"/>
  <c r="AI6" i="32"/>
  <c r="AH6" i="32"/>
  <c r="AG6" i="32"/>
  <c r="AF6" i="32"/>
  <c r="AD6" i="32"/>
  <c r="AN6" i="32" s="1"/>
  <c r="Y6" i="32"/>
  <c r="V6" i="32"/>
  <c r="T6" i="32"/>
  <c r="AM5" i="32"/>
  <c r="AL5" i="32"/>
  <c r="AK5" i="32"/>
  <c r="AJ5" i="32"/>
  <c r="AI5" i="32"/>
  <c r="AH5" i="32"/>
  <c r="AG5" i="32"/>
  <c r="AF5" i="32"/>
  <c r="AD5" i="32"/>
  <c r="AN5" i="32" s="1"/>
  <c r="Y5" i="32"/>
  <c r="V5" i="32"/>
  <c r="T5" i="32"/>
  <c r="F1" i="32"/>
  <c r="AM59" i="31"/>
  <c r="AK59" i="31"/>
  <c r="AF59" i="31"/>
  <c r="AG59" i="31" s="1"/>
  <c r="Y59" i="31"/>
  <c r="V59" i="31"/>
  <c r="T59" i="31"/>
  <c r="AD59" i="31" s="1"/>
  <c r="AM58" i="31"/>
  <c r="AK58" i="31"/>
  <c r="AF58" i="31"/>
  <c r="AG58" i="31" s="1"/>
  <c r="Y58" i="31"/>
  <c r="V58" i="31"/>
  <c r="T58" i="31"/>
  <c r="AD58" i="31" s="1"/>
  <c r="AK57" i="31"/>
  <c r="AF57" i="31"/>
  <c r="AG57" i="31" s="1"/>
  <c r="Y57" i="31"/>
  <c r="V57" i="31"/>
  <c r="T57" i="31"/>
  <c r="AE57" i="31" s="1"/>
  <c r="AK56" i="31"/>
  <c r="AF56" i="31"/>
  <c r="AG56" i="31" s="1"/>
  <c r="Y56" i="31"/>
  <c r="V56" i="31"/>
  <c r="T56" i="31"/>
  <c r="AE56" i="31" s="1"/>
  <c r="AK55" i="31"/>
  <c r="AF55" i="31"/>
  <c r="AG55" i="31" s="1"/>
  <c r="Y55" i="31"/>
  <c r="V55" i="31"/>
  <c r="T55" i="31"/>
  <c r="AE55" i="31" s="1"/>
  <c r="AM54" i="31"/>
  <c r="AK54" i="31"/>
  <c r="AF54" i="31"/>
  <c r="AG54" i="31" s="1"/>
  <c r="Y54" i="31"/>
  <c r="V54" i="31"/>
  <c r="T54" i="31"/>
  <c r="AH54" i="31" s="1"/>
  <c r="AI54" i="31" s="1"/>
  <c r="AM53" i="31"/>
  <c r="AK53" i="31"/>
  <c r="AF53" i="31"/>
  <c r="AG53" i="31" s="1"/>
  <c r="AJ53" i="31" s="1"/>
  <c r="Y53" i="31"/>
  <c r="V53" i="31"/>
  <c r="T53" i="31"/>
  <c r="AH53" i="31" s="1"/>
  <c r="AI53" i="31" s="1"/>
  <c r="AM52" i="31"/>
  <c r="AK52" i="31"/>
  <c r="AF52" i="31"/>
  <c r="AG52" i="31" s="1"/>
  <c r="Y52" i="31"/>
  <c r="V52" i="31"/>
  <c r="T52" i="31"/>
  <c r="AH52" i="31" s="1"/>
  <c r="AI52" i="31" s="1"/>
  <c r="AK51" i="31"/>
  <c r="AF51" i="31"/>
  <c r="AG51" i="31" s="1"/>
  <c r="Y51" i="31"/>
  <c r="V51" i="31"/>
  <c r="T51" i="31"/>
  <c r="AD51" i="31" s="1"/>
  <c r="AK50" i="31"/>
  <c r="AF50" i="31"/>
  <c r="AG50" i="31" s="1"/>
  <c r="AE50" i="31"/>
  <c r="Y50" i="31"/>
  <c r="V50" i="31"/>
  <c r="T50" i="31"/>
  <c r="AH50" i="31" s="1"/>
  <c r="AI50" i="31" s="1"/>
  <c r="AK49" i="31"/>
  <c r="AF49" i="31"/>
  <c r="AG49" i="31" s="1"/>
  <c r="Y49" i="31"/>
  <c r="V49" i="31"/>
  <c r="T49" i="31"/>
  <c r="AM49" i="31" s="1"/>
  <c r="AK48" i="31"/>
  <c r="AF48" i="31"/>
  <c r="AG48" i="31" s="1"/>
  <c r="Y48" i="31"/>
  <c r="V48" i="31"/>
  <c r="T48" i="31"/>
  <c r="AM48" i="31" s="1"/>
  <c r="AK47" i="31"/>
  <c r="AF47" i="31"/>
  <c r="AG47" i="31" s="1"/>
  <c r="AD47" i="31"/>
  <c r="Y47" i="31"/>
  <c r="V47" i="31"/>
  <c r="T47" i="31"/>
  <c r="AM47" i="31" s="1"/>
  <c r="AK46" i="31"/>
  <c r="AF46" i="31"/>
  <c r="AG46" i="31" s="1"/>
  <c r="Y46" i="31"/>
  <c r="V46" i="31"/>
  <c r="T46" i="31"/>
  <c r="AD46" i="31" s="1"/>
  <c r="AK45" i="31"/>
  <c r="AF45" i="31"/>
  <c r="AG45" i="31" s="1"/>
  <c r="Y45" i="31"/>
  <c r="V45" i="31"/>
  <c r="T45" i="31"/>
  <c r="AE45" i="31" s="1"/>
  <c r="AK44" i="31"/>
  <c r="AF44" i="31"/>
  <c r="AG44" i="31" s="1"/>
  <c r="Y44" i="31"/>
  <c r="V44" i="31"/>
  <c r="T44" i="31"/>
  <c r="AE44" i="31" s="1"/>
  <c r="AK43" i="31"/>
  <c r="AF43" i="31"/>
  <c r="AG43" i="31" s="1"/>
  <c r="Y43" i="31"/>
  <c r="V43" i="31"/>
  <c r="T43" i="31"/>
  <c r="AE43" i="31" s="1"/>
  <c r="AK42" i="31"/>
  <c r="AF42" i="31"/>
  <c r="AG42" i="31" s="1"/>
  <c r="Y42" i="31"/>
  <c r="V42" i="31"/>
  <c r="T42" i="31"/>
  <c r="AH42" i="31" s="1"/>
  <c r="AI42" i="31" s="1"/>
  <c r="AM41" i="31"/>
  <c r="AK41" i="31"/>
  <c r="AF41" i="31"/>
  <c r="AG41" i="31" s="1"/>
  <c r="Y41" i="31"/>
  <c r="V41" i="31"/>
  <c r="T41" i="31"/>
  <c r="AH41" i="31" s="1"/>
  <c r="AI41" i="31" s="1"/>
  <c r="AK40" i="31"/>
  <c r="AF40" i="31"/>
  <c r="AG40" i="31" s="1"/>
  <c r="Y40" i="31"/>
  <c r="V40" i="31"/>
  <c r="T40" i="31"/>
  <c r="AM40" i="31" s="1"/>
  <c r="AM39" i="31"/>
  <c r="AK39" i="31"/>
  <c r="AF39" i="31"/>
  <c r="AG39" i="31" s="1"/>
  <c r="Y39" i="31"/>
  <c r="V39" i="31"/>
  <c r="T39" i="31"/>
  <c r="AH39" i="31" s="1"/>
  <c r="AI39" i="31" s="1"/>
  <c r="AK38" i="31"/>
  <c r="AF38" i="31"/>
  <c r="AG38" i="31" s="1"/>
  <c r="Y38" i="31"/>
  <c r="V38" i="31"/>
  <c r="T38" i="31"/>
  <c r="AH38" i="31" s="1"/>
  <c r="AI38" i="31" s="1"/>
  <c r="AK37" i="31"/>
  <c r="AF37" i="31"/>
  <c r="AG37" i="31" s="1"/>
  <c r="AE37" i="31"/>
  <c r="AD37" i="31"/>
  <c r="Y37" i="31"/>
  <c r="V37" i="31"/>
  <c r="T37" i="31"/>
  <c r="AM37" i="31" s="1"/>
  <c r="AK36" i="31"/>
  <c r="AF36" i="31"/>
  <c r="AG36" i="31" s="1"/>
  <c r="Y36" i="31"/>
  <c r="V36" i="31"/>
  <c r="T36" i="31"/>
  <c r="AM36" i="31" s="1"/>
  <c r="AK35" i="31"/>
  <c r="AH35" i="31"/>
  <c r="AI35" i="31" s="1"/>
  <c r="AF35" i="31"/>
  <c r="AG35" i="31" s="1"/>
  <c r="Y35" i="31"/>
  <c r="V35" i="31"/>
  <c r="T35" i="31"/>
  <c r="AM35" i="31" s="1"/>
  <c r="AK34" i="31"/>
  <c r="AF34" i="31"/>
  <c r="AG34" i="31" s="1"/>
  <c r="Y34" i="31"/>
  <c r="V34" i="31"/>
  <c r="T34" i="31"/>
  <c r="AD34" i="31" s="1"/>
  <c r="AK33" i="31"/>
  <c r="AH33" i="31"/>
  <c r="AI33" i="31" s="1"/>
  <c r="AF33" i="31"/>
  <c r="AG33" i="31" s="1"/>
  <c r="AJ33" i="31" s="1"/>
  <c r="Y33" i="31"/>
  <c r="V33" i="31"/>
  <c r="T33" i="31"/>
  <c r="AE33" i="31" s="1"/>
  <c r="AK32" i="31"/>
  <c r="AF32" i="31"/>
  <c r="AG32" i="31" s="1"/>
  <c r="Y32" i="31"/>
  <c r="V32" i="31"/>
  <c r="T32" i="31"/>
  <c r="AE32" i="31" s="1"/>
  <c r="AK31" i="31"/>
  <c r="AF31" i="31"/>
  <c r="AG31" i="31" s="1"/>
  <c r="Y31" i="31"/>
  <c r="V31" i="31"/>
  <c r="T31" i="31"/>
  <c r="AE31" i="31" s="1"/>
  <c r="AM30" i="31"/>
  <c r="AK30" i="31"/>
  <c r="AF30" i="31"/>
  <c r="AG30" i="31" s="1"/>
  <c r="Y30" i="31"/>
  <c r="V30" i="31"/>
  <c r="T30" i="31"/>
  <c r="AH30" i="31" s="1"/>
  <c r="AI30" i="31" s="1"/>
  <c r="AM29" i="31"/>
  <c r="AK29" i="31"/>
  <c r="AF29" i="31"/>
  <c r="AG29" i="31" s="1"/>
  <c r="Y29" i="31"/>
  <c r="V29" i="31"/>
  <c r="T29" i="31"/>
  <c r="AH29" i="31" s="1"/>
  <c r="AI29" i="31" s="1"/>
  <c r="AM28" i="31"/>
  <c r="AL28" i="31"/>
  <c r="AK28" i="31"/>
  <c r="AJ28" i="31"/>
  <c r="AI28" i="31"/>
  <c r="AH28" i="31"/>
  <c r="AG28" i="31"/>
  <c r="AF28" i="31"/>
  <c r="AE28" i="31"/>
  <c r="AD28" i="31"/>
  <c r="Y28" i="31"/>
  <c r="V28" i="31"/>
  <c r="T28" i="31"/>
  <c r="AM27" i="31"/>
  <c r="AL27" i="31"/>
  <c r="AK27" i="31"/>
  <c r="AJ27" i="31"/>
  <c r="AI27" i="31"/>
  <c r="AH27" i="31"/>
  <c r="AG27" i="31"/>
  <c r="AF27" i="31"/>
  <c r="AE27" i="31"/>
  <c r="AD27" i="31"/>
  <c r="Y27" i="31"/>
  <c r="V27" i="31"/>
  <c r="T27" i="31"/>
  <c r="AM26" i="31"/>
  <c r="AL26" i="31"/>
  <c r="AK26" i="31"/>
  <c r="AJ26" i="31"/>
  <c r="AI26" i="31"/>
  <c r="AH26" i="31"/>
  <c r="AG26" i="31"/>
  <c r="AF26" i="31"/>
  <c r="AE26" i="31"/>
  <c r="AD26" i="31"/>
  <c r="Y26" i="31"/>
  <c r="V26" i="31"/>
  <c r="T26" i="31"/>
  <c r="AM25" i="31"/>
  <c r="AL25" i="31"/>
  <c r="AK25" i="31"/>
  <c r="AJ25" i="31"/>
  <c r="AI25" i="31"/>
  <c r="AH25" i="31"/>
  <c r="AG25" i="31"/>
  <c r="AF25" i="31"/>
  <c r="AE25" i="31"/>
  <c r="AD25" i="31"/>
  <c r="Y25" i="31"/>
  <c r="V25" i="31"/>
  <c r="T25" i="31"/>
  <c r="AM24" i="31"/>
  <c r="AL24" i="31"/>
  <c r="AK24" i="31"/>
  <c r="AJ24" i="31"/>
  <c r="AI24" i="31"/>
  <c r="AH24" i="31"/>
  <c r="AG24" i="31"/>
  <c r="AF24" i="31"/>
  <c r="AE24" i="31"/>
  <c r="AD24" i="31"/>
  <c r="Y24" i="31"/>
  <c r="V24" i="31"/>
  <c r="T24" i="31"/>
  <c r="AM23" i="31"/>
  <c r="AL23" i="31"/>
  <c r="AK23" i="31"/>
  <c r="AJ23" i="31"/>
  <c r="AI23" i="31"/>
  <c r="AH23" i="31"/>
  <c r="AG23" i="31"/>
  <c r="AF23" i="31"/>
  <c r="AE23" i="31"/>
  <c r="AD23" i="31"/>
  <c r="Y23" i="31"/>
  <c r="V23" i="31"/>
  <c r="T23" i="31"/>
  <c r="AM22" i="31"/>
  <c r="AL22" i="31"/>
  <c r="AK22" i="31"/>
  <c r="AJ22" i="31"/>
  <c r="AI22" i="31"/>
  <c r="AH22" i="31"/>
  <c r="AG22" i="31"/>
  <c r="AF22" i="31"/>
  <c r="AE22" i="31"/>
  <c r="AD22" i="31"/>
  <c r="Y22" i="31"/>
  <c r="V22" i="31"/>
  <c r="T22" i="31"/>
  <c r="AM21" i="31"/>
  <c r="AL21" i="31"/>
  <c r="AK21" i="31"/>
  <c r="AJ21" i="31"/>
  <c r="AI21" i="31"/>
  <c r="AH21" i="31"/>
  <c r="AG21" i="31"/>
  <c r="AF21" i="31"/>
  <c r="AE21" i="31"/>
  <c r="AD21" i="31"/>
  <c r="Y21" i="31"/>
  <c r="V21" i="31"/>
  <c r="T21" i="31"/>
  <c r="AM20" i="31"/>
  <c r="AL20" i="31"/>
  <c r="AK20" i="31"/>
  <c r="AJ20" i="31"/>
  <c r="AI20" i="31"/>
  <c r="AH20" i="31"/>
  <c r="AG20" i="31"/>
  <c r="AF20" i="31"/>
  <c r="AE20" i="31"/>
  <c r="AD20" i="31"/>
  <c r="AN20" i="31" s="1"/>
  <c r="Y20" i="31"/>
  <c r="V20" i="31"/>
  <c r="T20" i="31"/>
  <c r="AM19" i="31"/>
  <c r="AL19" i="31"/>
  <c r="AK19" i="31"/>
  <c r="AJ19" i="31"/>
  <c r="AI19" i="31"/>
  <c r="AH19" i="31"/>
  <c r="AG19" i="31"/>
  <c r="AF19" i="31"/>
  <c r="AE19" i="31"/>
  <c r="AN19" i="31" s="1"/>
  <c r="AD19" i="31"/>
  <c r="Y19" i="31"/>
  <c r="V19" i="31"/>
  <c r="T19" i="31"/>
  <c r="AM18" i="31"/>
  <c r="AL18" i="31"/>
  <c r="AK18" i="31"/>
  <c r="AJ18" i="31"/>
  <c r="AI18" i="31"/>
  <c r="AH18" i="31"/>
  <c r="AG18" i="31"/>
  <c r="AF18" i="31"/>
  <c r="AE18" i="31"/>
  <c r="AD18" i="31"/>
  <c r="Y18" i="31"/>
  <c r="V18" i="31"/>
  <c r="T18" i="31"/>
  <c r="AM17" i="31"/>
  <c r="AL17" i="31"/>
  <c r="AK17" i="31"/>
  <c r="AJ17" i="31"/>
  <c r="AI17" i="31"/>
  <c r="AH17" i="31"/>
  <c r="AG17" i="31"/>
  <c r="AF17" i="31"/>
  <c r="AE17" i="31"/>
  <c r="AD17" i="31"/>
  <c r="Y17" i="31"/>
  <c r="V17" i="31"/>
  <c r="T17" i="31"/>
  <c r="AM16" i="31"/>
  <c r="AL16" i="31"/>
  <c r="AK16" i="31"/>
  <c r="AJ16" i="31"/>
  <c r="AI16" i="31"/>
  <c r="AH16" i="31"/>
  <c r="AG16" i="31"/>
  <c r="AF16" i="31"/>
  <c r="AE16" i="31"/>
  <c r="AD16" i="31"/>
  <c r="Y16" i="31"/>
  <c r="V16" i="31"/>
  <c r="T16" i="31"/>
  <c r="AM15" i="31"/>
  <c r="AL15" i="31"/>
  <c r="AK15" i="31"/>
  <c r="AJ15" i="31"/>
  <c r="AI15" i="31"/>
  <c r="AH15" i="31"/>
  <c r="AG15" i="31"/>
  <c r="AF15" i="31"/>
  <c r="AE15" i="31"/>
  <c r="AD15" i="31"/>
  <c r="Y15" i="31"/>
  <c r="V15" i="31"/>
  <c r="T15" i="31"/>
  <c r="AM14" i="31"/>
  <c r="AL14" i="31"/>
  <c r="AK14" i="31"/>
  <c r="AJ14" i="31"/>
  <c r="AI14" i="31"/>
  <c r="AH14" i="31"/>
  <c r="AG14" i="31"/>
  <c r="AF14" i="31"/>
  <c r="AE14" i="31"/>
  <c r="AD14" i="31"/>
  <c r="Y14" i="31"/>
  <c r="V14" i="31"/>
  <c r="T14" i="31"/>
  <c r="AM13" i="31"/>
  <c r="AL13" i="31"/>
  <c r="AK13" i="31"/>
  <c r="AJ13" i="31"/>
  <c r="AI13" i="31"/>
  <c r="AH13" i="31"/>
  <c r="AG13" i="31"/>
  <c r="AF13" i="31"/>
  <c r="AE13" i="31"/>
  <c r="AD13" i="31"/>
  <c r="Y13" i="31"/>
  <c r="V13" i="31"/>
  <c r="T13" i="31"/>
  <c r="AM12" i="31"/>
  <c r="AL12" i="31"/>
  <c r="AK12" i="31"/>
  <c r="AJ12" i="31"/>
  <c r="AI12" i="31"/>
  <c r="AH12" i="31"/>
  <c r="AG12" i="31"/>
  <c r="AF12" i="31"/>
  <c r="AE12" i="31"/>
  <c r="AD12" i="31"/>
  <c r="Y12" i="31"/>
  <c r="V12" i="31"/>
  <c r="T12" i="31"/>
  <c r="A12" i="31"/>
  <c r="AM11" i="31"/>
  <c r="AL11" i="31"/>
  <c r="AK11" i="31"/>
  <c r="AJ11" i="31"/>
  <c r="AI11" i="31"/>
  <c r="AH11" i="31"/>
  <c r="AG11" i="31"/>
  <c r="AF11" i="31"/>
  <c r="AE11" i="31"/>
  <c r="AD11" i="31"/>
  <c r="Y11" i="31"/>
  <c r="V11" i="31"/>
  <c r="T11" i="31"/>
  <c r="AM10" i="31"/>
  <c r="AL10" i="31"/>
  <c r="AK10" i="31"/>
  <c r="AJ10" i="31"/>
  <c r="AI10" i="31"/>
  <c r="AH10" i="31"/>
  <c r="AG10" i="31"/>
  <c r="AF10" i="31"/>
  <c r="AE10" i="31"/>
  <c r="AD10" i="31"/>
  <c r="AN10" i="31" s="1"/>
  <c r="Y10" i="31"/>
  <c r="V10" i="31"/>
  <c r="T10" i="31"/>
  <c r="A10" i="31"/>
  <c r="W13" i="31" s="1"/>
  <c r="AM9" i="31"/>
  <c r="AL9" i="31"/>
  <c r="AK9" i="31"/>
  <c r="AJ9" i="31"/>
  <c r="AI9" i="31"/>
  <c r="AH9" i="31"/>
  <c r="AG9" i="31"/>
  <c r="AF9" i="31"/>
  <c r="AE9" i="31"/>
  <c r="AD9" i="31"/>
  <c r="Y9" i="31"/>
  <c r="W9" i="31"/>
  <c r="V9" i="31"/>
  <c r="T9" i="31"/>
  <c r="AM8" i="31"/>
  <c r="AL8" i="31"/>
  <c r="AK8" i="31"/>
  <c r="AJ8" i="31"/>
  <c r="AI8" i="31"/>
  <c r="AH8" i="31"/>
  <c r="AG8" i="31"/>
  <c r="AF8" i="31"/>
  <c r="AD8" i="31"/>
  <c r="AN8" i="31" s="1"/>
  <c r="Y8" i="31"/>
  <c r="V8" i="31"/>
  <c r="T8" i="31"/>
  <c r="AM7" i="31"/>
  <c r="AL7" i="31"/>
  <c r="AK7" i="31"/>
  <c r="AJ7" i="31"/>
  <c r="AI7" i="31"/>
  <c r="AH7" i="31"/>
  <c r="AG7" i="31"/>
  <c r="AF7" i="31"/>
  <c r="AD7" i="31"/>
  <c r="AN7" i="31" s="1"/>
  <c r="Y7" i="31"/>
  <c r="V7" i="31"/>
  <c r="T7" i="31"/>
  <c r="AM6" i="31"/>
  <c r="AL6" i="31"/>
  <c r="AK6" i="31"/>
  <c r="AJ6" i="31"/>
  <c r="AI6" i="31"/>
  <c r="AH6" i="31"/>
  <c r="AG6" i="31"/>
  <c r="AF6" i="31"/>
  <c r="AD6" i="31"/>
  <c r="AN6" i="31" s="1"/>
  <c r="Y6" i="31"/>
  <c r="V6" i="31"/>
  <c r="T6" i="31"/>
  <c r="A6" i="31"/>
  <c r="AM5" i="31"/>
  <c r="AL5" i="31"/>
  <c r="AK5" i="31"/>
  <c r="AJ5" i="31"/>
  <c r="AI5" i="31"/>
  <c r="AH5" i="31"/>
  <c r="AG5" i="31"/>
  <c r="AF5" i="31"/>
  <c r="AD5" i="31"/>
  <c r="AN5" i="31" s="1"/>
  <c r="Y5" i="31"/>
  <c r="V5" i="31"/>
  <c r="T5" i="31"/>
  <c r="F1" i="31"/>
  <c r="AK24" i="30"/>
  <c r="AF24" i="30"/>
  <c r="AG24" i="30" s="1"/>
  <c r="Y24" i="30"/>
  <c r="V24" i="30"/>
  <c r="T24" i="30"/>
  <c r="AE24" i="30" s="1"/>
  <c r="AK23" i="30"/>
  <c r="AF23" i="30"/>
  <c r="AG23" i="30" s="1"/>
  <c r="AE23" i="30"/>
  <c r="Y23" i="30"/>
  <c r="V23" i="30"/>
  <c r="T23" i="30"/>
  <c r="AD23" i="30" s="1"/>
  <c r="AK22" i="30"/>
  <c r="AF22" i="30"/>
  <c r="AG22" i="30" s="1"/>
  <c r="Y22" i="30"/>
  <c r="V22" i="30"/>
  <c r="T22" i="30"/>
  <c r="AE22" i="30" s="1"/>
  <c r="AK21" i="30"/>
  <c r="AF21" i="30"/>
  <c r="AG21" i="30" s="1"/>
  <c r="Y21" i="30"/>
  <c r="V21" i="30"/>
  <c r="T21" i="30"/>
  <c r="AH21" i="30" s="1"/>
  <c r="AI21" i="30" s="1"/>
  <c r="AK20" i="30"/>
  <c r="AF20" i="30"/>
  <c r="AG20" i="30" s="1"/>
  <c r="Y20" i="30"/>
  <c r="A14" i="30" s="1"/>
  <c r="V20" i="30"/>
  <c r="T20" i="30"/>
  <c r="AH20" i="30" s="1"/>
  <c r="AI20" i="30" s="1"/>
  <c r="AM19" i="30"/>
  <c r="AL19" i="30"/>
  <c r="AK19" i="30"/>
  <c r="AJ19" i="30"/>
  <c r="AI19" i="30"/>
  <c r="AH19" i="30"/>
  <c r="AG19" i="30"/>
  <c r="AF19" i="30"/>
  <c r="AE19" i="30"/>
  <c r="AD19" i="30"/>
  <c r="Y19" i="30"/>
  <c r="V19" i="30"/>
  <c r="T19" i="30"/>
  <c r="AM18" i="30"/>
  <c r="AL18" i="30"/>
  <c r="AK18" i="30"/>
  <c r="AJ18" i="30"/>
  <c r="AI18" i="30"/>
  <c r="AH18" i="30"/>
  <c r="AG18" i="30"/>
  <c r="AF18" i="30"/>
  <c r="AE18" i="30"/>
  <c r="AD18" i="30"/>
  <c r="Y18" i="30"/>
  <c r="V18" i="30"/>
  <c r="T18" i="30"/>
  <c r="AM17" i="30"/>
  <c r="AL17" i="30"/>
  <c r="AK17" i="30"/>
  <c r="AJ17" i="30"/>
  <c r="AI17" i="30"/>
  <c r="AH17" i="30"/>
  <c r="AG17" i="30"/>
  <c r="AF17" i="30"/>
  <c r="AE17" i="30"/>
  <c r="AD17" i="30"/>
  <c r="Y17" i="30"/>
  <c r="V17" i="30"/>
  <c r="T17" i="30"/>
  <c r="AM16" i="30"/>
  <c r="AL16" i="30"/>
  <c r="AK16" i="30"/>
  <c r="AJ16" i="30"/>
  <c r="AI16" i="30"/>
  <c r="AH16" i="30"/>
  <c r="AG16" i="30"/>
  <c r="AF16" i="30"/>
  <c r="AE16" i="30"/>
  <c r="AD16" i="30"/>
  <c r="Y16" i="30"/>
  <c r="V16" i="30"/>
  <c r="T16" i="30"/>
  <c r="AM15" i="30"/>
  <c r="AL15" i="30"/>
  <c r="AK15" i="30"/>
  <c r="AJ15" i="30"/>
  <c r="AI15" i="30"/>
  <c r="AH15" i="30"/>
  <c r="AG15" i="30"/>
  <c r="AF15" i="30"/>
  <c r="AE15" i="30"/>
  <c r="AD15" i="30"/>
  <c r="Y15" i="30"/>
  <c r="V15" i="30"/>
  <c r="T15" i="30"/>
  <c r="AM14" i="30"/>
  <c r="AL14" i="30"/>
  <c r="AK14" i="30"/>
  <c r="AJ14" i="30"/>
  <c r="AI14" i="30"/>
  <c r="AH14" i="30"/>
  <c r="AG14" i="30"/>
  <c r="AF14" i="30"/>
  <c r="AE14" i="30"/>
  <c r="AD14" i="30"/>
  <c r="AN14" i="30" s="1"/>
  <c r="Y14" i="30"/>
  <c r="V14" i="30"/>
  <c r="T14" i="30"/>
  <c r="AM13" i="30"/>
  <c r="AL13" i="30"/>
  <c r="AK13" i="30"/>
  <c r="AJ13" i="30"/>
  <c r="AI13" i="30"/>
  <c r="AH13" i="30"/>
  <c r="AG13" i="30"/>
  <c r="AF13" i="30"/>
  <c r="AE13" i="30"/>
  <c r="AD13" i="30"/>
  <c r="Y13" i="30"/>
  <c r="V13" i="30"/>
  <c r="T13" i="30"/>
  <c r="AM12" i="30"/>
  <c r="AL12" i="30"/>
  <c r="AK12" i="30"/>
  <c r="AJ12" i="30"/>
  <c r="AI12" i="30"/>
  <c r="AH12" i="30"/>
  <c r="AG12" i="30"/>
  <c r="AF12" i="30"/>
  <c r="AE12" i="30"/>
  <c r="AD12" i="30"/>
  <c r="AN12" i="30" s="1"/>
  <c r="Y12" i="30"/>
  <c r="V12" i="30"/>
  <c r="T12" i="30"/>
  <c r="A12" i="30"/>
  <c r="AM11" i="30"/>
  <c r="AL11" i="30"/>
  <c r="AK11" i="30"/>
  <c r="AJ11" i="30"/>
  <c r="AI11" i="30"/>
  <c r="AH11" i="30"/>
  <c r="AG11" i="30"/>
  <c r="AF11" i="30"/>
  <c r="AE11" i="30"/>
  <c r="AN11" i="30" s="1"/>
  <c r="AD11" i="30"/>
  <c r="Y11" i="30"/>
  <c r="V11" i="30"/>
  <c r="T11" i="30"/>
  <c r="AM10" i="30"/>
  <c r="AL10" i="30"/>
  <c r="AK10" i="30"/>
  <c r="AJ10" i="30"/>
  <c r="AI10" i="30"/>
  <c r="AH10" i="30"/>
  <c r="AG10" i="30"/>
  <c r="AF10" i="30"/>
  <c r="AE10" i="30"/>
  <c r="AD10" i="30"/>
  <c r="Y10" i="30"/>
  <c r="V10" i="30"/>
  <c r="T10" i="30"/>
  <c r="A10" i="30"/>
  <c r="W13" i="30" s="1"/>
  <c r="AM9" i="30"/>
  <c r="AL9" i="30"/>
  <c r="AK9" i="30"/>
  <c r="AJ9" i="30"/>
  <c r="AI9" i="30"/>
  <c r="AH9" i="30"/>
  <c r="AG9" i="30"/>
  <c r="AF9" i="30"/>
  <c r="AE9" i="30"/>
  <c r="AD9" i="30"/>
  <c r="AN9" i="30" s="1"/>
  <c r="Y9" i="30"/>
  <c r="W9" i="30"/>
  <c r="V9" i="30"/>
  <c r="T9" i="30"/>
  <c r="AM8" i="30"/>
  <c r="AL8" i="30"/>
  <c r="AK8" i="30"/>
  <c r="AJ8" i="30"/>
  <c r="AI8" i="30"/>
  <c r="AH8" i="30"/>
  <c r="AG8" i="30"/>
  <c r="AF8" i="30"/>
  <c r="AD8" i="30"/>
  <c r="AN8" i="30" s="1"/>
  <c r="Y8" i="30"/>
  <c r="V8" i="30"/>
  <c r="T8" i="30"/>
  <c r="AM7" i="30"/>
  <c r="AL7" i="30"/>
  <c r="AK7" i="30"/>
  <c r="AJ7" i="30"/>
  <c r="AI7" i="30"/>
  <c r="AH7" i="30"/>
  <c r="AG7" i="30"/>
  <c r="AF7" i="30"/>
  <c r="AD7" i="30"/>
  <c r="AN7" i="30" s="1"/>
  <c r="Y7" i="30"/>
  <c r="V7" i="30"/>
  <c r="T7" i="30"/>
  <c r="AM6" i="30"/>
  <c r="AL6" i="30"/>
  <c r="AK6" i="30"/>
  <c r="AJ6" i="30"/>
  <c r="AI6" i="30"/>
  <c r="AH6" i="30"/>
  <c r="AG6" i="30"/>
  <c r="AF6" i="30"/>
  <c r="AD6" i="30"/>
  <c r="AN6" i="30" s="1"/>
  <c r="Y6" i="30"/>
  <c r="V6" i="30"/>
  <c r="T6" i="30"/>
  <c r="A6" i="30"/>
  <c r="AM5" i="30"/>
  <c r="AL5" i="30"/>
  <c r="AK5" i="30"/>
  <c r="AJ5" i="30"/>
  <c r="AI5" i="30"/>
  <c r="AH5" i="30"/>
  <c r="AG5" i="30"/>
  <c r="AF5" i="30"/>
  <c r="AD5" i="30"/>
  <c r="AN5" i="30" s="1"/>
  <c r="Y5" i="30"/>
  <c r="V5" i="30"/>
  <c r="T5" i="30"/>
  <c r="F1" i="30"/>
  <c r="AM83" i="29"/>
  <c r="AK83" i="29"/>
  <c r="AF83" i="29"/>
  <c r="AG83" i="29" s="1"/>
  <c r="Y83" i="29"/>
  <c r="V83" i="29"/>
  <c r="T83" i="29"/>
  <c r="AE83" i="29" s="1"/>
  <c r="AM82" i="29"/>
  <c r="AK82" i="29"/>
  <c r="AF82" i="29"/>
  <c r="AG82" i="29" s="1"/>
  <c r="AL82" i="29" s="1"/>
  <c r="Y82" i="29"/>
  <c r="V82" i="29"/>
  <c r="T82" i="29"/>
  <c r="AH82" i="29" s="1"/>
  <c r="AI82" i="29" s="1"/>
  <c r="AM81" i="29"/>
  <c r="AK81" i="29"/>
  <c r="AF81" i="29"/>
  <c r="AG81" i="29" s="1"/>
  <c r="Y81" i="29"/>
  <c r="V81" i="29"/>
  <c r="T81" i="29"/>
  <c r="AH81" i="29" s="1"/>
  <c r="AI81" i="29" s="1"/>
  <c r="AK80" i="29"/>
  <c r="AF80" i="29"/>
  <c r="AG80" i="29" s="1"/>
  <c r="Y80" i="29"/>
  <c r="V80" i="29"/>
  <c r="T80" i="29"/>
  <c r="AM80" i="29" s="1"/>
  <c r="AM79" i="29"/>
  <c r="AK79" i="29"/>
  <c r="AG79" i="29"/>
  <c r="AF79" i="29"/>
  <c r="AD79" i="29"/>
  <c r="Y79" i="29"/>
  <c r="V79" i="29"/>
  <c r="T79" i="29"/>
  <c r="AE79" i="29" s="1"/>
  <c r="AM78" i="29"/>
  <c r="AK78" i="29"/>
  <c r="AF78" i="29"/>
  <c r="AG78" i="29" s="1"/>
  <c r="Y78" i="29"/>
  <c r="V78" i="29"/>
  <c r="T78" i="29"/>
  <c r="AD78" i="29" s="1"/>
  <c r="AM77" i="29"/>
  <c r="AK77" i="29"/>
  <c r="AF77" i="29"/>
  <c r="AG77" i="29" s="1"/>
  <c r="Y77" i="29"/>
  <c r="V77" i="29"/>
  <c r="T77" i="29"/>
  <c r="AE77" i="29" s="1"/>
  <c r="AK76" i="29"/>
  <c r="AF76" i="29"/>
  <c r="AG76" i="29" s="1"/>
  <c r="Y76" i="29"/>
  <c r="V76" i="29"/>
  <c r="T76" i="29"/>
  <c r="AE76" i="29" s="1"/>
  <c r="AK75" i="29"/>
  <c r="AF75" i="29"/>
  <c r="AG75" i="29" s="1"/>
  <c r="Y75" i="29"/>
  <c r="V75" i="29"/>
  <c r="T75" i="29"/>
  <c r="AE75" i="29" s="1"/>
  <c r="AK74" i="29"/>
  <c r="AF74" i="29"/>
  <c r="AG74" i="29" s="1"/>
  <c r="Y74" i="29"/>
  <c r="V74" i="29"/>
  <c r="T74" i="29"/>
  <c r="AH74" i="29" s="1"/>
  <c r="AI74" i="29" s="1"/>
  <c r="AM73" i="29"/>
  <c r="AK73" i="29"/>
  <c r="AF73" i="29"/>
  <c r="AG73" i="29" s="1"/>
  <c r="Y73" i="29"/>
  <c r="V73" i="29"/>
  <c r="T73" i="29"/>
  <c r="AE73" i="29" s="1"/>
  <c r="AK72" i="29"/>
  <c r="AF72" i="29"/>
  <c r="AG72" i="29" s="1"/>
  <c r="AJ72" i="29" s="1"/>
  <c r="Y72" i="29"/>
  <c r="V72" i="29"/>
  <c r="T72" i="29"/>
  <c r="AH72" i="29" s="1"/>
  <c r="AI72" i="29" s="1"/>
  <c r="AM71" i="29"/>
  <c r="AK71" i="29"/>
  <c r="AF71" i="29"/>
  <c r="AG71" i="29" s="1"/>
  <c r="Y71" i="29"/>
  <c r="V71" i="29"/>
  <c r="T71" i="29"/>
  <c r="AE71" i="29" s="1"/>
  <c r="AK70" i="29"/>
  <c r="AF70" i="29"/>
  <c r="AG70" i="29" s="1"/>
  <c r="Y70" i="29"/>
  <c r="V70" i="29"/>
  <c r="T70" i="29"/>
  <c r="AH70" i="29" s="1"/>
  <c r="AI70" i="29" s="1"/>
  <c r="AK69" i="29"/>
  <c r="AF69" i="29"/>
  <c r="AG69" i="29" s="1"/>
  <c r="Y69" i="29"/>
  <c r="V69" i="29"/>
  <c r="T69" i="29"/>
  <c r="AM69" i="29" s="1"/>
  <c r="AK68" i="29"/>
  <c r="AF68" i="29"/>
  <c r="AG68" i="29" s="1"/>
  <c r="Y68" i="29"/>
  <c r="V68" i="29"/>
  <c r="T68" i="29"/>
  <c r="AM68" i="29" s="1"/>
  <c r="AK67" i="29"/>
  <c r="AF67" i="29"/>
  <c r="AG67" i="29" s="1"/>
  <c r="AD67" i="29"/>
  <c r="Y67" i="29"/>
  <c r="V67" i="29"/>
  <c r="T67" i="29"/>
  <c r="AE67" i="29" s="1"/>
  <c r="AK66" i="29"/>
  <c r="AF66" i="29"/>
  <c r="AG66" i="29" s="1"/>
  <c r="Y66" i="29"/>
  <c r="V66" i="29"/>
  <c r="T66" i="29"/>
  <c r="AD66" i="29" s="1"/>
  <c r="AK65" i="29"/>
  <c r="AF65" i="29"/>
  <c r="AG65" i="29" s="1"/>
  <c r="AD65" i="29"/>
  <c r="Y65" i="29"/>
  <c r="V65" i="29"/>
  <c r="T65" i="29"/>
  <c r="AE65" i="29" s="1"/>
  <c r="AK64" i="29"/>
  <c r="AF64" i="29"/>
  <c r="AG64" i="29" s="1"/>
  <c r="Y64" i="29"/>
  <c r="V64" i="29"/>
  <c r="T64" i="29"/>
  <c r="AE64" i="29" s="1"/>
  <c r="AK63" i="29"/>
  <c r="AF63" i="29"/>
  <c r="AG63" i="29" s="1"/>
  <c r="AD63" i="29"/>
  <c r="Y63" i="29"/>
  <c r="V63" i="29"/>
  <c r="T63" i="29"/>
  <c r="AE63" i="29" s="1"/>
  <c r="AK62" i="29"/>
  <c r="AF62" i="29"/>
  <c r="AG62" i="29" s="1"/>
  <c r="Y62" i="29"/>
  <c r="V62" i="29"/>
  <c r="T62" i="29"/>
  <c r="AH62" i="29" s="1"/>
  <c r="AI62" i="29" s="1"/>
  <c r="AM61" i="29"/>
  <c r="AK61" i="29"/>
  <c r="AF61" i="29"/>
  <c r="AG61" i="29" s="1"/>
  <c r="AD61" i="29"/>
  <c r="Y61" i="29"/>
  <c r="V61" i="29"/>
  <c r="T61" i="29"/>
  <c r="AE61" i="29" s="1"/>
  <c r="AK60" i="29"/>
  <c r="AF60" i="29"/>
  <c r="AG60" i="29" s="1"/>
  <c r="Y60" i="29"/>
  <c r="V60" i="29"/>
  <c r="T60" i="29"/>
  <c r="AH60" i="29" s="1"/>
  <c r="AI60" i="29" s="1"/>
  <c r="AK59" i="29"/>
  <c r="AF59" i="29"/>
  <c r="AG59" i="29" s="1"/>
  <c r="Y59" i="29"/>
  <c r="V59" i="29"/>
  <c r="T59" i="29"/>
  <c r="AE59" i="29" s="1"/>
  <c r="AK58" i="29"/>
  <c r="AF58" i="29"/>
  <c r="AG58" i="29" s="1"/>
  <c r="Y58" i="29"/>
  <c r="V58" i="29"/>
  <c r="T58" i="29"/>
  <c r="AH58" i="29" s="1"/>
  <c r="AI58" i="29" s="1"/>
  <c r="AM57" i="29"/>
  <c r="AK57" i="29"/>
  <c r="AF57" i="29"/>
  <c r="AG57" i="29" s="1"/>
  <c r="Y57" i="29"/>
  <c r="V57" i="29"/>
  <c r="T57" i="29"/>
  <c r="AE57" i="29" s="1"/>
  <c r="AK56" i="29"/>
  <c r="AF56" i="29"/>
  <c r="AG56" i="29" s="1"/>
  <c r="Y56" i="29"/>
  <c r="V56" i="29"/>
  <c r="T56" i="29"/>
  <c r="AH56" i="29" s="1"/>
  <c r="AI56" i="29" s="1"/>
  <c r="AK55" i="29"/>
  <c r="AF55" i="29"/>
  <c r="AG55" i="29" s="1"/>
  <c r="Y55" i="29"/>
  <c r="V55" i="29"/>
  <c r="T55" i="29"/>
  <c r="AE55" i="29" s="1"/>
  <c r="AK54" i="29"/>
  <c r="AF54" i="29"/>
  <c r="AG54" i="29" s="1"/>
  <c r="AE54" i="29"/>
  <c r="Y54" i="29"/>
  <c r="V54" i="29"/>
  <c r="T54" i="29"/>
  <c r="AD54" i="29" s="1"/>
  <c r="AM53" i="29"/>
  <c r="AK53" i="29"/>
  <c r="AF53" i="29"/>
  <c r="AG53" i="29" s="1"/>
  <c r="Y53" i="29"/>
  <c r="V53" i="29"/>
  <c r="T53" i="29"/>
  <c r="AE53" i="29" s="1"/>
  <c r="AM52" i="29"/>
  <c r="AK52" i="29"/>
  <c r="AF52" i="29"/>
  <c r="AG52" i="29" s="1"/>
  <c r="Y52" i="29"/>
  <c r="V52" i="29"/>
  <c r="T52" i="29"/>
  <c r="AE52" i="29" s="1"/>
  <c r="AM51" i="29"/>
  <c r="AK51" i="29"/>
  <c r="AF51" i="29"/>
  <c r="AG51" i="29" s="1"/>
  <c r="Y51" i="29"/>
  <c r="V51" i="29"/>
  <c r="T51" i="29"/>
  <c r="AE51" i="29" s="1"/>
  <c r="AK50" i="29"/>
  <c r="AF50" i="29"/>
  <c r="AG50" i="29" s="1"/>
  <c r="AL50" i="29" s="1"/>
  <c r="Y50" i="29"/>
  <c r="V50" i="29"/>
  <c r="T50" i="29"/>
  <c r="AH50" i="29" s="1"/>
  <c r="AI50" i="29" s="1"/>
  <c r="AK49" i="29"/>
  <c r="AF49" i="29"/>
  <c r="AG49" i="29" s="1"/>
  <c r="Y49" i="29"/>
  <c r="V49" i="29"/>
  <c r="T49" i="29"/>
  <c r="AE49" i="29" s="1"/>
  <c r="AK48" i="29"/>
  <c r="AG48" i="29"/>
  <c r="AF48" i="29"/>
  <c r="AE48" i="29"/>
  <c r="Y48" i="29"/>
  <c r="V48" i="29"/>
  <c r="T48" i="29"/>
  <c r="AH48" i="29" s="1"/>
  <c r="AI48" i="29" s="1"/>
  <c r="AM47" i="29"/>
  <c r="AL47" i="29"/>
  <c r="AK47" i="29"/>
  <c r="AJ47" i="29"/>
  <c r="AI47" i="29"/>
  <c r="AH47" i="29"/>
  <c r="AG47" i="29"/>
  <c r="AF47" i="29"/>
  <c r="AE47" i="29"/>
  <c r="AN47" i="29" s="1"/>
  <c r="AD47" i="29"/>
  <c r="Y47" i="29"/>
  <c r="V47" i="29"/>
  <c r="T47" i="29"/>
  <c r="AM46" i="29"/>
  <c r="AL46" i="29"/>
  <c r="AK46" i="29"/>
  <c r="AJ46" i="29"/>
  <c r="AI46" i="29"/>
  <c r="AH46" i="29"/>
  <c r="AG46" i="29"/>
  <c r="AF46" i="29"/>
  <c r="AE46" i="29"/>
  <c r="AD46" i="29"/>
  <c r="Y46" i="29"/>
  <c r="V46" i="29"/>
  <c r="T46" i="29"/>
  <c r="AM45" i="29"/>
  <c r="AL45" i="29"/>
  <c r="AK45" i="29"/>
  <c r="AJ45" i="29"/>
  <c r="AI45" i="29"/>
  <c r="AH45" i="29"/>
  <c r="AG45" i="29"/>
  <c r="AF45" i="29"/>
  <c r="AE45" i="29"/>
  <c r="AD45" i="29"/>
  <c r="Y45" i="29"/>
  <c r="V45" i="29"/>
  <c r="T45" i="29"/>
  <c r="AM44" i="29"/>
  <c r="AL44" i="29"/>
  <c r="AK44" i="29"/>
  <c r="AJ44" i="29"/>
  <c r="AI44" i="29"/>
  <c r="AH44" i="29"/>
  <c r="AG44" i="29"/>
  <c r="AF44" i="29"/>
  <c r="AE44" i="29"/>
  <c r="AD44" i="29"/>
  <c r="Y44" i="29"/>
  <c r="V44" i="29"/>
  <c r="T44" i="29"/>
  <c r="AM43" i="29"/>
  <c r="AL43" i="29"/>
  <c r="AK43" i="29"/>
  <c r="AJ43" i="29"/>
  <c r="AI43" i="29"/>
  <c r="AH43" i="29"/>
  <c r="AG43" i="29"/>
  <c r="AF43" i="29"/>
  <c r="AE43" i="29"/>
  <c r="AD43" i="29"/>
  <c r="Y43" i="29"/>
  <c r="V43" i="29"/>
  <c r="T43" i="29"/>
  <c r="AM42" i="29"/>
  <c r="AL42" i="29"/>
  <c r="AK42" i="29"/>
  <c r="AJ42" i="29"/>
  <c r="AI42" i="29"/>
  <c r="AH42" i="29"/>
  <c r="AG42" i="29"/>
  <c r="AF42" i="29"/>
  <c r="AE42" i="29"/>
  <c r="AD42" i="29"/>
  <c r="Y42" i="29"/>
  <c r="V42" i="29"/>
  <c r="T42" i="29"/>
  <c r="AM41" i="29"/>
  <c r="AL41" i="29"/>
  <c r="AK41" i="29"/>
  <c r="AJ41" i="29"/>
  <c r="AI41" i="29"/>
  <c r="AH41" i="29"/>
  <c r="AG41" i="29"/>
  <c r="AF41" i="29"/>
  <c r="AE41" i="29"/>
  <c r="AD41" i="29"/>
  <c r="Y41" i="29"/>
  <c r="V41" i="29"/>
  <c r="T41" i="29"/>
  <c r="AM40" i="29"/>
  <c r="AL40" i="29"/>
  <c r="AK40" i="29"/>
  <c r="AJ40" i="29"/>
  <c r="AI40" i="29"/>
  <c r="AH40" i="29"/>
  <c r="AG40" i="29"/>
  <c r="AF40" i="29"/>
  <c r="AE40" i="29"/>
  <c r="AD40" i="29"/>
  <c r="Y40" i="29"/>
  <c r="V40" i="29"/>
  <c r="T40" i="29"/>
  <c r="AM39" i="29"/>
  <c r="AL39" i="29"/>
  <c r="AK39" i="29"/>
  <c r="AJ39" i="29"/>
  <c r="AI39" i="29"/>
  <c r="AH39" i="29"/>
  <c r="AG39" i="29"/>
  <c r="AF39" i="29"/>
  <c r="AE39" i="29"/>
  <c r="AD39" i="29"/>
  <c r="Y39" i="29"/>
  <c r="V39" i="29"/>
  <c r="T39" i="29"/>
  <c r="AM38" i="29"/>
  <c r="AL38" i="29"/>
  <c r="AK38" i="29"/>
  <c r="AJ38" i="29"/>
  <c r="AI38" i="29"/>
  <c r="AH38" i="29"/>
  <c r="AG38" i="29"/>
  <c r="AF38" i="29"/>
  <c r="AE38" i="29"/>
  <c r="AD38" i="29"/>
  <c r="Y38" i="29"/>
  <c r="V38" i="29"/>
  <c r="T38" i="29"/>
  <c r="AM37" i="29"/>
  <c r="AL37" i="29"/>
  <c r="AK37" i="29"/>
  <c r="AJ37" i="29"/>
  <c r="AI37" i="29"/>
  <c r="AH37" i="29"/>
  <c r="AG37" i="29"/>
  <c r="AF37" i="29"/>
  <c r="AE37" i="29"/>
  <c r="AD37" i="29"/>
  <c r="Y37" i="29"/>
  <c r="V37" i="29"/>
  <c r="T37" i="29"/>
  <c r="AM36" i="29"/>
  <c r="AL36" i="29"/>
  <c r="AK36" i="29"/>
  <c r="AJ36" i="29"/>
  <c r="AI36" i="29"/>
  <c r="AH36" i="29"/>
  <c r="AG36" i="29"/>
  <c r="AF36" i="29"/>
  <c r="AE36" i="29"/>
  <c r="AD36" i="29"/>
  <c r="Y36" i="29"/>
  <c r="V36" i="29"/>
  <c r="T36" i="29"/>
  <c r="AM35" i="29"/>
  <c r="AL35" i="29"/>
  <c r="AK35" i="29"/>
  <c r="AJ35" i="29"/>
  <c r="AI35" i="29"/>
  <c r="AH35" i="29"/>
  <c r="AG35" i="29"/>
  <c r="AF35" i="29"/>
  <c r="AE35" i="29"/>
  <c r="AN35" i="29" s="1"/>
  <c r="AD35" i="29"/>
  <c r="Y35" i="29"/>
  <c r="V35" i="29"/>
  <c r="T35" i="29"/>
  <c r="AM34" i="29"/>
  <c r="AL34" i="29"/>
  <c r="AK34" i="29"/>
  <c r="AJ34" i="29"/>
  <c r="AI34" i="29"/>
  <c r="AH34" i="29"/>
  <c r="AG34" i="29"/>
  <c r="AF34" i="29"/>
  <c r="AE34" i="29"/>
  <c r="AD34" i="29"/>
  <c r="Y34" i="29"/>
  <c r="V34" i="29"/>
  <c r="T34" i="29"/>
  <c r="AM33" i="29"/>
  <c r="AL33" i="29"/>
  <c r="AK33" i="29"/>
  <c r="AJ33" i="29"/>
  <c r="AI33" i="29"/>
  <c r="AH33" i="29"/>
  <c r="AG33" i="29"/>
  <c r="AF33" i="29"/>
  <c r="AE33" i="29"/>
  <c r="AD33" i="29"/>
  <c r="Y33" i="29"/>
  <c r="V33" i="29"/>
  <c r="T33" i="29"/>
  <c r="AM32" i="29"/>
  <c r="AL32" i="29"/>
  <c r="AK32" i="29"/>
  <c r="AJ32" i="29"/>
  <c r="AI32" i="29"/>
  <c r="AH32" i="29"/>
  <c r="AG32" i="29"/>
  <c r="AF32" i="29"/>
  <c r="AE32" i="29"/>
  <c r="AD32" i="29"/>
  <c r="Y32" i="29"/>
  <c r="V32" i="29"/>
  <c r="T32" i="29"/>
  <c r="AM31" i="29"/>
  <c r="AL31" i="29"/>
  <c r="AK31" i="29"/>
  <c r="AJ31" i="29"/>
  <c r="AI31" i="29"/>
  <c r="AH31" i="29"/>
  <c r="AG31" i="29"/>
  <c r="AF31" i="29"/>
  <c r="AE31" i="29"/>
  <c r="AD31" i="29"/>
  <c r="Y31" i="29"/>
  <c r="V31" i="29"/>
  <c r="T31" i="29"/>
  <c r="AM30" i="29"/>
  <c r="AL30" i="29"/>
  <c r="AK30" i="29"/>
  <c r="AJ30" i="29"/>
  <c r="AI30" i="29"/>
  <c r="AH30" i="29"/>
  <c r="AG30" i="29"/>
  <c r="AF30" i="29"/>
  <c r="AE30" i="29"/>
  <c r="AD30" i="29"/>
  <c r="Y30" i="29"/>
  <c r="V30" i="29"/>
  <c r="T30" i="29"/>
  <c r="AM29" i="29"/>
  <c r="AL29" i="29"/>
  <c r="AK29" i="29"/>
  <c r="AJ29" i="29"/>
  <c r="AI29" i="29"/>
  <c r="AH29" i="29"/>
  <c r="AG29" i="29"/>
  <c r="AF29" i="29"/>
  <c r="AE29" i="29"/>
  <c r="AD29" i="29"/>
  <c r="Y29" i="29"/>
  <c r="V29" i="29"/>
  <c r="T29" i="29"/>
  <c r="AM28" i="29"/>
  <c r="AL28" i="29"/>
  <c r="AK28" i="29"/>
  <c r="AJ28" i="29"/>
  <c r="AI28" i="29"/>
  <c r="AH28" i="29"/>
  <c r="AG28" i="29"/>
  <c r="AF28" i="29"/>
  <c r="AE28" i="29"/>
  <c r="AD28" i="29"/>
  <c r="Y28" i="29"/>
  <c r="V28" i="29"/>
  <c r="T28" i="29"/>
  <c r="AM27" i="29"/>
  <c r="AL27" i="29"/>
  <c r="AK27" i="29"/>
  <c r="AJ27" i="29"/>
  <c r="AI27" i="29"/>
  <c r="AH27" i="29"/>
  <c r="AG27" i="29"/>
  <c r="AF27" i="29"/>
  <c r="AE27" i="29"/>
  <c r="AD27" i="29"/>
  <c r="Y27" i="29"/>
  <c r="V27" i="29"/>
  <c r="T27" i="29"/>
  <c r="AM26" i="29"/>
  <c r="AL26" i="29"/>
  <c r="AK26" i="29"/>
  <c r="AJ26" i="29"/>
  <c r="AI26" i="29"/>
  <c r="AH26" i="29"/>
  <c r="AG26" i="29"/>
  <c r="AF26" i="29"/>
  <c r="AE26" i="29"/>
  <c r="AD26" i="29"/>
  <c r="Y26" i="29"/>
  <c r="V26" i="29"/>
  <c r="T26" i="29"/>
  <c r="AM25" i="29"/>
  <c r="AL25" i="29"/>
  <c r="AK25" i="29"/>
  <c r="AJ25" i="29"/>
  <c r="AI25" i="29"/>
  <c r="AH25" i="29"/>
  <c r="AG25" i="29"/>
  <c r="AF25" i="29"/>
  <c r="AE25" i="29"/>
  <c r="AD25" i="29"/>
  <c r="Y25" i="29"/>
  <c r="V25" i="29"/>
  <c r="T25" i="29"/>
  <c r="AM24" i="29"/>
  <c r="AL24" i="29"/>
  <c r="AK24" i="29"/>
  <c r="AJ24" i="29"/>
  <c r="AI24" i="29"/>
  <c r="AH24" i="29"/>
  <c r="AG24" i="29"/>
  <c r="AF24" i="29"/>
  <c r="AE24" i="29"/>
  <c r="AD24" i="29"/>
  <c r="Y24" i="29"/>
  <c r="V24" i="29"/>
  <c r="T24" i="29"/>
  <c r="AM23" i="29"/>
  <c r="AL23" i="29"/>
  <c r="AK23" i="29"/>
  <c r="AJ23" i="29"/>
  <c r="AI23" i="29"/>
  <c r="AH23" i="29"/>
  <c r="AG23" i="29"/>
  <c r="AF23" i="29"/>
  <c r="AE23" i="29"/>
  <c r="AD23" i="29"/>
  <c r="Y23" i="29"/>
  <c r="V23" i="29"/>
  <c r="T23" i="29"/>
  <c r="AM22" i="29"/>
  <c r="AL22" i="29"/>
  <c r="AK22" i="29"/>
  <c r="AJ22" i="29"/>
  <c r="AI22" i="29"/>
  <c r="AH22" i="29"/>
  <c r="AG22" i="29"/>
  <c r="AF22" i="29"/>
  <c r="AE22" i="29"/>
  <c r="AD22" i="29"/>
  <c r="Y22" i="29"/>
  <c r="V22" i="29"/>
  <c r="T22" i="29"/>
  <c r="AM21" i="29"/>
  <c r="AL21" i="29"/>
  <c r="AK21" i="29"/>
  <c r="AJ21" i="29"/>
  <c r="AI21" i="29"/>
  <c r="AH21" i="29"/>
  <c r="AG21" i="29"/>
  <c r="AF21" i="29"/>
  <c r="AE21" i="29"/>
  <c r="AD21" i="29"/>
  <c r="Y21" i="29"/>
  <c r="V21" i="29"/>
  <c r="T21" i="29"/>
  <c r="AM20" i="29"/>
  <c r="AL20" i="29"/>
  <c r="AK20" i="29"/>
  <c r="AJ20" i="29"/>
  <c r="AI20" i="29"/>
  <c r="AH20" i="29"/>
  <c r="AG20" i="29"/>
  <c r="AF20" i="29"/>
  <c r="AE20" i="29"/>
  <c r="AD20" i="29"/>
  <c r="Y20" i="29"/>
  <c r="V20" i="29"/>
  <c r="T20" i="29"/>
  <c r="AM19" i="29"/>
  <c r="AL19" i="29"/>
  <c r="AK19" i="29"/>
  <c r="AJ19" i="29"/>
  <c r="AI19" i="29"/>
  <c r="AH19" i="29"/>
  <c r="AG19" i="29"/>
  <c r="AF19" i="29"/>
  <c r="AE19" i="29"/>
  <c r="AD19" i="29"/>
  <c r="Y19" i="29"/>
  <c r="V19" i="29"/>
  <c r="T19" i="29"/>
  <c r="AM18" i="29"/>
  <c r="AL18" i="29"/>
  <c r="AK18" i="29"/>
  <c r="AJ18" i="29"/>
  <c r="AI18" i="29"/>
  <c r="AH18" i="29"/>
  <c r="AG18" i="29"/>
  <c r="AF18" i="29"/>
  <c r="AE18" i="29"/>
  <c r="AD18" i="29"/>
  <c r="Y18" i="29"/>
  <c r="V18" i="29"/>
  <c r="T18" i="29"/>
  <c r="AM17" i="29"/>
  <c r="AL17" i="29"/>
  <c r="AK17" i="29"/>
  <c r="AJ17" i="29"/>
  <c r="AI17" i="29"/>
  <c r="AH17" i="29"/>
  <c r="AG17" i="29"/>
  <c r="AF17" i="29"/>
  <c r="AE17" i="29"/>
  <c r="AD17" i="29"/>
  <c r="Y17" i="29"/>
  <c r="V17" i="29"/>
  <c r="T17" i="29"/>
  <c r="AM16" i="29"/>
  <c r="AL16" i="29"/>
  <c r="AK16" i="29"/>
  <c r="AJ16" i="29"/>
  <c r="AI16" i="29"/>
  <c r="AH16" i="29"/>
  <c r="AG16" i="29"/>
  <c r="AF16" i="29"/>
  <c r="AE16" i="29"/>
  <c r="AD16" i="29"/>
  <c r="Y16" i="29"/>
  <c r="V16" i="29"/>
  <c r="T16" i="29"/>
  <c r="AM15" i="29"/>
  <c r="AL15" i="29"/>
  <c r="AK15" i="29"/>
  <c r="AJ15" i="29"/>
  <c r="AI15" i="29"/>
  <c r="AH15" i="29"/>
  <c r="AG15" i="29"/>
  <c r="AF15" i="29"/>
  <c r="AE15" i="29"/>
  <c r="AD15" i="29"/>
  <c r="Y15" i="29"/>
  <c r="V15" i="29"/>
  <c r="T15" i="29"/>
  <c r="AM14" i="29"/>
  <c r="AL14" i="29"/>
  <c r="AK14" i="29"/>
  <c r="AJ14" i="29"/>
  <c r="AI14" i="29"/>
  <c r="AH14" i="29"/>
  <c r="AG14" i="29"/>
  <c r="AF14" i="29"/>
  <c r="AE14" i="29"/>
  <c r="AD14" i="29"/>
  <c r="Y14" i="29"/>
  <c r="V14" i="29"/>
  <c r="T14" i="29"/>
  <c r="AM13" i="29"/>
  <c r="AL13" i="29"/>
  <c r="AK13" i="29"/>
  <c r="AJ13" i="29"/>
  <c r="AI13" i="29"/>
  <c r="AH13" i="29"/>
  <c r="AG13" i="29"/>
  <c r="AF13" i="29"/>
  <c r="AE13" i="29"/>
  <c r="AN13" i="29" s="1"/>
  <c r="AD13" i="29"/>
  <c r="Y13" i="29"/>
  <c r="V13" i="29"/>
  <c r="T13" i="29"/>
  <c r="AM12" i="29"/>
  <c r="AL12" i="29"/>
  <c r="AK12" i="29"/>
  <c r="AJ12" i="29"/>
  <c r="AI12" i="29"/>
  <c r="AH12" i="29"/>
  <c r="AG12" i="29"/>
  <c r="AF12" i="29"/>
  <c r="AE12" i="29"/>
  <c r="AD12" i="29"/>
  <c r="Y12" i="29"/>
  <c r="V12" i="29"/>
  <c r="T12" i="29"/>
  <c r="A12" i="29"/>
  <c r="AM11" i="29"/>
  <c r="AL11" i="29"/>
  <c r="AK11" i="29"/>
  <c r="AJ11" i="29"/>
  <c r="AI11" i="29"/>
  <c r="AH11" i="29"/>
  <c r="AG11" i="29"/>
  <c r="AF11" i="29"/>
  <c r="AE11" i="29"/>
  <c r="AD11" i="29"/>
  <c r="AN11" i="29" s="1"/>
  <c r="Y11" i="29"/>
  <c r="V11" i="29"/>
  <c r="T11" i="29"/>
  <c r="AM10" i="29"/>
  <c r="AL10" i="29"/>
  <c r="AK10" i="29"/>
  <c r="AJ10" i="29"/>
  <c r="AI10" i="29"/>
  <c r="AH10" i="29"/>
  <c r="AG10" i="29"/>
  <c r="AF10" i="29"/>
  <c r="AE10" i="29"/>
  <c r="AD10" i="29"/>
  <c r="Y10" i="29"/>
  <c r="V10" i="29"/>
  <c r="T10" i="29"/>
  <c r="A10" i="29"/>
  <c r="W15" i="29" s="1"/>
  <c r="AM9" i="29"/>
  <c r="AL9" i="29"/>
  <c r="AK9" i="29"/>
  <c r="AJ9" i="29"/>
  <c r="AI9" i="29"/>
  <c r="AH9" i="29"/>
  <c r="AG9" i="29"/>
  <c r="AF9" i="29"/>
  <c r="AE9" i="29"/>
  <c r="AD9" i="29"/>
  <c r="Y9" i="29"/>
  <c r="W9" i="29"/>
  <c r="V9" i="29"/>
  <c r="T9" i="29"/>
  <c r="AM8" i="29"/>
  <c r="AL8" i="29"/>
  <c r="AK8" i="29"/>
  <c r="AJ8" i="29"/>
  <c r="AI8" i="29"/>
  <c r="AH8" i="29"/>
  <c r="AG8" i="29"/>
  <c r="AF8" i="29"/>
  <c r="AE8" i="29"/>
  <c r="AD8" i="29"/>
  <c r="Y8" i="29"/>
  <c r="V8" i="29"/>
  <c r="T8" i="29"/>
  <c r="AM7" i="29"/>
  <c r="AL7" i="29"/>
  <c r="AK7" i="29"/>
  <c r="AJ7" i="29"/>
  <c r="AI7" i="29"/>
  <c r="AH7" i="29"/>
  <c r="AG7" i="29"/>
  <c r="AF7" i="29"/>
  <c r="AE7" i="29"/>
  <c r="AD7" i="29"/>
  <c r="Y7" i="29"/>
  <c r="V7" i="29"/>
  <c r="T7" i="29"/>
  <c r="AM6" i="29"/>
  <c r="AL6" i="29"/>
  <c r="AK6" i="29"/>
  <c r="AJ6" i="29"/>
  <c r="AI6" i="29"/>
  <c r="AH6" i="29"/>
  <c r="AG6" i="29"/>
  <c r="AF6" i="29"/>
  <c r="AE6" i="29"/>
  <c r="AN6" i="29" s="1"/>
  <c r="AD6" i="29"/>
  <c r="Y6" i="29"/>
  <c r="V6" i="29"/>
  <c r="T6" i="29"/>
  <c r="A6" i="29"/>
  <c r="AM5" i="29"/>
  <c r="AL5" i="29"/>
  <c r="AK5" i="29"/>
  <c r="AJ5" i="29"/>
  <c r="AI5" i="29"/>
  <c r="AH5" i="29"/>
  <c r="AG5" i="29"/>
  <c r="AF5" i="29"/>
  <c r="AE5" i="29"/>
  <c r="AD5" i="29"/>
  <c r="Y5" i="29"/>
  <c r="V5" i="29"/>
  <c r="T5" i="29"/>
  <c r="F1" i="29"/>
  <c r="AK48" i="28"/>
  <c r="AF48" i="28"/>
  <c r="AG48" i="28" s="1"/>
  <c r="Y48" i="28"/>
  <c r="V48" i="28"/>
  <c r="T48" i="28"/>
  <c r="AM48" i="28" s="1"/>
  <c r="AK47" i="28"/>
  <c r="AF47" i="28"/>
  <c r="AG47" i="28" s="1"/>
  <c r="Y47" i="28"/>
  <c r="V47" i="28"/>
  <c r="T47" i="28"/>
  <c r="AM47" i="28" s="1"/>
  <c r="AK46" i="28"/>
  <c r="AF46" i="28"/>
  <c r="AG46" i="28" s="1"/>
  <c r="Y46" i="28"/>
  <c r="V46" i="28"/>
  <c r="T46" i="28"/>
  <c r="AD46" i="28" s="1"/>
  <c r="AK45" i="28"/>
  <c r="AF45" i="28"/>
  <c r="AG45" i="28" s="1"/>
  <c r="Y45" i="28"/>
  <c r="V45" i="28"/>
  <c r="T45" i="28"/>
  <c r="AE45" i="28" s="1"/>
  <c r="AK44" i="28"/>
  <c r="AF44" i="28"/>
  <c r="AG44" i="28" s="1"/>
  <c r="Y44" i="28"/>
  <c r="V44" i="28"/>
  <c r="T44" i="28"/>
  <c r="AE44" i="28" s="1"/>
  <c r="AK43" i="28"/>
  <c r="AF43" i="28"/>
  <c r="AG43" i="28" s="1"/>
  <c r="AE43" i="28"/>
  <c r="AD43" i="28"/>
  <c r="Y43" i="28"/>
  <c r="V43" i="28"/>
  <c r="T43" i="28"/>
  <c r="AH43" i="28" s="1"/>
  <c r="AI43" i="28" s="1"/>
  <c r="AK42" i="28"/>
  <c r="AF42" i="28"/>
  <c r="AG42" i="28" s="1"/>
  <c r="Y42" i="28"/>
  <c r="V42" i="28"/>
  <c r="T42" i="28"/>
  <c r="AH42" i="28" s="1"/>
  <c r="AI42" i="28" s="1"/>
  <c r="AK41" i="28"/>
  <c r="AF41" i="28"/>
  <c r="AG41" i="28" s="1"/>
  <c r="AJ41" i="28" s="1"/>
  <c r="Y41" i="28"/>
  <c r="V41" i="28"/>
  <c r="T41" i="28"/>
  <c r="AH41" i="28" s="1"/>
  <c r="AI41" i="28" s="1"/>
  <c r="AK40" i="28"/>
  <c r="AF40" i="28"/>
  <c r="AG40" i="28" s="1"/>
  <c r="Y40" i="28"/>
  <c r="A14" i="28" s="1"/>
  <c r="V40" i="28"/>
  <c r="T40" i="28"/>
  <c r="AM40" i="28" s="1"/>
  <c r="AK39" i="28"/>
  <c r="AF39" i="28"/>
  <c r="AG39" i="28" s="1"/>
  <c r="Y39" i="28"/>
  <c r="V39" i="28"/>
  <c r="T39" i="28"/>
  <c r="AM39" i="28" s="1"/>
  <c r="AK38" i="28"/>
  <c r="AF38" i="28"/>
  <c r="AG38" i="28" s="1"/>
  <c r="AE38" i="28"/>
  <c r="Y38" i="28"/>
  <c r="V38" i="28"/>
  <c r="T38" i="28"/>
  <c r="AM38" i="28" s="1"/>
  <c r="AK37" i="28"/>
  <c r="AH37" i="28"/>
  <c r="AI37" i="28" s="1"/>
  <c r="AG37" i="28"/>
  <c r="AF37" i="28"/>
  <c r="Y37" i="28"/>
  <c r="V37" i="28"/>
  <c r="T37" i="28"/>
  <c r="AE37" i="28" s="1"/>
  <c r="AK36" i="28"/>
  <c r="AF36" i="28"/>
  <c r="AG36" i="28" s="1"/>
  <c r="Y36" i="28"/>
  <c r="V36" i="28"/>
  <c r="T36" i="28"/>
  <c r="AE36" i="28" s="1"/>
  <c r="AK35" i="28"/>
  <c r="AF35" i="28"/>
  <c r="AG35" i="28" s="1"/>
  <c r="AE35" i="28"/>
  <c r="Y35" i="28"/>
  <c r="V35" i="28"/>
  <c r="T35" i="28"/>
  <c r="AH35" i="28" s="1"/>
  <c r="AI35" i="28" s="1"/>
  <c r="AM34" i="28"/>
  <c r="AL34" i="28"/>
  <c r="AK34" i="28"/>
  <c r="AJ34" i="28"/>
  <c r="AI34" i="28"/>
  <c r="AH34" i="28"/>
  <c r="AG34" i="28"/>
  <c r="AF34" i="28"/>
  <c r="AE34" i="28"/>
  <c r="AD34" i="28"/>
  <c r="AN34" i="28" s="1"/>
  <c r="Y34" i="28"/>
  <c r="V34" i="28"/>
  <c r="T34" i="28"/>
  <c r="AM33" i="28"/>
  <c r="AL33" i="28"/>
  <c r="AK33" i="28"/>
  <c r="AJ33" i="28"/>
  <c r="AI33" i="28"/>
  <c r="AH33" i="28"/>
  <c r="AG33" i="28"/>
  <c r="AF33" i="28"/>
  <c r="AE33" i="28"/>
  <c r="AD33" i="28"/>
  <c r="Y33" i="28"/>
  <c r="V33" i="28"/>
  <c r="T33" i="28"/>
  <c r="AM32" i="28"/>
  <c r="AL32" i="28"/>
  <c r="AK32" i="28"/>
  <c r="AJ32" i="28"/>
  <c r="AI32" i="28"/>
  <c r="AH32" i="28"/>
  <c r="AG32" i="28"/>
  <c r="AF32" i="28"/>
  <c r="AE32" i="28"/>
  <c r="AD32" i="28"/>
  <c r="Y32" i="28"/>
  <c r="V32" i="28"/>
  <c r="T32" i="28"/>
  <c r="AM31" i="28"/>
  <c r="AL31" i="28"/>
  <c r="AK31" i="28"/>
  <c r="AJ31" i="28"/>
  <c r="AI31" i="28"/>
  <c r="AH31" i="28"/>
  <c r="AG31" i="28"/>
  <c r="AF31" i="28"/>
  <c r="AE31" i="28"/>
  <c r="AD31" i="28"/>
  <c r="Y31" i="28"/>
  <c r="V31" i="28"/>
  <c r="T31" i="28"/>
  <c r="AM30" i="28"/>
  <c r="AL30" i="28"/>
  <c r="AK30" i="28"/>
  <c r="AJ30" i="28"/>
  <c r="AI30" i="28"/>
  <c r="AH30" i="28"/>
  <c r="AG30" i="28"/>
  <c r="AF30" i="28"/>
  <c r="AE30" i="28"/>
  <c r="AD30" i="28"/>
  <c r="Y30" i="28"/>
  <c r="V30" i="28"/>
  <c r="T30" i="28"/>
  <c r="AM29" i="28"/>
  <c r="AL29" i="28"/>
  <c r="AK29" i="28"/>
  <c r="AJ29" i="28"/>
  <c r="AI29" i="28"/>
  <c r="AH29" i="28"/>
  <c r="AG29" i="28"/>
  <c r="AF29" i="28"/>
  <c r="AE29" i="28"/>
  <c r="AN29" i="28" s="1"/>
  <c r="AD29" i="28"/>
  <c r="Y29" i="28"/>
  <c r="V29" i="28"/>
  <c r="T29" i="28"/>
  <c r="AM28" i="28"/>
  <c r="AL28" i="28"/>
  <c r="AK28" i="28"/>
  <c r="AJ28" i="28"/>
  <c r="AI28" i="28"/>
  <c r="AH28" i="28"/>
  <c r="AG28" i="28"/>
  <c r="AF28" i="28"/>
  <c r="AE28" i="28"/>
  <c r="AD28" i="28"/>
  <c r="Y28" i="28"/>
  <c r="V28" i="28"/>
  <c r="T28" i="28"/>
  <c r="AM27" i="28"/>
  <c r="AL27" i="28"/>
  <c r="AK27" i="28"/>
  <c r="AJ27" i="28"/>
  <c r="AI27" i="28"/>
  <c r="AH27" i="28"/>
  <c r="AG27" i="28"/>
  <c r="AF27" i="28"/>
  <c r="AE27" i="28"/>
  <c r="AD27" i="28"/>
  <c r="Y27" i="28"/>
  <c r="V27" i="28"/>
  <c r="T27" i="28"/>
  <c r="AM26" i="28"/>
  <c r="AL26" i="28"/>
  <c r="AK26" i="28"/>
  <c r="AJ26" i="28"/>
  <c r="AI26" i="28"/>
  <c r="AH26" i="28"/>
  <c r="AG26" i="28"/>
  <c r="AF26" i="28"/>
  <c r="AE26" i="28"/>
  <c r="AD26" i="28"/>
  <c r="Y26" i="28"/>
  <c r="V26" i="28"/>
  <c r="T26" i="28"/>
  <c r="AM25" i="28"/>
  <c r="AL25" i="28"/>
  <c r="AK25" i="28"/>
  <c r="AJ25" i="28"/>
  <c r="AI25" i="28"/>
  <c r="AH25" i="28"/>
  <c r="AG25" i="28"/>
  <c r="AF25" i="28"/>
  <c r="AE25" i="28"/>
  <c r="AN25" i="28" s="1"/>
  <c r="AD25" i="28"/>
  <c r="Y25" i="28"/>
  <c r="V25" i="28"/>
  <c r="T25" i="28"/>
  <c r="AM24" i="28"/>
  <c r="AL24" i="28"/>
  <c r="AK24" i="28"/>
  <c r="AJ24" i="28"/>
  <c r="AI24" i="28"/>
  <c r="AH24" i="28"/>
  <c r="AG24" i="28"/>
  <c r="AF24" i="28"/>
  <c r="AE24" i="28"/>
  <c r="AD24" i="28"/>
  <c r="Y24" i="28"/>
  <c r="V24" i="28"/>
  <c r="T24" i="28"/>
  <c r="AM23" i="28"/>
  <c r="AL23" i="28"/>
  <c r="AK23" i="28"/>
  <c r="AJ23" i="28"/>
  <c r="AI23" i="28"/>
  <c r="AH23" i="28"/>
  <c r="AG23" i="28"/>
  <c r="AF23" i="28"/>
  <c r="AE23" i="28"/>
  <c r="AD23" i="28"/>
  <c r="AN23" i="28" s="1"/>
  <c r="Y23" i="28"/>
  <c r="V23" i="28"/>
  <c r="T23" i="28"/>
  <c r="AM22" i="28"/>
  <c r="AL22" i="28"/>
  <c r="AK22" i="28"/>
  <c r="AJ22" i="28"/>
  <c r="AI22" i="28"/>
  <c r="AH22" i="28"/>
  <c r="AG22" i="28"/>
  <c r="AF22" i="28"/>
  <c r="AE22" i="28"/>
  <c r="AD22" i="28"/>
  <c r="Y22" i="28"/>
  <c r="V22" i="28"/>
  <c r="T22" i="28"/>
  <c r="AM21" i="28"/>
  <c r="AL21" i="28"/>
  <c r="AK21" i="28"/>
  <c r="AJ21" i="28"/>
  <c r="AI21" i="28"/>
  <c r="AH21" i="28"/>
  <c r="AG21" i="28"/>
  <c r="AF21" i="28"/>
  <c r="AE21" i="28"/>
  <c r="AD21" i="28"/>
  <c r="Y21" i="28"/>
  <c r="V21" i="28"/>
  <c r="T21" i="28"/>
  <c r="AM20" i="28"/>
  <c r="AL20" i="28"/>
  <c r="AK20" i="28"/>
  <c r="AJ20" i="28"/>
  <c r="AI20" i="28"/>
  <c r="AH20" i="28"/>
  <c r="AG20" i="28"/>
  <c r="AF20" i="28"/>
  <c r="AE20" i="28"/>
  <c r="AD20" i="28"/>
  <c r="Y20" i="28"/>
  <c r="V20" i="28"/>
  <c r="T20" i="28"/>
  <c r="AM19" i="28"/>
  <c r="AL19" i="28"/>
  <c r="AK19" i="28"/>
  <c r="AJ19" i="28"/>
  <c r="AI19" i="28"/>
  <c r="AH19" i="28"/>
  <c r="AG19" i="28"/>
  <c r="AF19" i="28"/>
  <c r="AE19" i="28"/>
  <c r="AD19" i="28"/>
  <c r="Y19" i="28"/>
  <c r="V19" i="28"/>
  <c r="T19" i="28"/>
  <c r="AM18" i="28"/>
  <c r="AL18" i="28"/>
  <c r="AK18" i="28"/>
  <c r="AJ18" i="28"/>
  <c r="AI18" i="28"/>
  <c r="AH18" i="28"/>
  <c r="AG18" i="28"/>
  <c r="AF18" i="28"/>
  <c r="AE18" i="28"/>
  <c r="AD18" i="28"/>
  <c r="Y18" i="28"/>
  <c r="V18" i="28"/>
  <c r="T18" i="28"/>
  <c r="AM17" i="28"/>
  <c r="AL17" i="28"/>
  <c r="AK17" i="28"/>
  <c r="AJ17" i="28"/>
  <c r="AI17" i="28"/>
  <c r="AH17" i="28"/>
  <c r="AG17" i="28"/>
  <c r="AF17" i="28"/>
  <c r="AE17" i="28"/>
  <c r="AD17" i="28"/>
  <c r="Y17" i="28"/>
  <c r="V17" i="28"/>
  <c r="T17" i="28"/>
  <c r="AM16" i="28"/>
  <c r="AL16" i="28"/>
  <c r="AK16" i="28"/>
  <c r="AJ16" i="28"/>
  <c r="AI16" i="28"/>
  <c r="AH16" i="28"/>
  <c r="AG16" i="28"/>
  <c r="AF16" i="28"/>
  <c r="AE16" i="28"/>
  <c r="AN16" i="28" s="1"/>
  <c r="AD16" i="28"/>
  <c r="Y16" i="28"/>
  <c r="V16" i="28"/>
  <c r="T16" i="28"/>
  <c r="AM15" i="28"/>
  <c r="AL15" i="28"/>
  <c r="AK15" i="28"/>
  <c r="AJ15" i="28"/>
  <c r="AI15" i="28"/>
  <c r="AH15" i="28"/>
  <c r="AG15" i="28"/>
  <c r="AF15" i="28"/>
  <c r="AE15" i="28"/>
  <c r="AD15" i="28"/>
  <c r="Y15" i="28"/>
  <c r="V15" i="28"/>
  <c r="T15" i="28"/>
  <c r="AM14" i="28"/>
  <c r="AL14" i="28"/>
  <c r="AK14" i="28"/>
  <c r="AJ14" i="28"/>
  <c r="AI14" i="28"/>
  <c r="AH14" i="28"/>
  <c r="AG14" i="28"/>
  <c r="AF14" i="28"/>
  <c r="AE14" i="28"/>
  <c r="AD14" i="28"/>
  <c r="Y14" i="28"/>
  <c r="V14" i="28"/>
  <c r="T14" i="28"/>
  <c r="AM13" i="28"/>
  <c r="AL13" i="28"/>
  <c r="AK13" i="28"/>
  <c r="AJ13" i="28"/>
  <c r="AI13" i="28"/>
  <c r="AH13" i="28"/>
  <c r="AG13" i="28"/>
  <c r="AF13" i="28"/>
  <c r="AE13" i="28"/>
  <c r="AD13" i="28"/>
  <c r="Y13" i="28"/>
  <c r="V13" i="28"/>
  <c r="T13" i="28"/>
  <c r="AM12" i="28"/>
  <c r="AL12" i="28"/>
  <c r="AK12" i="28"/>
  <c r="AJ12" i="28"/>
  <c r="AI12" i="28"/>
  <c r="AH12" i="28"/>
  <c r="AG12" i="28"/>
  <c r="AF12" i="28"/>
  <c r="AE12" i="28"/>
  <c r="AD12" i="28"/>
  <c r="Y12" i="28"/>
  <c r="V12" i="28"/>
  <c r="T12" i="28"/>
  <c r="A12" i="28"/>
  <c r="AM11" i="28"/>
  <c r="AL11" i="28"/>
  <c r="AK11" i="28"/>
  <c r="AJ11" i="28"/>
  <c r="AI11" i="28"/>
  <c r="AH11" i="28"/>
  <c r="AG11" i="28"/>
  <c r="AF11" i="28"/>
  <c r="AE11" i="28"/>
  <c r="AD11" i="28"/>
  <c r="Y11" i="28"/>
  <c r="V11" i="28"/>
  <c r="T11" i="28"/>
  <c r="AM10" i="28"/>
  <c r="AL10" i="28"/>
  <c r="AK10" i="28"/>
  <c r="AJ10" i="28"/>
  <c r="AI10" i="28"/>
  <c r="AH10" i="28"/>
  <c r="AG10" i="28"/>
  <c r="AF10" i="28"/>
  <c r="AE10" i="28"/>
  <c r="AD10" i="28"/>
  <c r="Y10" i="28"/>
  <c r="V10" i="28"/>
  <c r="T10" i="28"/>
  <c r="A10" i="28"/>
  <c r="AM9" i="28"/>
  <c r="AL9" i="28"/>
  <c r="AK9" i="28"/>
  <c r="AJ9" i="28"/>
  <c r="AI9" i="28"/>
  <c r="AH9" i="28"/>
  <c r="AG9" i="28"/>
  <c r="AF9" i="28"/>
  <c r="AE9" i="28"/>
  <c r="AN9" i="28" s="1"/>
  <c r="AD9" i="28"/>
  <c r="Y9" i="28"/>
  <c r="V9" i="28"/>
  <c r="T9" i="28"/>
  <c r="AM8" i="28"/>
  <c r="AL8" i="28"/>
  <c r="AK8" i="28"/>
  <c r="AJ8" i="28"/>
  <c r="AI8" i="28"/>
  <c r="AH8" i="28"/>
  <c r="AG8" i="28"/>
  <c r="AF8" i="28"/>
  <c r="AD8" i="28"/>
  <c r="AN8" i="28" s="1"/>
  <c r="Y8" i="28"/>
  <c r="V8" i="28"/>
  <c r="T8" i="28"/>
  <c r="AM7" i="28"/>
  <c r="AL7" i="28"/>
  <c r="AK7" i="28"/>
  <c r="AJ7" i="28"/>
  <c r="AI7" i="28"/>
  <c r="AH7" i="28"/>
  <c r="AG7" i="28"/>
  <c r="AF7" i="28"/>
  <c r="AD7" i="28"/>
  <c r="AN7" i="28" s="1"/>
  <c r="Y7" i="28"/>
  <c r="V7" i="28"/>
  <c r="T7" i="28"/>
  <c r="AM6" i="28"/>
  <c r="AL6" i="28"/>
  <c r="AK6" i="28"/>
  <c r="AJ6" i="28"/>
  <c r="AI6" i="28"/>
  <c r="AH6" i="28"/>
  <c r="AG6" i="28"/>
  <c r="AF6" i="28"/>
  <c r="AD6" i="28"/>
  <c r="AN6" i="28" s="1"/>
  <c r="Y6" i="28"/>
  <c r="V6" i="28"/>
  <c r="T6" i="28"/>
  <c r="A6" i="28"/>
  <c r="AM5" i="28"/>
  <c r="AL5" i="28"/>
  <c r="AK5" i="28"/>
  <c r="AJ5" i="28"/>
  <c r="AI5" i="28"/>
  <c r="AH5" i="28"/>
  <c r="AG5" i="28"/>
  <c r="AF5" i="28"/>
  <c r="AD5" i="28"/>
  <c r="AN5" i="28" s="1"/>
  <c r="Y5" i="28"/>
  <c r="V5" i="28"/>
  <c r="T5" i="28"/>
  <c r="F1" i="28"/>
  <c r="AM24" i="27"/>
  <c r="AL24" i="27"/>
  <c r="AK24" i="27"/>
  <c r="AJ24" i="27"/>
  <c r="AI24" i="27"/>
  <c r="AH24" i="27"/>
  <c r="AG24" i="27"/>
  <c r="AF24" i="27"/>
  <c r="AE24" i="27"/>
  <c r="AD24" i="27"/>
  <c r="AN24" i="27" s="1"/>
  <c r="Y24" i="27"/>
  <c r="V24" i="27"/>
  <c r="T24" i="27"/>
  <c r="AM23" i="27"/>
  <c r="AL23" i="27"/>
  <c r="AK23" i="27"/>
  <c r="AJ23" i="27"/>
  <c r="AI23" i="27"/>
  <c r="AH23" i="27"/>
  <c r="AG23" i="27"/>
  <c r="AF23" i="27"/>
  <c r="AE23" i="27"/>
  <c r="AD23" i="27"/>
  <c r="Y23" i="27"/>
  <c r="V23" i="27"/>
  <c r="T23" i="27"/>
  <c r="AM22" i="27"/>
  <c r="AL22" i="27"/>
  <c r="AK22" i="27"/>
  <c r="AJ22" i="27"/>
  <c r="AI22" i="27"/>
  <c r="AH22" i="27"/>
  <c r="AG22" i="27"/>
  <c r="AF22" i="27"/>
  <c r="AE22" i="27"/>
  <c r="AD22" i="27"/>
  <c r="Y22" i="27"/>
  <c r="V22" i="27"/>
  <c r="T22" i="27"/>
  <c r="AM21" i="27"/>
  <c r="AL21" i="27"/>
  <c r="AK21" i="27"/>
  <c r="AJ21" i="27"/>
  <c r="AI21" i="27"/>
  <c r="AH21" i="27"/>
  <c r="AG21" i="27"/>
  <c r="AF21" i="27"/>
  <c r="AE21" i="27"/>
  <c r="AD21" i="27"/>
  <c r="Y21" i="27"/>
  <c r="V21" i="27"/>
  <c r="T21" i="27"/>
  <c r="AM20" i="27"/>
  <c r="AL20" i="27"/>
  <c r="AK20" i="27"/>
  <c r="AJ20" i="27"/>
  <c r="AI20" i="27"/>
  <c r="AH20" i="27"/>
  <c r="AG20" i="27"/>
  <c r="AF20" i="27"/>
  <c r="AE20" i="27"/>
  <c r="AD20" i="27"/>
  <c r="Y20" i="27"/>
  <c r="V20" i="27"/>
  <c r="T20" i="27"/>
  <c r="AM19" i="27"/>
  <c r="AL19" i="27"/>
  <c r="AK19" i="27"/>
  <c r="AJ19" i="27"/>
  <c r="AI19" i="27"/>
  <c r="AH19" i="27"/>
  <c r="AG19" i="27"/>
  <c r="AF19" i="27"/>
  <c r="AE19" i="27"/>
  <c r="AD19" i="27"/>
  <c r="Y19" i="27"/>
  <c r="V19" i="27"/>
  <c r="T19" i="27"/>
  <c r="AM18" i="27"/>
  <c r="AL18" i="27"/>
  <c r="AK18" i="27"/>
  <c r="AJ18" i="27"/>
  <c r="AI18" i="27"/>
  <c r="AH18" i="27"/>
  <c r="AG18" i="27"/>
  <c r="AF18" i="27"/>
  <c r="AE18" i="27"/>
  <c r="AD18" i="27"/>
  <c r="Y18" i="27"/>
  <c r="V18" i="27"/>
  <c r="T18" i="27"/>
  <c r="AM17" i="27"/>
  <c r="AL17" i="27"/>
  <c r="AK17" i="27"/>
  <c r="AJ17" i="27"/>
  <c r="AI17" i="27"/>
  <c r="AH17" i="27"/>
  <c r="AG17" i="27"/>
  <c r="AF17" i="27"/>
  <c r="AE17" i="27"/>
  <c r="AD17" i="27"/>
  <c r="Y17" i="27"/>
  <c r="V17" i="27"/>
  <c r="T17" i="27"/>
  <c r="AM16" i="27"/>
  <c r="AL16" i="27"/>
  <c r="AK16" i="27"/>
  <c r="AJ16" i="27"/>
  <c r="AI16" i="27"/>
  <c r="AH16" i="27"/>
  <c r="AG16" i="27"/>
  <c r="AF16" i="27"/>
  <c r="AE16" i="27"/>
  <c r="AD16" i="27"/>
  <c r="Y16" i="27"/>
  <c r="V16" i="27"/>
  <c r="T16" i="27"/>
  <c r="AK15" i="27"/>
  <c r="AF15" i="27"/>
  <c r="AG15" i="27" s="1"/>
  <c r="Y15" i="27"/>
  <c r="V15" i="27"/>
  <c r="T15" i="27"/>
  <c r="AM15" i="27" s="1"/>
  <c r="AK14" i="27"/>
  <c r="AF14" i="27"/>
  <c r="AG14" i="27" s="1"/>
  <c r="Y14" i="27"/>
  <c r="A14" i="27" s="1"/>
  <c r="V14" i="27"/>
  <c r="T14" i="27"/>
  <c r="AE14" i="27" s="1"/>
  <c r="AM13" i="27"/>
  <c r="AL13" i="27"/>
  <c r="AK13" i="27"/>
  <c r="AJ13" i="27"/>
  <c r="AI13" i="27"/>
  <c r="AH13" i="27"/>
  <c r="AG13" i="27"/>
  <c r="AF13" i="27"/>
  <c r="AE13" i="27"/>
  <c r="AD13" i="27"/>
  <c r="Y13" i="27"/>
  <c r="V13" i="27"/>
  <c r="T13" i="27"/>
  <c r="AM12" i="27"/>
  <c r="AL12" i="27"/>
  <c r="AK12" i="27"/>
  <c r="AJ12" i="27"/>
  <c r="AI12" i="27"/>
  <c r="AH12" i="27"/>
  <c r="AG12" i="27"/>
  <c r="AF12" i="27"/>
  <c r="AE12" i="27"/>
  <c r="AD12" i="27"/>
  <c r="Y12" i="27"/>
  <c r="V12" i="27"/>
  <c r="T12" i="27"/>
  <c r="A12" i="27"/>
  <c r="AM11" i="27"/>
  <c r="AL11" i="27"/>
  <c r="AK11" i="27"/>
  <c r="AJ11" i="27"/>
  <c r="AI11" i="27"/>
  <c r="AH11" i="27"/>
  <c r="AG11" i="27"/>
  <c r="AF11" i="27"/>
  <c r="AE11" i="27"/>
  <c r="AD11" i="27"/>
  <c r="Y11" i="27"/>
  <c r="V11" i="27"/>
  <c r="T11" i="27"/>
  <c r="AM10" i="27"/>
  <c r="AL10" i="27"/>
  <c r="AK10" i="27"/>
  <c r="AJ10" i="27"/>
  <c r="AI10" i="27"/>
  <c r="AH10" i="27"/>
  <c r="AG10" i="27"/>
  <c r="AF10" i="27"/>
  <c r="AE10" i="27"/>
  <c r="AD10" i="27"/>
  <c r="Y10" i="27"/>
  <c r="V10" i="27"/>
  <c r="T10" i="27"/>
  <c r="A10" i="27"/>
  <c r="W14" i="27" s="1"/>
  <c r="AM9" i="27"/>
  <c r="AL9" i="27"/>
  <c r="AK9" i="27"/>
  <c r="AJ9" i="27"/>
  <c r="AI9" i="27"/>
  <c r="AH9" i="27"/>
  <c r="AG9" i="27"/>
  <c r="AF9" i="27"/>
  <c r="AE9" i="27"/>
  <c r="AD9" i="27"/>
  <c r="Y9" i="27"/>
  <c r="V9" i="27"/>
  <c r="T9" i="27"/>
  <c r="AM8" i="27"/>
  <c r="AL8" i="27"/>
  <c r="AK8" i="27"/>
  <c r="AJ8" i="27"/>
  <c r="AI8" i="27"/>
  <c r="AH8" i="27"/>
  <c r="AG8" i="27"/>
  <c r="AF8" i="27"/>
  <c r="AD8" i="27"/>
  <c r="AN8" i="27" s="1"/>
  <c r="Y8" i="27"/>
  <c r="V8" i="27"/>
  <c r="T8" i="27"/>
  <c r="AM7" i="27"/>
  <c r="AL7" i="27"/>
  <c r="AK7" i="27"/>
  <c r="AJ7" i="27"/>
  <c r="AI7" i="27"/>
  <c r="AH7" i="27"/>
  <c r="AG7" i="27"/>
  <c r="AF7" i="27"/>
  <c r="AD7" i="27"/>
  <c r="AN7" i="27" s="1"/>
  <c r="Y7" i="27"/>
  <c r="V7" i="27"/>
  <c r="T7" i="27"/>
  <c r="AM6" i="27"/>
  <c r="AL6" i="27"/>
  <c r="AK6" i="27"/>
  <c r="AJ6" i="27"/>
  <c r="AI6" i="27"/>
  <c r="AH6" i="27"/>
  <c r="AG6" i="27"/>
  <c r="AF6" i="27"/>
  <c r="AD6" i="27"/>
  <c r="AN6" i="27" s="1"/>
  <c r="Y6" i="27"/>
  <c r="V6" i="27"/>
  <c r="T6" i="27"/>
  <c r="AM5" i="27"/>
  <c r="AL5" i="27"/>
  <c r="AK5" i="27"/>
  <c r="AJ5" i="27"/>
  <c r="AI5" i="27"/>
  <c r="AH5" i="27"/>
  <c r="AG5" i="27"/>
  <c r="AF5" i="27"/>
  <c r="AD5" i="27"/>
  <c r="AN5" i="27" s="1"/>
  <c r="Y5" i="27"/>
  <c r="V5" i="27"/>
  <c r="T5" i="27"/>
  <c r="F1" i="27"/>
  <c r="AM24" i="26"/>
  <c r="AL24" i="26"/>
  <c r="AK24" i="26"/>
  <c r="AJ24" i="26"/>
  <c r="AI24" i="26"/>
  <c r="AH24" i="26"/>
  <c r="AG24" i="26"/>
  <c r="AF24" i="26"/>
  <c r="AE24" i="26"/>
  <c r="AD24" i="26"/>
  <c r="Y24" i="26"/>
  <c r="V24" i="26"/>
  <c r="T24" i="26"/>
  <c r="AM23" i="26"/>
  <c r="AL23" i="26"/>
  <c r="AK23" i="26"/>
  <c r="AJ23" i="26"/>
  <c r="AI23" i="26"/>
  <c r="AH23" i="26"/>
  <c r="AG23" i="26"/>
  <c r="AF23" i="26"/>
  <c r="AE23" i="26"/>
  <c r="AD23" i="26"/>
  <c r="Y23" i="26"/>
  <c r="V23" i="26"/>
  <c r="T23" i="26"/>
  <c r="AM22" i="26"/>
  <c r="AL22" i="26"/>
  <c r="AK22" i="26"/>
  <c r="AJ22" i="26"/>
  <c r="AI22" i="26"/>
  <c r="AH22" i="26"/>
  <c r="AG22" i="26"/>
  <c r="AF22" i="26"/>
  <c r="AE22" i="26"/>
  <c r="AD22" i="26"/>
  <c r="Y22" i="26"/>
  <c r="V22" i="26"/>
  <c r="T22" i="26"/>
  <c r="AM21" i="26"/>
  <c r="AL21" i="26"/>
  <c r="AK21" i="26"/>
  <c r="AJ21" i="26"/>
  <c r="AI21" i="26"/>
  <c r="AH21" i="26"/>
  <c r="AG21" i="26"/>
  <c r="AF21" i="26"/>
  <c r="AE21" i="26"/>
  <c r="AD21" i="26"/>
  <c r="Y21" i="26"/>
  <c r="V21" i="26"/>
  <c r="T21" i="26"/>
  <c r="AM20" i="26"/>
  <c r="AL20" i="26"/>
  <c r="AK20" i="26"/>
  <c r="AJ20" i="26"/>
  <c r="AI20" i="26"/>
  <c r="AH20" i="26"/>
  <c r="AG20" i="26"/>
  <c r="AF20" i="26"/>
  <c r="AE20" i="26"/>
  <c r="AD20" i="26"/>
  <c r="Y20" i="26"/>
  <c r="V20" i="26"/>
  <c r="T20" i="26"/>
  <c r="AM19" i="26"/>
  <c r="AL19" i="26"/>
  <c r="AK19" i="26"/>
  <c r="AJ19" i="26"/>
  <c r="AI19" i="26"/>
  <c r="AH19" i="26"/>
  <c r="AG19" i="26"/>
  <c r="AF19" i="26"/>
  <c r="AE19" i="26"/>
  <c r="AD19" i="26"/>
  <c r="Y19" i="26"/>
  <c r="V19" i="26"/>
  <c r="T19" i="26"/>
  <c r="AM18" i="26"/>
  <c r="AL18" i="26"/>
  <c r="AK18" i="26"/>
  <c r="AJ18" i="26"/>
  <c r="AI18" i="26"/>
  <c r="AH18" i="26"/>
  <c r="AG18" i="26"/>
  <c r="AF18" i="26"/>
  <c r="AE18" i="26"/>
  <c r="AD18" i="26"/>
  <c r="Y18" i="26"/>
  <c r="V18" i="26"/>
  <c r="T18" i="26"/>
  <c r="AM17" i="26"/>
  <c r="AL17" i="26"/>
  <c r="AK17" i="26"/>
  <c r="AJ17" i="26"/>
  <c r="AI17" i="26"/>
  <c r="AH17" i="26"/>
  <c r="AG17" i="26"/>
  <c r="AF17" i="26"/>
  <c r="AE17" i="26"/>
  <c r="AD17" i="26"/>
  <c r="Y17" i="26"/>
  <c r="V17" i="26"/>
  <c r="T17" i="26"/>
  <c r="AM16" i="26"/>
  <c r="AK16" i="26"/>
  <c r="AF16" i="26"/>
  <c r="AG16" i="26" s="1"/>
  <c r="Y16" i="26"/>
  <c r="V16" i="26"/>
  <c r="T16" i="26"/>
  <c r="AH16" i="26" s="1"/>
  <c r="AI16" i="26" s="1"/>
  <c r="AK15" i="26"/>
  <c r="AF15" i="26"/>
  <c r="AG15" i="26" s="1"/>
  <c r="Y15" i="26"/>
  <c r="V15" i="26"/>
  <c r="T15" i="26"/>
  <c r="AE15" i="26" s="1"/>
  <c r="AK14" i="26"/>
  <c r="AG14" i="26"/>
  <c r="AF14" i="26"/>
  <c r="Y14" i="26"/>
  <c r="V14" i="26"/>
  <c r="T14" i="26"/>
  <c r="AH14" i="26" s="1"/>
  <c r="AI14" i="26" s="1"/>
  <c r="A14" i="26"/>
  <c r="AM13" i="26"/>
  <c r="AL13" i="26"/>
  <c r="AK13" i="26"/>
  <c r="AJ13" i="26"/>
  <c r="AI13" i="26"/>
  <c r="AH13" i="26"/>
  <c r="AG13" i="26"/>
  <c r="AF13" i="26"/>
  <c r="AE13" i="26"/>
  <c r="AD13" i="26"/>
  <c r="Y13" i="26"/>
  <c r="V13" i="26"/>
  <c r="T13" i="26"/>
  <c r="AM12" i="26"/>
  <c r="AL12" i="26"/>
  <c r="AK12" i="26"/>
  <c r="AJ12" i="26"/>
  <c r="AI12" i="26"/>
  <c r="AH12" i="26"/>
  <c r="AG12" i="26"/>
  <c r="AF12" i="26"/>
  <c r="AE12" i="26"/>
  <c r="AD12" i="26"/>
  <c r="Y12" i="26"/>
  <c r="V12" i="26"/>
  <c r="T12" i="26"/>
  <c r="A12" i="26"/>
  <c r="AM11" i="26"/>
  <c r="AL11" i="26"/>
  <c r="AK11" i="26"/>
  <c r="AJ11" i="26"/>
  <c r="AI11" i="26"/>
  <c r="AH11" i="26"/>
  <c r="AG11" i="26"/>
  <c r="AF11" i="26"/>
  <c r="AE11" i="26"/>
  <c r="AD11" i="26"/>
  <c r="Y11" i="26"/>
  <c r="V11" i="26"/>
  <c r="T11" i="26"/>
  <c r="AM10" i="26"/>
  <c r="AL10" i="26"/>
  <c r="AK10" i="26"/>
  <c r="AJ10" i="26"/>
  <c r="AI10" i="26"/>
  <c r="AH10" i="26"/>
  <c r="AG10" i="26"/>
  <c r="AF10" i="26"/>
  <c r="AE10" i="26"/>
  <c r="AD10" i="26"/>
  <c r="Y10" i="26"/>
  <c r="V10" i="26"/>
  <c r="T10" i="26"/>
  <c r="A10" i="26"/>
  <c r="W12" i="26" s="1"/>
  <c r="AM9" i="26"/>
  <c r="AL9" i="26"/>
  <c r="AK9" i="26"/>
  <c r="AJ9" i="26"/>
  <c r="AI9" i="26"/>
  <c r="AH9" i="26"/>
  <c r="AG9" i="26"/>
  <c r="AF9" i="26"/>
  <c r="AE9" i="26"/>
  <c r="AD9" i="26"/>
  <c r="Y9" i="26"/>
  <c r="W9" i="26"/>
  <c r="V9" i="26"/>
  <c r="T9" i="26"/>
  <c r="AM8" i="26"/>
  <c r="AL8" i="26"/>
  <c r="AK8" i="26"/>
  <c r="AJ8" i="26"/>
  <c r="AI8" i="26"/>
  <c r="AH8" i="26"/>
  <c r="AG8" i="26"/>
  <c r="AF8" i="26"/>
  <c r="AD8" i="26"/>
  <c r="AN8" i="26" s="1"/>
  <c r="Y8" i="26"/>
  <c r="V8" i="26"/>
  <c r="T8" i="26"/>
  <c r="AM7" i="26"/>
  <c r="AL7" i="26"/>
  <c r="AK7" i="26"/>
  <c r="AJ7" i="26"/>
  <c r="AI7" i="26"/>
  <c r="AH7" i="26"/>
  <c r="AG7" i="26"/>
  <c r="AF7" i="26"/>
  <c r="AD7" i="26"/>
  <c r="AN7" i="26" s="1"/>
  <c r="Y7" i="26"/>
  <c r="V7" i="26"/>
  <c r="T7" i="26"/>
  <c r="AM6" i="26"/>
  <c r="AL6" i="26"/>
  <c r="AK6" i="26"/>
  <c r="AJ6" i="26"/>
  <c r="AI6" i="26"/>
  <c r="AH6" i="26"/>
  <c r="AG6" i="26"/>
  <c r="AF6" i="26"/>
  <c r="AD6" i="26"/>
  <c r="AN6" i="26" s="1"/>
  <c r="Y6" i="26"/>
  <c r="V6" i="26"/>
  <c r="T6" i="26"/>
  <c r="A6" i="26"/>
  <c r="AM5" i="26"/>
  <c r="AL5" i="26"/>
  <c r="AK5" i="26"/>
  <c r="AJ5" i="26"/>
  <c r="AI5" i="26"/>
  <c r="AH5" i="26"/>
  <c r="AG5" i="26"/>
  <c r="AF5" i="26"/>
  <c r="AD5" i="26"/>
  <c r="AN5" i="26" s="1"/>
  <c r="Y5" i="26"/>
  <c r="V5" i="26"/>
  <c r="T5" i="26"/>
  <c r="F1" i="26"/>
  <c r="AM24" i="25"/>
  <c r="AL24" i="25"/>
  <c r="AK24" i="25"/>
  <c r="AJ24" i="25"/>
  <c r="AI24" i="25"/>
  <c r="AH24" i="25"/>
  <c r="AG24" i="25"/>
  <c r="AF24" i="25"/>
  <c r="AE24" i="25"/>
  <c r="AD24" i="25"/>
  <c r="AN24" i="25" s="1"/>
  <c r="Y24" i="25"/>
  <c r="W24" i="25"/>
  <c r="V24" i="25"/>
  <c r="U24" i="25"/>
  <c r="T24" i="25"/>
  <c r="AM23" i="25"/>
  <c r="AL23" i="25"/>
  <c r="AK23" i="25"/>
  <c r="AJ23" i="25"/>
  <c r="AI23" i="25"/>
  <c r="AH23" i="25"/>
  <c r="AG23" i="25"/>
  <c r="AF23" i="25"/>
  <c r="AE23" i="25"/>
  <c r="AD23" i="25"/>
  <c r="AN23" i="25" s="1"/>
  <c r="Y23" i="25"/>
  <c r="W23" i="25"/>
  <c r="V23" i="25"/>
  <c r="U23" i="25"/>
  <c r="T23" i="25"/>
  <c r="AM22" i="25"/>
  <c r="AL22" i="25"/>
  <c r="AK22" i="25"/>
  <c r="AJ22" i="25"/>
  <c r="AI22" i="25"/>
  <c r="AH22" i="25"/>
  <c r="AG22" i="25"/>
  <c r="AF22" i="25"/>
  <c r="AE22" i="25"/>
  <c r="AD22" i="25"/>
  <c r="Y22" i="25"/>
  <c r="W22" i="25"/>
  <c r="V22" i="25"/>
  <c r="U22" i="25"/>
  <c r="T22" i="25"/>
  <c r="AM21" i="25"/>
  <c r="AL21" i="25"/>
  <c r="AK21" i="25"/>
  <c r="AJ21" i="25"/>
  <c r="AI21" i="25"/>
  <c r="AH21" i="25"/>
  <c r="AG21" i="25"/>
  <c r="AF21" i="25"/>
  <c r="AE21" i="25"/>
  <c r="AD21" i="25"/>
  <c r="Y21" i="25"/>
  <c r="W21" i="25"/>
  <c r="V21" i="25"/>
  <c r="U21" i="25"/>
  <c r="T21" i="25"/>
  <c r="AM20" i="25"/>
  <c r="AL20" i="25"/>
  <c r="AK20" i="25"/>
  <c r="AJ20" i="25"/>
  <c r="AI20" i="25"/>
  <c r="AH20" i="25"/>
  <c r="AG20" i="25"/>
  <c r="AF20" i="25"/>
  <c r="AE20" i="25"/>
  <c r="AD20" i="25"/>
  <c r="AN20" i="25" s="1"/>
  <c r="Y20" i="25"/>
  <c r="W20" i="25"/>
  <c r="V20" i="25"/>
  <c r="U20" i="25"/>
  <c r="T20" i="25"/>
  <c r="AM19" i="25"/>
  <c r="AL19" i="25"/>
  <c r="AK19" i="25"/>
  <c r="AJ19" i="25"/>
  <c r="AI19" i="25"/>
  <c r="AH19" i="25"/>
  <c r="AG19" i="25"/>
  <c r="AF19" i="25"/>
  <c r="AE19" i="25"/>
  <c r="AD19" i="25"/>
  <c r="AN19" i="25" s="1"/>
  <c r="Y19" i="25"/>
  <c r="W19" i="25"/>
  <c r="V19" i="25"/>
  <c r="U19" i="25"/>
  <c r="T19" i="25"/>
  <c r="AM18" i="25"/>
  <c r="AL18" i="25"/>
  <c r="AK18" i="25"/>
  <c r="AJ18" i="25"/>
  <c r="AI18" i="25"/>
  <c r="AH18" i="25"/>
  <c r="AG18" i="25"/>
  <c r="AF18" i="25"/>
  <c r="AE18" i="25"/>
  <c r="AD18" i="25"/>
  <c r="Y18" i="25"/>
  <c r="W18" i="25"/>
  <c r="V18" i="25"/>
  <c r="U18" i="25"/>
  <c r="T18" i="25"/>
  <c r="AN17" i="25"/>
  <c r="AM17" i="25"/>
  <c r="AL17" i="25"/>
  <c r="AK17" i="25"/>
  <c r="AJ17" i="25"/>
  <c r="AI17" i="25"/>
  <c r="AH17" i="25"/>
  <c r="AG17" i="25"/>
  <c r="AF17" i="25"/>
  <c r="AE17" i="25"/>
  <c r="AD17" i="25"/>
  <c r="Y17" i="25"/>
  <c r="W17" i="25"/>
  <c r="V17" i="25"/>
  <c r="U17" i="25"/>
  <c r="T17" i="25"/>
  <c r="AM16" i="25"/>
  <c r="AL16" i="25"/>
  <c r="AK16" i="25"/>
  <c r="AJ16" i="25"/>
  <c r="AI16" i="25"/>
  <c r="AH16" i="25"/>
  <c r="AG16" i="25"/>
  <c r="AF16" i="25"/>
  <c r="AE16" i="25"/>
  <c r="AD16" i="25"/>
  <c r="Y16" i="25"/>
  <c r="W16" i="25"/>
  <c r="V16" i="25"/>
  <c r="U16" i="25"/>
  <c r="T16" i="25"/>
  <c r="A16" i="25"/>
  <c r="AM15" i="25"/>
  <c r="AL15" i="25"/>
  <c r="AK15" i="25"/>
  <c r="AJ15" i="25"/>
  <c r="AI15" i="25"/>
  <c r="AH15" i="25"/>
  <c r="AG15" i="25"/>
  <c r="AF15" i="25"/>
  <c r="AE15" i="25"/>
  <c r="AD15" i="25"/>
  <c r="AN15" i="25" s="1"/>
  <c r="Y15" i="25"/>
  <c r="W15" i="25"/>
  <c r="V15" i="25"/>
  <c r="U15" i="25"/>
  <c r="T15" i="25"/>
  <c r="AM14" i="25"/>
  <c r="AL14" i="25"/>
  <c r="AK14" i="25"/>
  <c r="AJ14" i="25"/>
  <c r="AI14" i="25"/>
  <c r="AH14" i="25"/>
  <c r="AG14" i="25"/>
  <c r="AF14" i="25"/>
  <c r="AE14" i="25"/>
  <c r="AD14" i="25"/>
  <c r="AN14" i="25" s="1"/>
  <c r="Y14" i="25"/>
  <c r="W14" i="25"/>
  <c r="V14" i="25"/>
  <c r="U14" i="25"/>
  <c r="T14" i="25"/>
  <c r="A14" i="25"/>
  <c r="AM13" i="25"/>
  <c r="AL13" i="25"/>
  <c r="AK13" i="25"/>
  <c r="AJ13" i="25"/>
  <c r="AI13" i="25"/>
  <c r="AH13" i="25"/>
  <c r="AG13" i="25"/>
  <c r="AF13" i="25"/>
  <c r="AE13" i="25"/>
  <c r="AD13" i="25"/>
  <c r="Y13" i="25"/>
  <c r="W13" i="25"/>
  <c r="V13" i="25"/>
  <c r="U13" i="25"/>
  <c r="T13" i="25"/>
  <c r="AM12" i="25"/>
  <c r="AL12" i="25"/>
  <c r="AK12" i="25"/>
  <c r="AJ12" i="25"/>
  <c r="AI12" i="25"/>
  <c r="AH12" i="25"/>
  <c r="AG12" i="25"/>
  <c r="AF12" i="25"/>
  <c r="AE12" i="25"/>
  <c r="AD12" i="25"/>
  <c r="Y12" i="25"/>
  <c r="W12" i="25"/>
  <c r="V12" i="25"/>
  <c r="U12" i="25"/>
  <c r="T12" i="25"/>
  <c r="A12" i="25"/>
  <c r="AM11" i="25"/>
  <c r="AL11" i="25"/>
  <c r="AK11" i="25"/>
  <c r="AJ11" i="25"/>
  <c r="AI11" i="25"/>
  <c r="AH11" i="25"/>
  <c r="AG11" i="25"/>
  <c r="AF11" i="25"/>
  <c r="AE11" i="25"/>
  <c r="AD11" i="25"/>
  <c r="Y11" i="25"/>
  <c r="W11" i="25"/>
  <c r="V11" i="25"/>
  <c r="U11" i="25"/>
  <c r="T11" i="25"/>
  <c r="AM10" i="25"/>
  <c r="AL10" i="25"/>
  <c r="AK10" i="25"/>
  <c r="AJ10" i="25"/>
  <c r="AI10" i="25"/>
  <c r="AH10" i="25"/>
  <c r="AG10" i="25"/>
  <c r="AF10" i="25"/>
  <c r="AE10" i="25"/>
  <c r="AD10" i="25"/>
  <c r="Y10" i="25"/>
  <c r="W10" i="25"/>
  <c r="V10" i="25"/>
  <c r="U10" i="25"/>
  <c r="T10" i="25"/>
  <c r="A10" i="25"/>
  <c r="AM9" i="25"/>
  <c r="AL9" i="25"/>
  <c r="AK9" i="25"/>
  <c r="AJ9" i="25"/>
  <c r="AI9" i="25"/>
  <c r="AH9" i="25"/>
  <c r="AG9" i="25"/>
  <c r="AF9" i="25"/>
  <c r="AE9" i="25"/>
  <c r="AD9" i="25"/>
  <c r="AN9" i="25" s="1"/>
  <c r="Y9" i="25"/>
  <c r="W9" i="25"/>
  <c r="V9" i="25"/>
  <c r="U9" i="25"/>
  <c r="T9" i="25"/>
  <c r="AM8" i="25"/>
  <c r="AL8" i="25"/>
  <c r="AK8" i="25"/>
  <c r="AJ8" i="25"/>
  <c r="AI8" i="25"/>
  <c r="AH8" i="25"/>
  <c r="AG8" i="25"/>
  <c r="AF8" i="25"/>
  <c r="AD8" i="25"/>
  <c r="AN8" i="25" s="1"/>
  <c r="Y8" i="25"/>
  <c r="W8" i="25"/>
  <c r="V8" i="25"/>
  <c r="U8" i="25"/>
  <c r="T8" i="25"/>
  <c r="AM7" i="25"/>
  <c r="AL7" i="25"/>
  <c r="AK7" i="25"/>
  <c r="AJ7" i="25"/>
  <c r="AI7" i="25"/>
  <c r="AH7" i="25"/>
  <c r="AG7" i="25"/>
  <c r="AF7" i="25"/>
  <c r="AD7" i="25"/>
  <c r="AN7" i="25" s="1"/>
  <c r="Y7" i="25"/>
  <c r="W7" i="25"/>
  <c r="V7" i="25"/>
  <c r="U7" i="25"/>
  <c r="T7" i="25"/>
  <c r="AM6" i="25"/>
  <c r="AL6" i="25"/>
  <c r="AK6" i="25"/>
  <c r="AJ6" i="25"/>
  <c r="AI6" i="25"/>
  <c r="AH6" i="25"/>
  <c r="AG6" i="25"/>
  <c r="AF6" i="25"/>
  <c r="AD6" i="25"/>
  <c r="AN6" i="25" s="1"/>
  <c r="Y6" i="25"/>
  <c r="W6" i="25"/>
  <c r="V6" i="25"/>
  <c r="U6" i="25"/>
  <c r="T6" i="25"/>
  <c r="A6" i="25"/>
  <c r="AM5" i="25"/>
  <c r="AL5" i="25"/>
  <c r="AK5" i="25"/>
  <c r="AJ5" i="25"/>
  <c r="AI5" i="25"/>
  <c r="AH5" i="25"/>
  <c r="AG5" i="25"/>
  <c r="AF5" i="25"/>
  <c r="AD5" i="25"/>
  <c r="AN5" i="25" s="1"/>
  <c r="Y5" i="25"/>
  <c r="W5" i="25"/>
  <c r="V5" i="25"/>
  <c r="U5" i="25"/>
  <c r="T5" i="25"/>
  <c r="F1" i="25"/>
  <c r="AK28" i="24"/>
  <c r="AF28" i="24"/>
  <c r="AG28" i="24" s="1"/>
  <c r="Y28" i="24"/>
  <c r="V28" i="24"/>
  <c r="T28" i="24"/>
  <c r="AH28" i="24" s="1"/>
  <c r="AI28" i="24" s="1"/>
  <c r="AM27" i="24"/>
  <c r="AK27" i="24"/>
  <c r="AF27" i="24"/>
  <c r="AG27" i="24" s="1"/>
  <c r="Y27" i="24"/>
  <c r="V27" i="24"/>
  <c r="T27" i="24"/>
  <c r="AH27" i="24" s="1"/>
  <c r="AI27" i="24" s="1"/>
  <c r="AM26" i="24"/>
  <c r="AK26" i="24"/>
  <c r="AF26" i="24"/>
  <c r="AG26" i="24" s="1"/>
  <c r="Y26" i="24"/>
  <c r="V26" i="24"/>
  <c r="T26" i="24"/>
  <c r="AH26" i="24" s="1"/>
  <c r="AI26" i="24" s="1"/>
  <c r="AM25" i="24"/>
  <c r="AK25" i="24"/>
  <c r="AF25" i="24"/>
  <c r="AG25" i="24" s="1"/>
  <c r="Y25" i="24"/>
  <c r="V25" i="24"/>
  <c r="T25" i="24"/>
  <c r="AH25" i="24" s="1"/>
  <c r="AI25" i="24" s="1"/>
  <c r="AM24" i="24"/>
  <c r="AK24" i="24"/>
  <c r="AG24" i="24"/>
  <c r="AF24" i="24"/>
  <c r="Y24" i="24"/>
  <c r="V24" i="24"/>
  <c r="T24" i="24"/>
  <c r="AH24" i="24" s="1"/>
  <c r="AI24" i="24" s="1"/>
  <c r="AK23" i="24"/>
  <c r="AH23" i="24"/>
  <c r="AI23" i="24" s="1"/>
  <c r="AF23" i="24"/>
  <c r="AG23" i="24" s="1"/>
  <c r="Y23" i="24"/>
  <c r="V23" i="24"/>
  <c r="T23" i="24"/>
  <c r="AM23" i="24" s="1"/>
  <c r="AM22" i="24"/>
  <c r="AK22" i="24"/>
  <c r="AF22" i="24"/>
  <c r="AG22" i="24" s="1"/>
  <c r="Y22" i="24"/>
  <c r="V22" i="24"/>
  <c r="T22" i="24"/>
  <c r="AD22" i="24" s="1"/>
  <c r="AM21" i="24"/>
  <c r="AK21" i="24"/>
  <c r="AF21" i="24"/>
  <c r="AG21" i="24" s="1"/>
  <c r="Y21" i="24"/>
  <c r="V21" i="24"/>
  <c r="T21" i="24"/>
  <c r="AE21" i="24" s="1"/>
  <c r="AM20" i="24"/>
  <c r="AK20" i="24"/>
  <c r="AF20" i="24"/>
  <c r="AG20" i="24" s="1"/>
  <c r="Y20" i="24"/>
  <c r="V20" i="24"/>
  <c r="T20" i="24"/>
  <c r="AE20" i="24" s="1"/>
  <c r="AM19" i="24"/>
  <c r="AK19" i="24"/>
  <c r="AF19" i="24"/>
  <c r="AG19" i="24" s="1"/>
  <c r="Y19" i="24"/>
  <c r="V19" i="24"/>
  <c r="T19" i="24"/>
  <c r="AE19" i="24" s="1"/>
  <c r="AM18" i="24"/>
  <c r="AK18" i="24"/>
  <c r="AF18" i="24"/>
  <c r="AG18" i="24" s="1"/>
  <c r="Y18" i="24"/>
  <c r="V18" i="24"/>
  <c r="T18" i="24"/>
  <c r="AH18" i="24" s="1"/>
  <c r="AI18" i="24" s="1"/>
  <c r="AM17" i="24"/>
  <c r="AK17" i="24"/>
  <c r="AF17" i="24"/>
  <c r="AG17" i="24" s="1"/>
  <c r="Y17" i="24"/>
  <c r="V17" i="24"/>
  <c r="T17" i="24"/>
  <c r="AH17" i="24" s="1"/>
  <c r="AI17" i="24" s="1"/>
  <c r="AM16" i="24"/>
  <c r="AL16" i="24"/>
  <c r="AK16" i="24"/>
  <c r="AJ16" i="24"/>
  <c r="AI16" i="24"/>
  <c r="AH16" i="24"/>
  <c r="AG16" i="24"/>
  <c r="AF16" i="24"/>
  <c r="AE16" i="24"/>
  <c r="AD16" i="24"/>
  <c r="Y16" i="24"/>
  <c r="V16" i="24"/>
  <c r="T16" i="24"/>
  <c r="AM15" i="24"/>
  <c r="AL15" i="24"/>
  <c r="AK15" i="24"/>
  <c r="AJ15" i="24"/>
  <c r="AI15" i="24"/>
  <c r="AH15" i="24"/>
  <c r="AG15" i="24"/>
  <c r="AF15" i="24"/>
  <c r="AE15" i="24"/>
  <c r="AD15" i="24"/>
  <c r="Y15" i="24"/>
  <c r="V15" i="24"/>
  <c r="T15" i="24"/>
  <c r="AM14" i="24"/>
  <c r="AL14" i="24"/>
  <c r="AK14" i="24"/>
  <c r="AJ14" i="24"/>
  <c r="AI14" i="24"/>
  <c r="AH14" i="24"/>
  <c r="AG14" i="24"/>
  <c r="AF14" i="24"/>
  <c r="AE14" i="24"/>
  <c r="AN14" i="24" s="1"/>
  <c r="AD14" i="24"/>
  <c r="Y14" i="24"/>
  <c r="V14" i="24"/>
  <c r="T14" i="24"/>
  <c r="AM13" i="24"/>
  <c r="AL13" i="24"/>
  <c r="AK13" i="24"/>
  <c r="AJ13" i="24"/>
  <c r="AI13" i="24"/>
  <c r="AH13" i="24"/>
  <c r="AG13" i="24"/>
  <c r="AF13" i="24"/>
  <c r="AE13" i="24"/>
  <c r="AD13" i="24"/>
  <c r="Y13" i="24"/>
  <c r="V13" i="24"/>
  <c r="T13" i="24"/>
  <c r="AM12" i="24"/>
  <c r="AL12" i="24"/>
  <c r="AK12" i="24"/>
  <c r="AJ12" i="24"/>
  <c r="AI12" i="24"/>
  <c r="AH12" i="24"/>
  <c r="AG12" i="24"/>
  <c r="AF12" i="24"/>
  <c r="AE12" i="24"/>
  <c r="AD12" i="24"/>
  <c r="Y12" i="24"/>
  <c r="V12" i="24"/>
  <c r="T12" i="24"/>
  <c r="A12" i="24"/>
  <c r="AM11" i="24"/>
  <c r="AL11" i="24"/>
  <c r="AK11" i="24"/>
  <c r="AJ11" i="24"/>
  <c r="AI11" i="24"/>
  <c r="AH11" i="24"/>
  <c r="AG11" i="24"/>
  <c r="AF11" i="24"/>
  <c r="AE11" i="24"/>
  <c r="AN11" i="24" s="1"/>
  <c r="AD11" i="24"/>
  <c r="Y11" i="24"/>
  <c r="V11" i="24"/>
  <c r="T11" i="24"/>
  <c r="AM10" i="24"/>
  <c r="AL10" i="24"/>
  <c r="AK10" i="24"/>
  <c r="AJ10" i="24"/>
  <c r="AI10" i="24"/>
  <c r="AH10" i="24"/>
  <c r="AG10" i="24"/>
  <c r="AF10" i="24"/>
  <c r="AE10" i="24"/>
  <c r="AD10" i="24"/>
  <c r="Y10" i="24"/>
  <c r="V10" i="24"/>
  <c r="T10" i="24"/>
  <c r="A10" i="24"/>
  <c r="U9" i="24" s="1"/>
  <c r="AM9" i="24"/>
  <c r="AL9" i="24"/>
  <c r="AK9" i="24"/>
  <c r="AJ9" i="24"/>
  <c r="AI9" i="24"/>
  <c r="AH9" i="24"/>
  <c r="AG9" i="24"/>
  <c r="AF9" i="24"/>
  <c r="AE9" i="24"/>
  <c r="AD9" i="24"/>
  <c r="Y9" i="24"/>
  <c r="V9" i="24"/>
  <c r="T9" i="24"/>
  <c r="AM8" i="24"/>
  <c r="AL8" i="24"/>
  <c r="AK8" i="24"/>
  <c r="AJ8" i="24"/>
  <c r="AI8" i="24"/>
  <c r="AH8" i="24"/>
  <c r="AG8" i="24"/>
  <c r="AF8" i="24"/>
  <c r="AD8" i="24"/>
  <c r="AN8" i="24" s="1"/>
  <c r="Y8" i="24"/>
  <c r="V8" i="24"/>
  <c r="T8" i="24"/>
  <c r="AM7" i="24"/>
  <c r="AL7" i="24"/>
  <c r="AK7" i="24"/>
  <c r="AJ7" i="24"/>
  <c r="AI7" i="24"/>
  <c r="AH7" i="24"/>
  <c r="AG7" i="24"/>
  <c r="AF7" i="24"/>
  <c r="AD7" i="24"/>
  <c r="AN7" i="24" s="1"/>
  <c r="Y7" i="24"/>
  <c r="V7" i="24"/>
  <c r="T7" i="24"/>
  <c r="AM6" i="24"/>
  <c r="AL6" i="24"/>
  <c r="AK6" i="24"/>
  <c r="AJ6" i="24"/>
  <c r="AI6" i="24"/>
  <c r="AH6" i="24"/>
  <c r="AG6" i="24"/>
  <c r="AF6" i="24"/>
  <c r="AD6" i="24"/>
  <c r="AN6" i="24" s="1"/>
  <c r="Y6" i="24"/>
  <c r="V6" i="24"/>
  <c r="T6" i="24"/>
  <c r="A6" i="24"/>
  <c r="AM5" i="24"/>
  <c r="AL5" i="24"/>
  <c r="AK5" i="24"/>
  <c r="AJ5" i="24"/>
  <c r="AI5" i="24"/>
  <c r="AH5" i="24"/>
  <c r="AG5" i="24"/>
  <c r="AF5" i="24"/>
  <c r="AD5" i="24"/>
  <c r="AN5" i="24" s="1"/>
  <c r="Y5" i="24"/>
  <c r="V5" i="24"/>
  <c r="T5" i="24"/>
  <c r="F1" i="24"/>
  <c r="AM27" i="23"/>
  <c r="S29" i="68" s="1"/>
  <c r="AK27" i="23"/>
  <c r="AF27" i="23"/>
  <c r="AG27" i="23" s="1"/>
  <c r="Y27" i="23"/>
  <c r="V27" i="23"/>
  <c r="T27" i="23"/>
  <c r="AH27" i="23" s="1"/>
  <c r="AI27" i="23" s="1"/>
  <c r="AM26" i="23"/>
  <c r="AK26" i="23"/>
  <c r="AF26" i="23"/>
  <c r="AG26" i="23" s="1"/>
  <c r="Y26" i="23"/>
  <c r="A14" i="23" s="1"/>
  <c r="V26" i="23"/>
  <c r="T26" i="23"/>
  <c r="AH26" i="23" s="1"/>
  <c r="AI26" i="23" s="1"/>
  <c r="AM25" i="23"/>
  <c r="AL25" i="23"/>
  <c r="AK25" i="23"/>
  <c r="AJ25" i="23"/>
  <c r="AI25" i="23"/>
  <c r="AH25" i="23"/>
  <c r="AG25" i="23"/>
  <c r="AF25" i="23"/>
  <c r="AE25" i="23"/>
  <c r="AD25" i="23"/>
  <c r="Y25" i="23"/>
  <c r="V25" i="23"/>
  <c r="T25" i="23"/>
  <c r="AM24" i="23"/>
  <c r="AL24" i="23"/>
  <c r="AK24" i="23"/>
  <c r="AJ24" i="23"/>
  <c r="AI24" i="23"/>
  <c r="AH24" i="23"/>
  <c r="AG24" i="23"/>
  <c r="AF24" i="23"/>
  <c r="AE24" i="23"/>
  <c r="AD24" i="23"/>
  <c r="Y24" i="23"/>
  <c r="V24" i="23"/>
  <c r="T24" i="23"/>
  <c r="AM23" i="23"/>
  <c r="AL23" i="23"/>
  <c r="AK23" i="23"/>
  <c r="AJ23" i="23"/>
  <c r="AI23" i="23"/>
  <c r="AH23" i="23"/>
  <c r="AG23" i="23"/>
  <c r="AF23" i="23"/>
  <c r="AE23" i="23"/>
  <c r="AD23" i="23"/>
  <c r="Y23" i="23"/>
  <c r="V23" i="23"/>
  <c r="T23" i="23"/>
  <c r="AM22" i="23"/>
  <c r="AL22" i="23"/>
  <c r="AK22" i="23"/>
  <c r="AJ22" i="23"/>
  <c r="AI22" i="23"/>
  <c r="AH22" i="23"/>
  <c r="AG22" i="23"/>
  <c r="AF22" i="23"/>
  <c r="AE22" i="23"/>
  <c r="AD22" i="23"/>
  <c r="Y22" i="23"/>
  <c r="V22" i="23"/>
  <c r="T22" i="23"/>
  <c r="AM21" i="23"/>
  <c r="AL21" i="23"/>
  <c r="AK21" i="23"/>
  <c r="AJ21" i="23"/>
  <c r="AI21" i="23"/>
  <c r="AH21" i="23"/>
  <c r="AG21" i="23"/>
  <c r="AF21" i="23"/>
  <c r="AE21" i="23"/>
  <c r="AD21" i="23"/>
  <c r="Y21" i="23"/>
  <c r="V21" i="23"/>
  <c r="T21" i="23"/>
  <c r="AM20" i="23"/>
  <c r="AL20" i="23"/>
  <c r="AK20" i="23"/>
  <c r="AJ20" i="23"/>
  <c r="AI20" i="23"/>
  <c r="AH20" i="23"/>
  <c r="AG20" i="23"/>
  <c r="AF20" i="23"/>
  <c r="AE20" i="23"/>
  <c r="AD20" i="23"/>
  <c r="Y20" i="23"/>
  <c r="V20" i="23"/>
  <c r="T20" i="23"/>
  <c r="AM19" i="23"/>
  <c r="AL19" i="23"/>
  <c r="AK19" i="23"/>
  <c r="AJ19" i="23"/>
  <c r="AI19" i="23"/>
  <c r="AH19" i="23"/>
  <c r="AG19" i="23"/>
  <c r="AF19" i="23"/>
  <c r="AE19" i="23"/>
  <c r="AD19" i="23"/>
  <c r="Y19" i="23"/>
  <c r="V19" i="23"/>
  <c r="T19" i="23"/>
  <c r="AM18" i="23"/>
  <c r="AL18" i="23"/>
  <c r="AK18" i="23"/>
  <c r="AJ18" i="23"/>
  <c r="AI18" i="23"/>
  <c r="AH18" i="23"/>
  <c r="AG18" i="23"/>
  <c r="AF18" i="23"/>
  <c r="AE18" i="23"/>
  <c r="AD18" i="23"/>
  <c r="Y18" i="23"/>
  <c r="V18" i="23"/>
  <c r="T18" i="23"/>
  <c r="AM17" i="23"/>
  <c r="AL17" i="23"/>
  <c r="AK17" i="23"/>
  <c r="AJ17" i="23"/>
  <c r="AI17" i="23"/>
  <c r="AH17" i="23"/>
  <c r="AG17" i="23"/>
  <c r="AF17" i="23"/>
  <c r="AE17" i="23"/>
  <c r="AD17" i="23"/>
  <c r="Y17" i="23"/>
  <c r="V17" i="23"/>
  <c r="T17" i="23"/>
  <c r="AM16" i="23"/>
  <c r="AL16" i="23"/>
  <c r="AK16" i="23"/>
  <c r="AJ16" i="23"/>
  <c r="AI16" i="23"/>
  <c r="AH16" i="23"/>
  <c r="AG16" i="23"/>
  <c r="AF16" i="23"/>
  <c r="AE16" i="23"/>
  <c r="AD16" i="23"/>
  <c r="Y16" i="23"/>
  <c r="V16" i="23"/>
  <c r="T16" i="23"/>
  <c r="AM15" i="23"/>
  <c r="AL15" i="23"/>
  <c r="AK15" i="23"/>
  <c r="AJ15" i="23"/>
  <c r="AI15" i="23"/>
  <c r="AH15" i="23"/>
  <c r="AG15" i="23"/>
  <c r="AF15" i="23"/>
  <c r="AE15" i="23"/>
  <c r="AD15" i="23"/>
  <c r="Y15" i="23"/>
  <c r="V15" i="23"/>
  <c r="T15" i="23"/>
  <c r="AM14" i="23"/>
  <c r="AL14" i="23"/>
  <c r="AK14" i="23"/>
  <c r="AJ14" i="23"/>
  <c r="AI14" i="23"/>
  <c r="AH14" i="23"/>
  <c r="AG14" i="23"/>
  <c r="AF14" i="23"/>
  <c r="AE14" i="23"/>
  <c r="AN14" i="23" s="1"/>
  <c r="AD14" i="23"/>
  <c r="Y14" i="23"/>
  <c r="V14" i="23"/>
  <c r="T14" i="23"/>
  <c r="AM13" i="23"/>
  <c r="AL13" i="23"/>
  <c r="AK13" i="23"/>
  <c r="AJ13" i="23"/>
  <c r="AI13" i="23"/>
  <c r="AH13" i="23"/>
  <c r="AG13" i="23"/>
  <c r="AF13" i="23"/>
  <c r="AE13" i="23"/>
  <c r="AD13" i="23"/>
  <c r="Y13" i="23"/>
  <c r="V13" i="23"/>
  <c r="T13" i="23"/>
  <c r="AM12" i="23"/>
  <c r="AL12" i="23"/>
  <c r="AK12" i="23"/>
  <c r="AJ12" i="23"/>
  <c r="AI12" i="23"/>
  <c r="AH12" i="23"/>
  <c r="AG12" i="23"/>
  <c r="AF12" i="23"/>
  <c r="AE12" i="23"/>
  <c r="AD12" i="23"/>
  <c r="Y12" i="23"/>
  <c r="V12" i="23"/>
  <c r="T12" i="23"/>
  <c r="A12" i="23"/>
  <c r="AM11" i="23"/>
  <c r="AL11" i="23"/>
  <c r="AK11" i="23"/>
  <c r="AJ11" i="23"/>
  <c r="AI11" i="23"/>
  <c r="AH11" i="23"/>
  <c r="AG11" i="23"/>
  <c r="AF11" i="23"/>
  <c r="AE11" i="23"/>
  <c r="AD11" i="23"/>
  <c r="Y11" i="23"/>
  <c r="V11" i="23"/>
  <c r="T11" i="23"/>
  <c r="AM10" i="23"/>
  <c r="AL10" i="23"/>
  <c r="AK10" i="23"/>
  <c r="AJ10" i="23"/>
  <c r="AI10" i="23"/>
  <c r="AH10" i="23"/>
  <c r="AG10" i="23"/>
  <c r="AF10" i="23"/>
  <c r="AE10" i="23"/>
  <c r="AD10" i="23"/>
  <c r="Y10" i="23"/>
  <c r="V10" i="23"/>
  <c r="T10" i="23"/>
  <c r="A10" i="23"/>
  <c r="AM9" i="23"/>
  <c r="AL9" i="23"/>
  <c r="AK9" i="23"/>
  <c r="AJ9" i="23"/>
  <c r="AI9" i="23"/>
  <c r="AH9" i="23"/>
  <c r="AG9" i="23"/>
  <c r="AF9" i="23"/>
  <c r="AE9" i="23"/>
  <c r="AD9" i="23"/>
  <c r="Y9" i="23"/>
  <c r="W9" i="23"/>
  <c r="V9" i="23"/>
  <c r="T9" i="23"/>
  <c r="AM8" i="23"/>
  <c r="AL8" i="23"/>
  <c r="AK8" i="23"/>
  <c r="AJ8" i="23"/>
  <c r="AI8" i="23"/>
  <c r="AH8" i="23"/>
  <c r="AG8" i="23"/>
  <c r="AF8" i="23"/>
  <c r="AD8" i="23"/>
  <c r="AN8" i="23" s="1"/>
  <c r="Y8" i="23"/>
  <c r="V8" i="23"/>
  <c r="T8" i="23"/>
  <c r="AM7" i="23"/>
  <c r="AL7" i="23"/>
  <c r="AK7" i="23"/>
  <c r="AJ7" i="23"/>
  <c r="AI7" i="23"/>
  <c r="AH7" i="23"/>
  <c r="AG7" i="23"/>
  <c r="AF7" i="23"/>
  <c r="AD7" i="23"/>
  <c r="AN7" i="23" s="1"/>
  <c r="Y7" i="23"/>
  <c r="V7" i="23"/>
  <c r="T7" i="23"/>
  <c r="AM6" i="23"/>
  <c r="AL6" i="23"/>
  <c r="AK6" i="23"/>
  <c r="AJ6" i="23"/>
  <c r="AI6" i="23"/>
  <c r="AH6" i="23"/>
  <c r="AG6" i="23"/>
  <c r="AF6" i="23"/>
  <c r="AD6" i="23"/>
  <c r="AN6" i="23" s="1"/>
  <c r="Y6" i="23"/>
  <c r="V6" i="23"/>
  <c r="T6" i="23"/>
  <c r="A6" i="23"/>
  <c r="AM5" i="23"/>
  <c r="AL5" i="23"/>
  <c r="AK5" i="23"/>
  <c r="AJ5" i="23"/>
  <c r="AI5" i="23"/>
  <c r="AH5" i="23"/>
  <c r="AG5" i="23"/>
  <c r="AF5" i="23"/>
  <c r="AD5" i="23"/>
  <c r="AN5" i="23" s="1"/>
  <c r="Y5" i="23"/>
  <c r="V5" i="23"/>
  <c r="T5" i="23"/>
  <c r="F1" i="23"/>
  <c r="AM24" i="72"/>
  <c r="AL24" i="72"/>
  <c r="AK24" i="72"/>
  <c r="AJ24" i="72"/>
  <c r="AI24" i="72"/>
  <c r="AH24" i="72"/>
  <c r="AG24" i="72"/>
  <c r="AF24" i="72"/>
  <c r="AE24" i="72"/>
  <c r="AD24" i="72"/>
  <c r="Y24" i="72"/>
  <c r="W24" i="72"/>
  <c r="V24" i="72"/>
  <c r="U24" i="72"/>
  <c r="T24" i="72"/>
  <c r="AM23" i="72"/>
  <c r="AL23" i="72"/>
  <c r="AK23" i="72"/>
  <c r="AJ23" i="72"/>
  <c r="AI23" i="72"/>
  <c r="AH23" i="72"/>
  <c r="AG23" i="72"/>
  <c r="AF23" i="72"/>
  <c r="AE23" i="72"/>
  <c r="AD23" i="72"/>
  <c r="Y23" i="72"/>
  <c r="W23" i="72"/>
  <c r="V23" i="72"/>
  <c r="U23" i="72"/>
  <c r="T23" i="72"/>
  <c r="AM22" i="72"/>
  <c r="AL22" i="72"/>
  <c r="AK22" i="72"/>
  <c r="AJ22" i="72"/>
  <c r="AI22" i="72"/>
  <c r="AH22" i="72"/>
  <c r="AG22" i="72"/>
  <c r="AF22" i="72"/>
  <c r="AE22" i="72"/>
  <c r="AD22" i="72"/>
  <c r="AN22" i="72" s="1"/>
  <c r="Y22" i="72"/>
  <c r="W22" i="72"/>
  <c r="V22" i="72"/>
  <c r="U22" i="72"/>
  <c r="T22" i="72"/>
  <c r="AM21" i="72"/>
  <c r="AL21" i="72"/>
  <c r="AK21" i="72"/>
  <c r="AJ21" i="72"/>
  <c r="AI21" i="72"/>
  <c r="AH21" i="72"/>
  <c r="AG21" i="72"/>
  <c r="AF21" i="72"/>
  <c r="AE21" i="72"/>
  <c r="AD21" i="72"/>
  <c r="AN21" i="72" s="1"/>
  <c r="Y21" i="72"/>
  <c r="W21" i="72"/>
  <c r="V21" i="72"/>
  <c r="U21" i="72"/>
  <c r="T21" i="72"/>
  <c r="AM20" i="72"/>
  <c r="AL20" i="72"/>
  <c r="AK20" i="72"/>
  <c r="AJ20" i="72"/>
  <c r="AI20" i="72"/>
  <c r="AH20" i="72"/>
  <c r="AG20" i="72"/>
  <c r="AF20" i="72"/>
  <c r="AE20" i="72"/>
  <c r="AD20" i="72"/>
  <c r="Y20" i="72"/>
  <c r="W20" i="72"/>
  <c r="V20" i="72"/>
  <c r="U20" i="72"/>
  <c r="T20" i="72"/>
  <c r="AM19" i="72"/>
  <c r="AL19" i="72"/>
  <c r="AK19" i="72"/>
  <c r="AJ19" i="72"/>
  <c r="AI19" i="72"/>
  <c r="AH19" i="72"/>
  <c r="AG19" i="72"/>
  <c r="AF19" i="72"/>
  <c r="AE19" i="72"/>
  <c r="AD19" i="72"/>
  <c r="Y19" i="72"/>
  <c r="W19" i="72"/>
  <c r="V19" i="72"/>
  <c r="U19" i="72"/>
  <c r="T19" i="72"/>
  <c r="AM18" i="72"/>
  <c r="AL18" i="72"/>
  <c r="AK18" i="72"/>
  <c r="AJ18" i="72"/>
  <c r="AI18" i="72"/>
  <c r="AH18" i="72"/>
  <c r="AG18" i="72"/>
  <c r="AF18" i="72"/>
  <c r="AE18" i="72"/>
  <c r="AD18" i="72"/>
  <c r="Y18" i="72"/>
  <c r="W18" i="72"/>
  <c r="V18" i="72"/>
  <c r="U18" i="72"/>
  <c r="T18" i="72"/>
  <c r="AM17" i="72"/>
  <c r="AL17" i="72"/>
  <c r="AK17" i="72"/>
  <c r="AJ17" i="72"/>
  <c r="AI17" i="72"/>
  <c r="AH17" i="72"/>
  <c r="AG17" i="72"/>
  <c r="AF17" i="72"/>
  <c r="AE17" i="72"/>
  <c r="AD17" i="72"/>
  <c r="Y17" i="72"/>
  <c r="W17" i="72"/>
  <c r="V17" i="72"/>
  <c r="U17" i="72"/>
  <c r="T17" i="72"/>
  <c r="AM16" i="72"/>
  <c r="AL16" i="72"/>
  <c r="AK16" i="72"/>
  <c r="AJ16" i="72"/>
  <c r="AI16" i="72"/>
  <c r="AH16" i="72"/>
  <c r="AG16" i="72"/>
  <c r="AF16" i="72"/>
  <c r="AE16" i="72"/>
  <c r="AD16" i="72"/>
  <c r="Y16" i="72"/>
  <c r="W16" i="72"/>
  <c r="V16" i="72"/>
  <c r="U16" i="72"/>
  <c r="T16" i="72"/>
  <c r="A16" i="72"/>
  <c r="AM15" i="72"/>
  <c r="AL15" i="72"/>
  <c r="AK15" i="72"/>
  <c r="AJ15" i="72"/>
  <c r="AI15" i="72"/>
  <c r="AH15" i="72"/>
  <c r="AG15" i="72"/>
  <c r="AF15" i="72"/>
  <c r="AE15" i="72"/>
  <c r="AD15" i="72"/>
  <c r="Y15" i="72"/>
  <c r="W15" i="72"/>
  <c r="V15" i="72"/>
  <c r="U15" i="72"/>
  <c r="T15" i="72"/>
  <c r="AM14" i="72"/>
  <c r="AL14" i="72"/>
  <c r="AK14" i="72"/>
  <c r="AJ14" i="72"/>
  <c r="AI14" i="72"/>
  <c r="AH14" i="72"/>
  <c r="AG14" i="72"/>
  <c r="AF14" i="72"/>
  <c r="AE14" i="72"/>
  <c r="AD14" i="72"/>
  <c r="Y14" i="72"/>
  <c r="W14" i="72"/>
  <c r="V14" i="72"/>
  <c r="U14" i="72"/>
  <c r="T14" i="72"/>
  <c r="A14" i="72"/>
  <c r="AM13" i="72"/>
  <c r="AL13" i="72"/>
  <c r="AK13" i="72"/>
  <c r="AJ13" i="72"/>
  <c r="AI13" i="72"/>
  <c r="AH13" i="72"/>
  <c r="AG13" i="72"/>
  <c r="AF13" i="72"/>
  <c r="AE13" i="72"/>
  <c r="AD13" i="72"/>
  <c r="AN13" i="72" s="1"/>
  <c r="Y13" i="72"/>
  <c r="W13" i="72"/>
  <c r="V13" i="72"/>
  <c r="U13" i="72"/>
  <c r="T13" i="72"/>
  <c r="AM12" i="72"/>
  <c r="AL12" i="72"/>
  <c r="AK12" i="72"/>
  <c r="AJ12" i="72"/>
  <c r="AI12" i="72"/>
  <c r="AH12" i="72"/>
  <c r="AG12" i="72"/>
  <c r="AF12" i="72"/>
  <c r="AE12" i="72"/>
  <c r="AD12" i="72"/>
  <c r="Y12" i="72"/>
  <c r="W12" i="72"/>
  <c r="V12" i="72"/>
  <c r="U12" i="72"/>
  <c r="T12" i="72"/>
  <c r="A12" i="72"/>
  <c r="AM11" i="72"/>
  <c r="AL11" i="72"/>
  <c r="AK11" i="72"/>
  <c r="AJ11" i="72"/>
  <c r="AI11" i="72"/>
  <c r="AH11" i="72"/>
  <c r="AG11" i="72"/>
  <c r="AF11" i="72"/>
  <c r="AE11" i="72"/>
  <c r="AD11" i="72"/>
  <c r="Y11" i="72"/>
  <c r="W11" i="72"/>
  <c r="V11" i="72"/>
  <c r="U11" i="72"/>
  <c r="T11" i="72"/>
  <c r="AM10" i="72"/>
  <c r="AL10" i="72"/>
  <c r="AK10" i="72"/>
  <c r="AJ10" i="72"/>
  <c r="AI10" i="72"/>
  <c r="AH10" i="72"/>
  <c r="AG10" i="72"/>
  <c r="AF10" i="72"/>
  <c r="AE10" i="72"/>
  <c r="AD10" i="72"/>
  <c r="Y10" i="72"/>
  <c r="W10" i="72"/>
  <c r="V10" i="72"/>
  <c r="U10" i="72"/>
  <c r="T10" i="72"/>
  <c r="A10" i="72"/>
  <c r="AM9" i="72"/>
  <c r="AL9" i="72"/>
  <c r="AK9" i="72"/>
  <c r="AJ9" i="72"/>
  <c r="AI9" i="72"/>
  <c r="AH9" i="72"/>
  <c r="AG9" i="72"/>
  <c r="AF9" i="72"/>
  <c r="AE9" i="72"/>
  <c r="AD9" i="72"/>
  <c r="Y9" i="72"/>
  <c r="W9" i="72"/>
  <c r="V9" i="72"/>
  <c r="U9" i="72"/>
  <c r="T9" i="72"/>
  <c r="AM8" i="72"/>
  <c r="AL8" i="72"/>
  <c r="AK8" i="72"/>
  <c r="AJ8" i="72"/>
  <c r="AI8" i="72"/>
  <c r="AH8" i="72"/>
  <c r="AG8" i="72"/>
  <c r="AF8" i="72"/>
  <c r="AD8" i="72"/>
  <c r="AN8" i="72" s="1"/>
  <c r="Y8" i="72"/>
  <c r="W8" i="72"/>
  <c r="V8" i="72"/>
  <c r="U8" i="72"/>
  <c r="T8" i="72"/>
  <c r="AM7" i="72"/>
  <c r="AL7" i="72"/>
  <c r="AK7" i="72"/>
  <c r="AJ7" i="72"/>
  <c r="AI7" i="72"/>
  <c r="AH7" i="72"/>
  <c r="AG7" i="72"/>
  <c r="AF7" i="72"/>
  <c r="AD7" i="72"/>
  <c r="AN7" i="72" s="1"/>
  <c r="Y7" i="72"/>
  <c r="W7" i="72"/>
  <c r="V7" i="72"/>
  <c r="U7" i="72"/>
  <c r="T7" i="72"/>
  <c r="AM6" i="72"/>
  <c r="AL6" i="72"/>
  <c r="AK6" i="72"/>
  <c r="AJ6" i="72"/>
  <c r="AI6" i="72"/>
  <c r="AH6" i="72"/>
  <c r="AG6" i="72"/>
  <c r="AF6" i="72"/>
  <c r="AD6" i="72"/>
  <c r="AN6" i="72" s="1"/>
  <c r="Y6" i="72"/>
  <c r="W6" i="72"/>
  <c r="V6" i="72"/>
  <c r="U6" i="72"/>
  <c r="T6" i="72"/>
  <c r="A6" i="72"/>
  <c r="AM5" i="72"/>
  <c r="AL5" i="72"/>
  <c r="AK5" i="72"/>
  <c r="AJ5" i="72"/>
  <c r="AI5" i="72"/>
  <c r="AH5" i="72"/>
  <c r="AG5" i="72"/>
  <c r="AF5" i="72"/>
  <c r="AD5" i="72"/>
  <c r="AN5" i="72" s="1"/>
  <c r="Y5" i="72"/>
  <c r="W5" i="72"/>
  <c r="V5" i="72"/>
  <c r="U5" i="72"/>
  <c r="T5" i="72"/>
  <c r="F1" i="72"/>
  <c r="AM22" i="70"/>
  <c r="AK22" i="70"/>
  <c r="AF22" i="70"/>
  <c r="AG22" i="70" s="1"/>
  <c r="AE22" i="70"/>
  <c r="Y22" i="70"/>
  <c r="V22" i="70"/>
  <c r="T22" i="70"/>
  <c r="AD22" i="70" s="1"/>
  <c r="AM21" i="70"/>
  <c r="AK21" i="70"/>
  <c r="AH21" i="70"/>
  <c r="AI21" i="70" s="1"/>
  <c r="AF21" i="70"/>
  <c r="AG21" i="70" s="1"/>
  <c r="Y21" i="70"/>
  <c r="V21" i="70"/>
  <c r="T21" i="70"/>
  <c r="AE21" i="70" s="1"/>
  <c r="AM20" i="70"/>
  <c r="AK20" i="70"/>
  <c r="AH20" i="70"/>
  <c r="AI20" i="70" s="1"/>
  <c r="AG20" i="70"/>
  <c r="AL20" i="70" s="1"/>
  <c r="AF20" i="70"/>
  <c r="Y20" i="70"/>
  <c r="V20" i="70"/>
  <c r="T20" i="70"/>
  <c r="AE20" i="70" s="1"/>
  <c r="AM19" i="70"/>
  <c r="AK19" i="70"/>
  <c r="AF19" i="70"/>
  <c r="AG19" i="70" s="1"/>
  <c r="Y19" i="70"/>
  <c r="V19" i="70"/>
  <c r="T19" i="70"/>
  <c r="AE19" i="70" s="1"/>
  <c r="AK18" i="70"/>
  <c r="AF18" i="70"/>
  <c r="AG18" i="70" s="1"/>
  <c r="Y18" i="70"/>
  <c r="V18" i="70"/>
  <c r="T18" i="70"/>
  <c r="AH18" i="70" s="1"/>
  <c r="AI18" i="70" s="1"/>
  <c r="AM17" i="70"/>
  <c r="AK17" i="70"/>
  <c r="AF17" i="70"/>
  <c r="AG17" i="70" s="1"/>
  <c r="Y17" i="70"/>
  <c r="V17" i="70"/>
  <c r="T17" i="70"/>
  <c r="AH17" i="70" s="1"/>
  <c r="AI17" i="70" s="1"/>
  <c r="AK16" i="70"/>
  <c r="AF16" i="70"/>
  <c r="AG16" i="70" s="1"/>
  <c r="Y16" i="70"/>
  <c r="V16" i="70"/>
  <c r="AM16" i="70"/>
  <c r="AK15" i="70"/>
  <c r="AF15" i="70"/>
  <c r="AG15" i="70" s="1"/>
  <c r="AE15" i="70"/>
  <c r="AD15" i="70"/>
  <c r="Y15" i="70"/>
  <c r="V15" i="70"/>
  <c r="AM15" i="70"/>
  <c r="AM14" i="70"/>
  <c r="AK14" i="70"/>
  <c r="AH14" i="70"/>
  <c r="AI14" i="70" s="1"/>
  <c r="AF14" i="70"/>
  <c r="AG14" i="70" s="1"/>
  <c r="AE14" i="70"/>
  <c r="Y14" i="70"/>
  <c r="V14" i="70"/>
  <c r="T14" i="70"/>
  <c r="AD14" i="70" s="1"/>
  <c r="AM13" i="70"/>
  <c r="AK13" i="70"/>
  <c r="AH13" i="70"/>
  <c r="AI13" i="70" s="1"/>
  <c r="AF13" i="70"/>
  <c r="AG13" i="70" s="1"/>
  <c r="AD13" i="70"/>
  <c r="Y13" i="70"/>
  <c r="V13" i="70"/>
  <c r="T13" i="70"/>
  <c r="AE13" i="70" s="1"/>
  <c r="AK12" i="70"/>
  <c r="AF12" i="70"/>
  <c r="AG12" i="70" s="1"/>
  <c r="AE12" i="70"/>
  <c r="Y12" i="70"/>
  <c r="V12" i="70"/>
  <c r="T12" i="70"/>
  <c r="AD12" i="70" s="1"/>
  <c r="A12" i="70"/>
  <c r="AM11" i="70"/>
  <c r="AK11" i="70"/>
  <c r="AH11" i="70"/>
  <c r="AI11" i="70" s="1"/>
  <c r="AG11" i="70"/>
  <c r="AF11" i="70"/>
  <c r="Y11" i="70"/>
  <c r="W11" i="70"/>
  <c r="V11" i="70"/>
  <c r="T11" i="70"/>
  <c r="AE11" i="70" s="1"/>
  <c r="AK10" i="70"/>
  <c r="AI10" i="70"/>
  <c r="AH10" i="70"/>
  <c r="AF10" i="70"/>
  <c r="AG10" i="70" s="1"/>
  <c r="Y10" i="70"/>
  <c r="V10" i="70"/>
  <c r="T10" i="70"/>
  <c r="AE10" i="70" s="1"/>
  <c r="A10" i="70"/>
  <c r="AK9" i="70"/>
  <c r="AF9" i="70"/>
  <c r="AG9" i="70" s="1"/>
  <c r="Y9" i="70"/>
  <c r="W9" i="70"/>
  <c r="V9" i="70"/>
  <c r="T9" i="70"/>
  <c r="AH9" i="70" s="1"/>
  <c r="AI9" i="70" s="1"/>
  <c r="AM8" i="70"/>
  <c r="AK8" i="70"/>
  <c r="AG8" i="70"/>
  <c r="AL8" i="70" s="1"/>
  <c r="AF8" i="70"/>
  <c r="Y8" i="70"/>
  <c r="V8" i="70"/>
  <c r="T8" i="70"/>
  <c r="AH8" i="70" s="1"/>
  <c r="AI8" i="70" s="1"/>
  <c r="AM7" i="70"/>
  <c r="AK7" i="70"/>
  <c r="AG7" i="70"/>
  <c r="AL7" i="70" s="1"/>
  <c r="AF7" i="70"/>
  <c r="Y7" i="70"/>
  <c r="V7" i="70"/>
  <c r="T7" i="70"/>
  <c r="AH7" i="70" s="1"/>
  <c r="AI7" i="70" s="1"/>
  <c r="AM6" i="70"/>
  <c r="AK6" i="70"/>
  <c r="AF6" i="70"/>
  <c r="AG6" i="70" s="1"/>
  <c r="Y6" i="70"/>
  <c r="V6" i="70"/>
  <c r="T6" i="70"/>
  <c r="AH6" i="70" s="1"/>
  <c r="AI6" i="70" s="1"/>
  <c r="A6" i="70"/>
  <c r="AK5" i="70"/>
  <c r="AG5" i="70"/>
  <c r="AF5" i="70"/>
  <c r="Y5" i="70"/>
  <c r="V5" i="70"/>
  <c r="T5" i="70"/>
  <c r="AM5" i="70" s="1"/>
  <c r="F1" i="70"/>
  <c r="AM67" i="69"/>
  <c r="AK67" i="69"/>
  <c r="AF67" i="69"/>
  <c r="AG67" i="69" s="1"/>
  <c r="Y67" i="69"/>
  <c r="V67" i="69"/>
  <c r="T67" i="69"/>
  <c r="AH67" i="69" s="1"/>
  <c r="AI67" i="69" s="1"/>
  <c r="AM66" i="69"/>
  <c r="AK66" i="69"/>
  <c r="AF66" i="69"/>
  <c r="AG66" i="69" s="1"/>
  <c r="Y66" i="69"/>
  <c r="V66" i="69"/>
  <c r="T66" i="69"/>
  <c r="AH66" i="69" s="1"/>
  <c r="AI66" i="69" s="1"/>
  <c r="AM65" i="69"/>
  <c r="AK65" i="69"/>
  <c r="AG65" i="69"/>
  <c r="AF65" i="69"/>
  <c r="Y65" i="69"/>
  <c r="V65" i="69"/>
  <c r="T65" i="69"/>
  <c r="AH65" i="69" s="1"/>
  <c r="AI65" i="69" s="1"/>
  <c r="AM64" i="69"/>
  <c r="AK64" i="69"/>
  <c r="AF64" i="69"/>
  <c r="AG64" i="69" s="1"/>
  <c r="Y64" i="69"/>
  <c r="V64" i="69"/>
  <c r="T64" i="69"/>
  <c r="AH64" i="69" s="1"/>
  <c r="AI64" i="69" s="1"/>
  <c r="AM63" i="69"/>
  <c r="AK63" i="69"/>
  <c r="AF63" i="69"/>
  <c r="AG63" i="69" s="1"/>
  <c r="Y63" i="69"/>
  <c r="V63" i="69"/>
  <c r="T63" i="69"/>
  <c r="AH63" i="69" s="1"/>
  <c r="AI63" i="69" s="1"/>
  <c r="AM62" i="69"/>
  <c r="AK62" i="69"/>
  <c r="AF62" i="69"/>
  <c r="AG62" i="69" s="1"/>
  <c r="Y62" i="69"/>
  <c r="V62" i="69"/>
  <c r="T62" i="69"/>
  <c r="AH62" i="69" s="1"/>
  <c r="AI62" i="69" s="1"/>
  <c r="AM61" i="69"/>
  <c r="AK61" i="69"/>
  <c r="AF61" i="69"/>
  <c r="AG61" i="69" s="1"/>
  <c r="AE61" i="69"/>
  <c r="AD61" i="69"/>
  <c r="Y61" i="69"/>
  <c r="V61" i="69"/>
  <c r="T61" i="69"/>
  <c r="AH61" i="69" s="1"/>
  <c r="AI61" i="69" s="1"/>
  <c r="AM60" i="69"/>
  <c r="AK60" i="69"/>
  <c r="AF60" i="69"/>
  <c r="AG60" i="69" s="1"/>
  <c r="Y60" i="69"/>
  <c r="V60" i="69"/>
  <c r="T60" i="69"/>
  <c r="AE60" i="69" s="1"/>
  <c r="AK36" i="69"/>
  <c r="AH36" i="69"/>
  <c r="AI36" i="69" s="1"/>
  <c r="AF36" i="69"/>
  <c r="AG36" i="69" s="1"/>
  <c r="Y36" i="69"/>
  <c r="V36" i="69"/>
  <c r="T36" i="69"/>
  <c r="AE36" i="69" s="1"/>
  <c r="AK35" i="69"/>
  <c r="AG35" i="69"/>
  <c r="AF35" i="69"/>
  <c r="Y35" i="69"/>
  <c r="V35" i="69"/>
  <c r="T35" i="69"/>
  <c r="AH35" i="69" s="1"/>
  <c r="AI35" i="69" s="1"/>
  <c r="AK34" i="69"/>
  <c r="AF34" i="69"/>
  <c r="AG34" i="69" s="1"/>
  <c r="Y34" i="69"/>
  <c r="V34" i="69"/>
  <c r="T34" i="69"/>
  <c r="AH34" i="69" s="1"/>
  <c r="AI34" i="69" s="1"/>
  <c r="AM33" i="69"/>
  <c r="AK33" i="69"/>
  <c r="AF33" i="69"/>
  <c r="AG33" i="69" s="1"/>
  <c r="Y33" i="69"/>
  <c r="V33" i="69"/>
  <c r="T33" i="69"/>
  <c r="AH33" i="69" s="1"/>
  <c r="AI33" i="69" s="1"/>
  <c r="AK32" i="69"/>
  <c r="AF32" i="69"/>
  <c r="AG32" i="69" s="1"/>
  <c r="Y32" i="69"/>
  <c r="V32" i="69"/>
  <c r="T32" i="69"/>
  <c r="AM32" i="69" s="1"/>
  <c r="AK31" i="69"/>
  <c r="AF31" i="69"/>
  <c r="AG31" i="69" s="1"/>
  <c r="AE31" i="69"/>
  <c r="AD31" i="69"/>
  <c r="Y31" i="69"/>
  <c r="V31" i="69"/>
  <c r="T31" i="69"/>
  <c r="AM31" i="69" s="1"/>
  <c r="AK30" i="69"/>
  <c r="AF30" i="69"/>
  <c r="AG30" i="69" s="1"/>
  <c r="AE30" i="69"/>
  <c r="Y30" i="69"/>
  <c r="V30" i="69"/>
  <c r="T30" i="69"/>
  <c r="AM30" i="69" s="1"/>
  <c r="AK29" i="69"/>
  <c r="AF29" i="69"/>
  <c r="AG29" i="69" s="1"/>
  <c r="AD29" i="69"/>
  <c r="Y29" i="69"/>
  <c r="V29" i="69"/>
  <c r="T29" i="69"/>
  <c r="AM29" i="69" s="1"/>
  <c r="AK28" i="69"/>
  <c r="AG28" i="69"/>
  <c r="AF28" i="69"/>
  <c r="Y28" i="69"/>
  <c r="V28" i="69"/>
  <c r="T28" i="69"/>
  <c r="AD28" i="69" s="1"/>
  <c r="AK27" i="69"/>
  <c r="AF27" i="69"/>
  <c r="AG27" i="69" s="1"/>
  <c r="Y27" i="69"/>
  <c r="V27" i="69"/>
  <c r="T27" i="69"/>
  <c r="AE27" i="69" s="1"/>
  <c r="AK26" i="69"/>
  <c r="AF26" i="69"/>
  <c r="AG26" i="69" s="1"/>
  <c r="Y26" i="69"/>
  <c r="V26" i="69"/>
  <c r="T26" i="69"/>
  <c r="AE26" i="69" s="1"/>
  <c r="AK25" i="69"/>
  <c r="AF25" i="69"/>
  <c r="AG25" i="69" s="1"/>
  <c r="Y25" i="69"/>
  <c r="V25" i="69"/>
  <c r="T25" i="69"/>
  <c r="AE25" i="69" s="1"/>
  <c r="AK24" i="69"/>
  <c r="AF24" i="69"/>
  <c r="AG24" i="69" s="1"/>
  <c r="Y24" i="69"/>
  <c r="V24" i="69"/>
  <c r="T24" i="69"/>
  <c r="AH24" i="69" s="1"/>
  <c r="AI24" i="69" s="1"/>
  <c r="AK23" i="69"/>
  <c r="AF23" i="69"/>
  <c r="AG23" i="69" s="1"/>
  <c r="Y23" i="69"/>
  <c r="V23" i="69"/>
  <c r="T23" i="69"/>
  <c r="AH23" i="69" s="1"/>
  <c r="AI23" i="69" s="1"/>
  <c r="AK22" i="69"/>
  <c r="AF22" i="69"/>
  <c r="AG22" i="69" s="1"/>
  <c r="Y22" i="69"/>
  <c r="V22" i="69"/>
  <c r="T22" i="69"/>
  <c r="AH22" i="69" s="1"/>
  <c r="AI22" i="69" s="1"/>
  <c r="AK21" i="69"/>
  <c r="AF21" i="69"/>
  <c r="AG21" i="69" s="1"/>
  <c r="Y21" i="69"/>
  <c r="V21" i="69"/>
  <c r="T21" i="69"/>
  <c r="AH21" i="69" s="1"/>
  <c r="AI21" i="69" s="1"/>
  <c r="AK20" i="69"/>
  <c r="AF20" i="69"/>
  <c r="AG20" i="69" s="1"/>
  <c r="Y20" i="69"/>
  <c r="V20" i="69"/>
  <c r="T20" i="69"/>
  <c r="AM20" i="69" s="1"/>
  <c r="AK19" i="69"/>
  <c r="AH19" i="69"/>
  <c r="AI19" i="69" s="1"/>
  <c r="AF19" i="69"/>
  <c r="AG19" i="69" s="1"/>
  <c r="AE19" i="69"/>
  <c r="AD19" i="69"/>
  <c r="Y19" i="69"/>
  <c r="V19" i="69"/>
  <c r="T19" i="69"/>
  <c r="AM19" i="69" s="1"/>
  <c r="AK18" i="69"/>
  <c r="AF18" i="69"/>
  <c r="AG18" i="69" s="1"/>
  <c r="Y18" i="69"/>
  <c r="V18" i="69"/>
  <c r="T18" i="69"/>
  <c r="AM18" i="69" s="1"/>
  <c r="AK17" i="69"/>
  <c r="AF17" i="69"/>
  <c r="AG17" i="69" s="1"/>
  <c r="AD17" i="69"/>
  <c r="Y17" i="69"/>
  <c r="V17" i="69"/>
  <c r="T17" i="69"/>
  <c r="AM17" i="69" s="1"/>
  <c r="AK16" i="69"/>
  <c r="AF16" i="69"/>
  <c r="AG16" i="69" s="1"/>
  <c r="Y16" i="69"/>
  <c r="V16" i="69"/>
  <c r="T16" i="69"/>
  <c r="AD16" i="69" s="1"/>
  <c r="AK15" i="69"/>
  <c r="AH15" i="69"/>
  <c r="AI15" i="69" s="1"/>
  <c r="AF15" i="69"/>
  <c r="AG15" i="69" s="1"/>
  <c r="Y15" i="69"/>
  <c r="V15" i="69"/>
  <c r="T15" i="69"/>
  <c r="AE15" i="69" s="1"/>
  <c r="AK14" i="69"/>
  <c r="AF14" i="69"/>
  <c r="AG14" i="69" s="1"/>
  <c r="Y14" i="69"/>
  <c r="V14" i="69"/>
  <c r="T14" i="69"/>
  <c r="AE14" i="69" s="1"/>
  <c r="AK13" i="69"/>
  <c r="AF13" i="69"/>
  <c r="AG13" i="69" s="1"/>
  <c r="Y13" i="69"/>
  <c r="V13" i="69"/>
  <c r="T13" i="69"/>
  <c r="AH13" i="69" s="1"/>
  <c r="AI13" i="69" s="1"/>
  <c r="AK12" i="69"/>
  <c r="AF12" i="69"/>
  <c r="AG12" i="69" s="1"/>
  <c r="Y12" i="69"/>
  <c r="V12" i="69"/>
  <c r="T12" i="69"/>
  <c r="AH12" i="69" s="1"/>
  <c r="AI12" i="69" s="1"/>
  <c r="A12" i="69"/>
  <c r="AK11" i="69"/>
  <c r="AF11" i="69"/>
  <c r="AG11" i="69" s="1"/>
  <c r="Y11" i="69"/>
  <c r="V11" i="69"/>
  <c r="T11" i="69"/>
  <c r="AH11" i="69" s="1"/>
  <c r="AI11" i="69" s="1"/>
  <c r="AK10" i="69"/>
  <c r="AF10" i="69"/>
  <c r="AG10" i="69" s="1"/>
  <c r="Y10" i="69"/>
  <c r="V10" i="69"/>
  <c r="T10" i="69"/>
  <c r="AM10" i="69" s="1"/>
  <c r="A10" i="69"/>
  <c r="W21" i="69" s="1"/>
  <c r="AK9" i="69"/>
  <c r="AI9" i="69"/>
  <c r="AH9" i="69"/>
  <c r="AF9" i="69"/>
  <c r="AG9" i="69" s="1"/>
  <c r="AE9" i="69"/>
  <c r="AD9" i="69"/>
  <c r="Y9" i="69"/>
  <c r="V9" i="69"/>
  <c r="T9" i="69"/>
  <c r="AM9" i="69" s="1"/>
  <c r="AK8" i="69"/>
  <c r="AF8" i="69"/>
  <c r="AG8" i="69" s="1"/>
  <c r="Y8" i="69"/>
  <c r="V8" i="69"/>
  <c r="T8" i="69"/>
  <c r="AM8" i="69" s="1"/>
  <c r="AK7" i="69"/>
  <c r="AF7" i="69"/>
  <c r="AG7" i="69" s="1"/>
  <c r="AD7" i="69"/>
  <c r="Y7" i="69"/>
  <c r="V7" i="69"/>
  <c r="T7" i="69"/>
  <c r="AM7" i="69" s="1"/>
  <c r="AK6" i="69"/>
  <c r="AH6" i="69"/>
  <c r="AI6" i="69" s="1"/>
  <c r="AG6" i="69"/>
  <c r="AF6" i="69"/>
  <c r="AD6" i="69"/>
  <c r="Y6" i="69"/>
  <c r="V6" i="69"/>
  <c r="T6" i="69"/>
  <c r="AM6" i="69" s="1"/>
  <c r="AN6" i="69" s="1"/>
  <c r="A6" i="69"/>
  <c r="AK5" i="69"/>
  <c r="AF5" i="69"/>
  <c r="AG5" i="69" s="1"/>
  <c r="Y5" i="69"/>
  <c r="V5" i="69"/>
  <c r="T5" i="69"/>
  <c r="AD5" i="69" s="1"/>
  <c r="F1" i="69"/>
  <c r="AK68" i="22"/>
  <c r="AF68" i="22"/>
  <c r="AG68" i="22" s="1"/>
  <c r="Y68" i="22"/>
  <c r="V68" i="22"/>
  <c r="T68" i="22"/>
  <c r="AM68" i="22" s="1"/>
  <c r="AK67" i="22"/>
  <c r="AF67" i="22"/>
  <c r="AG67" i="22" s="1"/>
  <c r="Y67" i="22"/>
  <c r="V67" i="22"/>
  <c r="T67" i="22"/>
  <c r="AD67" i="22" s="1"/>
  <c r="AK66" i="22"/>
  <c r="AF66" i="22"/>
  <c r="AG66" i="22" s="1"/>
  <c r="Y66" i="22"/>
  <c r="V66" i="22"/>
  <c r="T66" i="22"/>
  <c r="AE66" i="22" s="1"/>
  <c r="AK65" i="22"/>
  <c r="AF65" i="22"/>
  <c r="AG65" i="22" s="1"/>
  <c r="Y65" i="22"/>
  <c r="V65" i="22"/>
  <c r="T65" i="22"/>
  <c r="AE65" i="22" s="1"/>
  <c r="AK64" i="22"/>
  <c r="AF64" i="22"/>
  <c r="AG64" i="22" s="1"/>
  <c r="Y64" i="22"/>
  <c r="V64" i="22"/>
  <c r="T64" i="22"/>
  <c r="AH64" i="22" s="1"/>
  <c r="AI64" i="22" s="1"/>
  <c r="AK63" i="22"/>
  <c r="AF63" i="22"/>
  <c r="AG63" i="22" s="1"/>
  <c r="Y63" i="22"/>
  <c r="V63" i="22"/>
  <c r="T63" i="22"/>
  <c r="AM63" i="22" s="1"/>
  <c r="AK62" i="22"/>
  <c r="AF62" i="22"/>
  <c r="AG62" i="22" s="1"/>
  <c r="Y62" i="22"/>
  <c r="V62" i="22"/>
  <c r="T62" i="22"/>
  <c r="AH62" i="22" s="1"/>
  <c r="AI62" i="22" s="1"/>
  <c r="AM61" i="22"/>
  <c r="AK61" i="22"/>
  <c r="AF61" i="22"/>
  <c r="AG61" i="22" s="1"/>
  <c r="Y61" i="22"/>
  <c r="V61" i="22"/>
  <c r="T61" i="22"/>
  <c r="AH61" i="22" s="1"/>
  <c r="AI61" i="22" s="1"/>
  <c r="AK60" i="22"/>
  <c r="AF60" i="22"/>
  <c r="AG60" i="22" s="1"/>
  <c r="Y60" i="22"/>
  <c r="V60" i="22"/>
  <c r="T60" i="22"/>
  <c r="AM60" i="22" s="1"/>
  <c r="AK59" i="22"/>
  <c r="AF59" i="22"/>
  <c r="AG59" i="22" s="1"/>
  <c r="Y59" i="22"/>
  <c r="V59" i="22"/>
  <c r="T59" i="22"/>
  <c r="AM59" i="22" s="1"/>
  <c r="AK58" i="22"/>
  <c r="AF58" i="22"/>
  <c r="AG58" i="22" s="1"/>
  <c r="Y58" i="22"/>
  <c r="V58" i="22"/>
  <c r="T58" i="22"/>
  <c r="AM58" i="22" s="1"/>
  <c r="AK57" i="22"/>
  <c r="AF57" i="22"/>
  <c r="AG57" i="22" s="1"/>
  <c r="Y57" i="22"/>
  <c r="V57" i="22"/>
  <c r="T57" i="22"/>
  <c r="AE57" i="22" s="1"/>
  <c r="AK56" i="22"/>
  <c r="AF56" i="22"/>
  <c r="AG56" i="22" s="1"/>
  <c r="Y56" i="22"/>
  <c r="V56" i="22"/>
  <c r="T56" i="22"/>
  <c r="AE56" i="22" s="1"/>
  <c r="AM55" i="22"/>
  <c r="AK55" i="22"/>
  <c r="AF55" i="22"/>
  <c r="AG55" i="22" s="1"/>
  <c r="Y55" i="22"/>
  <c r="V55" i="22"/>
  <c r="T55" i="22"/>
  <c r="AH55" i="22" s="1"/>
  <c r="AI55" i="22" s="1"/>
  <c r="AK54" i="22"/>
  <c r="AF54" i="22"/>
  <c r="AG54" i="22" s="1"/>
  <c r="Y54" i="22"/>
  <c r="V54" i="22"/>
  <c r="T54" i="22"/>
  <c r="AM54" i="22" s="1"/>
  <c r="AM53" i="22"/>
  <c r="AK53" i="22"/>
  <c r="AF53" i="22"/>
  <c r="AG53" i="22" s="1"/>
  <c r="Y53" i="22"/>
  <c r="V53" i="22"/>
  <c r="T53" i="22"/>
  <c r="AD53" i="22" s="1"/>
  <c r="AM52" i="22"/>
  <c r="AK52" i="22"/>
  <c r="AF52" i="22"/>
  <c r="AG52" i="22" s="1"/>
  <c r="Y52" i="22"/>
  <c r="V52" i="22"/>
  <c r="T52" i="22"/>
  <c r="AH52" i="22" s="1"/>
  <c r="AI52" i="22" s="1"/>
  <c r="AK51" i="22"/>
  <c r="AF51" i="22"/>
  <c r="AG51" i="22" s="1"/>
  <c r="Y51" i="22"/>
  <c r="V51" i="22"/>
  <c r="T51" i="22"/>
  <c r="AM51" i="22" s="1"/>
  <c r="AM50" i="22"/>
  <c r="AK50" i="22"/>
  <c r="AF50" i="22"/>
  <c r="AG50" i="22" s="1"/>
  <c r="Y50" i="22"/>
  <c r="V50" i="22"/>
  <c r="T50" i="22"/>
  <c r="AD50" i="22" s="1"/>
  <c r="AK49" i="22"/>
  <c r="AF49" i="22"/>
  <c r="AG49" i="22" s="1"/>
  <c r="Y49" i="22"/>
  <c r="V49" i="22"/>
  <c r="T49" i="22"/>
  <c r="AM49" i="22" s="1"/>
  <c r="AK48" i="22"/>
  <c r="AF48" i="22"/>
  <c r="AG48" i="22" s="1"/>
  <c r="Y48" i="22"/>
  <c r="V48" i="22"/>
  <c r="T48" i="22"/>
  <c r="AE48" i="22" s="1"/>
  <c r="AK47" i="22"/>
  <c r="AF47" i="22"/>
  <c r="AG47" i="22" s="1"/>
  <c r="Y47" i="22"/>
  <c r="V47" i="22"/>
  <c r="T47" i="22"/>
  <c r="AD47" i="22" s="1"/>
  <c r="AK46" i="22"/>
  <c r="AF46" i="22"/>
  <c r="AG46" i="22" s="1"/>
  <c r="Y46" i="22"/>
  <c r="V46" i="22"/>
  <c r="T46" i="22"/>
  <c r="AE46" i="22" s="1"/>
  <c r="AK45" i="22"/>
  <c r="AF45" i="22"/>
  <c r="AG45" i="22" s="1"/>
  <c r="Y45" i="22"/>
  <c r="V45" i="22"/>
  <c r="T45" i="22"/>
  <c r="AH45" i="22" s="1"/>
  <c r="AI45" i="22" s="1"/>
  <c r="AK44" i="22"/>
  <c r="AF44" i="22"/>
  <c r="AG44" i="22" s="1"/>
  <c r="Y44" i="22"/>
  <c r="V44" i="22"/>
  <c r="T44" i="22"/>
  <c r="AD44" i="22" s="1"/>
  <c r="AK43" i="22"/>
  <c r="AF43" i="22"/>
  <c r="AG43" i="22" s="1"/>
  <c r="Y43" i="22"/>
  <c r="V43" i="22"/>
  <c r="T43" i="22"/>
  <c r="AH43" i="22" s="1"/>
  <c r="AI43" i="22" s="1"/>
  <c r="AK42" i="22"/>
  <c r="AF42" i="22"/>
  <c r="AG42" i="22" s="1"/>
  <c r="Y42" i="22"/>
  <c r="V42" i="22"/>
  <c r="T42" i="22"/>
  <c r="AH42" i="22" s="1"/>
  <c r="AI42" i="22" s="1"/>
  <c r="AK41" i="22"/>
  <c r="AF41" i="22"/>
  <c r="AG41" i="22" s="1"/>
  <c r="Y41" i="22"/>
  <c r="V41" i="22"/>
  <c r="T41" i="22"/>
  <c r="AD41" i="22" s="1"/>
  <c r="AM40" i="22"/>
  <c r="AK40" i="22"/>
  <c r="AF40" i="22"/>
  <c r="AG40" i="22" s="1"/>
  <c r="Y40" i="22"/>
  <c r="V40" i="22"/>
  <c r="T40" i="22"/>
  <c r="AH40" i="22" s="1"/>
  <c r="AI40" i="22" s="1"/>
  <c r="AK39" i="22"/>
  <c r="AF39" i="22"/>
  <c r="AG39" i="22" s="1"/>
  <c r="Y39" i="22"/>
  <c r="V39" i="22"/>
  <c r="T39" i="22"/>
  <c r="AM39" i="22" s="1"/>
  <c r="AM38" i="22"/>
  <c r="AK38" i="22"/>
  <c r="AF38" i="22"/>
  <c r="AG38" i="22" s="1"/>
  <c r="Y38" i="22"/>
  <c r="V38" i="22"/>
  <c r="T38" i="22"/>
  <c r="AD38" i="22" s="1"/>
  <c r="AM37" i="22"/>
  <c r="AK37" i="22"/>
  <c r="AF37" i="22"/>
  <c r="AG37" i="22" s="1"/>
  <c r="Y37" i="22"/>
  <c r="V37" i="22"/>
  <c r="T37" i="22"/>
  <c r="AH37" i="22" s="1"/>
  <c r="AI37" i="22" s="1"/>
  <c r="AM36" i="22"/>
  <c r="AK36" i="22"/>
  <c r="AF36" i="22"/>
  <c r="AG36" i="22" s="1"/>
  <c r="Y36" i="22"/>
  <c r="V36" i="22"/>
  <c r="T36" i="22"/>
  <c r="AE36" i="22" s="1"/>
  <c r="AM35" i="22"/>
  <c r="AK35" i="22"/>
  <c r="AF35" i="22"/>
  <c r="AG35" i="22" s="1"/>
  <c r="Y35" i="22"/>
  <c r="V35" i="22"/>
  <c r="T35" i="22"/>
  <c r="AD35" i="22" s="1"/>
  <c r="AM34" i="22"/>
  <c r="AK34" i="22"/>
  <c r="AF34" i="22"/>
  <c r="AG34" i="22" s="1"/>
  <c r="Y34" i="22"/>
  <c r="V34" i="22"/>
  <c r="T34" i="22"/>
  <c r="AE34" i="22" s="1"/>
  <c r="AM33" i="22"/>
  <c r="AK33" i="22"/>
  <c r="AF33" i="22"/>
  <c r="AG33" i="22" s="1"/>
  <c r="Y33" i="22"/>
  <c r="V33" i="22"/>
  <c r="T33" i="22"/>
  <c r="AH33" i="22" s="1"/>
  <c r="AI33" i="22" s="1"/>
  <c r="AM32" i="22"/>
  <c r="AK32" i="22"/>
  <c r="AF32" i="22"/>
  <c r="AG32" i="22" s="1"/>
  <c r="Y32" i="22"/>
  <c r="V32" i="22"/>
  <c r="T32" i="22"/>
  <c r="AD32" i="22" s="1"/>
  <c r="AK31" i="22"/>
  <c r="AF31" i="22"/>
  <c r="AG31" i="22" s="1"/>
  <c r="Y31" i="22"/>
  <c r="V31" i="22"/>
  <c r="T31" i="22"/>
  <c r="AH31" i="22" s="1"/>
  <c r="AI31" i="22" s="1"/>
  <c r="AK30" i="22"/>
  <c r="AF30" i="22"/>
  <c r="AG30" i="22" s="1"/>
  <c r="Y30" i="22"/>
  <c r="V30" i="22"/>
  <c r="T30" i="22"/>
  <c r="AH30" i="22" s="1"/>
  <c r="AI30" i="22" s="1"/>
  <c r="AK29" i="22"/>
  <c r="AF29" i="22"/>
  <c r="AG29" i="22" s="1"/>
  <c r="Y29" i="22"/>
  <c r="V29" i="22"/>
  <c r="T29" i="22"/>
  <c r="AD29" i="22" s="1"/>
  <c r="AK28" i="22"/>
  <c r="AF28" i="22"/>
  <c r="AG28" i="22" s="1"/>
  <c r="Y28" i="22"/>
  <c r="V28" i="22"/>
  <c r="T28" i="22"/>
  <c r="AM28" i="22" s="1"/>
  <c r="AM27" i="22"/>
  <c r="AK27" i="22"/>
  <c r="AF27" i="22"/>
  <c r="AG27" i="22" s="1"/>
  <c r="Y27" i="22"/>
  <c r="V27" i="22"/>
  <c r="T27" i="22"/>
  <c r="AH27" i="22" s="1"/>
  <c r="AI27" i="22" s="1"/>
  <c r="AK26" i="22"/>
  <c r="AF26" i="22"/>
  <c r="AG26" i="22" s="1"/>
  <c r="Y26" i="22"/>
  <c r="V26" i="22"/>
  <c r="T26" i="22"/>
  <c r="AM26" i="22" s="1"/>
  <c r="AK25" i="22"/>
  <c r="AF25" i="22"/>
  <c r="AG25" i="22" s="1"/>
  <c r="Y25" i="22"/>
  <c r="V25" i="22"/>
  <c r="T25" i="22"/>
  <c r="AM25" i="22" s="1"/>
  <c r="AK24" i="22"/>
  <c r="AF24" i="22"/>
  <c r="AG24" i="22" s="1"/>
  <c r="Y24" i="22"/>
  <c r="V24" i="22"/>
  <c r="T24" i="22"/>
  <c r="AE24" i="22" s="1"/>
  <c r="AK23" i="22"/>
  <c r="AF23" i="22"/>
  <c r="AG23" i="22" s="1"/>
  <c r="Y23" i="22"/>
  <c r="V23" i="22"/>
  <c r="T23" i="22"/>
  <c r="AD23" i="22" s="1"/>
  <c r="AK22" i="22"/>
  <c r="AF22" i="22"/>
  <c r="AG22" i="22" s="1"/>
  <c r="Y22" i="22"/>
  <c r="V22" i="22"/>
  <c r="T22" i="22"/>
  <c r="AE22" i="22" s="1"/>
  <c r="AM21" i="22"/>
  <c r="AK21" i="22"/>
  <c r="AF21" i="22"/>
  <c r="AG21" i="22" s="1"/>
  <c r="Y21" i="22"/>
  <c r="V21" i="22"/>
  <c r="T21" i="22"/>
  <c r="AH21" i="22" s="1"/>
  <c r="AI21" i="22" s="1"/>
  <c r="AK20" i="22"/>
  <c r="AF20" i="22"/>
  <c r="AG20" i="22" s="1"/>
  <c r="Y20" i="22"/>
  <c r="V20" i="22"/>
  <c r="T20" i="22"/>
  <c r="AD20" i="22" s="1"/>
  <c r="AK19" i="22"/>
  <c r="AF19" i="22"/>
  <c r="AG19" i="22" s="1"/>
  <c r="Y19" i="22"/>
  <c r="V19" i="22"/>
  <c r="T19" i="22"/>
  <c r="AH19" i="22" s="1"/>
  <c r="AI19" i="22" s="1"/>
  <c r="AK18" i="22"/>
  <c r="AF18" i="22"/>
  <c r="AG18" i="22" s="1"/>
  <c r="Y18" i="22"/>
  <c r="V18" i="22"/>
  <c r="T18" i="22"/>
  <c r="AH18" i="22" s="1"/>
  <c r="AI18" i="22" s="1"/>
  <c r="AM17" i="22"/>
  <c r="AK17" i="22"/>
  <c r="AF17" i="22"/>
  <c r="AG17" i="22" s="1"/>
  <c r="Y17" i="22"/>
  <c r="V17" i="22"/>
  <c r="T17" i="22"/>
  <c r="AD17" i="22" s="1"/>
  <c r="AK16" i="22"/>
  <c r="AF16" i="22"/>
  <c r="AG16" i="22" s="1"/>
  <c r="Y16" i="22"/>
  <c r="V16" i="22"/>
  <c r="T16" i="22"/>
  <c r="AM16" i="22" s="1"/>
  <c r="AK15" i="22"/>
  <c r="AF15" i="22"/>
  <c r="AG15" i="22" s="1"/>
  <c r="Y15" i="22"/>
  <c r="V15" i="22"/>
  <c r="T15" i="22"/>
  <c r="AM15" i="22" s="1"/>
  <c r="AK14" i="22"/>
  <c r="AF14" i="22"/>
  <c r="AG14" i="22" s="1"/>
  <c r="Y14" i="22"/>
  <c r="V14" i="22"/>
  <c r="T14" i="22"/>
  <c r="AM14" i="22" s="1"/>
  <c r="AM13" i="22"/>
  <c r="AK13" i="22"/>
  <c r="AF13" i="22"/>
  <c r="AG13" i="22" s="1"/>
  <c r="Y13" i="22"/>
  <c r="V13" i="22"/>
  <c r="T13" i="22"/>
  <c r="AH13" i="22" s="1"/>
  <c r="AI13" i="22" s="1"/>
  <c r="AM12" i="22"/>
  <c r="AK12" i="22"/>
  <c r="AF12" i="22"/>
  <c r="AG12" i="22" s="1"/>
  <c r="Y12" i="22"/>
  <c r="V12" i="22"/>
  <c r="T12" i="22"/>
  <c r="AE12" i="22" s="1"/>
  <c r="A12" i="22"/>
  <c r="J25" i="68" s="1"/>
  <c r="AK11" i="22"/>
  <c r="AF11" i="22"/>
  <c r="AG11" i="22" s="1"/>
  <c r="Y11" i="22"/>
  <c r="V11" i="22"/>
  <c r="T11" i="22"/>
  <c r="AE11" i="22" s="1"/>
  <c r="AK10" i="22"/>
  <c r="AF10" i="22"/>
  <c r="AG10" i="22" s="1"/>
  <c r="Y10" i="22"/>
  <c r="V10" i="22"/>
  <c r="T10" i="22"/>
  <c r="AM10" i="22" s="1"/>
  <c r="A10" i="22"/>
  <c r="AK9" i="22"/>
  <c r="AF9" i="22"/>
  <c r="AG9" i="22" s="1"/>
  <c r="Y9" i="22"/>
  <c r="V9" i="22"/>
  <c r="T9" i="22"/>
  <c r="AM9" i="22" s="1"/>
  <c r="AM8" i="22"/>
  <c r="AK8" i="22"/>
  <c r="AF8" i="22"/>
  <c r="AG8" i="22" s="1"/>
  <c r="Y8" i="22"/>
  <c r="V8" i="22"/>
  <c r="T8" i="22"/>
  <c r="AH8" i="22" s="1"/>
  <c r="AI8" i="22" s="1"/>
  <c r="AM7" i="22"/>
  <c r="AK7" i="22"/>
  <c r="AF7" i="22"/>
  <c r="AG7" i="22" s="1"/>
  <c r="Y7" i="22"/>
  <c r="V7" i="22"/>
  <c r="T7" i="22"/>
  <c r="AD7" i="22" s="1"/>
  <c r="AM6" i="22"/>
  <c r="AK6" i="22"/>
  <c r="AF6" i="22"/>
  <c r="AG6" i="22" s="1"/>
  <c r="Y6" i="22"/>
  <c r="V6" i="22"/>
  <c r="T6" i="22"/>
  <c r="AD6" i="22" s="1"/>
  <c r="AM5" i="22"/>
  <c r="AK5" i="22"/>
  <c r="AF5" i="22"/>
  <c r="AG5" i="22" s="1"/>
  <c r="Y5" i="22"/>
  <c r="V5" i="22"/>
  <c r="T5" i="22"/>
  <c r="AH5" i="22" s="1"/>
  <c r="AI5" i="22" s="1"/>
  <c r="F1" i="22"/>
  <c r="AM24" i="21"/>
  <c r="AL24" i="21"/>
  <c r="AK24" i="21"/>
  <c r="AJ24" i="21"/>
  <c r="AI24" i="21"/>
  <c r="AH24" i="21"/>
  <c r="AG24" i="21"/>
  <c r="AF24" i="21"/>
  <c r="AE24" i="21"/>
  <c r="AD24" i="21"/>
  <c r="Y24" i="21"/>
  <c r="V24" i="21"/>
  <c r="T24" i="21"/>
  <c r="AM23" i="21"/>
  <c r="AL23" i="21"/>
  <c r="AK23" i="21"/>
  <c r="AJ23" i="21"/>
  <c r="AI23" i="21"/>
  <c r="AH23" i="21"/>
  <c r="AG23" i="21"/>
  <c r="AF23" i="21"/>
  <c r="AE23" i="21"/>
  <c r="AD23" i="21"/>
  <c r="Y23" i="21"/>
  <c r="V23" i="21"/>
  <c r="T23" i="21"/>
  <c r="AK22" i="21"/>
  <c r="AF22" i="21"/>
  <c r="AG22" i="21" s="1"/>
  <c r="AE22" i="21"/>
  <c r="Y22" i="21"/>
  <c r="V22" i="21"/>
  <c r="AM22" i="21"/>
  <c r="AM21" i="21"/>
  <c r="AK21" i="21"/>
  <c r="AF21" i="21"/>
  <c r="AG21" i="21" s="1"/>
  <c r="Y21" i="21"/>
  <c r="V21" i="21"/>
  <c r="AD21" i="21"/>
  <c r="AK20" i="21"/>
  <c r="AF20" i="21"/>
  <c r="AG20" i="21" s="1"/>
  <c r="Y20" i="21"/>
  <c r="V20" i="21"/>
  <c r="AE20" i="21"/>
  <c r="AK19" i="21"/>
  <c r="AF19" i="21"/>
  <c r="AG19" i="21" s="1"/>
  <c r="Y19" i="21"/>
  <c r="V19" i="21"/>
  <c r="AH19" i="21"/>
  <c r="AI19" i="21" s="1"/>
  <c r="AM18" i="21"/>
  <c r="AK18" i="21"/>
  <c r="AF18" i="21"/>
  <c r="AG18" i="21" s="1"/>
  <c r="Y18" i="21"/>
  <c r="V18" i="21"/>
  <c r="AH18" i="21"/>
  <c r="AI18" i="21" s="1"/>
  <c r="AM17" i="21"/>
  <c r="AK17" i="21"/>
  <c r="AF17" i="21"/>
  <c r="AG17" i="21" s="1"/>
  <c r="Y17" i="21"/>
  <c r="V17" i="21"/>
  <c r="AD17" i="21"/>
  <c r="AK16" i="21"/>
  <c r="AH16" i="21"/>
  <c r="AI16" i="21" s="1"/>
  <c r="AF16" i="21"/>
  <c r="AG16" i="21" s="1"/>
  <c r="Y16" i="21"/>
  <c r="V16" i="21"/>
  <c r="AE16" i="21"/>
  <c r="AM15" i="21"/>
  <c r="AK15" i="21"/>
  <c r="AF15" i="21"/>
  <c r="AG15" i="21" s="1"/>
  <c r="Y15" i="21"/>
  <c r="V15" i="21"/>
  <c r="AE15" i="21"/>
  <c r="AK14" i="21"/>
  <c r="AF14" i="21"/>
  <c r="AG14" i="21" s="1"/>
  <c r="AD14" i="21"/>
  <c r="Y14" i="21"/>
  <c r="V14" i="21"/>
  <c r="AM14" i="21"/>
  <c r="AM13" i="21"/>
  <c r="AK13" i="21"/>
  <c r="AF13" i="21"/>
  <c r="AG13" i="21" s="1"/>
  <c r="Y13" i="21"/>
  <c r="V13" i="21"/>
  <c r="AE13" i="21"/>
  <c r="AK12" i="21"/>
  <c r="AF12" i="21"/>
  <c r="AG12" i="21" s="1"/>
  <c r="Y12" i="21"/>
  <c r="V12" i="21"/>
  <c r="AH12" i="21"/>
  <c r="AI12" i="21" s="1"/>
  <c r="A12" i="21"/>
  <c r="AM11" i="21"/>
  <c r="AK11" i="21"/>
  <c r="AH11" i="21"/>
  <c r="AI11" i="21" s="1"/>
  <c r="AF11" i="21"/>
  <c r="AG11" i="21" s="1"/>
  <c r="AE11" i="21"/>
  <c r="Y11" i="21"/>
  <c r="V11" i="21"/>
  <c r="AM10" i="21"/>
  <c r="AL10" i="21"/>
  <c r="AK10" i="21"/>
  <c r="AJ10" i="21"/>
  <c r="AI10" i="21"/>
  <c r="AH10" i="21"/>
  <c r="AG10" i="21"/>
  <c r="AF10" i="21"/>
  <c r="AE10" i="21"/>
  <c r="AD10" i="21"/>
  <c r="Y10" i="21"/>
  <c r="V10" i="21"/>
  <c r="T10" i="21"/>
  <c r="A10" i="21"/>
  <c r="W19" i="21" s="1"/>
  <c r="AM9" i="21"/>
  <c r="AL9" i="21"/>
  <c r="AK9" i="21"/>
  <c r="AJ9" i="21"/>
  <c r="AI9" i="21"/>
  <c r="AH9" i="21"/>
  <c r="AG9" i="21"/>
  <c r="AF9" i="21"/>
  <c r="AE9" i="21"/>
  <c r="AD9" i="21"/>
  <c r="Y9" i="21"/>
  <c r="W9" i="21"/>
  <c r="V9" i="21"/>
  <c r="T9" i="21"/>
  <c r="AM8" i="21"/>
  <c r="AL8" i="21"/>
  <c r="AK8" i="21"/>
  <c r="AJ8" i="21"/>
  <c r="AI8" i="21"/>
  <c r="AH8" i="21"/>
  <c r="AG8" i="21"/>
  <c r="AF8" i="21"/>
  <c r="AD8" i="21"/>
  <c r="AN8" i="21" s="1"/>
  <c r="Y8" i="21"/>
  <c r="V8" i="21"/>
  <c r="T8" i="21"/>
  <c r="AM7" i="21"/>
  <c r="AL7" i="21"/>
  <c r="AK7" i="21"/>
  <c r="AJ7" i="21"/>
  <c r="AI7" i="21"/>
  <c r="AH7" i="21"/>
  <c r="AG7" i="21"/>
  <c r="AF7" i="21"/>
  <c r="AD7" i="21"/>
  <c r="AN7" i="21" s="1"/>
  <c r="Y7" i="21"/>
  <c r="V7" i="21"/>
  <c r="T7" i="21"/>
  <c r="AM6" i="21"/>
  <c r="AL6" i="21"/>
  <c r="AK6" i="21"/>
  <c r="AJ6" i="21"/>
  <c r="AI6" i="21"/>
  <c r="AH6" i="21"/>
  <c r="AG6" i="21"/>
  <c r="AF6" i="21"/>
  <c r="AD6" i="21"/>
  <c r="AN6" i="21" s="1"/>
  <c r="Y6" i="21"/>
  <c r="V6" i="21"/>
  <c r="T6" i="21"/>
  <c r="A6" i="21"/>
  <c r="AM5" i="21"/>
  <c r="AL5" i="21"/>
  <c r="AK5" i="21"/>
  <c r="AJ5" i="21"/>
  <c r="AI5" i="21"/>
  <c r="AH5" i="21"/>
  <c r="AG5" i="21"/>
  <c r="AF5" i="21"/>
  <c r="AD5" i="21"/>
  <c r="AN5" i="21" s="1"/>
  <c r="Y5" i="21"/>
  <c r="W5" i="21"/>
  <c r="V5" i="21"/>
  <c r="T5" i="21"/>
  <c r="F1" i="21"/>
  <c r="AK80" i="20"/>
  <c r="AF80" i="20"/>
  <c r="AG80" i="20" s="1"/>
  <c r="Y80" i="20"/>
  <c r="V80" i="20"/>
  <c r="T80" i="20"/>
  <c r="AH80" i="20" s="1"/>
  <c r="AI80" i="20" s="1"/>
  <c r="AK79" i="20"/>
  <c r="AF79" i="20"/>
  <c r="AG79" i="20" s="1"/>
  <c r="Y79" i="20"/>
  <c r="V79" i="20"/>
  <c r="T79" i="20"/>
  <c r="AH79" i="20" s="1"/>
  <c r="AI79" i="20" s="1"/>
  <c r="AK78" i="20"/>
  <c r="AF78" i="20"/>
  <c r="AG78" i="20" s="1"/>
  <c r="Y78" i="20"/>
  <c r="V78" i="20"/>
  <c r="T78" i="20"/>
  <c r="AH78" i="20" s="1"/>
  <c r="AI78" i="20" s="1"/>
  <c r="AK77" i="20"/>
  <c r="AF77" i="20"/>
  <c r="AG77" i="20" s="1"/>
  <c r="Y77" i="20"/>
  <c r="V77" i="20"/>
  <c r="T77" i="20"/>
  <c r="AH77" i="20" s="1"/>
  <c r="AI77" i="20" s="1"/>
  <c r="AK76" i="20"/>
  <c r="AF76" i="20"/>
  <c r="AG76" i="20" s="1"/>
  <c r="Y76" i="20"/>
  <c r="V76" i="20"/>
  <c r="T76" i="20"/>
  <c r="AM76" i="20" s="1"/>
  <c r="AK75" i="20"/>
  <c r="AF75" i="20"/>
  <c r="AG75" i="20" s="1"/>
  <c r="Y75" i="20"/>
  <c r="V75" i="20"/>
  <c r="T75" i="20"/>
  <c r="AM75" i="20" s="1"/>
  <c r="AK74" i="20"/>
  <c r="AF74" i="20"/>
  <c r="AG74" i="20" s="1"/>
  <c r="Y74" i="20"/>
  <c r="V74" i="20"/>
  <c r="T74" i="20"/>
  <c r="AM74" i="20" s="1"/>
  <c r="AK73" i="20"/>
  <c r="AH73" i="20"/>
  <c r="AI73" i="20" s="1"/>
  <c r="AF73" i="20"/>
  <c r="AG73" i="20" s="1"/>
  <c r="AE73" i="20"/>
  <c r="Y73" i="20"/>
  <c r="V73" i="20"/>
  <c r="T73" i="20"/>
  <c r="AD73" i="20" s="1"/>
  <c r="AK72" i="20"/>
  <c r="AF72" i="20"/>
  <c r="AG72" i="20" s="1"/>
  <c r="Y72" i="20"/>
  <c r="V72" i="20"/>
  <c r="T72" i="20"/>
  <c r="AE72" i="20" s="1"/>
  <c r="AM71" i="20"/>
  <c r="AK71" i="20"/>
  <c r="AF71" i="20"/>
  <c r="AG71" i="20" s="1"/>
  <c r="Y71" i="20"/>
  <c r="V71" i="20"/>
  <c r="T71" i="20"/>
  <c r="AE71" i="20" s="1"/>
  <c r="AK70" i="20"/>
  <c r="AG70" i="20"/>
  <c r="AF70" i="20"/>
  <c r="Y70" i="20"/>
  <c r="V70" i="20"/>
  <c r="T70" i="20"/>
  <c r="AM70" i="20" s="1"/>
  <c r="AK69" i="20"/>
  <c r="AF69" i="20"/>
  <c r="AG69" i="20" s="1"/>
  <c r="AE69" i="20"/>
  <c r="Y69" i="20"/>
  <c r="V69" i="20"/>
  <c r="T69" i="20"/>
  <c r="AH69" i="20" s="1"/>
  <c r="AI69" i="20" s="1"/>
  <c r="AK68" i="20"/>
  <c r="AF68" i="20"/>
  <c r="AG68" i="20" s="1"/>
  <c r="Y68" i="20"/>
  <c r="V68" i="20"/>
  <c r="T68" i="20"/>
  <c r="AH68" i="20" s="1"/>
  <c r="AI68" i="20" s="1"/>
  <c r="AK67" i="20"/>
  <c r="AH67" i="20"/>
  <c r="AI67" i="20" s="1"/>
  <c r="AF67" i="20"/>
  <c r="AG67" i="20" s="1"/>
  <c r="Y67" i="20"/>
  <c r="V67" i="20"/>
  <c r="T67" i="20"/>
  <c r="AE67" i="20" s="1"/>
  <c r="AK66" i="20"/>
  <c r="AG66" i="20"/>
  <c r="AF66" i="20"/>
  <c r="Y66" i="20"/>
  <c r="V66" i="20"/>
  <c r="T66" i="20"/>
  <c r="AH66" i="20" s="1"/>
  <c r="AI66" i="20" s="1"/>
  <c r="AK65" i="20"/>
  <c r="AF65" i="20"/>
  <c r="AG65" i="20" s="1"/>
  <c r="Y65" i="20"/>
  <c r="V65" i="20"/>
  <c r="T65" i="20"/>
  <c r="AH65" i="20" s="1"/>
  <c r="AI65" i="20" s="1"/>
  <c r="AK64" i="20"/>
  <c r="AF64" i="20"/>
  <c r="AG64" i="20" s="1"/>
  <c r="Y64" i="20"/>
  <c r="V64" i="20"/>
  <c r="T64" i="20"/>
  <c r="AM64" i="20" s="1"/>
  <c r="AM63" i="20"/>
  <c r="AK63" i="20"/>
  <c r="AF63" i="20"/>
  <c r="AG63" i="20" s="1"/>
  <c r="Y63" i="20"/>
  <c r="V63" i="20"/>
  <c r="T63" i="20"/>
  <c r="AH63" i="20" s="1"/>
  <c r="AI63" i="20" s="1"/>
  <c r="AK62" i="20"/>
  <c r="AF62" i="20"/>
  <c r="AG62" i="20" s="1"/>
  <c r="AD62" i="20"/>
  <c r="Y62" i="20"/>
  <c r="V62" i="20"/>
  <c r="T62" i="20"/>
  <c r="AH62" i="20" s="1"/>
  <c r="AI62" i="20" s="1"/>
  <c r="AK61" i="20"/>
  <c r="AF61" i="20"/>
  <c r="AG61" i="20" s="1"/>
  <c r="Y61" i="20"/>
  <c r="V61" i="20"/>
  <c r="T61" i="20"/>
  <c r="AD61" i="20" s="1"/>
  <c r="AK60" i="20"/>
  <c r="AF60" i="20"/>
  <c r="AG60" i="20" s="1"/>
  <c r="Y60" i="20"/>
  <c r="V60" i="20"/>
  <c r="T60" i="20"/>
  <c r="AE60" i="20" s="1"/>
  <c r="AM59" i="20"/>
  <c r="AK59" i="20"/>
  <c r="AF59" i="20"/>
  <c r="AG59" i="20" s="1"/>
  <c r="Y59" i="20"/>
  <c r="V59" i="20"/>
  <c r="T59" i="20"/>
  <c r="AE59" i="20" s="1"/>
  <c r="AK58" i="20"/>
  <c r="AG58" i="20"/>
  <c r="AF58" i="20"/>
  <c r="AE58" i="20"/>
  <c r="Y58" i="20"/>
  <c r="V58" i="20"/>
  <c r="T58" i="20"/>
  <c r="AM58" i="20" s="1"/>
  <c r="AM57" i="20"/>
  <c r="AL57" i="20"/>
  <c r="AK57" i="20"/>
  <c r="AJ57" i="20"/>
  <c r="AI57" i="20"/>
  <c r="AH57" i="20"/>
  <c r="AG57" i="20"/>
  <c r="AF57" i="20"/>
  <c r="AE57" i="20"/>
  <c r="AD57" i="20"/>
  <c r="Y57" i="20"/>
  <c r="V57" i="20"/>
  <c r="T57" i="20"/>
  <c r="AM56" i="20"/>
  <c r="AL56" i="20"/>
  <c r="AK56" i="20"/>
  <c r="AJ56" i="20"/>
  <c r="AI56" i="20"/>
  <c r="AH56" i="20"/>
  <c r="AG56" i="20"/>
  <c r="AF56" i="20"/>
  <c r="AE56" i="20"/>
  <c r="AD56" i="20"/>
  <c r="Y56" i="20"/>
  <c r="V56" i="20"/>
  <c r="T56" i="20"/>
  <c r="AM55" i="20"/>
  <c r="AL55" i="20"/>
  <c r="AK55" i="20"/>
  <c r="AJ55" i="20"/>
  <c r="AI55" i="20"/>
  <c r="AH55" i="20"/>
  <c r="AG55" i="20"/>
  <c r="AF55" i="20"/>
  <c r="AE55" i="20"/>
  <c r="AD55" i="20"/>
  <c r="Y55" i="20"/>
  <c r="V55" i="20"/>
  <c r="T55" i="20"/>
  <c r="AM54" i="20"/>
  <c r="AL54" i="20"/>
  <c r="AK54" i="20"/>
  <c r="AJ54" i="20"/>
  <c r="AI54" i="20"/>
  <c r="AH54" i="20"/>
  <c r="AG54" i="20"/>
  <c r="AF54" i="20"/>
  <c r="AE54" i="20"/>
  <c r="AD54" i="20"/>
  <c r="Y54" i="20"/>
  <c r="V54" i="20"/>
  <c r="T54" i="20"/>
  <c r="AM53" i="20"/>
  <c r="AL53" i="20"/>
  <c r="AK53" i="20"/>
  <c r="AJ53" i="20"/>
  <c r="AI53" i="20"/>
  <c r="AH53" i="20"/>
  <c r="AG53" i="20"/>
  <c r="AF53" i="20"/>
  <c r="AE53" i="20"/>
  <c r="AD53" i="20"/>
  <c r="Y53" i="20"/>
  <c r="V53" i="20"/>
  <c r="T53" i="20"/>
  <c r="AM52" i="20"/>
  <c r="AL52" i="20"/>
  <c r="AK52" i="20"/>
  <c r="AJ52" i="20"/>
  <c r="AI52" i="20"/>
  <c r="AH52" i="20"/>
  <c r="AG52" i="20"/>
  <c r="AF52" i="20"/>
  <c r="AE52" i="20"/>
  <c r="AD52" i="20"/>
  <c r="Y52" i="20"/>
  <c r="V52" i="20"/>
  <c r="T52" i="20"/>
  <c r="AM51" i="20"/>
  <c r="AL51" i="20"/>
  <c r="AK51" i="20"/>
  <c r="AJ51" i="20"/>
  <c r="AI51" i="20"/>
  <c r="AH51" i="20"/>
  <c r="AG51" i="20"/>
  <c r="AF51" i="20"/>
  <c r="AE51" i="20"/>
  <c r="AD51" i="20"/>
  <c r="Y51" i="20"/>
  <c r="V51" i="20"/>
  <c r="T51" i="20"/>
  <c r="AM50" i="20"/>
  <c r="AL50" i="20"/>
  <c r="AK50" i="20"/>
  <c r="AJ50" i="20"/>
  <c r="AI50" i="20"/>
  <c r="AH50" i="20"/>
  <c r="AG50" i="20"/>
  <c r="AF50" i="20"/>
  <c r="AE50" i="20"/>
  <c r="AD50" i="20"/>
  <c r="Y50" i="20"/>
  <c r="V50" i="20"/>
  <c r="T50" i="20"/>
  <c r="AM49" i="20"/>
  <c r="AL49" i="20"/>
  <c r="AK49" i="20"/>
  <c r="AJ49" i="20"/>
  <c r="AI49" i="20"/>
  <c r="AH49" i="20"/>
  <c r="AG49" i="20"/>
  <c r="AF49" i="20"/>
  <c r="AE49" i="20"/>
  <c r="AD49" i="20"/>
  <c r="Y49" i="20"/>
  <c r="V49" i="20"/>
  <c r="T49" i="20"/>
  <c r="AM48" i="20"/>
  <c r="AL48" i="20"/>
  <c r="AK48" i="20"/>
  <c r="AJ48" i="20"/>
  <c r="AI48" i="20"/>
  <c r="AH48" i="20"/>
  <c r="AG48" i="20"/>
  <c r="AF48" i="20"/>
  <c r="AE48" i="20"/>
  <c r="AD48" i="20"/>
  <c r="Y48" i="20"/>
  <c r="V48" i="20"/>
  <c r="T48" i="20"/>
  <c r="AM47" i="20"/>
  <c r="AL47" i="20"/>
  <c r="AK47" i="20"/>
  <c r="AJ47" i="20"/>
  <c r="AI47" i="20"/>
  <c r="AH47" i="20"/>
  <c r="AG47" i="20"/>
  <c r="AF47" i="20"/>
  <c r="AE47" i="20"/>
  <c r="AD47" i="20"/>
  <c r="Y47" i="20"/>
  <c r="V47" i="20"/>
  <c r="T47" i="20"/>
  <c r="AM46" i="20"/>
  <c r="AL46" i="20"/>
  <c r="AK46" i="20"/>
  <c r="AJ46" i="20"/>
  <c r="AI46" i="20"/>
  <c r="AH46" i="20"/>
  <c r="AG46" i="20"/>
  <c r="AF46" i="20"/>
  <c r="AE46" i="20"/>
  <c r="AD46" i="20"/>
  <c r="Y46" i="20"/>
  <c r="V46" i="20"/>
  <c r="T46" i="20"/>
  <c r="AM45" i="20"/>
  <c r="AL45" i="20"/>
  <c r="AK45" i="20"/>
  <c r="AJ45" i="20"/>
  <c r="AI45" i="20"/>
  <c r="AH45" i="20"/>
  <c r="AG45" i="20"/>
  <c r="AF45" i="20"/>
  <c r="AE45" i="20"/>
  <c r="AD45" i="20"/>
  <c r="Y45" i="20"/>
  <c r="V45" i="20"/>
  <c r="T45" i="20"/>
  <c r="AM44" i="20"/>
  <c r="AL44" i="20"/>
  <c r="AK44" i="20"/>
  <c r="AJ44" i="20"/>
  <c r="AI44" i="20"/>
  <c r="AH44" i="20"/>
  <c r="AG44" i="20"/>
  <c r="AF44" i="20"/>
  <c r="AE44" i="20"/>
  <c r="AD44" i="20"/>
  <c r="Y44" i="20"/>
  <c r="V44" i="20"/>
  <c r="T44" i="20"/>
  <c r="AM43" i="20"/>
  <c r="AL43" i="20"/>
  <c r="AK43" i="20"/>
  <c r="AJ43" i="20"/>
  <c r="AI43" i="20"/>
  <c r="AH43" i="20"/>
  <c r="AG43" i="20"/>
  <c r="AF43" i="20"/>
  <c r="AE43" i="20"/>
  <c r="AD43" i="20"/>
  <c r="Y43" i="20"/>
  <c r="V43" i="20"/>
  <c r="T43" i="20"/>
  <c r="AM42" i="20"/>
  <c r="AL42" i="20"/>
  <c r="AK42" i="20"/>
  <c r="AJ42" i="20"/>
  <c r="AI42" i="20"/>
  <c r="AH42" i="20"/>
  <c r="AG42" i="20"/>
  <c r="AF42" i="20"/>
  <c r="AE42" i="20"/>
  <c r="AD42" i="20"/>
  <c r="Y42" i="20"/>
  <c r="V42" i="20"/>
  <c r="T42" i="20"/>
  <c r="AM41" i="20"/>
  <c r="AL41" i="20"/>
  <c r="AK41" i="20"/>
  <c r="AJ41" i="20"/>
  <c r="AI41" i="20"/>
  <c r="AH41" i="20"/>
  <c r="AG41" i="20"/>
  <c r="AF41" i="20"/>
  <c r="AE41" i="20"/>
  <c r="AD41" i="20"/>
  <c r="Y41" i="20"/>
  <c r="V41" i="20"/>
  <c r="T41" i="20"/>
  <c r="AM40" i="20"/>
  <c r="AL40" i="20"/>
  <c r="AK40" i="20"/>
  <c r="AJ40" i="20"/>
  <c r="AI40" i="20"/>
  <c r="AH40" i="20"/>
  <c r="AG40" i="20"/>
  <c r="AF40" i="20"/>
  <c r="AE40" i="20"/>
  <c r="AD40" i="20"/>
  <c r="Y40" i="20"/>
  <c r="V40" i="20"/>
  <c r="T40" i="20"/>
  <c r="AM39" i="20"/>
  <c r="AL39" i="20"/>
  <c r="AK39" i="20"/>
  <c r="AJ39" i="20"/>
  <c r="AI39" i="20"/>
  <c r="AH39" i="20"/>
  <c r="AG39" i="20"/>
  <c r="AF39" i="20"/>
  <c r="AE39" i="20"/>
  <c r="AD39" i="20"/>
  <c r="Y39" i="20"/>
  <c r="V39" i="20"/>
  <c r="T39" i="20"/>
  <c r="AM38" i="20"/>
  <c r="AL38" i="20"/>
  <c r="AK38" i="20"/>
  <c r="AJ38" i="20"/>
  <c r="AI38" i="20"/>
  <c r="AH38" i="20"/>
  <c r="AG38" i="20"/>
  <c r="AF38" i="20"/>
  <c r="AE38" i="20"/>
  <c r="AD38" i="20"/>
  <c r="Y38" i="20"/>
  <c r="V38" i="20"/>
  <c r="T38" i="20"/>
  <c r="AM37" i="20"/>
  <c r="AL37" i="20"/>
  <c r="AK37" i="20"/>
  <c r="AJ37" i="20"/>
  <c r="AI37" i="20"/>
  <c r="AH37" i="20"/>
  <c r="AG37" i="20"/>
  <c r="AF37" i="20"/>
  <c r="AE37" i="20"/>
  <c r="AD37" i="20"/>
  <c r="AN37" i="20" s="1"/>
  <c r="Y37" i="20"/>
  <c r="V37" i="20"/>
  <c r="T37" i="20"/>
  <c r="AM36" i="20"/>
  <c r="AL36" i="20"/>
  <c r="AK36" i="20"/>
  <c r="AJ36" i="20"/>
  <c r="AI36" i="20"/>
  <c r="AH36" i="20"/>
  <c r="AG36" i="20"/>
  <c r="AF36" i="20"/>
  <c r="AE36" i="20"/>
  <c r="AD36" i="20"/>
  <c r="Y36" i="20"/>
  <c r="V36" i="20"/>
  <c r="T36" i="20"/>
  <c r="AM35" i="20"/>
  <c r="AL35" i="20"/>
  <c r="AK35" i="20"/>
  <c r="AJ35" i="20"/>
  <c r="AI35" i="20"/>
  <c r="AH35" i="20"/>
  <c r="AG35" i="20"/>
  <c r="AF35" i="20"/>
  <c r="AE35" i="20"/>
  <c r="AD35" i="20"/>
  <c r="Y35" i="20"/>
  <c r="V35" i="20"/>
  <c r="T35" i="20"/>
  <c r="AM34" i="20"/>
  <c r="AL34" i="20"/>
  <c r="AK34" i="20"/>
  <c r="AJ34" i="20"/>
  <c r="AI34" i="20"/>
  <c r="AH34" i="20"/>
  <c r="AG34" i="20"/>
  <c r="AF34" i="20"/>
  <c r="AE34" i="20"/>
  <c r="AD34" i="20"/>
  <c r="AN34" i="20" s="1"/>
  <c r="Y34" i="20"/>
  <c r="V34" i="20"/>
  <c r="T34" i="20"/>
  <c r="AM33" i="20"/>
  <c r="AL33" i="20"/>
  <c r="AK33" i="20"/>
  <c r="AJ33" i="20"/>
  <c r="AI33" i="20"/>
  <c r="AH33" i="20"/>
  <c r="AG33" i="20"/>
  <c r="AF33" i="20"/>
  <c r="AE33" i="20"/>
  <c r="AD33" i="20"/>
  <c r="Y33" i="20"/>
  <c r="V33" i="20"/>
  <c r="T33" i="20"/>
  <c r="AM32" i="20"/>
  <c r="AL32" i="20"/>
  <c r="AK32" i="20"/>
  <c r="AJ32" i="20"/>
  <c r="AI32" i="20"/>
  <c r="AH32" i="20"/>
  <c r="AG32" i="20"/>
  <c r="AF32" i="20"/>
  <c r="AE32" i="20"/>
  <c r="AD32" i="20"/>
  <c r="Y32" i="20"/>
  <c r="V32" i="20"/>
  <c r="T32" i="20"/>
  <c r="AM31" i="20"/>
  <c r="AL31" i="20"/>
  <c r="AK31" i="20"/>
  <c r="AJ31" i="20"/>
  <c r="AI31" i="20"/>
  <c r="AH31" i="20"/>
  <c r="AG31" i="20"/>
  <c r="AF31" i="20"/>
  <c r="AE31" i="20"/>
  <c r="AD31" i="20"/>
  <c r="Y31" i="20"/>
  <c r="V31" i="20"/>
  <c r="T31" i="20"/>
  <c r="AM30" i="20"/>
  <c r="AL30" i="20"/>
  <c r="AK30" i="20"/>
  <c r="AJ30" i="20"/>
  <c r="AI30" i="20"/>
  <c r="AH30" i="20"/>
  <c r="AG30" i="20"/>
  <c r="AF30" i="20"/>
  <c r="AE30" i="20"/>
  <c r="AD30" i="20"/>
  <c r="Y30" i="20"/>
  <c r="V30" i="20"/>
  <c r="T30" i="20"/>
  <c r="AM29" i="20"/>
  <c r="AL29" i="20"/>
  <c r="AK29" i="20"/>
  <c r="AJ29" i="20"/>
  <c r="AI29" i="20"/>
  <c r="AH29" i="20"/>
  <c r="AG29" i="20"/>
  <c r="AF29" i="20"/>
  <c r="AE29" i="20"/>
  <c r="AD29" i="20"/>
  <c r="Y29" i="20"/>
  <c r="V29" i="20"/>
  <c r="T29" i="20"/>
  <c r="AM28" i="20"/>
  <c r="AL28" i="20"/>
  <c r="AK28" i="20"/>
  <c r="AJ28" i="20"/>
  <c r="AI28" i="20"/>
  <c r="AH28" i="20"/>
  <c r="AG28" i="20"/>
  <c r="AF28" i="20"/>
  <c r="AE28" i="20"/>
  <c r="AD28" i="20"/>
  <c r="Y28" i="20"/>
  <c r="V28" i="20"/>
  <c r="T28" i="20"/>
  <c r="AM27" i="20"/>
  <c r="AL27" i="20"/>
  <c r="AK27" i="20"/>
  <c r="AJ27" i="20"/>
  <c r="AI27" i="20"/>
  <c r="AH27" i="20"/>
  <c r="AG27" i="20"/>
  <c r="AF27" i="20"/>
  <c r="AE27" i="20"/>
  <c r="AD27" i="20"/>
  <c r="Y27" i="20"/>
  <c r="V27" i="20"/>
  <c r="T27" i="20"/>
  <c r="AM26" i="20"/>
  <c r="AL26" i="20"/>
  <c r="AK26" i="20"/>
  <c r="AJ26" i="20"/>
  <c r="AI26" i="20"/>
  <c r="AH26" i="20"/>
  <c r="AG26" i="20"/>
  <c r="AF26" i="20"/>
  <c r="AE26" i="20"/>
  <c r="AD26" i="20"/>
  <c r="Y26" i="20"/>
  <c r="V26" i="20"/>
  <c r="T26" i="20"/>
  <c r="AM25" i="20"/>
  <c r="AL25" i="20"/>
  <c r="AK25" i="20"/>
  <c r="AJ25" i="20"/>
  <c r="AI25" i="20"/>
  <c r="AH25" i="20"/>
  <c r="AG25" i="20"/>
  <c r="AF25" i="20"/>
  <c r="AE25" i="20"/>
  <c r="AD25" i="20"/>
  <c r="AN25" i="20" s="1"/>
  <c r="Y25" i="20"/>
  <c r="V25" i="20"/>
  <c r="T25" i="20"/>
  <c r="AM24" i="20"/>
  <c r="AL24" i="20"/>
  <c r="AK24" i="20"/>
  <c r="AJ24" i="20"/>
  <c r="AI24" i="20"/>
  <c r="AH24" i="20"/>
  <c r="AG24" i="20"/>
  <c r="AF24" i="20"/>
  <c r="AE24" i="20"/>
  <c r="AD24" i="20"/>
  <c r="Y24" i="20"/>
  <c r="V24" i="20"/>
  <c r="T24" i="20"/>
  <c r="AM23" i="20"/>
  <c r="AL23" i="20"/>
  <c r="AK23" i="20"/>
  <c r="AJ23" i="20"/>
  <c r="AI23" i="20"/>
  <c r="AH23" i="20"/>
  <c r="AG23" i="20"/>
  <c r="AF23" i="20"/>
  <c r="AE23" i="20"/>
  <c r="AD23" i="20"/>
  <c r="Y23" i="20"/>
  <c r="V23" i="20"/>
  <c r="T23" i="20"/>
  <c r="AM22" i="20"/>
  <c r="AL22" i="20"/>
  <c r="AK22" i="20"/>
  <c r="AJ22" i="20"/>
  <c r="AI22" i="20"/>
  <c r="AH22" i="20"/>
  <c r="AG22" i="20"/>
  <c r="AF22" i="20"/>
  <c r="AE22" i="20"/>
  <c r="AD22" i="20"/>
  <c r="AN22" i="20" s="1"/>
  <c r="Y22" i="20"/>
  <c r="V22" i="20"/>
  <c r="T22" i="20"/>
  <c r="AM21" i="20"/>
  <c r="AL21" i="20"/>
  <c r="AK21" i="20"/>
  <c r="AJ21" i="20"/>
  <c r="AI21" i="20"/>
  <c r="AH21" i="20"/>
  <c r="AG21" i="20"/>
  <c r="AF21" i="20"/>
  <c r="AE21" i="20"/>
  <c r="AD21" i="20"/>
  <c r="Y21" i="20"/>
  <c r="V21" i="20"/>
  <c r="T21" i="20"/>
  <c r="AM20" i="20"/>
  <c r="AL20" i="20"/>
  <c r="AK20" i="20"/>
  <c r="AJ20" i="20"/>
  <c r="AI20" i="20"/>
  <c r="AH20" i="20"/>
  <c r="AG20" i="20"/>
  <c r="AF20" i="20"/>
  <c r="AE20" i="20"/>
  <c r="AD20" i="20"/>
  <c r="Y20" i="20"/>
  <c r="V20" i="20"/>
  <c r="T20" i="20"/>
  <c r="AM19" i="20"/>
  <c r="AL19" i="20"/>
  <c r="AK19" i="20"/>
  <c r="AJ19" i="20"/>
  <c r="AI19" i="20"/>
  <c r="AH19" i="20"/>
  <c r="AG19" i="20"/>
  <c r="AF19" i="20"/>
  <c r="AE19" i="20"/>
  <c r="AD19" i="20"/>
  <c r="Y19" i="20"/>
  <c r="V19" i="20"/>
  <c r="T19" i="20"/>
  <c r="AM18" i="20"/>
  <c r="AL18" i="20"/>
  <c r="AK18" i="20"/>
  <c r="AJ18" i="20"/>
  <c r="AI18" i="20"/>
  <c r="AH18" i="20"/>
  <c r="AG18" i="20"/>
  <c r="AF18" i="20"/>
  <c r="AE18" i="20"/>
  <c r="AD18" i="20"/>
  <c r="Y18" i="20"/>
  <c r="V18" i="20"/>
  <c r="T18" i="20"/>
  <c r="AM17" i="20"/>
  <c r="AL17" i="20"/>
  <c r="AK17" i="20"/>
  <c r="AJ17" i="20"/>
  <c r="AI17" i="20"/>
  <c r="AH17" i="20"/>
  <c r="AG17" i="20"/>
  <c r="AF17" i="20"/>
  <c r="AE17" i="20"/>
  <c r="AD17" i="20"/>
  <c r="Y17" i="20"/>
  <c r="V17" i="20"/>
  <c r="T17" i="20"/>
  <c r="AM16" i="20"/>
  <c r="AL16" i="20"/>
  <c r="AK16" i="20"/>
  <c r="AJ16" i="20"/>
  <c r="AI16" i="20"/>
  <c r="AH16" i="20"/>
  <c r="AG16" i="20"/>
  <c r="AF16" i="20"/>
  <c r="AE16" i="20"/>
  <c r="AD16" i="20"/>
  <c r="Y16" i="20"/>
  <c r="V16" i="20"/>
  <c r="T16" i="20"/>
  <c r="AM15" i="20"/>
  <c r="AL15" i="20"/>
  <c r="AK15" i="20"/>
  <c r="AJ15" i="20"/>
  <c r="AI15" i="20"/>
  <c r="AH15" i="20"/>
  <c r="AG15" i="20"/>
  <c r="AF15" i="20"/>
  <c r="AE15" i="20"/>
  <c r="AN15" i="20" s="1"/>
  <c r="AD15" i="20"/>
  <c r="Y15" i="20"/>
  <c r="V15" i="20"/>
  <c r="T15" i="20"/>
  <c r="AM14" i="20"/>
  <c r="AL14" i="20"/>
  <c r="AK14" i="20"/>
  <c r="AJ14" i="20"/>
  <c r="AI14" i="20"/>
  <c r="AH14" i="20"/>
  <c r="AG14" i="20"/>
  <c r="AF14" i="20"/>
  <c r="AE14" i="20"/>
  <c r="AD14" i="20"/>
  <c r="Y14" i="20"/>
  <c r="V14" i="20"/>
  <c r="T14" i="20"/>
  <c r="AM13" i="20"/>
  <c r="AL13" i="20"/>
  <c r="AK13" i="20"/>
  <c r="AJ13" i="20"/>
  <c r="AI13" i="20"/>
  <c r="AH13" i="20"/>
  <c r="AG13" i="20"/>
  <c r="AF13" i="20"/>
  <c r="AE13" i="20"/>
  <c r="AD13" i="20"/>
  <c r="Y13" i="20"/>
  <c r="V13" i="20"/>
  <c r="T13" i="20"/>
  <c r="AM12" i="20"/>
  <c r="AL12" i="20"/>
  <c r="AK12" i="20"/>
  <c r="AJ12" i="20"/>
  <c r="AI12" i="20"/>
  <c r="AH12" i="20"/>
  <c r="AG12" i="20"/>
  <c r="AF12" i="20"/>
  <c r="AE12" i="20"/>
  <c r="AN12" i="20" s="1"/>
  <c r="AD12" i="20"/>
  <c r="Y12" i="20"/>
  <c r="V12" i="20"/>
  <c r="T12" i="20"/>
  <c r="A12" i="20"/>
  <c r="AM11" i="20"/>
  <c r="AL11" i="20"/>
  <c r="AK11" i="20"/>
  <c r="AJ11" i="20"/>
  <c r="AI11" i="20"/>
  <c r="AH11" i="20"/>
  <c r="AG11" i="20"/>
  <c r="AF11" i="20"/>
  <c r="AE11" i="20"/>
  <c r="AD11" i="20"/>
  <c r="Y11" i="20"/>
  <c r="W11" i="20"/>
  <c r="V11" i="20"/>
  <c r="T11" i="20"/>
  <c r="AM10" i="20"/>
  <c r="AL10" i="20"/>
  <c r="AK10" i="20"/>
  <c r="AJ10" i="20"/>
  <c r="AI10" i="20"/>
  <c r="AH10" i="20"/>
  <c r="AG10" i="20"/>
  <c r="AF10" i="20"/>
  <c r="AE10" i="20"/>
  <c r="AD10" i="20"/>
  <c r="Y10" i="20"/>
  <c r="V10" i="20"/>
  <c r="T10" i="20"/>
  <c r="A10" i="20"/>
  <c r="AM9" i="20"/>
  <c r="AL9" i="20"/>
  <c r="AK9" i="20"/>
  <c r="AJ9" i="20"/>
  <c r="AI9" i="20"/>
  <c r="AH9" i="20"/>
  <c r="AG9" i="20"/>
  <c r="AF9" i="20"/>
  <c r="AE9" i="20"/>
  <c r="AD9" i="20"/>
  <c r="Y9" i="20"/>
  <c r="W9" i="20"/>
  <c r="V9" i="20"/>
  <c r="T9" i="20"/>
  <c r="AM8" i="20"/>
  <c r="AL8" i="20"/>
  <c r="AK8" i="20"/>
  <c r="AJ8" i="20"/>
  <c r="AI8" i="20"/>
  <c r="AH8" i="20"/>
  <c r="AG8" i="20"/>
  <c r="AF8" i="20"/>
  <c r="AD8" i="20"/>
  <c r="AN8" i="20" s="1"/>
  <c r="Y8" i="20"/>
  <c r="V8" i="20"/>
  <c r="T8" i="20"/>
  <c r="AM7" i="20"/>
  <c r="AL7" i="20"/>
  <c r="AK7" i="20"/>
  <c r="AJ7" i="20"/>
  <c r="AI7" i="20"/>
  <c r="AH7" i="20"/>
  <c r="AG7" i="20"/>
  <c r="AF7" i="20"/>
  <c r="AD7" i="20"/>
  <c r="AN7" i="20" s="1"/>
  <c r="Y7" i="20"/>
  <c r="V7" i="20"/>
  <c r="T7" i="20"/>
  <c r="AM6" i="20"/>
  <c r="AL6" i="20"/>
  <c r="AK6" i="20"/>
  <c r="AJ6" i="20"/>
  <c r="AI6" i="20"/>
  <c r="AH6" i="20"/>
  <c r="AG6" i="20"/>
  <c r="AF6" i="20"/>
  <c r="AD6" i="20"/>
  <c r="AN6" i="20" s="1"/>
  <c r="Y6" i="20"/>
  <c r="V6" i="20"/>
  <c r="T6" i="20"/>
  <c r="AM5" i="20"/>
  <c r="AL5" i="20"/>
  <c r="AK5" i="20"/>
  <c r="AJ5" i="20"/>
  <c r="AI5" i="20"/>
  <c r="AH5" i="20"/>
  <c r="AG5" i="20"/>
  <c r="AF5" i="20"/>
  <c r="AD5" i="20"/>
  <c r="AN5" i="20" s="1"/>
  <c r="Y5" i="20"/>
  <c r="V5" i="20"/>
  <c r="T5" i="20"/>
  <c r="F1" i="20"/>
  <c r="AM24" i="19"/>
  <c r="AL24" i="19"/>
  <c r="AK24" i="19"/>
  <c r="AJ24" i="19"/>
  <c r="AI24" i="19"/>
  <c r="AH24" i="19"/>
  <c r="AG24" i="19"/>
  <c r="AF24" i="19"/>
  <c r="AE24" i="19"/>
  <c r="AD24" i="19"/>
  <c r="AN24" i="19" s="1"/>
  <c r="Y24" i="19"/>
  <c r="V24" i="19"/>
  <c r="T24" i="19"/>
  <c r="AM23" i="19"/>
  <c r="AL23" i="19"/>
  <c r="AK23" i="19"/>
  <c r="AJ23" i="19"/>
  <c r="AI23" i="19"/>
  <c r="AH23" i="19"/>
  <c r="AG23" i="19"/>
  <c r="AF23" i="19"/>
  <c r="AE23" i="19"/>
  <c r="AD23" i="19"/>
  <c r="Y23" i="19"/>
  <c r="V23" i="19"/>
  <c r="T23" i="19"/>
  <c r="AM22" i="19"/>
  <c r="AL22" i="19"/>
  <c r="AK22" i="19"/>
  <c r="AJ22" i="19"/>
  <c r="AI22" i="19"/>
  <c r="AH22" i="19"/>
  <c r="AG22" i="19"/>
  <c r="AF22" i="19"/>
  <c r="AE22" i="19"/>
  <c r="AD22" i="19"/>
  <c r="AN22" i="19" s="1"/>
  <c r="Y22" i="19"/>
  <c r="V22" i="19"/>
  <c r="T22" i="19"/>
  <c r="AM21" i="19"/>
  <c r="AK21" i="19"/>
  <c r="AF21" i="19"/>
  <c r="AG21" i="19" s="1"/>
  <c r="Y21" i="19"/>
  <c r="V21" i="19"/>
  <c r="AE21" i="19"/>
  <c r="AM20" i="19"/>
  <c r="AK20" i="19"/>
  <c r="AF20" i="19"/>
  <c r="AG20" i="19" s="1"/>
  <c r="Y20" i="19"/>
  <c r="V20" i="19"/>
  <c r="AH20" i="19"/>
  <c r="AI20" i="19" s="1"/>
  <c r="AM19" i="19"/>
  <c r="AK19" i="19"/>
  <c r="AF19" i="19"/>
  <c r="AG19" i="19" s="1"/>
  <c r="AE19" i="19"/>
  <c r="AD19" i="19"/>
  <c r="Y19" i="19"/>
  <c r="V19" i="19"/>
  <c r="AH19" i="19"/>
  <c r="AI19" i="19" s="1"/>
  <c r="AM18" i="19"/>
  <c r="AK18" i="19"/>
  <c r="AF18" i="19"/>
  <c r="AG18" i="19" s="1"/>
  <c r="Y18" i="19"/>
  <c r="V18" i="19"/>
  <c r="AD18" i="19"/>
  <c r="AK17" i="19"/>
  <c r="AF17" i="19"/>
  <c r="AG17" i="19" s="1"/>
  <c r="Y17" i="19"/>
  <c r="V17" i="19"/>
  <c r="AH17" i="19"/>
  <c r="AI17" i="19" s="1"/>
  <c r="AM16" i="19"/>
  <c r="AK16" i="19"/>
  <c r="AH16" i="19"/>
  <c r="AI16" i="19" s="1"/>
  <c r="AF16" i="19"/>
  <c r="AG16" i="19" s="1"/>
  <c r="AD16" i="19"/>
  <c r="Y16" i="19"/>
  <c r="V16" i="19"/>
  <c r="AE16" i="19"/>
  <c r="AM15" i="19"/>
  <c r="AK15" i="19"/>
  <c r="AF15" i="19"/>
  <c r="AG15" i="19" s="1"/>
  <c r="Y15" i="19"/>
  <c r="V15" i="19"/>
  <c r="AE15" i="19"/>
  <c r="AM14" i="19"/>
  <c r="AL14" i="19"/>
  <c r="AK14" i="19"/>
  <c r="AJ14" i="19"/>
  <c r="AI14" i="19"/>
  <c r="AH14" i="19"/>
  <c r="AG14" i="19"/>
  <c r="AF14" i="19"/>
  <c r="AE14" i="19"/>
  <c r="AD14" i="19"/>
  <c r="Y14" i="19"/>
  <c r="V14" i="19"/>
  <c r="T14" i="19"/>
  <c r="AM13" i="19"/>
  <c r="AL13" i="19"/>
  <c r="AK13" i="19"/>
  <c r="AJ13" i="19"/>
  <c r="AI13" i="19"/>
  <c r="AH13" i="19"/>
  <c r="AG13" i="19"/>
  <c r="AF13" i="19"/>
  <c r="AE13" i="19"/>
  <c r="AD13" i="19"/>
  <c r="Y13" i="19"/>
  <c r="V13" i="19"/>
  <c r="T13" i="19"/>
  <c r="AM12" i="19"/>
  <c r="AL12" i="19"/>
  <c r="AK12" i="19"/>
  <c r="AJ12" i="19"/>
  <c r="AI12" i="19"/>
  <c r="AH12" i="19"/>
  <c r="AG12" i="19"/>
  <c r="AF12" i="19"/>
  <c r="AE12" i="19"/>
  <c r="AD12" i="19"/>
  <c r="Y12" i="19"/>
  <c r="V12" i="19"/>
  <c r="T12" i="19"/>
  <c r="A12" i="19"/>
  <c r="AM11" i="19"/>
  <c r="AL11" i="19"/>
  <c r="AK11" i="19"/>
  <c r="AJ11" i="19"/>
  <c r="AI11" i="19"/>
  <c r="AH11" i="19"/>
  <c r="AG11" i="19"/>
  <c r="AF11" i="19"/>
  <c r="AE11" i="19"/>
  <c r="AD11" i="19"/>
  <c r="Y11" i="19"/>
  <c r="V11" i="19"/>
  <c r="T11" i="19"/>
  <c r="AM10" i="19"/>
  <c r="AL10" i="19"/>
  <c r="AK10" i="19"/>
  <c r="AJ10" i="19"/>
  <c r="AI10" i="19"/>
  <c r="AH10" i="19"/>
  <c r="AG10" i="19"/>
  <c r="AF10" i="19"/>
  <c r="AE10" i="19"/>
  <c r="AD10" i="19"/>
  <c r="Y10" i="19"/>
  <c r="V10" i="19"/>
  <c r="T10" i="19"/>
  <c r="A10" i="19"/>
  <c r="W13" i="19" s="1"/>
  <c r="AM9" i="19"/>
  <c r="AL9" i="19"/>
  <c r="AK9" i="19"/>
  <c r="AJ9" i="19"/>
  <c r="AI9" i="19"/>
  <c r="AH9" i="19"/>
  <c r="AG9" i="19"/>
  <c r="AF9" i="19"/>
  <c r="AE9" i="19"/>
  <c r="AD9" i="19"/>
  <c r="Y9" i="19"/>
  <c r="V9" i="19"/>
  <c r="T9" i="19"/>
  <c r="AM8" i="19"/>
  <c r="AL8" i="19"/>
  <c r="AK8" i="19"/>
  <c r="AJ8" i="19"/>
  <c r="AI8" i="19"/>
  <c r="AH8" i="19"/>
  <c r="AG8" i="19"/>
  <c r="AF8" i="19"/>
  <c r="AD8" i="19"/>
  <c r="AN8" i="19" s="1"/>
  <c r="Y8" i="19"/>
  <c r="V8" i="19"/>
  <c r="T8" i="19"/>
  <c r="AM7" i="19"/>
  <c r="AL7" i="19"/>
  <c r="AK7" i="19"/>
  <c r="AJ7" i="19"/>
  <c r="AI7" i="19"/>
  <c r="AH7" i="19"/>
  <c r="AG7" i="19"/>
  <c r="AF7" i="19"/>
  <c r="AD7" i="19"/>
  <c r="AN7" i="19" s="1"/>
  <c r="Y7" i="19"/>
  <c r="V7" i="19"/>
  <c r="T7" i="19"/>
  <c r="AM6" i="19"/>
  <c r="AL6" i="19"/>
  <c r="AK6" i="19"/>
  <c r="AJ6" i="19"/>
  <c r="AI6" i="19"/>
  <c r="AH6" i="19"/>
  <c r="AG6" i="19"/>
  <c r="AF6" i="19"/>
  <c r="AD6" i="19"/>
  <c r="AN6" i="19" s="1"/>
  <c r="Y6" i="19"/>
  <c r="V6" i="19"/>
  <c r="T6" i="19"/>
  <c r="A6" i="19"/>
  <c r="AM5" i="19"/>
  <c r="AL5" i="19"/>
  <c r="AK5" i="19"/>
  <c r="AJ5" i="19"/>
  <c r="AI5" i="19"/>
  <c r="AH5" i="19"/>
  <c r="AG5" i="19"/>
  <c r="AF5" i="19"/>
  <c r="AD5" i="19"/>
  <c r="AN5" i="19" s="1"/>
  <c r="Y5" i="19"/>
  <c r="V5" i="19"/>
  <c r="T5" i="19"/>
  <c r="F1" i="19"/>
  <c r="AM24" i="18"/>
  <c r="AL24" i="18"/>
  <c r="AK24" i="18"/>
  <c r="AJ24" i="18"/>
  <c r="AI24" i="18"/>
  <c r="AH24" i="18"/>
  <c r="AG24" i="18"/>
  <c r="AF24" i="18"/>
  <c r="AE24" i="18"/>
  <c r="AD24" i="18"/>
  <c r="Y24" i="18"/>
  <c r="V24" i="18"/>
  <c r="T24" i="18"/>
  <c r="AM23" i="18"/>
  <c r="AL23" i="18"/>
  <c r="AK23" i="18"/>
  <c r="AJ23" i="18"/>
  <c r="AI23" i="18"/>
  <c r="AH23" i="18"/>
  <c r="AG23" i="18"/>
  <c r="AF23" i="18"/>
  <c r="AE23" i="18"/>
  <c r="AD23" i="18"/>
  <c r="Y23" i="18"/>
  <c r="V23" i="18"/>
  <c r="T23" i="18"/>
  <c r="AM22" i="18"/>
  <c r="AL22" i="18"/>
  <c r="AK22" i="18"/>
  <c r="AJ22" i="18"/>
  <c r="AI22" i="18"/>
  <c r="AH22" i="18"/>
  <c r="AG22" i="18"/>
  <c r="AF22" i="18"/>
  <c r="AE22" i="18"/>
  <c r="AD22" i="18"/>
  <c r="Y22" i="18"/>
  <c r="V22" i="18"/>
  <c r="T22" i="18"/>
  <c r="AM21" i="18"/>
  <c r="AL21" i="18"/>
  <c r="AK21" i="18"/>
  <c r="AJ21" i="18"/>
  <c r="AI21" i="18"/>
  <c r="AH21" i="18"/>
  <c r="AG21" i="18"/>
  <c r="AF21" i="18"/>
  <c r="AE21" i="18"/>
  <c r="AD21" i="18"/>
  <c r="AN21" i="18" s="1"/>
  <c r="Y21" i="18"/>
  <c r="V21" i="18"/>
  <c r="T21" i="18"/>
  <c r="AM20" i="18"/>
  <c r="AL20" i="18"/>
  <c r="AK20" i="18"/>
  <c r="AJ20" i="18"/>
  <c r="AI20" i="18"/>
  <c r="AH20" i="18"/>
  <c r="AG20" i="18"/>
  <c r="AF20" i="18"/>
  <c r="AE20" i="18"/>
  <c r="AD20" i="18"/>
  <c r="AN20" i="18" s="1"/>
  <c r="Y20" i="18"/>
  <c r="V20" i="18"/>
  <c r="T20" i="18"/>
  <c r="AM19" i="18"/>
  <c r="AL19" i="18"/>
  <c r="AK19" i="18"/>
  <c r="AJ19" i="18"/>
  <c r="AI19" i="18"/>
  <c r="AH19" i="18"/>
  <c r="AG19" i="18"/>
  <c r="AF19" i="18"/>
  <c r="AE19" i="18"/>
  <c r="AD19" i="18"/>
  <c r="Y19" i="18"/>
  <c r="V19" i="18"/>
  <c r="T19" i="18"/>
  <c r="AM18" i="18"/>
  <c r="AL18" i="18"/>
  <c r="AK18" i="18"/>
  <c r="AJ18" i="18"/>
  <c r="AI18" i="18"/>
  <c r="AH18" i="18"/>
  <c r="AG18" i="18"/>
  <c r="AF18" i="18"/>
  <c r="AE18" i="18"/>
  <c r="AD18" i="18"/>
  <c r="Y18" i="18"/>
  <c r="V18" i="18"/>
  <c r="T18" i="18"/>
  <c r="AM17" i="18"/>
  <c r="AL17" i="18"/>
  <c r="AK17" i="18"/>
  <c r="AJ17" i="18"/>
  <c r="AI17" i="18"/>
  <c r="AH17" i="18"/>
  <c r="AG17" i="18"/>
  <c r="AF17" i="18"/>
  <c r="AE17" i="18"/>
  <c r="AD17" i="18"/>
  <c r="AN17" i="18" s="1"/>
  <c r="Y17" i="18"/>
  <c r="V17" i="18"/>
  <c r="T17" i="18"/>
  <c r="AM16" i="18"/>
  <c r="AL16" i="18"/>
  <c r="AK16" i="18"/>
  <c r="AJ16" i="18"/>
  <c r="AI16" i="18"/>
  <c r="AH16" i="18"/>
  <c r="AG16" i="18"/>
  <c r="AF16" i="18"/>
  <c r="AE16" i="18"/>
  <c r="AD16" i="18"/>
  <c r="Y16" i="18"/>
  <c r="V16" i="18"/>
  <c r="T16" i="18"/>
  <c r="AM15" i="18"/>
  <c r="AL15" i="18"/>
  <c r="AK15" i="18"/>
  <c r="AJ15" i="18"/>
  <c r="AI15" i="18"/>
  <c r="AH15" i="18"/>
  <c r="AG15" i="18"/>
  <c r="AF15" i="18"/>
  <c r="AE15" i="18"/>
  <c r="AN15" i="18" s="1"/>
  <c r="AD15" i="18"/>
  <c r="Y15" i="18"/>
  <c r="V15" i="18"/>
  <c r="T15" i="18"/>
  <c r="AM14" i="18"/>
  <c r="AK14" i="18"/>
  <c r="AF14" i="18"/>
  <c r="AG14" i="18" s="1"/>
  <c r="AE14" i="18"/>
  <c r="Y14" i="18"/>
  <c r="V14" i="18"/>
  <c r="T14" i="18"/>
  <c r="AH14" i="18" s="1"/>
  <c r="AI14" i="18" s="1"/>
  <c r="AK13" i="18"/>
  <c r="AF13" i="18"/>
  <c r="AG13" i="18" s="1"/>
  <c r="Y13" i="18"/>
  <c r="V13" i="18"/>
  <c r="T13" i="18"/>
  <c r="AM13" i="18" s="1"/>
  <c r="AM12" i="18"/>
  <c r="AK12" i="18"/>
  <c r="AH12" i="18"/>
  <c r="AI12" i="18" s="1"/>
  <c r="AF12" i="18"/>
  <c r="AG12" i="18" s="1"/>
  <c r="Y12" i="18"/>
  <c r="V12" i="18"/>
  <c r="T12" i="18"/>
  <c r="AE12" i="18" s="1"/>
  <c r="A12" i="18"/>
  <c r="AK11" i="18"/>
  <c r="AF11" i="18"/>
  <c r="AG11" i="18" s="1"/>
  <c r="Y11" i="18"/>
  <c r="V11" i="18"/>
  <c r="T11" i="18"/>
  <c r="AH11" i="18" s="1"/>
  <c r="AI11" i="18" s="1"/>
  <c r="AM10" i="18"/>
  <c r="AL10" i="18"/>
  <c r="AK10" i="18"/>
  <c r="AJ10" i="18"/>
  <c r="AI10" i="18"/>
  <c r="AH10" i="18"/>
  <c r="AG10" i="18"/>
  <c r="AF10" i="18"/>
  <c r="AE10" i="18"/>
  <c r="AD10" i="18"/>
  <c r="Y10" i="18"/>
  <c r="V10" i="18"/>
  <c r="T10" i="18"/>
  <c r="K10" i="18"/>
  <c r="A10" i="18"/>
  <c r="W21" i="18" s="1"/>
  <c r="AM9" i="18"/>
  <c r="AL9" i="18"/>
  <c r="AK9" i="18"/>
  <c r="AJ9" i="18"/>
  <c r="AI9" i="18"/>
  <c r="AH9" i="18"/>
  <c r="AG9" i="18"/>
  <c r="AF9" i="18"/>
  <c r="AE9" i="18"/>
  <c r="AD9" i="18"/>
  <c r="Y9" i="18"/>
  <c r="W9" i="18"/>
  <c r="V9" i="18"/>
  <c r="T9" i="18"/>
  <c r="K9" i="18"/>
  <c r="AM8" i="18"/>
  <c r="AL8" i="18"/>
  <c r="AK8" i="18"/>
  <c r="AJ8" i="18"/>
  <c r="AI8" i="18"/>
  <c r="AH8" i="18"/>
  <c r="AG8" i="18"/>
  <c r="AF8" i="18"/>
  <c r="AD8" i="18"/>
  <c r="AN8" i="18" s="1"/>
  <c r="Y8" i="18"/>
  <c r="V8" i="18"/>
  <c r="U8" i="18"/>
  <c r="T8" i="18"/>
  <c r="K8" i="18"/>
  <c r="AM7" i="18"/>
  <c r="AL7" i="18"/>
  <c r="AK7" i="18"/>
  <c r="AJ7" i="18"/>
  <c r="AI7" i="18"/>
  <c r="AH7" i="18"/>
  <c r="AG7" i="18"/>
  <c r="AF7" i="18"/>
  <c r="AD7" i="18"/>
  <c r="AN7" i="18" s="1"/>
  <c r="Y7" i="18"/>
  <c r="W7" i="18"/>
  <c r="V7" i="18"/>
  <c r="T7" i="18"/>
  <c r="K7" i="18"/>
  <c r="AM6" i="18"/>
  <c r="AL6" i="18"/>
  <c r="AK6" i="18"/>
  <c r="AJ6" i="18"/>
  <c r="AI6" i="18"/>
  <c r="AH6" i="18"/>
  <c r="AG6" i="18"/>
  <c r="AF6" i="18"/>
  <c r="AD6" i="18"/>
  <c r="AN6" i="18" s="1"/>
  <c r="Y6" i="18"/>
  <c r="V6" i="18"/>
  <c r="U6" i="18"/>
  <c r="T6" i="18"/>
  <c r="A6" i="18"/>
  <c r="AM5" i="18"/>
  <c r="AL5" i="18"/>
  <c r="AK5" i="18"/>
  <c r="AJ5" i="18"/>
  <c r="AI5" i="18"/>
  <c r="AH5" i="18"/>
  <c r="AG5" i="18"/>
  <c r="AF5" i="18"/>
  <c r="AD5" i="18"/>
  <c r="AN5" i="18" s="1"/>
  <c r="Y5" i="18"/>
  <c r="V5" i="18"/>
  <c r="T5" i="18"/>
  <c r="K5" i="18"/>
  <c r="F1" i="18"/>
  <c r="AM24" i="74"/>
  <c r="AL24" i="74"/>
  <c r="AK24" i="74"/>
  <c r="AJ24" i="74"/>
  <c r="AI24" i="74"/>
  <c r="AH24" i="74"/>
  <c r="AG24" i="74"/>
  <c r="AF24" i="74"/>
  <c r="AE24" i="74"/>
  <c r="AD24" i="74"/>
  <c r="AN24" i="74" s="1"/>
  <c r="Y24" i="74"/>
  <c r="V24" i="74"/>
  <c r="U24" i="74"/>
  <c r="T24" i="74"/>
  <c r="AM23" i="74"/>
  <c r="AL23" i="74"/>
  <c r="AK23" i="74"/>
  <c r="AJ23" i="74"/>
  <c r="AI23" i="74"/>
  <c r="AH23" i="74"/>
  <c r="AG23" i="74"/>
  <c r="AF23" i="74"/>
  <c r="AE23" i="74"/>
  <c r="AD23" i="74"/>
  <c r="Y23" i="74"/>
  <c r="V23" i="74"/>
  <c r="T23" i="74"/>
  <c r="AM22" i="74"/>
  <c r="AL22" i="74"/>
  <c r="AK22" i="74"/>
  <c r="AJ22" i="74"/>
  <c r="AI22" i="74"/>
  <c r="AH22" i="74"/>
  <c r="AG22" i="74"/>
  <c r="AF22" i="74"/>
  <c r="AE22" i="74"/>
  <c r="AD22" i="74"/>
  <c r="AN22" i="74" s="1"/>
  <c r="Y22" i="74"/>
  <c r="V22" i="74"/>
  <c r="U22" i="74"/>
  <c r="T22" i="74"/>
  <c r="AM21" i="74"/>
  <c r="AL21" i="74"/>
  <c r="AK21" i="74"/>
  <c r="AJ21" i="74"/>
  <c r="AI21" i="74"/>
  <c r="AH21" i="74"/>
  <c r="AG21" i="74"/>
  <c r="AF21" i="74"/>
  <c r="AE21" i="74"/>
  <c r="AD21" i="74"/>
  <c r="Y21" i="74"/>
  <c r="V21" i="74"/>
  <c r="T21" i="74"/>
  <c r="AM20" i="74"/>
  <c r="AL20" i="74"/>
  <c r="AK20" i="74"/>
  <c r="AJ20" i="74"/>
  <c r="AI20" i="74"/>
  <c r="AH20" i="74"/>
  <c r="AG20" i="74"/>
  <c r="AF20" i="74"/>
  <c r="AE20" i="74"/>
  <c r="AD20" i="74"/>
  <c r="AN20" i="74" s="1"/>
  <c r="Y20" i="74"/>
  <c r="V20" i="74"/>
  <c r="U20" i="74"/>
  <c r="T20" i="74"/>
  <c r="AM19" i="74"/>
  <c r="AL19" i="74"/>
  <c r="AK19" i="74"/>
  <c r="AJ19" i="74"/>
  <c r="AI19" i="74"/>
  <c r="AH19" i="74"/>
  <c r="AG19" i="74"/>
  <c r="AF19" i="74"/>
  <c r="AE19" i="74"/>
  <c r="AD19" i="74"/>
  <c r="Y19" i="74"/>
  <c r="V19" i="74"/>
  <c r="T19" i="74"/>
  <c r="AM18" i="74"/>
  <c r="AL18" i="74"/>
  <c r="AK18" i="74"/>
  <c r="AJ18" i="74"/>
  <c r="AI18" i="74"/>
  <c r="AH18" i="74"/>
  <c r="AG18" i="74"/>
  <c r="AF18" i="74"/>
  <c r="AE18" i="74"/>
  <c r="AD18" i="74"/>
  <c r="AN18" i="74" s="1"/>
  <c r="Y18" i="74"/>
  <c r="V18" i="74"/>
  <c r="U18" i="74"/>
  <c r="T18" i="74"/>
  <c r="AM17" i="74"/>
  <c r="AL17" i="74"/>
  <c r="AK17" i="74"/>
  <c r="AJ17" i="74"/>
  <c r="AI17" i="74"/>
  <c r="AH17" i="74"/>
  <c r="AG17" i="74"/>
  <c r="AF17" i="74"/>
  <c r="AE17" i="74"/>
  <c r="AD17" i="74"/>
  <c r="Y17" i="74"/>
  <c r="V17" i="74"/>
  <c r="T17" i="74"/>
  <c r="AM16" i="74"/>
  <c r="AL16" i="74"/>
  <c r="AK16" i="74"/>
  <c r="AJ16" i="74"/>
  <c r="AI16" i="74"/>
  <c r="AH16" i="74"/>
  <c r="AG16" i="74"/>
  <c r="AF16" i="74"/>
  <c r="AE16" i="74"/>
  <c r="AD16" i="74"/>
  <c r="AN16" i="74" s="1"/>
  <c r="Y16" i="74"/>
  <c r="V16" i="74"/>
  <c r="U16" i="74"/>
  <c r="T16" i="74"/>
  <c r="AM15" i="74"/>
  <c r="AL15" i="74"/>
  <c r="AK15" i="74"/>
  <c r="AJ15" i="74"/>
  <c r="AI15" i="74"/>
  <c r="AH15" i="74"/>
  <c r="AG15" i="74"/>
  <c r="AF15" i="74"/>
  <c r="AE15" i="74"/>
  <c r="AN15" i="74" s="1"/>
  <c r="AD15" i="74"/>
  <c r="Y15" i="74"/>
  <c r="V15" i="74"/>
  <c r="T15" i="74"/>
  <c r="AM14" i="74"/>
  <c r="AL14" i="74"/>
  <c r="AK14" i="74"/>
  <c r="AJ14" i="74"/>
  <c r="AI14" i="74"/>
  <c r="AH14" i="74"/>
  <c r="AG14" i="74"/>
  <c r="AF14" i="74"/>
  <c r="AE14" i="74"/>
  <c r="AD14" i="74"/>
  <c r="Y14" i="74"/>
  <c r="V14" i="74"/>
  <c r="T14" i="74"/>
  <c r="AM13" i="74"/>
  <c r="AL13" i="74"/>
  <c r="AK13" i="74"/>
  <c r="AJ13" i="74"/>
  <c r="AI13" i="74"/>
  <c r="AH13" i="74"/>
  <c r="AG13" i="74"/>
  <c r="AF13" i="74"/>
  <c r="AE13" i="74"/>
  <c r="AD13" i="74"/>
  <c r="Y13" i="74"/>
  <c r="V13" i="74"/>
  <c r="T13" i="74"/>
  <c r="AM12" i="74"/>
  <c r="AL12" i="74"/>
  <c r="AK12" i="74"/>
  <c r="AJ12" i="74"/>
  <c r="AI12" i="74"/>
  <c r="AH12" i="74"/>
  <c r="AG12" i="74"/>
  <c r="AF12" i="74"/>
  <c r="AE12" i="74"/>
  <c r="AD12" i="74"/>
  <c r="AN12" i="74" s="1"/>
  <c r="Y12" i="74"/>
  <c r="W12" i="74"/>
  <c r="V12" i="74"/>
  <c r="T12" i="74"/>
  <c r="A12" i="74"/>
  <c r="AM11" i="74"/>
  <c r="AL11" i="74"/>
  <c r="AK11" i="74"/>
  <c r="AJ11" i="74"/>
  <c r="AI11" i="74"/>
  <c r="AH11" i="74"/>
  <c r="AG11" i="74"/>
  <c r="AF11" i="74"/>
  <c r="AE11" i="74"/>
  <c r="AD11" i="74"/>
  <c r="AN11" i="74" s="1"/>
  <c r="Y11" i="74"/>
  <c r="W11" i="74"/>
  <c r="V11" i="74"/>
  <c r="U11" i="74"/>
  <c r="T11" i="74"/>
  <c r="AM10" i="74"/>
  <c r="AL10" i="74"/>
  <c r="AK10" i="74"/>
  <c r="AJ10" i="74"/>
  <c r="AI10" i="74"/>
  <c r="AH10" i="74"/>
  <c r="AG10" i="74"/>
  <c r="AF10" i="74"/>
  <c r="AE10" i="74"/>
  <c r="AD10" i="74"/>
  <c r="Y10" i="74"/>
  <c r="V10" i="74"/>
  <c r="U10" i="74"/>
  <c r="T10" i="74"/>
  <c r="A10" i="74"/>
  <c r="AM9" i="74"/>
  <c r="AL9" i="74"/>
  <c r="AK9" i="74"/>
  <c r="AJ9" i="74"/>
  <c r="AI9" i="74"/>
  <c r="AH9" i="74"/>
  <c r="AG9" i="74"/>
  <c r="AF9" i="74"/>
  <c r="AE9" i="74"/>
  <c r="AD9" i="74"/>
  <c r="Y9" i="74"/>
  <c r="W9" i="74"/>
  <c r="V9" i="74"/>
  <c r="T9" i="74"/>
  <c r="AM8" i="74"/>
  <c r="AL8" i="74"/>
  <c r="AK8" i="74"/>
  <c r="AJ8" i="74"/>
  <c r="AI8" i="74"/>
  <c r="AH8" i="74"/>
  <c r="AG8" i="74"/>
  <c r="AF8" i="74"/>
  <c r="AD8" i="74"/>
  <c r="AN8" i="74" s="1"/>
  <c r="Y8" i="74"/>
  <c r="V8" i="74"/>
  <c r="T8" i="74"/>
  <c r="AM7" i="74"/>
  <c r="AL7" i="74"/>
  <c r="AK7" i="74"/>
  <c r="AJ7" i="74"/>
  <c r="AI7" i="74"/>
  <c r="AH7" i="74"/>
  <c r="AG7" i="74"/>
  <c r="AF7" i="74"/>
  <c r="AD7" i="74"/>
  <c r="AN7" i="74" s="1"/>
  <c r="Y7" i="74"/>
  <c r="V7" i="74"/>
  <c r="T7" i="74"/>
  <c r="AM6" i="74"/>
  <c r="AK6" i="74"/>
  <c r="AH6" i="74"/>
  <c r="AI6" i="74" s="1"/>
  <c r="AF6" i="74"/>
  <c r="AG6" i="74" s="1"/>
  <c r="Y6" i="74"/>
  <c r="A14" i="74" s="1"/>
  <c r="V6" i="74"/>
  <c r="U6" i="74"/>
  <c r="T6" i="74"/>
  <c r="AD6" i="74" s="1"/>
  <c r="A6" i="74"/>
  <c r="AM5" i="74"/>
  <c r="AL5" i="74"/>
  <c r="AK5" i="74"/>
  <c r="AJ5" i="74"/>
  <c r="AI5" i="74"/>
  <c r="AH5" i="74"/>
  <c r="AG5" i="74"/>
  <c r="AF5" i="74"/>
  <c r="AD5" i="74"/>
  <c r="AN5" i="74" s="1"/>
  <c r="Y5" i="74"/>
  <c r="W5" i="74"/>
  <c r="V5" i="74"/>
  <c r="T5" i="74"/>
  <c r="F1" i="74"/>
  <c r="AM24" i="16"/>
  <c r="AL24" i="16"/>
  <c r="AK24" i="16"/>
  <c r="AJ24" i="16"/>
  <c r="AI24" i="16"/>
  <c r="AH24" i="16"/>
  <c r="AG24" i="16"/>
  <c r="AF24" i="16"/>
  <c r="AE24" i="16"/>
  <c r="AD24" i="16"/>
  <c r="AN24" i="16" s="1"/>
  <c r="Y24" i="16"/>
  <c r="V24" i="16"/>
  <c r="T24" i="16"/>
  <c r="AM23" i="16"/>
  <c r="AL23" i="16"/>
  <c r="AK23" i="16"/>
  <c r="AJ23" i="16"/>
  <c r="AI23" i="16"/>
  <c r="AH23" i="16"/>
  <c r="AG23" i="16"/>
  <c r="AF23" i="16"/>
  <c r="AE23" i="16"/>
  <c r="AD23" i="16"/>
  <c r="Y23" i="16"/>
  <c r="V23" i="16"/>
  <c r="T23" i="16"/>
  <c r="AM22" i="16"/>
  <c r="AL22" i="16"/>
  <c r="AK22" i="16"/>
  <c r="AJ22" i="16"/>
  <c r="AI22" i="16"/>
  <c r="AH22" i="16"/>
  <c r="AG22" i="16"/>
  <c r="AF22" i="16"/>
  <c r="AE22" i="16"/>
  <c r="AD22" i="16"/>
  <c r="Y22" i="16"/>
  <c r="V22" i="16"/>
  <c r="T22" i="16"/>
  <c r="AM21" i="16"/>
  <c r="AL21" i="16"/>
  <c r="AK21" i="16"/>
  <c r="AJ21" i="16"/>
  <c r="AI21" i="16"/>
  <c r="AH21" i="16"/>
  <c r="AG21" i="16"/>
  <c r="AF21" i="16"/>
  <c r="AE21" i="16"/>
  <c r="AD21" i="16"/>
  <c r="Y21" i="16"/>
  <c r="V21" i="16"/>
  <c r="T21" i="16"/>
  <c r="AM20" i="16"/>
  <c r="AL20" i="16"/>
  <c r="AK20" i="16"/>
  <c r="AJ20" i="16"/>
  <c r="AI20" i="16"/>
  <c r="AH20" i="16"/>
  <c r="AG20" i="16"/>
  <c r="AF20" i="16"/>
  <c r="AE20" i="16"/>
  <c r="AD20" i="16"/>
  <c r="Y20" i="16"/>
  <c r="V20" i="16"/>
  <c r="T20" i="16"/>
  <c r="AM19" i="16"/>
  <c r="AL19" i="16"/>
  <c r="AK19" i="16"/>
  <c r="AJ19" i="16"/>
  <c r="AI19" i="16"/>
  <c r="AH19" i="16"/>
  <c r="AG19" i="16"/>
  <c r="AF19" i="16"/>
  <c r="AE19" i="16"/>
  <c r="AD19" i="16"/>
  <c r="Y19" i="16"/>
  <c r="V19" i="16"/>
  <c r="T19" i="16"/>
  <c r="AM18" i="16"/>
  <c r="AL18" i="16"/>
  <c r="AK18" i="16"/>
  <c r="AJ18" i="16"/>
  <c r="AI18" i="16"/>
  <c r="AH18" i="16"/>
  <c r="AG18" i="16"/>
  <c r="AF18" i="16"/>
  <c r="AE18" i="16"/>
  <c r="AD18" i="16"/>
  <c r="Y18" i="16"/>
  <c r="V18" i="16"/>
  <c r="T18" i="16"/>
  <c r="AM17" i="16"/>
  <c r="AL17" i="16"/>
  <c r="AK17" i="16"/>
  <c r="AJ17" i="16"/>
  <c r="AI17" i="16"/>
  <c r="AH17" i="16"/>
  <c r="AG17" i="16"/>
  <c r="AF17" i="16"/>
  <c r="AE17" i="16"/>
  <c r="AD17" i="16"/>
  <c r="Y17" i="16"/>
  <c r="V17" i="16"/>
  <c r="T17" i="16"/>
  <c r="AM16" i="16"/>
  <c r="AL16" i="16"/>
  <c r="AK16" i="16"/>
  <c r="AJ16" i="16"/>
  <c r="AI16" i="16"/>
  <c r="AH16" i="16"/>
  <c r="AG16" i="16"/>
  <c r="AF16" i="16"/>
  <c r="AE16" i="16"/>
  <c r="AD16" i="16"/>
  <c r="Y16" i="16"/>
  <c r="V16" i="16"/>
  <c r="T16" i="16"/>
  <c r="AM15" i="16"/>
  <c r="AL15" i="16"/>
  <c r="AK15" i="16"/>
  <c r="AJ15" i="16"/>
  <c r="AI15" i="16"/>
  <c r="AH15" i="16"/>
  <c r="AG15" i="16"/>
  <c r="AF15" i="16"/>
  <c r="AE15" i="16"/>
  <c r="AN15" i="16" s="1"/>
  <c r="AD15" i="16"/>
  <c r="Y15" i="16"/>
  <c r="V15" i="16"/>
  <c r="T15" i="16"/>
  <c r="AM14" i="16"/>
  <c r="AL14" i="16"/>
  <c r="AK14" i="16"/>
  <c r="AJ14" i="16"/>
  <c r="AI14" i="16"/>
  <c r="AH14" i="16"/>
  <c r="AG14" i="16"/>
  <c r="AF14" i="16"/>
  <c r="AE14" i="16"/>
  <c r="AD14" i="16"/>
  <c r="Y14" i="16"/>
  <c r="V14" i="16"/>
  <c r="T14" i="16"/>
  <c r="AM13" i="16"/>
  <c r="AL13" i="16"/>
  <c r="AK13" i="16"/>
  <c r="AJ13" i="16"/>
  <c r="AI13" i="16"/>
  <c r="AH13" i="16"/>
  <c r="AG13" i="16"/>
  <c r="AF13" i="16"/>
  <c r="AE13" i="16"/>
  <c r="AD13" i="16"/>
  <c r="Y13" i="16"/>
  <c r="V13" i="16"/>
  <c r="T13" i="16"/>
  <c r="AM12" i="16"/>
  <c r="AL12" i="16"/>
  <c r="AK12" i="16"/>
  <c r="AJ12" i="16"/>
  <c r="AI12" i="16"/>
  <c r="AH12" i="16"/>
  <c r="AG12" i="16"/>
  <c r="AF12" i="16"/>
  <c r="AE12" i="16"/>
  <c r="AD12" i="16"/>
  <c r="Y12" i="16"/>
  <c r="V12" i="16"/>
  <c r="T12" i="16"/>
  <c r="A12" i="16"/>
  <c r="AM11" i="16"/>
  <c r="AL11" i="16"/>
  <c r="AK11" i="16"/>
  <c r="AJ11" i="16"/>
  <c r="AI11" i="16"/>
  <c r="AH11" i="16"/>
  <c r="AG11" i="16"/>
  <c r="AF11" i="16"/>
  <c r="AE11" i="16"/>
  <c r="AD11" i="16"/>
  <c r="Y11" i="16"/>
  <c r="V11" i="16"/>
  <c r="T11" i="16"/>
  <c r="AM10" i="16"/>
  <c r="AL10" i="16"/>
  <c r="AK10" i="16"/>
  <c r="AJ10" i="16"/>
  <c r="AI10" i="16"/>
  <c r="AH10" i="16"/>
  <c r="AG10" i="16"/>
  <c r="AF10" i="16"/>
  <c r="AE10" i="16"/>
  <c r="AD10" i="16"/>
  <c r="Y10" i="16"/>
  <c r="V10" i="16"/>
  <c r="T10" i="16"/>
  <c r="A10" i="16"/>
  <c r="U6" i="16" s="1"/>
  <c r="AM9" i="16"/>
  <c r="AL9" i="16"/>
  <c r="AK9" i="16"/>
  <c r="AJ9" i="16"/>
  <c r="AI9" i="16"/>
  <c r="AH9" i="16"/>
  <c r="AG9" i="16"/>
  <c r="AF9" i="16"/>
  <c r="AE9" i="16"/>
  <c r="AD9" i="16"/>
  <c r="Y9" i="16"/>
  <c r="W9" i="16"/>
  <c r="V9" i="16"/>
  <c r="T9" i="16"/>
  <c r="AM8" i="16"/>
  <c r="AL8" i="16"/>
  <c r="AK8" i="16"/>
  <c r="AJ8" i="16"/>
  <c r="AI8" i="16"/>
  <c r="AH8" i="16"/>
  <c r="AG8" i="16"/>
  <c r="AF8" i="16"/>
  <c r="AD8" i="16"/>
  <c r="AN8" i="16" s="1"/>
  <c r="Y8" i="16"/>
  <c r="V8" i="16"/>
  <c r="T8" i="16"/>
  <c r="AM7" i="16"/>
  <c r="AK7" i="16"/>
  <c r="AF7" i="16"/>
  <c r="AG7" i="16" s="1"/>
  <c r="Y7" i="16"/>
  <c r="V7" i="16"/>
  <c r="AD7" i="16"/>
  <c r="AM6" i="16"/>
  <c r="AK6" i="16"/>
  <c r="AF6" i="16"/>
  <c r="AG6" i="16" s="1"/>
  <c r="Y6" i="16"/>
  <c r="V6" i="16"/>
  <c r="T6" i="16"/>
  <c r="AH6" i="16" s="1"/>
  <c r="AI6" i="16" s="1"/>
  <c r="A6" i="16"/>
  <c r="AK5" i="16"/>
  <c r="AI5" i="16"/>
  <c r="AH5" i="16"/>
  <c r="AF5" i="16"/>
  <c r="AD5" i="16"/>
  <c r="Y5" i="16"/>
  <c r="V5" i="16"/>
  <c r="T5" i="16"/>
  <c r="K5" i="16"/>
  <c r="AG5" i="16" s="1"/>
  <c r="F1" i="16"/>
  <c r="AM515" i="15"/>
  <c r="AL515" i="15"/>
  <c r="AK515" i="15"/>
  <c r="AJ515" i="15"/>
  <c r="AI515" i="15"/>
  <c r="AH515" i="15"/>
  <c r="AG515" i="15"/>
  <c r="AF515" i="15"/>
  <c r="AE515" i="15"/>
  <c r="AD515" i="15"/>
  <c r="Y515" i="15"/>
  <c r="V515" i="15"/>
  <c r="T515" i="15"/>
  <c r="AM514" i="15"/>
  <c r="AL514" i="15"/>
  <c r="AK514" i="15"/>
  <c r="AJ514" i="15"/>
  <c r="AI514" i="15"/>
  <c r="AH514" i="15"/>
  <c r="AG514" i="15"/>
  <c r="AF514" i="15"/>
  <c r="AE514" i="15"/>
  <c r="AD514" i="15"/>
  <c r="Y514" i="15"/>
  <c r="V514" i="15"/>
  <c r="T514" i="15"/>
  <c r="AM513" i="15"/>
  <c r="AL513" i="15"/>
  <c r="AK513" i="15"/>
  <c r="AJ513" i="15"/>
  <c r="AI513" i="15"/>
  <c r="AH513" i="15"/>
  <c r="AG513" i="15"/>
  <c r="AF513" i="15"/>
  <c r="AE513" i="15"/>
  <c r="AD513" i="15"/>
  <c r="Y513" i="15"/>
  <c r="V513" i="15"/>
  <c r="T513" i="15"/>
  <c r="AM512" i="15"/>
  <c r="AL512" i="15"/>
  <c r="AK512" i="15"/>
  <c r="AJ512" i="15"/>
  <c r="AI512" i="15"/>
  <c r="AH512" i="15"/>
  <c r="AG512" i="15"/>
  <c r="AF512" i="15"/>
  <c r="AE512" i="15"/>
  <c r="AD512" i="15"/>
  <c r="Y512" i="15"/>
  <c r="V512" i="15"/>
  <c r="T512" i="15"/>
  <c r="AM511" i="15"/>
  <c r="AL511" i="15"/>
  <c r="AK511" i="15"/>
  <c r="AJ511" i="15"/>
  <c r="AI511" i="15"/>
  <c r="AH511" i="15"/>
  <c r="AG511" i="15"/>
  <c r="AF511" i="15"/>
  <c r="AE511" i="15"/>
  <c r="AD511" i="15"/>
  <c r="Y511" i="15"/>
  <c r="V511" i="15"/>
  <c r="T511" i="15"/>
  <c r="AM510" i="15"/>
  <c r="AL510" i="15"/>
  <c r="AK510" i="15"/>
  <c r="AJ510" i="15"/>
  <c r="AI510" i="15"/>
  <c r="AH510" i="15"/>
  <c r="AG510" i="15"/>
  <c r="AF510" i="15"/>
  <c r="AE510" i="15"/>
  <c r="AD510" i="15"/>
  <c r="Y510" i="15"/>
  <c r="V510" i="15"/>
  <c r="T510" i="15"/>
  <c r="AM509" i="15"/>
  <c r="AL509" i="15"/>
  <c r="AK509" i="15"/>
  <c r="AJ509" i="15"/>
  <c r="AI509" i="15"/>
  <c r="AH509" i="15"/>
  <c r="AG509" i="15"/>
  <c r="AF509" i="15"/>
  <c r="AE509" i="15"/>
  <c r="AD509" i="15"/>
  <c r="Y509" i="15"/>
  <c r="V509" i="15"/>
  <c r="T509" i="15"/>
  <c r="AM508" i="15"/>
  <c r="AL508" i="15"/>
  <c r="AK508" i="15"/>
  <c r="AJ508" i="15"/>
  <c r="AI508" i="15"/>
  <c r="AH508" i="15"/>
  <c r="AG508" i="15"/>
  <c r="AF508" i="15"/>
  <c r="AE508" i="15"/>
  <c r="AD508" i="15"/>
  <c r="Y508" i="15"/>
  <c r="V508" i="15"/>
  <c r="T508" i="15"/>
  <c r="AM507" i="15"/>
  <c r="AL507" i="15"/>
  <c r="AK507" i="15"/>
  <c r="AJ507" i="15"/>
  <c r="AI507" i="15"/>
  <c r="AH507" i="15"/>
  <c r="AG507" i="15"/>
  <c r="AF507" i="15"/>
  <c r="AE507" i="15"/>
  <c r="AD507" i="15"/>
  <c r="Y507" i="15"/>
  <c r="V507" i="15"/>
  <c r="T507" i="15"/>
  <c r="AM506" i="15"/>
  <c r="AL506" i="15"/>
  <c r="AK506" i="15"/>
  <c r="AJ506" i="15"/>
  <c r="AI506" i="15"/>
  <c r="AH506" i="15"/>
  <c r="AG506" i="15"/>
  <c r="AF506" i="15"/>
  <c r="AE506" i="15"/>
  <c r="AD506" i="15"/>
  <c r="Y506" i="15"/>
  <c r="V506" i="15"/>
  <c r="T506" i="15"/>
  <c r="AM505" i="15"/>
  <c r="AL505" i="15"/>
  <c r="AK505" i="15"/>
  <c r="AJ505" i="15"/>
  <c r="AI505" i="15"/>
  <c r="AH505" i="15"/>
  <c r="AG505" i="15"/>
  <c r="AF505" i="15"/>
  <c r="AE505" i="15"/>
  <c r="AD505" i="15"/>
  <c r="Y505" i="15"/>
  <c r="V505" i="15"/>
  <c r="T505" i="15"/>
  <c r="AM504" i="15"/>
  <c r="AL504" i="15"/>
  <c r="AK504" i="15"/>
  <c r="AJ504" i="15"/>
  <c r="AI504" i="15"/>
  <c r="AH504" i="15"/>
  <c r="AG504" i="15"/>
  <c r="AF504" i="15"/>
  <c r="AE504" i="15"/>
  <c r="AD504" i="15"/>
  <c r="Y504" i="15"/>
  <c r="V504" i="15"/>
  <c r="T504" i="15"/>
  <c r="AM503" i="15"/>
  <c r="AL503" i="15"/>
  <c r="AK503" i="15"/>
  <c r="AJ503" i="15"/>
  <c r="AI503" i="15"/>
  <c r="AH503" i="15"/>
  <c r="AG503" i="15"/>
  <c r="AF503" i="15"/>
  <c r="AE503" i="15"/>
  <c r="AD503" i="15"/>
  <c r="Y503" i="15"/>
  <c r="V503" i="15"/>
  <c r="T503" i="15"/>
  <c r="AM502" i="15"/>
  <c r="AL502" i="15"/>
  <c r="AK502" i="15"/>
  <c r="AJ502" i="15"/>
  <c r="AI502" i="15"/>
  <c r="AH502" i="15"/>
  <c r="AG502" i="15"/>
  <c r="AF502" i="15"/>
  <c r="AE502" i="15"/>
  <c r="AD502" i="15"/>
  <c r="Y502" i="15"/>
  <c r="V502" i="15"/>
  <c r="T502" i="15"/>
  <c r="AM501" i="15"/>
  <c r="AL501" i="15"/>
  <c r="AK501" i="15"/>
  <c r="AJ501" i="15"/>
  <c r="AI501" i="15"/>
  <c r="AH501" i="15"/>
  <c r="AG501" i="15"/>
  <c r="AF501" i="15"/>
  <c r="AE501" i="15"/>
  <c r="AD501" i="15"/>
  <c r="Y501" i="15"/>
  <c r="V501" i="15"/>
  <c r="T501" i="15"/>
  <c r="AM500" i="15"/>
  <c r="AL500" i="15"/>
  <c r="AK500" i="15"/>
  <c r="AJ500" i="15"/>
  <c r="AI500" i="15"/>
  <c r="AH500" i="15"/>
  <c r="AG500" i="15"/>
  <c r="AF500" i="15"/>
  <c r="AE500" i="15"/>
  <c r="AD500" i="15"/>
  <c r="Y500" i="15"/>
  <c r="V500" i="15"/>
  <c r="T500" i="15"/>
  <c r="AM499" i="15"/>
  <c r="AL499" i="15"/>
  <c r="AK499" i="15"/>
  <c r="AJ499" i="15"/>
  <c r="AI499" i="15"/>
  <c r="AH499" i="15"/>
  <c r="AG499" i="15"/>
  <c r="AF499" i="15"/>
  <c r="AE499" i="15"/>
  <c r="AD499" i="15"/>
  <c r="Y499" i="15"/>
  <c r="V499" i="15"/>
  <c r="T499" i="15"/>
  <c r="AM498" i="15"/>
  <c r="AL498" i="15"/>
  <c r="AK498" i="15"/>
  <c r="AJ498" i="15"/>
  <c r="AI498" i="15"/>
  <c r="AH498" i="15"/>
  <c r="AG498" i="15"/>
  <c r="AF498" i="15"/>
  <c r="AE498" i="15"/>
  <c r="AD498" i="15"/>
  <c r="Y498" i="15"/>
  <c r="V498" i="15"/>
  <c r="T498" i="15"/>
  <c r="AM497" i="15"/>
  <c r="AL497" i="15"/>
  <c r="AK497" i="15"/>
  <c r="AJ497" i="15"/>
  <c r="AI497" i="15"/>
  <c r="AH497" i="15"/>
  <c r="AG497" i="15"/>
  <c r="AF497" i="15"/>
  <c r="AE497" i="15"/>
  <c r="AD497" i="15"/>
  <c r="Y497" i="15"/>
  <c r="V497" i="15"/>
  <c r="T497" i="15"/>
  <c r="AM496" i="15"/>
  <c r="AL496" i="15"/>
  <c r="AK496" i="15"/>
  <c r="AJ496" i="15"/>
  <c r="AI496" i="15"/>
  <c r="AH496" i="15"/>
  <c r="AG496" i="15"/>
  <c r="AF496" i="15"/>
  <c r="AE496" i="15"/>
  <c r="AD496" i="15"/>
  <c r="Y496" i="15"/>
  <c r="V496" i="15"/>
  <c r="T496" i="15"/>
  <c r="AM495" i="15"/>
  <c r="AL495" i="15"/>
  <c r="AK495" i="15"/>
  <c r="AJ495" i="15"/>
  <c r="AI495" i="15"/>
  <c r="AH495" i="15"/>
  <c r="AG495" i="15"/>
  <c r="AF495" i="15"/>
  <c r="AE495" i="15"/>
  <c r="AD495" i="15"/>
  <c r="Y495" i="15"/>
  <c r="V495" i="15"/>
  <c r="T495" i="15"/>
  <c r="AM494" i="15"/>
  <c r="AL494" i="15"/>
  <c r="AK494" i="15"/>
  <c r="AJ494" i="15"/>
  <c r="AI494" i="15"/>
  <c r="AH494" i="15"/>
  <c r="AG494" i="15"/>
  <c r="AF494" i="15"/>
  <c r="AE494" i="15"/>
  <c r="AD494" i="15"/>
  <c r="Y494" i="15"/>
  <c r="V494" i="15"/>
  <c r="T494" i="15"/>
  <c r="AM493" i="15"/>
  <c r="AL493" i="15"/>
  <c r="AK493" i="15"/>
  <c r="AJ493" i="15"/>
  <c r="AI493" i="15"/>
  <c r="AH493" i="15"/>
  <c r="AG493" i="15"/>
  <c r="AF493" i="15"/>
  <c r="AE493" i="15"/>
  <c r="AD493" i="15"/>
  <c r="Y493" i="15"/>
  <c r="V493" i="15"/>
  <c r="T493" i="15"/>
  <c r="AM492" i="15"/>
  <c r="AL492" i="15"/>
  <c r="AK492" i="15"/>
  <c r="AJ492" i="15"/>
  <c r="AI492" i="15"/>
  <c r="AH492" i="15"/>
  <c r="AG492" i="15"/>
  <c r="AF492" i="15"/>
  <c r="AE492" i="15"/>
  <c r="AD492" i="15"/>
  <c r="Y492" i="15"/>
  <c r="V492" i="15"/>
  <c r="T492" i="15"/>
  <c r="AM491" i="15"/>
  <c r="AL491" i="15"/>
  <c r="AK491" i="15"/>
  <c r="AJ491" i="15"/>
  <c r="AI491" i="15"/>
  <c r="AH491" i="15"/>
  <c r="AG491" i="15"/>
  <c r="AF491" i="15"/>
  <c r="AE491" i="15"/>
  <c r="AD491" i="15"/>
  <c r="Y491" i="15"/>
  <c r="V491" i="15"/>
  <c r="T491" i="15"/>
  <c r="AM490" i="15"/>
  <c r="AL490" i="15"/>
  <c r="AK490" i="15"/>
  <c r="AJ490" i="15"/>
  <c r="AI490" i="15"/>
  <c r="AH490" i="15"/>
  <c r="AG490" i="15"/>
  <c r="AF490" i="15"/>
  <c r="AE490" i="15"/>
  <c r="AD490" i="15"/>
  <c r="Y490" i="15"/>
  <c r="V490" i="15"/>
  <c r="T490" i="15"/>
  <c r="AM489" i="15"/>
  <c r="AL489" i="15"/>
  <c r="AK489" i="15"/>
  <c r="AJ489" i="15"/>
  <c r="AI489" i="15"/>
  <c r="AH489" i="15"/>
  <c r="AG489" i="15"/>
  <c r="AF489" i="15"/>
  <c r="AE489" i="15"/>
  <c r="AD489" i="15"/>
  <c r="Y489" i="15"/>
  <c r="V489" i="15"/>
  <c r="T489" i="15"/>
  <c r="AM488" i="15"/>
  <c r="AL488" i="15"/>
  <c r="AK488" i="15"/>
  <c r="AJ488" i="15"/>
  <c r="AI488" i="15"/>
  <c r="AH488" i="15"/>
  <c r="AG488" i="15"/>
  <c r="AF488" i="15"/>
  <c r="AE488" i="15"/>
  <c r="AD488" i="15"/>
  <c r="Y488" i="15"/>
  <c r="V488" i="15"/>
  <c r="T488" i="15"/>
  <c r="AM487" i="15"/>
  <c r="AL487" i="15"/>
  <c r="AK487" i="15"/>
  <c r="AJ487" i="15"/>
  <c r="AI487" i="15"/>
  <c r="AH487" i="15"/>
  <c r="AG487" i="15"/>
  <c r="AF487" i="15"/>
  <c r="AE487" i="15"/>
  <c r="AD487" i="15"/>
  <c r="Y487" i="15"/>
  <c r="V487" i="15"/>
  <c r="T487" i="15"/>
  <c r="AM486" i="15"/>
  <c r="AL486" i="15"/>
  <c r="AK486" i="15"/>
  <c r="AJ486" i="15"/>
  <c r="AI486" i="15"/>
  <c r="AH486" i="15"/>
  <c r="AG486" i="15"/>
  <c r="AF486" i="15"/>
  <c r="AE486" i="15"/>
  <c r="AD486" i="15"/>
  <c r="Y486" i="15"/>
  <c r="V486" i="15"/>
  <c r="T486" i="15"/>
  <c r="AM485" i="15"/>
  <c r="AL485" i="15"/>
  <c r="AK485" i="15"/>
  <c r="AJ485" i="15"/>
  <c r="AI485" i="15"/>
  <c r="AH485" i="15"/>
  <c r="AG485" i="15"/>
  <c r="AF485" i="15"/>
  <c r="AE485" i="15"/>
  <c r="AN485" i="15" s="1"/>
  <c r="AD485" i="15"/>
  <c r="Y485" i="15"/>
  <c r="V485" i="15"/>
  <c r="T485" i="15"/>
  <c r="AM484" i="15"/>
  <c r="AL484" i="15"/>
  <c r="AK484" i="15"/>
  <c r="AJ484" i="15"/>
  <c r="AI484" i="15"/>
  <c r="AH484" i="15"/>
  <c r="AG484" i="15"/>
  <c r="AF484" i="15"/>
  <c r="AE484" i="15"/>
  <c r="AD484" i="15"/>
  <c r="Y484" i="15"/>
  <c r="V484" i="15"/>
  <c r="T484" i="15"/>
  <c r="AM483" i="15"/>
  <c r="AL483" i="15"/>
  <c r="AK483" i="15"/>
  <c r="AJ483" i="15"/>
  <c r="AI483" i="15"/>
  <c r="AH483" i="15"/>
  <c r="AG483" i="15"/>
  <c r="AF483" i="15"/>
  <c r="AE483" i="15"/>
  <c r="AD483" i="15"/>
  <c r="Y483" i="15"/>
  <c r="V483" i="15"/>
  <c r="T483" i="15"/>
  <c r="AM482" i="15"/>
  <c r="AL482" i="15"/>
  <c r="AK482" i="15"/>
  <c r="AJ482" i="15"/>
  <c r="AI482" i="15"/>
  <c r="AH482" i="15"/>
  <c r="AG482" i="15"/>
  <c r="AF482" i="15"/>
  <c r="AE482" i="15"/>
  <c r="AD482" i="15"/>
  <c r="Y482" i="15"/>
  <c r="V482" i="15"/>
  <c r="T482" i="15"/>
  <c r="AM481" i="15"/>
  <c r="AL481" i="15"/>
  <c r="AK481" i="15"/>
  <c r="AJ481" i="15"/>
  <c r="AI481" i="15"/>
  <c r="AH481" i="15"/>
  <c r="AG481" i="15"/>
  <c r="AF481" i="15"/>
  <c r="AE481" i="15"/>
  <c r="AD481" i="15"/>
  <c r="Y481" i="15"/>
  <c r="V481" i="15"/>
  <c r="T481" i="15"/>
  <c r="AM480" i="15"/>
  <c r="AL480" i="15"/>
  <c r="AK480" i="15"/>
  <c r="AJ480" i="15"/>
  <c r="AI480" i="15"/>
  <c r="AH480" i="15"/>
  <c r="AG480" i="15"/>
  <c r="AF480" i="15"/>
  <c r="AE480" i="15"/>
  <c r="AD480" i="15"/>
  <c r="Y480" i="15"/>
  <c r="V480" i="15"/>
  <c r="T480" i="15"/>
  <c r="AM479" i="15"/>
  <c r="AL479" i="15"/>
  <c r="AK479" i="15"/>
  <c r="AJ479" i="15"/>
  <c r="AI479" i="15"/>
  <c r="AH479" i="15"/>
  <c r="AG479" i="15"/>
  <c r="AF479" i="15"/>
  <c r="AE479" i="15"/>
  <c r="AD479" i="15"/>
  <c r="Y479" i="15"/>
  <c r="V479" i="15"/>
  <c r="T479" i="15"/>
  <c r="AM478" i="15"/>
  <c r="AL478" i="15"/>
  <c r="AK478" i="15"/>
  <c r="AJ478" i="15"/>
  <c r="AI478" i="15"/>
  <c r="AH478" i="15"/>
  <c r="AG478" i="15"/>
  <c r="AF478" i="15"/>
  <c r="AE478" i="15"/>
  <c r="AN478" i="15" s="1"/>
  <c r="AD478" i="15"/>
  <c r="Y478" i="15"/>
  <c r="V478" i="15"/>
  <c r="T478" i="15"/>
  <c r="AM477" i="15"/>
  <c r="AL477" i="15"/>
  <c r="AK477" i="15"/>
  <c r="AJ477" i="15"/>
  <c r="AI477" i="15"/>
  <c r="AH477" i="15"/>
  <c r="AG477" i="15"/>
  <c r="AF477" i="15"/>
  <c r="AE477" i="15"/>
  <c r="AD477" i="15"/>
  <c r="Y477" i="15"/>
  <c r="V477" i="15"/>
  <c r="T477" i="15"/>
  <c r="AM476" i="15"/>
  <c r="AL476" i="15"/>
  <c r="AK476" i="15"/>
  <c r="AJ476" i="15"/>
  <c r="AI476" i="15"/>
  <c r="AH476" i="15"/>
  <c r="AG476" i="15"/>
  <c r="AF476" i="15"/>
  <c r="AE476" i="15"/>
  <c r="AD476" i="15"/>
  <c r="Y476" i="15"/>
  <c r="V476" i="15"/>
  <c r="T476" i="15"/>
  <c r="AM475" i="15"/>
  <c r="AL475" i="15"/>
  <c r="AK475" i="15"/>
  <c r="AJ475" i="15"/>
  <c r="AI475" i="15"/>
  <c r="AH475" i="15"/>
  <c r="AG475" i="15"/>
  <c r="AF475" i="15"/>
  <c r="AE475" i="15"/>
  <c r="AD475" i="15"/>
  <c r="Y475" i="15"/>
  <c r="V475" i="15"/>
  <c r="T475" i="15"/>
  <c r="AM474" i="15"/>
  <c r="AL474" i="15"/>
  <c r="AK474" i="15"/>
  <c r="AJ474" i="15"/>
  <c r="AI474" i="15"/>
  <c r="AH474" i="15"/>
  <c r="AG474" i="15"/>
  <c r="AF474" i="15"/>
  <c r="AE474" i="15"/>
  <c r="AD474" i="15"/>
  <c r="Y474" i="15"/>
  <c r="V474" i="15"/>
  <c r="T474" i="15"/>
  <c r="AM473" i="15"/>
  <c r="AL473" i="15"/>
  <c r="AK473" i="15"/>
  <c r="AJ473" i="15"/>
  <c r="AI473" i="15"/>
  <c r="AH473" i="15"/>
  <c r="AG473" i="15"/>
  <c r="AF473" i="15"/>
  <c r="AE473" i="15"/>
  <c r="AN473" i="15" s="1"/>
  <c r="AD473" i="15"/>
  <c r="Y473" i="15"/>
  <c r="V473" i="15"/>
  <c r="T473" i="15"/>
  <c r="AM472" i="15"/>
  <c r="AL472" i="15"/>
  <c r="AK472" i="15"/>
  <c r="AJ472" i="15"/>
  <c r="AI472" i="15"/>
  <c r="AH472" i="15"/>
  <c r="AG472" i="15"/>
  <c r="AF472" i="15"/>
  <c r="AE472" i="15"/>
  <c r="AD472" i="15"/>
  <c r="Y472" i="15"/>
  <c r="V472" i="15"/>
  <c r="T472" i="15"/>
  <c r="AM471" i="15"/>
  <c r="AL471" i="15"/>
  <c r="AK471" i="15"/>
  <c r="AJ471" i="15"/>
  <c r="AI471" i="15"/>
  <c r="AH471" i="15"/>
  <c r="AG471" i="15"/>
  <c r="AF471" i="15"/>
  <c r="AE471" i="15"/>
  <c r="AD471" i="15"/>
  <c r="AN471" i="15" s="1"/>
  <c r="Y471" i="15"/>
  <c r="V471" i="15"/>
  <c r="T471" i="15"/>
  <c r="AM470" i="15"/>
  <c r="AL470" i="15"/>
  <c r="AK470" i="15"/>
  <c r="AJ470" i="15"/>
  <c r="AI470" i="15"/>
  <c r="AH470" i="15"/>
  <c r="AG470" i="15"/>
  <c r="AF470" i="15"/>
  <c r="AE470" i="15"/>
  <c r="AD470" i="15"/>
  <c r="Y470" i="15"/>
  <c r="V470" i="15"/>
  <c r="T470" i="15"/>
  <c r="AM469" i="15"/>
  <c r="AL469" i="15"/>
  <c r="AK469" i="15"/>
  <c r="AJ469" i="15"/>
  <c r="AI469" i="15"/>
  <c r="AH469" i="15"/>
  <c r="AG469" i="15"/>
  <c r="AF469" i="15"/>
  <c r="AE469" i="15"/>
  <c r="AD469" i="15"/>
  <c r="Y469" i="15"/>
  <c r="V469" i="15"/>
  <c r="T469" i="15"/>
  <c r="AM468" i="15"/>
  <c r="AL468" i="15"/>
  <c r="AK468" i="15"/>
  <c r="AJ468" i="15"/>
  <c r="AI468" i="15"/>
  <c r="AH468" i="15"/>
  <c r="AG468" i="15"/>
  <c r="AF468" i="15"/>
  <c r="AE468" i="15"/>
  <c r="AD468" i="15"/>
  <c r="Y468" i="15"/>
  <c r="V468" i="15"/>
  <c r="T468" i="15"/>
  <c r="AM467" i="15"/>
  <c r="AL467" i="15"/>
  <c r="AK467" i="15"/>
  <c r="AJ467" i="15"/>
  <c r="AI467" i="15"/>
  <c r="AH467" i="15"/>
  <c r="AG467" i="15"/>
  <c r="AF467" i="15"/>
  <c r="AE467" i="15"/>
  <c r="AD467" i="15"/>
  <c r="Y467" i="15"/>
  <c r="V467" i="15"/>
  <c r="T467" i="15"/>
  <c r="AM466" i="15"/>
  <c r="AL466" i="15"/>
  <c r="AK466" i="15"/>
  <c r="AJ466" i="15"/>
  <c r="AI466" i="15"/>
  <c r="AH466" i="15"/>
  <c r="AG466" i="15"/>
  <c r="AF466" i="15"/>
  <c r="AE466" i="15"/>
  <c r="AN466" i="15" s="1"/>
  <c r="AD466" i="15"/>
  <c r="Y466" i="15"/>
  <c r="V466" i="15"/>
  <c r="T466" i="15"/>
  <c r="AM465" i="15"/>
  <c r="AL465" i="15"/>
  <c r="AK465" i="15"/>
  <c r="AJ465" i="15"/>
  <c r="AI465" i="15"/>
  <c r="AH465" i="15"/>
  <c r="AG465" i="15"/>
  <c r="AF465" i="15"/>
  <c r="AE465" i="15"/>
  <c r="AD465" i="15"/>
  <c r="Y465" i="15"/>
  <c r="V465" i="15"/>
  <c r="T465" i="15"/>
  <c r="AM464" i="15"/>
  <c r="AL464" i="15"/>
  <c r="AK464" i="15"/>
  <c r="AJ464" i="15"/>
  <c r="AI464" i="15"/>
  <c r="AH464" i="15"/>
  <c r="AG464" i="15"/>
  <c r="AF464" i="15"/>
  <c r="AE464" i="15"/>
  <c r="AN464" i="15" s="1"/>
  <c r="AD464" i="15"/>
  <c r="Y464" i="15"/>
  <c r="V464" i="15"/>
  <c r="T464" i="15"/>
  <c r="AM463" i="15"/>
  <c r="AL463" i="15"/>
  <c r="AK463" i="15"/>
  <c r="AJ463" i="15"/>
  <c r="AI463" i="15"/>
  <c r="AH463" i="15"/>
  <c r="AG463" i="15"/>
  <c r="AF463" i="15"/>
  <c r="AE463" i="15"/>
  <c r="AD463" i="15"/>
  <c r="Y463" i="15"/>
  <c r="V463" i="15"/>
  <c r="T463" i="15"/>
  <c r="AM462" i="15"/>
  <c r="AL462" i="15"/>
  <c r="AK462" i="15"/>
  <c r="AJ462" i="15"/>
  <c r="AI462" i="15"/>
  <c r="AH462" i="15"/>
  <c r="AG462" i="15"/>
  <c r="AF462" i="15"/>
  <c r="AE462" i="15"/>
  <c r="AD462" i="15"/>
  <c r="Y462" i="15"/>
  <c r="V462" i="15"/>
  <c r="T462" i="15"/>
  <c r="AM461" i="15"/>
  <c r="AL461" i="15"/>
  <c r="AK461" i="15"/>
  <c r="AJ461" i="15"/>
  <c r="AI461" i="15"/>
  <c r="AH461" i="15"/>
  <c r="AG461" i="15"/>
  <c r="AF461" i="15"/>
  <c r="AE461" i="15"/>
  <c r="AN461" i="15" s="1"/>
  <c r="AD461" i="15"/>
  <c r="Y461" i="15"/>
  <c r="V461" i="15"/>
  <c r="T461" i="15"/>
  <c r="AM460" i="15"/>
  <c r="AL460" i="15"/>
  <c r="AK460" i="15"/>
  <c r="AJ460" i="15"/>
  <c r="AI460" i="15"/>
  <c r="AH460" i="15"/>
  <c r="AG460" i="15"/>
  <c r="AF460" i="15"/>
  <c r="AE460" i="15"/>
  <c r="AN460" i="15" s="1"/>
  <c r="AD460" i="15"/>
  <c r="Y460" i="15"/>
  <c r="V460" i="15"/>
  <c r="T460" i="15"/>
  <c r="AM459" i="15"/>
  <c r="AL459" i="15"/>
  <c r="AK459" i="15"/>
  <c r="AJ459" i="15"/>
  <c r="AI459" i="15"/>
  <c r="AH459" i="15"/>
  <c r="AG459" i="15"/>
  <c r="AF459" i="15"/>
  <c r="AE459" i="15"/>
  <c r="AD459" i="15"/>
  <c r="Y459" i="15"/>
  <c r="V459" i="15"/>
  <c r="T459" i="15"/>
  <c r="AM458" i="15"/>
  <c r="AL458" i="15"/>
  <c r="AK458" i="15"/>
  <c r="AJ458" i="15"/>
  <c r="AI458" i="15"/>
  <c r="AH458" i="15"/>
  <c r="AG458" i="15"/>
  <c r="AF458" i="15"/>
  <c r="AE458" i="15"/>
  <c r="AD458" i="15"/>
  <c r="Y458" i="15"/>
  <c r="V458" i="15"/>
  <c r="T458" i="15"/>
  <c r="AM457" i="15"/>
  <c r="AL457" i="15"/>
  <c r="AK457" i="15"/>
  <c r="AJ457" i="15"/>
  <c r="AI457" i="15"/>
  <c r="AH457" i="15"/>
  <c r="AG457" i="15"/>
  <c r="AF457" i="15"/>
  <c r="AE457" i="15"/>
  <c r="AD457" i="15"/>
  <c r="Y457" i="15"/>
  <c r="V457" i="15"/>
  <c r="T457" i="15"/>
  <c r="AM456" i="15"/>
  <c r="AL456" i="15"/>
  <c r="AK456" i="15"/>
  <c r="AJ456" i="15"/>
  <c r="AI456" i="15"/>
  <c r="AH456" i="15"/>
  <c r="AG456" i="15"/>
  <c r="AF456" i="15"/>
  <c r="AE456" i="15"/>
  <c r="AD456" i="15"/>
  <c r="Y456" i="15"/>
  <c r="V456" i="15"/>
  <c r="T456" i="15"/>
  <c r="AM455" i="15"/>
  <c r="AL455" i="15"/>
  <c r="AK455" i="15"/>
  <c r="AJ455" i="15"/>
  <c r="AI455" i="15"/>
  <c r="AH455" i="15"/>
  <c r="AG455" i="15"/>
  <c r="AF455" i="15"/>
  <c r="AE455" i="15"/>
  <c r="AN455" i="15" s="1"/>
  <c r="AD455" i="15"/>
  <c r="Y455" i="15"/>
  <c r="V455" i="15"/>
  <c r="T455" i="15"/>
  <c r="AM454" i="15"/>
  <c r="AL454" i="15"/>
  <c r="AK454" i="15"/>
  <c r="AJ454" i="15"/>
  <c r="AI454" i="15"/>
  <c r="AH454" i="15"/>
  <c r="AG454" i="15"/>
  <c r="AF454" i="15"/>
  <c r="AE454" i="15"/>
  <c r="AD454" i="15"/>
  <c r="Y454" i="15"/>
  <c r="V454" i="15"/>
  <c r="T454" i="15"/>
  <c r="AM453" i="15"/>
  <c r="AL453" i="15"/>
  <c r="AK453" i="15"/>
  <c r="AJ453" i="15"/>
  <c r="AI453" i="15"/>
  <c r="AH453" i="15"/>
  <c r="AG453" i="15"/>
  <c r="AF453" i="15"/>
  <c r="AE453" i="15"/>
  <c r="AD453" i="15"/>
  <c r="Y453" i="15"/>
  <c r="V453" i="15"/>
  <c r="T453" i="15"/>
  <c r="AM452" i="15"/>
  <c r="AL452" i="15"/>
  <c r="AK452" i="15"/>
  <c r="AJ452" i="15"/>
  <c r="AI452" i="15"/>
  <c r="AH452" i="15"/>
  <c r="AG452" i="15"/>
  <c r="AF452" i="15"/>
  <c r="AE452" i="15"/>
  <c r="AN452" i="15" s="1"/>
  <c r="AD452" i="15"/>
  <c r="Y452" i="15"/>
  <c r="V452" i="15"/>
  <c r="T452" i="15"/>
  <c r="AM451" i="15"/>
  <c r="AL451" i="15"/>
  <c r="AK451" i="15"/>
  <c r="AJ451" i="15"/>
  <c r="AI451" i="15"/>
  <c r="AH451" i="15"/>
  <c r="AG451" i="15"/>
  <c r="AF451" i="15"/>
  <c r="AE451" i="15"/>
  <c r="AD451" i="15"/>
  <c r="Y451" i="15"/>
  <c r="V451" i="15"/>
  <c r="T451" i="15"/>
  <c r="AM450" i="15"/>
  <c r="AL450" i="15"/>
  <c r="AK450" i="15"/>
  <c r="AJ450" i="15"/>
  <c r="AI450" i="15"/>
  <c r="AH450" i="15"/>
  <c r="AG450" i="15"/>
  <c r="AF450" i="15"/>
  <c r="AE450" i="15"/>
  <c r="AD450" i="15"/>
  <c r="Y450" i="15"/>
  <c r="V450" i="15"/>
  <c r="T450" i="15"/>
  <c r="AM449" i="15"/>
  <c r="AL449" i="15"/>
  <c r="AK449" i="15"/>
  <c r="AJ449" i="15"/>
  <c r="AI449" i="15"/>
  <c r="AH449" i="15"/>
  <c r="AG449" i="15"/>
  <c r="AF449" i="15"/>
  <c r="AE449" i="15"/>
  <c r="AN449" i="15" s="1"/>
  <c r="AD449" i="15"/>
  <c r="Y449" i="15"/>
  <c r="V449" i="15"/>
  <c r="T449" i="15"/>
  <c r="AM448" i="15"/>
  <c r="AL448" i="15"/>
  <c r="AK448" i="15"/>
  <c r="AJ448" i="15"/>
  <c r="AI448" i="15"/>
  <c r="AH448" i="15"/>
  <c r="AG448" i="15"/>
  <c r="AF448" i="15"/>
  <c r="AE448" i="15"/>
  <c r="AD448" i="15"/>
  <c r="Y448" i="15"/>
  <c r="V448" i="15"/>
  <c r="T448" i="15"/>
  <c r="AM447" i="15"/>
  <c r="AL447" i="15"/>
  <c r="AK447" i="15"/>
  <c r="AJ447" i="15"/>
  <c r="AI447" i="15"/>
  <c r="AH447" i="15"/>
  <c r="AG447" i="15"/>
  <c r="AF447" i="15"/>
  <c r="AE447" i="15"/>
  <c r="AD447" i="15"/>
  <c r="Y447" i="15"/>
  <c r="V447" i="15"/>
  <c r="T447" i="15"/>
  <c r="AM446" i="15"/>
  <c r="AL446" i="15"/>
  <c r="AK446" i="15"/>
  <c r="AJ446" i="15"/>
  <c r="AI446" i="15"/>
  <c r="AH446" i="15"/>
  <c r="AG446" i="15"/>
  <c r="AF446" i="15"/>
  <c r="AE446" i="15"/>
  <c r="AN446" i="15" s="1"/>
  <c r="AD446" i="15"/>
  <c r="Y446" i="15"/>
  <c r="V446" i="15"/>
  <c r="T446" i="15"/>
  <c r="AM445" i="15"/>
  <c r="AL445" i="15"/>
  <c r="AK445" i="15"/>
  <c r="AJ445" i="15"/>
  <c r="AI445" i="15"/>
  <c r="AH445" i="15"/>
  <c r="AG445" i="15"/>
  <c r="AF445" i="15"/>
  <c r="AE445" i="15"/>
  <c r="AD445" i="15"/>
  <c r="Y445" i="15"/>
  <c r="V445" i="15"/>
  <c r="T445" i="15"/>
  <c r="AM444" i="15"/>
  <c r="AL444" i="15"/>
  <c r="AK444" i="15"/>
  <c r="AJ444" i="15"/>
  <c r="AI444" i="15"/>
  <c r="AH444" i="15"/>
  <c r="AG444" i="15"/>
  <c r="AF444" i="15"/>
  <c r="AE444" i="15"/>
  <c r="AD444" i="15"/>
  <c r="Y444" i="15"/>
  <c r="V444" i="15"/>
  <c r="T444" i="15"/>
  <c r="AM443" i="15"/>
  <c r="AL443" i="15"/>
  <c r="AK443" i="15"/>
  <c r="AJ443" i="15"/>
  <c r="AI443" i="15"/>
  <c r="AH443" i="15"/>
  <c r="AG443" i="15"/>
  <c r="AF443" i="15"/>
  <c r="AE443" i="15"/>
  <c r="AN443" i="15" s="1"/>
  <c r="AD443" i="15"/>
  <c r="Y443" i="15"/>
  <c r="V443" i="15"/>
  <c r="T443" i="15"/>
  <c r="AM442" i="15"/>
  <c r="AL442" i="15"/>
  <c r="AK442" i="15"/>
  <c r="AJ442" i="15"/>
  <c r="AI442" i="15"/>
  <c r="AH442" i="15"/>
  <c r="AG442" i="15"/>
  <c r="AF442" i="15"/>
  <c r="AE442" i="15"/>
  <c r="AN442" i="15" s="1"/>
  <c r="AD442" i="15"/>
  <c r="Y442" i="15"/>
  <c r="V442" i="15"/>
  <c r="T442" i="15"/>
  <c r="AM441" i="15"/>
  <c r="AL441" i="15"/>
  <c r="AK441" i="15"/>
  <c r="AJ441" i="15"/>
  <c r="AI441" i="15"/>
  <c r="AH441" i="15"/>
  <c r="AG441" i="15"/>
  <c r="AF441" i="15"/>
  <c r="AE441" i="15"/>
  <c r="AD441" i="15"/>
  <c r="Y441" i="15"/>
  <c r="V441" i="15"/>
  <c r="T441" i="15"/>
  <c r="AM440" i="15"/>
  <c r="AL440" i="15"/>
  <c r="AK440" i="15"/>
  <c r="AJ440" i="15"/>
  <c r="AI440" i="15"/>
  <c r="AH440" i="15"/>
  <c r="AG440" i="15"/>
  <c r="AF440" i="15"/>
  <c r="AE440" i="15"/>
  <c r="AD440" i="15"/>
  <c r="Y440" i="15"/>
  <c r="V440" i="15"/>
  <c r="T440" i="15"/>
  <c r="AM439" i="15"/>
  <c r="AL439" i="15"/>
  <c r="AK439" i="15"/>
  <c r="AJ439" i="15"/>
  <c r="AI439" i="15"/>
  <c r="AH439" i="15"/>
  <c r="AG439" i="15"/>
  <c r="AF439" i="15"/>
  <c r="AE439" i="15"/>
  <c r="AD439" i="15"/>
  <c r="Y439" i="15"/>
  <c r="V439" i="15"/>
  <c r="T439" i="15"/>
  <c r="AM438" i="15"/>
  <c r="AL438" i="15"/>
  <c r="AK438" i="15"/>
  <c r="AJ438" i="15"/>
  <c r="AI438" i="15"/>
  <c r="AH438" i="15"/>
  <c r="AG438" i="15"/>
  <c r="AF438" i="15"/>
  <c r="AE438" i="15"/>
  <c r="AD438" i="15"/>
  <c r="Y438" i="15"/>
  <c r="V438" i="15"/>
  <c r="T438" i="15"/>
  <c r="AM437" i="15"/>
  <c r="AL437" i="15"/>
  <c r="AK437" i="15"/>
  <c r="AJ437" i="15"/>
  <c r="AI437" i="15"/>
  <c r="AH437" i="15"/>
  <c r="AG437" i="15"/>
  <c r="AF437" i="15"/>
  <c r="AE437" i="15"/>
  <c r="AN437" i="15" s="1"/>
  <c r="AD437" i="15"/>
  <c r="Y437" i="15"/>
  <c r="V437" i="15"/>
  <c r="T437" i="15"/>
  <c r="AM436" i="15"/>
  <c r="AL436" i="15"/>
  <c r="AK436" i="15"/>
  <c r="AJ436" i="15"/>
  <c r="AI436" i="15"/>
  <c r="AH436" i="15"/>
  <c r="AG436" i="15"/>
  <c r="AF436" i="15"/>
  <c r="AE436" i="15"/>
  <c r="AD436" i="15"/>
  <c r="Y436" i="15"/>
  <c r="V436" i="15"/>
  <c r="T436" i="15"/>
  <c r="AM435" i="15"/>
  <c r="AL435" i="15"/>
  <c r="AK435" i="15"/>
  <c r="AJ435" i="15"/>
  <c r="AI435" i="15"/>
  <c r="AH435" i="15"/>
  <c r="AG435" i="15"/>
  <c r="AF435" i="15"/>
  <c r="AE435" i="15"/>
  <c r="AD435" i="15"/>
  <c r="Y435" i="15"/>
  <c r="V435" i="15"/>
  <c r="T435" i="15"/>
  <c r="AM434" i="15"/>
  <c r="AL434" i="15"/>
  <c r="AK434" i="15"/>
  <c r="AJ434" i="15"/>
  <c r="AI434" i="15"/>
  <c r="AH434" i="15"/>
  <c r="AG434" i="15"/>
  <c r="AF434" i="15"/>
  <c r="AE434" i="15"/>
  <c r="AN434" i="15" s="1"/>
  <c r="AD434" i="15"/>
  <c r="Y434" i="15"/>
  <c r="V434" i="15"/>
  <c r="T434" i="15"/>
  <c r="AM433" i="15"/>
  <c r="AL433" i="15"/>
  <c r="AK433" i="15"/>
  <c r="AJ433" i="15"/>
  <c r="AI433" i="15"/>
  <c r="AH433" i="15"/>
  <c r="AG433" i="15"/>
  <c r="AF433" i="15"/>
  <c r="AE433" i="15"/>
  <c r="AD433" i="15"/>
  <c r="Y433" i="15"/>
  <c r="V433" i="15"/>
  <c r="T433" i="15"/>
  <c r="AM432" i="15"/>
  <c r="AL432" i="15"/>
  <c r="AK432" i="15"/>
  <c r="AJ432" i="15"/>
  <c r="AI432" i="15"/>
  <c r="AH432" i="15"/>
  <c r="AG432" i="15"/>
  <c r="AF432" i="15"/>
  <c r="AE432" i="15"/>
  <c r="AD432" i="15"/>
  <c r="Y432" i="15"/>
  <c r="V432" i="15"/>
  <c r="T432" i="15"/>
  <c r="AM431" i="15"/>
  <c r="AL431" i="15"/>
  <c r="AK431" i="15"/>
  <c r="AJ431" i="15"/>
  <c r="AI431" i="15"/>
  <c r="AH431" i="15"/>
  <c r="AG431" i="15"/>
  <c r="AF431" i="15"/>
  <c r="AE431" i="15"/>
  <c r="AN431" i="15" s="1"/>
  <c r="AD431" i="15"/>
  <c r="Y431" i="15"/>
  <c r="V431" i="15"/>
  <c r="T431" i="15"/>
  <c r="AM430" i="15"/>
  <c r="AL430" i="15"/>
  <c r="AK430" i="15"/>
  <c r="AJ430" i="15"/>
  <c r="AI430" i="15"/>
  <c r="AH430" i="15"/>
  <c r="AG430" i="15"/>
  <c r="AF430" i="15"/>
  <c r="AE430" i="15"/>
  <c r="AD430" i="15"/>
  <c r="Y430" i="15"/>
  <c r="V430" i="15"/>
  <c r="T430" i="15"/>
  <c r="AM429" i="15"/>
  <c r="AL429" i="15"/>
  <c r="AK429" i="15"/>
  <c r="AJ429" i="15"/>
  <c r="AI429" i="15"/>
  <c r="AH429" i="15"/>
  <c r="AG429" i="15"/>
  <c r="AF429" i="15"/>
  <c r="AE429" i="15"/>
  <c r="AD429" i="15"/>
  <c r="Y429" i="15"/>
  <c r="V429" i="15"/>
  <c r="T429" i="15"/>
  <c r="AM428" i="15"/>
  <c r="AL428" i="15"/>
  <c r="AK428" i="15"/>
  <c r="AJ428" i="15"/>
  <c r="AI428" i="15"/>
  <c r="AH428" i="15"/>
  <c r="AG428" i="15"/>
  <c r="AF428" i="15"/>
  <c r="AE428" i="15"/>
  <c r="AN428" i="15" s="1"/>
  <c r="AD428" i="15"/>
  <c r="Y428" i="15"/>
  <c r="V428" i="15"/>
  <c r="T428" i="15"/>
  <c r="AM427" i="15"/>
  <c r="AL427" i="15"/>
  <c r="AK427" i="15"/>
  <c r="AJ427" i="15"/>
  <c r="AI427" i="15"/>
  <c r="AH427" i="15"/>
  <c r="AG427" i="15"/>
  <c r="AF427" i="15"/>
  <c r="AE427" i="15"/>
  <c r="AD427" i="15"/>
  <c r="Y427" i="15"/>
  <c r="V427" i="15"/>
  <c r="T427" i="15"/>
  <c r="AM426" i="15"/>
  <c r="AL426" i="15"/>
  <c r="AK426" i="15"/>
  <c r="AJ426" i="15"/>
  <c r="AI426" i="15"/>
  <c r="AH426" i="15"/>
  <c r="AG426" i="15"/>
  <c r="AF426" i="15"/>
  <c r="AE426" i="15"/>
  <c r="AD426" i="15"/>
  <c r="Y426" i="15"/>
  <c r="V426" i="15"/>
  <c r="T426" i="15"/>
  <c r="AM425" i="15"/>
  <c r="AL425" i="15"/>
  <c r="AK425" i="15"/>
  <c r="AJ425" i="15"/>
  <c r="AI425" i="15"/>
  <c r="AH425" i="15"/>
  <c r="AG425" i="15"/>
  <c r="AF425" i="15"/>
  <c r="AE425" i="15"/>
  <c r="AD425" i="15"/>
  <c r="Y425" i="15"/>
  <c r="V425" i="15"/>
  <c r="T425" i="15"/>
  <c r="AM424" i="15"/>
  <c r="AL424" i="15"/>
  <c r="AK424" i="15"/>
  <c r="AJ424" i="15"/>
  <c r="AI424" i="15"/>
  <c r="AH424" i="15"/>
  <c r="AG424" i="15"/>
  <c r="AF424" i="15"/>
  <c r="AE424" i="15"/>
  <c r="AD424" i="15"/>
  <c r="Y424" i="15"/>
  <c r="V424" i="15"/>
  <c r="T424" i="15"/>
  <c r="AM423" i="15"/>
  <c r="AL423" i="15"/>
  <c r="AK423" i="15"/>
  <c r="AJ423" i="15"/>
  <c r="AI423" i="15"/>
  <c r="AH423" i="15"/>
  <c r="AG423" i="15"/>
  <c r="AF423" i="15"/>
  <c r="AE423" i="15"/>
  <c r="AD423" i="15"/>
  <c r="Y423" i="15"/>
  <c r="V423" i="15"/>
  <c r="T423" i="15"/>
  <c r="AM422" i="15"/>
  <c r="AL422" i="15"/>
  <c r="AK422" i="15"/>
  <c r="AJ422" i="15"/>
  <c r="AI422" i="15"/>
  <c r="AH422" i="15"/>
  <c r="AG422" i="15"/>
  <c r="AF422" i="15"/>
  <c r="AE422" i="15"/>
  <c r="AD422" i="15"/>
  <c r="Y422" i="15"/>
  <c r="V422" i="15"/>
  <c r="T422" i="15"/>
  <c r="AM421" i="15"/>
  <c r="AL421" i="15"/>
  <c r="AK421" i="15"/>
  <c r="AJ421" i="15"/>
  <c r="AI421" i="15"/>
  <c r="AH421" i="15"/>
  <c r="AG421" i="15"/>
  <c r="AF421" i="15"/>
  <c r="AE421" i="15"/>
  <c r="AD421" i="15"/>
  <c r="Y421" i="15"/>
  <c r="V421" i="15"/>
  <c r="T421" i="15"/>
  <c r="AM420" i="15"/>
  <c r="AL420" i="15"/>
  <c r="AK420" i="15"/>
  <c r="AJ420" i="15"/>
  <c r="AI420" i="15"/>
  <c r="AH420" i="15"/>
  <c r="AG420" i="15"/>
  <c r="AF420" i="15"/>
  <c r="AE420" i="15"/>
  <c r="AD420" i="15"/>
  <c r="Y420" i="15"/>
  <c r="V420" i="15"/>
  <c r="T420" i="15"/>
  <c r="AM419" i="15"/>
  <c r="AL419" i="15"/>
  <c r="AK419" i="15"/>
  <c r="AJ419" i="15"/>
  <c r="AI419" i="15"/>
  <c r="AH419" i="15"/>
  <c r="AG419" i="15"/>
  <c r="AF419" i="15"/>
  <c r="AE419" i="15"/>
  <c r="AD419" i="15"/>
  <c r="Y419" i="15"/>
  <c r="V419" i="15"/>
  <c r="T419" i="15"/>
  <c r="AM418" i="15"/>
  <c r="AL418" i="15"/>
  <c r="AK418" i="15"/>
  <c r="AJ418" i="15"/>
  <c r="AI418" i="15"/>
  <c r="AH418" i="15"/>
  <c r="AG418" i="15"/>
  <c r="AF418" i="15"/>
  <c r="AE418" i="15"/>
  <c r="AD418" i="15"/>
  <c r="Y418" i="15"/>
  <c r="V418" i="15"/>
  <c r="T418" i="15"/>
  <c r="AM417" i="15"/>
  <c r="AL417" i="15"/>
  <c r="AK417" i="15"/>
  <c r="AJ417" i="15"/>
  <c r="AI417" i="15"/>
  <c r="AH417" i="15"/>
  <c r="AG417" i="15"/>
  <c r="AF417" i="15"/>
  <c r="AE417" i="15"/>
  <c r="AD417" i="15"/>
  <c r="Y417" i="15"/>
  <c r="V417" i="15"/>
  <c r="T417" i="15"/>
  <c r="AM416" i="15"/>
  <c r="AL416" i="15"/>
  <c r="AK416" i="15"/>
  <c r="AJ416" i="15"/>
  <c r="AI416" i="15"/>
  <c r="AH416" i="15"/>
  <c r="AG416" i="15"/>
  <c r="AF416" i="15"/>
  <c r="AE416" i="15"/>
  <c r="AD416" i="15"/>
  <c r="Y416" i="15"/>
  <c r="V416" i="15"/>
  <c r="T416" i="15"/>
  <c r="AM415" i="15"/>
  <c r="AL415" i="15"/>
  <c r="AK415" i="15"/>
  <c r="AJ415" i="15"/>
  <c r="AI415" i="15"/>
  <c r="AH415" i="15"/>
  <c r="AG415" i="15"/>
  <c r="AF415" i="15"/>
  <c r="AE415" i="15"/>
  <c r="AD415" i="15"/>
  <c r="Y415" i="15"/>
  <c r="V415" i="15"/>
  <c r="T415" i="15"/>
  <c r="AM414" i="15"/>
  <c r="AL414" i="15"/>
  <c r="AK414" i="15"/>
  <c r="AJ414" i="15"/>
  <c r="AI414" i="15"/>
  <c r="AH414" i="15"/>
  <c r="AG414" i="15"/>
  <c r="AF414" i="15"/>
  <c r="AE414" i="15"/>
  <c r="AD414" i="15"/>
  <c r="Y414" i="15"/>
  <c r="V414" i="15"/>
  <c r="T414" i="15"/>
  <c r="AM413" i="15"/>
  <c r="AL413" i="15"/>
  <c r="AK413" i="15"/>
  <c r="AJ413" i="15"/>
  <c r="AI413" i="15"/>
  <c r="AH413" i="15"/>
  <c r="AG413" i="15"/>
  <c r="AF413" i="15"/>
  <c r="AE413" i="15"/>
  <c r="AD413" i="15"/>
  <c r="Y413" i="15"/>
  <c r="V413" i="15"/>
  <c r="T413" i="15"/>
  <c r="AM412" i="15"/>
  <c r="AL412" i="15"/>
  <c r="AK412" i="15"/>
  <c r="AJ412" i="15"/>
  <c r="AI412" i="15"/>
  <c r="AH412" i="15"/>
  <c r="AG412" i="15"/>
  <c r="AF412" i="15"/>
  <c r="AE412" i="15"/>
  <c r="AN412" i="15" s="1"/>
  <c r="AD412" i="15"/>
  <c r="Y412" i="15"/>
  <c r="V412" i="15"/>
  <c r="T412" i="15"/>
  <c r="AM411" i="15"/>
  <c r="AL411" i="15"/>
  <c r="AK411" i="15"/>
  <c r="AJ411" i="15"/>
  <c r="AI411" i="15"/>
  <c r="AH411" i="15"/>
  <c r="AG411" i="15"/>
  <c r="AF411" i="15"/>
  <c r="AE411" i="15"/>
  <c r="AD411" i="15"/>
  <c r="Y411" i="15"/>
  <c r="V411" i="15"/>
  <c r="T411" i="15"/>
  <c r="AM410" i="15"/>
  <c r="AL410" i="15"/>
  <c r="AK410" i="15"/>
  <c r="AJ410" i="15"/>
  <c r="AI410" i="15"/>
  <c r="AH410" i="15"/>
  <c r="AG410" i="15"/>
  <c r="AF410" i="15"/>
  <c r="AE410" i="15"/>
  <c r="AD410" i="15"/>
  <c r="Y410" i="15"/>
  <c r="V410" i="15"/>
  <c r="T410" i="15"/>
  <c r="AM409" i="15"/>
  <c r="AL409" i="15"/>
  <c r="AK409" i="15"/>
  <c r="AJ409" i="15"/>
  <c r="AI409" i="15"/>
  <c r="AH409" i="15"/>
  <c r="AG409" i="15"/>
  <c r="AF409" i="15"/>
  <c r="AE409" i="15"/>
  <c r="AD409" i="15"/>
  <c r="Y409" i="15"/>
  <c r="V409" i="15"/>
  <c r="T409" i="15"/>
  <c r="AM408" i="15"/>
  <c r="AL408" i="15"/>
  <c r="AK408" i="15"/>
  <c r="AJ408" i="15"/>
  <c r="AI408" i="15"/>
  <c r="AH408" i="15"/>
  <c r="AG408" i="15"/>
  <c r="AF408" i="15"/>
  <c r="AE408" i="15"/>
  <c r="AD408" i="15"/>
  <c r="Y408" i="15"/>
  <c r="V408" i="15"/>
  <c r="T408" i="15"/>
  <c r="AM407" i="15"/>
  <c r="AL407" i="15"/>
  <c r="AK407" i="15"/>
  <c r="AJ407" i="15"/>
  <c r="AI407" i="15"/>
  <c r="AH407" i="15"/>
  <c r="AG407" i="15"/>
  <c r="AF407" i="15"/>
  <c r="AE407" i="15"/>
  <c r="AD407" i="15"/>
  <c r="Y407" i="15"/>
  <c r="V407" i="15"/>
  <c r="T407" i="15"/>
  <c r="AM406" i="15"/>
  <c r="AL406" i="15"/>
  <c r="AK406" i="15"/>
  <c r="AJ406" i="15"/>
  <c r="AI406" i="15"/>
  <c r="AH406" i="15"/>
  <c r="AG406" i="15"/>
  <c r="AF406" i="15"/>
  <c r="AE406" i="15"/>
  <c r="AD406" i="15"/>
  <c r="Y406" i="15"/>
  <c r="V406" i="15"/>
  <c r="T406" i="15"/>
  <c r="AM405" i="15"/>
  <c r="AL405" i="15"/>
  <c r="AK405" i="15"/>
  <c r="AJ405" i="15"/>
  <c r="AI405" i="15"/>
  <c r="AH405" i="15"/>
  <c r="AG405" i="15"/>
  <c r="AF405" i="15"/>
  <c r="AE405" i="15"/>
  <c r="AD405" i="15"/>
  <c r="Y405" i="15"/>
  <c r="V405" i="15"/>
  <c r="T405" i="15"/>
  <c r="AM404" i="15"/>
  <c r="AL404" i="15"/>
  <c r="AK404" i="15"/>
  <c r="AJ404" i="15"/>
  <c r="AI404" i="15"/>
  <c r="AH404" i="15"/>
  <c r="AG404" i="15"/>
  <c r="AF404" i="15"/>
  <c r="AE404" i="15"/>
  <c r="AD404" i="15"/>
  <c r="Y404" i="15"/>
  <c r="V404" i="15"/>
  <c r="T404" i="15"/>
  <c r="AM403" i="15"/>
  <c r="AL403" i="15"/>
  <c r="AK403" i="15"/>
  <c r="AJ403" i="15"/>
  <c r="AI403" i="15"/>
  <c r="AH403" i="15"/>
  <c r="AG403" i="15"/>
  <c r="AF403" i="15"/>
  <c r="AE403" i="15"/>
  <c r="AD403" i="15"/>
  <c r="Y403" i="15"/>
  <c r="V403" i="15"/>
  <c r="T403" i="15"/>
  <c r="AM402" i="15"/>
  <c r="AL402" i="15"/>
  <c r="AK402" i="15"/>
  <c r="AJ402" i="15"/>
  <c r="AI402" i="15"/>
  <c r="AH402" i="15"/>
  <c r="AG402" i="15"/>
  <c r="AF402" i="15"/>
  <c r="AE402" i="15"/>
  <c r="AD402" i="15"/>
  <c r="Y402" i="15"/>
  <c r="V402" i="15"/>
  <c r="T402" i="15"/>
  <c r="AM401" i="15"/>
  <c r="AL401" i="15"/>
  <c r="AK401" i="15"/>
  <c r="AJ401" i="15"/>
  <c r="AI401" i="15"/>
  <c r="AH401" i="15"/>
  <c r="AG401" i="15"/>
  <c r="AF401" i="15"/>
  <c r="AE401" i="15"/>
  <c r="AD401" i="15"/>
  <c r="Y401" i="15"/>
  <c r="V401" i="15"/>
  <c r="T401" i="15"/>
  <c r="AM400" i="15"/>
  <c r="AL400" i="15"/>
  <c r="AK400" i="15"/>
  <c r="AJ400" i="15"/>
  <c r="AI400" i="15"/>
  <c r="AH400" i="15"/>
  <c r="AG400" i="15"/>
  <c r="AF400" i="15"/>
  <c r="AE400" i="15"/>
  <c r="AD400" i="15"/>
  <c r="Y400" i="15"/>
  <c r="V400" i="15"/>
  <c r="T400" i="15"/>
  <c r="AM399" i="15"/>
  <c r="AL399" i="15"/>
  <c r="AK399" i="15"/>
  <c r="AJ399" i="15"/>
  <c r="AI399" i="15"/>
  <c r="AH399" i="15"/>
  <c r="AG399" i="15"/>
  <c r="AF399" i="15"/>
  <c r="AE399" i="15"/>
  <c r="AD399" i="15"/>
  <c r="Y399" i="15"/>
  <c r="V399" i="15"/>
  <c r="T399" i="15"/>
  <c r="AM398" i="15"/>
  <c r="AL398" i="15"/>
  <c r="AK398" i="15"/>
  <c r="AJ398" i="15"/>
  <c r="AI398" i="15"/>
  <c r="AH398" i="15"/>
  <c r="AG398" i="15"/>
  <c r="AF398" i="15"/>
  <c r="AE398" i="15"/>
  <c r="AD398" i="15"/>
  <c r="Y398" i="15"/>
  <c r="V398" i="15"/>
  <c r="T398" i="15"/>
  <c r="AM397" i="15"/>
  <c r="AL397" i="15"/>
  <c r="AK397" i="15"/>
  <c r="AJ397" i="15"/>
  <c r="AI397" i="15"/>
  <c r="AH397" i="15"/>
  <c r="AG397" i="15"/>
  <c r="AF397" i="15"/>
  <c r="AE397" i="15"/>
  <c r="AD397" i="15"/>
  <c r="Y397" i="15"/>
  <c r="V397" i="15"/>
  <c r="T397" i="15"/>
  <c r="AM396" i="15"/>
  <c r="AL396" i="15"/>
  <c r="AK396" i="15"/>
  <c r="AJ396" i="15"/>
  <c r="AI396" i="15"/>
  <c r="AH396" i="15"/>
  <c r="AG396" i="15"/>
  <c r="AF396" i="15"/>
  <c r="AE396" i="15"/>
  <c r="AD396" i="15"/>
  <c r="Y396" i="15"/>
  <c r="V396" i="15"/>
  <c r="T396" i="15"/>
  <c r="AM395" i="15"/>
  <c r="AL395" i="15"/>
  <c r="AK395" i="15"/>
  <c r="AJ395" i="15"/>
  <c r="AI395" i="15"/>
  <c r="AH395" i="15"/>
  <c r="AG395" i="15"/>
  <c r="AF395" i="15"/>
  <c r="AE395" i="15"/>
  <c r="AD395" i="15"/>
  <c r="Y395" i="15"/>
  <c r="V395" i="15"/>
  <c r="T395" i="15"/>
  <c r="AM394" i="15"/>
  <c r="AL394" i="15"/>
  <c r="AK394" i="15"/>
  <c r="AJ394" i="15"/>
  <c r="AI394" i="15"/>
  <c r="AH394" i="15"/>
  <c r="AG394" i="15"/>
  <c r="AF394" i="15"/>
  <c r="AE394" i="15"/>
  <c r="AD394" i="15"/>
  <c r="Y394" i="15"/>
  <c r="V394" i="15"/>
  <c r="T394" i="15"/>
  <c r="AM393" i="15"/>
  <c r="AL393" i="15"/>
  <c r="AK393" i="15"/>
  <c r="AJ393" i="15"/>
  <c r="AI393" i="15"/>
  <c r="AH393" i="15"/>
  <c r="AG393" i="15"/>
  <c r="AF393" i="15"/>
  <c r="AE393" i="15"/>
  <c r="AD393" i="15"/>
  <c r="Y393" i="15"/>
  <c r="V393" i="15"/>
  <c r="T393" i="15"/>
  <c r="AM392" i="15"/>
  <c r="AL392" i="15"/>
  <c r="AK392" i="15"/>
  <c r="AJ392" i="15"/>
  <c r="AI392" i="15"/>
  <c r="AH392" i="15"/>
  <c r="AG392" i="15"/>
  <c r="AF392" i="15"/>
  <c r="AE392" i="15"/>
  <c r="AD392" i="15"/>
  <c r="Y392" i="15"/>
  <c r="V392" i="15"/>
  <c r="T392" i="15"/>
  <c r="AM391" i="15"/>
  <c r="AL391" i="15"/>
  <c r="AK391" i="15"/>
  <c r="AJ391" i="15"/>
  <c r="AI391" i="15"/>
  <c r="AH391" i="15"/>
  <c r="AG391" i="15"/>
  <c r="AF391" i="15"/>
  <c r="AE391" i="15"/>
  <c r="AD391" i="15"/>
  <c r="Y391" i="15"/>
  <c r="V391" i="15"/>
  <c r="T391" i="15"/>
  <c r="AM390" i="15"/>
  <c r="AL390" i="15"/>
  <c r="AK390" i="15"/>
  <c r="AJ390" i="15"/>
  <c r="AI390" i="15"/>
  <c r="AH390" i="15"/>
  <c r="AG390" i="15"/>
  <c r="AF390" i="15"/>
  <c r="AE390" i="15"/>
  <c r="AD390" i="15"/>
  <c r="Y390" i="15"/>
  <c r="V390" i="15"/>
  <c r="T390" i="15"/>
  <c r="AM389" i="15"/>
  <c r="AL389" i="15"/>
  <c r="AK389" i="15"/>
  <c r="AJ389" i="15"/>
  <c r="AI389" i="15"/>
  <c r="AH389" i="15"/>
  <c r="AG389" i="15"/>
  <c r="AF389" i="15"/>
  <c r="AE389" i="15"/>
  <c r="AD389" i="15"/>
  <c r="Y389" i="15"/>
  <c r="V389" i="15"/>
  <c r="T389" i="15"/>
  <c r="AM388" i="15"/>
  <c r="AL388" i="15"/>
  <c r="AK388" i="15"/>
  <c r="AJ388" i="15"/>
  <c r="AI388" i="15"/>
  <c r="AH388" i="15"/>
  <c r="AG388" i="15"/>
  <c r="AF388" i="15"/>
  <c r="AE388" i="15"/>
  <c r="AD388" i="15"/>
  <c r="Y388" i="15"/>
  <c r="V388" i="15"/>
  <c r="T388" i="15"/>
  <c r="AM387" i="15"/>
  <c r="AL387" i="15"/>
  <c r="AK387" i="15"/>
  <c r="AJ387" i="15"/>
  <c r="AI387" i="15"/>
  <c r="AH387" i="15"/>
  <c r="AG387" i="15"/>
  <c r="AF387" i="15"/>
  <c r="AE387" i="15"/>
  <c r="AD387" i="15"/>
  <c r="Y387" i="15"/>
  <c r="V387" i="15"/>
  <c r="T387" i="15"/>
  <c r="AM386" i="15"/>
  <c r="AL386" i="15"/>
  <c r="AK386" i="15"/>
  <c r="AJ386" i="15"/>
  <c r="AI386" i="15"/>
  <c r="AH386" i="15"/>
  <c r="AG386" i="15"/>
  <c r="AF386" i="15"/>
  <c r="AE386" i="15"/>
  <c r="AD386" i="15"/>
  <c r="Y386" i="15"/>
  <c r="V386" i="15"/>
  <c r="T386" i="15"/>
  <c r="AM385" i="15"/>
  <c r="AL385" i="15"/>
  <c r="AK385" i="15"/>
  <c r="AJ385" i="15"/>
  <c r="AI385" i="15"/>
  <c r="AH385" i="15"/>
  <c r="AG385" i="15"/>
  <c r="AF385" i="15"/>
  <c r="AE385" i="15"/>
  <c r="AD385" i="15"/>
  <c r="Y385" i="15"/>
  <c r="V385" i="15"/>
  <c r="T385" i="15"/>
  <c r="AM384" i="15"/>
  <c r="AL384" i="15"/>
  <c r="AK384" i="15"/>
  <c r="AJ384" i="15"/>
  <c r="AI384" i="15"/>
  <c r="AH384" i="15"/>
  <c r="AG384" i="15"/>
  <c r="AF384" i="15"/>
  <c r="AE384" i="15"/>
  <c r="AD384" i="15"/>
  <c r="Y384" i="15"/>
  <c r="V384" i="15"/>
  <c r="T384" i="15"/>
  <c r="AM383" i="15"/>
  <c r="AL383" i="15"/>
  <c r="AK383" i="15"/>
  <c r="AJ383" i="15"/>
  <c r="AI383" i="15"/>
  <c r="AH383" i="15"/>
  <c r="AG383" i="15"/>
  <c r="AF383" i="15"/>
  <c r="AE383" i="15"/>
  <c r="AD383" i="15"/>
  <c r="Y383" i="15"/>
  <c r="V383" i="15"/>
  <c r="T383" i="15"/>
  <c r="AM382" i="15"/>
  <c r="AL382" i="15"/>
  <c r="AK382" i="15"/>
  <c r="AJ382" i="15"/>
  <c r="AI382" i="15"/>
  <c r="AH382" i="15"/>
  <c r="AG382" i="15"/>
  <c r="AF382" i="15"/>
  <c r="AE382" i="15"/>
  <c r="AD382" i="15"/>
  <c r="Y382" i="15"/>
  <c r="V382" i="15"/>
  <c r="T382" i="15"/>
  <c r="AM381" i="15"/>
  <c r="AL381" i="15"/>
  <c r="AK381" i="15"/>
  <c r="AJ381" i="15"/>
  <c r="AI381" i="15"/>
  <c r="AH381" i="15"/>
  <c r="AG381" i="15"/>
  <c r="AF381" i="15"/>
  <c r="AE381" i="15"/>
  <c r="AD381" i="15"/>
  <c r="Y381" i="15"/>
  <c r="V381" i="15"/>
  <c r="T381" i="15"/>
  <c r="AM380" i="15"/>
  <c r="AL380" i="15"/>
  <c r="AK380" i="15"/>
  <c r="AJ380" i="15"/>
  <c r="AI380" i="15"/>
  <c r="AH380" i="15"/>
  <c r="AG380" i="15"/>
  <c r="AF380" i="15"/>
  <c r="AE380" i="15"/>
  <c r="AD380" i="15"/>
  <c r="Y380" i="15"/>
  <c r="V380" i="15"/>
  <c r="T380" i="15"/>
  <c r="AM379" i="15"/>
  <c r="AL379" i="15"/>
  <c r="AK379" i="15"/>
  <c r="AJ379" i="15"/>
  <c r="AI379" i="15"/>
  <c r="AH379" i="15"/>
  <c r="AG379" i="15"/>
  <c r="AF379" i="15"/>
  <c r="AE379" i="15"/>
  <c r="AD379" i="15"/>
  <c r="Y379" i="15"/>
  <c r="V379" i="15"/>
  <c r="T379" i="15"/>
  <c r="AM378" i="15"/>
  <c r="AL378" i="15"/>
  <c r="AK378" i="15"/>
  <c r="AJ378" i="15"/>
  <c r="AI378" i="15"/>
  <c r="AH378" i="15"/>
  <c r="AG378" i="15"/>
  <c r="AF378" i="15"/>
  <c r="AE378" i="15"/>
  <c r="AD378" i="15"/>
  <c r="AN378" i="15" s="1"/>
  <c r="Y378" i="15"/>
  <c r="V378" i="15"/>
  <c r="T378" i="15"/>
  <c r="AM377" i="15"/>
  <c r="AL377" i="15"/>
  <c r="AK377" i="15"/>
  <c r="AJ377" i="15"/>
  <c r="AI377" i="15"/>
  <c r="AH377" i="15"/>
  <c r="AG377" i="15"/>
  <c r="AF377" i="15"/>
  <c r="AE377" i="15"/>
  <c r="AD377" i="15"/>
  <c r="Y377" i="15"/>
  <c r="V377" i="15"/>
  <c r="T377" i="15"/>
  <c r="AM376" i="15"/>
  <c r="AL376" i="15"/>
  <c r="AK376" i="15"/>
  <c r="AJ376" i="15"/>
  <c r="AI376" i="15"/>
  <c r="AH376" i="15"/>
  <c r="AG376" i="15"/>
  <c r="AF376" i="15"/>
  <c r="AE376" i="15"/>
  <c r="AD376" i="15"/>
  <c r="Y376" i="15"/>
  <c r="V376" i="15"/>
  <c r="T376" i="15"/>
  <c r="AM375" i="15"/>
  <c r="AL375" i="15"/>
  <c r="AK375" i="15"/>
  <c r="AJ375" i="15"/>
  <c r="AI375" i="15"/>
  <c r="AH375" i="15"/>
  <c r="AG375" i="15"/>
  <c r="AF375" i="15"/>
  <c r="AE375" i="15"/>
  <c r="AD375" i="15"/>
  <c r="Y375" i="15"/>
  <c r="V375" i="15"/>
  <c r="T375" i="15"/>
  <c r="AM374" i="15"/>
  <c r="AL374" i="15"/>
  <c r="AK374" i="15"/>
  <c r="AJ374" i="15"/>
  <c r="AI374" i="15"/>
  <c r="AH374" i="15"/>
  <c r="AG374" i="15"/>
  <c r="AF374" i="15"/>
  <c r="AE374" i="15"/>
  <c r="AD374" i="15"/>
  <c r="Y374" i="15"/>
  <c r="V374" i="15"/>
  <c r="T374" i="15"/>
  <c r="AM373" i="15"/>
  <c r="AL373" i="15"/>
  <c r="AK373" i="15"/>
  <c r="AJ373" i="15"/>
  <c r="AI373" i="15"/>
  <c r="AH373" i="15"/>
  <c r="AG373" i="15"/>
  <c r="AF373" i="15"/>
  <c r="AE373" i="15"/>
  <c r="AD373" i="15"/>
  <c r="Y373" i="15"/>
  <c r="V373" i="15"/>
  <c r="T373" i="15"/>
  <c r="AM372" i="15"/>
  <c r="AL372" i="15"/>
  <c r="AK372" i="15"/>
  <c r="AJ372" i="15"/>
  <c r="AI372" i="15"/>
  <c r="AH372" i="15"/>
  <c r="AG372" i="15"/>
  <c r="AF372" i="15"/>
  <c r="AE372" i="15"/>
  <c r="AD372" i="15"/>
  <c r="Y372" i="15"/>
  <c r="V372" i="15"/>
  <c r="T372" i="15"/>
  <c r="AM371" i="15"/>
  <c r="AL371" i="15"/>
  <c r="AK371" i="15"/>
  <c r="AJ371" i="15"/>
  <c r="AI371" i="15"/>
  <c r="AH371" i="15"/>
  <c r="AG371" i="15"/>
  <c r="AF371" i="15"/>
  <c r="AE371" i="15"/>
  <c r="AD371" i="15"/>
  <c r="Y371" i="15"/>
  <c r="V371" i="15"/>
  <c r="T371" i="15"/>
  <c r="AM370" i="15"/>
  <c r="AL370" i="15"/>
  <c r="AK370" i="15"/>
  <c r="AJ370" i="15"/>
  <c r="AI370" i="15"/>
  <c r="AH370" i="15"/>
  <c r="AG370" i="15"/>
  <c r="AF370" i="15"/>
  <c r="AE370" i="15"/>
  <c r="AD370" i="15"/>
  <c r="Y370" i="15"/>
  <c r="V370" i="15"/>
  <c r="T370" i="15"/>
  <c r="AM369" i="15"/>
  <c r="AL369" i="15"/>
  <c r="AK369" i="15"/>
  <c r="AJ369" i="15"/>
  <c r="AI369" i="15"/>
  <c r="AH369" i="15"/>
  <c r="AG369" i="15"/>
  <c r="AF369" i="15"/>
  <c r="AE369" i="15"/>
  <c r="AD369" i="15"/>
  <c r="Y369" i="15"/>
  <c r="V369" i="15"/>
  <c r="T369" i="15"/>
  <c r="AM368" i="15"/>
  <c r="AL368" i="15"/>
  <c r="AK368" i="15"/>
  <c r="AJ368" i="15"/>
  <c r="AI368" i="15"/>
  <c r="AH368" i="15"/>
  <c r="AG368" i="15"/>
  <c r="AF368" i="15"/>
  <c r="AE368" i="15"/>
  <c r="AD368" i="15"/>
  <c r="Y368" i="15"/>
  <c r="V368" i="15"/>
  <c r="T368" i="15"/>
  <c r="AM367" i="15"/>
  <c r="AL367" i="15"/>
  <c r="AK367" i="15"/>
  <c r="AJ367" i="15"/>
  <c r="AI367" i="15"/>
  <c r="AH367" i="15"/>
  <c r="AG367" i="15"/>
  <c r="AF367" i="15"/>
  <c r="AE367" i="15"/>
  <c r="AD367" i="15"/>
  <c r="Y367" i="15"/>
  <c r="V367" i="15"/>
  <c r="T367" i="15"/>
  <c r="AM366" i="15"/>
  <c r="AL366" i="15"/>
  <c r="AK366" i="15"/>
  <c r="AJ366" i="15"/>
  <c r="AI366" i="15"/>
  <c r="AH366" i="15"/>
  <c r="AG366" i="15"/>
  <c r="AF366" i="15"/>
  <c r="AE366" i="15"/>
  <c r="AD366" i="15"/>
  <c r="Y366" i="15"/>
  <c r="V366" i="15"/>
  <c r="T366" i="15"/>
  <c r="AM365" i="15"/>
  <c r="AL365" i="15"/>
  <c r="AK365" i="15"/>
  <c r="AJ365" i="15"/>
  <c r="AI365" i="15"/>
  <c r="AH365" i="15"/>
  <c r="AG365" i="15"/>
  <c r="AF365" i="15"/>
  <c r="AE365" i="15"/>
  <c r="AD365" i="15"/>
  <c r="Y365" i="15"/>
  <c r="V365" i="15"/>
  <c r="T365" i="15"/>
  <c r="AM364" i="15"/>
  <c r="AL364" i="15"/>
  <c r="AK364" i="15"/>
  <c r="AJ364" i="15"/>
  <c r="AI364" i="15"/>
  <c r="AH364" i="15"/>
  <c r="AG364" i="15"/>
  <c r="AF364" i="15"/>
  <c r="AE364" i="15"/>
  <c r="AD364" i="15"/>
  <c r="Y364" i="15"/>
  <c r="V364" i="15"/>
  <c r="T364" i="15"/>
  <c r="AM363" i="15"/>
  <c r="AL363" i="15"/>
  <c r="AK363" i="15"/>
  <c r="AJ363" i="15"/>
  <c r="AI363" i="15"/>
  <c r="AH363" i="15"/>
  <c r="AG363" i="15"/>
  <c r="AF363" i="15"/>
  <c r="AE363" i="15"/>
  <c r="AD363" i="15"/>
  <c r="Y363" i="15"/>
  <c r="V363" i="15"/>
  <c r="T363" i="15"/>
  <c r="AM362" i="15"/>
  <c r="AL362" i="15"/>
  <c r="AK362" i="15"/>
  <c r="AJ362" i="15"/>
  <c r="AI362" i="15"/>
  <c r="AH362" i="15"/>
  <c r="AG362" i="15"/>
  <c r="AF362" i="15"/>
  <c r="AE362" i="15"/>
  <c r="AD362" i="15"/>
  <c r="Y362" i="15"/>
  <c r="V362" i="15"/>
  <c r="T362" i="15"/>
  <c r="AM361" i="15"/>
  <c r="AL361" i="15"/>
  <c r="AK361" i="15"/>
  <c r="AJ361" i="15"/>
  <c r="AI361" i="15"/>
  <c r="AH361" i="15"/>
  <c r="AG361" i="15"/>
  <c r="AF361" i="15"/>
  <c r="AE361" i="15"/>
  <c r="AD361" i="15"/>
  <c r="Y361" i="15"/>
  <c r="V361" i="15"/>
  <c r="T361" i="15"/>
  <c r="AM360" i="15"/>
  <c r="AL360" i="15"/>
  <c r="AK360" i="15"/>
  <c r="AJ360" i="15"/>
  <c r="AI360" i="15"/>
  <c r="AH360" i="15"/>
  <c r="AG360" i="15"/>
  <c r="AF360" i="15"/>
  <c r="AE360" i="15"/>
  <c r="AD360" i="15"/>
  <c r="Y360" i="15"/>
  <c r="V360" i="15"/>
  <c r="T360" i="15"/>
  <c r="AM359" i="15"/>
  <c r="AL359" i="15"/>
  <c r="AK359" i="15"/>
  <c r="AJ359" i="15"/>
  <c r="AI359" i="15"/>
  <c r="AH359" i="15"/>
  <c r="AG359" i="15"/>
  <c r="AF359" i="15"/>
  <c r="AE359" i="15"/>
  <c r="AD359" i="15"/>
  <c r="Y359" i="15"/>
  <c r="V359" i="15"/>
  <c r="T359" i="15"/>
  <c r="AM358" i="15"/>
  <c r="AL358" i="15"/>
  <c r="AK358" i="15"/>
  <c r="AJ358" i="15"/>
  <c r="AI358" i="15"/>
  <c r="AH358" i="15"/>
  <c r="AG358" i="15"/>
  <c r="AF358" i="15"/>
  <c r="AE358" i="15"/>
  <c r="AD358" i="15"/>
  <c r="Y358" i="15"/>
  <c r="V358" i="15"/>
  <c r="T358" i="15"/>
  <c r="AM357" i="15"/>
  <c r="AL357" i="15"/>
  <c r="AK357" i="15"/>
  <c r="AJ357" i="15"/>
  <c r="AI357" i="15"/>
  <c r="AH357" i="15"/>
  <c r="AG357" i="15"/>
  <c r="AF357" i="15"/>
  <c r="AE357" i="15"/>
  <c r="AD357" i="15"/>
  <c r="Y357" i="15"/>
  <c r="V357" i="15"/>
  <c r="T357" i="15"/>
  <c r="AM356" i="15"/>
  <c r="AL356" i="15"/>
  <c r="AK356" i="15"/>
  <c r="AJ356" i="15"/>
  <c r="AI356" i="15"/>
  <c r="AH356" i="15"/>
  <c r="AG356" i="15"/>
  <c r="AF356" i="15"/>
  <c r="AE356" i="15"/>
  <c r="AD356" i="15"/>
  <c r="Y356" i="15"/>
  <c r="V356" i="15"/>
  <c r="T356" i="15"/>
  <c r="AM355" i="15"/>
  <c r="AL355" i="15"/>
  <c r="AK355" i="15"/>
  <c r="AJ355" i="15"/>
  <c r="AI355" i="15"/>
  <c r="AH355" i="15"/>
  <c r="AG355" i="15"/>
  <c r="AF355" i="15"/>
  <c r="AE355" i="15"/>
  <c r="AD355" i="15"/>
  <c r="Y355" i="15"/>
  <c r="V355" i="15"/>
  <c r="T355" i="15"/>
  <c r="AM354" i="15"/>
  <c r="AL354" i="15"/>
  <c r="AK354" i="15"/>
  <c r="AJ354" i="15"/>
  <c r="AI354" i="15"/>
  <c r="AH354" i="15"/>
  <c r="AG354" i="15"/>
  <c r="AF354" i="15"/>
  <c r="AE354" i="15"/>
  <c r="AD354" i="15"/>
  <c r="AN354" i="15" s="1"/>
  <c r="Y354" i="15"/>
  <c r="V354" i="15"/>
  <c r="T354" i="15"/>
  <c r="AM353" i="15"/>
  <c r="AL353" i="15"/>
  <c r="AK353" i="15"/>
  <c r="AJ353" i="15"/>
  <c r="AI353" i="15"/>
  <c r="AH353" i="15"/>
  <c r="AG353" i="15"/>
  <c r="AF353" i="15"/>
  <c r="AE353" i="15"/>
  <c r="AD353" i="15"/>
  <c r="Y353" i="15"/>
  <c r="V353" i="15"/>
  <c r="T353" i="15"/>
  <c r="AM352" i="15"/>
  <c r="AL352" i="15"/>
  <c r="AK352" i="15"/>
  <c r="AJ352" i="15"/>
  <c r="AI352" i="15"/>
  <c r="AH352" i="15"/>
  <c r="AG352" i="15"/>
  <c r="AF352" i="15"/>
  <c r="AE352" i="15"/>
  <c r="AD352" i="15"/>
  <c r="Y352" i="15"/>
  <c r="V352" i="15"/>
  <c r="T352" i="15"/>
  <c r="AM351" i="15"/>
  <c r="AL351" i="15"/>
  <c r="AK351" i="15"/>
  <c r="AJ351" i="15"/>
  <c r="AI351" i="15"/>
  <c r="AH351" i="15"/>
  <c r="AG351" i="15"/>
  <c r="AF351" i="15"/>
  <c r="AE351" i="15"/>
  <c r="AD351" i="15"/>
  <c r="Y351" i="15"/>
  <c r="V351" i="15"/>
  <c r="T351" i="15"/>
  <c r="AM350" i="15"/>
  <c r="AL350" i="15"/>
  <c r="AK350" i="15"/>
  <c r="AJ350" i="15"/>
  <c r="AI350" i="15"/>
  <c r="AH350" i="15"/>
  <c r="AG350" i="15"/>
  <c r="AF350" i="15"/>
  <c r="AE350" i="15"/>
  <c r="AD350" i="15"/>
  <c r="Y350" i="15"/>
  <c r="V350" i="15"/>
  <c r="T350" i="15"/>
  <c r="AM349" i="15"/>
  <c r="AL349" i="15"/>
  <c r="AK349" i="15"/>
  <c r="AJ349" i="15"/>
  <c r="AI349" i="15"/>
  <c r="AH349" i="15"/>
  <c r="AG349" i="15"/>
  <c r="AF349" i="15"/>
  <c r="AE349" i="15"/>
  <c r="AD349" i="15"/>
  <c r="Y349" i="15"/>
  <c r="V349" i="15"/>
  <c r="T349" i="15"/>
  <c r="AM348" i="15"/>
  <c r="AL348" i="15"/>
  <c r="AK348" i="15"/>
  <c r="AJ348" i="15"/>
  <c r="AI348" i="15"/>
  <c r="AH348" i="15"/>
  <c r="AG348" i="15"/>
  <c r="AF348" i="15"/>
  <c r="AE348" i="15"/>
  <c r="AD348" i="15"/>
  <c r="Y348" i="15"/>
  <c r="V348" i="15"/>
  <c r="T348" i="15"/>
  <c r="AM347" i="15"/>
  <c r="AL347" i="15"/>
  <c r="AK347" i="15"/>
  <c r="AJ347" i="15"/>
  <c r="AI347" i="15"/>
  <c r="AH347" i="15"/>
  <c r="AG347" i="15"/>
  <c r="AF347" i="15"/>
  <c r="AE347" i="15"/>
  <c r="AD347" i="15"/>
  <c r="Y347" i="15"/>
  <c r="V347" i="15"/>
  <c r="T347" i="15"/>
  <c r="AM346" i="15"/>
  <c r="AL346" i="15"/>
  <c r="AK346" i="15"/>
  <c r="AJ346" i="15"/>
  <c r="AI346" i="15"/>
  <c r="AH346" i="15"/>
  <c r="AG346" i="15"/>
  <c r="AF346" i="15"/>
  <c r="AE346" i="15"/>
  <c r="AD346" i="15"/>
  <c r="Y346" i="15"/>
  <c r="V346" i="15"/>
  <c r="T346" i="15"/>
  <c r="AM345" i="15"/>
  <c r="AL345" i="15"/>
  <c r="AK345" i="15"/>
  <c r="AJ345" i="15"/>
  <c r="AI345" i="15"/>
  <c r="AH345" i="15"/>
  <c r="AG345" i="15"/>
  <c r="AF345" i="15"/>
  <c r="AE345" i="15"/>
  <c r="AD345" i="15"/>
  <c r="Y345" i="15"/>
  <c r="V345" i="15"/>
  <c r="T345" i="15"/>
  <c r="AM344" i="15"/>
  <c r="AL344" i="15"/>
  <c r="AK344" i="15"/>
  <c r="AJ344" i="15"/>
  <c r="AI344" i="15"/>
  <c r="AH344" i="15"/>
  <c r="AG344" i="15"/>
  <c r="AF344" i="15"/>
  <c r="AE344" i="15"/>
  <c r="AD344" i="15"/>
  <c r="Y344" i="15"/>
  <c r="V344" i="15"/>
  <c r="T344" i="15"/>
  <c r="AM343" i="15"/>
  <c r="AL343" i="15"/>
  <c r="AK343" i="15"/>
  <c r="AJ343" i="15"/>
  <c r="AI343" i="15"/>
  <c r="AH343" i="15"/>
  <c r="AG343" i="15"/>
  <c r="AF343" i="15"/>
  <c r="AE343" i="15"/>
  <c r="AD343" i="15"/>
  <c r="Y343" i="15"/>
  <c r="V343" i="15"/>
  <c r="T343" i="15"/>
  <c r="AM342" i="15"/>
  <c r="AL342" i="15"/>
  <c r="AK342" i="15"/>
  <c r="AJ342" i="15"/>
  <c r="AI342" i="15"/>
  <c r="AH342" i="15"/>
  <c r="AG342" i="15"/>
  <c r="AF342" i="15"/>
  <c r="AE342" i="15"/>
  <c r="AD342" i="15"/>
  <c r="Y342" i="15"/>
  <c r="V342" i="15"/>
  <c r="T342" i="15"/>
  <c r="AM341" i="15"/>
  <c r="AL341" i="15"/>
  <c r="AK341" i="15"/>
  <c r="AJ341" i="15"/>
  <c r="AI341" i="15"/>
  <c r="AH341" i="15"/>
  <c r="AG341" i="15"/>
  <c r="AF341" i="15"/>
  <c r="AE341" i="15"/>
  <c r="AD341" i="15"/>
  <c r="Y341" i="15"/>
  <c r="V341" i="15"/>
  <c r="T341" i="15"/>
  <c r="AM340" i="15"/>
  <c r="AL340" i="15"/>
  <c r="AK340" i="15"/>
  <c r="AJ340" i="15"/>
  <c r="AI340" i="15"/>
  <c r="AH340" i="15"/>
  <c r="AG340" i="15"/>
  <c r="AF340" i="15"/>
  <c r="AE340" i="15"/>
  <c r="AD340" i="15"/>
  <c r="Y340" i="15"/>
  <c r="V340" i="15"/>
  <c r="T340" i="15"/>
  <c r="AM339" i="15"/>
  <c r="AL339" i="15"/>
  <c r="AK339" i="15"/>
  <c r="AJ339" i="15"/>
  <c r="AI339" i="15"/>
  <c r="AH339" i="15"/>
  <c r="AG339" i="15"/>
  <c r="AF339" i="15"/>
  <c r="AE339" i="15"/>
  <c r="AD339" i="15"/>
  <c r="Y339" i="15"/>
  <c r="V339" i="15"/>
  <c r="T339" i="15"/>
  <c r="AM338" i="15"/>
  <c r="AL338" i="15"/>
  <c r="AK338" i="15"/>
  <c r="AJ338" i="15"/>
  <c r="AI338" i="15"/>
  <c r="AH338" i="15"/>
  <c r="AG338" i="15"/>
  <c r="AF338" i="15"/>
  <c r="AE338" i="15"/>
  <c r="AD338" i="15"/>
  <c r="Y338" i="15"/>
  <c r="V338" i="15"/>
  <c r="T338" i="15"/>
  <c r="AM337" i="15"/>
  <c r="AL337" i="15"/>
  <c r="AK337" i="15"/>
  <c r="AJ337" i="15"/>
  <c r="AI337" i="15"/>
  <c r="AH337" i="15"/>
  <c r="AG337" i="15"/>
  <c r="AF337" i="15"/>
  <c r="AE337" i="15"/>
  <c r="AD337" i="15"/>
  <c r="Y337" i="15"/>
  <c r="V337" i="15"/>
  <c r="T337" i="15"/>
  <c r="AM336" i="15"/>
  <c r="AL336" i="15"/>
  <c r="AK336" i="15"/>
  <c r="AJ336" i="15"/>
  <c r="AI336" i="15"/>
  <c r="AH336" i="15"/>
  <c r="AG336" i="15"/>
  <c r="AF336" i="15"/>
  <c r="AE336" i="15"/>
  <c r="AD336" i="15"/>
  <c r="Y336" i="15"/>
  <c r="V336" i="15"/>
  <c r="T336" i="15"/>
  <c r="AM335" i="15"/>
  <c r="AL335" i="15"/>
  <c r="AK335" i="15"/>
  <c r="AJ335" i="15"/>
  <c r="AI335" i="15"/>
  <c r="AH335" i="15"/>
  <c r="AG335" i="15"/>
  <c r="AF335" i="15"/>
  <c r="AE335" i="15"/>
  <c r="AD335" i="15"/>
  <c r="Y335" i="15"/>
  <c r="V335" i="15"/>
  <c r="T335" i="15"/>
  <c r="AM334" i="15"/>
  <c r="AL334" i="15"/>
  <c r="AK334" i="15"/>
  <c r="AJ334" i="15"/>
  <c r="AI334" i="15"/>
  <c r="AH334" i="15"/>
  <c r="AG334" i="15"/>
  <c r="AF334" i="15"/>
  <c r="AE334" i="15"/>
  <c r="AD334" i="15"/>
  <c r="Y334" i="15"/>
  <c r="V334" i="15"/>
  <c r="T334" i="15"/>
  <c r="AM333" i="15"/>
  <c r="AL333" i="15"/>
  <c r="AK333" i="15"/>
  <c r="AJ333" i="15"/>
  <c r="AI333" i="15"/>
  <c r="AH333" i="15"/>
  <c r="AG333" i="15"/>
  <c r="AF333" i="15"/>
  <c r="AE333" i="15"/>
  <c r="AD333" i="15"/>
  <c r="Y333" i="15"/>
  <c r="V333" i="15"/>
  <c r="T333" i="15"/>
  <c r="AM332" i="15"/>
  <c r="AL332" i="15"/>
  <c r="AK332" i="15"/>
  <c r="AJ332" i="15"/>
  <c r="AI332" i="15"/>
  <c r="AH332" i="15"/>
  <c r="AG332" i="15"/>
  <c r="AF332" i="15"/>
  <c r="AE332" i="15"/>
  <c r="AD332" i="15"/>
  <c r="Y332" i="15"/>
  <c r="V332" i="15"/>
  <c r="T332" i="15"/>
  <c r="AM331" i="15"/>
  <c r="AL331" i="15"/>
  <c r="AK331" i="15"/>
  <c r="AJ331" i="15"/>
  <c r="AI331" i="15"/>
  <c r="AH331" i="15"/>
  <c r="AG331" i="15"/>
  <c r="AF331" i="15"/>
  <c r="AE331" i="15"/>
  <c r="AD331" i="15"/>
  <c r="Y331" i="15"/>
  <c r="V331" i="15"/>
  <c r="T331" i="15"/>
  <c r="AM330" i="15"/>
  <c r="AL330" i="15"/>
  <c r="AK330" i="15"/>
  <c r="AJ330" i="15"/>
  <c r="AI330" i="15"/>
  <c r="AH330" i="15"/>
  <c r="AG330" i="15"/>
  <c r="AF330" i="15"/>
  <c r="AE330" i="15"/>
  <c r="AD330" i="15"/>
  <c r="Y330" i="15"/>
  <c r="V330" i="15"/>
  <c r="T330" i="15"/>
  <c r="AM329" i="15"/>
  <c r="AL329" i="15"/>
  <c r="AK329" i="15"/>
  <c r="AJ329" i="15"/>
  <c r="AI329" i="15"/>
  <c r="AH329" i="15"/>
  <c r="AG329" i="15"/>
  <c r="AF329" i="15"/>
  <c r="AE329" i="15"/>
  <c r="AD329" i="15"/>
  <c r="Y329" i="15"/>
  <c r="V329" i="15"/>
  <c r="T329" i="15"/>
  <c r="AM328" i="15"/>
  <c r="AL328" i="15"/>
  <c r="AK328" i="15"/>
  <c r="AJ328" i="15"/>
  <c r="AI328" i="15"/>
  <c r="AH328" i="15"/>
  <c r="AG328" i="15"/>
  <c r="AF328" i="15"/>
  <c r="AE328" i="15"/>
  <c r="AD328" i="15"/>
  <c r="Y328" i="15"/>
  <c r="V328" i="15"/>
  <c r="T328" i="15"/>
  <c r="AM327" i="15"/>
  <c r="AL327" i="15"/>
  <c r="AK327" i="15"/>
  <c r="AJ327" i="15"/>
  <c r="AI327" i="15"/>
  <c r="AH327" i="15"/>
  <c r="AG327" i="15"/>
  <c r="AF327" i="15"/>
  <c r="AE327" i="15"/>
  <c r="AD327" i="15"/>
  <c r="Y327" i="15"/>
  <c r="V327" i="15"/>
  <c r="T327" i="15"/>
  <c r="AM326" i="15"/>
  <c r="AL326" i="15"/>
  <c r="AK326" i="15"/>
  <c r="AJ326" i="15"/>
  <c r="AI326" i="15"/>
  <c r="AH326" i="15"/>
  <c r="AG326" i="15"/>
  <c r="AF326" i="15"/>
  <c r="AE326" i="15"/>
  <c r="AD326" i="15"/>
  <c r="Y326" i="15"/>
  <c r="V326" i="15"/>
  <c r="T326" i="15"/>
  <c r="AM325" i="15"/>
  <c r="AL325" i="15"/>
  <c r="AK325" i="15"/>
  <c r="AJ325" i="15"/>
  <c r="AI325" i="15"/>
  <c r="AH325" i="15"/>
  <c r="AG325" i="15"/>
  <c r="AF325" i="15"/>
  <c r="AE325" i="15"/>
  <c r="AD325" i="15"/>
  <c r="Y325" i="15"/>
  <c r="V325" i="15"/>
  <c r="T325" i="15"/>
  <c r="AM324" i="15"/>
  <c r="AL324" i="15"/>
  <c r="AK324" i="15"/>
  <c r="AJ324" i="15"/>
  <c r="AI324" i="15"/>
  <c r="AH324" i="15"/>
  <c r="AG324" i="15"/>
  <c r="AF324" i="15"/>
  <c r="AE324" i="15"/>
  <c r="AD324" i="15"/>
  <c r="Y324" i="15"/>
  <c r="V324" i="15"/>
  <c r="T324" i="15"/>
  <c r="AM323" i="15"/>
  <c r="AL323" i="15"/>
  <c r="AK323" i="15"/>
  <c r="AJ323" i="15"/>
  <c r="AI323" i="15"/>
  <c r="AH323" i="15"/>
  <c r="AG323" i="15"/>
  <c r="AF323" i="15"/>
  <c r="AE323" i="15"/>
  <c r="AD323" i="15"/>
  <c r="Y323" i="15"/>
  <c r="V323" i="15"/>
  <c r="T323" i="15"/>
  <c r="AM322" i="15"/>
  <c r="AL322" i="15"/>
  <c r="AK322" i="15"/>
  <c r="AJ322" i="15"/>
  <c r="AI322" i="15"/>
  <c r="AH322" i="15"/>
  <c r="AG322" i="15"/>
  <c r="AF322" i="15"/>
  <c r="AE322" i="15"/>
  <c r="AN322" i="15" s="1"/>
  <c r="AD322" i="15"/>
  <c r="Y322" i="15"/>
  <c r="V322" i="15"/>
  <c r="T322" i="15"/>
  <c r="AM321" i="15"/>
  <c r="AL321" i="15"/>
  <c r="AK321" i="15"/>
  <c r="AJ321" i="15"/>
  <c r="AI321" i="15"/>
  <c r="AH321" i="15"/>
  <c r="AG321" i="15"/>
  <c r="AF321" i="15"/>
  <c r="AE321" i="15"/>
  <c r="AD321" i="15"/>
  <c r="Y321" i="15"/>
  <c r="V321" i="15"/>
  <c r="T321" i="15"/>
  <c r="AM320" i="15"/>
  <c r="AL320" i="15"/>
  <c r="AK320" i="15"/>
  <c r="AJ320" i="15"/>
  <c r="AI320" i="15"/>
  <c r="AH320" i="15"/>
  <c r="AG320" i="15"/>
  <c r="AF320" i="15"/>
  <c r="AE320" i="15"/>
  <c r="AD320" i="15"/>
  <c r="Y320" i="15"/>
  <c r="V320" i="15"/>
  <c r="T320" i="15"/>
  <c r="AM319" i="15"/>
  <c r="AL319" i="15"/>
  <c r="AK319" i="15"/>
  <c r="AJ319" i="15"/>
  <c r="AI319" i="15"/>
  <c r="AH319" i="15"/>
  <c r="AG319" i="15"/>
  <c r="AF319" i="15"/>
  <c r="AE319" i="15"/>
  <c r="AD319" i="15"/>
  <c r="Y319" i="15"/>
  <c r="V319" i="15"/>
  <c r="T319" i="15"/>
  <c r="AM318" i="15"/>
  <c r="AL318" i="15"/>
  <c r="AK318" i="15"/>
  <c r="AJ318" i="15"/>
  <c r="AI318" i="15"/>
  <c r="AH318" i="15"/>
  <c r="AG318" i="15"/>
  <c r="AF318" i="15"/>
  <c r="AE318" i="15"/>
  <c r="AD318" i="15"/>
  <c r="Y318" i="15"/>
  <c r="V318" i="15"/>
  <c r="T318" i="15"/>
  <c r="AM317" i="15"/>
  <c r="AL317" i="15"/>
  <c r="AK317" i="15"/>
  <c r="AJ317" i="15"/>
  <c r="AI317" i="15"/>
  <c r="AH317" i="15"/>
  <c r="AG317" i="15"/>
  <c r="AF317" i="15"/>
  <c r="AE317" i="15"/>
  <c r="AD317" i="15"/>
  <c r="Y317" i="15"/>
  <c r="V317" i="15"/>
  <c r="T317" i="15"/>
  <c r="AM316" i="15"/>
  <c r="AL316" i="15"/>
  <c r="AK316" i="15"/>
  <c r="AJ316" i="15"/>
  <c r="AI316" i="15"/>
  <c r="AH316" i="15"/>
  <c r="AG316" i="15"/>
  <c r="AF316" i="15"/>
  <c r="AE316" i="15"/>
  <c r="AD316" i="15"/>
  <c r="Y316" i="15"/>
  <c r="V316" i="15"/>
  <c r="T316" i="15"/>
  <c r="AM315" i="15"/>
  <c r="AL315" i="15"/>
  <c r="AK315" i="15"/>
  <c r="AJ315" i="15"/>
  <c r="AI315" i="15"/>
  <c r="AH315" i="15"/>
  <c r="AG315" i="15"/>
  <c r="AF315" i="15"/>
  <c r="AE315" i="15"/>
  <c r="AD315" i="15"/>
  <c r="Y315" i="15"/>
  <c r="V315" i="15"/>
  <c r="T315" i="15"/>
  <c r="AM314" i="15"/>
  <c r="AL314" i="15"/>
  <c r="AK314" i="15"/>
  <c r="AJ314" i="15"/>
  <c r="AI314" i="15"/>
  <c r="AH314" i="15"/>
  <c r="AG314" i="15"/>
  <c r="AF314" i="15"/>
  <c r="AE314" i="15"/>
  <c r="AD314" i="15"/>
  <c r="Y314" i="15"/>
  <c r="V314" i="15"/>
  <c r="T314" i="15"/>
  <c r="AM313" i="15"/>
  <c r="AL313" i="15"/>
  <c r="AK313" i="15"/>
  <c r="AJ313" i="15"/>
  <c r="AI313" i="15"/>
  <c r="AH313" i="15"/>
  <c r="AG313" i="15"/>
  <c r="AF313" i="15"/>
  <c r="AE313" i="15"/>
  <c r="AD313" i="15"/>
  <c r="Y313" i="15"/>
  <c r="V313" i="15"/>
  <c r="T313" i="15"/>
  <c r="AM312" i="15"/>
  <c r="AL312" i="15"/>
  <c r="AK312" i="15"/>
  <c r="AJ312" i="15"/>
  <c r="AI312" i="15"/>
  <c r="AH312" i="15"/>
  <c r="AG312" i="15"/>
  <c r="AF312" i="15"/>
  <c r="AE312" i="15"/>
  <c r="AD312" i="15"/>
  <c r="Y312" i="15"/>
  <c r="V312" i="15"/>
  <c r="T312" i="15"/>
  <c r="AM311" i="15"/>
  <c r="AL311" i="15"/>
  <c r="AK311" i="15"/>
  <c r="AJ311" i="15"/>
  <c r="AI311" i="15"/>
  <c r="AH311" i="15"/>
  <c r="AG311" i="15"/>
  <c r="AF311" i="15"/>
  <c r="AE311" i="15"/>
  <c r="AD311" i="15"/>
  <c r="Y311" i="15"/>
  <c r="V311" i="15"/>
  <c r="T311" i="15"/>
  <c r="AM310" i="15"/>
  <c r="AL310" i="15"/>
  <c r="AK310" i="15"/>
  <c r="AJ310" i="15"/>
  <c r="AI310" i="15"/>
  <c r="AH310" i="15"/>
  <c r="AG310" i="15"/>
  <c r="AF310" i="15"/>
  <c r="AE310" i="15"/>
  <c r="AD310" i="15"/>
  <c r="Y310" i="15"/>
  <c r="V310" i="15"/>
  <c r="T310" i="15"/>
  <c r="AM309" i="15"/>
  <c r="AL309" i="15"/>
  <c r="AK309" i="15"/>
  <c r="AJ309" i="15"/>
  <c r="AI309" i="15"/>
  <c r="AH309" i="15"/>
  <c r="AG309" i="15"/>
  <c r="AF309" i="15"/>
  <c r="AE309" i="15"/>
  <c r="AD309" i="15"/>
  <c r="Y309" i="15"/>
  <c r="V309" i="15"/>
  <c r="T309" i="15"/>
  <c r="AM308" i="15"/>
  <c r="AL308" i="15"/>
  <c r="AK308" i="15"/>
  <c r="AJ308" i="15"/>
  <c r="AI308" i="15"/>
  <c r="AH308" i="15"/>
  <c r="AG308" i="15"/>
  <c r="AF308" i="15"/>
  <c r="AE308" i="15"/>
  <c r="AD308" i="15"/>
  <c r="Y308" i="15"/>
  <c r="V308" i="15"/>
  <c r="T308" i="15"/>
  <c r="AM307" i="15"/>
  <c r="AL307" i="15"/>
  <c r="AK307" i="15"/>
  <c r="AJ307" i="15"/>
  <c r="AI307" i="15"/>
  <c r="AH307" i="15"/>
  <c r="AG307" i="15"/>
  <c r="AF307" i="15"/>
  <c r="AE307" i="15"/>
  <c r="AD307" i="15"/>
  <c r="Y307" i="15"/>
  <c r="V307" i="15"/>
  <c r="T307" i="15"/>
  <c r="AM306" i="15"/>
  <c r="AL306" i="15"/>
  <c r="AK306" i="15"/>
  <c r="AJ306" i="15"/>
  <c r="AI306" i="15"/>
  <c r="AH306" i="15"/>
  <c r="AG306" i="15"/>
  <c r="AF306" i="15"/>
  <c r="AE306" i="15"/>
  <c r="AD306" i="15"/>
  <c r="Y306" i="15"/>
  <c r="V306" i="15"/>
  <c r="T306" i="15"/>
  <c r="AM305" i="15"/>
  <c r="AL305" i="15"/>
  <c r="AK305" i="15"/>
  <c r="AJ305" i="15"/>
  <c r="AI305" i="15"/>
  <c r="AH305" i="15"/>
  <c r="AG305" i="15"/>
  <c r="AF305" i="15"/>
  <c r="AE305" i="15"/>
  <c r="AD305" i="15"/>
  <c r="Y305" i="15"/>
  <c r="V305" i="15"/>
  <c r="T305" i="15"/>
  <c r="AM304" i="15"/>
  <c r="AL304" i="15"/>
  <c r="AK304" i="15"/>
  <c r="AJ304" i="15"/>
  <c r="AI304" i="15"/>
  <c r="AH304" i="15"/>
  <c r="AG304" i="15"/>
  <c r="AF304" i="15"/>
  <c r="AE304" i="15"/>
  <c r="AD304" i="15"/>
  <c r="Y304" i="15"/>
  <c r="V304" i="15"/>
  <c r="T304" i="15"/>
  <c r="AM303" i="15"/>
  <c r="AL303" i="15"/>
  <c r="AK303" i="15"/>
  <c r="AJ303" i="15"/>
  <c r="AI303" i="15"/>
  <c r="AH303" i="15"/>
  <c r="AG303" i="15"/>
  <c r="AF303" i="15"/>
  <c r="AE303" i="15"/>
  <c r="AD303" i="15"/>
  <c r="Y303" i="15"/>
  <c r="V303" i="15"/>
  <c r="T303" i="15"/>
  <c r="AM302" i="15"/>
  <c r="AL302" i="15"/>
  <c r="AK302" i="15"/>
  <c r="AJ302" i="15"/>
  <c r="AI302" i="15"/>
  <c r="AH302" i="15"/>
  <c r="AG302" i="15"/>
  <c r="AF302" i="15"/>
  <c r="AE302" i="15"/>
  <c r="AD302" i="15"/>
  <c r="Y302" i="15"/>
  <c r="V302" i="15"/>
  <c r="T302" i="15"/>
  <c r="AM301" i="15"/>
  <c r="AL301" i="15"/>
  <c r="AK301" i="15"/>
  <c r="AJ301" i="15"/>
  <c r="AI301" i="15"/>
  <c r="AH301" i="15"/>
  <c r="AG301" i="15"/>
  <c r="AF301" i="15"/>
  <c r="AE301" i="15"/>
  <c r="AD301" i="15"/>
  <c r="Y301" i="15"/>
  <c r="V301" i="15"/>
  <c r="T301" i="15"/>
  <c r="AM300" i="15"/>
  <c r="AL300" i="15"/>
  <c r="AK300" i="15"/>
  <c r="AJ300" i="15"/>
  <c r="AI300" i="15"/>
  <c r="AH300" i="15"/>
  <c r="AG300" i="15"/>
  <c r="AF300" i="15"/>
  <c r="AE300" i="15"/>
  <c r="AD300" i="15"/>
  <c r="Y300" i="15"/>
  <c r="V300" i="15"/>
  <c r="T300" i="15"/>
  <c r="AM299" i="15"/>
  <c r="AL299" i="15"/>
  <c r="AK299" i="15"/>
  <c r="AJ299" i="15"/>
  <c r="AI299" i="15"/>
  <c r="AH299" i="15"/>
  <c r="AG299" i="15"/>
  <c r="AF299" i="15"/>
  <c r="AE299" i="15"/>
  <c r="AD299" i="15"/>
  <c r="Y299" i="15"/>
  <c r="V299" i="15"/>
  <c r="T299" i="15"/>
  <c r="AM298" i="15"/>
  <c r="AL298" i="15"/>
  <c r="AK298" i="15"/>
  <c r="AJ298" i="15"/>
  <c r="AI298" i="15"/>
  <c r="AH298" i="15"/>
  <c r="AG298" i="15"/>
  <c r="AF298" i="15"/>
  <c r="AE298" i="15"/>
  <c r="AD298" i="15"/>
  <c r="Y298" i="15"/>
  <c r="V298" i="15"/>
  <c r="T298" i="15"/>
  <c r="AM297" i="15"/>
  <c r="AL297" i="15"/>
  <c r="AK297" i="15"/>
  <c r="AJ297" i="15"/>
  <c r="AI297" i="15"/>
  <c r="AH297" i="15"/>
  <c r="AG297" i="15"/>
  <c r="AF297" i="15"/>
  <c r="AE297" i="15"/>
  <c r="AD297" i="15"/>
  <c r="Y297" i="15"/>
  <c r="V297" i="15"/>
  <c r="T297" i="15"/>
  <c r="AM296" i="15"/>
  <c r="AL296" i="15"/>
  <c r="AK296" i="15"/>
  <c r="AJ296" i="15"/>
  <c r="AI296" i="15"/>
  <c r="AH296" i="15"/>
  <c r="AG296" i="15"/>
  <c r="AF296" i="15"/>
  <c r="AE296" i="15"/>
  <c r="AD296" i="15"/>
  <c r="Y296" i="15"/>
  <c r="V296" i="15"/>
  <c r="T296" i="15"/>
  <c r="AM295" i="15"/>
  <c r="AL295" i="15"/>
  <c r="AK295" i="15"/>
  <c r="AJ295" i="15"/>
  <c r="AI295" i="15"/>
  <c r="AH295" i="15"/>
  <c r="AG295" i="15"/>
  <c r="AF295" i="15"/>
  <c r="AE295" i="15"/>
  <c r="AD295" i="15"/>
  <c r="Y295" i="15"/>
  <c r="V295" i="15"/>
  <c r="T295" i="15"/>
  <c r="AM294" i="15"/>
  <c r="AL294" i="15"/>
  <c r="AK294" i="15"/>
  <c r="AJ294" i="15"/>
  <c r="AI294" i="15"/>
  <c r="AH294" i="15"/>
  <c r="AG294" i="15"/>
  <c r="AF294" i="15"/>
  <c r="AE294" i="15"/>
  <c r="AD294" i="15"/>
  <c r="Y294" i="15"/>
  <c r="V294" i="15"/>
  <c r="T294" i="15"/>
  <c r="AM293" i="15"/>
  <c r="AL293" i="15"/>
  <c r="AK293" i="15"/>
  <c r="AJ293" i="15"/>
  <c r="AI293" i="15"/>
  <c r="AH293" i="15"/>
  <c r="AG293" i="15"/>
  <c r="AF293" i="15"/>
  <c r="AE293" i="15"/>
  <c r="AD293" i="15"/>
  <c r="Y293" i="15"/>
  <c r="V293" i="15"/>
  <c r="T293" i="15"/>
  <c r="AM292" i="15"/>
  <c r="AL292" i="15"/>
  <c r="AK292" i="15"/>
  <c r="AJ292" i="15"/>
  <c r="AI292" i="15"/>
  <c r="AH292" i="15"/>
  <c r="AG292" i="15"/>
  <c r="AF292" i="15"/>
  <c r="AE292" i="15"/>
  <c r="AD292" i="15"/>
  <c r="Y292" i="15"/>
  <c r="V292" i="15"/>
  <c r="T292" i="15"/>
  <c r="AM291" i="15"/>
  <c r="AL291" i="15"/>
  <c r="AK291" i="15"/>
  <c r="AJ291" i="15"/>
  <c r="AI291" i="15"/>
  <c r="AH291" i="15"/>
  <c r="AG291" i="15"/>
  <c r="AF291" i="15"/>
  <c r="AE291" i="15"/>
  <c r="AD291" i="15"/>
  <c r="Y291" i="15"/>
  <c r="V291" i="15"/>
  <c r="T291" i="15"/>
  <c r="AM290" i="15"/>
  <c r="AL290" i="15"/>
  <c r="AK290" i="15"/>
  <c r="AJ290" i="15"/>
  <c r="AI290" i="15"/>
  <c r="AH290" i="15"/>
  <c r="AG290" i="15"/>
  <c r="AF290" i="15"/>
  <c r="AE290" i="15"/>
  <c r="AD290" i="15"/>
  <c r="Y290" i="15"/>
  <c r="V290" i="15"/>
  <c r="T290" i="15"/>
  <c r="AM289" i="15"/>
  <c r="AL289" i="15"/>
  <c r="AK289" i="15"/>
  <c r="AJ289" i="15"/>
  <c r="AI289" i="15"/>
  <c r="AH289" i="15"/>
  <c r="AG289" i="15"/>
  <c r="AF289" i="15"/>
  <c r="AE289" i="15"/>
  <c r="AD289" i="15"/>
  <c r="Y289" i="15"/>
  <c r="V289" i="15"/>
  <c r="T289" i="15"/>
  <c r="AM288" i="15"/>
  <c r="AL288" i="15"/>
  <c r="AK288" i="15"/>
  <c r="AJ288" i="15"/>
  <c r="AI288" i="15"/>
  <c r="AH288" i="15"/>
  <c r="AG288" i="15"/>
  <c r="AF288" i="15"/>
  <c r="AE288" i="15"/>
  <c r="AD288" i="15"/>
  <c r="Y288" i="15"/>
  <c r="V288" i="15"/>
  <c r="T288" i="15"/>
  <c r="AM287" i="15"/>
  <c r="AL287" i="15"/>
  <c r="AK287" i="15"/>
  <c r="AJ287" i="15"/>
  <c r="AI287" i="15"/>
  <c r="AH287" i="15"/>
  <c r="AG287" i="15"/>
  <c r="AF287" i="15"/>
  <c r="AE287" i="15"/>
  <c r="AD287" i="15"/>
  <c r="Y287" i="15"/>
  <c r="V287" i="15"/>
  <c r="T287" i="15"/>
  <c r="AM286" i="15"/>
  <c r="AL286" i="15"/>
  <c r="AK286" i="15"/>
  <c r="AJ286" i="15"/>
  <c r="AI286" i="15"/>
  <c r="AH286" i="15"/>
  <c r="AG286" i="15"/>
  <c r="AF286" i="15"/>
  <c r="AE286" i="15"/>
  <c r="AD286" i="15"/>
  <c r="Y286" i="15"/>
  <c r="V286" i="15"/>
  <c r="T286" i="15"/>
  <c r="AM285" i="15"/>
  <c r="AL285" i="15"/>
  <c r="AK285" i="15"/>
  <c r="AJ285" i="15"/>
  <c r="AI285" i="15"/>
  <c r="AH285" i="15"/>
  <c r="AG285" i="15"/>
  <c r="AF285" i="15"/>
  <c r="AE285" i="15"/>
  <c r="AD285" i="15"/>
  <c r="Y285" i="15"/>
  <c r="V285" i="15"/>
  <c r="T285" i="15"/>
  <c r="AM284" i="15"/>
  <c r="AL284" i="15"/>
  <c r="AK284" i="15"/>
  <c r="AJ284" i="15"/>
  <c r="AI284" i="15"/>
  <c r="AH284" i="15"/>
  <c r="AG284" i="15"/>
  <c r="AF284" i="15"/>
  <c r="AE284" i="15"/>
  <c r="AD284" i="15"/>
  <c r="Y284" i="15"/>
  <c r="V284" i="15"/>
  <c r="T284" i="15"/>
  <c r="AM283" i="15"/>
  <c r="AL283" i="15"/>
  <c r="AK283" i="15"/>
  <c r="AJ283" i="15"/>
  <c r="AI283" i="15"/>
  <c r="AH283" i="15"/>
  <c r="AG283" i="15"/>
  <c r="AF283" i="15"/>
  <c r="AE283" i="15"/>
  <c r="AD283" i="15"/>
  <c r="Y283" i="15"/>
  <c r="V283" i="15"/>
  <c r="T283" i="15"/>
  <c r="AM282" i="15"/>
  <c r="AL282" i="15"/>
  <c r="AK282" i="15"/>
  <c r="AJ282" i="15"/>
  <c r="AI282" i="15"/>
  <c r="AH282" i="15"/>
  <c r="AG282" i="15"/>
  <c r="AF282" i="15"/>
  <c r="AE282" i="15"/>
  <c r="AD282" i="15"/>
  <c r="Y282" i="15"/>
  <c r="V282" i="15"/>
  <c r="T282" i="15"/>
  <c r="AM281" i="15"/>
  <c r="AL281" i="15"/>
  <c r="AK281" i="15"/>
  <c r="AJ281" i="15"/>
  <c r="AI281" i="15"/>
  <c r="AH281" i="15"/>
  <c r="AG281" i="15"/>
  <c r="AF281" i="15"/>
  <c r="AE281" i="15"/>
  <c r="AD281" i="15"/>
  <c r="Y281" i="15"/>
  <c r="V281" i="15"/>
  <c r="T281" i="15"/>
  <c r="AM280" i="15"/>
  <c r="AL280" i="15"/>
  <c r="AK280" i="15"/>
  <c r="AJ280" i="15"/>
  <c r="AI280" i="15"/>
  <c r="AH280" i="15"/>
  <c r="AG280" i="15"/>
  <c r="AF280" i="15"/>
  <c r="AE280" i="15"/>
  <c r="AD280" i="15"/>
  <c r="Y280" i="15"/>
  <c r="V280" i="15"/>
  <c r="T280" i="15"/>
  <c r="AM279" i="15"/>
  <c r="AL279" i="15"/>
  <c r="AK279" i="15"/>
  <c r="AJ279" i="15"/>
  <c r="AI279" i="15"/>
  <c r="AH279" i="15"/>
  <c r="AG279" i="15"/>
  <c r="AF279" i="15"/>
  <c r="AE279" i="15"/>
  <c r="AD279" i="15"/>
  <c r="Y279" i="15"/>
  <c r="V279" i="15"/>
  <c r="T279" i="15"/>
  <c r="AM278" i="15"/>
  <c r="AL278" i="15"/>
  <c r="AK278" i="15"/>
  <c r="AJ278" i="15"/>
  <c r="AI278" i="15"/>
  <c r="AH278" i="15"/>
  <c r="AG278" i="15"/>
  <c r="AF278" i="15"/>
  <c r="AE278" i="15"/>
  <c r="AD278" i="15"/>
  <c r="Y278" i="15"/>
  <c r="V278" i="15"/>
  <c r="T278" i="15"/>
  <c r="AM277" i="15"/>
  <c r="AL277" i="15"/>
  <c r="AK277" i="15"/>
  <c r="AJ277" i="15"/>
  <c r="AI277" i="15"/>
  <c r="AH277" i="15"/>
  <c r="AG277" i="15"/>
  <c r="AF277" i="15"/>
  <c r="AE277" i="15"/>
  <c r="AD277" i="15"/>
  <c r="Y277" i="15"/>
  <c r="V277" i="15"/>
  <c r="T277" i="15"/>
  <c r="AM276" i="15"/>
  <c r="AL276" i="15"/>
  <c r="AK276" i="15"/>
  <c r="AJ276" i="15"/>
  <c r="AI276" i="15"/>
  <c r="AH276" i="15"/>
  <c r="AG276" i="15"/>
  <c r="AF276" i="15"/>
  <c r="AE276" i="15"/>
  <c r="AD276" i="15"/>
  <c r="Y276" i="15"/>
  <c r="V276" i="15"/>
  <c r="T276" i="15"/>
  <c r="AM275" i="15"/>
  <c r="AL275" i="15"/>
  <c r="AK275" i="15"/>
  <c r="AJ275" i="15"/>
  <c r="AI275" i="15"/>
  <c r="AH275" i="15"/>
  <c r="AG275" i="15"/>
  <c r="AF275" i="15"/>
  <c r="AE275" i="15"/>
  <c r="AD275" i="15"/>
  <c r="Y275" i="15"/>
  <c r="V275" i="15"/>
  <c r="T275" i="15"/>
  <c r="AM274" i="15"/>
  <c r="AL274" i="15"/>
  <c r="AK274" i="15"/>
  <c r="AJ274" i="15"/>
  <c r="AI274" i="15"/>
  <c r="AH274" i="15"/>
  <c r="AG274" i="15"/>
  <c r="AF274" i="15"/>
  <c r="AE274" i="15"/>
  <c r="AD274" i="15"/>
  <c r="Y274" i="15"/>
  <c r="V274" i="15"/>
  <c r="T274" i="15"/>
  <c r="AM273" i="15"/>
  <c r="AL273" i="15"/>
  <c r="AK273" i="15"/>
  <c r="AJ273" i="15"/>
  <c r="AI273" i="15"/>
  <c r="AH273" i="15"/>
  <c r="AG273" i="15"/>
  <c r="AF273" i="15"/>
  <c r="AE273" i="15"/>
  <c r="AD273" i="15"/>
  <c r="Y273" i="15"/>
  <c r="V273" i="15"/>
  <c r="T273" i="15"/>
  <c r="AM272" i="15"/>
  <c r="AL272" i="15"/>
  <c r="AK272" i="15"/>
  <c r="AJ272" i="15"/>
  <c r="AI272" i="15"/>
  <c r="AH272" i="15"/>
  <c r="AG272" i="15"/>
  <c r="AF272" i="15"/>
  <c r="AE272" i="15"/>
  <c r="AD272" i="15"/>
  <c r="Y272" i="15"/>
  <c r="V272" i="15"/>
  <c r="T272" i="15"/>
  <c r="AM271" i="15"/>
  <c r="AL271" i="15"/>
  <c r="AK271" i="15"/>
  <c r="AJ271" i="15"/>
  <c r="AI271" i="15"/>
  <c r="AH271" i="15"/>
  <c r="AG271" i="15"/>
  <c r="AF271" i="15"/>
  <c r="AE271" i="15"/>
  <c r="AD271" i="15"/>
  <c r="Y271" i="15"/>
  <c r="V271" i="15"/>
  <c r="T271" i="15"/>
  <c r="AM270" i="15"/>
  <c r="AL270" i="15"/>
  <c r="AK270" i="15"/>
  <c r="AJ270" i="15"/>
  <c r="AI270" i="15"/>
  <c r="AH270" i="15"/>
  <c r="AG270" i="15"/>
  <c r="AF270" i="15"/>
  <c r="AE270" i="15"/>
  <c r="AD270" i="15"/>
  <c r="Y270" i="15"/>
  <c r="V270" i="15"/>
  <c r="T270" i="15"/>
  <c r="AM269" i="15"/>
  <c r="AL269" i="15"/>
  <c r="AK269" i="15"/>
  <c r="AJ269" i="15"/>
  <c r="AI269" i="15"/>
  <c r="AH269" i="15"/>
  <c r="AG269" i="15"/>
  <c r="AF269" i="15"/>
  <c r="AE269" i="15"/>
  <c r="AD269" i="15"/>
  <c r="Y269" i="15"/>
  <c r="V269" i="15"/>
  <c r="T269" i="15"/>
  <c r="AM268" i="15"/>
  <c r="AL268" i="15"/>
  <c r="AK268" i="15"/>
  <c r="AJ268" i="15"/>
  <c r="AI268" i="15"/>
  <c r="AH268" i="15"/>
  <c r="AG268" i="15"/>
  <c r="AF268" i="15"/>
  <c r="AE268" i="15"/>
  <c r="AD268" i="15"/>
  <c r="Y268" i="15"/>
  <c r="V268" i="15"/>
  <c r="T268" i="15"/>
  <c r="AM267" i="15"/>
  <c r="AL267" i="15"/>
  <c r="AK267" i="15"/>
  <c r="AJ267" i="15"/>
  <c r="AI267" i="15"/>
  <c r="AH267" i="15"/>
  <c r="AG267" i="15"/>
  <c r="AF267" i="15"/>
  <c r="AE267" i="15"/>
  <c r="AD267" i="15"/>
  <c r="Y267" i="15"/>
  <c r="V267" i="15"/>
  <c r="T267" i="15"/>
  <c r="AM266" i="15"/>
  <c r="AL266" i="15"/>
  <c r="AK266" i="15"/>
  <c r="AJ266" i="15"/>
  <c r="AI266" i="15"/>
  <c r="AH266" i="15"/>
  <c r="AG266" i="15"/>
  <c r="AF266" i="15"/>
  <c r="AE266" i="15"/>
  <c r="AD266" i="15"/>
  <c r="Y266" i="15"/>
  <c r="V266" i="15"/>
  <c r="T266" i="15"/>
  <c r="AM265" i="15"/>
  <c r="AL265" i="15"/>
  <c r="AK265" i="15"/>
  <c r="AJ265" i="15"/>
  <c r="AI265" i="15"/>
  <c r="AH265" i="15"/>
  <c r="AG265" i="15"/>
  <c r="AF265" i="15"/>
  <c r="AE265" i="15"/>
  <c r="AD265" i="15"/>
  <c r="Y265" i="15"/>
  <c r="V265" i="15"/>
  <c r="T265" i="15"/>
  <c r="AM264" i="15"/>
  <c r="AL264" i="15"/>
  <c r="AK264" i="15"/>
  <c r="AJ264" i="15"/>
  <c r="AI264" i="15"/>
  <c r="AH264" i="15"/>
  <c r="AG264" i="15"/>
  <c r="AF264" i="15"/>
  <c r="AE264" i="15"/>
  <c r="AD264" i="15"/>
  <c r="Y264" i="15"/>
  <c r="V264" i="15"/>
  <c r="T264" i="15"/>
  <c r="AM263" i="15"/>
  <c r="AL263" i="15"/>
  <c r="AK263" i="15"/>
  <c r="AJ263" i="15"/>
  <c r="AI263" i="15"/>
  <c r="AH263" i="15"/>
  <c r="AG263" i="15"/>
  <c r="AF263" i="15"/>
  <c r="AE263" i="15"/>
  <c r="AD263" i="15"/>
  <c r="Y263" i="15"/>
  <c r="V263" i="15"/>
  <c r="T263" i="15"/>
  <c r="AM262" i="15"/>
  <c r="AL262" i="15"/>
  <c r="AK262" i="15"/>
  <c r="AJ262" i="15"/>
  <c r="AI262" i="15"/>
  <c r="AH262" i="15"/>
  <c r="AG262" i="15"/>
  <c r="AF262" i="15"/>
  <c r="AE262" i="15"/>
  <c r="AD262" i="15"/>
  <c r="Y262" i="15"/>
  <c r="V262" i="15"/>
  <c r="T262" i="15"/>
  <c r="AM261" i="15"/>
  <c r="AL261" i="15"/>
  <c r="AK261" i="15"/>
  <c r="AJ261" i="15"/>
  <c r="AI261" i="15"/>
  <c r="AH261" i="15"/>
  <c r="AG261" i="15"/>
  <c r="AF261" i="15"/>
  <c r="AE261" i="15"/>
  <c r="AD261" i="15"/>
  <c r="Y261" i="15"/>
  <c r="V261" i="15"/>
  <c r="T261" i="15"/>
  <c r="AM260" i="15"/>
  <c r="AL260" i="15"/>
  <c r="AK260" i="15"/>
  <c r="AJ260" i="15"/>
  <c r="AI260" i="15"/>
  <c r="AH260" i="15"/>
  <c r="AG260" i="15"/>
  <c r="AF260" i="15"/>
  <c r="AE260" i="15"/>
  <c r="AD260" i="15"/>
  <c r="Y260" i="15"/>
  <c r="V260" i="15"/>
  <c r="T260" i="15"/>
  <c r="AM259" i="15"/>
  <c r="AL259" i="15"/>
  <c r="AK259" i="15"/>
  <c r="AJ259" i="15"/>
  <c r="AI259" i="15"/>
  <c r="AH259" i="15"/>
  <c r="AG259" i="15"/>
  <c r="AF259" i="15"/>
  <c r="AE259" i="15"/>
  <c r="AD259" i="15"/>
  <c r="Y259" i="15"/>
  <c r="V259" i="15"/>
  <c r="T259" i="15"/>
  <c r="AM258" i="15"/>
  <c r="AL258" i="15"/>
  <c r="AK258" i="15"/>
  <c r="AJ258" i="15"/>
  <c r="AI258" i="15"/>
  <c r="AH258" i="15"/>
  <c r="AG258" i="15"/>
  <c r="AF258" i="15"/>
  <c r="AE258" i="15"/>
  <c r="AD258" i="15"/>
  <c r="Y258" i="15"/>
  <c r="V258" i="15"/>
  <c r="T258" i="15"/>
  <c r="AM257" i="15"/>
  <c r="AL257" i="15"/>
  <c r="AK257" i="15"/>
  <c r="AJ257" i="15"/>
  <c r="AI257" i="15"/>
  <c r="AH257" i="15"/>
  <c r="AG257" i="15"/>
  <c r="AF257" i="15"/>
  <c r="AE257" i="15"/>
  <c r="AD257" i="15"/>
  <c r="Y257" i="15"/>
  <c r="V257" i="15"/>
  <c r="T257" i="15"/>
  <c r="AM256" i="15"/>
  <c r="AL256" i="15"/>
  <c r="AK256" i="15"/>
  <c r="AJ256" i="15"/>
  <c r="AI256" i="15"/>
  <c r="AH256" i="15"/>
  <c r="AG256" i="15"/>
  <c r="AF256" i="15"/>
  <c r="AE256" i="15"/>
  <c r="AD256" i="15"/>
  <c r="Y256" i="15"/>
  <c r="V256" i="15"/>
  <c r="T256" i="15"/>
  <c r="AM255" i="15"/>
  <c r="AL255" i="15"/>
  <c r="AK255" i="15"/>
  <c r="AJ255" i="15"/>
  <c r="AI255" i="15"/>
  <c r="AH255" i="15"/>
  <c r="AG255" i="15"/>
  <c r="AF255" i="15"/>
  <c r="AE255" i="15"/>
  <c r="AD255" i="15"/>
  <c r="Y255" i="15"/>
  <c r="V255" i="15"/>
  <c r="T255" i="15"/>
  <c r="AM254" i="15"/>
  <c r="AL254" i="15"/>
  <c r="AK254" i="15"/>
  <c r="AJ254" i="15"/>
  <c r="AI254" i="15"/>
  <c r="AH254" i="15"/>
  <c r="AG254" i="15"/>
  <c r="AF254" i="15"/>
  <c r="AE254" i="15"/>
  <c r="AD254" i="15"/>
  <c r="Y254" i="15"/>
  <c r="V254" i="15"/>
  <c r="T254" i="15"/>
  <c r="AM253" i="15"/>
  <c r="AL253" i="15"/>
  <c r="AK253" i="15"/>
  <c r="AJ253" i="15"/>
  <c r="AI253" i="15"/>
  <c r="AH253" i="15"/>
  <c r="AG253" i="15"/>
  <c r="AF253" i="15"/>
  <c r="AE253" i="15"/>
  <c r="AD253" i="15"/>
  <c r="Y253" i="15"/>
  <c r="V253" i="15"/>
  <c r="T253" i="15"/>
  <c r="AM252" i="15"/>
  <c r="AL252" i="15"/>
  <c r="AK252" i="15"/>
  <c r="AJ252" i="15"/>
  <c r="AI252" i="15"/>
  <c r="AH252" i="15"/>
  <c r="AG252" i="15"/>
  <c r="AF252" i="15"/>
  <c r="AE252" i="15"/>
  <c r="AD252" i="15"/>
  <c r="Y252" i="15"/>
  <c r="V252" i="15"/>
  <c r="T252" i="15"/>
  <c r="AM251" i="15"/>
  <c r="AL251" i="15"/>
  <c r="AK251" i="15"/>
  <c r="AJ251" i="15"/>
  <c r="AI251" i="15"/>
  <c r="AH251" i="15"/>
  <c r="AG251" i="15"/>
  <c r="AF251" i="15"/>
  <c r="AE251" i="15"/>
  <c r="AD251" i="15"/>
  <c r="Y251" i="15"/>
  <c r="V251" i="15"/>
  <c r="T251" i="15"/>
  <c r="AM250" i="15"/>
  <c r="AL250" i="15"/>
  <c r="AK250" i="15"/>
  <c r="AJ250" i="15"/>
  <c r="AI250" i="15"/>
  <c r="AH250" i="15"/>
  <c r="AG250" i="15"/>
  <c r="AF250" i="15"/>
  <c r="AE250" i="15"/>
  <c r="AD250" i="15"/>
  <c r="Y250" i="15"/>
  <c r="V250" i="15"/>
  <c r="T250" i="15"/>
  <c r="AM249" i="15"/>
  <c r="AL249" i="15"/>
  <c r="AK249" i="15"/>
  <c r="AJ249" i="15"/>
  <c r="AI249" i="15"/>
  <c r="AH249" i="15"/>
  <c r="AG249" i="15"/>
  <c r="AF249" i="15"/>
  <c r="AE249" i="15"/>
  <c r="AD249" i="15"/>
  <c r="Y249" i="15"/>
  <c r="V249" i="15"/>
  <c r="T249" i="15"/>
  <c r="AM248" i="15"/>
  <c r="AL248" i="15"/>
  <c r="AK248" i="15"/>
  <c r="AJ248" i="15"/>
  <c r="AI248" i="15"/>
  <c r="AH248" i="15"/>
  <c r="AG248" i="15"/>
  <c r="AF248" i="15"/>
  <c r="AE248" i="15"/>
  <c r="AD248" i="15"/>
  <c r="Y248" i="15"/>
  <c r="V248" i="15"/>
  <c r="T248" i="15"/>
  <c r="AM247" i="15"/>
  <c r="AL247" i="15"/>
  <c r="AK247" i="15"/>
  <c r="AJ247" i="15"/>
  <c r="AI247" i="15"/>
  <c r="AH247" i="15"/>
  <c r="AG247" i="15"/>
  <c r="AF247" i="15"/>
  <c r="AE247" i="15"/>
  <c r="AD247" i="15"/>
  <c r="Y247" i="15"/>
  <c r="V247" i="15"/>
  <c r="T247" i="15"/>
  <c r="AM246" i="15"/>
  <c r="AL246" i="15"/>
  <c r="AK246" i="15"/>
  <c r="AJ246" i="15"/>
  <c r="AI246" i="15"/>
  <c r="AH246" i="15"/>
  <c r="AG246" i="15"/>
  <c r="AF246" i="15"/>
  <c r="AE246" i="15"/>
  <c r="AD246" i="15"/>
  <c r="Y246" i="15"/>
  <c r="V246" i="15"/>
  <c r="T246" i="15"/>
  <c r="AM245" i="15"/>
  <c r="AL245" i="15"/>
  <c r="AK245" i="15"/>
  <c r="AJ245" i="15"/>
  <c r="AI245" i="15"/>
  <c r="AH245" i="15"/>
  <c r="AG245" i="15"/>
  <c r="AF245" i="15"/>
  <c r="AE245" i="15"/>
  <c r="AD245" i="15"/>
  <c r="Y245" i="15"/>
  <c r="V245" i="15"/>
  <c r="T245" i="15"/>
  <c r="AM244" i="15"/>
  <c r="AL244" i="15"/>
  <c r="AK244" i="15"/>
  <c r="AJ244" i="15"/>
  <c r="AI244" i="15"/>
  <c r="AH244" i="15"/>
  <c r="AG244" i="15"/>
  <c r="AF244" i="15"/>
  <c r="AE244" i="15"/>
  <c r="AN244" i="15" s="1"/>
  <c r="AD244" i="15"/>
  <c r="Y244" i="15"/>
  <c r="V244" i="15"/>
  <c r="T244" i="15"/>
  <c r="AM243" i="15"/>
  <c r="AL243" i="15"/>
  <c r="AK243" i="15"/>
  <c r="AJ243" i="15"/>
  <c r="AI243" i="15"/>
  <c r="AH243" i="15"/>
  <c r="AG243" i="15"/>
  <c r="AF243" i="15"/>
  <c r="AE243" i="15"/>
  <c r="AD243" i="15"/>
  <c r="Y243" i="15"/>
  <c r="V243" i="15"/>
  <c r="T243" i="15"/>
  <c r="AM242" i="15"/>
  <c r="AL242" i="15"/>
  <c r="AK242" i="15"/>
  <c r="AJ242" i="15"/>
  <c r="AI242" i="15"/>
  <c r="AH242" i="15"/>
  <c r="AG242" i="15"/>
  <c r="AF242" i="15"/>
  <c r="AE242" i="15"/>
  <c r="AD242" i="15"/>
  <c r="Y242" i="15"/>
  <c r="V242" i="15"/>
  <c r="T242" i="15"/>
  <c r="AM241" i="15"/>
  <c r="AL241" i="15"/>
  <c r="AK241" i="15"/>
  <c r="AJ241" i="15"/>
  <c r="AI241" i="15"/>
  <c r="AH241" i="15"/>
  <c r="AG241" i="15"/>
  <c r="AF241" i="15"/>
  <c r="AE241" i="15"/>
  <c r="AD241" i="15"/>
  <c r="Y241" i="15"/>
  <c r="V241" i="15"/>
  <c r="T241" i="15"/>
  <c r="AM240" i="15"/>
  <c r="AL240" i="15"/>
  <c r="AK240" i="15"/>
  <c r="AJ240" i="15"/>
  <c r="AI240" i="15"/>
  <c r="AH240" i="15"/>
  <c r="AG240" i="15"/>
  <c r="AF240" i="15"/>
  <c r="AE240" i="15"/>
  <c r="AD240" i="15"/>
  <c r="Y240" i="15"/>
  <c r="V240" i="15"/>
  <c r="T240" i="15"/>
  <c r="AM239" i="15"/>
  <c r="AL239" i="15"/>
  <c r="AK239" i="15"/>
  <c r="AJ239" i="15"/>
  <c r="AI239" i="15"/>
  <c r="AH239" i="15"/>
  <c r="AG239" i="15"/>
  <c r="AF239" i="15"/>
  <c r="AE239" i="15"/>
  <c r="AD239" i="15"/>
  <c r="Y239" i="15"/>
  <c r="V239" i="15"/>
  <c r="T239" i="15"/>
  <c r="AM238" i="15"/>
  <c r="AL238" i="15"/>
  <c r="AK238" i="15"/>
  <c r="AJ238" i="15"/>
  <c r="AI238" i="15"/>
  <c r="AH238" i="15"/>
  <c r="AG238" i="15"/>
  <c r="AF238" i="15"/>
  <c r="AE238" i="15"/>
  <c r="AD238" i="15"/>
  <c r="Y238" i="15"/>
  <c r="V238" i="15"/>
  <c r="T238" i="15"/>
  <c r="AM237" i="15"/>
  <c r="AL237" i="15"/>
  <c r="AK237" i="15"/>
  <c r="AJ237" i="15"/>
  <c r="AI237" i="15"/>
  <c r="AH237" i="15"/>
  <c r="AG237" i="15"/>
  <c r="AF237" i="15"/>
  <c r="AE237" i="15"/>
  <c r="AD237" i="15"/>
  <c r="Y237" i="15"/>
  <c r="V237" i="15"/>
  <c r="T237" i="15"/>
  <c r="AM236" i="15"/>
  <c r="AL236" i="15"/>
  <c r="AK236" i="15"/>
  <c r="AJ236" i="15"/>
  <c r="AI236" i="15"/>
  <c r="AH236" i="15"/>
  <c r="AG236" i="15"/>
  <c r="AF236" i="15"/>
  <c r="AE236" i="15"/>
  <c r="AD236" i="15"/>
  <c r="Y236" i="15"/>
  <c r="V236" i="15"/>
  <c r="T236" i="15"/>
  <c r="AM235" i="15"/>
  <c r="AL235" i="15"/>
  <c r="AK235" i="15"/>
  <c r="AJ235" i="15"/>
  <c r="AI235" i="15"/>
  <c r="AH235" i="15"/>
  <c r="AG235" i="15"/>
  <c r="AF235" i="15"/>
  <c r="AE235" i="15"/>
  <c r="AN235" i="15" s="1"/>
  <c r="AD235" i="15"/>
  <c r="Y235" i="15"/>
  <c r="V235" i="15"/>
  <c r="T235" i="15"/>
  <c r="AM234" i="15"/>
  <c r="AK234" i="15"/>
  <c r="AH234" i="15"/>
  <c r="AI234" i="15" s="1"/>
  <c r="AF234" i="15"/>
  <c r="AG234" i="15" s="1"/>
  <c r="Y234" i="15"/>
  <c r="V234" i="15"/>
  <c r="T234" i="15"/>
  <c r="AD234" i="15" s="1"/>
  <c r="AM233" i="15"/>
  <c r="AK233" i="15"/>
  <c r="AG233" i="15"/>
  <c r="AF233" i="15"/>
  <c r="Y233" i="15"/>
  <c r="V233" i="15"/>
  <c r="T233" i="15"/>
  <c r="AE233" i="15" s="1"/>
  <c r="AM232" i="15"/>
  <c r="AK232" i="15"/>
  <c r="AH232" i="15"/>
  <c r="AI232" i="15" s="1"/>
  <c r="AG232" i="15"/>
  <c r="AF232" i="15"/>
  <c r="Y232" i="15"/>
  <c r="V232" i="15"/>
  <c r="T232" i="15"/>
  <c r="AE232" i="15" s="1"/>
  <c r="AM231" i="15"/>
  <c r="AK231" i="15"/>
  <c r="AG231" i="15"/>
  <c r="AF231" i="15"/>
  <c r="Y231" i="15"/>
  <c r="V231" i="15"/>
  <c r="T231" i="15"/>
  <c r="AE231" i="15" s="1"/>
  <c r="AM230" i="15"/>
  <c r="AK230" i="15"/>
  <c r="AF230" i="15"/>
  <c r="AG230" i="15" s="1"/>
  <c r="Y230" i="15"/>
  <c r="V230" i="15"/>
  <c r="T230" i="15"/>
  <c r="AE230" i="15" s="1"/>
  <c r="AK229" i="15"/>
  <c r="AF229" i="15"/>
  <c r="AG229" i="15" s="1"/>
  <c r="Y229" i="15"/>
  <c r="V229" i="15"/>
  <c r="T229" i="15"/>
  <c r="AK228" i="15"/>
  <c r="AF228" i="15"/>
  <c r="AG228" i="15" s="1"/>
  <c r="Y228" i="15"/>
  <c r="V228" i="15"/>
  <c r="T228" i="15"/>
  <c r="AH228" i="15" s="1"/>
  <c r="AI228" i="15" s="1"/>
  <c r="AK227" i="15"/>
  <c r="AF227" i="15"/>
  <c r="AG227" i="15" s="1"/>
  <c r="Y227" i="15"/>
  <c r="V227" i="15"/>
  <c r="T227" i="15"/>
  <c r="AD227" i="15" s="1"/>
  <c r="AK226" i="15"/>
  <c r="AH226" i="15"/>
  <c r="AI226" i="15" s="1"/>
  <c r="AF226" i="15"/>
  <c r="AG226" i="15" s="1"/>
  <c r="Y226" i="15"/>
  <c r="V226" i="15"/>
  <c r="T226" i="15"/>
  <c r="AE226" i="15" s="1"/>
  <c r="AM225" i="15"/>
  <c r="AK225" i="15"/>
  <c r="AF225" i="15"/>
  <c r="AG225" i="15" s="1"/>
  <c r="Y225" i="15"/>
  <c r="V225" i="15"/>
  <c r="T225" i="15"/>
  <c r="AK224" i="15"/>
  <c r="AF224" i="15"/>
  <c r="AG224" i="15" s="1"/>
  <c r="Y224" i="15"/>
  <c r="V224" i="15"/>
  <c r="T224" i="15"/>
  <c r="AH224" i="15" s="1"/>
  <c r="AI224" i="15" s="1"/>
  <c r="AK223" i="15"/>
  <c r="AF223" i="15"/>
  <c r="AG223" i="15" s="1"/>
  <c r="Y223" i="15"/>
  <c r="V223" i="15"/>
  <c r="T223" i="15"/>
  <c r="AD223" i="15" s="1"/>
  <c r="AM222" i="15"/>
  <c r="AK222" i="15"/>
  <c r="AF222" i="15"/>
  <c r="AG222" i="15" s="1"/>
  <c r="Y222" i="15"/>
  <c r="V222" i="15"/>
  <c r="T222" i="15"/>
  <c r="AE222" i="15" s="1"/>
  <c r="AM221" i="15"/>
  <c r="AK221" i="15"/>
  <c r="AF221" i="15"/>
  <c r="AG221" i="15" s="1"/>
  <c r="Y221" i="15"/>
  <c r="V221" i="15"/>
  <c r="T221" i="15"/>
  <c r="AK220" i="15"/>
  <c r="AF220" i="15"/>
  <c r="AG220" i="15" s="1"/>
  <c r="AE220" i="15"/>
  <c r="Y220" i="15"/>
  <c r="V220" i="15"/>
  <c r="T220" i="15"/>
  <c r="AH220" i="15" s="1"/>
  <c r="AI220" i="15" s="1"/>
  <c r="AK219" i="15"/>
  <c r="AF219" i="15"/>
  <c r="AG219" i="15" s="1"/>
  <c r="Y219" i="15"/>
  <c r="V219" i="15"/>
  <c r="T219" i="15"/>
  <c r="AD219" i="15" s="1"/>
  <c r="AM218" i="15"/>
  <c r="AK218" i="15"/>
  <c r="AF218" i="15"/>
  <c r="AG218" i="15" s="1"/>
  <c r="Y218" i="15"/>
  <c r="V218" i="15"/>
  <c r="T218" i="15"/>
  <c r="AK217" i="15"/>
  <c r="AF217" i="15"/>
  <c r="AG217" i="15" s="1"/>
  <c r="Y217" i="15"/>
  <c r="V217" i="15"/>
  <c r="T217" i="15"/>
  <c r="AK216" i="15"/>
  <c r="AF216" i="15"/>
  <c r="AG216" i="15" s="1"/>
  <c r="AE216" i="15"/>
  <c r="AD216" i="15"/>
  <c r="Y216" i="15"/>
  <c r="V216" i="15"/>
  <c r="T216" i="15"/>
  <c r="AH216" i="15" s="1"/>
  <c r="AI216" i="15" s="1"/>
  <c r="AK215" i="15"/>
  <c r="AF215" i="15"/>
  <c r="AG215" i="15" s="1"/>
  <c r="Y215" i="15"/>
  <c r="V215" i="15"/>
  <c r="T215" i="15"/>
  <c r="AD215" i="15" s="1"/>
  <c r="AK214" i="15"/>
  <c r="AF214" i="15"/>
  <c r="AG214" i="15" s="1"/>
  <c r="Y214" i="15"/>
  <c r="V214" i="15"/>
  <c r="T214" i="15"/>
  <c r="AM214" i="15" s="1"/>
  <c r="AM213" i="15"/>
  <c r="AK213" i="15"/>
  <c r="AF213" i="15"/>
  <c r="AG213" i="15" s="1"/>
  <c r="Y213" i="15"/>
  <c r="V213" i="15"/>
  <c r="T213" i="15"/>
  <c r="AK212" i="15"/>
  <c r="AF212" i="15"/>
  <c r="AG212" i="15" s="1"/>
  <c r="Y212" i="15"/>
  <c r="V212" i="15"/>
  <c r="T212" i="15"/>
  <c r="AH212" i="15" s="1"/>
  <c r="AI212" i="15" s="1"/>
  <c r="AK211" i="15"/>
  <c r="AF211" i="15"/>
  <c r="AG211" i="15" s="1"/>
  <c r="AE211" i="15"/>
  <c r="Y211" i="15"/>
  <c r="V211" i="15"/>
  <c r="T211" i="15"/>
  <c r="AD211" i="15" s="1"/>
  <c r="AM210" i="15"/>
  <c r="AK210" i="15"/>
  <c r="AF210" i="15"/>
  <c r="AG210" i="15" s="1"/>
  <c r="Y210" i="15"/>
  <c r="V210" i="15"/>
  <c r="T210" i="15"/>
  <c r="AH210" i="15" s="1"/>
  <c r="AI210" i="15" s="1"/>
  <c r="AM209" i="15"/>
  <c r="AK209" i="15"/>
  <c r="AF209" i="15"/>
  <c r="AG209" i="15" s="1"/>
  <c r="Y209" i="15"/>
  <c r="V209" i="15"/>
  <c r="T209" i="15"/>
  <c r="AK208" i="15"/>
  <c r="AF208" i="15"/>
  <c r="AG208" i="15" s="1"/>
  <c r="Y208" i="15"/>
  <c r="V208" i="15"/>
  <c r="T208" i="15"/>
  <c r="AH208" i="15" s="1"/>
  <c r="AI208" i="15" s="1"/>
  <c r="AK207" i="15"/>
  <c r="AF207" i="15"/>
  <c r="AG207" i="15" s="1"/>
  <c r="AE207" i="15"/>
  <c r="Y207" i="15"/>
  <c r="V207" i="15"/>
  <c r="T207" i="15"/>
  <c r="AD207" i="15" s="1"/>
  <c r="AK206" i="15"/>
  <c r="AF206" i="15"/>
  <c r="AG206" i="15" s="1"/>
  <c r="Y206" i="15"/>
  <c r="V206" i="15"/>
  <c r="T206" i="15"/>
  <c r="AH206" i="15" s="1"/>
  <c r="AI206" i="15" s="1"/>
  <c r="AM205" i="15"/>
  <c r="AK205" i="15"/>
  <c r="AF205" i="15"/>
  <c r="AG205" i="15" s="1"/>
  <c r="Y205" i="15"/>
  <c r="V205" i="15"/>
  <c r="T205" i="15"/>
  <c r="AM204" i="15"/>
  <c r="AK204" i="15"/>
  <c r="AF204" i="15"/>
  <c r="AG204" i="15" s="1"/>
  <c r="Y204" i="15"/>
  <c r="V204" i="15"/>
  <c r="T204" i="15"/>
  <c r="AH204" i="15" s="1"/>
  <c r="AI204" i="15" s="1"/>
  <c r="AM203" i="15"/>
  <c r="AK203" i="15"/>
  <c r="AF203" i="15"/>
  <c r="AG203" i="15" s="1"/>
  <c r="Y203" i="15"/>
  <c r="V203" i="15"/>
  <c r="T203" i="15"/>
  <c r="AD203" i="15" s="1"/>
  <c r="AM202" i="15"/>
  <c r="AK202" i="15"/>
  <c r="AF202" i="15"/>
  <c r="AG202" i="15" s="1"/>
  <c r="Y202" i="15"/>
  <c r="V202" i="15"/>
  <c r="T202" i="15"/>
  <c r="AM201" i="15"/>
  <c r="AK201" i="15"/>
  <c r="AF201" i="15"/>
  <c r="AG201" i="15" s="1"/>
  <c r="Y201" i="15"/>
  <c r="V201" i="15"/>
  <c r="T201" i="15"/>
  <c r="AK200" i="15"/>
  <c r="AF200" i="15"/>
  <c r="AG200" i="15" s="1"/>
  <c r="Y200" i="15"/>
  <c r="V200" i="15"/>
  <c r="T200" i="15"/>
  <c r="AK199" i="15"/>
  <c r="AF199" i="15"/>
  <c r="AG199" i="15" s="1"/>
  <c r="Y199" i="15"/>
  <c r="V199" i="15"/>
  <c r="T199" i="15"/>
  <c r="AK198" i="15"/>
  <c r="AF198" i="15"/>
  <c r="AG198" i="15" s="1"/>
  <c r="Y198" i="15"/>
  <c r="V198" i="15"/>
  <c r="T198" i="15"/>
  <c r="AM197" i="15"/>
  <c r="AK197" i="15"/>
  <c r="AF197" i="15"/>
  <c r="AG197" i="15" s="1"/>
  <c r="Y197" i="15"/>
  <c r="V197" i="15"/>
  <c r="T197" i="15"/>
  <c r="AK196" i="15"/>
  <c r="AF196" i="15"/>
  <c r="AG196" i="15" s="1"/>
  <c r="Y196" i="15"/>
  <c r="V196" i="15"/>
  <c r="T196" i="15"/>
  <c r="AM195" i="15"/>
  <c r="AK195" i="15"/>
  <c r="AF195" i="15"/>
  <c r="AG195" i="15" s="1"/>
  <c r="Y195" i="15"/>
  <c r="V195" i="15"/>
  <c r="T195" i="15"/>
  <c r="AM194" i="15"/>
  <c r="AK194" i="15"/>
  <c r="AF194" i="15"/>
  <c r="AG194" i="15" s="1"/>
  <c r="Y194" i="15"/>
  <c r="V194" i="15"/>
  <c r="T194" i="15"/>
  <c r="AD194" i="15" s="1"/>
  <c r="AM193" i="15"/>
  <c r="AK193" i="15"/>
  <c r="AF193" i="15"/>
  <c r="AG193" i="15" s="1"/>
  <c r="Y193" i="15"/>
  <c r="V193" i="15"/>
  <c r="T193" i="15"/>
  <c r="AD193" i="15" s="1"/>
  <c r="AK192" i="15"/>
  <c r="AH192" i="15"/>
  <c r="AI192" i="15" s="1"/>
  <c r="AL192" i="15" s="1"/>
  <c r="AF192" i="15"/>
  <c r="AG192" i="15" s="1"/>
  <c r="Y192" i="15"/>
  <c r="V192" i="15"/>
  <c r="T192" i="15"/>
  <c r="AM192" i="15" s="1"/>
  <c r="AK191" i="15"/>
  <c r="AF191" i="15"/>
  <c r="AG191" i="15" s="1"/>
  <c r="Y191" i="15"/>
  <c r="V191" i="15"/>
  <c r="T191" i="15"/>
  <c r="AH191" i="15" s="1"/>
  <c r="AI191" i="15" s="1"/>
  <c r="AK190" i="15"/>
  <c r="AF190" i="15"/>
  <c r="AG190" i="15" s="1"/>
  <c r="Y190" i="15"/>
  <c r="V190" i="15"/>
  <c r="T190" i="15"/>
  <c r="AD190" i="15" s="1"/>
  <c r="AK189" i="15"/>
  <c r="AF189" i="15"/>
  <c r="AG189" i="15" s="1"/>
  <c r="Y189" i="15"/>
  <c r="V189" i="15"/>
  <c r="T189" i="15"/>
  <c r="AM189" i="15" s="1"/>
  <c r="AK188" i="15"/>
  <c r="AF188" i="15"/>
  <c r="AG188" i="15" s="1"/>
  <c r="AD188" i="15"/>
  <c r="Y188" i="15"/>
  <c r="V188" i="15"/>
  <c r="T188" i="15"/>
  <c r="AM188" i="15" s="1"/>
  <c r="AK187" i="15"/>
  <c r="AF187" i="15"/>
  <c r="AG187" i="15" s="1"/>
  <c r="Y187" i="15"/>
  <c r="V187" i="15"/>
  <c r="T187" i="15"/>
  <c r="AE187" i="15" s="1"/>
  <c r="AK186" i="15"/>
  <c r="AF186" i="15"/>
  <c r="AG186" i="15" s="1"/>
  <c r="Y186" i="15"/>
  <c r="V186" i="15"/>
  <c r="T186" i="15"/>
  <c r="AH186" i="15" s="1"/>
  <c r="AI186" i="15" s="1"/>
  <c r="AK185" i="15"/>
  <c r="AF185" i="15"/>
  <c r="AG185" i="15" s="1"/>
  <c r="Y185" i="15"/>
  <c r="V185" i="15"/>
  <c r="T185" i="15"/>
  <c r="AD185" i="15" s="1"/>
  <c r="AM184" i="15"/>
  <c r="AK184" i="15"/>
  <c r="AF184" i="15"/>
  <c r="AG184" i="15" s="1"/>
  <c r="Y184" i="15"/>
  <c r="V184" i="15"/>
  <c r="T184" i="15"/>
  <c r="AH184" i="15" s="1"/>
  <c r="AI184" i="15" s="1"/>
  <c r="AK183" i="15"/>
  <c r="AF183" i="15"/>
  <c r="AG183" i="15" s="1"/>
  <c r="Y183" i="15"/>
  <c r="V183" i="15"/>
  <c r="T183" i="15"/>
  <c r="AE183" i="15" s="1"/>
  <c r="AK182" i="15"/>
  <c r="AF182" i="15"/>
  <c r="AG182" i="15" s="1"/>
  <c r="Y182" i="15"/>
  <c r="V182" i="15"/>
  <c r="T182" i="15"/>
  <c r="AH182" i="15" s="1"/>
  <c r="AI182" i="15" s="1"/>
  <c r="AM181" i="15"/>
  <c r="AK181" i="15"/>
  <c r="AF181" i="15"/>
  <c r="AG181" i="15" s="1"/>
  <c r="Y181" i="15"/>
  <c r="V181" i="15"/>
  <c r="T181" i="15"/>
  <c r="AH181" i="15" s="1"/>
  <c r="AI181" i="15" s="1"/>
  <c r="AK180" i="15"/>
  <c r="AF180" i="15"/>
  <c r="AG180" i="15" s="1"/>
  <c r="Y180" i="15"/>
  <c r="V180" i="15"/>
  <c r="T180" i="15"/>
  <c r="AM180" i="15" s="1"/>
  <c r="AK179" i="15"/>
  <c r="AF179" i="15"/>
  <c r="AG179" i="15" s="1"/>
  <c r="Y179" i="15"/>
  <c r="V179" i="15"/>
  <c r="T179" i="15"/>
  <c r="AE179" i="15" s="1"/>
  <c r="AM178" i="15"/>
  <c r="AK178" i="15"/>
  <c r="AF178" i="15"/>
  <c r="AG178" i="15" s="1"/>
  <c r="Y178" i="15"/>
  <c r="V178" i="15"/>
  <c r="T178" i="15"/>
  <c r="AH178" i="15" s="1"/>
  <c r="AI178" i="15" s="1"/>
  <c r="AM177" i="15"/>
  <c r="AK177" i="15"/>
  <c r="AF177" i="15"/>
  <c r="AG177" i="15" s="1"/>
  <c r="Y177" i="15"/>
  <c r="V177" i="15"/>
  <c r="T177" i="15"/>
  <c r="AH177" i="15" s="1"/>
  <c r="AI177" i="15" s="1"/>
  <c r="AK176" i="15"/>
  <c r="AF176" i="15"/>
  <c r="AG176" i="15" s="1"/>
  <c r="Y176" i="15"/>
  <c r="V176" i="15"/>
  <c r="T176" i="15"/>
  <c r="AM176" i="15" s="1"/>
  <c r="AM175" i="15"/>
  <c r="AK175" i="15"/>
  <c r="AF175" i="15"/>
  <c r="AG175" i="15" s="1"/>
  <c r="Y175" i="15"/>
  <c r="V175" i="15"/>
  <c r="T175" i="15"/>
  <c r="AE175" i="15" s="1"/>
  <c r="AM174" i="15"/>
  <c r="AK174" i="15"/>
  <c r="AF174" i="15"/>
  <c r="AG174" i="15" s="1"/>
  <c r="Y174" i="15"/>
  <c r="V174" i="15"/>
  <c r="T174" i="15"/>
  <c r="AH174" i="15" s="1"/>
  <c r="AI174" i="15" s="1"/>
  <c r="AM173" i="15"/>
  <c r="AK173" i="15"/>
  <c r="AF173" i="15"/>
  <c r="AG173" i="15" s="1"/>
  <c r="Y173" i="15"/>
  <c r="V173" i="15"/>
  <c r="T173" i="15"/>
  <c r="AH173" i="15" s="1"/>
  <c r="AI173" i="15" s="1"/>
  <c r="AK172" i="15"/>
  <c r="AF172" i="15"/>
  <c r="AG172" i="15" s="1"/>
  <c r="Y172" i="15"/>
  <c r="V172" i="15"/>
  <c r="T172" i="15"/>
  <c r="AD172" i="15" s="1"/>
  <c r="AK171" i="15"/>
  <c r="AF171" i="15"/>
  <c r="AG171" i="15" s="1"/>
  <c r="Y171" i="15"/>
  <c r="V171" i="15"/>
  <c r="T171" i="15"/>
  <c r="AE171" i="15" s="1"/>
  <c r="AK170" i="15"/>
  <c r="AF170" i="15"/>
  <c r="AG170" i="15" s="1"/>
  <c r="Y170" i="15"/>
  <c r="V170" i="15"/>
  <c r="T170" i="15"/>
  <c r="AH170" i="15" s="1"/>
  <c r="AI170" i="15" s="1"/>
  <c r="AM169" i="15"/>
  <c r="AK169" i="15"/>
  <c r="AF169" i="15"/>
  <c r="AG169" i="15" s="1"/>
  <c r="Y169" i="15"/>
  <c r="V169" i="15"/>
  <c r="T169" i="15"/>
  <c r="AH169" i="15" s="1"/>
  <c r="AI169" i="15" s="1"/>
  <c r="AK168" i="15"/>
  <c r="AF168" i="15"/>
  <c r="AG168" i="15" s="1"/>
  <c r="Y168" i="15"/>
  <c r="V168" i="15"/>
  <c r="T168" i="15"/>
  <c r="AM168" i="15" s="1"/>
  <c r="AK167" i="15"/>
  <c r="AF167" i="15"/>
  <c r="AG167" i="15" s="1"/>
  <c r="Y167" i="15"/>
  <c r="V167" i="15"/>
  <c r="T167" i="15"/>
  <c r="AE167" i="15" s="1"/>
  <c r="AK166" i="15"/>
  <c r="AF166" i="15"/>
  <c r="AG166" i="15" s="1"/>
  <c r="Y166" i="15"/>
  <c r="V166" i="15"/>
  <c r="T166" i="15"/>
  <c r="AH166" i="15" s="1"/>
  <c r="AI166" i="15" s="1"/>
  <c r="AK165" i="15"/>
  <c r="AF165" i="15"/>
  <c r="AG165" i="15" s="1"/>
  <c r="Y165" i="15"/>
  <c r="V165" i="15"/>
  <c r="T165" i="15"/>
  <c r="AH165" i="15" s="1"/>
  <c r="AI165" i="15" s="1"/>
  <c r="AK164" i="15"/>
  <c r="AF164" i="15"/>
  <c r="AG164" i="15" s="1"/>
  <c r="Y164" i="15"/>
  <c r="V164" i="15"/>
  <c r="T164" i="15"/>
  <c r="AD164" i="15" s="1"/>
  <c r="AK163" i="15"/>
  <c r="AF163" i="15"/>
  <c r="AG163" i="15" s="1"/>
  <c r="Y163" i="15"/>
  <c r="V163" i="15"/>
  <c r="T163" i="15"/>
  <c r="AE163" i="15" s="1"/>
  <c r="AK162" i="15"/>
  <c r="AF162" i="15"/>
  <c r="AG162" i="15" s="1"/>
  <c r="Y162" i="15"/>
  <c r="V162" i="15"/>
  <c r="T162" i="15"/>
  <c r="AH162" i="15" s="1"/>
  <c r="AI162" i="15" s="1"/>
  <c r="AM161" i="15"/>
  <c r="AK161" i="15"/>
  <c r="AH161" i="15"/>
  <c r="AI161" i="15" s="1"/>
  <c r="AF161" i="15"/>
  <c r="AG161" i="15" s="1"/>
  <c r="Y161" i="15"/>
  <c r="V161" i="15"/>
  <c r="T161" i="15"/>
  <c r="AE161" i="15" s="1"/>
  <c r="AK160" i="15"/>
  <c r="AF160" i="15"/>
  <c r="AG160" i="15" s="1"/>
  <c r="Y160" i="15"/>
  <c r="V160" i="15"/>
  <c r="T160" i="15"/>
  <c r="AH160" i="15" s="1"/>
  <c r="AI160" i="15" s="1"/>
  <c r="AK159" i="15"/>
  <c r="AF159" i="15"/>
  <c r="AG159" i="15" s="1"/>
  <c r="Y159" i="15"/>
  <c r="V159" i="15"/>
  <c r="T159" i="15"/>
  <c r="AE159" i="15" s="1"/>
  <c r="AK158" i="15"/>
  <c r="AF158" i="15"/>
  <c r="AG158" i="15" s="1"/>
  <c r="Y158" i="15"/>
  <c r="V158" i="15"/>
  <c r="T158" i="15"/>
  <c r="AE158" i="15" s="1"/>
  <c r="AK157" i="15"/>
  <c r="AF157" i="15"/>
  <c r="AG157" i="15" s="1"/>
  <c r="Y157" i="15"/>
  <c r="V157" i="15"/>
  <c r="T157" i="15"/>
  <c r="AH157" i="15" s="1"/>
  <c r="AI157" i="15" s="1"/>
  <c r="AK156" i="15"/>
  <c r="AF156" i="15"/>
  <c r="AG156" i="15" s="1"/>
  <c r="Y156" i="15"/>
  <c r="V156" i="15"/>
  <c r="T156" i="15"/>
  <c r="AH156" i="15" s="1"/>
  <c r="AI156" i="15" s="1"/>
  <c r="AK155" i="15"/>
  <c r="AF155" i="15"/>
  <c r="AG155" i="15" s="1"/>
  <c r="Y155" i="15"/>
  <c r="V155" i="15"/>
  <c r="T155" i="15"/>
  <c r="AH155" i="15" s="1"/>
  <c r="AI155" i="15" s="1"/>
  <c r="AM154" i="15"/>
  <c r="AK154" i="15"/>
  <c r="AF154" i="15"/>
  <c r="AG154" i="15" s="1"/>
  <c r="AE154" i="15"/>
  <c r="Y154" i="15"/>
  <c r="V154" i="15"/>
  <c r="T154" i="15"/>
  <c r="AK153" i="15"/>
  <c r="AF153" i="15"/>
  <c r="AG153" i="15" s="1"/>
  <c r="Y153" i="15"/>
  <c r="V153" i="15"/>
  <c r="T153" i="15"/>
  <c r="AH153" i="15" s="1"/>
  <c r="AI153" i="15" s="1"/>
  <c r="AK152" i="15"/>
  <c r="AF152" i="15"/>
  <c r="AG152" i="15" s="1"/>
  <c r="Y152" i="15"/>
  <c r="V152" i="15"/>
  <c r="T152" i="15"/>
  <c r="AH152" i="15" s="1"/>
  <c r="AI152" i="15" s="1"/>
  <c r="AK151" i="15"/>
  <c r="AF151" i="15"/>
  <c r="AG151" i="15" s="1"/>
  <c r="Y151" i="15"/>
  <c r="V151" i="15"/>
  <c r="T151" i="15"/>
  <c r="AH151" i="15" s="1"/>
  <c r="AI151" i="15" s="1"/>
  <c r="AK150" i="15"/>
  <c r="AF150" i="15"/>
  <c r="AG150" i="15" s="1"/>
  <c r="Y150" i="15"/>
  <c r="V150" i="15"/>
  <c r="T150" i="15"/>
  <c r="AM150" i="15" s="1"/>
  <c r="AK149" i="15"/>
  <c r="AF149" i="15"/>
  <c r="AG149" i="15" s="1"/>
  <c r="Y149" i="15"/>
  <c r="V149" i="15"/>
  <c r="T149" i="15"/>
  <c r="AH149" i="15" s="1"/>
  <c r="AI149" i="15" s="1"/>
  <c r="AK148" i="15"/>
  <c r="AF148" i="15"/>
  <c r="AG148" i="15" s="1"/>
  <c r="Y148" i="15"/>
  <c r="V148" i="15"/>
  <c r="T148" i="15"/>
  <c r="AM148" i="15" s="1"/>
  <c r="AK147" i="15"/>
  <c r="AF147" i="15"/>
  <c r="AG147" i="15" s="1"/>
  <c r="Y147" i="15"/>
  <c r="V147" i="15"/>
  <c r="T147" i="15"/>
  <c r="AH147" i="15" s="1"/>
  <c r="AI147" i="15" s="1"/>
  <c r="AK146" i="15"/>
  <c r="AF146" i="15"/>
  <c r="AG146" i="15" s="1"/>
  <c r="Y146" i="15"/>
  <c r="V146" i="15"/>
  <c r="T146" i="15"/>
  <c r="AE146" i="15" s="1"/>
  <c r="AM145" i="15"/>
  <c r="AK145" i="15"/>
  <c r="AF145" i="15"/>
  <c r="AG145" i="15" s="1"/>
  <c r="Y145" i="15"/>
  <c r="V145" i="15"/>
  <c r="T145" i="15"/>
  <c r="AD145" i="15" s="1"/>
  <c r="AK144" i="15"/>
  <c r="AF144" i="15"/>
  <c r="AG144" i="15" s="1"/>
  <c r="Y144" i="15"/>
  <c r="V144" i="15"/>
  <c r="T144" i="15"/>
  <c r="AM144" i="15" s="1"/>
  <c r="AK143" i="15"/>
  <c r="AF143" i="15"/>
  <c r="AG143" i="15" s="1"/>
  <c r="Y143" i="15"/>
  <c r="V143" i="15"/>
  <c r="T143" i="15"/>
  <c r="AH143" i="15" s="1"/>
  <c r="AI143" i="15" s="1"/>
  <c r="AK142" i="15"/>
  <c r="AF142" i="15"/>
  <c r="AG142" i="15" s="1"/>
  <c r="Y142" i="15"/>
  <c r="V142" i="15"/>
  <c r="T142" i="15"/>
  <c r="AM142" i="15" s="1"/>
  <c r="AM141" i="15"/>
  <c r="AK141" i="15"/>
  <c r="AF141" i="15"/>
  <c r="AG141" i="15" s="1"/>
  <c r="Y141" i="15"/>
  <c r="V141" i="15"/>
  <c r="T141" i="15"/>
  <c r="AH141" i="15" s="1"/>
  <c r="AI141" i="15" s="1"/>
  <c r="AK140" i="15"/>
  <c r="AF140" i="15"/>
  <c r="AG140" i="15" s="1"/>
  <c r="Y140" i="15"/>
  <c r="V140" i="15"/>
  <c r="T140" i="15"/>
  <c r="AM140" i="15" s="1"/>
  <c r="AK139" i="15"/>
  <c r="AF139" i="15"/>
  <c r="AG139" i="15" s="1"/>
  <c r="Y139" i="15"/>
  <c r="V139" i="15"/>
  <c r="T139" i="15"/>
  <c r="AH139" i="15" s="1"/>
  <c r="AI139" i="15" s="1"/>
  <c r="AM138" i="15"/>
  <c r="AK138" i="15"/>
  <c r="AF138" i="15"/>
  <c r="AG138" i="15" s="1"/>
  <c r="Y138" i="15"/>
  <c r="V138" i="15"/>
  <c r="T138" i="15"/>
  <c r="AH138" i="15" s="1"/>
  <c r="AI138" i="15" s="1"/>
  <c r="AM137" i="15"/>
  <c r="AK137" i="15"/>
  <c r="AF137" i="15"/>
  <c r="AG137" i="15" s="1"/>
  <c r="AD137" i="15"/>
  <c r="Y137" i="15"/>
  <c r="V137" i="15"/>
  <c r="T137" i="15"/>
  <c r="AE137" i="15" s="1"/>
  <c r="AK136" i="15"/>
  <c r="AF136" i="15"/>
  <c r="AG136" i="15" s="1"/>
  <c r="Y136" i="15"/>
  <c r="V136" i="15"/>
  <c r="T136" i="15"/>
  <c r="AM136" i="15" s="1"/>
  <c r="AK135" i="15"/>
  <c r="AF135" i="15"/>
  <c r="AG135" i="15" s="1"/>
  <c r="Y135" i="15"/>
  <c r="V135" i="15"/>
  <c r="T135" i="15"/>
  <c r="AH135" i="15" s="1"/>
  <c r="AI135" i="15" s="1"/>
  <c r="AK134" i="15"/>
  <c r="AF134" i="15"/>
  <c r="AG134" i="15" s="1"/>
  <c r="Y134" i="15"/>
  <c r="V134" i="15"/>
  <c r="T134" i="15"/>
  <c r="AH134" i="15" s="1"/>
  <c r="AI134" i="15" s="1"/>
  <c r="AK133" i="15"/>
  <c r="AF133" i="15"/>
  <c r="AG133" i="15" s="1"/>
  <c r="AD133" i="15"/>
  <c r="Y133" i="15"/>
  <c r="V133" i="15"/>
  <c r="T133" i="15"/>
  <c r="AE133" i="15" s="1"/>
  <c r="AK132" i="15"/>
  <c r="AF132" i="15"/>
  <c r="AG132" i="15" s="1"/>
  <c r="Y132" i="15"/>
  <c r="V132" i="15"/>
  <c r="T132" i="15"/>
  <c r="AM132" i="15" s="1"/>
  <c r="AM131" i="15"/>
  <c r="AK131" i="15"/>
  <c r="AF131" i="15"/>
  <c r="AG131" i="15" s="1"/>
  <c r="Y131" i="15"/>
  <c r="V131" i="15"/>
  <c r="T131" i="15"/>
  <c r="AE131" i="15" s="1"/>
  <c r="AK130" i="15"/>
  <c r="AF130" i="15"/>
  <c r="AG130" i="15" s="1"/>
  <c r="Y130" i="15"/>
  <c r="V130" i="15"/>
  <c r="T130" i="15"/>
  <c r="AH130" i="15" s="1"/>
  <c r="AI130" i="15" s="1"/>
  <c r="AM129" i="15"/>
  <c r="AK129" i="15"/>
  <c r="AF129" i="15"/>
  <c r="AG129" i="15" s="1"/>
  <c r="Y129" i="15"/>
  <c r="V129" i="15"/>
  <c r="T129" i="15"/>
  <c r="AH129" i="15" s="1"/>
  <c r="AI129" i="15" s="1"/>
  <c r="AK128" i="15"/>
  <c r="AF128" i="15"/>
  <c r="AG128" i="15" s="1"/>
  <c r="Y128" i="15"/>
  <c r="V128" i="15"/>
  <c r="T128" i="15"/>
  <c r="AE128" i="15" s="1"/>
  <c r="AK127" i="15"/>
  <c r="AF127" i="15"/>
  <c r="AG127" i="15" s="1"/>
  <c r="Y127" i="15"/>
  <c r="V127" i="15"/>
  <c r="T127" i="15"/>
  <c r="AE127" i="15" s="1"/>
  <c r="AK126" i="15"/>
  <c r="AF126" i="15"/>
  <c r="AG126" i="15" s="1"/>
  <c r="Y126" i="15"/>
  <c r="V126" i="15"/>
  <c r="T126" i="15"/>
  <c r="AD126" i="15" s="1"/>
  <c r="AK125" i="15"/>
  <c r="AF125" i="15"/>
  <c r="AG125" i="15" s="1"/>
  <c r="Y125" i="15"/>
  <c r="V125" i="15"/>
  <c r="T125" i="15"/>
  <c r="AD125" i="15" s="1"/>
  <c r="AK124" i="15"/>
  <c r="AF124" i="15"/>
  <c r="AG124" i="15" s="1"/>
  <c r="Y124" i="15"/>
  <c r="V124" i="15"/>
  <c r="T124" i="15"/>
  <c r="AM124" i="15" s="1"/>
  <c r="AK123" i="15"/>
  <c r="AF123" i="15"/>
  <c r="AG123" i="15" s="1"/>
  <c r="Y123" i="15"/>
  <c r="V123" i="15"/>
  <c r="T123" i="15"/>
  <c r="AD123" i="15" s="1"/>
  <c r="AK122" i="15"/>
  <c r="AF122" i="15"/>
  <c r="AG122" i="15" s="1"/>
  <c r="Y122" i="15"/>
  <c r="V122" i="15"/>
  <c r="T122" i="15"/>
  <c r="AE122" i="15" s="1"/>
  <c r="AM121" i="15"/>
  <c r="AL121" i="15"/>
  <c r="AK121" i="15"/>
  <c r="AJ121" i="15"/>
  <c r="AI121" i="15"/>
  <c r="AH121" i="15"/>
  <c r="AG121" i="15"/>
  <c r="AF121" i="15"/>
  <c r="AE121" i="15"/>
  <c r="AN121" i="15" s="1"/>
  <c r="AD121" i="15"/>
  <c r="Y121" i="15"/>
  <c r="V121" i="15"/>
  <c r="T121" i="15"/>
  <c r="AM120" i="15"/>
  <c r="AL120" i="15"/>
  <c r="AK120" i="15"/>
  <c r="AJ120" i="15"/>
  <c r="AI120" i="15"/>
  <c r="AH120" i="15"/>
  <c r="AG120" i="15"/>
  <c r="AF120" i="15"/>
  <c r="AE120" i="15"/>
  <c r="AD120" i="15"/>
  <c r="Y120" i="15"/>
  <c r="V120" i="15"/>
  <c r="T120" i="15"/>
  <c r="AM119" i="15"/>
  <c r="AL119" i="15"/>
  <c r="AK119" i="15"/>
  <c r="AJ119" i="15"/>
  <c r="AI119" i="15"/>
  <c r="AH119" i="15"/>
  <c r="AG119" i="15"/>
  <c r="AF119" i="15"/>
  <c r="AE119" i="15"/>
  <c r="AD119" i="15"/>
  <c r="Y119" i="15"/>
  <c r="V119" i="15"/>
  <c r="T119" i="15"/>
  <c r="AM118" i="15"/>
  <c r="AL118" i="15"/>
  <c r="AK118" i="15"/>
  <c r="AJ118" i="15"/>
  <c r="AI118" i="15"/>
  <c r="AH118" i="15"/>
  <c r="AG118" i="15"/>
  <c r="AF118" i="15"/>
  <c r="AE118" i="15"/>
  <c r="AN118" i="15" s="1"/>
  <c r="AD118" i="15"/>
  <c r="Y118" i="15"/>
  <c r="V118" i="15"/>
  <c r="T118" i="15"/>
  <c r="AM117" i="15"/>
  <c r="AL117" i="15"/>
  <c r="AK117" i="15"/>
  <c r="AJ117" i="15"/>
  <c r="AI117" i="15"/>
  <c r="AH117" i="15"/>
  <c r="AG117" i="15"/>
  <c r="AF117" i="15"/>
  <c r="AE117" i="15"/>
  <c r="AD117" i="15"/>
  <c r="Y117" i="15"/>
  <c r="V117" i="15"/>
  <c r="T117" i="15"/>
  <c r="AM116" i="15"/>
  <c r="AL116" i="15"/>
  <c r="AK116" i="15"/>
  <c r="AJ116" i="15"/>
  <c r="AI116" i="15"/>
  <c r="AH116" i="15"/>
  <c r="AG116" i="15"/>
  <c r="AF116" i="15"/>
  <c r="AE116" i="15"/>
  <c r="AD116" i="15"/>
  <c r="AN116" i="15" s="1"/>
  <c r="Y116" i="15"/>
  <c r="V116" i="15"/>
  <c r="T116" i="15"/>
  <c r="AM115" i="15"/>
  <c r="AL115" i="15"/>
  <c r="AK115" i="15"/>
  <c r="AJ115" i="15"/>
  <c r="AI115" i="15"/>
  <c r="AH115" i="15"/>
  <c r="AG115" i="15"/>
  <c r="AF115" i="15"/>
  <c r="AE115" i="15"/>
  <c r="AN115" i="15" s="1"/>
  <c r="AD115" i="15"/>
  <c r="Y115" i="15"/>
  <c r="V115" i="15"/>
  <c r="T115" i="15"/>
  <c r="AM114" i="15"/>
  <c r="AL114" i="15"/>
  <c r="AK114" i="15"/>
  <c r="AJ114" i="15"/>
  <c r="AI114" i="15"/>
  <c r="AH114" i="15"/>
  <c r="AG114" i="15"/>
  <c r="AF114" i="15"/>
  <c r="AE114" i="15"/>
  <c r="AD114" i="15"/>
  <c r="Y114" i="15"/>
  <c r="V114" i="15"/>
  <c r="T114" i="15"/>
  <c r="AM113" i="15"/>
  <c r="AL113" i="15"/>
  <c r="AK113" i="15"/>
  <c r="AJ113" i="15"/>
  <c r="AI113" i="15"/>
  <c r="AH113" i="15"/>
  <c r="AG113" i="15"/>
  <c r="AF113" i="15"/>
  <c r="AE113" i="15"/>
  <c r="AD113" i="15"/>
  <c r="Y113" i="15"/>
  <c r="V113" i="15"/>
  <c r="T113" i="15"/>
  <c r="AM112" i="15"/>
  <c r="AL112" i="15"/>
  <c r="AK112" i="15"/>
  <c r="AJ112" i="15"/>
  <c r="AI112" i="15"/>
  <c r="AH112" i="15"/>
  <c r="AG112" i="15"/>
  <c r="AF112" i="15"/>
  <c r="AE112" i="15"/>
  <c r="AD112" i="15"/>
  <c r="Y112" i="15"/>
  <c r="V112" i="15"/>
  <c r="T112" i="15"/>
  <c r="AM111" i="15"/>
  <c r="AL111" i="15"/>
  <c r="AK111" i="15"/>
  <c r="AJ111" i="15"/>
  <c r="AI111" i="15"/>
  <c r="AH111" i="15"/>
  <c r="AG111" i="15"/>
  <c r="AF111" i="15"/>
  <c r="AE111" i="15"/>
  <c r="AD111" i="15"/>
  <c r="Y111" i="15"/>
  <c r="V111" i="15"/>
  <c r="T111" i="15"/>
  <c r="AM110" i="15"/>
  <c r="AL110" i="15"/>
  <c r="AK110" i="15"/>
  <c r="AJ110" i="15"/>
  <c r="AI110" i="15"/>
  <c r="AH110" i="15"/>
  <c r="AG110" i="15"/>
  <c r="AF110" i="15"/>
  <c r="AE110" i="15"/>
  <c r="AD110" i="15"/>
  <c r="Y110" i="15"/>
  <c r="V110" i="15"/>
  <c r="T110" i="15"/>
  <c r="AM109" i="15"/>
  <c r="AL109" i="15"/>
  <c r="AK109" i="15"/>
  <c r="AJ109" i="15"/>
  <c r="AI109" i="15"/>
  <c r="AH109" i="15"/>
  <c r="AG109" i="15"/>
  <c r="AF109" i="15"/>
  <c r="AE109" i="15"/>
  <c r="AN109" i="15" s="1"/>
  <c r="AD109" i="15"/>
  <c r="Y109" i="15"/>
  <c r="V109" i="15"/>
  <c r="T109" i="15"/>
  <c r="AM108" i="15"/>
  <c r="AL108" i="15"/>
  <c r="AK108" i="15"/>
  <c r="AJ108" i="15"/>
  <c r="AI108" i="15"/>
  <c r="AH108" i="15"/>
  <c r="AG108" i="15"/>
  <c r="AF108" i="15"/>
  <c r="AE108" i="15"/>
  <c r="AD108" i="15"/>
  <c r="Y108" i="15"/>
  <c r="V108" i="15"/>
  <c r="T108" i="15"/>
  <c r="AM107" i="15"/>
  <c r="AL107" i="15"/>
  <c r="AK107" i="15"/>
  <c r="AJ107" i="15"/>
  <c r="AI107" i="15"/>
  <c r="AH107" i="15"/>
  <c r="AG107" i="15"/>
  <c r="AF107" i="15"/>
  <c r="AE107" i="15"/>
  <c r="AD107" i="15"/>
  <c r="Y107" i="15"/>
  <c r="V107" i="15"/>
  <c r="T107" i="15"/>
  <c r="AM106" i="15"/>
  <c r="AL106" i="15"/>
  <c r="AK106" i="15"/>
  <c r="AJ106" i="15"/>
  <c r="AI106" i="15"/>
  <c r="AH106" i="15"/>
  <c r="AG106" i="15"/>
  <c r="AF106" i="15"/>
  <c r="AE106" i="15"/>
  <c r="AN106" i="15" s="1"/>
  <c r="AD106" i="15"/>
  <c r="Y106" i="15"/>
  <c r="V106" i="15"/>
  <c r="T106" i="15"/>
  <c r="AM105" i="15"/>
  <c r="AL105" i="15"/>
  <c r="AK105" i="15"/>
  <c r="AJ105" i="15"/>
  <c r="AI105" i="15"/>
  <c r="AH105" i="15"/>
  <c r="AG105" i="15"/>
  <c r="AF105" i="15"/>
  <c r="AE105" i="15"/>
  <c r="AD105" i="15"/>
  <c r="Y105" i="15"/>
  <c r="V105" i="15"/>
  <c r="T105" i="15"/>
  <c r="AM104" i="15"/>
  <c r="AL104" i="15"/>
  <c r="AK104" i="15"/>
  <c r="AJ104" i="15"/>
  <c r="AI104" i="15"/>
  <c r="AH104" i="15"/>
  <c r="AG104" i="15"/>
  <c r="AF104" i="15"/>
  <c r="AE104" i="15"/>
  <c r="AD104" i="15"/>
  <c r="Y104" i="15"/>
  <c r="V104" i="15"/>
  <c r="T104" i="15"/>
  <c r="AM103" i="15"/>
  <c r="AL103" i="15"/>
  <c r="AK103" i="15"/>
  <c r="AJ103" i="15"/>
  <c r="AI103" i="15"/>
  <c r="AH103" i="15"/>
  <c r="AG103" i="15"/>
  <c r="AF103" i="15"/>
  <c r="AE103" i="15"/>
  <c r="AN103" i="15" s="1"/>
  <c r="AD103" i="15"/>
  <c r="Y103" i="15"/>
  <c r="V103" i="15"/>
  <c r="T103" i="15"/>
  <c r="AM102" i="15"/>
  <c r="AL102" i="15"/>
  <c r="AK102" i="15"/>
  <c r="AJ102" i="15"/>
  <c r="AI102" i="15"/>
  <c r="AH102" i="15"/>
  <c r="AG102" i="15"/>
  <c r="AF102" i="15"/>
  <c r="AE102" i="15"/>
  <c r="AD102" i="15"/>
  <c r="Y102" i="15"/>
  <c r="V102" i="15"/>
  <c r="T102" i="15"/>
  <c r="AM101" i="15"/>
  <c r="AL101" i="15"/>
  <c r="AK101" i="15"/>
  <c r="AJ101" i="15"/>
  <c r="AI101" i="15"/>
  <c r="AH101" i="15"/>
  <c r="AG101" i="15"/>
  <c r="AF101" i="15"/>
  <c r="AE101" i="15"/>
  <c r="AD101" i="15"/>
  <c r="Y101" i="15"/>
  <c r="V101" i="15"/>
  <c r="T101" i="15"/>
  <c r="AM100" i="15"/>
  <c r="AL100" i="15"/>
  <c r="AK100" i="15"/>
  <c r="AJ100" i="15"/>
  <c r="AI100" i="15"/>
  <c r="AH100" i="15"/>
  <c r="AG100" i="15"/>
  <c r="AF100" i="15"/>
  <c r="AE100" i="15"/>
  <c r="AD100" i="15"/>
  <c r="Y100" i="15"/>
  <c r="V100" i="15"/>
  <c r="T100" i="15"/>
  <c r="AM99" i="15"/>
  <c r="AL99" i="15"/>
  <c r="AK99" i="15"/>
  <c r="AJ99" i="15"/>
  <c r="AI99" i="15"/>
  <c r="AH99" i="15"/>
  <c r="AG99" i="15"/>
  <c r="AF99" i="15"/>
  <c r="AE99" i="15"/>
  <c r="AD99" i="15"/>
  <c r="Y99" i="15"/>
  <c r="V99" i="15"/>
  <c r="T99" i="15"/>
  <c r="AM98" i="15"/>
  <c r="AL98" i="15"/>
  <c r="AK98" i="15"/>
  <c r="AJ98" i="15"/>
  <c r="AI98" i="15"/>
  <c r="AH98" i="15"/>
  <c r="AG98" i="15"/>
  <c r="AF98" i="15"/>
  <c r="AE98" i="15"/>
  <c r="AD98" i="15"/>
  <c r="Y98" i="15"/>
  <c r="V98" i="15"/>
  <c r="T98" i="15"/>
  <c r="AM97" i="15"/>
  <c r="AL97" i="15"/>
  <c r="AK97" i="15"/>
  <c r="AJ97" i="15"/>
  <c r="AI97" i="15"/>
  <c r="AH97" i="15"/>
  <c r="AG97" i="15"/>
  <c r="AF97" i="15"/>
  <c r="AE97" i="15"/>
  <c r="AN97" i="15" s="1"/>
  <c r="AD97" i="15"/>
  <c r="Y97" i="15"/>
  <c r="V97" i="15"/>
  <c r="T97" i="15"/>
  <c r="AM96" i="15"/>
  <c r="AL96" i="15"/>
  <c r="AK96" i="15"/>
  <c r="AJ96" i="15"/>
  <c r="AI96" i="15"/>
  <c r="AH96" i="15"/>
  <c r="AG96" i="15"/>
  <c r="AF96" i="15"/>
  <c r="AE96" i="15"/>
  <c r="AD96" i="15"/>
  <c r="Y96" i="15"/>
  <c r="V96" i="15"/>
  <c r="T96" i="15"/>
  <c r="AM95" i="15"/>
  <c r="AL95" i="15"/>
  <c r="AK95" i="15"/>
  <c r="AJ95" i="15"/>
  <c r="AI95" i="15"/>
  <c r="AH95" i="15"/>
  <c r="AG95" i="15"/>
  <c r="AF95" i="15"/>
  <c r="AE95" i="15"/>
  <c r="AD95" i="15"/>
  <c r="Y95" i="15"/>
  <c r="V95" i="15"/>
  <c r="T95" i="15"/>
  <c r="AM94" i="15"/>
  <c r="AL94" i="15"/>
  <c r="AK94" i="15"/>
  <c r="AJ94" i="15"/>
  <c r="AI94" i="15"/>
  <c r="AH94" i="15"/>
  <c r="AG94" i="15"/>
  <c r="AF94" i="15"/>
  <c r="AE94" i="15"/>
  <c r="AN94" i="15" s="1"/>
  <c r="AD94" i="15"/>
  <c r="Y94" i="15"/>
  <c r="V94" i="15"/>
  <c r="T94" i="15"/>
  <c r="AM93" i="15"/>
  <c r="AL93" i="15"/>
  <c r="AK93" i="15"/>
  <c r="AJ93" i="15"/>
  <c r="AI93" i="15"/>
  <c r="AH93" i="15"/>
  <c r="AG93" i="15"/>
  <c r="AF93" i="15"/>
  <c r="AE93" i="15"/>
  <c r="AD93" i="15"/>
  <c r="Y93" i="15"/>
  <c r="V93" i="15"/>
  <c r="T93" i="15"/>
  <c r="AM92" i="15"/>
  <c r="AL92" i="15"/>
  <c r="AK92" i="15"/>
  <c r="AJ92" i="15"/>
  <c r="AI92" i="15"/>
  <c r="AH92" i="15"/>
  <c r="AG92" i="15"/>
  <c r="AF92" i="15"/>
  <c r="AE92" i="15"/>
  <c r="AD92" i="15"/>
  <c r="Y92" i="15"/>
  <c r="V92" i="15"/>
  <c r="T92" i="15"/>
  <c r="AM91" i="15"/>
  <c r="AL91" i="15"/>
  <c r="AK91" i="15"/>
  <c r="AJ91" i="15"/>
  <c r="AI91" i="15"/>
  <c r="AH91" i="15"/>
  <c r="AG91" i="15"/>
  <c r="AF91" i="15"/>
  <c r="AE91" i="15"/>
  <c r="AD91" i="15"/>
  <c r="Y91" i="15"/>
  <c r="V91" i="15"/>
  <c r="T91" i="15"/>
  <c r="AM90" i="15"/>
  <c r="AL90" i="15"/>
  <c r="AK90" i="15"/>
  <c r="AJ90" i="15"/>
  <c r="AI90" i="15"/>
  <c r="AH90" i="15"/>
  <c r="AG90" i="15"/>
  <c r="AF90" i="15"/>
  <c r="AE90" i="15"/>
  <c r="AD90" i="15"/>
  <c r="Y90" i="15"/>
  <c r="V90" i="15"/>
  <c r="T90" i="15"/>
  <c r="AM89" i="15"/>
  <c r="AL89" i="15"/>
  <c r="AK89" i="15"/>
  <c r="AJ89" i="15"/>
  <c r="AI89" i="15"/>
  <c r="AH89" i="15"/>
  <c r="AG89" i="15"/>
  <c r="AF89" i="15"/>
  <c r="AE89" i="15"/>
  <c r="AD89" i="15"/>
  <c r="Y89" i="15"/>
  <c r="V89" i="15"/>
  <c r="T89" i="15"/>
  <c r="AM88" i="15"/>
  <c r="AL88" i="15"/>
  <c r="AK88" i="15"/>
  <c r="AJ88" i="15"/>
  <c r="AI88" i="15"/>
  <c r="AH88" i="15"/>
  <c r="AG88" i="15"/>
  <c r="AF88" i="15"/>
  <c r="AE88" i="15"/>
  <c r="AD88" i="15"/>
  <c r="Y88" i="15"/>
  <c r="V88" i="15"/>
  <c r="T88" i="15"/>
  <c r="AM87" i="15"/>
  <c r="AL87" i="15"/>
  <c r="AK87" i="15"/>
  <c r="AJ87" i="15"/>
  <c r="AI87" i="15"/>
  <c r="AH87" i="15"/>
  <c r="AG87" i="15"/>
  <c r="AF87" i="15"/>
  <c r="AE87" i="15"/>
  <c r="AD87" i="15"/>
  <c r="Y87" i="15"/>
  <c r="V87" i="15"/>
  <c r="T87" i="15"/>
  <c r="AM86" i="15"/>
  <c r="AL86" i="15"/>
  <c r="AK86" i="15"/>
  <c r="AJ86" i="15"/>
  <c r="AI86" i="15"/>
  <c r="AH86" i="15"/>
  <c r="AG86" i="15"/>
  <c r="AF86" i="15"/>
  <c r="AE86" i="15"/>
  <c r="AD86" i="15"/>
  <c r="Y86" i="15"/>
  <c r="V86" i="15"/>
  <c r="T86" i="15"/>
  <c r="AM85" i="15"/>
  <c r="AL85" i="15"/>
  <c r="AK85" i="15"/>
  <c r="AJ85" i="15"/>
  <c r="AI85" i="15"/>
  <c r="AH85" i="15"/>
  <c r="AG85" i="15"/>
  <c r="AF85" i="15"/>
  <c r="AE85" i="15"/>
  <c r="AN85" i="15" s="1"/>
  <c r="AD85" i="15"/>
  <c r="Y85" i="15"/>
  <c r="V85" i="15"/>
  <c r="T85" i="15"/>
  <c r="AM84" i="15"/>
  <c r="AL84" i="15"/>
  <c r="AK84" i="15"/>
  <c r="AJ84" i="15"/>
  <c r="AI84" i="15"/>
  <c r="AH84" i="15"/>
  <c r="AG84" i="15"/>
  <c r="AF84" i="15"/>
  <c r="AE84" i="15"/>
  <c r="AD84" i="15"/>
  <c r="Y84" i="15"/>
  <c r="V84" i="15"/>
  <c r="T84" i="15"/>
  <c r="AM83" i="15"/>
  <c r="AL83" i="15"/>
  <c r="AK83" i="15"/>
  <c r="AJ83" i="15"/>
  <c r="AI83" i="15"/>
  <c r="AH83" i="15"/>
  <c r="AG83" i="15"/>
  <c r="AF83" i="15"/>
  <c r="AE83" i="15"/>
  <c r="AD83" i="15"/>
  <c r="Y83" i="15"/>
  <c r="V83" i="15"/>
  <c r="T83" i="15"/>
  <c r="AM82" i="15"/>
  <c r="AL82" i="15"/>
  <c r="AK82" i="15"/>
  <c r="AJ82" i="15"/>
  <c r="AI82" i="15"/>
  <c r="AH82" i="15"/>
  <c r="AG82" i="15"/>
  <c r="AF82" i="15"/>
  <c r="AE82" i="15"/>
  <c r="AD82" i="15"/>
  <c r="Y82" i="15"/>
  <c r="V82" i="15"/>
  <c r="T82" i="15"/>
  <c r="AM81" i="15"/>
  <c r="AL81" i="15"/>
  <c r="AK81" i="15"/>
  <c r="AJ81" i="15"/>
  <c r="AI81" i="15"/>
  <c r="AH81" i="15"/>
  <c r="AG81" i="15"/>
  <c r="AF81" i="15"/>
  <c r="AE81" i="15"/>
  <c r="AD81" i="15"/>
  <c r="Y81" i="15"/>
  <c r="V81" i="15"/>
  <c r="T81" i="15"/>
  <c r="AM80" i="15"/>
  <c r="AL80" i="15"/>
  <c r="AK80" i="15"/>
  <c r="AJ80" i="15"/>
  <c r="AI80" i="15"/>
  <c r="AH80" i="15"/>
  <c r="AG80" i="15"/>
  <c r="AF80" i="15"/>
  <c r="AE80" i="15"/>
  <c r="AD80" i="15"/>
  <c r="Y80" i="15"/>
  <c r="V80" i="15"/>
  <c r="T80" i="15"/>
  <c r="AM79" i="15"/>
  <c r="AL79" i="15"/>
  <c r="AK79" i="15"/>
  <c r="AJ79" i="15"/>
  <c r="AI79" i="15"/>
  <c r="AH79" i="15"/>
  <c r="AG79" i="15"/>
  <c r="AF79" i="15"/>
  <c r="AE79" i="15"/>
  <c r="AN79" i="15" s="1"/>
  <c r="AD79" i="15"/>
  <c r="Y79" i="15"/>
  <c r="V79" i="15"/>
  <c r="T79" i="15"/>
  <c r="AM78" i="15"/>
  <c r="AL78" i="15"/>
  <c r="AK78" i="15"/>
  <c r="AJ78" i="15"/>
  <c r="AI78" i="15"/>
  <c r="AH78" i="15"/>
  <c r="AG78" i="15"/>
  <c r="AF78" i="15"/>
  <c r="AE78" i="15"/>
  <c r="AD78" i="15"/>
  <c r="Y78" i="15"/>
  <c r="V78" i="15"/>
  <c r="T78" i="15"/>
  <c r="AM77" i="15"/>
  <c r="AL77" i="15"/>
  <c r="AK77" i="15"/>
  <c r="AJ77" i="15"/>
  <c r="AI77" i="15"/>
  <c r="AH77" i="15"/>
  <c r="AG77" i="15"/>
  <c r="AF77" i="15"/>
  <c r="AE77" i="15"/>
  <c r="AD77" i="15"/>
  <c r="Y77" i="15"/>
  <c r="V77" i="15"/>
  <c r="T77" i="15"/>
  <c r="AM76" i="15"/>
  <c r="AL76" i="15"/>
  <c r="AK76" i="15"/>
  <c r="AJ76" i="15"/>
  <c r="AI76" i="15"/>
  <c r="AH76" i="15"/>
  <c r="AG76" i="15"/>
  <c r="AF76" i="15"/>
  <c r="AE76" i="15"/>
  <c r="AD76" i="15"/>
  <c r="Y76" i="15"/>
  <c r="V76" i="15"/>
  <c r="T76" i="15"/>
  <c r="AM75" i="15"/>
  <c r="AL75" i="15"/>
  <c r="AK75" i="15"/>
  <c r="AJ75" i="15"/>
  <c r="AI75" i="15"/>
  <c r="AH75" i="15"/>
  <c r="AG75" i="15"/>
  <c r="AF75" i="15"/>
  <c r="AE75" i="15"/>
  <c r="AD75" i="15"/>
  <c r="Y75" i="15"/>
  <c r="V75" i="15"/>
  <c r="T75" i="15"/>
  <c r="AM74" i="15"/>
  <c r="AL74" i="15"/>
  <c r="AK74" i="15"/>
  <c r="AJ74" i="15"/>
  <c r="AI74" i="15"/>
  <c r="AH74" i="15"/>
  <c r="AG74" i="15"/>
  <c r="AF74" i="15"/>
  <c r="AE74" i="15"/>
  <c r="AD74" i="15"/>
  <c r="Y74" i="15"/>
  <c r="V74" i="15"/>
  <c r="T74" i="15"/>
  <c r="AM73" i="15"/>
  <c r="AL73" i="15"/>
  <c r="AK73" i="15"/>
  <c r="AJ73" i="15"/>
  <c r="AI73" i="15"/>
  <c r="AH73" i="15"/>
  <c r="AG73" i="15"/>
  <c r="AF73" i="15"/>
  <c r="AE73" i="15"/>
  <c r="AD73" i="15"/>
  <c r="Y73" i="15"/>
  <c r="V73" i="15"/>
  <c r="T73" i="15"/>
  <c r="AM72" i="15"/>
  <c r="AL72" i="15"/>
  <c r="AK72" i="15"/>
  <c r="AJ72" i="15"/>
  <c r="AI72" i="15"/>
  <c r="AH72" i="15"/>
  <c r="AG72" i="15"/>
  <c r="AF72" i="15"/>
  <c r="AE72" i="15"/>
  <c r="AD72" i="15"/>
  <c r="Y72" i="15"/>
  <c r="V72" i="15"/>
  <c r="T72" i="15"/>
  <c r="AM71" i="15"/>
  <c r="AL71" i="15"/>
  <c r="AK71" i="15"/>
  <c r="AJ71" i="15"/>
  <c r="AI71" i="15"/>
  <c r="AH71" i="15"/>
  <c r="AG71" i="15"/>
  <c r="AF71" i="15"/>
  <c r="AE71" i="15"/>
  <c r="AD71" i="15"/>
  <c r="Y71" i="15"/>
  <c r="V71" i="15"/>
  <c r="T71" i="15"/>
  <c r="AM70" i="15"/>
  <c r="AL70" i="15"/>
  <c r="AK70" i="15"/>
  <c r="AJ70" i="15"/>
  <c r="AI70" i="15"/>
  <c r="AH70" i="15"/>
  <c r="AG70" i="15"/>
  <c r="AF70" i="15"/>
  <c r="AE70" i="15"/>
  <c r="AD70" i="15"/>
  <c r="AN70" i="15" s="1"/>
  <c r="Y70" i="15"/>
  <c r="V70" i="15"/>
  <c r="T70" i="15"/>
  <c r="AM69" i="15"/>
  <c r="AL69" i="15"/>
  <c r="AK69" i="15"/>
  <c r="AJ69" i="15"/>
  <c r="AI69" i="15"/>
  <c r="AH69" i="15"/>
  <c r="AG69" i="15"/>
  <c r="AF69" i="15"/>
  <c r="AE69" i="15"/>
  <c r="AD69" i="15"/>
  <c r="Y69" i="15"/>
  <c r="V69" i="15"/>
  <c r="T69" i="15"/>
  <c r="AM68" i="15"/>
  <c r="AL68" i="15"/>
  <c r="AK68" i="15"/>
  <c r="AJ68" i="15"/>
  <c r="AI68" i="15"/>
  <c r="AH68" i="15"/>
  <c r="AG68" i="15"/>
  <c r="AF68" i="15"/>
  <c r="AE68" i="15"/>
  <c r="AD68" i="15"/>
  <c r="Y68" i="15"/>
  <c r="V68" i="15"/>
  <c r="T68" i="15"/>
  <c r="AM67" i="15"/>
  <c r="AL67" i="15"/>
  <c r="AK67" i="15"/>
  <c r="AJ67" i="15"/>
  <c r="AI67" i="15"/>
  <c r="AH67" i="15"/>
  <c r="AG67" i="15"/>
  <c r="AF67" i="15"/>
  <c r="AE67" i="15"/>
  <c r="AD67" i="15"/>
  <c r="Y67" i="15"/>
  <c r="V67" i="15"/>
  <c r="T67" i="15"/>
  <c r="AM66" i="15"/>
  <c r="AL66" i="15"/>
  <c r="AK66" i="15"/>
  <c r="AJ66" i="15"/>
  <c r="AI66" i="15"/>
  <c r="AH66" i="15"/>
  <c r="AG66" i="15"/>
  <c r="AF66" i="15"/>
  <c r="AE66" i="15"/>
  <c r="AD66" i="15"/>
  <c r="Y66" i="15"/>
  <c r="V66" i="15"/>
  <c r="T66" i="15"/>
  <c r="AM65" i="15"/>
  <c r="AL65" i="15"/>
  <c r="AK65" i="15"/>
  <c r="AJ65" i="15"/>
  <c r="AI65" i="15"/>
  <c r="AH65" i="15"/>
  <c r="AG65" i="15"/>
  <c r="AF65" i="15"/>
  <c r="AE65" i="15"/>
  <c r="AD65" i="15"/>
  <c r="Y65" i="15"/>
  <c r="V65" i="15"/>
  <c r="T65" i="15"/>
  <c r="AM64" i="15"/>
  <c r="AL64" i="15"/>
  <c r="AK64" i="15"/>
  <c r="AJ64" i="15"/>
  <c r="AI64" i="15"/>
  <c r="AH64" i="15"/>
  <c r="AG64" i="15"/>
  <c r="AF64" i="15"/>
  <c r="AE64" i="15"/>
  <c r="AD64" i="15"/>
  <c r="AN64" i="15" s="1"/>
  <c r="Y64" i="15"/>
  <c r="V64" i="15"/>
  <c r="T64" i="15"/>
  <c r="AM63" i="15"/>
  <c r="AL63" i="15"/>
  <c r="AK63" i="15"/>
  <c r="AJ63" i="15"/>
  <c r="AI63" i="15"/>
  <c r="AH63" i="15"/>
  <c r="AG63" i="15"/>
  <c r="AF63" i="15"/>
  <c r="AE63" i="15"/>
  <c r="AD63" i="15"/>
  <c r="AN63" i="15" s="1"/>
  <c r="Y63" i="15"/>
  <c r="V63" i="15"/>
  <c r="T63" i="15"/>
  <c r="AM62" i="15"/>
  <c r="AL62" i="15"/>
  <c r="AK62" i="15"/>
  <c r="AJ62" i="15"/>
  <c r="AI62" i="15"/>
  <c r="AH62" i="15"/>
  <c r="AG62" i="15"/>
  <c r="AF62" i="15"/>
  <c r="AE62" i="15"/>
  <c r="AD62" i="15"/>
  <c r="Y62" i="15"/>
  <c r="V62" i="15"/>
  <c r="T62" i="15"/>
  <c r="AM61" i="15"/>
  <c r="AL61" i="15"/>
  <c r="AK61" i="15"/>
  <c r="AJ61" i="15"/>
  <c r="AI61" i="15"/>
  <c r="AH61" i="15"/>
  <c r="AG61" i="15"/>
  <c r="AF61" i="15"/>
  <c r="AE61" i="15"/>
  <c r="AN61" i="15" s="1"/>
  <c r="AD61" i="15"/>
  <c r="Y61" i="15"/>
  <c r="V61" i="15"/>
  <c r="T61" i="15"/>
  <c r="AM60" i="15"/>
  <c r="AL60" i="15"/>
  <c r="AK60" i="15"/>
  <c r="AJ60" i="15"/>
  <c r="AI60" i="15"/>
  <c r="AH60" i="15"/>
  <c r="AG60" i="15"/>
  <c r="AF60" i="15"/>
  <c r="AE60" i="15"/>
  <c r="AD60" i="15"/>
  <c r="Y60" i="15"/>
  <c r="V60" i="15"/>
  <c r="T60" i="15"/>
  <c r="AM59" i="15"/>
  <c r="AL59" i="15"/>
  <c r="AK59" i="15"/>
  <c r="AJ59" i="15"/>
  <c r="AI59" i="15"/>
  <c r="AH59" i="15"/>
  <c r="AG59" i="15"/>
  <c r="AF59" i="15"/>
  <c r="AE59" i="15"/>
  <c r="AD59" i="15"/>
  <c r="Y59" i="15"/>
  <c r="V59" i="15"/>
  <c r="T59" i="15"/>
  <c r="AM58" i="15"/>
  <c r="AL58" i="15"/>
  <c r="AK58" i="15"/>
  <c r="AJ58" i="15"/>
  <c r="AI58" i="15"/>
  <c r="AH58" i="15"/>
  <c r="AG58" i="15"/>
  <c r="AF58" i="15"/>
  <c r="AE58" i="15"/>
  <c r="AD58" i="15"/>
  <c r="Y58" i="15"/>
  <c r="V58" i="15"/>
  <c r="T58" i="15"/>
  <c r="AM57" i="15"/>
  <c r="AL57" i="15"/>
  <c r="AK57" i="15"/>
  <c r="AJ57" i="15"/>
  <c r="AI57" i="15"/>
  <c r="AH57" i="15"/>
  <c r="AG57" i="15"/>
  <c r="AF57" i="15"/>
  <c r="AE57" i="15"/>
  <c r="AD57" i="15"/>
  <c r="Y57" i="15"/>
  <c r="V57" i="15"/>
  <c r="T57" i="15"/>
  <c r="AM56" i="15"/>
  <c r="AL56" i="15"/>
  <c r="AK56" i="15"/>
  <c r="AJ56" i="15"/>
  <c r="AI56" i="15"/>
  <c r="AH56" i="15"/>
  <c r="AG56" i="15"/>
  <c r="AF56" i="15"/>
  <c r="AE56" i="15"/>
  <c r="AD56" i="15"/>
  <c r="Y56" i="15"/>
  <c r="V56" i="15"/>
  <c r="T56" i="15"/>
  <c r="AM55" i="15"/>
  <c r="AL55" i="15"/>
  <c r="AK55" i="15"/>
  <c r="AJ55" i="15"/>
  <c r="AI55" i="15"/>
  <c r="AH55" i="15"/>
  <c r="AG55" i="15"/>
  <c r="AF55" i="15"/>
  <c r="AE55" i="15"/>
  <c r="AD55" i="15"/>
  <c r="Y55" i="15"/>
  <c r="V55" i="15"/>
  <c r="T55" i="15"/>
  <c r="AM54" i="15"/>
  <c r="AL54" i="15"/>
  <c r="AK54" i="15"/>
  <c r="AJ54" i="15"/>
  <c r="AI54" i="15"/>
  <c r="AH54" i="15"/>
  <c r="AG54" i="15"/>
  <c r="AF54" i="15"/>
  <c r="AE54" i="15"/>
  <c r="AD54" i="15"/>
  <c r="Y54" i="15"/>
  <c r="V54" i="15"/>
  <c r="T54" i="15"/>
  <c r="AM53" i="15"/>
  <c r="AL53" i="15"/>
  <c r="AK53" i="15"/>
  <c r="AJ53" i="15"/>
  <c r="AI53" i="15"/>
  <c r="AH53" i="15"/>
  <c r="AG53" i="15"/>
  <c r="AF53" i="15"/>
  <c r="AE53" i="15"/>
  <c r="AD53" i="15"/>
  <c r="Y53" i="15"/>
  <c r="V53" i="15"/>
  <c r="T53" i="15"/>
  <c r="AM52" i="15"/>
  <c r="AL52" i="15"/>
  <c r="AK52" i="15"/>
  <c r="AJ52" i="15"/>
  <c r="AI52" i="15"/>
  <c r="AH52" i="15"/>
  <c r="AG52" i="15"/>
  <c r="AF52" i="15"/>
  <c r="AE52" i="15"/>
  <c r="AD52" i="15"/>
  <c r="Y52" i="15"/>
  <c r="V52" i="15"/>
  <c r="T52" i="15"/>
  <c r="AM51" i="15"/>
  <c r="AL51" i="15"/>
  <c r="AK51" i="15"/>
  <c r="AJ51" i="15"/>
  <c r="AI51" i="15"/>
  <c r="AH51" i="15"/>
  <c r="AG51" i="15"/>
  <c r="AF51" i="15"/>
  <c r="AE51" i="15"/>
  <c r="AD51" i="15"/>
  <c r="Y51" i="15"/>
  <c r="V51" i="15"/>
  <c r="T51" i="15"/>
  <c r="AM50" i="15"/>
  <c r="AL50" i="15"/>
  <c r="AK50" i="15"/>
  <c r="AJ50" i="15"/>
  <c r="AI50" i="15"/>
  <c r="AH50" i="15"/>
  <c r="AG50" i="15"/>
  <c r="AF50" i="15"/>
  <c r="AE50" i="15"/>
  <c r="AD50" i="15"/>
  <c r="Y50" i="15"/>
  <c r="V50" i="15"/>
  <c r="T50" i="15"/>
  <c r="AM49" i="15"/>
  <c r="AL49" i="15"/>
  <c r="AK49" i="15"/>
  <c r="AJ49" i="15"/>
  <c r="AI49" i="15"/>
  <c r="AH49" i="15"/>
  <c r="AG49" i="15"/>
  <c r="AF49" i="15"/>
  <c r="AE49" i="15"/>
  <c r="AD49" i="15"/>
  <c r="Y49" i="15"/>
  <c r="V49" i="15"/>
  <c r="T49" i="15"/>
  <c r="AM48" i="15"/>
  <c r="AL48" i="15"/>
  <c r="AK48" i="15"/>
  <c r="AJ48" i="15"/>
  <c r="AI48" i="15"/>
  <c r="AH48" i="15"/>
  <c r="AG48" i="15"/>
  <c r="AF48" i="15"/>
  <c r="AE48" i="15"/>
  <c r="AD48" i="15"/>
  <c r="Y48" i="15"/>
  <c r="V48" i="15"/>
  <c r="T48" i="15"/>
  <c r="AM47" i="15"/>
  <c r="AL47" i="15"/>
  <c r="AK47" i="15"/>
  <c r="AJ47" i="15"/>
  <c r="AI47" i="15"/>
  <c r="AH47" i="15"/>
  <c r="AG47" i="15"/>
  <c r="AF47" i="15"/>
  <c r="AE47" i="15"/>
  <c r="AD47" i="15"/>
  <c r="Y47" i="15"/>
  <c r="V47" i="15"/>
  <c r="T47" i="15"/>
  <c r="AM46" i="15"/>
  <c r="AL46" i="15"/>
  <c r="AK46" i="15"/>
  <c r="AJ46" i="15"/>
  <c r="AI46" i="15"/>
  <c r="AH46" i="15"/>
  <c r="AG46" i="15"/>
  <c r="AF46" i="15"/>
  <c r="AE46" i="15"/>
  <c r="AN46" i="15" s="1"/>
  <c r="AD46" i="15"/>
  <c r="Y46" i="15"/>
  <c r="V46" i="15"/>
  <c r="T46" i="15"/>
  <c r="AM45" i="15"/>
  <c r="AL45" i="15"/>
  <c r="AK45" i="15"/>
  <c r="AJ45" i="15"/>
  <c r="AI45" i="15"/>
  <c r="AH45" i="15"/>
  <c r="AG45" i="15"/>
  <c r="AF45" i="15"/>
  <c r="AE45" i="15"/>
  <c r="AD45" i="15"/>
  <c r="Y45" i="15"/>
  <c r="V45" i="15"/>
  <c r="T45" i="15"/>
  <c r="AM44" i="15"/>
  <c r="AL44" i="15"/>
  <c r="AK44" i="15"/>
  <c r="AJ44" i="15"/>
  <c r="AI44" i="15"/>
  <c r="AH44" i="15"/>
  <c r="AG44" i="15"/>
  <c r="AF44" i="15"/>
  <c r="AE44" i="15"/>
  <c r="AD44" i="15"/>
  <c r="Y44" i="15"/>
  <c r="V44" i="15"/>
  <c r="T44" i="15"/>
  <c r="AM43" i="15"/>
  <c r="AL43" i="15"/>
  <c r="AK43" i="15"/>
  <c r="AJ43" i="15"/>
  <c r="AI43" i="15"/>
  <c r="AH43" i="15"/>
  <c r="AG43" i="15"/>
  <c r="AF43" i="15"/>
  <c r="AE43" i="15"/>
  <c r="AD43" i="15"/>
  <c r="Y43" i="15"/>
  <c r="V43" i="15"/>
  <c r="T43" i="15"/>
  <c r="AM42" i="15"/>
  <c r="AL42" i="15"/>
  <c r="AK42" i="15"/>
  <c r="AJ42" i="15"/>
  <c r="AI42" i="15"/>
  <c r="AH42" i="15"/>
  <c r="AG42" i="15"/>
  <c r="AF42" i="15"/>
  <c r="AE42" i="15"/>
  <c r="AD42" i="15"/>
  <c r="Y42" i="15"/>
  <c r="V42" i="15"/>
  <c r="T42" i="15"/>
  <c r="AM41" i="15"/>
  <c r="AL41" i="15"/>
  <c r="AK41" i="15"/>
  <c r="AJ41" i="15"/>
  <c r="AI41" i="15"/>
  <c r="AH41" i="15"/>
  <c r="AG41" i="15"/>
  <c r="AF41" i="15"/>
  <c r="AE41" i="15"/>
  <c r="AD41" i="15"/>
  <c r="Y41" i="15"/>
  <c r="V41" i="15"/>
  <c r="T41" i="15"/>
  <c r="AM40" i="15"/>
  <c r="AL40" i="15"/>
  <c r="AK40" i="15"/>
  <c r="AJ40" i="15"/>
  <c r="AI40" i="15"/>
  <c r="AH40" i="15"/>
  <c r="AG40" i="15"/>
  <c r="AF40" i="15"/>
  <c r="AE40" i="15"/>
  <c r="AD40" i="15"/>
  <c r="Y40" i="15"/>
  <c r="V40" i="15"/>
  <c r="T40" i="15"/>
  <c r="AM39" i="15"/>
  <c r="AL39" i="15"/>
  <c r="AK39" i="15"/>
  <c r="AJ39" i="15"/>
  <c r="AI39" i="15"/>
  <c r="AH39" i="15"/>
  <c r="AG39" i="15"/>
  <c r="AF39" i="15"/>
  <c r="AE39" i="15"/>
  <c r="AD39" i="15"/>
  <c r="Y39" i="15"/>
  <c r="V39" i="15"/>
  <c r="T39" i="15"/>
  <c r="AM38" i="15"/>
  <c r="AL38" i="15"/>
  <c r="AK38" i="15"/>
  <c r="AJ38" i="15"/>
  <c r="AI38" i="15"/>
  <c r="AH38" i="15"/>
  <c r="AG38" i="15"/>
  <c r="AF38" i="15"/>
  <c r="AE38" i="15"/>
  <c r="AD38" i="15"/>
  <c r="Y38" i="15"/>
  <c r="V38" i="15"/>
  <c r="T38" i="15"/>
  <c r="AM37" i="15"/>
  <c r="AL37" i="15"/>
  <c r="AK37" i="15"/>
  <c r="AJ37" i="15"/>
  <c r="AI37" i="15"/>
  <c r="AH37" i="15"/>
  <c r="AG37" i="15"/>
  <c r="AF37" i="15"/>
  <c r="AE37" i="15"/>
  <c r="AD37" i="15"/>
  <c r="Y37" i="15"/>
  <c r="V37" i="15"/>
  <c r="T37" i="15"/>
  <c r="AM36" i="15"/>
  <c r="AL36" i="15"/>
  <c r="AK36" i="15"/>
  <c r="AJ36" i="15"/>
  <c r="AI36" i="15"/>
  <c r="AH36" i="15"/>
  <c r="AG36" i="15"/>
  <c r="AF36" i="15"/>
  <c r="AE36" i="15"/>
  <c r="AD36" i="15"/>
  <c r="Y36" i="15"/>
  <c r="V36" i="15"/>
  <c r="T36" i="15"/>
  <c r="AM35" i="15"/>
  <c r="AL35" i="15"/>
  <c r="AK35" i="15"/>
  <c r="AJ35" i="15"/>
  <c r="AI35" i="15"/>
  <c r="AH35" i="15"/>
  <c r="AG35" i="15"/>
  <c r="AF35" i="15"/>
  <c r="AE35" i="15"/>
  <c r="AD35" i="15"/>
  <c r="Y35" i="15"/>
  <c r="V35" i="15"/>
  <c r="T35" i="15"/>
  <c r="AM34" i="15"/>
  <c r="AL34" i="15"/>
  <c r="AK34" i="15"/>
  <c r="AJ34" i="15"/>
  <c r="AI34" i="15"/>
  <c r="AH34" i="15"/>
  <c r="AG34" i="15"/>
  <c r="AF34" i="15"/>
  <c r="AE34" i="15"/>
  <c r="AD34" i="15"/>
  <c r="Y34" i="15"/>
  <c r="V34" i="15"/>
  <c r="T34" i="15"/>
  <c r="AM33" i="15"/>
  <c r="AL33" i="15"/>
  <c r="AK33" i="15"/>
  <c r="AJ33" i="15"/>
  <c r="AI33" i="15"/>
  <c r="AH33" i="15"/>
  <c r="AG33" i="15"/>
  <c r="AF33" i="15"/>
  <c r="AE33" i="15"/>
  <c r="AD33" i="15"/>
  <c r="Y33" i="15"/>
  <c r="V33" i="15"/>
  <c r="T33" i="15"/>
  <c r="AM32" i="15"/>
  <c r="AL32" i="15"/>
  <c r="AK32" i="15"/>
  <c r="AJ32" i="15"/>
  <c r="AI32" i="15"/>
  <c r="AH32" i="15"/>
  <c r="AG32" i="15"/>
  <c r="AF32" i="15"/>
  <c r="AE32" i="15"/>
  <c r="AD32" i="15"/>
  <c r="Y32" i="15"/>
  <c r="V32" i="15"/>
  <c r="T32" i="15"/>
  <c r="AM31" i="15"/>
  <c r="AL31" i="15"/>
  <c r="AK31" i="15"/>
  <c r="AJ31" i="15"/>
  <c r="AI31" i="15"/>
  <c r="AH31" i="15"/>
  <c r="AG31" i="15"/>
  <c r="AF31" i="15"/>
  <c r="AE31" i="15"/>
  <c r="AD31" i="15"/>
  <c r="Y31" i="15"/>
  <c r="V31" i="15"/>
  <c r="T31" i="15"/>
  <c r="AM30" i="15"/>
  <c r="AL30" i="15"/>
  <c r="AK30" i="15"/>
  <c r="AJ30" i="15"/>
  <c r="AI30" i="15"/>
  <c r="AH30" i="15"/>
  <c r="AG30" i="15"/>
  <c r="AF30" i="15"/>
  <c r="AE30" i="15"/>
  <c r="AD30" i="15"/>
  <c r="Y30" i="15"/>
  <c r="V30" i="15"/>
  <c r="T30" i="15"/>
  <c r="AM29" i="15"/>
  <c r="AL29" i="15"/>
  <c r="AK29" i="15"/>
  <c r="AJ29" i="15"/>
  <c r="AI29" i="15"/>
  <c r="AH29" i="15"/>
  <c r="AG29" i="15"/>
  <c r="AF29" i="15"/>
  <c r="AE29" i="15"/>
  <c r="AD29" i="15"/>
  <c r="Y29" i="15"/>
  <c r="V29" i="15"/>
  <c r="T29" i="15"/>
  <c r="AM28" i="15"/>
  <c r="AL28" i="15"/>
  <c r="AK28" i="15"/>
  <c r="AJ28" i="15"/>
  <c r="AI28" i="15"/>
  <c r="AH28" i="15"/>
  <c r="AG28" i="15"/>
  <c r="AF28" i="15"/>
  <c r="AE28" i="15"/>
  <c r="AD28" i="15"/>
  <c r="Y28" i="15"/>
  <c r="V28" i="15"/>
  <c r="T28" i="15"/>
  <c r="AM27" i="15"/>
  <c r="AL27" i="15"/>
  <c r="AK27" i="15"/>
  <c r="AJ27" i="15"/>
  <c r="AI27" i="15"/>
  <c r="AH27" i="15"/>
  <c r="AG27" i="15"/>
  <c r="AF27" i="15"/>
  <c r="AE27" i="15"/>
  <c r="AD27" i="15"/>
  <c r="Y27" i="15"/>
  <c r="V27" i="15"/>
  <c r="T27" i="15"/>
  <c r="AM26" i="15"/>
  <c r="AL26" i="15"/>
  <c r="AK26" i="15"/>
  <c r="AJ26" i="15"/>
  <c r="AI26" i="15"/>
  <c r="AH26" i="15"/>
  <c r="AG26" i="15"/>
  <c r="AF26" i="15"/>
  <c r="AE26" i="15"/>
  <c r="AD26" i="15"/>
  <c r="Y26" i="15"/>
  <c r="V26" i="15"/>
  <c r="T26" i="15"/>
  <c r="AM25" i="15"/>
  <c r="AL25" i="15"/>
  <c r="AK25" i="15"/>
  <c r="AJ25" i="15"/>
  <c r="AI25" i="15"/>
  <c r="AH25" i="15"/>
  <c r="AG25" i="15"/>
  <c r="AF25" i="15"/>
  <c r="AE25" i="15"/>
  <c r="AD25" i="15"/>
  <c r="Y25" i="15"/>
  <c r="V25" i="15"/>
  <c r="T25" i="15"/>
  <c r="AM24" i="15"/>
  <c r="AL24" i="15"/>
  <c r="AK24" i="15"/>
  <c r="AJ24" i="15"/>
  <c r="AI24" i="15"/>
  <c r="AH24" i="15"/>
  <c r="AG24" i="15"/>
  <c r="AF24" i="15"/>
  <c r="AE24" i="15"/>
  <c r="AD24" i="15"/>
  <c r="AN24" i="15" s="1"/>
  <c r="Y24" i="15"/>
  <c r="V24" i="15"/>
  <c r="T24" i="15"/>
  <c r="AM23" i="15"/>
  <c r="AL23" i="15"/>
  <c r="AK23" i="15"/>
  <c r="AJ23" i="15"/>
  <c r="AI23" i="15"/>
  <c r="AH23" i="15"/>
  <c r="AG23" i="15"/>
  <c r="AF23" i="15"/>
  <c r="AE23" i="15"/>
  <c r="AD23" i="15"/>
  <c r="Y23" i="15"/>
  <c r="V23" i="15"/>
  <c r="T23" i="15"/>
  <c r="AM22" i="15"/>
  <c r="AL22" i="15"/>
  <c r="AK22" i="15"/>
  <c r="AJ22" i="15"/>
  <c r="AI22" i="15"/>
  <c r="AH22" i="15"/>
  <c r="AG22" i="15"/>
  <c r="AF22" i="15"/>
  <c r="AE22" i="15"/>
  <c r="AD22" i="15"/>
  <c r="Y22" i="15"/>
  <c r="V22" i="15"/>
  <c r="T22" i="15"/>
  <c r="AM21" i="15"/>
  <c r="AL21" i="15"/>
  <c r="AK21" i="15"/>
  <c r="AJ21" i="15"/>
  <c r="AI21" i="15"/>
  <c r="AH21" i="15"/>
  <c r="AG21" i="15"/>
  <c r="AF21" i="15"/>
  <c r="AE21" i="15"/>
  <c r="AD21" i="15"/>
  <c r="Y21" i="15"/>
  <c r="V21" i="15"/>
  <c r="T21" i="15"/>
  <c r="AM20" i="15"/>
  <c r="AL20" i="15"/>
  <c r="AK20" i="15"/>
  <c r="AJ20" i="15"/>
  <c r="AI20" i="15"/>
  <c r="AH20" i="15"/>
  <c r="AG20" i="15"/>
  <c r="AF20" i="15"/>
  <c r="AE20" i="15"/>
  <c r="AD20" i="15"/>
  <c r="Y20" i="15"/>
  <c r="V20" i="15"/>
  <c r="T20" i="15"/>
  <c r="AM19" i="15"/>
  <c r="AL19" i="15"/>
  <c r="AK19" i="15"/>
  <c r="AJ19" i="15"/>
  <c r="AI19" i="15"/>
  <c r="AH19" i="15"/>
  <c r="AG19" i="15"/>
  <c r="AF19" i="15"/>
  <c r="AE19" i="15"/>
  <c r="AD19" i="15"/>
  <c r="Y19" i="15"/>
  <c r="V19" i="15"/>
  <c r="T19" i="15"/>
  <c r="AM18" i="15"/>
  <c r="AL18" i="15"/>
  <c r="AK18" i="15"/>
  <c r="AJ18" i="15"/>
  <c r="AI18" i="15"/>
  <c r="AH18" i="15"/>
  <c r="AG18" i="15"/>
  <c r="AF18" i="15"/>
  <c r="AE18" i="15"/>
  <c r="AD18" i="15"/>
  <c r="Y18" i="15"/>
  <c r="V18" i="15"/>
  <c r="T18" i="15"/>
  <c r="AM17" i="15"/>
  <c r="AL17" i="15"/>
  <c r="AK17" i="15"/>
  <c r="AJ17" i="15"/>
  <c r="AI17" i="15"/>
  <c r="AH17" i="15"/>
  <c r="AG17" i="15"/>
  <c r="AF17" i="15"/>
  <c r="AE17" i="15"/>
  <c r="AD17" i="15"/>
  <c r="Y17" i="15"/>
  <c r="V17" i="15"/>
  <c r="T17" i="15"/>
  <c r="AM16" i="15"/>
  <c r="AL16" i="15"/>
  <c r="AK16" i="15"/>
  <c r="AJ16" i="15"/>
  <c r="AI16" i="15"/>
  <c r="AH16" i="15"/>
  <c r="AG16" i="15"/>
  <c r="AF16" i="15"/>
  <c r="AE16" i="15"/>
  <c r="AD16" i="15"/>
  <c r="Y16" i="15"/>
  <c r="V16" i="15"/>
  <c r="T16" i="15"/>
  <c r="AM15" i="15"/>
  <c r="AL15" i="15"/>
  <c r="AK15" i="15"/>
  <c r="AJ15" i="15"/>
  <c r="AI15" i="15"/>
  <c r="AH15" i="15"/>
  <c r="AG15" i="15"/>
  <c r="AF15" i="15"/>
  <c r="AE15" i="15"/>
  <c r="AD15" i="15"/>
  <c r="Y15" i="15"/>
  <c r="V15" i="15"/>
  <c r="T15" i="15"/>
  <c r="AM14" i="15"/>
  <c r="AL14" i="15"/>
  <c r="AK14" i="15"/>
  <c r="AJ14" i="15"/>
  <c r="AI14" i="15"/>
  <c r="AH14" i="15"/>
  <c r="AG14" i="15"/>
  <c r="AF14" i="15"/>
  <c r="AE14" i="15"/>
  <c r="AN14" i="15" s="1"/>
  <c r="AD14" i="15"/>
  <c r="Y14" i="15"/>
  <c r="V14" i="15"/>
  <c r="T14" i="15"/>
  <c r="AM13" i="15"/>
  <c r="AL13" i="15"/>
  <c r="AK13" i="15"/>
  <c r="AJ13" i="15"/>
  <c r="AI13" i="15"/>
  <c r="AH13" i="15"/>
  <c r="AG13" i="15"/>
  <c r="AF13" i="15"/>
  <c r="AE13" i="15"/>
  <c r="AD13" i="15"/>
  <c r="Y13" i="15"/>
  <c r="V13" i="15"/>
  <c r="T13" i="15"/>
  <c r="AM12" i="15"/>
  <c r="AL12" i="15"/>
  <c r="AK12" i="15"/>
  <c r="AJ12" i="15"/>
  <c r="AI12" i="15"/>
  <c r="AH12" i="15"/>
  <c r="AG12" i="15"/>
  <c r="AF12" i="15"/>
  <c r="AE12" i="15"/>
  <c r="AD12" i="15"/>
  <c r="Y12" i="15"/>
  <c r="V12" i="15"/>
  <c r="T12" i="15"/>
  <c r="A12" i="15"/>
  <c r="AM11" i="15"/>
  <c r="AL11" i="15"/>
  <c r="AK11" i="15"/>
  <c r="AJ11" i="15"/>
  <c r="AI11" i="15"/>
  <c r="AH11" i="15"/>
  <c r="AG11" i="15"/>
  <c r="AF11" i="15"/>
  <c r="AE11" i="15"/>
  <c r="AD11" i="15"/>
  <c r="Y11" i="15"/>
  <c r="V11" i="15"/>
  <c r="T11" i="15"/>
  <c r="AM10" i="15"/>
  <c r="AL10" i="15"/>
  <c r="AK10" i="15"/>
  <c r="AJ10" i="15"/>
  <c r="AI10" i="15"/>
  <c r="AH10" i="15"/>
  <c r="AG10" i="15"/>
  <c r="AF10" i="15"/>
  <c r="AE10" i="15"/>
  <c r="AD10" i="15"/>
  <c r="Y10" i="15"/>
  <c r="V10" i="15"/>
  <c r="T10" i="15"/>
  <c r="A10" i="15"/>
  <c r="W25" i="15" s="1"/>
  <c r="AM9" i="15"/>
  <c r="AL9" i="15"/>
  <c r="AK9" i="15"/>
  <c r="AJ9" i="15"/>
  <c r="AI9" i="15"/>
  <c r="AH9" i="15"/>
  <c r="AG9" i="15"/>
  <c r="AF9" i="15"/>
  <c r="AE9" i="15"/>
  <c r="AD9" i="15"/>
  <c r="Y9" i="15"/>
  <c r="W9" i="15"/>
  <c r="V9" i="15"/>
  <c r="T9" i="15"/>
  <c r="AM8" i="15"/>
  <c r="AL8" i="15"/>
  <c r="AK8" i="15"/>
  <c r="AJ8" i="15"/>
  <c r="AI8" i="15"/>
  <c r="AH8" i="15"/>
  <c r="AG8" i="15"/>
  <c r="AF8" i="15"/>
  <c r="AD8" i="15"/>
  <c r="AN8" i="15" s="1"/>
  <c r="Y8" i="15"/>
  <c r="V8" i="15"/>
  <c r="T8" i="15"/>
  <c r="AM7" i="15"/>
  <c r="AL7" i="15"/>
  <c r="AK7" i="15"/>
  <c r="AJ7" i="15"/>
  <c r="AI7" i="15"/>
  <c r="AH7" i="15"/>
  <c r="AG7" i="15"/>
  <c r="AF7" i="15"/>
  <c r="AD7" i="15"/>
  <c r="AN7" i="15" s="1"/>
  <c r="Y7" i="15"/>
  <c r="V7" i="15"/>
  <c r="T7" i="15"/>
  <c r="AM6" i="15"/>
  <c r="AL6" i="15"/>
  <c r="AK6" i="15"/>
  <c r="AJ6" i="15"/>
  <c r="AI6" i="15"/>
  <c r="AH6" i="15"/>
  <c r="AG6" i="15"/>
  <c r="AF6" i="15"/>
  <c r="AD6" i="15"/>
  <c r="AN6" i="15" s="1"/>
  <c r="Y6" i="15"/>
  <c r="V6" i="15"/>
  <c r="T6" i="15"/>
  <c r="A6" i="15"/>
  <c r="AM5" i="15"/>
  <c r="AL5" i="15"/>
  <c r="AK5" i="15"/>
  <c r="AJ5" i="15"/>
  <c r="AI5" i="15"/>
  <c r="AH5" i="15"/>
  <c r="AG5" i="15"/>
  <c r="AF5" i="15"/>
  <c r="AD5" i="15"/>
  <c r="AN5" i="15" s="1"/>
  <c r="Y5" i="15"/>
  <c r="V5" i="15"/>
  <c r="T5" i="15"/>
  <c r="F1" i="15"/>
  <c r="AK24" i="14"/>
  <c r="AF24" i="14"/>
  <c r="AG24" i="14" s="1"/>
  <c r="Y24" i="14"/>
  <c r="V24" i="14"/>
  <c r="T24" i="14"/>
  <c r="AE24" i="14" s="1"/>
  <c r="AK23" i="14"/>
  <c r="AF23" i="14"/>
  <c r="AG23" i="14" s="1"/>
  <c r="Y23" i="14"/>
  <c r="V23" i="14"/>
  <c r="T23" i="14"/>
  <c r="AH23" i="14" s="1"/>
  <c r="AI23" i="14" s="1"/>
  <c r="AK22" i="14"/>
  <c r="AF22" i="14"/>
  <c r="AG22" i="14" s="1"/>
  <c r="Y22" i="14"/>
  <c r="V22" i="14"/>
  <c r="T22" i="14"/>
  <c r="AH22" i="14" s="1"/>
  <c r="AI22" i="14" s="1"/>
  <c r="AM21" i="14"/>
  <c r="AK21" i="14"/>
  <c r="AF21" i="14"/>
  <c r="AG21" i="14" s="1"/>
  <c r="Y21" i="14"/>
  <c r="V21" i="14"/>
  <c r="T21" i="14"/>
  <c r="AH21" i="14" s="1"/>
  <c r="AI21" i="14" s="1"/>
  <c r="AK20" i="14"/>
  <c r="AF20" i="14"/>
  <c r="AG20" i="14" s="1"/>
  <c r="Y20" i="14"/>
  <c r="V20" i="14"/>
  <c r="T20" i="14"/>
  <c r="AH20" i="14" s="1"/>
  <c r="AI20" i="14" s="1"/>
  <c r="AK19" i="14"/>
  <c r="AG19" i="14"/>
  <c r="AF19" i="14"/>
  <c r="Y19" i="14"/>
  <c r="V19" i="14"/>
  <c r="T19" i="14"/>
  <c r="AM19" i="14" s="1"/>
  <c r="AM18" i="14"/>
  <c r="AL18" i="14"/>
  <c r="AK18" i="14"/>
  <c r="AJ18" i="14"/>
  <c r="AI18" i="14"/>
  <c r="AH18" i="14"/>
  <c r="AG18" i="14"/>
  <c r="AF18" i="14"/>
  <c r="AE18" i="14"/>
  <c r="AD18" i="14"/>
  <c r="Y18" i="14"/>
  <c r="V18" i="14"/>
  <c r="T18" i="14"/>
  <c r="AM17" i="14"/>
  <c r="AL17" i="14"/>
  <c r="AK17" i="14"/>
  <c r="AJ17" i="14"/>
  <c r="AI17" i="14"/>
  <c r="AH17" i="14"/>
  <c r="AG17" i="14"/>
  <c r="AF17" i="14"/>
  <c r="AE17" i="14"/>
  <c r="AD17" i="14"/>
  <c r="Y17" i="14"/>
  <c r="V17" i="14"/>
  <c r="T17" i="14"/>
  <c r="AM16" i="14"/>
  <c r="AL16" i="14"/>
  <c r="AK16" i="14"/>
  <c r="AJ16" i="14"/>
  <c r="AI16" i="14"/>
  <c r="AH16" i="14"/>
  <c r="AG16" i="14"/>
  <c r="AF16" i="14"/>
  <c r="AE16" i="14"/>
  <c r="AN16" i="14" s="1"/>
  <c r="AD16" i="14"/>
  <c r="Y16" i="14"/>
  <c r="V16" i="14"/>
  <c r="T16" i="14"/>
  <c r="AM15" i="14"/>
  <c r="AL15" i="14"/>
  <c r="AK15" i="14"/>
  <c r="AJ15" i="14"/>
  <c r="AI15" i="14"/>
  <c r="AH15" i="14"/>
  <c r="AG15" i="14"/>
  <c r="AF15" i="14"/>
  <c r="AE15" i="14"/>
  <c r="AD15" i="14"/>
  <c r="Y15" i="14"/>
  <c r="V15" i="14"/>
  <c r="T15" i="14"/>
  <c r="AM14" i="14"/>
  <c r="AL14" i="14"/>
  <c r="AK14" i="14"/>
  <c r="AJ14" i="14"/>
  <c r="AI14" i="14"/>
  <c r="AH14" i="14"/>
  <c r="AG14" i="14"/>
  <c r="AF14" i="14"/>
  <c r="AE14" i="14"/>
  <c r="AD14" i="14"/>
  <c r="Y14" i="14"/>
  <c r="V14" i="14"/>
  <c r="T14" i="14"/>
  <c r="AM13" i="14"/>
  <c r="AL13" i="14"/>
  <c r="AK13" i="14"/>
  <c r="AJ13" i="14"/>
  <c r="AI13" i="14"/>
  <c r="AH13" i="14"/>
  <c r="AG13" i="14"/>
  <c r="AF13" i="14"/>
  <c r="AE13" i="14"/>
  <c r="AN13" i="14" s="1"/>
  <c r="AD13" i="14"/>
  <c r="Y13" i="14"/>
  <c r="V13" i="14"/>
  <c r="T13" i="14"/>
  <c r="AM12" i="14"/>
  <c r="AL12" i="14"/>
  <c r="AK12" i="14"/>
  <c r="AJ12" i="14"/>
  <c r="AI12" i="14"/>
  <c r="AH12" i="14"/>
  <c r="AG12" i="14"/>
  <c r="AF12" i="14"/>
  <c r="AE12" i="14"/>
  <c r="AD12" i="14"/>
  <c r="Y12" i="14"/>
  <c r="V12" i="14"/>
  <c r="T12" i="14"/>
  <c r="A12" i="14"/>
  <c r="AM11" i="14"/>
  <c r="AL11" i="14"/>
  <c r="AK11" i="14"/>
  <c r="AJ11" i="14"/>
  <c r="AI11" i="14"/>
  <c r="AH11" i="14"/>
  <c r="AG11" i="14"/>
  <c r="AF11" i="14"/>
  <c r="AE11" i="14"/>
  <c r="AD11" i="14"/>
  <c r="Y11" i="14"/>
  <c r="V11" i="14"/>
  <c r="T11" i="14"/>
  <c r="AM10" i="14"/>
  <c r="AL10" i="14"/>
  <c r="AK10" i="14"/>
  <c r="AJ10" i="14"/>
  <c r="AI10" i="14"/>
  <c r="AH10" i="14"/>
  <c r="AG10" i="14"/>
  <c r="AF10" i="14"/>
  <c r="AE10" i="14"/>
  <c r="AD10" i="14"/>
  <c r="Y10" i="14"/>
  <c r="V10" i="14"/>
  <c r="T10" i="14"/>
  <c r="A10" i="14"/>
  <c r="U5" i="14" s="1"/>
  <c r="AM9" i="14"/>
  <c r="AL9" i="14"/>
  <c r="AK9" i="14"/>
  <c r="AJ9" i="14"/>
  <c r="AI9" i="14"/>
  <c r="AH9" i="14"/>
  <c r="AG9" i="14"/>
  <c r="AF9" i="14"/>
  <c r="AE9" i="14"/>
  <c r="AD9" i="14"/>
  <c r="Y9" i="14"/>
  <c r="W9" i="14"/>
  <c r="V9" i="14"/>
  <c r="T9" i="14"/>
  <c r="AM8" i="14"/>
  <c r="AL8" i="14"/>
  <c r="AK8" i="14"/>
  <c r="AJ8" i="14"/>
  <c r="AI8" i="14"/>
  <c r="AH8" i="14"/>
  <c r="AG8" i="14"/>
  <c r="AF8" i="14"/>
  <c r="AD8" i="14"/>
  <c r="AN8" i="14" s="1"/>
  <c r="Y8" i="14"/>
  <c r="V8" i="14"/>
  <c r="T8" i="14"/>
  <c r="AM7" i="14"/>
  <c r="AL7" i="14"/>
  <c r="AK7" i="14"/>
  <c r="AJ7" i="14"/>
  <c r="AI7" i="14"/>
  <c r="AH7" i="14"/>
  <c r="AG7" i="14"/>
  <c r="AF7" i="14"/>
  <c r="AD7" i="14"/>
  <c r="AN7" i="14" s="1"/>
  <c r="Y7" i="14"/>
  <c r="V7" i="14"/>
  <c r="T7" i="14"/>
  <c r="AM6" i="14"/>
  <c r="AL6" i="14"/>
  <c r="AK6" i="14"/>
  <c r="AJ6" i="14"/>
  <c r="AI6" i="14"/>
  <c r="AH6" i="14"/>
  <c r="AG6" i="14"/>
  <c r="AF6" i="14"/>
  <c r="AD6" i="14"/>
  <c r="AN6" i="14" s="1"/>
  <c r="Y6" i="14"/>
  <c r="V6" i="14"/>
  <c r="T6" i="14"/>
  <c r="A6" i="14"/>
  <c r="AM5" i="14"/>
  <c r="AL5" i="14"/>
  <c r="AK5" i="14"/>
  <c r="AJ5" i="14"/>
  <c r="AI5" i="14"/>
  <c r="AH5" i="14"/>
  <c r="AG5" i="14"/>
  <c r="AF5" i="14"/>
  <c r="AD5" i="14"/>
  <c r="AN5" i="14" s="1"/>
  <c r="Y5" i="14"/>
  <c r="V5" i="14"/>
  <c r="T5" i="14"/>
  <c r="F1" i="14"/>
  <c r="AM24" i="13"/>
  <c r="AK24" i="13"/>
  <c r="AF24" i="13"/>
  <c r="AG24" i="13" s="1"/>
  <c r="Y24" i="13"/>
  <c r="V24" i="13"/>
  <c r="T24" i="13"/>
  <c r="AH24" i="13" s="1"/>
  <c r="AI24" i="13" s="1"/>
  <c r="AM23" i="13"/>
  <c r="AK23" i="13"/>
  <c r="AF23" i="13"/>
  <c r="AG23" i="13" s="1"/>
  <c r="Y23" i="13"/>
  <c r="V23" i="13"/>
  <c r="T23" i="13"/>
  <c r="AH23" i="13" s="1"/>
  <c r="AI23" i="13" s="1"/>
  <c r="AK22" i="13"/>
  <c r="AF22" i="13"/>
  <c r="AG22" i="13" s="1"/>
  <c r="Y22" i="13"/>
  <c r="V22" i="13"/>
  <c r="T22" i="13"/>
  <c r="AM22" i="13" s="1"/>
  <c r="AK21" i="13"/>
  <c r="AF21" i="13"/>
  <c r="AG21" i="13" s="1"/>
  <c r="Y21" i="13"/>
  <c r="V21" i="13"/>
  <c r="T21" i="13"/>
  <c r="AM21" i="13" s="1"/>
  <c r="AK20" i="13"/>
  <c r="AF20" i="13"/>
  <c r="AG20" i="13" s="1"/>
  <c r="Y20" i="13"/>
  <c r="V20" i="13"/>
  <c r="AM20" i="13"/>
  <c r="AM19" i="13"/>
  <c r="AK19" i="13"/>
  <c r="AF19" i="13"/>
  <c r="AG19" i="13" s="1"/>
  <c r="Y19" i="13"/>
  <c r="V19" i="13"/>
  <c r="AH19" i="13"/>
  <c r="AI19" i="13" s="1"/>
  <c r="AM18" i="13"/>
  <c r="AK18" i="13"/>
  <c r="AF18" i="13"/>
  <c r="AG18" i="13" s="1"/>
  <c r="Y18" i="13"/>
  <c r="V18" i="13"/>
  <c r="AD18" i="13"/>
  <c r="AM17" i="13"/>
  <c r="AK17" i="13"/>
  <c r="AG17" i="13"/>
  <c r="AF17" i="13"/>
  <c r="Y17" i="13"/>
  <c r="V17" i="13"/>
  <c r="AE17" i="13"/>
  <c r="AK16" i="13"/>
  <c r="AF16" i="13"/>
  <c r="AG16" i="13" s="1"/>
  <c r="Y16" i="13"/>
  <c r="V16" i="13"/>
  <c r="AE16" i="13"/>
  <c r="AM15" i="13"/>
  <c r="AL15" i="13"/>
  <c r="AK15" i="13"/>
  <c r="AJ15" i="13"/>
  <c r="AI15" i="13"/>
  <c r="AH15" i="13"/>
  <c r="AG15" i="13"/>
  <c r="AF15" i="13"/>
  <c r="AE15" i="13"/>
  <c r="AD15" i="13"/>
  <c r="Y15" i="13"/>
  <c r="V15" i="13"/>
  <c r="T15" i="13"/>
  <c r="AM14" i="13"/>
  <c r="AL14" i="13"/>
  <c r="AK14" i="13"/>
  <c r="AJ14" i="13"/>
  <c r="AI14" i="13"/>
  <c r="AH14" i="13"/>
  <c r="AG14" i="13"/>
  <c r="AF14" i="13"/>
  <c r="AE14" i="13"/>
  <c r="AD14" i="13"/>
  <c r="Y14" i="13"/>
  <c r="V14" i="13"/>
  <c r="T14" i="13"/>
  <c r="AM13" i="13"/>
  <c r="AL13" i="13"/>
  <c r="AK13" i="13"/>
  <c r="AJ13" i="13"/>
  <c r="AI13" i="13"/>
  <c r="AH13" i="13"/>
  <c r="AG13" i="13"/>
  <c r="AF13" i="13"/>
  <c r="AE13" i="13"/>
  <c r="AD13" i="13"/>
  <c r="Y13" i="13"/>
  <c r="V13" i="13"/>
  <c r="T13" i="13"/>
  <c r="AM12" i="13"/>
  <c r="AL12" i="13"/>
  <c r="AK12" i="13"/>
  <c r="AJ12" i="13"/>
  <c r="AI12" i="13"/>
  <c r="AH12" i="13"/>
  <c r="AG12" i="13"/>
  <c r="AF12" i="13"/>
  <c r="AE12" i="13"/>
  <c r="AD12" i="13"/>
  <c r="Y12" i="13"/>
  <c r="V12" i="13"/>
  <c r="T12" i="13"/>
  <c r="A12" i="13"/>
  <c r="AM11" i="13"/>
  <c r="AL11" i="13"/>
  <c r="AK11" i="13"/>
  <c r="AJ11" i="13"/>
  <c r="AI11" i="13"/>
  <c r="AH11" i="13"/>
  <c r="AG11" i="13"/>
  <c r="AF11" i="13"/>
  <c r="AE11" i="13"/>
  <c r="AD11" i="13"/>
  <c r="Y11" i="13"/>
  <c r="V11" i="13"/>
  <c r="T11" i="13"/>
  <c r="AM10" i="13"/>
  <c r="AL10" i="13"/>
  <c r="AK10" i="13"/>
  <c r="AJ10" i="13"/>
  <c r="AI10" i="13"/>
  <c r="AH10" i="13"/>
  <c r="AG10" i="13"/>
  <c r="AF10" i="13"/>
  <c r="AE10" i="13"/>
  <c r="AD10" i="13"/>
  <c r="Y10" i="13"/>
  <c r="V10" i="13"/>
  <c r="T10" i="13"/>
  <c r="A10" i="13"/>
  <c r="W13" i="13" s="1"/>
  <c r="AM9" i="13"/>
  <c r="AL9" i="13"/>
  <c r="AK9" i="13"/>
  <c r="AJ9" i="13"/>
  <c r="AI9" i="13"/>
  <c r="AH9" i="13"/>
  <c r="AG9" i="13"/>
  <c r="AF9" i="13"/>
  <c r="AE9" i="13"/>
  <c r="AD9" i="13"/>
  <c r="Y9" i="13"/>
  <c r="W9" i="13"/>
  <c r="V9" i="13"/>
  <c r="T9" i="13"/>
  <c r="AM8" i="13"/>
  <c r="AL8" i="13"/>
  <c r="AK8" i="13"/>
  <c r="AJ8" i="13"/>
  <c r="AI8" i="13"/>
  <c r="AH8" i="13"/>
  <c r="AG8" i="13"/>
  <c r="AF8" i="13"/>
  <c r="AD8" i="13"/>
  <c r="AN8" i="13" s="1"/>
  <c r="Y8" i="13"/>
  <c r="V8" i="13"/>
  <c r="T8" i="13"/>
  <c r="AM7" i="13"/>
  <c r="AL7" i="13"/>
  <c r="AK7" i="13"/>
  <c r="AJ7" i="13"/>
  <c r="AI7" i="13"/>
  <c r="AH7" i="13"/>
  <c r="AG7" i="13"/>
  <c r="AF7" i="13"/>
  <c r="AD7" i="13"/>
  <c r="AN7" i="13" s="1"/>
  <c r="Y7" i="13"/>
  <c r="V7" i="13"/>
  <c r="T7" i="13"/>
  <c r="AM6" i="13"/>
  <c r="AL6" i="13"/>
  <c r="AK6" i="13"/>
  <c r="AJ6" i="13"/>
  <c r="AI6" i="13"/>
  <c r="AH6" i="13"/>
  <c r="AG6" i="13"/>
  <c r="AF6" i="13"/>
  <c r="AD6" i="13"/>
  <c r="AN6" i="13" s="1"/>
  <c r="Y6" i="13"/>
  <c r="V6" i="13"/>
  <c r="T6" i="13"/>
  <c r="A6" i="13"/>
  <c r="AM5" i="13"/>
  <c r="AL5" i="13"/>
  <c r="AK5" i="13"/>
  <c r="AJ5" i="13"/>
  <c r="AI5" i="13"/>
  <c r="AH5" i="13"/>
  <c r="AG5" i="13"/>
  <c r="AF5" i="13"/>
  <c r="AD5" i="13"/>
  <c r="AN5" i="13" s="1"/>
  <c r="Y5" i="13"/>
  <c r="V5" i="13"/>
  <c r="T5" i="13"/>
  <c r="F1" i="13"/>
  <c r="AK50" i="12"/>
  <c r="AF50" i="12"/>
  <c r="AG50" i="12" s="1"/>
  <c r="Y50" i="12"/>
  <c r="V50" i="12"/>
  <c r="T50" i="12"/>
  <c r="AD50" i="12" s="1"/>
  <c r="AM49" i="12"/>
  <c r="AK49" i="12"/>
  <c r="AF49" i="12"/>
  <c r="AG49" i="12" s="1"/>
  <c r="Y49" i="12"/>
  <c r="V49" i="12"/>
  <c r="T49" i="12"/>
  <c r="AE49" i="12" s="1"/>
  <c r="AK48" i="12"/>
  <c r="AF48" i="12"/>
  <c r="AG48" i="12" s="1"/>
  <c r="Y48" i="12"/>
  <c r="V48" i="12"/>
  <c r="T48" i="12"/>
  <c r="AE48" i="12" s="1"/>
  <c r="AK47" i="12"/>
  <c r="AF47" i="12"/>
  <c r="AG47" i="12" s="1"/>
  <c r="Y47" i="12"/>
  <c r="V47" i="12"/>
  <c r="T47" i="12"/>
  <c r="AH47" i="12" s="1"/>
  <c r="AI47" i="12" s="1"/>
  <c r="AK46" i="12"/>
  <c r="AF46" i="12"/>
  <c r="AG46" i="12" s="1"/>
  <c r="AD46" i="12"/>
  <c r="Y46" i="12"/>
  <c r="V46" i="12"/>
  <c r="T46" i="12"/>
  <c r="AH46" i="12" s="1"/>
  <c r="AI46" i="12" s="1"/>
  <c r="AM45" i="12"/>
  <c r="AK45" i="12"/>
  <c r="AF45" i="12"/>
  <c r="AG45" i="12" s="1"/>
  <c r="Y45" i="12"/>
  <c r="V45" i="12"/>
  <c r="T45" i="12"/>
  <c r="AH45" i="12" s="1"/>
  <c r="AI45" i="12" s="1"/>
  <c r="AM44" i="12"/>
  <c r="AK44" i="12"/>
  <c r="AF44" i="12"/>
  <c r="AG44" i="12" s="1"/>
  <c r="Y44" i="12"/>
  <c r="V44" i="12"/>
  <c r="T44" i="12"/>
  <c r="AD44" i="12" s="1"/>
  <c r="AM43" i="12"/>
  <c r="AK43" i="12"/>
  <c r="AF43" i="12"/>
  <c r="AG43" i="12" s="1"/>
  <c r="Y43" i="12"/>
  <c r="V43" i="12"/>
  <c r="T43" i="12"/>
  <c r="AH43" i="12" s="1"/>
  <c r="AI43" i="12" s="1"/>
  <c r="AM42" i="12"/>
  <c r="AK42" i="12"/>
  <c r="AF42" i="12"/>
  <c r="AG42" i="12" s="1"/>
  <c r="Y42" i="12"/>
  <c r="V42" i="12"/>
  <c r="T42" i="12"/>
  <c r="AH42" i="12" s="1"/>
  <c r="AI42" i="12" s="1"/>
  <c r="AK41" i="12"/>
  <c r="AF41" i="12"/>
  <c r="AG41" i="12" s="1"/>
  <c r="Y41" i="12"/>
  <c r="V41" i="12"/>
  <c r="T41" i="12"/>
  <c r="AD41" i="12" s="1"/>
  <c r="AK40" i="12"/>
  <c r="AF40" i="12"/>
  <c r="AG40" i="12" s="1"/>
  <c r="Y40" i="12"/>
  <c r="V40" i="12"/>
  <c r="T40" i="12"/>
  <c r="AE40" i="12" s="1"/>
  <c r="AK39" i="12"/>
  <c r="AH39" i="12"/>
  <c r="AI39" i="12" s="1"/>
  <c r="AF39" i="12"/>
  <c r="AG39" i="12" s="1"/>
  <c r="Y39" i="12"/>
  <c r="V39" i="12"/>
  <c r="T39" i="12"/>
  <c r="AE39" i="12" s="1"/>
  <c r="AK38" i="12"/>
  <c r="AF38" i="12"/>
  <c r="AG38" i="12" s="1"/>
  <c r="Y38" i="12"/>
  <c r="V38" i="12"/>
  <c r="T38" i="12"/>
  <c r="AH38" i="12" s="1"/>
  <c r="AI38" i="12" s="1"/>
  <c r="AK37" i="12"/>
  <c r="AF37" i="12"/>
  <c r="AG37" i="12" s="1"/>
  <c r="AE37" i="12"/>
  <c r="Y37" i="12"/>
  <c r="V37" i="12"/>
  <c r="T37" i="12"/>
  <c r="AD37" i="12" s="1"/>
  <c r="AK36" i="12"/>
  <c r="AF36" i="12"/>
  <c r="AG36" i="12" s="1"/>
  <c r="Y36" i="12"/>
  <c r="V36" i="12"/>
  <c r="T36" i="12"/>
  <c r="AH36" i="12" s="1"/>
  <c r="AI36" i="12" s="1"/>
  <c r="AK35" i="12"/>
  <c r="AF35" i="12"/>
  <c r="AG35" i="12" s="1"/>
  <c r="Y35" i="12"/>
  <c r="V35" i="12"/>
  <c r="T35" i="12"/>
  <c r="AM35" i="12" s="1"/>
  <c r="AK34" i="12"/>
  <c r="AF34" i="12"/>
  <c r="AG34" i="12" s="1"/>
  <c r="Y34" i="12"/>
  <c r="V34" i="12"/>
  <c r="T34" i="12"/>
  <c r="AM34" i="12" s="1"/>
  <c r="AK33" i="12"/>
  <c r="AF33" i="12"/>
  <c r="AG33" i="12" s="1"/>
  <c r="Y33" i="12"/>
  <c r="V33" i="12"/>
  <c r="T33" i="12"/>
  <c r="AM33" i="12" s="1"/>
  <c r="AK32" i="12"/>
  <c r="AF32" i="12"/>
  <c r="AG32" i="12" s="1"/>
  <c r="Y32" i="12"/>
  <c r="V32" i="12"/>
  <c r="T32" i="12"/>
  <c r="AE32" i="12" s="1"/>
  <c r="AK31" i="12"/>
  <c r="AF31" i="12"/>
  <c r="AG31" i="12" s="1"/>
  <c r="Y31" i="12"/>
  <c r="V31" i="12"/>
  <c r="T31" i="12"/>
  <c r="AD31" i="12" s="1"/>
  <c r="AK30" i="12"/>
  <c r="AF30" i="12"/>
  <c r="AG30" i="12" s="1"/>
  <c r="Y30" i="12"/>
  <c r="V30" i="12"/>
  <c r="T30" i="12"/>
  <c r="AE30" i="12" s="1"/>
  <c r="AK29" i="12"/>
  <c r="AF29" i="12"/>
  <c r="AG29" i="12" s="1"/>
  <c r="Y29" i="12"/>
  <c r="V29" i="12"/>
  <c r="T29" i="12"/>
  <c r="AH29" i="12" s="1"/>
  <c r="AI29" i="12" s="1"/>
  <c r="AM28" i="12"/>
  <c r="AL28" i="12"/>
  <c r="AK28" i="12"/>
  <c r="AJ28" i="12"/>
  <c r="AI28" i="12"/>
  <c r="AH28" i="12"/>
  <c r="AG28" i="12"/>
  <c r="AF28" i="12"/>
  <c r="AE28" i="12"/>
  <c r="AD28" i="12"/>
  <c r="AN28" i="12" s="1"/>
  <c r="Y28" i="12"/>
  <c r="V28" i="12"/>
  <c r="T28" i="12"/>
  <c r="AM27" i="12"/>
  <c r="AL27" i="12"/>
  <c r="AK27" i="12"/>
  <c r="AJ27" i="12"/>
  <c r="AI27" i="12"/>
  <c r="AH27" i="12"/>
  <c r="AG27" i="12"/>
  <c r="AF27" i="12"/>
  <c r="AE27" i="12"/>
  <c r="AD27" i="12"/>
  <c r="Y27" i="12"/>
  <c r="V27" i="12"/>
  <c r="T27" i="12"/>
  <c r="AM26" i="12"/>
  <c r="AL26" i="12"/>
  <c r="AK26" i="12"/>
  <c r="AJ26" i="12"/>
  <c r="AI26" i="12"/>
  <c r="AH26" i="12"/>
  <c r="AG26" i="12"/>
  <c r="AF26" i="12"/>
  <c r="AE26" i="12"/>
  <c r="AD26" i="12"/>
  <c r="Y26" i="12"/>
  <c r="V26" i="12"/>
  <c r="T26" i="12"/>
  <c r="AM25" i="12"/>
  <c r="AL25" i="12"/>
  <c r="AK25" i="12"/>
  <c r="AJ25" i="12"/>
  <c r="AI25" i="12"/>
  <c r="AH25" i="12"/>
  <c r="AG25" i="12"/>
  <c r="AF25" i="12"/>
  <c r="AE25" i="12"/>
  <c r="AD25" i="12"/>
  <c r="Y25" i="12"/>
  <c r="V25" i="12"/>
  <c r="T25" i="12"/>
  <c r="AM24" i="12"/>
  <c r="AL24" i="12"/>
  <c r="AK24" i="12"/>
  <c r="AJ24" i="12"/>
  <c r="AI24" i="12"/>
  <c r="AH24" i="12"/>
  <c r="AG24" i="12"/>
  <c r="AF24" i="12"/>
  <c r="AE24" i="12"/>
  <c r="AD24" i="12"/>
  <c r="Y24" i="12"/>
  <c r="V24" i="12"/>
  <c r="T24" i="12"/>
  <c r="AM23" i="12"/>
  <c r="AL23" i="12"/>
  <c r="AK23" i="12"/>
  <c r="AJ23" i="12"/>
  <c r="AI23" i="12"/>
  <c r="AH23" i="12"/>
  <c r="AG23" i="12"/>
  <c r="AF23" i="12"/>
  <c r="AE23" i="12"/>
  <c r="AD23" i="12"/>
  <c r="Y23" i="12"/>
  <c r="V23" i="12"/>
  <c r="T23" i="12"/>
  <c r="AM22" i="12"/>
  <c r="AL22" i="12"/>
  <c r="AK22" i="12"/>
  <c r="AJ22" i="12"/>
  <c r="AI22" i="12"/>
  <c r="AH22" i="12"/>
  <c r="AG22" i="12"/>
  <c r="AF22" i="12"/>
  <c r="AE22" i="12"/>
  <c r="AD22" i="12"/>
  <c r="Y22" i="12"/>
  <c r="V22" i="12"/>
  <c r="T22" i="12"/>
  <c r="AM21" i="12"/>
  <c r="AL21" i="12"/>
  <c r="AK21" i="12"/>
  <c r="AJ21" i="12"/>
  <c r="AI21" i="12"/>
  <c r="AH21" i="12"/>
  <c r="AG21" i="12"/>
  <c r="AF21" i="12"/>
  <c r="AE21" i="12"/>
  <c r="AD21" i="12"/>
  <c r="Y21" i="12"/>
  <c r="V21" i="12"/>
  <c r="T21" i="12"/>
  <c r="AM20" i="12"/>
  <c r="AL20" i="12"/>
  <c r="AK20" i="12"/>
  <c r="AJ20" i="12"/>
  <c r="AI20" i="12"/>
  <c r="AH20" i="12"/>
  <c r="AG20" i="12"/>
  <c r="AF20" i="12"/>
  <c r="AE20" i="12"/>
  <c r="AD20" i="12"/>
  <c r="Y20" i="12"/>
  <c r="V20" i="12"/>
  <c r="T20" i="12"/>
  <c r="AM19" i="12"/>
  <c r="AL19" i="12"/>
  <c r="AK19" i="12"/>
  <c r="AJ19" i="12"/>
  <c r="AI19" i="12"/>
  <c r="AH19" i="12"/>
  <c r="AG19" i="12"/>
  <c r="AF19" i="12"/>
  <c r="AE19" i="12"/>
  <c r="AD19" i="12"/>
  <c r="Y19" i="12"/>
  <c r="V19" i="12"/>
  <c r="T19" i="12"/>
  <c r="AM18" i="12"/>
  <c r="AL18" i="12"/>
  <c r="AK18" i="12"/>
  <c r="AJ18" i="12"/>
  <c r="AI18" i="12"/>
  <c r="AH18" i="12"/>
  <c r="AG18" i="12"/>
  <c r="AF18" i="12"/>
  <c r="AE18" i="12"/>
  <c r="AD18" i="12"/>
  <c r="Y18" i="12"/>
  <c r="V18" i="12"/>
  <c r="T18" i="12"/>
  <c r="AM17" i="12"/>
  <c r="AL17" i="12"/>
  <c r="AK17" i="12"/>
  <c r="AJ17" i="12"/>
  <c r="AI17" i="12"/>
  <c r="AH17" i="12"/>
  <c r="AG17" i="12"/>
  <c r="AF17" i="12"/>
  <c r="AE17" i="12"/>
  <c r="AD17" i="12"/>
  <c r="Y17" i="12"/>
  <c r="V17" i="12"/>
  <c r="T17" i="12"/>
  <c r="AM16" i="12"/>
  <c r="AL16" i="12"/>
  <c r="AK16" i="12"/>
  <c r="AJ16" i="12"/>
  <c r="AI16" i="12"/>
  <c r="AH16" i="12"/>
  <c r="AG16" i="12"/>
  <c r="AF16" i="12"/>
  <c r="AE16" i="12"/>
  <c r="AD16" i="12"/>
  <c r="Y16" i="12"/>
  <c r="V16" i="12"/>
  <c r="T16" i="12"/>
  <c r="AM15" i="12"/>
  <c r="AL15" i="12"/>
  <c r="AK15" i="12"/>
  <c r="AJ15" i="12"/>
  <c r="AI15" i="12"/>
  <c r="AH15" i="12"/>
  <c r="AG15" i="12"/>
  <c r="AF15" i="12"/>
  <c r="AE15" i="12"/>
  <c r="AD15" i="12"/>
  <c r="Y15" i="12"/>
  <c r="V15" i="12"/>
  <c r="T15" i="12"/>
  <c r="AM14" i="12"/>
  <c r="AL14" i="12"/>
  <c r="AK14" i="12"/>
  <c r="AJ14" i="12"/>
  <c r="AI14" i="12"/>
  <c r="AH14" i="12"/>
  <c r="AG14" i="12"/>
  <c r="AF14" i="12"/>
  <c r="AE14" i="12"/>
  <c r="AD14" i="12"/>
  <c r="Y14" i="12"/>
  <c r="V14" i="12"/>
  <c r="T14" i="12"/>
  <c r="AM13" i="12"/>
  <c r="AL13" i="12"/>
  <c r="AK13" i="12"/>
  <c r="AJ13" i="12"/>
  <c r="AI13" i="12"/>
  <c r="AH13" i="12"/>
  <c r="AG13" i="12"/>
  <c r="AF13" i="12"/>
  <c r="AE13" i="12"/>
  <c r="AD13" i="12"/>
  <c r="Y13" i="12"/>
  <c r="V13" i="12"/>
  <c r="T13" i="12"/>
  <c r="AM12" i="12"/>
  <c r="AL12" i="12"/>
  <c r="AK12" i="12"/>
  <c r="AJ12" i="12"/>
  <c r="AI12" i="12"/>
  <c r="AH12" i="12"/>
  <c r="AG12" i="12"/>
  <c r="AF12" i="12"/>
  <c r="AE12" i="12"/>
  <c r="AD12" i="12"/>
  <c r="AN12" i="12" s="1"/>
  <c r="Y12" i="12"/>
  <c r="V12" i="12"/>
  <c r="T12" i="12"/>
  <c r="A12" i="12"/>
  <c r="AM11" i="12"/>
  <c r="AL11" i="12"/>
  <c r="AK11" i="12"/>
  <c r="AJ11" i="12"/>
  <c r="AI11" i="12"/>
  <c r="AH11" i="12"/>
  <c r="AG11" i="12"/>
  <c r="AF11" i="12"/>
  <c r="AE11" i="12"/>
  <c r="AD11" i="12"/>
  <c r="Y11" i="12"/>
  <c r="W11" i="12"/>
  <c r="V11" i="12"/>
  <c r="T11" i="12"/>
  <c r="AM10" i="12"/>
  <c r="AL10" i="12"/>
  <c r="AK10" i="12"/>
  <c r="AJ10" i="12"/>
  <c r="AI10" i="12"/>
  <c r="AH10" i="12"/>
  <c r="AG10" i="12"/>
  <c r="AF10" i="12"/>
  <c r="AE10" i="12"/>
  <c r="AD10" i="12"/>
  <c r="Y10" i="12"/>
  <c r="V10" i="12"/>
  <c r="T10" i="12"/>
  <c r="A10" i="12"/>
  <c r="AM9" i="12"/>
  <c r="AL9" i="12"/>
  <c r="AK9" i="12"/>
  <c r="AJ9" i="12"/>
  <c r="AI9" i="12"/>
  <c r="AH9" i="12"/>
  <c r="AG9" i="12"/>
  <c r="AF9" i="12"/>
  <c r="AE9" i="12"/>
  <c r="AD9" i="12"/>
  <c r="AN9" i="12" s="1"/>
  <c r="Y9" i="12"/>
  <c r="W9" i="12"/>
  <c r="V9" i="12"/>
  <c r="T9" i="12"/>
  <c r="AM8" i="12"/>
  <c r="AL8" i="12"/>
  <c r="AK8" i="12"/>
  <c r="AJ8" i="12"/>
  <c r="AI8" i="12"/>
  <c r="AH8" i="12"/>
  <c r="AG8" i="12"/>
  <c r="AF8" i="12"/>
  <c r="AD8" i="12"/>
  <c r="AN8" i="12" s="1"/>
  <c r="Y8" i="12"/>
  <c r="V8" i="12"/>
  <c r="T8" i="12"/>
  <c r="AM7" i="12"/>
  <c r="AL7" i="12"/>
  <c r="AK7" i="12"/>
  <c r="AJ7" i="12"/>
  <c r="AI7" i="12"/>
  <c r="AH7" i="12"/>
  <c r="AG7" i="12"/>
  <c r="AF7" i="12"/>
  <c r="AD7" i="12"/>
  <c r="AN7" i="12" s="1"/>
  <c r="Y7" i="12"/>
  <c r="V7" i="12"/>
  <c r="T7" i="12"/>
  <c r="AM6" i="12"/>
  <c r="AL6" i="12"/>
  <c r="AK6" i="12"/>
  <c r="AJ6" i="12"/>
  <c r="AI6" i="12"/>
  <c r="AH6" i="12"/>
  <c r="AG6" i="12"/>
  <c r="AF6" i="12"/>
  <c r="AD6" i="12"/>
  <c r="AN6" i="12" s="1"/>
  <c r="Y6" i="12"/>
  <c r="V6" i="12"/>
  <c r="T6" i="12"/>
  <c r="A6" i="12"/>
  <c r="AM5" i="12"/>
  <c r="AL5" i="12"/>
  <c r="AK5" i="12"/>
  <c r="AJ5" i="12"/>
  <c r="AI5" i="12"/>
  <c r="AH5" i="12"/>
  <c r="AG5" i="12"/>
  <c r="AF5" i="12"/>
  <c r="AD5" i="12"/>
  <c r="AN5" i="12" s="1"/>
  <c r="Y5" i="12"/>
  <c r="V5" i="12"/>
  <c r="T5" i="12"/>
  <c r="F1" i="12"/>
  <c r="AM24" i="6"/>
  <c r="AK24" i="6"/>
  <c r="AF24" i="6"/>
  <c r="AG24" i="6" s="1"/>
  <c r="Y24" i="6"/>
  <c r="V24" i="6"/>
  <c r="T24" i="6"/>
  <c r="AD24" i="6" s="1"/>
  <c r="AK23" i="6"/>
  <c r="AF23" i="6"/>
  <c r="AG23" i="6" s="1"/>
  <c r="Y23" i="6"/>
  <c r="V23" i="6"/>
  <c r="T23" i="6"/>
  <c r="AE23" i="6" s="1"/>
  <c r="AM22" i="6"/>
  <c r="AK22" i="6"/>
  <c r="AF22" i="6"/>
  <c r="AG22" i="6" s="1"/>
  <c r="Y22" i="6"/>
  <c r="V22" i="6"/>
  <c r="T22" i="6"/>
  <c r="AE22" i="6" s="1"/>
  <c r="AM21" i="6"/>
  <c r="AK21" i="6"/>
  <c r="AH21" i="6"/>
  <c r="AI21" i="6" s="1"/>
  <c r="AF21" i="6"/>
  <c r="AG21" i="6" s="1"/>
  <c r="Y21" i="6"/>
  <c r="V21" i="6"/>
  <c r="T21" i="6"/>
  <c r="AE21" i="6" s="1"/>
  <c r="AK20" i="6"/>
  <c r="AF20" i="6"/>
  <c r="AG20" i="6" s="1"/>
  <c r="Y20" i="6"/>
  <c r="V20" i="6"/>
  <c r="T20" i="6"/>
  <c r="AH20" i="6" s="1"/>
  <c r="AI20" i="6" s="1"/>
  <c r="AK19" i="6"/>
  <c r="AF19" i="6"/>
  <c r="AG19" i="6" s="1"/>
  <c r="Y19" i="6"/>
  <c r="V19" i="6"/>
  <c r="T19" i="6"/>
  <c r="AH19" i="6" s="1"/>
  <c r="AI19" i="6" s="1"/>
  <c r="AM18" i="6"/>
  <c r="AK18" i="6"/>
  <c r="AF18" i="6"/>
  <c r="AG18" i="6" s="1"/>
  <c r="Y18" i="6"/>
  <c r="V18" i="6"/>
  <c r="T18" i="6"/>
  <c r="AH18" i="6" s="1"/>
  <c r="AI18" i="6" s="1"/>
  <c r="AK17" i="6"/>
  <c r="AF17" i="6"/>
  <c r="AG17" i="6" s="1"/>
  <c r="Y17" i="6"/>
  <c r="V17" i="6"/>
  <c r="T17" i="6"/>
  <c r="AH17" i="6" s="1"/>
  <c r="AI17" i="6" s="1"/>
  <c r="AK16" i="6"/>
  <c r="AH16" i="6"/>
  <c r="AI16" i="6" s="1"/>
  <c r="AF16" i="6"/>
  <c r="AG16" i="6" s="1"/>
  <c r="Y16" i="6"/>
  <c r="V16" i="6"/>
  <c r="T16" i="6"/>
  <c r="AM16" i="6" s="1"/>
  <c r="AK15" i="6"/>
  <c r="AH15" i="6"/>
  <c r="AI15" i="6" s="1"/>
  <c r="AF15" i="6"/>
  <c r="AG15" i="6" s="1"/>
  <c r="Y15" i="6"/>
  <c r="V15" i="6"/>
  <c r="T15" i="6"/>
  <c r="AM15" i="6" s="1"/>
  <c r="AK14" i="6"/>
  <c r="AF14" i="6"/>
  <c r="AG14" i="6" s="1"/>
  <c r="Y14" i="6"/>
  <c r="V14" i="6"/>
  <c r="T14" i="6"/>
  <c r="AM14" i="6" s="1"/>
  <c r="AM13" i="6"/>
  <c r="AK13" i="6"/>
  <c r="AF13" i="6"/>
  <c r="AG13" i="6" s="1"/>
  <c r="Y13" i="6"/>
  <c r="V13" i="6"/>
  <c r="T13" i="6"/>
  <c r="AE13" i="6" s="1"/>
  <c r="AM12" i="6"/>
  <c r="AL12" i="6"/>
  <c r="AK12" i="6"/>
  <c r="AJ12" i="6"/>
  <c r="AI12" i="6"/>
  <c r="AH12" i="6"/>
  <c r="AG12" i="6"/>
  <c r="AF12" i="6"/>
  <c r="AE12" i="6"/>
  <c r="AD12" i="6"/>
  <c r="Y12" i="6"/>
  <c r="V12" i="6"/>
  <c r="T12" i="6"/>
  <c r="A12" i="6"/>
  <c r="AM11" i="6"/>
  <c r="AL11" i="6"/>
  <c r="AK11" i="6"/>
  <c r="AJ11" i="6"/>
  <c r="AI11" i="6"/>
  <c r="AH11" i="6"/>
  <c r="AG11" i="6"/>
  <c r="AF11" i="6"/>
  <c r="AE11" i="6"/>
  <c r="AD11" i="6"/>
  <c r="Y11" i="6"/>
  <c r="V11" i="6"/>
  <c r="T11" i="6"/>
  <c r="AM10" i="6"/>
  <c r="AL10" i="6"/>
  <c r="AK10" i="6"/>
  <c r="AJ10" i="6"/>
  <c r="AI10" i="6"/>
  <c r="AH10" i="6"/>
  <c r="AG10" i="6"/>
  <c r="AF10" i="6"/>
  <c r="AE10" i="6"/>
  <c r="AD10" i="6"/>
  <c r="Y10" i="6"/>
  <c r="V10" i="6"/>
  <c r="T10" i="6"/>
  <c r="A10" i="6"/>
  <c r="U5" i="6" s="1"/>
  <c r="AM9" i="6"/>
  <c r="AL9" i="6"/>
  <c r="AK9" i="6"/>
  <c r="AJ9" i="6"/>
  <c r="AI9" i="6"/>
  <c r="AH9" i="6"/>
  <c r="AG9" i="6"/>
  <c r="AF9" i="6"/>
  <c r="AE9" i="6"/>
  <c r="AD9" i="6"/>
  <c r="Y9" i="6"/>
  <c r="W9" i="6"/>
  <c r="V9" i="6"/>
  <c r="T9" i="6"/>
  <c r="AM8" i="6"/>
  <c r="AL8" i="6"/>
  <c r="AK8" i="6"/>
  <c r="AJ8" i="6"/>
  <c r="AI8" i="6"/>
  <c r="AH8" i="6"/>
  <c r="AG8" i="6"/>
  <c r="AF8" i="6"/>
  <c r="AD8" i="6"/>
  <c r="AN8" i="6" s="1"/>
  <c r="Y8" i="6"/>
  <c r="V8" i="6"/>
  <c r="T8" i="6"/>
  <c r="AM7" i="6"/>
  <c r="AL7" i="6"/>
  <c r="AK7" i="6"/>
  <c r="AJ7" i="6"/>
  <c r="AI7" i="6"/>
  <c r="AH7" i="6"/>
  <c r="AG7" i="6"/>
  <c r="AF7" i="6"/>
  <c r="AD7" i="6"/>
  <c r="AN7" i="6" s="1"/>
  <c r="Y7" i="6"/>
  <c r="V7" i="6"/>
  <c r="T7" i="6"/>
  <c r="AN6" i="6"/>
  <c r="AM6" i="6"/>
  <c r="AL6" i="6"/>
  <c r="AK6" i="6"/>
  <c r="AJ6" i="6"/>
  <c r="AI6" i="6"/>
  <c r="AH6" i="6"/>
  <c r="AG6" i="6"/>
  <c r="AF6" i="6"/>
  <c r="AD6" i="6"/>
  <c r="Y6" i="6"/>
  <c r="V6" i="6"/>
  <c r="T6" i="6"/>
  <c r="A6" i="6"/>
  <c r="AM5" i="6"/>
  <c r="AL5" i="6"/>
  <c r="AK5" i="6"/>
  <c r="AJ5" i="6"/>
  <c r="AI5" i="6"/>
  <c r="AH5" i="6"/>
  <c r="AG5" i="6"/>
  <c r="AF5" i="6"/>
  <c r="AD5" i="6"/>
  <c r="AN5" i="6" s="1"/>
  <c r="Y5" i="6"/>
  <c r="V5" i="6"/>
  <c r="T5" i="6"/>
  <c r="F1" i="6"/>
  <c r="AK52" i="5"/>
  <c r="AF52" i="5"/>
  <c r="AG52" i="5" s="1"/>
  <c r="Y52" i="5"/>
  <c r="V52" i="5"/>
  <c r="T52" i="5"/>
  <c r="AH52" i="5" s="1"/>
  <c r="AI52" i="5" s="1"/>
  <c r="AK51" i="5"/>
  <c r="AF51" i="5"/>
  <c r="AG51" i="5" s="1"/>
  <c r="Y51" i="5"/>
  <c r="V51" i="5"/>
  <c r="T51" i="5"/>
  <c r="AH51" i="5" s="1"/>
  <c r="AI51" i="5" s="1"/>
  <c r="AK50" i="5"/>
  <c r="AF50" i="5"/>
  <c r="AG50" i="5" s="1"/>
  <c r="Y50" i="5"/>
  <c r="V50" i="5"/>
  <c r="T50" i="5"/>
  <c r="AH50" i="5" s="1"/>
  <c r="AI50" i="5" s="1"/>
  <c r="AM49" i="5"/>
  <c r="AK49" i="5"/>
  <c r="AF49" i="5"/>
  <c r="AG49" i="5" s="1"/>
  <c r="Y49" i="5"/>
  <c r="V49" i="5"/>
  <c r="T49" i="5"/>
  <c r="AH49" i="5" s="1"/>
  <c r="AI49" i="5" s="1"/>
  <c r="AK48" i="5"/>
  <c r="AF48" i="5"/>
  <c r="AG48" i="5" s="1"/>
  <c r="Y48" i="5"/>
  <c r="V48" i="5"/>
  <c r="T48" i="5"/>
  <c r="AM48" i="5" s="1"/>
  <c r="AK47" i="5"/>
  <c r="AF47" i="5"/>
  <c r="AG47" i="5" s="1"/>
  <c r="AD47" i="5"/>
  <c r="Y47" i="5"/>
  <c r="V47" i="5"/>
  <c r="T47" i="5"/>
  <c r="AM47" i="5" s="1"/>
  <c r="AK46" i="5"/>
  <c r="AF46" i="5"/>
  <c r="AG46" i="5" s="1"/>
  <c r="Y46" i="5"/>
  <c r="V46" i="5"/>
  <c r="T46" i="5"/>
  <c r="AM46" i="5" s="1"/>
  <c r="AK45" i="5"/>
  <c r="AF45" i="5"/>
  <c r="AG45" i="5" s="1"/>
  <c r="Y45" i="5"/>
  <c r="V45" i="5"/>
  <c r="T45" i="5"/>
  <c r="AD45" i="5" s="1"/>
  <c r="AK44" i="5"/>
  <c r="AF44" i="5"/>
  <c r="AG44" i="5" s="1"/>
  <c r="Y44" i="5"/>
  <c r="V44" i="5"/>
  <c r="T44" i="5"/>
  <c r="AM44" i="5" s="1"/>
  <c r="AK43" i="5"/>
  <c r="AF43" i="5"/>
  <c r="AG43" i="5" s="1"/>
  <c r="AE43" i="5"/>
  <c r="Y43" i="5"/>
  <c r="V43" i="5"/>
  <c r="T43" i="5"/>
  <c r="AD43" i="5" s="1"/>
  <c r="AK42" i="5"/>
  <c r="AF42" i="5"/>
  <c r="AG42" i="5" s="1"/>
  <c r="Y42" i="5"/>
  <c r="V42" i="5"/>
  <c r="T42" i="5"/>
  <c r="AM42" i="5" s="1"/>
  <c r="AK41" i="5"/>
  <c r="AF41" i="5"/>
  <c r="AG41" i="5" s="1"/>
  <c r="Y41" i="5"/>
  <c r="V41" i="5"/>
  <c r="T41" i="5"/>
  <c r="AD41" i="5" s="1"/>
  <c r="AK40" i="5"/>
  <c r="AF40" i="5"/>
  <c r="AG40" i="5" s="1"/>
  <c r="AJ40" i="5" s="1"/>
  <c r="Y40" i="5"/>
  <c r="V40" i="5"/>
  <c r="T40" i="5"/>
  <c r="AH40" i="5" s="1"/>
  <c r="AI40" i="5" s="1"/>
  <c r="AK39" i="5"/>
  <c r="AF39" i="5"/>
  <c r="AG39" i="5" s="1"/>
  <c r="Y39" i="5"/>
  <c r="V39" i="5"/>
  <c r="T39" i="5"/>
  <c r="AH39" i="5" s="1"/>
  <c r="AI39" i="5" s="1"/>
  <c r="AK38" i="5"/>
  <c r="AF38" i="5"/>
  <c r="AG38" i="5" s="1"/>
  <c r="Y38" i="5"/>
  <c r="V38" i="5"/>
  <c r="T38" i="5"/>
  <c r="AM38" i="5" s="1"/>
  <c r="AK37" i="5"/>
  <c r="AF37" i="5"/>
  <c r="AG37" i="5" s="1"/>
  <c r="Y37" i="5"/>
  <c r="V37" i="5"/>
  <c r="T37" i="5"/>
  <c r="AM37" i="5" s="1"/>
  <c r="AM36" i="5"/>
  <c r="AK36" i="5"/>
  <c r="AF36" i="5"/>
  <c r="AG36" i="5" s="1"/>
  <c r="Y36" i="5"/>
  <c r="V36" i="5"/>
  <c r="T36" i="5"/>
  <c r="AH36" i="5" s="1"/>
  <c r="AI36" i="5" s="1"/>
  <c r="AK35" i="5"/>
  <c r="AH35" i="5"/>
  <c r="AI35" i="5" s="1"/>
  <c r="AF35" i="5"/>
  <c r="AG35" i="5" s="1"/>
  <c r="Y35" i="5"/>
  <c r="V35" i="5"/>
  <c r="T35" i="5"/>
  <c r="AD35" i="5" s="1"/>
  <c r="AK34" i="5"/>
  <c r="AF34" i="5"/>
  <c r="AG34" i="5" s="1"/>
  <c r="Y34" i="5"/>
  <c r="V34" i="5"/>
  <c r="T34" i="5"/>
  <c r="AE34" i="5" s="1"/>
  <c r="AM33" i="5"/>
  <c r="AL33" i="5"/>
  <c r="AK33" i="5"/>
  <c r="AJ33" i="5"/>
  <c r="AI33" i="5"/>
  <c r="AH33" i="5"/>
  <c r="AG33" i="5"/>
  <c r="AF33" i="5"/>
  <c r="AE33" i="5"/>
  <c r="AD33" i="5"/>
  <c r="Y33" i="5"/>
  <c r="V33" i="5"/>
  <c r="T33" i="5"/>
  <c r="AM32" i="5"/>
  <c r="AL32" i="5"/>
  <c r="AK32" i="5"/>
  <c r="AJ32" i="5"/>
  <c r="AI32" i="5"/>
  <c r="AH32" i="5"/>
  <c r="AG32" i="5"/>
  <c r="AF32" i="5"/>
  <c r="AE32" i="5"/>
  <c r="AD32" i="5"/>
  <c r="Y32" i="5"/>
  <c r="V32" i="5"/>
  <c r="T32" i="5"/>
  <c r="AM31" i="5"/>
  <c r="AL31" i="5"/>
  <c r="AK31" i="5"/>
  <c r="AJ31" i="5"/>
  <c r="AI31" i="5"/>
  <c r="AH31" i="5"/>
  <c r="AG31" i="5"/>
  <c r="AF31" i="5"/>
  <c r="AE31" i="5"/>
  <c r="AD31" i="5"/>
  <c r="Y31" i="5"/>
  <c r="V31" i="5"/>
  <c r="T31" i="5"/>
  <c r="AM30" i="5"/>
  <c r="AL30" i="5"/>
  <c r="AK30" i="5"/>
  <c r="AJ30" i="5"/>
  <c r="AI30" i="5"/>
  <c r="AH30" i="5"/>
  <c r="AG30" i="5"/>
  <c r="AF30" i="5"/>
  <c r="AE30" i="5"/>
  <c r="AD30" i="5"/>
  <c r="Y30" i="5"/>
  <c r="V30" i="5"/>
  <c r="T30" i="5"/>
  <c r="AM29" i="5"/>
  <c r="AL29" i="5"/>
  <c r="AK29" i="5"/>
  <c r="AJ29" i="5"/>
  <c r="AI29" i="5"/>
  <c r="AH29" i="5"/>
  <c r="AG29" i="5"/>
  <c r="AF29" i="5"/>
  <c r="AE29" i="5"/>
  <c r="AD29" i="5"/>
  <c r="Y29" i="5"/>
  <c r="V29" i="5"/>
  <c r="T29" i="5"/>
  <c r="AM28" i="5"/>
  <c r="AL28" i="5"/>
  <c r="AK28" i="5"/>
  <c r="AJ28" i="5"/>
  <c r="AI28" i="5"/>
  <c r="AH28" i="5"/>
  <c r="AG28" i="5"/>
  <c r="AF28" i="5"/>
  <c r="AE28" i="5"/>
  <c r="AD28" i="5"/>
  <c r="Y28" i="5"/>
  <c r="V28" i="5"/>
  <c r="T28" i="5"/>
  <c r="AM27" i="5"/>
  <c r="AL27" i="5"/>
  <c r="AK27" i="5"/>
  <c r="AJ27" i="5"/>
  <c r="AI27" i="5"/>
  <c r="AH27" i="5"/>
  <c r="AG27" i="5"/>
  <c r="AF27" i="5"/>
  <c r="AE27" i="5"/>
  <c r="AD27" i="5"/>
  <c r="Y27" i="5"/>
  <c r="V27" i="5"/>
  <c r="T27" i="5"/>
  <c r="AM26" i="5"/>
  <c r="AL26" i="5"/>
  <c r="AK26" i="5"/>
  <c r="AJ26" i="5"/>
  <c r="AI26" i="5"/>
  <c r="AH26" i="5"/>
  <c r="AG26" i="5"/>
  <c r="AF26" i="5"/>
  <c r="AE26" i="5"/>
  <c r="AD26" i="5"/>
  <c r="Y26" i="5"/>
  <c r="V26" i="5"/>
  <c r="T26" i="5"/>
  <c r="AM25" i="5"/>
  <c r="AL25" i="5"/>
  <c r="AK25" i="5"/>
  <c r="AJ25" i="5"/>
  <c r="AI25" i="5"/>
  <c r="AH25" i="5"/>
  <c r="AG25" i="5"/>
  <c r="AF25" i="5"/>
  <c r="AE25" i="5"/>
  <c r="AD25" i="5"/>
  <c r="Y25" i="5"/>
  <c r="V25" i="5"/>
  <c r="T25" i="5"/>
  <c r="AM24" i="5"/>
  <c r="AL24" i="5"/>
  <c r="AK24" i="5"/>
  <c r="AJ24" i="5"/>
  <c r="AI24" i="5"/>
  <c r="AH24" i="5"/>
  <c r="AG24" i="5"/>
  <c r="AF24" i="5"/>
  <c r="AE24" i="5"/>
  <c r="AD24" i="5"/>
  <c r="Y24" i="5"/>
  <c r="V24" i="5"/>
  <c r="T24" i="5"/>
  <c r="AM23" i="5"/>
  <c r="AL23" i="5"/>
  <c r="AK23" i="5"/>
  <c r="AJ23" i="5"/>
  <c r="AI23" i="5"/>
  <c r="AH23" i="5"/>
  <c r="AG23" i="5"/>
  <c r="AF23" i="5"/>
  <c r="AE23" i="5"/>
  <c r="AD23" i="5"/>
  <c r="Y23" i="5"/>
  <c r="V23" i="5"/>
  <c r="T23" i="5"/>
  <c r="AM22" i="5"/>
  <c r="AL22" i="5"/>
  <c r="AK22" i="5"/>
  <c r="AJ22" i="5"/>
  <c r="AI22" i="5"/>
  <c r="AH22" i="5"/>
  <c r="AG22" i="5"/>
  <c r="AF22" i="5"/>
  <c r="AE22" i="5"/>
  <c r="AD22" i="5"/>
  <c r="Y22" i="5"/>
  <c r="V22" i="5"/>
  <c r="T22" i="5"/>
  <c r="AM21" i="5"/>
  <c r="AL21" i="5"/>
  <c r="AK21" i="5"/>
  <c r="AJ21" i="5"/>
  <c r="AI21" i="5"/>
  <c r="AH21" i="5"/>
  <c r="AG21" i="5"/>
  <c r="AF21" i="5"/>
  <c r="AE21" i="5"/>
  <c r="AD21" i="5"/>
  <c r="Y21" i="5"/>
  <c r="V21" i="5"/>
  <c r="T21" i="5"/>
  <c r="AM20" i="5"/>
  <c r="AL20" i="5"/>
  <c r="AK20" i="5"/>
  <c r="AJ20" i="5"/>
  <c r="AI20" i="5"/>
  <c r="AH20" i="5"/>
  <c r="AG20" i="5"/>
  <c r="AF20" i="5"/>
  <c r="AE20" i="5"/>
  <c r="AD20" i="5"/>
  <c r="Y20" i="5"/>
  <c r="V20" i="5"/>
  <c r="T20" i="5"/>
  <c r="AM19" i="5"/>
  <c r="AL19" i="5"/>
  <c r="AK19" i="5"/>
  <c r="AJ19" i="5"/>
  <c r="AI19" i="5"/>
  <c r="AH19" i="5"/>
  <c r="AG19" i="5"/>
  <c r="AF19" i="5"/>
  <c r="AE19" i="5"/>
  <c r="AD19" i="5"/>
  <c r="AN19" i="5" s="1"/>
  <c r="Y19" i="5"/>
  <c r="V19" i="5"/>
  <c r="T19" i="5"/>
  <c r="AM18" i="5"/>
  <c r="AL18" i="5"/>
  <c r="AK18" i="5"/>
  <c r="AJ18" i="5"/>
  <c r="AI18" i="5"/>
  <c r="AH18" i="5"/>
  <c r="AG18" i="5"/>
  <c r="AF18" i="5"/>
  <c r="AE18" i="5"/>
  <c r="AD18" i="5"/>
  <c r="Y18" i="5"/>
  <c r="V18" i="5"/>
  <c r="T18" i="5"/>
  <c r="AM17" i="5"/>
  <c r="AL17" i="5"/>
  <c r="AK17" i="5"/>
  <c r="AJ17" i="5"/>
  <c r="AI17" i="5"/>
  <c r="AH17" i="5"/>
  <c r="AG17" i="5"/>
  <c r="AF17" i="5"/>
  <c r="AE17" i="5"/>
  <c r="AD17" i="5"/>
  <c r="Y17" i="5"/>
  <c r="V17" i="5"/>
  <c r="T17" i="5"/>
  <c r="AM16" i="5"/>
  <c r="AL16" i="5"/>
  <c r="AK16" i="5"/>
  <c r="AJ16" i="5"/>
  <c r="AI16" i="5"/>
  <c r="AH16" i="5"/>
  <c r="AG16" i="5"/>
  <c r="AF16" i="5"/>
  <c r="AE16" i="5"/>
  <c r="AD16" i="5"/>
  <c r="Y16" i="5"/>
  <c r="V16" i="5"/>
  <c r="T16" i="5"/>
  <c r="AM15" i="5"/>
  <c r="AL15" i="5"/>
  <c r="AK15" i="5"/>
  <c r="AJ15" i="5"/>
  <c r="AI15" i="5"/>
  <c r="AH15" i="5"/>
  <c r="AG15" i="5"/>
  <c r="AF15" i="5"/>
  <c r="AE15" i="5"/>
  <c r="AD15" i="5"/>
  <c r="Y15" i="5"/>
  <c r="V15" i="5"/>
  <c r="T15" i="5"/>
  <c r="AM14" i="5"/>
  <c r="AL14" i="5"/>
  <c r="AK14" i="5"/>
  <c r="AJ14" i="5"/>
  <c r="AI14" i="5"/>
  <c r="AH14" i="5"/>
  <c r="AG14" i="5"/>
  <c r="AF14" i="5"/>
  <c r="AE14" i="5"/>
  <c r="AD14" i="5"/>
  <c r="Y14" i="5"/>
  <c r="V14" i="5"/>
  <c r="T14" i="5"/>
  <c r="AM13" i="5"/>
  <c r="AL13" i="5"/>
  <c r="AK13" i="5"/>
  <c r="AJ13" i="5"/>
  <c r="AI13" i="5"/>
  <c r="AH13" i="5"/>
  <c r="AG13" i="5"/>
  <c r="AF13" i="5"/>
  <c r="AE13" i="5"/>
  <c r="AD13" i="5"/>
  <c r="Y13" i="5"/>
  <c r="V13" i="5"/>
  <c r="T13" i="5"/>
  <c r="AM12" i="5"/>
  <c r="AL12" i="5"/>
  <c r="AK12" i="5"/>
  <c r="AJ12" i="5"/>
  <c r="AI12" i="5"/>
  <c r="AH12" i="5"/>
  <c r="AG12" i="5"/>
  <c r="AF12" i="5"/>
  <c r="AE12" i="5"/>
  <c r="AD12" i="5"/>
  <c r="Y12" i="5"/>
  <c r="V12" i="5"/>
  <c r="T12" i="5"/>
  <c r="A12" i="5"/>
  <c r="AM11" i="5"/>
  <c r="AL11" i="5"/>
  <c r="AK11" i="5"/>
  <c r="AJ11" i="5"/>
  <c r="AI11" i="5"/>
  <c r="AH11" i="5"/>
  <c r="AG11" i="5"/>
  <c r="AF11" i="5"/>
  <c r="AE11" i="5"/>
  <c r="AD11" i="5"/>
  <c r="Y11" i="5"/>
  <c r="W11" i="5"/>
  <c r="V11" i="5"/>
  <c r="T11" i="5"/>
  <c r="AM10" i="5"/>
  <c r="AL10" i="5"/>
  <c r="AK10" i="5"/>
  <c r="AJ10" i="5"/>
  <c r="AI10" i="5"/>
  <c r="AH10" i="5"/>
  <c r="AG10" i="5"/>
  <c r="AF10" i="5"/>
  <c r="AE10" i="5"/>
  <c r="AD10" i="5"/>
  <c r="AN10" i="5" s="1"/>
  <c r="Y10" i="5"/>
  <c r="V10" i="5"/>
  <c r="T10" i="5"/>
  <c r="A10" i="5"/>
  <c r="AM9" i="5"/>
  <c r="AL9" i="5"/>
  <c r="AK9" i="5"/>
  <c r="AJ9" i="5"/>
  <c r="AI9" i="5"/>
  <c r="AH9" i="5"/>
  <c r="AG9" i="5"/>
  <c r="AF9" i="5"/>
  <c r="AE9" i="5"/>
  <c r="AD9" i="5"/>
  <c r="Y9" i="5"/>
  <c r="W9" i="5"/>
  <c r="V9" i="5"/>
  <c r="T9" i="5"/>
  <c r="AM8" i="5"/>
  <c r="AL8" i="5"/>
  <c r="AK8" i="5"/>
  <c r="AJ8" i="5"/>
  <c r="AI8" i="5"/>
  <c r="AH8" i="5"/>
  <c r="AG8" i="5"/>
  <c r="AF8" i="5"/>
  <c r="AD8" i="5"/>
  <c r="AN8" i="5" s="1"/>
  <c r="Y8" i="5"/>
  <c r="V8" i="5"/>
  <c r="T8" i="5"/>
  <c r="AM7" i="5"/>
  <c r="AL7" i="5"/>
  <c r="AK7" i="5"/>
  <c r="AJ7" i="5"/>
  <c r="AI7" i="5"/>
  <c r="AH7" i="5"/>
  <c r="AG7" i="5"/>
  <c r="AF7" i="5"/>
  <c r="AD7" i="5"/>
  <c r="AN7" i="5" s="1"/>
  <c r="Y7" i="5"/>
  <c r="V7" i="5"/>
  <c r="T7" i="5"/>
  <c r="AM6" i="5"/>
  <c r="AL6" i="5"/>
  <c r="AK6" i="5"/>
  <c r="AJ6" i="5"/>
  <c r="AI6" i="5"/>
  <c r="AH6" i="5"/>
  <c r="AG6" i="5"/>
  <c r="AF6" i="5"/>
  <c r="AD6" i="5"/>
  <c r="AN6" i="5" s="1"/>
  <c r="Y6" i="5"/>
  <c r="V6" i="5"/>
  <c r="T6" i="5"/>
  <c r="A6" i="5"/>
  <c r="AM5" i="5"/>
  <c r="AL5" i="5"/>
  <c r="AK5" i="5"/>
  <c r="AJ5" i="5"/>
  <c r="AI5" i="5"/>
  <c r="AH5" i="5"/>
  <c r="AG5" i="5"/>
  <c r="AF5" i="5"/>
  <c r="AD5" i="5"/>
  <c r="AN5" i="5" s="1"/>
  <c r="Y5" i="5"/>
  <c r="V5" i="5"/>
  <c r="T5" i="5"/>
  <c r="F1" i="5"/>
  <c r="AK23" i="3"/>
  <c r="AF23" i="3"/>
  <c r="AG23" i="3" s="1"/>
  <c r="Y23" i="3"/>
  <c r="V23" i="3"/>
  <c r="T23" i="3"/>
  <c r="AM23" i="3" s="1"/>
  <c r="AK22" i="3"/>
  <c r="AF22" i="3"/>
  <c r="AG22" i="3" s="1"/>
  <c r="Y22" i="3"/>
  <c r="V22" i="3"/>
  <c r="T22" i="3"/>
  <c r="AD22" i="3" s="1"/>
  <c r="AK21" i="3"/>
  <c r="AF21" i="3"/>
  <c r="AG21" i="3" s="1"/>
  <c r="Y21" i="3"/>
  <c r="V21" i="3"/>
  <c r="T21" i="3"/>
  <c r="AE21" i="3" s="1"/>
  <c r="AM20" i="3"/>
  <c r="AK20" i="3"/>
  <c r="AF20" i="3"/>
  <c r="AG20" i="3" s="1"/>
  <c r="Y20" i="3"/>
  <c r="V20" i="3"/>
  <c r="T20" i="3"/>
  <c r="AE20" i="3" s="1"/>
  <c r="AK19" i="3"/>
  <c r="AF19" i="3"/>
  <c r="AG19" i="3" s="1"/>
  <c r="Y19" i="3"/>
  <c r="V19" i="3"/>
  <c r="T19" i="3"/>
  <c r="AH19" i="3" s="1"/>
  <c r="AI19" i="3" s="1"/>
  <c r="AK18" i="3"/>
  <c r="AF18" i="3"/>
  <c r="AG18" i="3" s="1"/>
  <c r="Y18" i="3"/>
  <c r="V18" i="3"/>
  <c r="T18" i="3"/>
  <c r="AH18" i="3" s="1"/>
  <c r="AI18" i="3" s="1"/>
  <c r="AK17" i="3"/>
  <c r="AF17" i="3"/>
  <c r="AG17" i="3" s="1"/>
  <c r="Y17" i="3"/>
  <c r="V17" i="3"/>
  <c r="T17" i="3"/>
  <c r="AH17" i="3" s="1"/>
  <c r="AI17" i="3" s="1"/>
  <c r="AK16" i="3"/>
  <c r="AF16" i="3"/>
  <c r="AG16" i="3" s="1"/>
  <c r="Y16" i="3"/>
  <c r="V16" i="3"/>
  <c r="T16" i="3"/>
  <c r="AH16" i="3" s="1"/>
  <c r="AI16" i="3" s="1"/>
  <c r="AK15" i="3"/>
  <c r="AF15" i="3"/>
  <c r="AG15" i="3" s="1"/>
  <c r="Y15" i="3"/>
  <c r="V15" i="3"/>
  <c r="T15" i="3"/>
  <c r="AH15" i="3" s="1"/>
  <c r="AI15" i="3" s="1"/>
  <c r="AM14" i="3"/>
  <c r="AL14" i="3"/>
  <c r="AK14" i="3"/>
  <c r="AJ14" i="3"/>
  <c r="AI14" i="3"/>
  <c r="AH14" i="3"/>
  <c r="AG14" i="3"/>
  <c r="AF14" i="3"/>
  <c r="AE14" i="3"/>
  <c r="AD14" i="3"/>
  <c r="AN14" i="3" s="1"/>
  <c r="Y14" i="3"/>
  <c r="V14" i="3"/>
  <c r="T14" i="3"/>
  <c r="AM13" i="3"/>
  <c r="AL13" i="3"/>
  <c r="AK13" i="3"/>
  <c r="AJ13" i="3"/>
  <c r="AI13" i="3"/>
  <c r="AH13" i="3"/>
  <c r="AG13" i="3"/>
  <c r="AF13" i="3"/>
  <c r="AE13" i="3"/>
  <c r="AD13" i="3"/>
  <c r="Y13" i="3"/>
  <c r="V13" i="3"/>
  <c r="T13" i="3"/>
  <c r="AM12" i="3"/>
  <c r="AL12" i="3"/>
  <c r="AK12" i="3"/>
  <c r="AJ12" i="3"/>
  <c r="AI12" i="3"/>
  <c r="AH12" i="3"/>
  <c r="AG12" i="3"/>
  <c r="AF12" i="3"/>
  <c r="AE12" i="3"/>
  <c r="AN12" i="3" s="1"/>
  <c r="AD12" i="3"/>
  <c r="Y12" i="3"/>
  <c r="V12" i="3"/>
  <c r="T12" i="3"/>
  <c r="A12" i="3"/>
  <c r="AM11" i="3"/>
  <c r="AL11" i="3"/>
  <c r="AK11" i="3"/>
  <c r="AJ11" i="3"/>
  <c r="AI11" i="3"/>
  <c r="AH11" i="3"/>
  <c r="AG11" i="3"/>
  <c r="AF11" i="3"/>
  <c r="AE11" i="3"/>
  <c r="AD11" i="3"/>
  <c r="AN11" i="3" s="1"/>
  <c r="Y11" i="3"/>
  <c r="V11" i="3"/>
  <c r="T11" i="3"/>
  <c r="AM10" i="3"/>
  <c r="AL10" i="3"/>
  <c r="AK10" i="3"/>
  <c r="AJ10" i="3"/>
  <c r="AI10" i="3"/>
  <c r="AH10" i="3"/>
  <c r="AG10" i="3"/>
  <c r="AF10" i="3"/>
  <c r="AE10" i="3"/>
  <c r="AD10" i="3"/>
  <c r="Y10" i="3"/>
  <c r="V10" i="3"/>
  <c r="T10" i="3"/>
  <c r="A10" i="3"/>
  <c r="AM9" i="3"/>
  <c r="AL9" i="3"/>
  <c r="AK9" i="3"/>
  <c r="AJ9" i="3"/>
  <c r="AI9" i="3"/>
  <c r="AH9" i="3"/>
  <c r="AG9" i="3"/>
  <c r="AF9" i="3"/>
  <c r="AE9" i="3"/>
  <c r="AD9" i="3"/>
  <c r="AN9" i="3" s="1"/>
  <c r="Y9" i="3"/>
  <c r="W9" i="3"/>
  <c r="V9" i="3"/>
  <c r="T9" i="3"/>
  <c r="AM8" i="3"/>
  <c r="AL8" i="3"/>
  <c r="AK8" i="3"/>
  <c r="AJ8" i="3"/>
  <c r="AI8" i="3"/>
  <c r="AH8" i="3"/>
  <c r="AG8" i="3"/>
  <c r="AF8" i="3"/>
  <c r="AD8" i="3"/>
  <c r="AN8" i="3" s="1"/>
  <c r="Y8" i="3"/>
  <c r="V8" i="3"/>
  <c r="T8" i="3"/>
  <c r="AM7" i="3"/>
  <c r="AL7" i="3"/>
  <c r="AK7" i="3"/>
  <c r="AJ7" i="3"/>
  <c r="AI7" i="3"/>
  <c r="AH7" i="3"/>
  <c r="AG7" i="3"/>
  <c r="AF7" i="3"/>
  <c r="AD7" i="3"/>
  <c r="AN7" i="3" s="1"/>
  <c r="Y7" i="3"/>
  <c r="V7" i="3"/>
  <c r="T7" i="3"/>
  <c r="AM6" i="3"/>
  <c r="AL6" i="3"/>
  <c r="AK6" i="3"/>
  <c r="AJ6" i="3"/>
  <c r="AI6" i="3"/>
  <c r="AH6" i="3"/>
  <c r="AG6" i="3"/>
  <c r="AF6" i="3"/>
  <c r="AD6" i="3"/>
  <c r="AN6" i="3" s="1"/>
  <c r="Y6" i="3"/>
  <c r="V6" i="3"/>
  <c r="T6" i="3"/>
  <c r="A6" i="3"/>
  <c r="AM5" i="3"/>
  <c r="AL5" i="3"/>
  <c r="AK5" i="3"/>
  <c r="AJ5" i="3"/>
  <c r="AI5" i="3"/>
  <c r="AH5" i="3"/>
  <c r="AG5" i="3"/>
  <c r="AF5" i="3"/>
  <c r="AD5" i="3"/>
  <c r="AN5" i="3" s="1"/>
  <c r="Y5" i="3"/>
  <c r="V5" i="3"/>
  <c r="T5" i="3"/>
  <c r="F1" i="3"/>
  <c r="AM232" i="65"/>
  <c r="AK232" i="65"/>
  <c r="AF232" i="65"/>
  <c r="AG232" i="65" s="1"/>
  <c r="Y232" i="65"/>
  <c r="V232" i="65"/>
  <c r="T232" i="65"/>
  <c r="AH232" i="65" s="1"/>
  <c r="AI232" i="65" s="1"/>
  <c r="AM231" i="65"/>
  <c r="AK231" i="65"/>
  <c r="AF231" i="65"/>
  <c r="AG231" i="65" s="1"/>
  <c r="Y231" i="65"/>
  <c r="V231" i="65"/>
  <c r="T231" i="65"/>
  <c r="AH231" i="65" s="1"/>
  <c r="AI231" i="65" s="1"/>
  <c r="AM230" i="65"/>
  <c r="AK230" i="65"/>
  <c r="AF230" i="65"/>
  <c r="AG230" i="65" s="1"/>
  <c r="Y230" i="65"/>
  <c r="V230" i="65"/>
  <c r="T230" i="65"/>
  <c r="AH230" i="65" s="1"/>
  <c r="AI230" i="65" s="1"/>
  <c r="AM229" i="65"/>
  <c r="AK229" i="65"/>
  <c r="AF229" i="65"/>
  <c r="AG229" i="65" s="1"/>
  <c r="Y229" i="65"/>
  <c r="V229" i="65"/>
  <c r="T229" i="65"/>
  <c r="AH229" i="65" s="1"/>
  <c r="AI229" i="65" s="1"/>
  <c r="AM228" i="65"/>
  <c r="AK228" i="65"/>
  <c r="AF228" i="65"/>
  <c r="AG228" i="65" s="1"/>
  <c r="Y228" i="65"/>
  <c r="V228" i="65"/>
  <c r="T228" i="65"/>
  <c r="AH228" i="65" s="1"/>
  <c r="AI228" i="65" s="1"/>
  <c r="AM227" i="65"/>
  <c r="AK227" i="65"/>
  <c r="AF227" i="65"/>
  <c r="AG227" i="65" s="1"/>
  <c r="Y227" i="65"/>
  <c r="V227" i="65"/>
  <c r="T227" i="65"/>
  <c r="AH227" i="65" s="1"/>
  <c r="AI227" i="65" s="1"/>
  <c r="AM226" i="65"/>
  <c r="AK226" i="65"/>
  <c r="AG226" i="65"/>
  <c r="AF226" i="65"/>
  <c r="Y226" i="65"/>
  <c r="V226" i="65"/>
  <c r="T226" i="65"/>
  <c r="AH226" i="65" s="1"/>
  <c r="AI226" i="65" s="1"/>
  <c r="AM225" i="65"/>
  <c r="AK225" i="65"/>
  <c r="AF225" i="65"/>
  <c r="AG225" i="65" s="1"/>
  <c r="Y225" i="65"/>
  <c r="V225" i="65"/>
  <c r="T225" i="65"/>
  <c r="AH225" i="65" s="1"/>
  <c r="AI225" i="65" s="1"/>
  <c r="AM224" i="65"/>
  <c r="AK224" i="65"/>
  <c r="AF224" i="65"/>
  <c r="AG224" i="65" s="1"/>
  <c r="Y224" i="65"/>
  <c r="V224" i="65"/>
  <c r="T224" i="65"/>
  <c r="AH224" i="65" s="1"/>
  <c r="AI224" i="65" s="1"/>
  <c r="AM223" i="65"/>
  <c r="AK223" i="65"/>
  <c r="AF223" i="65"/>
  <c r="AG223" i="65" s="1"/>
  <c r="Y223" i="65"/>
  <c r="V223" i="65"/>
  <c r="T223" i="65"/>
  <c r="AH223" i="65" s="1"/>
  <c r="AI223" i="65" s="1"/>
  <c r="AM222" i="65"/>
  <c r="AK222" i="65"/>
  <c r="AF222" i="65"/>
  <c r="AG222" i="65" s="1"/>
  <c r="Y222" i="65"/>
  <c r="V222" i="65"/>
  <c r="T222" i="65"/>
  <c r="AD222" i="65" s="1"/>
  <c r="AM221" i="65"/>
  <c r="AK221" i="65"/>
  <c r="AF221" i="65"/>
  <c r="AG221" i="65" s="1"/>
  <c r="Y221" i="65"/>
  <c r="V221" i="65"/>
  <c r="T221" i="65"/>
  <c r="AE221" i="65" s="1"/>
  <c r="AM220" i="65"/>
  <c r="AK220" i="65"/>
  <c r="AG220" i="65"/>
  <c r="AF220" i="65"/>
  <c r="Y220" i="65"/>
  <c r="V220" i="65"/>
  <c r="T220" i="65"/>
  <c r="AE220" i="65" s="1"/>
  <c r="AM219" i="65"/>
  <c r="AK219" i="65"/>
  <c r="AF219" i="65"/>
  <c r="AG219" i="65" s="1"/>
  <c r="Y219" i="65"/>
  <c r="V219" i="65"/>
  <c r="T219" i="65"/>
  <c r="AH219" i="65" s="1"/>
  <c r="AI219" i="65" s="1"/>
  <c r="AM218" i="65"/>
  <c r="AK218" i="65"/>
  <c r="AF218" i="65"/>
  <c r="AG218" i="65" s="1"/>
  <c r="Y218" i="65"/>
  <c r="V218" i="65"/>
  <c r="T218" i="65"/>
  <c r="AH218" i="65" s="1"/>
  <c r="AI218" i="65" s="1"/>
  <c r="AM217" i="65"/>
  <c r="AK217" i="65"/>
  <c r="AF217" i="65"/>
  <c r="AG217" i="65" s="1"/>
  <c r="Y217" i="65"/>
  <c r="V217" i="65"/>
  <c r="T217" i="65"/>
  <c r="AH217" i="65" s="1"/>
  <c r="AI217" i="65" s="1"/>
  <c r="AM216" i="65"/>
  <c r="AK216" i="65"/>
  <c r="AF216" i="65"/>
  <c r="AG216" i="65" s="1"/>
  <c r="Y216" i="65"/>
  <c r="V216" i="65"/>
  <c r="T216" i="65"/>
  <c r="AH216" i="65" s="1"/>
  <c r="AI216" i="65" s="1"/>
  <c r="AM215" i="65"/>
  <c r="AK215" i="65"/>
  <c r="AF215" i="65"/>
  <c r="AG215" i="65" s="1"/>
  <c r="Y215" i="65"/>
  <c r="V215" i="65"/>
  <c r="T215" i="65"/>
  <c r="AH215" i="65" s="1"/>
  <c r="AI215" i="65" s="1"/>
  <c r="AM214" i="65"/>
  <c r="AK214" i="65"/>
  <c r="AF214" i="65"/>
  <c r="AG214" i="65" s="1"/>
  <c r="Y214" i="65"/>
  <c r="V214" i="65"/>
  <c r="T214" i="65"/>
  <c r="AH214" i="65" s="1"/>
  <c r="AI214" i="65" s="1"/>
  <c r="AM213" i="65"/>
  <c r="AK213" i="65"/>
  <c r="AF213" i="65"/>
  <c r="AG213" i="65" s="1"/>
  <c r="Y213" i="65"/>
  <c r="V213" i="65"/>
  <c r="T213" i="65"/>
  <c r="AE213" i="65" s="1"/>
  <c r="AM212" i="65"/>
  <c r="AK212" i="65"/>
  <c r="AF212" i="65"/>
  <c r="AG212" i="65" s="1"/>
  <c r="Y212" i="65"/>
  <c r="V212" i="65"/>
  <c r="T212" i="65"/>
  <c r="AH212" i="65" s="1"/>
  <c r="AI212" i="65" s="1"/>
  <c r="AK211" i="65"/>
  <c r="AF211" i="65"/>
  <c r="AG211" i="65" s="1"/>
  <c r="Y211" i="65"/>
  <c r="V211" i="65"/>
  <c r="T211" i="65"/>
  <c r="AM211" i="65" s="1"/>
  <c r="AK210" i="65"/>
  <c r="AF210" i="65"/>
  <c r="AG210" i="65" s="1"/>
  <c r="Y210" i="65"/>
  <c r="V210" i="65"/>
  <c r="T210" i="65"/>
  <c r="AE210" i="65" s="1"/>
  <c r="AM209" i="65"/>
  <c r="AK209" i="65"/>
  <c r="AF209" i="65"/>
  <c r="AG209" i="65" s="1"/>
  <c r="Y209" i="65"/>
  <c r="V209" i="65"/>
  <c r="T209" i="65"/>
  <c r="AH209" i="65" s="1"/>
  <c r="AI209" i="65" s="1"/>
  <c r="AM208" i="65"/>
  <c r="AK208" i="65"/>
  <c r="AF208" i="65"/>
  <c r="AG208" i="65" s="1"/>
  <c r="Y208" i="65"/>
  <c r="V208" i="65"/>
  <c r="T208" i="65"/>
  <c r="AD208" i="65" s="1"/>
  <c r="AK207" i="65"/>
  <c r="AF207" i="65"/>
  <c r="AG207" i="65" s="1"/>
  <c r="Y207" i="65"/>
  <c r="V207" i="65"/>
  <c r="T207" i="65"/>
  <c r="AM207" i="65" s="1"/>
  <c r="AM206" i="65"/>
  <c r="AK206" i="65"/>
  <c r="AF206" i="65"/>
  <c r="AG206" i="65" s="1"/>
  <c r="Y206" i="65"/>
  <c r="V206" i="65"/>
  <c r="T206" i="65"/>
  <c r="AE206" i="65" s="1"/>
  <c r="AM205" i="65"/>
  <c r="AK205" i="65"/>
  <c r="AF205" i="65"/>
  <c r="AG205" i="65" s="1"/>
  <c r="Y205" i="65"/>
  <c r="V205" i="65"/>
  <c r="T205" i="65"/>
  <c r="AH205" i="65" s="1"/>
  <c r="AI205" i="65" s="1"/>
  <c r="AM204" i="65"/>
  <c r="AK204" i="65"/>
  <c r="AF204" i="65"/>
  <c r="AG204" i="65" s="1"/>
  <c r="Y204" i="65"/>
  <c r="V204" i="65"/>
  <c r="T204" i="65"/>
  <c r="AD204" i="65" s="1"/>
  <c r="AM203" i="65"/>
  <c r="AK203" i="65"/>
  <c r="AF203" i="65"/>
  <c r="AG203" i="65" s="1"/>
  <c r="Y203" i="65"/>
  <c r="V203" i="65"/>
  <c r="T203" i="65"/>
  <c r="AH203" i="65" s="1"/>
  <c r="AI203" i="65" s="1"/>
  <c r="AK202" i="65"/>
  <c r="AF202" i="65"/>
  <c r="AG202" i="65" s="1"/>
  <c r="Y202" i="65"/>
  <c r="V202" i="65"/>
  <c r="T202" i="65"/>
  <c r="AE202" i="65" s="1"/>
  <c r="AM201" i="65"/>
  <c r="AK201" i="65"/>
  <c r="AF201" i="65"/>
  <c r="AG201" i="65" s="1"/>
  <c r="Y201" i="65"/>
  <c r="V201" i="65"/>
  <c r="T201" i="65"/>
  <c r="AH201" i="65" s="1"/>
  <c r="AI201" i="65" s="1"/>
  <c r="AM200" i="65"/>
  <c r="AK200" i="65"/>
  <c r="AF200" i="65"/>
  <c r="AG200" i="65" s="1"/>
  <c r="Y200" i="65"/>
  <c r="V200" i="65"/>
  <c r="T200" i="65"/>
  <c r="AD200" i="65" s="1"/>
  <c r="AM199" i="65"/>
  <c r="AK199" i="65"/>
  <c r="AF199" i="65"/>
  <c r="AG199" i="65" s="1"/>
  <c r="Y199" i="65"/>
  <c r="V199" i="65"/>
  <c r="T199" i="65"/>
  <c r="AH199" i="65" s="1"/>
  <c r="AI199" i="65" s="1"/>
  <c r="AK198" i="65"/>
  <c r="AF198" i="65"/>
  <c r="AG198" i="65" s="1"/>
  <c r="Y198" i="65"/>
  <c r="V198" i="65"/>
  <c r="T198" i="65"/>
  <c r="AE198" i="65" s="1"/>
  <c r="AM197" i="65"/>
  <c r="AK197" i="65"/>
  <c r="AF197" i="65"/>
  <c r="AG197" i="65" s="1"/>
  <c r="Y197" i="65"/>
  <c r="V197" i="65"/>
  <c r="T197" i="65"/>
  <c r="AH197" i="65" s="1"/>
  <c r="AI197" i="65" s="1"/>
  <c r="AM196" i="65"/>
  <c r="AK196" i="65"/>
  <c r="AF196" i="65"/>
  <c r="AG196" i="65" s="1"/>
  <c r="Y196" i="65"/>
  <c r="V196" i="65"/>
  <c r="T196" i="65"/>
  <c r="AD196" i="65" s="1"/>
  <c r="AM195" i="65"/>
  <c r="AK195" i="65"/>
  <c r="AF195" i="65"/>
  <c r="AG195" i="65" s="1"/>
  <c r="Y195" i="65"/>
  <c r="V195" i="65"/>
  <c r="T195" i="65"/>
  <c r="AH195" i="65" s="1"/>
  <c r="AI195" i="65" s="1"/>
  <c r="AK194" i="65"/>
  <c r="AF194" i="65"/>
  <c r="AG194" i="65" s="1"/>
  <c r="Y194" i="65"/>
  <c r="V194" i="65"/>
  <c r="T194" i="65"/>
  <c r="AE194" i="65" s="1"/>
  <c r="AK193" i="65"/>
  <c r="AF193" i="65"/>
  <c r="AG193" i="65" s="1"/>
  <c r="Y193" i="65"/>
  <c r="V193" i="65"/>
  <c r="T193" i="65"/>
  <c r="AH193" i="65" s="1"/>
  <c r="AI193" i="65" s="1"/>
  <c r="AM192" i="65"/>
  <c r="AK192" i="65"/>
  <c r="AF192" i="65"/>
  <c r="AG192" i="65" s="1"/>
  <c r="Y192" i="65"/>
  <c r="V192" i="65"/>
  <c r="T192" i="65"/>
  <c r="AD192" i="65" s="1"/>
  <c r="AM191" i="65"/>
  <c r="AK191" i="65"/>
  <c r="AF191" i="65"/>
  <c r="AG191" i="65" s="1"/>
  <c r="Y191" i="65"/>
  <c r="V191" i="65"/>
  <c r="T191" i="65"/>
  <c r="AH191" i="65" s="1"/>
  <c r="AI191" i="65" s="1"/>
  <c r="AK190" i="65"/>
  <c r="AF190" i="65"/>
  <c r="AG190" i="65" s="1"/>
  <c r="Y190" i="65"/>
  <c r="V190" i="65"/>
  <c r="T190" i="65"/>
  <c r="AE190" i="65" s="1"/>
  <c r="AM189" i="65"/>
  <c r="AK189" i="65"/>
  <c r="AF189" i="65"/>
  <c r="AG189" i="65" s="1"/>
  <c r="Y189" i="65"/>
  <c r="V189" i="65"/>
  <c r="T189" i="65"/>
  <c r="AH189" i="65" s="1"/>
  <c r="AI189" i="65" s="1"/>
  <c r="AM188" i="65"/>
  <c r="AK188" i="65"/>
  <c r="AF188" i="65"/>
  <c r="AG188" i="65" s="1"/>
  <c r="Y188" i="65"/>
  <c r="V188" i="65"/>
  <c r="T188" i="65"/>
  <c r="AD188" i="65" s="1"/>
  <c r="AK187" i="65"/>
  <c r="AF187" i="65"/>
  <c r="AG187" i="65" s="1"/>
  <c r="Y187" i="65"/>
  <c r="V187" i="65"/>
  <c r="T187" i="65"/>
  <c r="AM187" i="65" s="1"/>
  <c r="AK186" i="65"/>
  <c r="AF186" i="65"/>
  <c r="AG186" i="65" s="1"/>
  <c r="Y186" i="65"/>
  <c r="V186" i="65"/>
  <c r="T186" i="65"/>
  <c r="AE186" i="65" s="1"/>
  <c r="AM185" i="65"/>
  <c r="AK185" i="65"/>
  <c r="AF185" i="65"/>
  <c r="AG185" i="65" s="1"/>
  <c r="Y185" i="65"/>
  <c r="V185" i="65"/>
  <c r="T185" i="65"/>
  <c r="AH185" i="65" s="1"/>
  <c r="AI185" i="65" s="1"/>
  <c r="AM184" i="65"/>
  <c r="AK184" i="65"/>
  <c r="AF184" i="65"/>
  <c r="AG184" i="65" s="1"/>
  <c r="Y184" i="65"/>
  <c r="V184" i="65"/>
  <c r="T184" i="65"/>
  <c r="AD184" i="65" s="1"/>
  <c r="AM183" i="65"/>
  <c r="AK183" i="65"/>
  <c r="AF183" i="65"/>
  <c r="AG183" i="65" s="1"/>
  <c r="Y183" i="65"/>
  <c r="V183" i="65"/>
  <c r="T183" i="65"/>
  <c r="AH183" i="65" s="1"/>
  <c r="AI183" i="65" s="1"/>
  <c r="AK182" i="65"/>
  <c r="AF182" i="65"/>
  <c r="AG182" i="65" s="1"/>
  <c r="Y182" i="65"/>
  <c r="V182" i="65"/>
  <c r="T182" i="65"/>
  <c r="AE182" i="65" s="1"/>
  <c r="A12" i="65"/>
  <c r="A10" i="65"/>
  <c r="A6" i="65"/>
  <c r="F1" i="65"/>
  <c r="I46" i="67"/>
  <c r="I54" i="68"/>
  <c r="A8" i="64"/>
  <c r="A8" i="36"/>
  <c r="I65" i="67"/>
  <c r="A8" i="63"/>
  <c r="A8" i="44"/>
  <c r="A8" i="13"/>
  <c r="A8" i="49"/>
  <c r="A8" i="18"/>
  <c r="A8" i="46"/>
  <c r="A8" i="15"/>
  <c r="A8" i="40"/>
  <c r="A8" i="6"/>
  <c r="A8" i="39"/>
  <c r="A8" i="5"/>
  <c r="A8" i="45"/>
  <c r="A8" i="14"/>
  <c r="A8" i="3"/>
  <c r="I45" i="67"/>
  <c r="A8" i="56"/>
  <c r="A8" i="25"/>
  <c r="A8" i="37"/>
  <c r="A8" i="61"/>
  <c r="A8" i="51"/>
  <c r="A8" i="52"/>
  <c r="A8" i="21"/>
  <c r="A8" i="75"/>
  <c r="A8" i="74"/>
  <c r="A8" i="19"/>
  <c r="A8" i="66"/>
  <c r="A8" i="65"/>
  <c r="A8" i="28"/>
  <c r="A8" i="73"/>
  <c r="A8" i="70"/>
  <c r="A8" i="47"/>
  <c r="A8" i="16"/>
  <c r="A8" i="41"/>
  <c r="A8" i="12"/>
  <c r="A8" i="26"/>
  <c r="A8" i="27"/>
  <c r="A8" i="38"/>
  <c r="I52" i="68"/>
  <c r="A8" i="55"/>
  <c r="A8" i="24"/>
  <c r="A8" i="59"/>
  <c r="A8" i="57"/>
  <c r="A8" i="29"/>
  <c r="A8" i="53"/>
  <c r="A8" i="54"/>
  <c r="A8" i="23"/>
  <c r="A8" i="58"/>
  <c r="A8" i="30"/>
  <c r="A8" i="71"/>
  <c r="A8" i="72"/>
  <c r="A8" i="69"/>
  <c r="T66" i="67"/>
  <c r="S66" i="67"/>
  <c r="P66" i="67"/>
  <c r="M66" i="67"/>
  <c r="L66" i="67"/>
  <c r="K66" i="67"/>
  <c r="J66" i="67"/>
  <c r="I64" i="67"/>
  <c r="H61" i="67"/>
  <c r="T60" i="67"/>
  <c r="S60" i="67"/>
  <c r="P60" i="67"/>
  <c r="M60" i="67"/>
  <c r="L60" i="67"/>
  <c r="K60" i="67"/>
  <c r="J60" i="67"/>
  <c r="H60" i="67"/>
  <c r="I59" i="67"/>
  <c r="T55" i="67"/>
  <c r="S55" i="67"/>
  <c r="M55" i="67"/>
  <c r="L55" i="67"/>
  <c r="K55" i="67"/>
  <c r="J55" i="67"/>
  <c r="H55" i="67"/>
  <c r="I50" i="67"/>
  <c r="I47" i="67"/>
  <c r="I42" i="67"/>
  <c r="M40" i="67"/>
  <c r="L40" i="67"/>
  <c r="K40" i="67"/>
  <c r="J40" i="67"/>
  <c r="T39" i="67"/>
  <c r="S39" i="67"/>
  <c r="P39" i="67"/>
  <c r="H39" i="67"/>
  <c r="P38" i="67"/>
  <c r="I38" i="67"/>
  <c r="H38" i="67"/>
  <c r="M37" i="67"/>
  <c r="T36" i="67"/>
  <c r="S36" i="67"/>
  <c r="P36" i="67"/>
  <c r="L36" i="67"/>
  <c r="K36" i="67"/>
  <c r="J36" i="67"/>
  <c r="H36" i="67"/>
  <c r="T35" i="67"/>
  <c r="S35" i="67"/>
  <c r="P35" i="67"/>
  <c r="L35" i="67"/>
  <c r="J35" i="67"/>
  <c r="H35" i="67"/>
  <c r="S33" i="67"/>
  <c r="P33" i="67"/>
  <c r="L33" i="67"/>
  <c r="H33" i="67"/>
  <c r="P32" i="67"/>
  <c r="L32" i="67"/>
  <c r="J32" i="67"/>
  <c r="P31" i="67"/>
  <c r="L31" i="67"/>
  <c r="J31" i="67"/>
  <c r="H31" i="67"/>
  <c r="P30" i="67"/>
  <c r="L30" i="67"/>
  <c r="H30" i="67"/>
  <c r="S28" i="67"/>
  <c r="P28" i="67"/>
  <c r="L28" i="67"/>
  <c r="K28" i="67"/>
  <c r="J28" i="67"/>
  <c r="H28" i="67"/>
  <c r="P27" i="67"/>
  <c r="L27" i="67"/>
  <c r="J27" i="67"/>
  <c r="P26" i="67"/>
  <c r="L26" i="67"/>
  <c r="H26" i="67"/>
  <c r="P25" i="67"/>
  <c r="L25" i="67"/>
  <c r="H25" i="67"/>
  <c r="T24" i="67"/>
  <c r="S24" i="67"/>
  <c r="P24" i="67"/>
  <c r="L24" i="67"/>
  <c r="K24" i="67"/>
  <c r="J24" i="67"/>
  <c r="H24" i="67"/>
  <c r="F24" i="67"/>
  <c r="P23" i="67"/>
  <c r="L23" i="67"/>
  <c r="J23" i="67"/>
  <c r="M22" i="67"/>
  <c r="M21" i="67"/>
  <c r="P19" i="67"/>
  <c r="L19" i="67"/>
  <c r="J19" i="67"/>
  <c r="H19" i="67"/>
  <c r="P18" i="67"/>
  <c r="L18" i="67"/>
  <c r="J18" i="67"/>
  <c r="P17" i="67"/>
  <c r="L17" i="67"/>
  <c r="J17" i="67"/>
  <c r="T16" i="67"/>
  <c r="S16" i="67"/>
  <c r="P16" i="67"/>
  <c r="L16" i="67"/>
  <c r="J16" i="67"/>
  <c r="H16" i="67"/>
  <c r="P15" i="67"/>
  <c r="L15" i="67"/>
  <c r="H15" i="67"/>
  <c r="P14" i="67"/>
  <c r="L14" i="67"/>
  <c r="J14" i="67"/>
  <c r="H14" i="67"/>
  <c r="P13" i="67"/>
  <c r="L13" i="67"/>
  <c r="K13" i="67"/>
  <c r="J13" i="67"/>
  <c r="H13" i="67"/>
  <c r="P12" i="67"/>
  <c r="L12" i="67"/>
  <c r="J12" i="67"/>
  <c r="H12" i="67"/>
  <c r="P11" i="67"/>
  <c r="O11" i="67"/>
  <c r="N11" i="67"/>
  <c r="L11" i="67"/>
  <c r="I11" i="67"/>
  <c r="H11" i="67"/>
  <c r="R10" i="67"/>
  <c r="Q10" i="67"/>
  <c r="P9" i="67"/>
  <c r="L9" i="67"/>
  <c r="P8" i="67"/>
  <c r="L8" i="67"/>
  <c r="J8" i="67"/>
  <c r="H8" i="67"/>
  <c r="M7" i="67"/>
  <c r="P6" i="67"/>
  <c r="L6" i="67"/>
  <c r="H6" i="67"/>
  <c r="C2" i="67"/>
  <c r="T74" i="68"/>
  <c r="S74" i="68"/>
  <c r="P74" i="68"/>
  <c r="M74" i="68"/>
  <c r="L74" i="68"/>
  <c r="K74" i="68"/>
  <c r="J74" i="68"/>
  <c r="I73" i="68"/>
  <c r="T69" i="68"/>
  <c r="S69" i="68"/>
  <c r="P69" i="68"/>
  <c r="M69" i="68"/>
  <c r="L69" i="68"/>
  <c r="K69" i="68"/>
  <c r="J69" i="68"/>
  <c r="H69" i="68"/>
  <c r="I67" i="68"/>
  <c r="P63" i="68"/>
  <c r="M63" i="68"/>
  <c r="I60" i="68"/>
  <c r="M48" i="68"/>
  <c r="S47" i="68"/>
  <c r="U47" i="68" s="1"/>
  <c r="F42" i="2" s="1"/>
  <c r="J47" i="68"/>
  <c r="H47" i="68"/>
  <c r="F47" i="68"/>
  <c r="S46" i="68"/>
  <c r="P46" i="68"/>
  <c r="L46" i="68"/>
  <c r="J46" i="68"/>
  <c r="H46" i="68"/>
  <c r="C43" i="2" s="1"/>
  <c r="P45" i="68"/>
  <c r="L45" i="68"/>
  <c r="J45" i="68"/>
  <c r="H45" i="68"/>
  <c r="C41" i="2" s="1"/>
  <c r="M44" i="68"/>
  <c r="P43" i="68"/>
  <c r="L43" i="68"/>
  <c r="J43" i="68"/>
  <c r="H43" i="68"/>
  <c r="C39" i="2" s="1"/>
  <c r="P42" i="68"/>
  <c r="L42" i="68"/>
  <c r="J42" i="68"/>
  <c r="H42" i="68"/>
  <c r="M41" i="68"/>
  <c r="T40" i="68"/>
  <c r="E36" i="2" s="1"/>
  <c r="S40" i="68"/>
  <c r="P40" i="68"/>
  <c r="L40" i="68"/>
  <c r="K40" i="68"/>
  <c r="J40" i="68"/>
  <c r="H40" i="68"/>
  <c r="C36" i="2" s="1"/>
  <c r="F40" i="68"/>
  <c r="P39" i="68"/>
  <c r="L39" i="68"/>
  <c r="J39" i="68"/>
  <c r="I39" i="68"/>
  <c r="P38" i="68"/>
  <c r="L38" i="68"/>
  <c r="H38" i="68"/>
  <c r="C34" i="2" s="1"/>
  <c r="P37" i="68"/>
  <c r="L37" i="68"/>
  <c r="J37" i="68"/>
  <c r="P36" i="68"/>
  <c r="L36" i="68"/>
  <c r="J36" i="68"/>
  <c r="H36" i="68"/>
  <c r="C32" i="2" s="1"/>
  <c r="P35" i="68"/>
  <c r="L35" i="68"/>
  <c r="J35" i="68"/>
  <c r="H35" i="68"/>
  <c r="M34" i="68"/>
  <c r="P33" i="68"/>
  <c r="L33" i="68"/>
  <c r="J33" i="68"/>
  <c r="P32" i="68"/>
  <c r="L32" i="68"/>
  <c r="K32" i="68"/>
  <c r="J32" i="68"/>
  <c r="H32" i="68"/>
  <c r="C29" i="2" s="1"/>
  <c r="S31" i="68"/>
  <c r="P31" i="68"/>
  <c r="L31" i="68"/>
  <c r="K31" i="68"/>
  <c r="J31" i="68"/>
  <c r="H31" i="68"/>
  <c r="F31" i="68"/>
  <c r="P30" i="68"/>
  <c r="L30" i="68"/>
  <c r="J30" i="68"/>
  <c r="P29" i="68"/>
  <c r="L29" i="68"/>
  <c r="J29" i="68"/>
  <c r="H29" i="68"/>
  <c r="S28" i="68"/>
  <c r="P28" i="68"/>
  <c r="L28" i="68"/>
  <c r="K28" i="68"/>
  <c r="J28" i="68"/>
  <c r="H28" i="68"/>
  <c r="F28" i="68"/>
  <c r="P27" i="68"/>
  <c r="L27" i="68"/>
  <c r="J27" i="68"/>
  <c r="H27" i="68"/>
  <c r="P26" i="68"/>
  <c r="L26" i="68"/>
  <c r="J26" i="68"/>
  <c r="H26" i="68"/>
  <c r="P25" i="68"/>
  <c r="L25" i="68"/>
  <c r="H25" i="68"/>
  <c r="M22" i="68"/>
  <c r="M23" i="68" s="1"/>
  <c r="P21" i="68"/>
  <c r="L21" i="68"/>
  <c r="H21" i="68"/>
  <c r="C22" i="2" s="1"/>
  <c r="P20" i="68"/>
  <c r="L20" i="68"/>
  <c r="J20" i="68"/>
  <c r="H20" i="68"/>
  <c r="C21" i="2" s="1"/>
  <c r="P19" i="68"/>
  <c r="L19" i="68"/>
  <c r="P18" i="68"/>
  <c r="L18" i="68"/>
  <c r="J18" i="68"/>
  <c r="H18" i="68"/>
  <c r="C19" i="2" s="1"/>
  <c r="S17" i="68"/>
  <c r="P17" i="68"/>
  <c r="L17" i="68"/>
  <c r="J17" i="68"/>
  <c r="H17" i="68"/>
  <c r="C18" i="2" s="1"/>
  <c r="P15" i="68"/>
  <c r="L15" i="68"/>
  <c r="J15" i="68"/>
  <c r="H15" i="68"/>
  <c r="P14" i="68"/>
  <c r="L14" i="68"/>
  <c r="P13" i="68"/>
  <c r="L13" i="68"/>
  <c r="J13" i="68"/>
  <c r="H13" i="68"/>
  <c r="C14" i="2" s="1"/>
  <c r="P12" i="68"/>
  <c r="L12" i="68"/>
  <c r="J12" i="68"/>
  <c r="H12" i="68"/>
  <c r="P11" i="68"/>
  <c r="L11" i="68"/>
  <c r="J11" i="68"/>
  <c r="H11" i="68"/>
  <c r="C12" i="2" s="1"/>
  <c r="P10" i="68"/>
  <c r="L10" i="68"/>
  <c r="H10" i="68"/>
  <c r="C11" i="2" s="1"/>
  <c r="P9" i="68"/>
  <c r="L9" i="68"/>
  <c r="J9" i="68"/>
  <c r="H9" i="68"/>
  <c r="C10" i="2" s="1"/>
  <c r="P8" i="68"/>
  <c r="L8" i="68"/>
  <c r="J8" i="68"/>
  <c r="H8" i="68"/>
  <c r="M7" i="68"/>
  <c r="P6" i="68"/>
  <c r="L6" i="68"/>
  <c r="C2" i="68"/>
  <c r="C50" i="2"/>
  <c r="C46" i="2"/>
  <c r="C45" i="2"/>
  <c r="B43" i="2"/>
  <c r="K41" i="2"/>
  <c r="C42" i="2"/>
  <c r="B41" i="2"/>
  <c r="M39" i="2"/>
  <c r="K39" i="2"/>
  <c r="M38" i="2"/>
  <c r="K38" i="2"/>
  <c r="B38" i="2"/>
  <c r="K36" i="2"/>
  <c r="K35" i="2"/>
  <c r="K37" i="2" s="1"/>
  <c r="M33" i="2"/>
  <c r="K30" i="2"/>
  <c r="J30" i="2"/>
  <c r="J29" i="2"/>
  <c r="J28" i="2"/>
  <c r="K27" i="2"/>
  <c r="J27" i="2"/>
  <c r="C28" i="2"/>
  <c r="C26" i="2"/>
  <c r="J24" i="2"/>
  <c r="J23" i="2"/>
  <c r="K20" i="2"/>
  <c r="K14" i="2"/>
  <c r="C13" i="2"/>
  <c r="K12" i="2"/>
  <c r="K11" i="2"/>
  <c r="AL5" i="16" l="1"/>
  <c r="AJ5" i="16"/>
  <c r="AM5" i="16"/>
  <c r="AN5" i="16" s="1"/>
  <c r="C16" i="2"/>
  <c r="H22" i="68"/>
  <c r="H23" i="68" s="1"/>
  <c r="H70" i="68" s="1"/>
  <c r="AL5" i="47"/>
  <c r="AJ5" i="47"/>
  <c r="AN5" i="47"/>
  <c r="L11" i="2"/>
  <c r="M16" i="2"/>
  <c r="M35" i="2"/>
  <c r="M37" i="2" s="1"/>
  <c r="K33" i="2"/>
  <c r="J61" i="67"/>
  <c r="K9" i="2"/>
  <c r="R11" i="67"/>
  <c r="K61" i="67"/>
  <c r="N45" i="67"/>
  <c r="L61" i="67"/>
  <c r="M61" i="67"/>
  <c r="K15" i="2"/>
  <c r="P61" i="67"/>
  <c r="N65" i="67"/>
  <c r="K24" i="2"/>
  <c r="S61" i="67"/>
  <c r="T61" i="67"/>
  <c r="S37" i="67"/>
  <c r="U10" i="67"/>
  <c r="K13" i="2"/>
  <c r="K16" i="2"/>
  <c r="M36" i="2"/>
  <c r="N59" i="67"/>
  <c r="K26" i="2"/>
  <c r="V10" i="67"/>
  <c r="K28" i="2"/>
  <c r="N42" i="67"/>
  <c r="O46" i="67"/>
  <c r="K6" i="2"/>
  <c r="O50" i="67"/>
  <c r="J37" i="67"/>
  <c r="AD12" i="34"/>
  <c r="AE12" i="34"/>
  <c r="AJ13" i="34"/>
  <c r="AH14" i="34"/>
  <c r="AI14" i="34" s="1"/>
  <c r="AL14" i="34" s="1"/>
  <c r="AD10" i="34"/>
  <c r="AH16" i="34"/>
  <c r="AI16" i="34" s="1"/>
  <c r="AL16" i="34" s="1"/>
  <c r="AD19" i="34"/>
  <c r="AL22" i="34"/>
  <c r="AH10" i="34"/>
  <c r="AI10" i="34" s="1"/>
  <c r="AL10" i="34" s="1"/>
  <c r="AE19" i="34"/>
  <c r="AL23" i="34"/>
  <c r="AD6" i="34"/>
  <c r="AN6" i="34" s="1"/>
  <c r="AJ20" i="34"/>
  <c r="AL12" i="34"/>
  <c r="AJ12" i="34"/>
  <c r="AL13" i="34"/>
  <c r="AJ22" i="34"/>
  <c r="AL17" i="34"/>
  <c r="AL19" i="34"/>
  <c r="AL7" i="34"/>
  <c r="AL18" i="34"/>
  <c r="AL21" i="34"/>
  <c r="AJ15" i="34"/>
  <c r="AH17" i="34"/>
  <c r="AI17" i="34" s="1"/>
  <c r="AJ17" i="34" s="1"/>
  <c r="AE20" i="34"/>
  <c r="AD21" i="34"/>
  <c r="AJ16" i="34"/>
  <c r="AE21" i="34"/>
  <c r="AD22" i="34"/>
  <c r="AJ6" i="34"/>
  <c r="AJ7" i="34"/>
  <c r="AD9" i="34"/>
  <c r="AE22" i="34"/>
  <c r="AD23" i="34"/>
  <c r="AJ18" i="34"/>
  <c r="AE23" i="34"/>
  <c r="AD13" i="34"/>
  <c r="AJ19" i="34"/>
  <c r="AE13" i="34"/>
  <c r="AD14" i="34"/>
  <c r="AD15" i="34"/>
  <c r="AJ21" i="34"/>
  <c r="AE11" i="34"/>
  <c r="AN11" i="34" s="1"/>
  <c r="AD16" i="34"/>
  <c r="C38" i="2"/>
  <c r="AE9" i="34"/>
  <c r="U14" i="34"/>
  <c r="A14" i="34"/>
  <c r="A18" i="65"/>
  <c r="AH9" i="22"/>
  <c r="AI9" i="22" s="1"/>
  <c r="AL14" i="70"/>
  <c r="AJ14" i="70"/>
  <c r="AJ10" i="70"/>
  <c r="AL10" i="70"/>
  <c r="AL13" i="70"/>
  <c r="AJ13" i="70"/>
  <c r="AJ9" i="70"/>
  <c r="AL9" i="70"/>
  <c r="AL12" i="70"/>
  <c r="AL21" i="70"/>
  <c r="AJ21" i="70"/>
  <c r="AL6" i="70"/>
  <c r="AJ6" i="70"/>
  <c r="AL11" i="70"/>
  <c r="AD5" i="70"/>
  <c r="AN5" i="70" s="1"/>
  <c r="AJ11" i="70"/>
  <c r="AH12" i="70"/>
  <c r="AI12" i="70" s="1"/>
  <c r="AJ12" i="70" s="1"/>
  <c r="AJ20" i="70"/>
  <c r="AH22" i="70"/>
  <c r="AI22" i="70" s="1"/>
  <c r="AL22" i="70" s="1"/>
  <c r="AM9" i="70"/>
  <c r="AN9" i="70" s="1"/>
  <c r="AD6" i="70"/>
  <c r="AN6" i="70" s="1"/>
  <c r="AD7" i="70"/>
  <c r="AN7" i="70" s="1"/>
  <c r="AD8" i="70"/>
  <c r="AN8" i="70" s="1"/>
  <c r="AM10" i="70"/>
  <c r="AD9" i="70"/>
  <c r="AH5" i="70"/>
  <c r="AI5" i="70" s="1"/>
  <c r="AL5" i="70" s="1"/>
  <c r="AE9" i="70"/>
  <c r="AD10" i="70"/>
  <c r="AJ5" i="70"/>
  <c r="AM12" i="70"/>
  <c r="AJ7" i="70"/>
  <c r="AJ8" i="70"/>
  <c r="AD11" i="70"/>
  <c r="AN11" i="70" s="1"/>
  <c r="AD20" i="70"/>
  <c r="AD21" i="70"/>
  <c r="AN13" i="70"/>
  <c r="AJ17" i="70"/>
  <c r="AD13" i="22"/>
  <c r="W11" i="22"/>
  <c r="U105" i="22"/>
  <c r="U104" i="22"/>
  <c r="W105" i="22"/>
  <c r="X105" i="22" s="1"/>
  <c r="W104" i="22"/>
  <c r="X104" i="22" s="1"/>
  <c r="AE26" i="22"/>
  <c r="AD25" i="22"/>
  <c r="AE38" i="22"/>
  <c r="AN38" i="22" s="1"/>
  <c r="AH19" i="70"/>
  <c r="AI19" i="70" s="1"/>
  <c r="AD19" i="70"/>
  <c r="AN19" i="70" s="1"/>
  <c r="AL17" i="70"/>
  <c r="AJ18" i="70"/>
  <c r="AL18" i="70"/>
  <c r="AM18" i="70"/>
  <c r="AD17" i="70"/>
  <c r="AE17" i="70"/>
  <c r="AD18" i="70"/>
  <c r="AE18" i="70"/>
  <c r="U21" i="70"/>
  <c r="U24" i="70"/>
  <c r="W26" i="70"/>
  <c r="X26" i="70" s="1"/>
  <c r="U36" i="70"/>
  <c r="W38" i="70"/>
  <c r="X38" i="70" s="1"/>
  <c r="U23" i="70"/>
  <c r="W25" i="70"/>
  <c r="X25" i="70" s="1"/>
  <c r="U35" i="70"/>
  <c r="W37" i="70"/>
  <c r="X37" i="70" s="1"/>
  <c r="W24" i="70"/>
  <c r="X24" i="70" s="1"/>
  <c r="U34" i="70"/>
  <c r="W36" i="70"/>
  <c r="X36" i="70" s="1"/>
  <c r="W23" i="70"/>
  <c r="X23" i="70" s="1"/>
  <c r="U33" i="70"/>
  <c r="W35" i="70"/>
  <c r="X35" i="70" s="1"/>
  <c r="U45" i="70"/>
  <c r="U32" i="70"/>
  <c r="W34" i="70"/>
  <c r="X34" i="70" s="1"/>
  <c r="U44" i="70"/>
  <c r="W27" i="70"/>
  <c r="X27" i="70" s="1"/>
  <c r="U31" i="70"/>
  <c r="W33" i="70"/>
  <c r="X33" i="70" s="1"/>
  <c r="U43" i="70"/>
  <c r="W45" i="70"/>
  <c r="X45" i="70" s="1"/>
  <c r="W39" i="70"/>
  <c r="X39" i="70" s="1"/>
  <c r="U30" i="70"/>
  <c r="W32" i="70"/>
  <c r="X32" i="70" s="1"/>
  <c r="U42" i="70"/>
  <c r="W44" i="70"/>
  <c r="X44" i="70" s="1"/>
  <c r="U29" i="70"/>
  <c r="W31" i="70"/>
  <c r="X31" i="70" s="1"/>
  <c r="U41" i="70"/>
  <c r="W43" i="70"/>
  <c r="X43" i="70" s="1"/>
  <c r="U25" i="70"/>
  <c r="U28" i="70"/>
  <c r="W30" i="70"/>
  <c r="X30" i="70" s="1"/>
  <c r="U40" i="70"/>
  <c r="W42" i="70"/>
  <c r="X42" i="70" s="1"/>
  <c r="U27" i="70"/>
  <c r="W29" i="70"/>
  <c r="X29" i="70" s="1"/>
  <c r="U39" i="70"/>
  <c r="W41" i="70"/>
  <c r="X41" i="70" s="1"/>
  <c r="U26" i="70"/>
  <c r="W28" i="70"/>
  <c r="X28" i="70" s="1"/>
  <c r="U38" i="70"/>
  <c r="W40" i="70"/>
  <c r="X40" i="70" s="1"/>
  <c r="U37" i="70"/>
  <c r="W16" i="70"/>
  <c r="X16" i="70" s="1"/>
  <c r="AH6" i="22"/>
  <c r="AI6" i="22" s="1"/>
  <c r="AD21" i="22"/>
  <c r="AE23" i="22"/>
  <c r="AD8" i="22"/>
  <c r="AE50" i="22"/>
  <c r="AH7" i="22"/>
  <c r="AI7" i="22" s="1"/>
  <c r="AJ7" i="22" s="1"/>
  <c r="AH20" i="22"/>
  <c r="AI20" i="22" s="1"/>
  <c r="AE14" i="22"/>
  <c r="AD33" i="22"/>
  <c r="AD45" i="22"/>
  <c r="AE47" i="22"/>
  <c r="AD49" i="22"/>
  <c r="W9" i="22"/>
  <c r="AH14" i="22"/>
  <c r="AI14" i="22" s="1"/>
  <c r="AL14" i="22" s="1"/>
  <c r="AD37" i="22"/>
  <c r="AH47" i="22"/>
  <c r="AI47" i="22" s="1"/>
  <c r="AD5" i="22"/>
  <c r="AN5" i="22" s="1"/>
  <c r="AD10" i="22"/>
  <c r="AD15" i="22"/>
  <c r="AE17" i="22"/>
  <c r="AN17" i="22" s="1"/>
  <c r="AJ21" i="22"/>
  <c r="AE35" i="22"/>
  <c r="AN35" i="22" s="1"/>
  <c r="AH38" i="22"/>
  <c r="AI38" i="22" s="1"/>
  <c r="AL38" i="22" s="1"/>
  <c r="AD51" i="22"/>
  <c r="AD8" i="69"/>
  <c r="AD62" i="69"/>
  <c r="AN62" i="69" s="1"/>
  <c r="AN7" i="22"/>
  <c r="AD9" i="22"/>
  <c r="AE10" i="22"/>
  <c r="AH26" i="22"/>
  <c r="AI26" i="22" s="1"/>
  <c r="AJ26" i="22" s="1"/>
  <c r="AE53" i="22"/>
  <c r="AN53" i="22" s="1"/>
  <c r="AE9" i="22"/>
  <c r="AH17" i="22"/>
  <c r="AI17" i="22" s="1"/>
  <c r="AL17" i="22" s="1"/>
  <c r="AD19" i="22"/>
  <c r="AE32" i="22"/>
  <c r="AH35" i="22"/>
  <c r="AI35" i="22" s="1"/>
  <c r="AJ35" i="22" s="1"/>
  <c r="AE44" i="22"/>
  <c r="A14" i="69"/>
  <c r="K26" i="68" s="1"/>
  <c r="AE28" i="69"/>
  <c r="AN8" i="22"/>
  <c r="AH10" i="22"/>
  <c r="AI10" i="22" s="1"/>
  <c r="AJ10" i="22" s="1"/>
  <c r="AJ27" i="22"/>
  <c r="AJ30" i="22"/>
  <c r="AJ42" i="22"/>
  <c r="AH53" i="22"/>
  <c r="AI53" i="22" s="1"/>
  <c r="AL53" i="22" s="1"/>
  <c r="AE16" i="69"/>
  <c r="AH32" i="22"/>
  <c r="AI32" i="22" s="1"/>
  <c r="AL32" i="22" s="1"/>
  <c r="AM14" i="69"/>
  <c r="AE18" i="69"/>
  <c r="AH28" i="69"/>
  <c r="AI28" i="69" s="1"/>
  <c r="AJ28" i="69" s="1"/>
  <c r="AH44" i="22"/>
  <c r="AI44" i="22" s="1"/>
  <c r="AH23" i="22"/>
  <c r="AI23" i="22" s="1"/>
  <c r="AD27" i="22"/>
  <c r="AD39" i="22"/>
  <c r="AJ45" i="22"/>
  <c r="AH50" i="22"/>
  <c r="AI50" i="22" s="1"/>
  <c r="AJ50" i="22" s="1"/>
  <c r="AH16" i="69"/>
  <c r="AI16" i="69" s="1"/>
  <c r="AL16" i="69" s="1"/>
  <c r="AE29" i="22"/>
  <c r="AJ33" i="22"/>
  <c r="AE41" i="22"/>
  <c r="W52" i="69"/>
  <c r="X52" i="69" s="1"/>
  <c r="U50" i="69"/>
  <c r="W40" i="69"/>
  <c r="X40" i="69" s="1"/>
  <c r="U38" i="69"/>
  <c r="W53" i="69"/>
  <c r="X53" i="69" s="1"/>
  <c r="U51" i="69"/>
  <c r="W41" i="69"/>
  <c r="X41" i="69" s="1"/>
  <c r="U39" i="69"/>
  <c r="U37" i="69"/>
  <c r="W54" i="69"/>
  <c r="X54" i="69" s="1"/>
  <c r="U52" i="69"/>
  <c r="W42" i="69"/>
  <c r="X42" i="69" s="1"/>
  <c r="U40" i="69"/>
  <c r="W55" i="69"/>
  <c r="X55" i="69" s="1"/>
  <c r="U53" i="69"/>
  <c r="W43" i="69"/>
  <c r="X43" i="69" s="1"/>
  <c r="U41" i="69"/>
  <c r="W56" i="69"/>
  <c r="X56" i="69" s="1"/>
  <c r="U54" i="69"/>
  <c r="W44" i="69"/>
  <c r="X44" i="69" s="1"/>
  <c r="U42" i="69"/>
  <c r="W57" i="69"/>
  <c r="X57" i="69" s="1"/>
  <c r="U55" i="69"/>
  <c r="W45" i="69"/>
  <c r="X45" i="69" s="1"/>
  <c r="U43" i="69"/>
  <c r="U48" i="69"/>
  <c r="U49" i="69"/>
  <c r="W58" i="69"/>
  <c r="X58" i="69" s="1"/>
  <c r="U56" i="69"/>
  <c r="W46" i="69"/>
  <c r="X46" i="69" s="1"/>
  <c r="U44" i="69"/>
  <c r="W59" i="69"/>
  <c r="X59" i="69" s="1"/>
  <c r="U57" i="69"/>
  <c r="W47" i="69"/>
  <c r="X47" i="69" s="1"/>
  <c r="U45" i="69"/>
  <c r="W50" i="69"/>
  <c r="X50" i="69" s="1"/>
  <c r="W38" i="69"/>
  <c r="X38" i="69" s="1"/>
  <c r="W39" i="69"/>
  <c r="X39" i="69" s="1"/>
  <c r="U58" i="69"/>
  <c r="W48" i="69"/>
  <c r="X48" i="69" s="1"/>
  <c r="U46" i="69"/>
  <c r="W51" i="69"/>
  <c r="X51" i="69" s="1"/>
  <c r="U59" i="69"/>
  <c r="W49" i="69"/>
  <c r="X49" i="69" s="1"/>
  <c r="U47" i="69"/>
  <c r="W37" i="69"/>
  <c r="X37" i="69" s="1"/>
  <c r="AE20" i="22"/>
  <c r="AD31" i="22"/>
  <c r="AD43" i="22"/>
  <c r="AH29" i="22"/>
  <c r="AI29" i="22" s="1"/>
  <c r="AL29" i="22" s="1"/>
  <c r="AH41" i="22"/>
  <c r="AI41" i="22" s="1"/>
  <c r="AL41" i="22" s="1"/>
  <c r="AH25" i="69"/>
  <c r="AI25" i="69" s="1"/>
  <c r="AH27" i="69"/>
  <c r="AI27" i="69" s="1"/>
  <c r="AL6" i="22"/>
  <c r="AJ6" i="22"/>
  <c r="AL47" i="22"/>
  <c r="AJ47" i="22"/>
  <c r="AL11" i="69"/>
  <c r="AJ11" i="69"/>
  <c r="AJ23" i="69"/>
  <c r="AL23" i="69"/>
  <c r="AJ60" i="69"/>
  <c r="AL13" i="22"/>
  <c r="AJ13" i="22"/>
  <c r="AL45" i="22"/>
  <c r="AL6" i="69"/>
  <c r="AJ33" i="69"/>
  <c r="AL33" i="69"/>
  <c r="AL35" i="69"/>
  <c r="AL33" i="22"/>
  <c r="AL21" i="69"/>
  <c r="AJ21" i="69"/>
  <c r="AL5" i="22"/>
  <c r="AJ5" i="22"/>
  <c r="AL40" i="22"/>
  <c r="AJ40" i="22"/>
  <c r="AL19" i="69"/>
  <c r="AJ19" i="69"/>
  <c r="AL62" i="69"/>
  <c r="AJ62" i="69"/>
  <c r="AL10" i="22"/>
  <c r="AL64" i="69"/>
  <c r="AJ19" i="22"/>
  <c r="AL19" i="22"/>
  <c r="AL44" i="22"/>
  <c r="AJ44" i="22"/>
  <c r="AL24" i="69"/>
  <c r="AJ24" i="69"/>
  <c r="AL66" i="69"/>
  <c r="AJ66" i="69"/>
  <c r="AL8" i="22"/>
  <c r="AJ8" i="22"/>
  <c r="AJ9" i="22"/>
  <c r="AL37" i="22"/>
  <c r="AJ37" i="22"/>
  <c r="AJ12" i="69"/>
  <c r="AL12" i="69"/>
  <c r="AL36" i="69"/>
  <c r="AJ36" i="69"/>
  <c r="AL21" i="22"/>
  <c r="AL23" i="22"/>
  <c r="AJ23" i="22"/>
  <c r="AL50" i="22"/>
  <c r="AJ22" i="69"/>
  <c r="AL22" i="69"/>
  <c r="AJ34" i="69"/>
  <c r="AL34" i="69"/>
  <c r="AJ14" i="22"/>
  <c r="AL61" i="69"/>
  <c r="AJ61" i="69"/>
  <c r="AL7" i="22"/>
  <c r="AL52" i="22"/>
  <c r="AJ52" i="22"/>
  <c r="AL63" i="69"/>
  <c r="AJ63" i="69"/>
  <c r="AL27" i="22"/>
  <c r="AJ29" i="22"/>
  <c r="AL9" i="69"/>
  <c r="AJ9" i="69"/>
  <c r="AL25" i="69"/>
  <c r="AJ25" i="69"/>
  <c r="AL27" i="69"/>
  <c r="AJ27" i="69"/>
  <c r="AJ18" i="22"/>
  <c r="AL20" i="22"/>
  <c r="AJ20" i="22"/>
  <c r="AJ31" i="22"/>
  <c r="AL31" i="22"/>
  <c r="AJ43" i="22"/>
  <c r="AL43" i="22"/>
  <c r="AL13" i="69"/>
  <c r="AJ13" i="69"/>
  <c r="AL15" i="69"/>
  <c r="AJ15" i="69"/>
  <c r="AL65" i="69"/>
  <c r="AJ67" i="69"/>
  <c r="AL67" i="69"/>
  <c r="AL9" i="22"/>
  <c r="AH11" i="22"/>
  <c r="AI11" i="22" s="1"/>
  <c r="AL11" i="22" s="1"/>
  <c r="AE13" i="22"/>
  <c r="AD14" i="22"/>
  <c r="AL18" i="22"/>
  <c r="AH22" i="22"/>
  <c r="AI22" i="22" s="1"/>
  <c r="AL22" i="22" s="1"/>
  <c r="AE25" i="22"/>
  <c r="AD26" i="22"/>
  <c r="AM29" i="22"/>
  <c r="AL30" i="22"/>
  <c r="AH34" i="22"/>
  <c r="AI34" i="22" s="1"/>
  <c r="AJ34" i="22" s="1"/>
  <c r="AE37" i="22"/>
  <c r="AN37" i="22" s="1"/>
  <c r="AM41" i="22"/>
  <c r="AL42" i="22"/>
  <c r="AH46" i="22"/>
  <c r="AI46" i="22" s="1"/>
  <c r="AL46" i="22" s="1"/>
  <c r="AE49" i="22"/>
  <c r="AN7" i="69"/>
  <c r="AN8" i="69"/>
  <c r="AM11" i="69"/>
  <c r="AH14" i="69"/>
  <c r="AI14" i="69" s="1"/>
  <c r="AL14" i="69" s="1"/>
  <c r="AE17" i="69"/>
  <c r="AD18" i="69"/>
  <c r="AM21" i="69"/>
  <c r="AH26" i="69"/>
  <c r="AI26" i="69" s="1"/>
  <c r="AL26" i="69" s="1"/>
  <c r="AE29" i="69"/>
  <c r="AD30" i="69"/>
  <c r="AN30" i="69" s="1"/>
  <c r="AJ35" i="69"/>
  <c r="AE62" i="69"/>
  <c r="AD63" i="69"/>
  <c r="AM18" i="22"/>
  <c r="AM30" i="22"/>
  <c r="AM42" i="22"/>
  <c r="AH5" i="69"/>
  <c r="AI5" i="69" s="1"/>
  <c r="AL5" i="69" s="1"/>
  <c r="AM22" i="69"/>
  <c r="AN22" i="69" s="1"/>
  <c r="U33" i="69"/>
  <c r="AH60" i="69"/>
  <c r="AI60" i="69" s="1"/>
  <c r="AL60" i="69" s="1"/>
  <c r="AE63" i="69"/>
  <c r="AN63" i="69" s="1"/>
  <c r="AD64" i="69"/>
  <c r="AN6" i="22"/>
  <c r="AH12" i="22"/>
  <c r="AI12" i="22" s="1"/>
  <c r="AL12" i="22" s="1"/>
  <c r="AE15" i="22"/>
  <c r="AN15" i="22" s="1"/>
  <c r="AD16" i="22"/>
  <c r="AM19" i="22"/>
  <c r="AH24" i="22"/>
  <c r="AI24" i="22" s="1"/>
  <c r="AL24" i="22" s="1"/>
  <c r="AE27" i="22"/>
  <c r="AN27" i="22" s="1"/>
  <c r="AD28" i="22"/>
  <c r="AM31" i="22"/>
  <c r="AH36" i="22"/>
  <c r="AI36" i="22" s="1"/>
  <c r="AL36" i="22" s="1"/>
  <c r="AE39" i="22"/>
  <c r="AD40" i="22"/>
  <c r="AM43" i="22"/>
  <c r="AH48" i="22"/>
  <c r="AI48" i="22" s="1"/>
  <c r="AL48" i="22" s="1"/>
  <c r="AE51" i="22"/>
  <c r="AD52" i="22"/>
  <c r="AD10" i="69"/>
  <c r="AM12" i="69"/>
  <c r="AJ14" i="69"/>
  <c r="AD20" i="69"/>
  <c r="AM23" i="69"/>
  <c r="AD32" i="69"/>
  <c r="AM34" i="69"/>
  <c r="AE64" i="69"/>
  <c r="AD65" i="69"/>
  <c r="AE16" i="22"/>
  <c r="AM20" i="22"/>
  <c r="AH25" i="22"/>
  <c r="AI25" i="22" s="1"/>
  <c r="AL25" i="22" s="1"/>
  <c r="AE28" i="22"/>
  <c r="AE40" i="22"/>
  <c r="AM44" i="22"/>
  <c r="AH49" i="22"/>
  <c r="AI49" i="22" s="1"/>
  <c r="AL49" i="22" s="1"/>
  <c r="AE52" i="22"/>
  <c r="AH7" i="69"/>
  <c r="AI7" i="69" s="1"/>
  <c r="AL7" i="69" s="1"/>
  <c r="AH8" i="69"/>
  <c r="AI8" i="69" s="1"/>
  <c r="AL8" i="69" s="1"/>
  <c r="AE10" i="69"/>
  <c r="AD11" i="69"/>
  <c r="AM13" i="69"/>
  <c r="AH17" i="69"/>
  <c r="AI17" i="69" s="1"/>
  <c r="AL17" i="69" s="1"/>
  <c r="AE20" i="69"/>
  <c r="AD21" i="69"/>
  <c r="AM24" i="69"/>
  <c r="AH29" i="69"/>
  <c r="AI29" i="69" s="1"/>
  <c r="AL29" i="69" s="1"/>
  <c r="AE32" i="69"/>
  <c r="AM35" i="69"/>
  <c r="AE65" i="69"/>
  <c r="AN65" i="69" s="1"/>
  <c r="AD66" i="69"/>
  <c r="AD18" i="22"/>
  <c r="AD30" i="22"/>
  <c r="AD42" i="22"/>
  <c r="AM45" i="22"/>
  <c r="AJ6" i="69"/>
  <c r="AE11" i="69"/>
  <c r="AJ16" i="69"/>
  <c r="AH18" i="69"/>
  <c r="AI18" i="69" s="1"/>
  <c r="AL18" i="69" s="1"/>
  <c r="AE21" i="69"/>
  <c r="AD22" i="69"/>
  <c r="AM25" i="69"/>
  <c r="AH30" i="69"/>
  <c r="AI30" i="69" s="1"/>
  <c r="AL30" i="69" s="1"/>
  <c r="AD33" i="69"/>
  <c r="AM36" i="69"/>
  <c r="AE66" i="69"/>
  <c r="AD67" i="69"/>
  <c r="AN67" i="69" s="1"/>
  <c r="AM11" i="22"/>
  <c r="AH15" i="22"/>
  <c r="AI15" i="22" s="1"/>
  <c r="AJ15" i="22" s="1"/>
  <c r="AE18" i="22"/>
  <c r="AM22" i="22"/>
  <c r="AE30" i="22"/>
  <c r="AH39" i="22"/>
  <c r="AI39" i="22" s="1"/>
  <c r="AJ39" i="22" s="1"/>
  <c r="AE42" i="22"/>
  <c r="AM46" i="22"/>
  <c r="AH51" i="22"/>
  <c r="AI51" i="22" s="1"/>
  <c r="AJ51" i="22" s="1"/>
  <c r="AD12" i="69"/>
  <c r="U14" i="69"/>
  <c r="AE22" i="69"/>
  <c r="AD23" i="69"/>
  <c r="AM26" i="69"/>
  <c r="AH31" i="69"/>
  <c r="AI31" i="69" s="1"/>
  <c r="AL31" i="69" s="1"/>
  <c r="AE33" i="69"/>
  <c r="AD34" i="69"/>
  <c r="AE67" i="69"/>
  <c r="AH16" i="22"/>
  <c r="AI16" i="22" s="1"/>
  <c r="AL16" i="22" s="1"/>
  <c r="AE19" i="22"/>
  <c r="AM23" i="22"/>
  <c r="AH28" i="22"/>
  <c r="AI28" i="22" s="1"/>
  <c r="AL28" i="22" s="1"/>
  <c r="AE31" i="22"/>
  <c r="AE43" i="22"/>
  <c r="AM47" i="22"/>
  <c r="AN47" i="22" s="1"/>
  <c r="AM5" i="69"/>
  <c r="AN5" i="69" s="1"/>
  <c r="AH10" i="69"/>
  <c r="AI10" i="69" s="1"/>
  <c r="AL10" i="69" s="1"/>
  <c r="AE12" i="69"/>
  <c r="AD13" i="69"/>
  <c r="AM15" i="69"/>
  <c r="AH20" i="69"/>
  <c r="AI20" i="69" s="1"/>
  <c r="AL20" i="69" s="1"/>
  <c r="AE23" i="69"/>
  <c r="AD24" i="69"/>
  <c r="AM27" i="69"/>
  <c r="AH32" i="69"/>
  <c r="AI32" i="69" s="1"/>
  <c r="AL32" i="69" s="1"/>
  <c r="AE34" i="69"/>
  <c r="AD35" i="69"/>
  <c r="AM24" i="22"/>
  <c r="AM48" i="22"/>
  <c r="AE13" i="69"/>
  <c r="AM16" i="69"/>
  <c r="AN16" i="69" s="1"/>
  <c r="AE24" i="69"/>
  <c r="AD25" i="69"/>
  <c r="AM28" i="69"/>
  <c r="AN28" i="69" s="1"/>
  <c r="AJ31" i="69"/>
  <c r="AE35" i="69"/>
  <c r="AD36" i="69"/>
  <c r="AN36" i="69" s="1"/>
  <c r="AJ64" i="69"/>
  <c r="AD11" i="22"/>
  <c r="AN11" i="22" s="1"/>
  <c r="AE21" i="22"/>
  <c r="AD22" i="22"/>
  <c r="AE33" i="22"/>
  <c r="AD34" i="22"/>
  <c r="AE45" i="22"/>
  <c r="AD46" i="22"/>
  <c r="AJ10" i="69"/>
  <c r="AD14" i="69"/>
  <c r="AD26" i="69"/>
  <c r="AJ65" i="69"/>
  <c r="AD15" i="69"/>
  <c r="AD27" i="69"/>
  <c r="AD60" i="69"/>
  <c r="AD12" i="22"/>
  <c r="AN12" i="22" s="1"/>
  <c r="AD24" i="22"/>
  <c r="AD36" i="22"/>
  <c r="AD48" i="22"/>
  <c r="U40" i="3"/>
  <c r="W42" i="3"/>
  <c r="X42" i="3" s="1"/>
  <c r="U52" i="3"/>
  <c r="W54" i="3"/>
  <c r="X54" i="3" s="1"/>
  <c r="U64" i="3"/>
  <c r="W66" i="3"/>
  <c r="X66" i="3" s="1"/>
  <c r="U76" i="3"/>
  <c r="W78" i="3"/>
  <c r="X78" i="3" s="1"/>
  <c r="U88" i="3"/>
  <c r="W90" i="3"/>
  <c r="X90" i="3" s="1"/>
  <c r="U39" i="3"/>
  <c r="W41" i="3"/>
  <c r="X41" i="3" s="1"/>
  <c r="U51" i="3"/>
  <c r="W53" i="3"/>
  <c r="X53" i="3" s="1"/>
  <c r="U63" i="3"/>
  <c r="W65" i="3"/>
  <c r="X65" i="3" s="1"/>
  <c r="U75" i="3"/>
  <c r="W77" i="3"/>
  <c r="X77" i="3" s="1"/>
  <c r="U87" i="3"/>
  <c r="W89" i="3"/>
  <c r="X89" i="3" s="1"/>
  <c r="W40" i="3"/>
  <c r="X40" i="3" s="1"/>
  <c r="U50" i="3"/>
  <c r="W52" i="3"/>
  <c r="X52" i="3" s="1"/>
  <c r="U62" i="3"/>
  <c r="W64" i="3"/>
  <c r="X64" i="3" s="1"/>
  <c r="U74" i="3"/>
  <c r="W76" i="3"/>
  <c r="X76" i="3" s="1"/>
  <c r="U86" i="3"/>
  <c r="W88" i="3"/>
  <c r="X88" i="3" s="1"/>
  <c r="W39" i="3"/>
  <c r="X39" i="3" s="1"/>
  <c r="U49" i="3"/>
  <c r="W51" i="3"/>
  <c r="X51" i="3" s="1"/>
  <c r="U61" i="3"/>
  <c r="W63" i="3"/>
  <c r="X63" i="3" s="1"/>
  <c r="U73" i="3"/>
  <c r="W75" i="3"/>
  <c r="X75" i="3" s="1"/>
  <c r="U85" i="3"/>
  <c r="W87" i="3"/>
  <c r="X87" i="3" s="1"/>
  <c r="U97" i="3"/>
  <c r="W99" i="3"/>
  <c r="X99" i="3" s="1"/>
  <c r="U48" i="3"/>
  <c r="W50" i="3"/>
  <c r="X50" i="3" s="1"/>
  <c r="U60" i="3"/>
  <c r="W62" i="3"/>
  <c r="X62" i="3" s="1"/>
  <c r="U72" i="3"/>
  <c r="W74" i="3"/>
  <c r="X74" i="3" s="1"/>
  <c r="U84" i="3"/>
  <c r="W86" i="3"/>
  <c r="X86" i="3" s="1"/>
  <c r="U47" i="3"/>
  <c r="W49" i="3"/>
  <c r="X49" i="3" s="1"/>
  <c r="U59" i="3"/>
  <c r="W61" i="3"/>
  <c r="X61" i="3" s="1"/>
  <c r="U71" i="3"/>
  <c r="W73" i="3"/>
  <c r="X73" i="3" s="1"/>
  <c r="U46" i="3"/>
  <c r="W48" i="3"/>
  <c r="X48" i="3" s="1"/>
  <c r="U58" i="3"/>
  <c r="W60" i="3"/>
  <c r="X60" i="3" s="1"/>
  <c r="U70" i="3"/>
  <c r="W72" i="3"/>
  <c r="X72" i="3" s="1"/>
  <c r="U82" i="3"/>
  <c r="W84" i="3"/>
  <c r="X84" i="3" s="1"/>
  <c r="U45" i="3"/>
  <c r="W47" i="3"/>
  <c r="X47" i="3" s="1"/>
  <c r="U57" i="3"/>
  <c r="W59" i="3"/>
  <c r="X59" i="3" s="1"/>
  <c r="U69" i="3"/>
  <c r="W71" i="3"/>
  <c r="X71" i="3" s="1"/>
  <c r="U81" i="3"/>
  <c r="W83" i="3"/>
  <c r="X83" i="3" s="1"/>
  <c r="U43" i="3"/>
  <c r="W45" i="3"/>
  <c r="X45" i="3" s="1"/>
  <c r="U55" i="3"/>
  <c r="W57" i="3"/>
  <c r="X57" i="3" s="1"/>
  <c r="U41" i="3"/>
  <c r="W43" i="3"/>
  <c r="X43" i="3" s="1"/>
  <c r="U53" i="3"/>
  <c r="W55" i="3"/>
  <c r="X55" i="3" s="1"/>
  <c r="U65" i="3"/>
  <c r="W67" i="3"/>
  <c r="X67" i="3" s="1"/>
  <c r="W80" i="3"/>
  <c r="X80" i="3" s="1"/>
  <c r="W91" i="3"/>
  <c r="X91" i="3" s="1"/>
  <c r="W94" i="3"/>
  <c r="X94" i="3" s="1"/>
  <c r="U107" i="3"/>
  <c r="W109" i="3"/>
  <c r="X109" i="3" s="1"/>
  <c r="U119" i="3"/>
  <c r="W121" i="3"/>
  <c r="X121" i="3" s="1"/>
  <c r="U131" i="3"/>
  <c r="W133" i="3"/>
  <c r="X133" i="3" s="1"/>
  <c r="W44" i="3"/>
  <c r="X44" i="3" s="1"/>
  <c r="U78" i="3"/>
  <c r="W79" i="3"/>
  <c r="X79" i="3" s="1"/>
  <c r="W81" i="3"/>
  <c r="X81" i="3" s="1"/>
  <c r="U83" i="3"/>
  <c r="W98" i="3"/>
  <c r="X98" i="3" s="1"/>
  <c r="U106" i="3"/>
  <c r="W108" i="3"/>
  <c r="X108" i="3" s="1"/>
  <c r="U118" i="3"/>
  <c r="W120" i="3"/>
  <c r="X120" i="3" s="1"/>
  <c r="U68" i="3"/>
  <c r="U77" i="3"/>
  <c r="W82" i="3"/>
  <c r="X82" i="3" s="1"/>
  <c r="U89" i="3"/>
  <c r="U92" i="3"/>
  <c r="U105" i="3"/>
  <c r="W107" i="3"/>
  <c r="X107" i="3" s="1"/>
  <c r="U117" i="3"/>
  <c r="W119" i="3"/>
  <c r="X119" i="3" s="1"/>
  <c r="U129" i="3"/>
  <c r="W131" i="3"/>
  <c r="X131" i="3" s="1"/>
  <c r="U54" i="3"/>
  <c r="W69" i="3"/>
  <c r="X69" i="3" s="1"/>
  <c r="U96" i="3"/>
  <c r="W97" i="3"/>
  <c r="X97" i="3" s="1"/>
  <c r="U104" i="3"/>
  <c r="W106" i="3"/>
  <c r="X106" i="3" s="1"/>
  <c r="U116" i="3"/>
  <c r="W118" i="3"/>
  <c r="X118" i="3" s="1"/>
  <c r="U128" i="3"/>
  <c r="W130" i="3"/>
  <c r="X130" i="3" s="1"/>
  <c r="U140" i="3"/>
  <c r="W68" i="3"/>
  <c r="X68" i="3" s="1"/>
  <c r="W70" i="3"/>
  <c r="X70" i="3" s="1"/>
  <c r="W92" i="3"/>
  <c r="X92" i="3" s="1"/>
  <c r="U103" i="3"/>
  <c r="W105" i="3"/>
  <c r="X105" i="3" s="1"/>
  <c r="U115" i="3"/>
  <c r="W117" i="3"/>
  <c r="X117" i="3" s="1"/>
  <c r="U67" i="3"/>
  <c r="U95" i="3"/>
  <c r="W96" i="3"/>
  <c r="X96" i="3" s="1"/>
  <c r="U102" i="3"/>
  <c r="W104" i="3"/>
  <c r="X104" i="3" s="1"/>
  <c r="U114" i="3"/>
  <c r="W116" i="3"/>
  <c r="X116" i="3" s="1"/>
  <c r="U126" i="3"/>
  <c r="W128" i="3"/>
  <c r="X128" i="3" s="1"/>
  <c r="U42" i="3"/>
  <c r="U90" i="3"/>
  <c r="U93" i="3"/>
  <c r="U101" i="3"/>
  <c r="W103" i="3"/>
  <c r="X103" i="3" s="1"/>
  <c r="U113" i="3"/>
  <c r="W115" i="3"/>
  <c r="X115" i="3" s="1"/>
  <c r="U56" i="3"/>
  <c r="W58" i="3"/>
  <c r="X58" i="3" s="1"/>
  <c r="W95" i="3"/>
  <c r="X95" i="3" s="1"/>
  <c r="U100" i="3"/>
  <c r="W102" i="3"/>
  <c r="X102" i="3" s="1"/>
  <c r="U112" i="3"/>
  <c r="W114" i="3"/>
  <c r="X114" i="3" s="1"/>
  <c r="U124" i="3"/>
  <c r="W126" i="3"/>
  <c r="X126" i="3" s="1"/>
  <c r="U66" i="3"/>
  <c r="W93" i="3"/>
  <c r="X93" i="3" s="1"/>
  <c r="W101" i="3"/>
  <c r="X101" i="3" s="1"/>
  <c r="U111" i="3"/>
  <c r="W113" i="3"/>
  <c r="X113" i="3" s="1"/>
  <c r="W56" i="3"/>
  <c r="X56" i="3" s="1"/>
  <c r="U99" i="3"/>
  <c r="W100" i="3"/>
  <c r="X100" i="3" s="1"/>
  <c r="U110" i="3"/>
  <c r="W112" i="3"/>
  <c r="X112" i="3" s="1"/>
  <c r="U122" i="3"/>
  <c r="U80" i="3"/>
  <c r="W85" i="3"/>
  <c r="X85" i="3" s="1"/>
  <c r="U91" i="3"/>
  <c r="U94" i="3"/>
  <c r="U109" i="3"/>
  <c r="W111" i="3"/>
  <c r="X111" i="3" s="1"/>
  <c r="U79" i="3"/>
  <c r="U123" i="3"/>
  <c r="W136" i="3"/>
  <c r="X136" i="3" s="1"/>
  <c r="U142" i="3"/>
  <c r="W144" i="3"/>
  <c r="X144" i="3" s="1"/>
  <c r="U154" i="3"/>
  <c r="W156" i="3"/>
  <c r="X156" i="3" s="1"/>
  <c r="U166" i="3"/>
  <c r="W168" i="3"/>
  <c r="X168" i="3" s="1"/>
  <c r="U178" i="3"/>
  <c r="W180" i="3"/>
  <c r="X180" i="3" s="1"/>
  <c r="U120" i="3"/>
  <c r="U121" i="3"/>
  <c r="U133" i="3"/>
  <c r="U141" i="3"/>
  <c r="W143" i="3"/>
  <c r="X143" i="3" s="1"/>
  <c r="U153" i="3"/>
  <c r="W155" i="3"/>
  <c r="X155" i="3" s="1"/>
  <c r="U165" i="3"/>
  <c r="W167" i="3"/>
  <c r="X167" i="3" s="1"/>
  <c r="U177" i="3"/>
  <c r="W46" i="3"/>
  <c r="X46" i="3" s="1"/>
  <c r="W122" i="3"/>
  <c r="X122" i="3" s="1"/>
  <c r="W123" i="3"/>
  <c r="X123" i="3" s="1"/>
  <c r="U135" i="3"/>
  <c r="W142" i="3"/>
  <c r="X142" i="3" s="1"/>
  <c r="U152" i="3"/>
  <c r="W154" i="3"/>
  <c r="X154" i="3" s="1"/>
  <c r="U164" i="3"/>
  <c r="W166" i="3"/>
  <c r="X166" i="3" s="1"/>
  <c r="U176" i="3"/>
  <c r="W178" i="3"/>
  <c r="X178" i="3" s="1"/>
  <c r="U130" i="3"/>
  <c r="U137" i="3"/>
  <c r="W141" i="3"/>
  <c r="X141" i="3" s="1"/>
  <c r="U151" i="3"/>
  <c r="W153" i="3"/>
  <c r="X153" i="3" s="1"/>
  <c r="U163" i="3"/>
  <c r="W165" i="3"/>
  <c r="X165" i="3" s="1"/>
  <c r="U175" i="3"/>
  <c r="W177" i="3"/>
  <c r="X177" i="3" s="1"/>
  <c r="W135" i="3"/>
  <c r="X135" i="3" s="1"/>
  <c r="U150" i="3"/>
  <c r="W152" i="3"/>
  <c r="X152" i="3" s="1"/>
  <c r="U44" i="3"/>
  <c r="U108" i="3"/>
  <c r="W124" i="3"/>
  <c r="X124" i="3" s="1"/>
  <c r="U125" i="3"/>
  <c r="U132" i="3"/>
  <c r="W137" i="3"/>
  <c r="X137" i="3" s="1"/>
  <c r="U139" i="3"/>
  <c r="W140" i="3"/>
  <c r="X140" i="3" s="1"/>
  <c r="U149" i="3"/>
  <c r="W151" i="3"/>
  <c r="X151" i="3" s="1"/>
  <c r="U161" i="3"/>
  <c r="W163" i="3"/>
  <c r="X163" i="3" s="1"/>
  <c r="U173" i="3"/>
  <c r="U148" i="3"/>
  <c r="W150" i="3"/>
  <c r="X150" i="3" s="1"/>
  <c r="U160" i="3"/>
  <c r="W162" i="3"/>
  <c r="X162" i="3" s="1"/>
  <c r="U172" i="3"/>
  <c r="W174" i="3"/>
  <c r="X174" i="3" s="1"/>
  <c r="W125" i="3"/>
  <c r="X125" i="3" s="1"/>
  <c r="W132" i="3"/>
  <c r="X132" i="3" s="1"/>
  <c r="W139" i="3"/>
  <c r="X139" i="3" s="1"/>
  <c r="U147" i="3"/>
  <c r="W149" i="3"/>
  <c r="X149" i="3" s="1"/>
  <c r="U134" i="3"/>
  <c r="U146" i="3"/>
  <c r="W148" i="3"/>
  <c r="X148" i="3" s="1"/>
  <c r="U158" i="3"/>
  <c r="W160" i="3"/>
  <c r="X160" i="3" s="1"/>
  <c r="U127" i="3"/>
  <c r="U138" i="3"/>
  <c r="U145" i="3"/>
  <c r="W147" i="3"/>
  <c r="X147" i="3" s="1"/>
  <c r="U157" i="3"/>
  <c r="W159" i="3"/>
  <c r="X159" i="3" s="1"/>
  <c r="U98" i="3"/>
  <c r="W134" i="3"/>
  <c r="X134" i="3" s="1"/>
  <c r="U136" i="3"/>
  <c r="U144" i="3"/>
  <c r="W146" i="3"/>
  <c r="X146" i="3" s="1"/>
  <c r="U156" i="3"/>
  <c r="W158" i="3"/>
  <c r="X158" i="3" s="1"/>
  <c r="W169" i="3"/>
  <c r="X169" i="3" s="1"/>
  <c r="U170" i="3"/>
  <c r="U182" i="3"/>
  <c r="U191" i="3"/>
  <c r="W193" i="3"/>
  <c r="X193" i="3" s="1"/>
  <c r="U203" i="3"/>
  <c r="W205" i="3"/>
  <c r="X205" i="3" s="1"/>
  <c r="U215" i="3"/>
  <c r="W217" i="3"/>
  <c r="X217" i="3" s="1"/>
  <c r="U227" i="3"/>
  <c r="W229" i="3"/>
  <c r="X229" i="3" s="1"/>
  <c r="W127" i="3"/>
  <c r="X127" i="3" s="1"/>
  <c r="W129" i="3"/>
  <c r="X129" i="3" s="1"/>
  <c r="W164" i="3"/>
  <c r="X164" i="3" s="1"/>
  <c r="U190" i="3"/>
  <c r="W192" i="3"/>
  <c r="X192" i="3" s="1"/>
  <c r="U202" i="3"/>
  <c r="W204" i="3"/>
  <c r="X204" i="3" s="1"/>
  <c r="U214" i="3"/>
  <c r="W216" i="3"/>
  <c r="X216" i="3" s="1"/>
  <c r="W170" i="3"/>
  <c r="X170" i="3" s="1"/>
  <c r="W182" i="3"/>
  <c r="X182" i="3" s="1"/>
  <c r="U184" i="3"/>
  <c r="U189" i="3"/>
  <c r="W191" i="3"/>
  <c r="X191" i="3" s="1"/>
  <c r="U201" i="3"/>
  <c r="W203" i="3"/>
  <c r="X203" i="3" s="1"/>
  <c r="U213" i="3"/>
  <c r="W215" i="3"/>
  <c r="X215" i="3" s="1"/>
  <c r="U225" i="3"/>
  <c r="W227" i="3"/>
  <c r="X227" i="3" s="1"/>
  <c r="U237" i="3"/>
  <c r="W239" i="3"/>
  <c r="X239" i="3" s="1"/>
  <c r="U171" i="3"/>
  <c r="U179" i="3"/>
  <c r="U188" i="3"/>
  <c r="W190" i="3"/>
  <c r="X190" i="3" s="1"/>
  <c r="U200" i="3"/>
  <c r="W202" i="3"/>
  <c r="X202" i="3" s="1"/>
  <c r="U212" i="3"/>
  <c r="W214" i="3"/>
  <c r="X214" i="3" s="1"/>
  <c r="U224" i="3"/>
  <c r="W226" i="3"/>
  <c r="X226" i="3" s="1"/>
  <c r="W145" i="3"/>
  <c r="X145" i="3" s="1"/>
  <c r="U155" i="3"/>
  <c r="W184" i="3"/>
  <c r="X184" i="3" s="1"/>
  <c r="U187" i="3"/>
  <c r="W189" i="3"/>
  <c r="X189" i="3" s="1"/>
  <c r="U199" i="3"/>
  <c r="W201" i="3"/>
  <c r="X201" i="3" s="1"/>
  <c r="W138" i="3"/>
  <c r="X138" i="3" s="1"/>
  <c r="W171" i="3"/>
  <c r="X171" i="3" s="1"/>
  <c r="W175" i="3"/>
  <c r="X175" i="3" s="1"/>
  <c r="W179" i="3"/>
  <c r="X179" i="3" s="1"/>
  <c r="U186" i="3"/>
  <c r="W188" i="3"/>
  <c r="X188" i="3" s="1"/>
  <c r="U198" i="3"/>
  <c r="W200" i="3"/>
  <c r="X200" i="3" s="1"/>
  <c r="U210" i="3"/>
  <c r="W212" i="3"/>
  <c r="X212" i="3" s="1"/>
  <c r="U222" i="3"/>
  <c r="W224" i="3"/>
  <c r="X224" i="3" s="1"/>
  <c r="U167" i="3"/>
  <c r="U181" i="3"/>
  <c r="W187" i="3"/>
  <c r="X187" i="3" s="1"/>
  <c r="U197" i="3"/>
  <c r="W199" i="3"/>
  <c r="X199" i="3" s="1"/>
  <c r="U209" i="3"/>
  <c r="W211" i="3"/>
  <c r="X211" i="3" s="1"/>
  <c r="U159" i="3"/>
  <c r="U162" i="3"/>
  <c r="W186" i="3"/>
  <c r="X186" i="3" s="1"/>
  <c r="U196" i="3"/>
  <c r="W198" i="3"/>
  <c r="X198" i="3" s="1"/>
  <c r="U208" i="3"/>
  <c r="W210" i="3"/>
  <c r="X210" i="3" s="1"/>
  <c r="W172" i="3"/>
  <c r="X172" i="3" s="1"/>
  <c r="W181" i="3"/>
  <c r="X181" i="3" s="1"/>
  <c r="U183" i="3"/>
  <c r="U195" i="3"/>
  <c r="W197" i="3"/>
  <c r="X197" i="3" s="1"/>
  <c r="U207" i="3"/>
  <c r="W209" i="3"/>
  <c r="X209" i="3" s="1"/>
  <c r="W161" i="3"/>
  <c r="X161" i="3" s="1"/>
  <c r="U168" i="3"/>
  <c r="U185" i="3"/>
  <c r="U194" i="3"/>
  <c r="W196" i="3"/>
  <c r="X196" i="3" s="1"/>
  <c r="U206" i="3"/>
  <c r="W208" i="3"/>
  <c r="X208" i="3" s="1"/>
  <c r="U218" i="3"/>
  <c r="U169" i="3"/>
  <c r="W173" i="3"/>
  <c r="X173" i="3" s="1"/>
  <c r="U174" i="3"/>
  <c r="W183" i="3"/>
  <c r="X183" i="3" s="1"/>
  <c r="U193" i="3"/>
  <c r="W195" i="3"/>
  <c r="X195" i="3" s="1"/>
  <c r="U205" i="3"/>
  <c r="W207" i="3"/>
  <c r="X207" i="3" s="1"/>
  <c r="W218" i="3"/>
  <c r="X218" i="3" s="1"/>
  <c r="U228" i="3"/>
  <c r="U233" i="3"/>
  <c r="U242" i="3"/>
  <c r="W244" i="3"/>
  <c r="X244" i="3" s="1"/>
  <c r="U254" i="3"/>
  <c r="W256" i="3"/>
  <c r="X256" i="3" s="1"/>
  <c r="U266" i="3"/>
  <c r="W268" i="3"/>
  <c r="X268" i="3" s="1"/>
  <c r="U278" i="3"/>
  <c r="W280" i="3"/>
  <c r="X280" i="3" s="1"/>
  <c r="U290" i="3"/>
  <c r="W292" i="3"/>
  <c r="X292" i="3" s="1"/>
  <c r="U219" i="3"/>
  <c r="W222" i="3"/>
  <c r="X222" i="3" s="1"/>
  <c r="U236" i="3"/>
  <c r="W237" i="3"/>
  <c r="X237" i="3" s="1"/>
  <c r="U241" i="3"/>
  <c r="W243" i="3"/>
  <c r="X243" i="3" s="1"/>
  <c r="U253" i="3"/>
  <c r="W255" i="3"/>
  <c r="X255" i="3" s="1"/>
  <c r="U265" i="3"/>
  <c r="W267" i="3"/>
  <c r="X267" i="3" s="1"/>
  <c r="U277" i="3"/>
  <c r="W279" i="3"/>
  <c r="X279" i="3" s="1"/>
  <c r="U211" i="3"/>
  <c r="U223" i="3"/>
  <c r="W228" i="3"/>
  <c r="X228" i="3" s="1"/>
  <c r="W233" i="3"/>
  <c r="X233" i="3" s="1"/>
  <c r="W242" i="3"/>
  <c r="X242" i="3" s="1"/>
  <c r="U252" i="3"/>
  <c r="W254" i="3"/>
  <c r="X254" i="3" s="1"/>
  <c r="U264" i="3"/>
  <c r="W266" i="3"/>
  <c r="X266" i="3" s="1"/>
  <c r="U276" i="3"/>
  <c r="W278" i="3"/>
  <c r="X278" i="3" s="1"/>
  <c r="U288" i="3"/>
  <c r="W290" i="3"/>
  <c r="X290" i="3" s="1"/>
  <c r="W185" i="3"/>
  <c r="X185" i="3" s="1"/>
  <c r="W219" i="3"/>
  <c r="X219" i="3" s="1"/>
  <c r="U230" i="3"/>
  <c r="U235" i="3"/>
  <c r="W236" i="3"/>
  <c r="X236" i="3" s="1"/>
  <c r="W241" i="3"/>
  <c r="X241" i="3" s="1"/>
  <c r="U251" i="3"/>
  <c r="W253" i="3"/>
  <c r="X253" i="3" s="1"/>
  <c r="U263" i="3"/>
  <c r="W265" i="3"/>
  <c r="X265" i="3" s="1"/>
  <c r="U275" i="3"/>
  <c r="W277" i="3"/>
  <c r="X277" i="3" s="1"/>
  <c r="U287" i="3"/>
  <c r="W289" i="3"/>
  <c r="X289" i="3" s="1"/>
  <c r="W194" i="3"/>
  <c r="X194" i="3" s="1"/>
  <c r="W223" i="3"/>
  <c r="X223" i="3" s="1"/>
  <c r="U240" i="3"/>
  <c r="U250" i="3"/>
  <c r="W252" i="3"/>
  <c r="X252" i="3" s="1"/>
  <c r="U262" i="3"/>
  <c r="W264" i="3"/>
  <c r="X264" i="3" s="1"/>
  <c r="U204" i="3"/>
  <c r="U220" i="3"/>
  <c r="W230" i="3"/>
  <c r="X230" i="3" s="1"/>
  <c r="U232" i="3"/>
  <c r="W235" i="3"/>
  <c r="X235" i="3" s="1"/>
  <c r="U249" i="3"/>
  <c r="W251" i="3"/>
  <c r="X251" i="3" s="1"/>
  <c r="U261" i="3"/>
  <c r="W263" i="3"/>
  <c r="X263" i="3" s="1"/>
  <c r="U273" i="3"/>
  <c r="W275" i="3"/>
  <c r="X275" i="3" s="1"/>
  <c r="U285" i="3"/>
  <c r="W287" i="3"/>
  <c r="X287" i="3" s="1"/>
  <c r="U143" i="3"/>
  <c r="W225" i="3"/>
  <c r="X225" i="3" s="1"/>
  <c r="W240" i="3"/>
  <c r="X240" i="3" s="1"/>
  <c r="U248" i="3"/>
  <c r="W250" i="3"/>
  <c r="X250" i="3" s="1"/>
  <c r="U260" i="3"/>
  <c r="W262" i="3"/>
  <c r="X262" i="3" s="1"/>
  <c r="U272" i="3"/>
  <c r="W274" i="3"/>
  <c r="X274" i="3" s="1"/>
  <c r="U216" i="3"/>
  <c r="W220" i="3"/>
  <c r="X220" i="3" s="1"/>
  <c r="W232" i="3"/>
  <c r="X232" i="3" s="1"/>
  <c r="U234" i="3"/>
  <c r="U239" i="3"/>
  <c r="U247" i="3"/>
  <c r="W249" i="3"/>
  <c r="X249" i="3" s="1"/>
  <c r="U259" i="3"/>
  <c r="W261" i="3"/>
  <c r="X261" i="3" s="1"/>
  <c r="W110" i="3"/>
  <c r="X110" i="3" s="1"/>
  <c r="U180" i="3"/>
  <c r="W213" i="3"/>
  <c r="X213" i="3" s="1"/>
  <c r="U221" i="3"/>
  <c r="U229" i="3"/>
  <c r="U246" i="3"/>
  <c r="W248" i="3"/>
  <c r="X248" i="3" s="1"/>
  <c r="U258" i="3"/>
  <c r="W260" i="3"/>
  <c r="X260" i="3" s="1"/>
  <c r="U270" i="3"/>
  <c r="W272" i="3"/>
  <c r="X272" i="3" s="1"/>
  <c r="W157" i="3"/>
  <c r="X157" i="3" s="1"/>
  <c r="U217" i="3"/>
  <c r="U231" i="3"/>
  <c r="W234" i="3"/>
  <c r="X234" i="3" s="1"/>
  <c r="U238" i="3"/>
  <c r="U245" i="3"/>
  <c r="W247" i="3"/>
  <c r="X247" i="3" s="1"/>
  <c r="U257" i="3"/>
  <c r="W259" i="3"/>
  <c r="X259" i="3" s="1"/>
  <c r="W221" i="3"/>
  <c r="X221" i="3" s="1"/>
  <c r="U244" i="3"/>
  <c r="W246" i="3"/>
  <c r="X246" i="3" s="1"/>
  <c r="U256" i="3"/>
  <c r="W258" i="3"/>
  <c r="X258" i="3" s="1"/>
  <c r="U268" i="3"/>
  <c r="W270" i="3"/>
  <c r="X270" i="3" s="1"/>
  <c r="W238" i="3"/>
  <c r="X238" i="3" s="1"/>
  <c r="W293" i="3"/>
  <c r="X293" i="3" s="1"/>
  <c r="U303" i="3"/>
  <c r="W305" i="3"/>
  <c r="X305" i="3" s="1"/>
  <c r="U315" i="3"/>
  <c r="W317" i="3"/>
  <c r="X317" i="3" s="1"/>
  <c r="U327" i="3"/>
  <c r="W329" i="3"/>
  <c r="X329" i="3" s="1"/>
  <c r="U281" i="3"/>
  <c r="W283" i="3"/>
  <c r="X283" i="3" s="1"/>
  <c r="U286" i="3"/>
  <c r="U295" i="3"/>
  <c r="U302" i="3"/>
  <c r="W304" i="3"/>
  <c r="X304" i="3" s="1"/>
  <c r="U314" i="3"/>
  <c r="W316" i="3"/>
  <c r="X316" i="3" s="1"/>
  <c r="U326" i="3"/>
  <c r="W328" i="3"/>
  <c r="X328" i="3" s="1"/>
  <c r="U301" i="3"/>
  <c r="W303" i="3"/>
  <c r="X303" i="3" s="1"/>
  <c r="U313" i="3"/>
  <c r="W315" i="3"/>
  <c r="X315" i="3" s="1"/>
  <c r="U325" i="3"/>
  <c r="W327" i="3"/>
  <c r="X327" i="3" s="1"/>
  <c r="W176" i="3"/>
  <c r="X176" i="3" s="1"/>
  <c r="W245" i="3"/>
  <c r="X245" i="3" s="1"/>
  <c r="U255" i="3"/>
  <c r="U267" i="3"/>
  <c r="W281" i="3"/>
  <c r="X281" i="3" s="1"/>
  <c r="U284" i="3"/>
  <c r="W286" i="3"/>
  <c r="X286" i="3" s="1"/>
  <c r="U292" i="3"/>
  <c r="W295" i="3"/>
  <c r="X295" i="3" s="1"/>
  <c r="U300" i="3"/>
  <c r="W302" i="3"/>
  <c r="X302" i="3" s="1"/>
  <c r="U312" i="3"/>
  <c r="W314" i="3"/>
  <c r="X314" i="3" s="1"/>
  <c r="U324" i="3"/>
  <c r="W326" i="3"/>
  <c r="X326" i="3" s="1"/>
  <c r="U336" i="3"/>
  <c r="W338" i="3"/>
  <c r="X338" i="3" s="1"/>
  <c r="U192" i="3"/>
  <c r="W231" i="3"/>
  <c r="X231" i="3" s="1"/>
  <c r="U299" i="3"/>
  <c r="W301" i="3"/>
  <c r="X301" i="3" s="1"/>
  <c r="U311" i="3"/>
  <c r="W313" i="3"/>
  <c r="X313" i="3" s="1"/>
  <c r="U279" i="3"/>
  <c r="U282" i="3"/>
  <c r="W284" i="3"/>
  <c r="X284" i="3" s="1"/>
  <c r="W288" i="3"/>
  <c r="X288" i="3" s="1"/>
  <c r="U294" i="3"/>
  <c r="U298" i="3"/>
  <c r="W300" i="3"/>
  <c r="X300" i="3" s="1"/>
  <c r="U310" i="3"/>
  <c r="W312" i="3"/>
  <c r="X312" i="3" s="1"/>
  <c r="U322" i="3"/>
  <c r="W324" i="3"/>
  <c r="X324" i="3" s="1"/>
  <c r="U334" i="3"/>
  <c r="W336" i="3"/>
  <c r="X336" i="3" s="1"/>
  <c r="W206" i="3"/>
  <c r="X206" i="3" s="1"/>
  <c r="U297" i="3"/>
  <c r="W299" i="3"/>
  <c r="X299" i="3" s="1"/>
  <c r="U309" i="3"/>
  <c r="W311" i="3"/>
  <c r="X311" i="3" s="1"/>
  <c r="U321" i="3"/>
  <c r="U269" i="3"/>
  <c r="U271" i="3"/>
  <c r="W276" i="3"/>
  <c r="X276" i="3" s="1"/>
  <c r="W282" i="3"/>
  <c r="X282" i="3" s="1"/>
  <c r="W294" i="3"/>
  <c r="X294" i="3" s="1"/>
  <c r="W298" i="3"/>
  <c r="X298" i="3" s="1"/>
  <c r="U308" i="3"/>
  <c r="W310" i="3"/>
  <c r="X310" i="3" s="1"/>
  <c r="U320" i="3"/>
  <c r="W322" i="3"/>
  <c r="X322" i="3" s="1"/>
  <c r="U226" i="3"/>
  <c r="W257" i="3"/>
  <c r="X257" i="3" s="1"/>
  <c r="U274" i="3"/>
  <c r="U291" i="3"/>
  <c r="U296" i="3"/>
  <c r="W297" i="3"/>
  <c r="X297" i="3" s="1"/>
  <c r="U307" i="3"/>
  <c r="W309" i="3"/>
  <c r="X309" i="3" s="1"/>
  <c r="U319" i="3"/>
  <c r="W321" i="3"/>
  <c r="X321" i="3" s="1"/>
  <c r="U331" i="3"/>
  <c r="W333" i="3"/>
  <c r="X333" i="3" s="1"/>
  <c r="W269" i="3"/>
  <c r="X269" i="3" s="1"/>
  <c r="W271" i="3"/>
  <c r="X271" i="3" s="1"/>
  <c r="U289" i="3"/>
  <c r="U306" i="3"/>
  <c r="W308" i="3"/>
  <c r="X308" i="3" s="1"/>
  <c r="U318" i="3"/>
  <c r="U243" i="3"/>
  <c r="W273" i="3"/>
  <c r="X273" i="3" s="1"/>
  <c r="U280" i="3"/>
  <c r="W285" i="3"/>
  <c r="X285" i="3" s="1"/>
  <c r="W291" i="3"/>
  <c r="X291" i="3" s="1"/>
  <c r="U293" i="3"/>
  <c r="W296" i="3"/>
  <c r="X296" i="3" s="1"/>
  <c r="U305" i="3"/>
  <c r="W307" i="3"/>
  <c r="X307" i="3" s="1"/>
  <c r="U317" i="3"/>
  <c r="W318" i="3"/>
  <c r="X318" i="3" s="1"/>
  <c r="U323" i="3"/>
  <c r="U343" i="3"/>
  <c r="W345" i="3"/>
  <c r="X345" i="3" s="1"/>
  <c r="W347" i="3"/>
  <c r="X347" i="3" s="1"/>
  <c r="W319" i="3"/>
  <c r="X319" i="3" s="1"/>
  <c r="U342" i="3"/>
  <c r="W344" i="3"/>
  <c r="X344" i="3" s="1"/>
  <c r="U304" i="3"/>
  <c r="W320" i="3"/>
  <c r="X320" i="3" s="1"/>
  <c r="W323" i="3"/>
  <c r="X323" i="3" s="1"/>
  <c r="W331" i="3"/>
  <c r="X331" i="3" s="1"/>
  <c r="W343" i="3"/>
  <c r="X343" i="3" s="1"/>
  <c r="U349" i="3"/>
  <c r="W351" i="3"/>
  <c r="X351" i="3" s="1"/>
  <c r="W346" i="3"/>
  <c r="X346" i="3" s="1"/>
  <c r="U332" i="3"/>
  <c r="U337" i="3"/>
  <c r="W342" i="3"/>
  <c r="X342" i="3" s="1"/>
  <c r="U351" i="3"/>
  <c r="U348" i="3"/>
  <c r="U338" i="3"/>
  <c r="U328" i="3"/>
  <c r="U341" i="3"/>
  <c r="U344" i="3"/>
  <c r="W332" i="3"/>
  <c r="X332" i="3" s="1"/>
  <c r="U333" i="3"/>
  <c r="W337" i="3"/>
  <c r="X337" i="3" s="1"/>
  <c r="U340" i="3"/>
  <c r="U350" i="3"/>
  <c r="W341" i="3"/>
  <c r="X341" i="3" s="1"/>
  <c r="W348" i="3"/>
  <c r="X348" i="3" s="1"/>
  <c r="W330" i="3"/>
  <c r="X330" i="3" s="1"/>
  <c r="W306" i="3"/>
  <c r="X306" i="3" s="1"/>
  <c r="U316" i="3"/>
  <c r="U329" i="3"/>
  <c r="W340" i="3"/>
  <c r="X340" i="3" s="1"/>
  <c r="W350" i="3"/>
  <c r="X350" i="3" s="1"/>
  <c r="U345" i="3"/>
  <c r="W335" i="3"/>
  <c r="X335" i="3" s="1"/>
  <c r="W334" i="3"/>
  <c r="X334" i="3" s="1"/>
  <c r="U339" i="3"/>
  <c r="U347" i="3"/>
  <c r="W349" i="3"/>
  <c r="X349" i="3" s="1"/>
  <c r="W325" i="3"/>
  <c r="X325" i="3" s="1"/>
  <c r="U330" i="3"/>
  <c r="U335" i="3"/>
  <c r="U346" i="3"/>
  <c r="U283" i="3"/>
  <c r="W339" i="3"/>
  <c r="X339" i="3" s="1"/>
  <c r="C9" i="2"/>
  <c r="U14" i="65"/>
  <c r="W16" i="65"/>
  <c r="X16" i="65" s="1"/>
  <c r="U26" i="65"/>
  <c r="W28" i="65"/>
  <c r="X28" i="65" s="1"/>
  <c r="U38" i="65"/>
  <c r="W40" i="65"/>
  <c r="X40" i="65" s="1"/>
  <c r="U50" i="65"/>
  <c r="U5" i="65"/>
  <c r="W6" i="65"/>
  <c r="X6" i="65" s="1"/>
  <c r="U13" i="65"/>
  <c r="W15" i="65"/>
  <c r="X15" i="65" s="1"/>
  <c r="U25" i="65"/>
  <c r="W27" i="65"/>
  <c r="X27" i="65" s="1"/>
  <c r="U37" i="65"/>
  <c r="W39" i="65"/>
  <c r="X39" i="65" s="1"/>
  <c r="U49" i="65"/>
  <c r="W51" i="65"/>
  <c r="X51" i="65" s="1"/>
  <c r="U12" i="65"/>
  <c r="W14" i="65"/>
  <c r="X14" i="65" s="1"/>
  <c r="U24" i="65"/>
  <c r="W26" i="65"/>
  <c r="X26" i="65" s="1"/>
  <c r="U36" i="65"/>
  <c r="W38" i="65"/>
  <c r="X38" i="65" s="1"/>
  <c r="U48" i="65"/>
  <c r="W50" i="65"/>
  <c r="X50" i="65" s="1"/>
  <c r="U60" i="65"/>
  <c r="W62" i="65"/>
  <c r="X62" i="65" s="1"/>
  <c r="W5" i="65"/>
  <c r="X5" i="65" s="1"/>
  <c r="U11" i="65"/>
  <c r="U10" i="65"/>
  <c r="W12" i="65"/>
  <c r="X12" i="65" s="1"/>
  <c r="U22" i="65"/>
  <c r="W24" i="65"/>
  <c r="X24" i="65" s="1"/>
  <c r="U34" i="65"/>
  <c r="W36" i="65"/>
  <c r="X36" i="65" s="1"/>
  <c r="U46" i="65"/>
  <c r="W48" i="65"/>
  <c r="X48" i="65" s="1"/>
  <c r="U9" i="65"/>
  <c r="W11" i="65"/>
  <c r="X11" i="65" s="1"/>
  <c r="U21" i="65"/>
  <c r="W23" i="65"/>
  <c r="X23" i="65" s="1"/>
  <c r="U33" i="65"/>
  <c r="W35" i="65"/>
  <c r="X35" i="65" s="1"/>
  <c r="U45" i="65"/>
  <c r="W47" i="65"/>
  <c r="X47" i="65" s="1"/>
  <c r="U57" i="65"/>
  <c r="W59" i="65"/>
  <c r="X59" i="65" s="1"/>
  <c r="W10" i="65"/>
  <c r="X10" i="65" s="1"/>
  <c r="U20" i="65"/>
  <c r="W22" i="65"/>
  <c r="X22" i="65" s="1"/>
  <c r="U32" i="65"/>
  <c r="W34" i="65"/>
  <c r="X34" i="65" s="1"/>
  <c r="U44" i="65"/>
  <c r="W46" i="65"/>
  <c r="X46" i="65" s="1"/>
  <c r="U56" i="65"/>
  <c r="W58" i="65"/>
  <c r="X58" i="65" s="1"/>
  <c r="U8" i="65"/>
  <c r="W9" i="65"/>
  <c r="X9" i="65" s="1"/>
  <c r="U19" i="65"/>
  <c r="W21" i="65"/>
  <c r="X21" i="65" s="1"/>
  <c r="U31" i="65"/>
  <c r="W33" i="65"/>
  <c r="X33" i="65" s="1"/>
  <c r="U18" i="65"/>
  <c r="W20" i="65"/>
  <c r="X20" i="65" s="1"/>
  <c r="U30" i="65"/>
  <c r="W32" i="65"/>
  <c r="X32" i="65" s="1"/>
  <c r="U42" i="65"/>
  <c r="W44" i="65"/>
  <c r="X44" i="65" s="1"/>
  <c r="U7" i="65"/>
  <c r="W8" i="65"/>
  <c r="X8" i="65" s="1"/>
  <c r="U17" i="65"/>
  <c r="W19" i="65"/>
  <c r="X19" i="65" s="1"/>
  <c r="U29" i="65"/>
  <c r="W31" i="65"/>
  <c r="X31" i="65" s="1"/>
  <c r="U41" i="65"/>
  <c r="W43" i="65"/>
  <c r="X43" i="65" s="1"/>
  <c r="U53" i="65"/>
  <c r="W55" i="65"/>
  <c r="X55" i="65" s="1"/>
  <c r="U65" i="65"/>
  <c r="U16" i="65"/>
  <c r="W18" i="65"/>
  <c r="X18" i="65" s="1"/>
  <c r="U28" i="65"/>
  <c r="W30" i="65"/>
  <c r="X30" i="65" s="1"/>
  <c r="U40" i="65"/>
  <c r="W42" i="65"/>
  <c r="X42" i="65" s="1"/>
  <c r="U6" i="65"/>
  <c r="W7" i="65"/>
  <c r="X7" i="65" s="1"/>
  <c r="U15" i="65"/>
  <c r="W17" i="65"/>
  <c r="X17" i="65" s="1"/>
  <c r="U27" i="65"/>
  <c r="W29" i="65"/>
  <c r="X29" i="65" s="1"/>
  <c r="W69" i="65"/>
  <c r="X69" i="65" s="1"/>
  <c r="U79" i="65"/>
  <c r="W81" i="65"/>
  <c r="X81" i="65" s="1"/>
  <c r="U91" i="65"/>
  <c r="W93" i="65"/>
  <c r="X93" i="65" s="1"/>
  <c r="U103" i="65"/>
  <c r="W105" i="65"/>
  <c r="X105" i="65" s="1"/>
  <c r="U23" i="65"/>
  <c r="U39" i="65"/>
  <c r="W41" i="65"/>
  <c r="X41" i="65" s="1"/>
  <c r="W49" i="65"/>
  <c r="X49" i="65" s="1"/>
  <c r="U55" i="65"/>
  <c r="U77" i="65"/>
  <c r="W79" i="65"/>
  <c r="X79" i="65" s="1"/>
  <c r="U89" i="65"/>
  <c r="W91" i="65"/>
  <c r="X91" i="65" s="1"/>
  <c r="U101" i="65"/>
  <c r="W103" i="65"/>
  <c r="X103" i="65" s="1"/>
  <c r="U51" i="65"/>
  <c r="W57" i="65"/>
  <c r="X57" i="65" s="1"/>
  <c r="U61" i="65"/>
  <c r="U63" i="65"/>
  <c r="U66" i="65"/>
  <c r="W67" i="65"/>
  <c r="X67" i="65" s="1"/>
  <c r="U76" i="65"/>
  <c r="W78" i="65"/>
  <c r="X78" i="65" s="1"/>
  <c r="U88" i="65"/>
  <c r="U52" i="65"/>
  <c r="U75" i="65"/>
  <c r="W77" i="65"/>
  <c r="X77" i="65" s="1"/>
  <c r="W37" i="65"/>
  <c r="X37" i="65" s="1"/>
  <c r="W61" i="65"/>
  <c r="X61" i="65" s="1"/>
  <c r="W63" i="65"/>
  <c r="X63" i="65" s="1"/>
  <c r="W66" i="65"/>
  <c r="X66" i="65" s="1"/>
  <c r="U74" i="65"/>
  <c r="W76" i="65"/>
  <c r="X76" i="65" s="1"/>
  <c r="W52" i="65"/>
  <c r="X52" i="65" s="1"/>
  <c r="U73" i="65"/>
  <c r="W75" i="65"/>
  <c r="X75" i="65" s="1"/>
  <c r="U47" i="65"/>
  <c r="U58" i="65"/>
  <c r="W65" i="65"/>
  <c r="X65" i="65" s="1"/>
  <c r="U71" i="65"/>
  <c r="W73" i="65"/>
  <c r="X73" i="65" s="1"/>
  <c r="U83" i="65"/>
  <c r="W85" i="65"/>
  <c r="X85" i="65" s="1"/>
  <c r="U95" i="65"/>
  <c r="W97" i="65"/>
  <c r="X97" i="65" s="1"/>
  <c r="W13" i="65"/>
  <c r="X13" i="65" s="1"/>
  <c r="W25" i="65"/>
  <c r="X25" i="65" s="1"/>
  <c r="U43" i="65"/>
  <c r="W53" i="65"/>
  <c r="X53" i="65" s="1"/>
  <c r="U54" i="65"/>
  <c r="W60" i="65"/>
  <c r="X60" i="65" s="1"/>
  <c r="U62" i="65"/>
  <c r="U64" i="65"/>
  <c r="U70" i="65"/>
  <c r="W72" i="65"/>
  <c r="X72" i="65" s="1"/>
  <c r="U82" i="65"/>
  <c r="W84" i="65"/>
  <c r="X84" i="65" s="1"/>
  <c r="W45" i="65"/>
  <c r="X45" i="65" s="1"/>
  <c r="W54" i="65"/>
  <c r="X54" i="65" s="1"/>
  <c r="W64" i="65"/>
  <c r="X64" i="65" s="1"/>
  <c r="U68" i="65"/>
  <c r="W70" i="65"/>
  <c r="X70" i="65" s="1"/>
  <c r="W80" i="65"/>
  <c r="X80" i="65" s="1"/>
  <c r="W88" i="65"/>
  <c r="X88" i="65" s="1"/>
  <c r="U92" i="65"/>
  <c r="W99" i="65"/>
  <c r="X99" i="65" s="1"/>
  <c r="U102" i="65"/>
  <c r="U114" i="65"/>
  <c r="W116" i="65"/>
  <c r="X116" i="65" s="1"/>
  <c r="U126" i="65"/>
  <c r="W128" i="65"/>
  <c r="X128" i="65" s="1"/>
  <c r="W86" i="65"/>
  <c r="X86" i="65" s="1"/>
  <c r="W90" i="65"/>
  <c r="X90" i="65" s="1"/>
  <c r="W106" i="65"/>
  <c r="X106" i="65" s="1"/>
  <c r="U113" i="65"/>
  <c r="W115" i="65"/>
  <c r="X115" i="65" s="1"/>
  <c r="U125" i="65"/>
  <c r="W127" i="65"/>
  <c r="X127" i="65" s="1"/>
  <c r="U72" i="65"/>
  <c r="W92" i="65"/>
  <c r="X92" i="65" s="1"/>
  <c r="U94" i="65"/>
  <c r="W102" i="65"/>
  <c r="X102" i="65" s="1"/>
  <c r="U105" i="65"/>
  <c r="U112" i="65"/>
  <c r="W114" i="65"/>
  <c r="X114" i="65" s="1"/>
  <c r="U124" i="65"/>
  <c r="W126" i="65"/>
  <c r="X126" i="65" s="1"/>
  <c r="U136" i="65"/>
  <c r="W138" i="65"/>
  <c r="X138" i="65" s="1"/>
  <c r="U35" i="65"/>
  <c r="W82" i="65"/>
  <c r="X82" i="65" s="1"/>
  <c r="U87" i="65"/>
  <c r="U111" i="65"/>
  <c r="W113" i="65"/>
  <c r="X113" i="65" s="1"/>
  <c r="U123" i="65"/>
  <c r="W125" i="65"/>
  <c r="X125" i="65" s="1"/>
  <c r="U135" i="65"/>
  <c r="W137" i="65"/>
  <c r="X137" i="65" s="1"/>
  <c r="U59" i="65"/>
  <c r="W94" i="65"/>
  <c r="X94" i="65" s="1"/>
  <c r="U96" i="65"/>
  <c r="U98" i="65"/>
  <c r="U110" i="65"/>
  <c r="W112" i="65"/>
  <c r="X112" i="65" s="1"/>
  <c r="W83" i="65"/>
  <c r="X83" i="65" s="1"/>
  <c r="W87" i="65"/>
  <c r="X87" i="65" s="1"/>
  <c r="W101" i="65"/>
  <c r="X101" i="65" s="1"/>
  <c r="U109" i="65"/>
  <c r="W111" i="65"/>
  <c r="X111" i="65" s="1"/>
  <c r="U121" i="65"/>
  <c r="W123" i="65"/>
  <c r="X123" i="65" s="1"/>
  <c r="W71" i="65"/>
  <c r="X71" i="65" s="1"/>
  <c r="U84" i="65"/>
  <c r="U93" i="65"/>
  <c r="W96" i="65"/>
  <c r="X96" i="65" s="1"/>
  <c r="W98" i="65"/>
  <c r="X98" i="65" s="1"/>
  <c r="U100" i="65"/>
  <c r="U104" i="65"/>
  <c r="U108" i="65"/>
  <c r="W110" i="65"/>
  <c r="X110" i="65" s="1"/>
  <c r="U120" i="65"/>
  <c r="W122" i="65"/>
  <c r="X122" i="65" s="1"/>
  <c r="U69" i="65"/>
  <c r="U85" i="65"/>
  <c r="W89" i="65"/>
  <c r="X89" i="65" s="1"/>
  <c r="U107" i="65"/>
  <c r="W109" i="65"/>
  <c r="X109" i="65" s="1"/>
  <c r="W100" i="65"/>
  <c r="X100" i="65" s="1"/>
  <c r="W104" i="65"/>
  <c r="X104" i="65" s="1"/>
  <c r="W108" i="65"/>
  <c r="X108" i="65" s="1"/>
  <c r="U118" i="65"/>
  <c r="W120" i="65"/>
  <c r="X120" i="65" s="1"/>
  <c r="W107" i="65"/>
  <c r="X107" i="65" s="1"/>
  <c r="U117" i="65"/>
  <c r="W119" i="65"/>
  <c r="X119" i="65" s="1"/>
  <c r="U129" i="65"/>
  <c r="W56" i="65"/>
  <c r="X56" i="65" s="1"/>
  <c r="U67" i="65"/>
  <c r="U80" i="65"/>
  <c r="W95" i="65"/>
  <c r="X95" i="65" s="1"/>
  <c r="U97" i="65"/>
  <c r="U99" i="65"/>
  <c r="U90" i="65"/>
  <c r="W130" i="65"/>
  <c r="X130" i="65" s="1"/>
  <c r="U133" i="65"/>
  <c r="U144" i="65"/>
  <c r="W146" i="65"/>
  <c r="X146" i="65" s="1"/>
  <c r="U156" i="65"/>
  <c r="W158" i="65"/>
  <c r="X158" i="65" s="1"/>
  <c r="U168" i="65"/>
  <c r="W170" i="65"/>
  <c r="X170" i="65" s="1"/>
  <c r="U86" i="65"/>
  <c r="U122" i="65"/>
  <c r="W140" i="65"/>
  <c r="X140" i="65" s="1"/>
  <c r="U143" i="65"/>
  <c r="W145" i="65"/>
  <c r="X145" i="65" s="1"/>
  <c r="U155" i="65"/>
  <c r="W157" i="65"/>
  <c r="X157" i="65" s="1"/>
  <c r="U167" i="65"/>
  <c r="W169" i="65"/>
  <c r="X169" i="65" s="1"/>
  <c r="U128" i="65"/>
  <c r="U131" i="65"/>
  <c r="W133" i="65"/>
  <c r="X133" i="65" s="1"/>
  <c r="U139" i="65"/>
  <c r="W144" i="65"/>
  <c r="X144" i="65" s="1"/>
  <c r="U154" i="65"/>
  <c r="W156" i="65"/>
  <c r="X156" i="65" s="1"/>
  <c r="U166" i="65"/>
  <c r="W168" i="65"/>
  <c r="X168" i="65" s="1"/>
  <c r="U178" i="65"/>
  <c r="W180" i="65"/>
  <c r="X180" i="65" s="1"/>
  <c r="W68" i="65"/>
  <c r="X68" i="65" s="1"/>
  <c r="U116" i="65"/>
  <c r="W121" i="65"/>
  <c r="X121" i="65" s="1"/>
  <c r="W143" i="65"/>
  <c r="X143" i="65" s="1"/>
  <c r="U153" i="65"/>
  <c r="W155" i="65"/>
  <c r="X155" i="65" s="1"/>
  <c r="U165" i="65"/>
  <c r="W167" i="65"/>
  <c r="X167" i="65" s="1"/>
  <c r="U119" i="65"/>
  <c r="W131" i="65"/>
  <c r="X131" i="65" s="1"/>
  <c r="W136" i="65"/>
  <c r="X136" i="65" s="1"/>
  <c r="W139" i="65"/>
  <c r="X139" i="65" s="1"/>
  <c r="U142" i="65"/>
  <c r="U152" i="65"/>
  <c r="W154" i="65"/>
  <c r="X154" i="65" s="1"/>
  <c r="U81" i="65"/>
  <c r="W117" i="65"/>
  <c r="X117" i="65" s="1"/>
  <c r="W118" i="65"/>
  <c r="X118" i="65" s="1"/>
  <c r="U151" i="65"/>
  <c r="W153" i="65"/>
  <c r="X153" i="65" s="1"/>
  <c r="U163" i="65"/>
  <c r="W165" i="65"/>
  <c r="X165" i="65" s="1"/>
  <c r="U115" i="65"/>
  <c r="W129" i="65"/>
  <c r="X129" i="65" s="1"/>
  <c r="W142" i="65"/>
  <c r="X142" i="65" s="1"/>
  <c r="U150" i="65"/>
  <c r="W152" i="65"/>
  <c r="X152" i="65" s="1"/>
  <c r="U162" i="65"/>
  <c r="W164" i="65"/>
  <c r="X164" i="65" s="1"/>
  <c r="U106" i="65"/>
  <c r="U132" i="65"/>
  <c r="U134" i="65"/>
  <c r="W135" i="65"/>
  <c r="X135" i="65" s="1"/>
  <c r="U138" i="65"/>
  <c r="U149" i="65"/>
  <c r="W151" i="65"/>
  <c r="X151" i="65" s="1"/>
  <c r="W124" i="65"/>
  <c r="X124" i="65" s="1"/>
  <c r="U141" i="65"/>
  <c r="U148" i="65"/>
  <c r="W150" i="65"/>
  <c r="X150" i="65" s="1"/>
  <c r="U160" i="65"/>
  <c r="U78" i="65"/>
  <c r="W132" i="65"/>
  <c r="X132" i="65" s="1"/>
  <c r="W134" i="65"/>
  <c r="X134" i="65" s="1"/>
  <c r="U147" i="65"/>
  <c r="W149" i="65"/>
  <c r="X149" i="65" s="1"/>
  <c r="W74" i="65"/>
  <c r="X74" i="65" s="1"/>
  <c r="U127" i="65"/>
  <c r="U130" i="65"/>
  <c r="W141" i="65"/>
  <c r="X141" i="65" s="1"/>
  <c r="U146" i="65"/>
  <c r="W166" i="65"/>
  <c r="X166" i="65" s="1"/>
  <c r="U181" i="65"/>
  <c r="U173" i="65"/>
  <c r="U137" i="65"/>
  <c r="U157" i="65"/>
  <c r="U169" i="65"/>
  <c r="W171" i="65"/>
  <c r="X171" i="65" s="1"/>
  <c r="W173" i="65"/>
  <c r="X173" i="65" s="1"/>
  <c r="W177" i="65"/>
  <c r="X177" i="65" s="1"/>
  <c r="W160" i="65"/>
  <c r="X160" i="65" s="1"/>
  <c r="W175" i="65"/>
  <c r="X175" i="65" s="1"/>
  <c r="U145" i="65"/>
  <c r="U176" i="65"/>
  <c r="U177" i="65"/>
  <c r="U140" i="65"/>
  <c r="U172" i="65"/>
  <c r="U174" i="65"/>
  <c r="W181" i="65"/>
  <c r="X181" i="65" s="1"/>
  <c r="U179" i="65"/>
  <c r="U170" i="65"/>
  <c r="W176" i="65"/>
  <c r="X176" i="65" s="1"/>
  <c r="U180" i="65"/>
  <c r="W174" i="65"/>
  <c r="X174" i="65" s="1"/>
  <c r="U175" i="65"/>
  <c r="W148" i="65"/>
  <c r="X148" i="65" s="1"/>
  <c r="U161" i="65"/>
  <c r="W172" i="65"/>
  <c r="X172" i="65" s="1"/>
  <c r="W147" i="65"/>
  <c r="X147" i="65" s="1"/>
  <c r="W161" i="65"/>
  <c r="X161" i="65" s="1"/>
  <c r="W162" i="65"/>
  <c r="X162" i="65" s="1"/>
  <c r="U159" i="65"/>
  <c r="W179" i="65"/>
  <c r="X179" i="65" s="1"/>
  <c r="W178" i="65"/>
  <c r="X178" i="65" s="1"/>
  <c r="W163" i="65"/>
  <c r="X163" i="65" s="1"/>
  <c r="U164" i="65"/>
  <c r="U158" i="65"/>
  <c r="W159" i="65"/>
  <c r="X159" i="65" s="1"/>
  <c r="U171" i="65"/>
  <c r="AE193" i="65"/>
  <c r="AL205" i="65"/>
  <c r="AL214" i="65"/>
  <c r="AD218" i="65"/>
  <c r="H6" i="68"/>
  <c r="C6" i="2" s="1"/>
  <c r="AL231" i="65"/>
  <c r="AH192" i="65"/>
  <c r="AI192" i="65" s="1"/>
  <c r="AE204" i="65"/>
  <c r="AN204" i="65" s="1"/>
  <c r="AE218" i="65"/>
  <c r="AJ226" i="65"/>
  <c r="AE224" i="65"/>
  <c r="AE197" i="65"/>
  <c r="AD199" i="65"/>
  <c r="AL193" i="65"/>
  <c r="AJ231" i="65"/>
  <c r="AL219" i="65"/>
  <c r="AJ219" i="65"/>
  <c r="AL232" i="65"/>
  <c r="AJ232" i="65"/>
  <c r="AE188" i="65"/>
  <c r="AE192" i="65"/>
  <c r="AD207" i="65"/>
  <c r="AD231" i="65"/>
  <c r="AD211" i="65"/>
  <c r="AD219" i="65"/>
  <c r="AD220" i="65"/>
  <c r="AH221" i="65"/>
  <c r="AI221" i="65" s="1"/>
  <c r="AE231" i="65"/>
  <c r="AD232" i="65"/>
  <c r="AN232" i="65" s="1"/>
  <c r="AD213" i="65"/>
  <c r="AE219" i="65"/>
  <c r="AE223" i="65"/>
  <c r="AN223" i="65" s="1"/>
  <c r="AE232" i="65"/>
  <c r="AL217" i="65"/>
  <c r="AJ225" i="65"/>
  <c r="AL226" i="65"/>
  <c r="AL189" i="65"/>
  <c r="AH213" i="65"/>
  <c r="AI213" i="65" s="1"/>
  <c r="AL213" i="65" s="1"/>
  <c r="AH220" i="65"/>
  <c r="AI220" i="65" s="1"/>
  <c r="AL220" i="65" s="1"/>
  <c r="AJ205" i="65"/>
  <c r="AD183" i="65"/>
  <c r="AE208" i="65"/>
  <c r="AD217" i="65"/>
  <c r="AD225" i="65"/>
  <c r="AE185" i="65"/>
  <c r="AE212" i="65"/>
  <c r="AJ214" i="65"/>
  <c r="AE217" i="65"/>
  <c r="AN217" i="65" s="1"/>
  <c r="AL216" i="65"/>
  <c r="AL201" i="65"/>
  <c r="AD203" i="65"/>
  <c r="AD224" i="65"/>
  <c r="O52" i="68"/>
  <c r="O60" i="68"/>
  <c r="O73" i="68"/>
  <c r="O67" i="68"/>
  <c r="O54" i="68"/>
  <c r="R38" i="67"/>
  <c r="AL7" i="63"/>
  <c r="AJ7" i="63"/>
  <c r="AN6" i="63"/>
  <c r="U20" i="63"/>
  <c r="AJ6" i="63"/>
  <c r="U13" i="63"/>
  <c r="U24" i="63"/>
  <c r="W16" i="63"/>
  <c r="W20" i="63"/>
  <c r="W5" i="63"/>
  <c r="U10" i="63"/>
  <c r="W13" i="63"/>
  <c r="U17" i="63"/>
  <c r="U21" i="63"/>
  <c r="W24" i="63"/>
  <c r="H40" i="67"/>
  <c r="W10" i="63"/>
  <c r="U14" i="63"/>
  <c r="W17" i="63"/>
  <c r="W21" i="63"/>
  <c r="W6" i="63"/>
  <c r="U7" i="63"/>
  <c r="U11" i="63"/>
  <c r="U18" i="63"/>
  <c r="U22" i="63"/>
  <c r="AJ8" i="62"/>
  <c r="AL8" i="62"/>
  <c r="AL7" i="62"/>
  <c r="AJ7" i="62"/>
  <c r="AD7" i="62"/>
  <c r="AN7" i="62" s="1"/>
  <c r="AD8" i="62"/>
  <c r="AN8" i="62" s="1"/>
  <c r="U23" i="62"/>
  <c r="W15" i="62"/>
  <c r="W19" i="62"/>
  <c r="X19" i="62" s="1"/>
  <c r="W12" i="62"/>
  <c r="X12" i="62" s="1"/>
  <c r="K35" i="67"/>
  <c r="U13" i="61"/>
  <c r="AJ6" i="61"/>
  <c r="W16" i="61"/>
  <c r="W20" i="61"/>
  <c r="W24" i="61"/>
  <c r="U10" i="61"/>
  <c r="W13" i="61"/>
  <c r="U17" i="61"/>
  <c r="U21" i="61"/>
  <c r="W5" i="61"/>
  <c r="X5" i="61" s="1"/>
  <c r="W10" i="61"/>
  <c r="U14" i="61"/>
  <c r="W17" i="61"/>
  <c r="W21" i="61"/>
  <c r="U11" i="61"/>
  <c r="U18" i="61"/>
  <c r="U22" i="61"/>
  <c r="W6" i="61"/>
  <c r="U7" i="61"/>
  <c r="W14" i="61"/>
  <c r="U15" i="61"/>
  <c r="W18" i="61"/>
  <c r="X18" i="61" s="1"/>
  <c r="W22" i="61"/>
  <c r="AN6" i="61"/>
  <c r="W7" i="61"/>
  <c r="U8" i="61"/>
  <c r="U19" i="61"/>
  <c r="U23" i="61"/>
  <c r="U12" i="61"/>
  <c r="W15" i="61"/>
  <c r="AE11" i="60"/>
  <c r="U24" i="60"/>
  <c r="W11" i="60"/>
  <c r="W17" i="60"/>
  <c r="W5" i="60"/>
  <c r="U10" i="60"/>
  <c r="AD11" i="60"/>
  <c r="AH14" i="60"/>
  <c r="AI14" i="60" s="1"/>
  <c r="AE17" i="60"/>
  <c r="AH22" i="60"/>
  <c r="AI22" i="60" s="1"/>
  <c r="W6" i="60"/>
  <c r="U7" i="60"/>
  <c r="AE10" i="60"/>
  <c r="AE16" i="60"/>
  <c r="AD24" i="60"/>
  <c r="W9" i="60"/>
  <c r="AH10" i="60"/>
  <c r="AI10" i="60" s="1"/>
  <c r="J33" i="67"/>
  <c r="AE24" i="60"/>
  <c r="A14" i="60"/>
  <c r="AL12" i="60"/>
  <c r="AD15" i="60"/>
  <c r="AH21" i="60"/>
  <c r="AI21" i="60" s="1"/>
  <c r="AL18" i="60"/>
  <c r="AM16" i="59"/>
  <c r="AE18" i="59"/>
  <c r="AN18" i="59" s="1"/>
  <c r="AM23" i="59"/>
  <c r="AH18" i="59"/>
  <c r="AI18" i="59" s="1"/>
  <c r="AD17" i="59"/>
  <c r="AM20" i="59"/>
  <c r="S32" i="67" s="1"/>
  <c r="AM22" i="59"/>
  <c r="AL14" i="59"/>
  <c r="AM24" i="59"/>
  <c r="AL23" i="59"/>
  <c r="AH17" i="59"/>
  <c r="AI17" i="59" s="1"/>
  <c r="AL17" i="59" s="1"/>
  <c r="AJ14" i="59"/>
  <c r="U24" i="59"/>
  <c r="A14" i="59"/>
  <c r="AD19" i="59"/>
  <c r="AH24" i="59"/>
  <c r="AI24" i="59" s="1"/>
  <c r="AE19" i="59"/>
  <c r="AN19" i="59" s="1"/>
  <c r="U5" i="58"/>
  <c r="AM11" i="58"/>
  <c r="W18" i="58"/>
  <c r="U11" i="58"/>
  <c r="U17" i="58"/>
  <c r="W22" i="58"/>
  <c r="U23" i="58"/>
  <c r="U10" i="58"/>
  <c r="A14" i="58"/>
  <c r="U18" i="58"/>
  <c r="W5" i="58"/>
  <c r="AD11" i="58"/>
  <c r="AD14" i="58"/>
  <c r="U6" i="58"/>
  <c r="W10" i="58"/>
  <c r="AE11" i="58"/>
  <c r="AE14" i="58"/>
  <c r="U19" i="58"/>
  <c r="W24" i="58"/>
  <c r="W6" i="58"/>
  <c r="U7" i="58"/>
  <c r="AD10" i="58"/>
  <c r="W13" i="58"/>
  <c r="W19" i="58"/>
  <c r="W7" i="58"/>
  <c r="U8" i="58"/>
  <c r="AH10" i="58"/>
  <c r="AI10" i="58" s="1"/>
  <c r="AE13" i="58"/>
  <c r="U21" i="58"/>
  <c r="W8" i="58"/>
  <c r="U9" i="58"/>
  <c r="AH13" i="58"/>
  <c r="AI13" i="58" s="1"/>
  <c r="W15" i="58"/>
  <c r="AJ41" i="57"/>
  <c r="J30" i="67"/>
  <c r="AE45" i="57"/>
  <c r="AD38" i="57"/>
  <c r="AM43" i="57"/>
  <c r="AH45" i="57"/>
  <c r="AI45" i="57" s="1"/>
  <c r="AM36" i="57"/>
  <c r="AM47" i="57"/>
  <c r="AD42" i="57"/>
  <c r="A14" i="57"/>
  <c r="K30" i="67" s="1"/>
  <c r="AM44" i="57"/>
  <c r="S30" i="67" s="1"/>
  <c r="W23" i="57"/>
  <c r="AH38" i="57"/>
  <c r="AI38" i="57" s="1"/>
  <c r="W47" i="57"/>
  <c r="U10" i="57"/>
  <c r="AD40" i="57"/>
  <c r="AE40" i="57"/>
  <c r="AD44" i="57"/>
  <c r="W11" i="57"/>
  <c r="W43" i="57"/>
  <c r="X43" i="57" s="1"/>
  <c r="AE43" i="57"/>
  <c r="AD46" i="57"/>
  <c r="AD36" i="57"/>
  <c r="AM10" i="55"/>
  <c r="AH12" i="55"/>
  <c r="AI12" i="55" s="1"/>
  <c r="AD14" i="55"/>
  <c r="AH18" i="55"/>
  <c r="AI18" i="55" s="1"/>
  <c r="AL18" i="55" s="1"/>
  <c r="AM16" i="55"/>
  <c r="AM9" i="55"/>
  <c r="AE15" i="55"/>
  <c r="AM13" i="55"/>
  <c r="AD19" i="55"/>
  <c r="AN19" i="55" s="1"/>
  <c r="AL10" i="55"/>
  <c r="U10" i="55"/>
  <c r="AH11" i="55"/>
  <c r="AI11" i="55" s="1"/>
  <c r="U14" i="55"/>
  <c r="AD20" i="55"/>
  <c r="U6" i="55"/>
  <c r="AE20" i="55"/>
  <c r="W10" i="55"/>
  <c r="AE22" i="55"/>
  <c r="AJ18" i="55"/>
  <c r="W9" i="55"/>
  <c r="X9" i="55" s="1"/>
  <c r="A14" i="55"/>
  <c r="AD9" i="55"/>
  <c r="U24" i="55"/>
  <c r="AD13" i="55"/>
  <c r="AD16" i="55"/>
  <c r="AL9" i="55"/>
  <c r="AD12" i="55"/>
  <c r="AE18" i="55"/>
  <c r="AN18" i="55" s="1"/>
  <c r="H27" i="67"/>
  <c r="AD23" i="55"/>
  <c r="W11" i="54"/>
  <c r="AM8" i="54"/>
  <c r="AE10" i="54"/>
  <c r="W9" i="54"/>
  <c r="AL11" i="54"/>
  <c r="AN17" i="54"/>
  <c r="J26" i="67"/>
  <c r="A14" i="54"/>
  <c r="AL12" i="54"/>
  <c r="AN8" i="54"/>
  <c r="W23" i="54"/>
  <c r="X23" i="54" s="1"/>
  <c r="AL19" i="54"/>
  <c r="AD11" i="54"/>
  <c r="AD12" i="54"/>
  <c r="AE15" i="54"/>
  <c r="AE11" i="54"/>
  <c r="AE12" i="54"/>
  <c r="AH22" i="54"/>
  <c r="AI22" i="54" s="1"/>
  <c r="AE24" i="54"/>
  <c r="AH15" i="54"/>
  <c r="AI15" i="54" s="1"/>
  <c r="U18" i="54"/>
  <c r="AD10" i="54"/>
  <c r="AN10" i="54" s="1"/>
  <c r="AE19" i="54"/>
  <c r="AH24" i="54"/>
  <c r="AI24" i="54" s="1"/>
  <c r="AH14" i="54"/>
  <c r="AI14" i="54" s="1"/>
  <c r="AL14" i="54" s="1"/>
  <c r="AE21" i="54"/>
  <c r="W14" i="73"/>
  <c r="W18" i="73"/>
  <c r="J25" i="67"/>
  <c r="AD7" i="73"/>
  <c r="AN7" i="73" s="1"/>
  <c r="K25" i="67"/>
  <c r="W9" i="73"/>
  <c r="W22" i="73"/>
  <c r="X22" i="73" s="1"/>
  <c r="AL6" i="73"/>
  <c r="U15" i="73"/>
  <c r="K37" i="67"/>
  <c r="K32" i="2"/>
  <c r="K34" i="2" s="1"/>
  <c r="L37" i="67"/>
  <c r="P40" i="67"/>
  <c r="AH35" i="53"/>
  <c r="AI35" i="53" s="1"/>
  <c r="AD48" i="53"/>
  <c r="AD52" i="53"/>
  <c r="AE45" i="53"/>
  <c r="AD54" i="53"/>
  <c r="AL45" i="53"/>
  <c r="AE54" i="53"/>
  <c r="AM52" i="53"/>
  <c r="AE36" i="53"/>
  <c r="AM54" i="53"/>
  <c r="AD35" i="53"/>
  <c r="AE42" i="53"/>
  <c r="AH38" i="53"/>
  <c r="AI38" i="53" s="1"/>
  <c r="AJ48" i="53"/>
  <c r="AH42" i="53"/>
  <c r="AI42" i="53" s="1"/>
  <c r="AL54" i="53"/>
  <c r="AN33" i="53"/>
  <c r="AD34" i="53"/>
  <c r="A14" i="53"/>
  <c r="AE48" i="53"/>
  <c r="AD53" i="53"/>
  <c r="AD40" i="53"/>
  <c r="AE53" i="53"/>
  <c r="AJ45" i="53"/>
  <c r="AL48" i="53"/>
  <c r="AH31" i="53"/>
  <c r="AI31" i="53" s="1"/>
  <c r="AJ31" i="53" s="1"/>
  <c r="AD42" i="53"/>
  <c r="AD47" i="53"/>
  <c r="AH50" i="53"/>
  <c r="AI50" i="53" s="1"/>
  <c r="AH33" i="53"/>
  <c r="AI33" i="53" s="1"/>
  <c r="AE39" i="53"/>
  <c r="AH52" i="53"/>
  <c r="AI52" i="53" s="1"/>
  <c r="AL52" i="53" s="1"/>
  <c r="U52" i="53"/>
  <c r="AH36" i="53"/>
  <c r="AI36" i="53" s="1"/>
  <c r="AD38" i="53"/>
  <c r="AH39" i="53"/>
  <c r="AI39" i="53" s="1"/>
  <c r="AD55" i="53"/>
  <c r="AJ35" i="53"/>
  <c r="AD41" i="53"/>
  <c r="AE55" i="53"/>
  <c r="AE41" i="53"/>
  <c r="AM16" i="52"/>
  <c r="AH9" i="52"/>
  <c r="AI9" i="52" s="1"/>
  <c r="AL9" i="52" s="1"/>
  <c r="AE11" i="52"/>
  <c r="AM9" i="52"/>
  <c r="AM11" i="52"/>
  <c r="U5" i="52"/>
  <c r="AM13" i="52"/>
  <c r="W23" i="52"/>
  <c r="AH14" i="52"/>
  <c r="AI14" i="52" s="1"/>
  <c r="AJ14" i="52" s="1"/>
  <c r="AD19" i="52"/>
  <c r="AH11" i="52"/>
  <c r="AI11" i="52" s="1"/>
  <c r="W16" i="52"/>
  <c r="AE19" i="52"/>
  <c r="AD16" i="52"/>
  <c r="A14" i="52"/>
  <c r="AD15" i="52"/>
  <c r="AH18" i="52"/>
  <c r="AI18" i="52" s="1"/>
  <c r="AL18" i="52" s="1"/>
  <c r="AE15" i="52"/>
  <c r="AD12" i="52"/>
  <c r="AJ9" i="52"/>
  <c r="AE12" i="52"/>
  <c r="AN12" i="52" s="1"/>
  <c r="AM21" i="51"/>
  <c r="AM23" i="51"/>
  <c r="AM22" i="51"/>
  <c r="AM24" i="51"/>
  <c r="AH21" i="51"/>
  <c r="AI21" i="51" s="1"/>
  <c r="AL21" i="51" s="1"/>
  <c r="AE23" i="51"/>
  <c r="A14" i="51"/>
  <c r="AE18" i="51"/>
  <c r="U24" i="51"/>
  <c r="AD24" i="51"/>
  <c r="AE24" i="51"/>
  <c r="AD19" i="51"/>
  <c r="AE19" i="51"/>
  <c r="U8" i="49"/>
  <c r="W5" i="49"/>
  <c r="U6" i="49"/>
  <c r="U7" i="49"/>
  <c r="W6" i="49"/>
  <c r="W7" i="49"/>
  <c r="U5" i="49"/>
  <c r="H17" i="67"/>
  <c r="W11" i="49"/>
  <c r="W9" i="49"/>
  <c r="AN8" i="49"/>
  <c r="U11" i="49"/>
  <c r="W14" i="49"/>
  <c r="U12" i="49"/>
  <c r="U22" i="49"/>
  <c r="K17" i="67"/>
  <c r="W15" i="49"/>
  <c r="K16" i="67"/>
  <c r="F16" i="67"/>
  <c r="W12" i="75"/>
  <c r="U16" i="75"/>
  <c r="U20" i="75"/>
  <c r="U24" i="75"/>
  <c r="U28" i="75"/>
  <c r="U32" i="75"/>
  <c r="U36" i="75"/>
  <c r="U40" i="75"/>
  <c r="U44" i="75"/>
  <c r="U48" i="75"/>
  <c r="U52" i="75"/>
  <c r="U56" i="75"/>
  <c r="W63" i="75"/>
  <c r="W67" i="75"/>
  <c r="U13" i="75"/>
  <c r="U60" i="75"/>
  <c r="U64" i="75"/>
  <c r="AJ6" i="75"/>
  <c r="W16" i="75"/>
  <c r="W20" i="75"/>
  <c r="X20" i="75" s="1"/>
  <c r="W24" i="75"/>
  <c r="W28" i="75"/>
  <c r="W32" i="75"/>
  <c r="W36" i="75"/>
  <c r="W40" i="75"/>
  <c r="W44" i="75"/>
  <c r="W48" i="75"/>
  <c r="W52" i="75"/>
  <c r="W56" i="75"/>
  <c r="U10" i="75"/>
  <c r="W13" i="75"/>
  <c r="U17" i="75"/>
  <c r="U21" i="75"/>
  <c r="U25" i="75"/>
  <c r="U29" i="75"/>
  <c r="U33" i="75"/>
  <c r="U37" i="75"/>
  <c r="U41" i="75"/>
  <c r="U45" i="75"/>
  <c r="U49" i="75"/>
  <c r="U53" i="75"/>
  <c r="U57" i="75"/>
  <c r="W60" i="75"/>
  <c r="W64" i="75"/>
  <c r="U61" i="75"/>
  <c r="U65" i="75"/>
  <c r="W10" i="75"/>
  <c r="U14" i="75"/>
  <c r="W17" i="75"/>
  <c r="W21" i="75"/>
  <c r="W25" i="75"/>
  <c r="W29" i="75"/>
  <c r="W33" i="75"/>
  <c r="W37" i="75"/>
  <c r="W41" i="75"/>
  <c r="W45" i="75"/>
  <c r="X45" i="75" s="1"/>
  <c r="W49" i="75"/>
  <c r="W53" i="75"/>
  <c r="W57" i="75"/>
  <c r="U11" i="75"/>
  <c r="U18" i="75"/>
  <c r="U22" i="75"/>
  <c r="U26" i="75"/>
  <c r="U30" i="75"/>
  <c r="U34" i="75"/>
  <c r="U38" i="75"/>
  <c r="U42" i="75"/>
  <c r="U46" i="75"/>
  <c r="U50" i="75"/>
  <c r="U54" i="75"/>
  <c r="U58" i="75"/>
  <c r="W61" i="75"/>
  <c r="W65" i="75"/>
  <c r="W6" i="75"/>
  <c r="U7" i="75"/>
  <c r="W14" i="75"/>
  <c r="U62" i="75"/>
  <c r="U66" i="75"/>
  <c r="U15" i="75"/>
  <c r="W18" i="75"/>
  <c r="X18" i="75" s="1"/>
  <c r="W22" i="75"/>
  <c r="W26" i="75"/>
  <c r="W30" i="75"/>
  <c r="W34" i="75"/>
  <c r="W38" i="75"/>
  <c r="W42" i="75"/>
  <c r="W46" i="75"/>
  <c r="W50" i="75"/>
  <c r="W54" i="75"/>
  <c r="W58" i="75"/>
  <c r="AN6" i="75"/>
  <c r="W7" i="75"/>
  <c r="U8" i="75"/>
  <c r="U19" i="75"/>
  <c r="U23" i="75"/>
  <c r="U27" i="75"/>
  <c r="U31" i="75"/>
  <c r="U35" i="75"/>
  <c r="U39" i="75"/>
  <c r="U43" i="75"/>
  <c r="U47" i="75"/>
  <c r="U51" i="75"/>
  <c r="U55" i="75"/>
  <c r="U59" i="75"/>
  <c r="W62" i="75"/>
  <c r="W66" i="75"/>
  <c r="U12" i="75"/>
  <c r="W15" i="75"/>
  <c r="U63" i="75"/>
  <c r="U67" i="75"/>
  <c r="W62" i="47"/>
  <c r="J15" i="67"/>
  <c r="AD50" i="46"/>
  <c r="AM48" i="46"/>
  <c r="AL45" i="46"/>
  <c r="AD47" i="46"/>
  <c r="AM47" i="46"/>
  <c r="AM49" i="46"/>
  <c r="AH72" i="46"/>
  <c r="AI72" i="46" s="1"/>
  <c r="AM80" i="46"/>
  <c r="AM82" i="46"/>
  <c r="AM72" i="46"/>
  <c r="AM76" i="46"/>
  <c r="AE51" i="46"/>
  <c r="AD57" i="46"/>
  <c r="AE57" i="46"/>
  <c r="AE20" i="45"/>
  <c r="AM22" i="45"/>
  <c r="AM19" i="45"/>
  <c r="AM21" i="45"/>
  <c r="S13" i="67"/>
  <c r="U24" i="45"/>
  <c r="AD20" i="45"/>
  <c r="AD19" i="45"/>
  <c r="AE19" i="45"/>
  <c r="AJ14" i="44"/>
  <c r="AM15" i="44"/>
  <c r="AH17" i="44"/>
  <c r="AI17" i="44" s="1"/>
  <c r="AE19" i="44"/>
  <c r="AM16" i="44"/>
  <c r="AM18" i="44"/>
  <c r="AL14" i="44"/>
  <c r="AH23" i="44"/>
  <c r="AI23" i="44" s="1"/>
  <c r="AD14" i="44"/>
  <c r="AE14" i="44"/>
  <c r="AE20" i="44"/>
  <c r="W12" i="44"/>
  <c r="A14" i="44"/>
  <c r="U16" i="44"/>
  <c r="AE16" i="44"/>
  <c r="AD18" i="44"/>
  <c r="AD21" i="44"/>
  <c r="AD23" i="44"/>
  <c r="AE18" i="44"/>
  <c r="AM20" i="43"/>
  <c r="AM22" i="43"/>
  <c r="U16" i="43"/>
  <c r="AM19" i="43"/>
  <c r="A14" i="43"/>
  <c r="AM16" i="43"/>
  <c r="AD20" i="43"/>
  <c r="AE20" i="43"/>
  <c r="AD22" i="43"/>
  <c r="AD21" i="43"/>
  <c r="S11" i="67"/>
  <c r="AE18" i="43"/>
  <c r="AE21" i="43"/>
  <c r="J11" i="67"/>
  <c r="AD17" i="43"/>
  <c r="AE17" i="43"/>
  <c r="AH18" i="43"/>
  <c r="AI18" i="43" s="1"/>
  <c r="AJ18" i="43" s="1"/>
  <c r="K11" i="67"/>
  <c r="U18" i="43"/>
  <c r="AE16" i="43"/>
  <c r="AL6" i="41"/>
  <c r="AJ6" i="41"/>
  <c r="W8" i="41"/>
  <c r="U9" i="41"/>
  <c r="W19" i="41"/>
  <c r="W23" i="41"/>
  <c r="W12" i="41"/>
  <c r="U16" i="41"/>
  <c r="U20" i="41"/>
  <c r="U24" i="41"/>
  <c r="U13" i="41"/>
  <c r="U5" i="41"/>
  <c r="A16" i="41" s="1"/>
  <c r="W16" i="41"/>
  <c r="W20" i="41"/>
  <c r="W24" i="41"/>
  <c r="U17" i="41"/>
  <c r="U21" i="41"/>
  <c r="W10" i="41"/>
  <c r="U14" i="41"/>
  <c r="W17" i="41"/>
  <c r="W21" i="41"/>
  <c r="U11" i="41"/>
  <c r="U18" i="41"/>
  <c r="U22" i="41"/>
  <c r="W6" i="41"/>
  <c r="U7" i="41"/>
  <c r="W14" i="41"/>
  <c r="U15" i="41"/>
  <c r="W18" i="41"/>
  <c r="W22" i="41"/>
  <c r="W7" i="41"/>
  <c r="U8" i="41"/>
  <c r="U19" i="41"/>
  <c r="U23" i="41"/>
  <c r="U12" i="41"/>
  <c r="J9" i="67"/>
  <c r="U9" i="40"/>
  <c r="AE22" i="40"/>
  <c r="W8" i="39"/>
  <c r="U9" i="39"/>
  <c r="AD11" i="39"/>
  <c r="AM20" i="39"/>
  <c r="AD15" i="39"/>
  <c r="AE15" i="39"/>
  <c r="AM15" i="39"/>
  <c r="W12" i="39"/>
  <c r="AM19" i="39"/>
  <c r="AH10" i="39"/>
  <c r="AI10" i="39" s="1"/>
  <c r="AD18" i="39"/>
  <c r="AE18" i="39"/>
  <c r="AM14" i="39"/>
  <c r="AM12" i="39"/>
  <c r="AM18" i="39"/>
  <c r="W43" i="39"/>
  <c r="AH11" i="39"/>
  <c r="AI11" i="39" s="1"/>
  <c r="U19" i="39"/>
  <c r="W31" i="39"/>
  <c r="W39" i="39"/>
  <c r="U47" i="39"/>
  <c r="AE10" i="39"/>
  <c r="AH14" i="39"/>
  <c r="AI14" i="39" s="1"/>
  <c r="AH17" i="39"/>
  <c r="AI17" i="39" s="1"/>
  <c r="AL17" i="39" s="1"/>
  <c r="AD22" i="39"/>
  <c r="AL25" i="39"/>
  <c r="U40" i="39"/>
  <c r="W19" i="39"/>
  <c r="AE22" i="39"/>
  <c r="AH25" i="39"/>
  <c r="AI25" i="39" s="1"/>
  <c r="U27" i="39"/>
  <c r="AD31" i="39"/>
  <c r="W47" i="39"/>
  <c r="U35" i="39"/>
  <c r="U48" i="39"/>
  <c r="W27" i="39"/>
  <c r="W7" i="39"/>
  <c r="U8" i="39"/>
  <c r="U12" i="39"/>
  <c r="W35" i="39"/>
  <c r="U43" i="39"/>
  <c r="W15" i="39"/>
  <c r="U23" i="39"/>
  <c r="U36" i="39"/>
  <c r="A14" i="39"/>
  <c r="W23" i="39"/>
  <c r="AN26" i="39"/>
  <c r="W50" i="39"/>
  <c r="AL29" i="39"/>
  <c r="AE11" i="39"/>
  <c r="AD14" i="39"/>
  <c r="AE17" i="39"/>
  <c r="AH29" i="39"/>
  <c r="AI29" i="39" s="1"/>
  <c r="U31" i="39"/>
  <c r="U39" i="39"/>
  <c r="AE25" i="39"/>
  <c r="J6" i="67"/>
  <c r="K46" i="68"/>
  <c r="AH7" i="38"/>
  <c r="AI7" i="38" s="1"/>
  <c r="W23" i="38"/>
  <c r="AD8" i="38"/>
  <c r="W17" i="37"/>
  <c r="W15" i="37"/>
  <c r="U16" i="37"/>
  <c r="W24" i="37"/>
  <c r="S45" i="68"/>
  <c r="S48" i="68" s="1"/>
  <c r="U12" i="37"/>
  <c r="U20" i="37"/>
  <c r="K45" i="68"/>
  <c r="W12" i="37"/>
  <c r="U21" i="37"/>
  <c r="K43" i="68"/>
  <c r="AJ9" i="35"/>
  <c r="AL9" i="35"/>
  <c r="AL10" i="35"/>
  <c r="AJ10" i="35"/>
  <c r="U13" i="35"/>
  <c r="W16" i="35"/>
  <c r="W20" i="35"/>
  <c r="W24" i="35"/>
  <c r="S43" i="68"/>
  <c r="AD9" i="35"/>
  <c r="U10" i="35"/>
  <c r="A16" i="35" s="1"/>
  <c r="W13" i="35"/>
  <c r="U17" i="35"/>
  <c r="U21" i="35"/>
  <c r="AE9" i="35"/>
  <c r="W10" i="35"/>
  <c r="U14" i="35"/>
  <c r="W17" i="35"/>
  <c r="W21" i="35"/>
  <c r="U11" i="35"/>
  <c r="U18" i="35"/>
  <c r="U22" i="35"/>
  <c r="J44" i="68"/>
  <c r="AD10" i="35"/>
  <c r="W14" i="35"/>
  <c r="L44" i="68"/>
  <c r="U15" i="35"/>
  <c r="W18" i="35"/>
  <c r="W22" i="35"/>
  <c r="U19" i="35"/>
  <c r="U23" i="35"/>
  <c r="U12" i="35"/>
  <c r="W15" i="35"/>
  <c r="AJ9" i="34"/>
  <c r="AL9" i="34"/>
  <c r="AJ10" i="34"/>
  <c r="AH11" i="34"/>
  <c r="AI11" i="34" s="1"/>
  <c r="AJ11" i="34" s="1"/>
  <c r="U21" i="34"/>
  <c r="W17" i="34"/>
  <c r="X17" i="34" s="1"/>
  <c r="U6" i="34"/>
  <c r="W10" i="34"/>
  <c r="X10" i="34" s="1"/>
  <c r="AN10" i="34"/>
  <c r="W11" i="34"/>
  <c r="W7" i="34"/>
  <c r="K42" i="68"/>
  <c r="W21" i="34"/>
  <c r="W14" i="69"/>
  <c r="U21" i="69"/>
  <c r="U27" i="69"/>
  <c r="U10" i="69"/>
  <c r="W34" i="69"/>
  <c r="U66" i="69"/>
  <c r="W9" i="69"/>
  <c r="W26" i="69"/>
  <c r="W15" i="69"/>
  <c r="X15" i="69" s="1"/>
  <c r="W65" i="69"/>
  <c r="U5" i="69"/>
  <c r="W10" i="69"/>
  <c r="U29" i="69"/>
  <c r="U17" i="69"/>
  <c r="W22" i="69"/>
  <c r="W36" i="69"/>
  <c r="W5" i="69"/>
  <c r="X5" i="69" s="1"/>
  <c r="W11" i="69"/>
  <c r="U23" i="69"/>
  <c r="W17" i="69"/>
  <c r="X17" i="69" s="1"/>
  <c r="W30" i="69"/>
  <c r="X30" i="69" s="1"/>
  <c r="U7" i="69"/>
  <c r="U12" i="69"/>
  <c r="U31" i="69"/>
  <c r="W18" i="69"/>
  <c r="U25" i="69"/>
  <c r="U62" i="69"/>
  <c r="W8" i="69"/>
  <c r="U9" i="69"/>
  <c r="U19" i="69"/>
  <c r="AE144" i="32"/>
  <c r="AH110" i="32"/>
  <c r="AI110" i="32" s="1"/>
  <c r="AE92" i="32"/>
  <c r="A14" i="32"/>
  <c r="AD94" i="32"/>
  <c r="AD109" i="32"/>
  <c r="AH164" i="32"/>
  <c r="AI164" i="32" s="1"/>
  <c r="AH90" i="32"/>
  <c r="AI90" i="32" s="1"/>
  <c r="AL90" i="32" s="1"/>
  <c r="AM96" i="32"/>
  <c r="AH123" i="32"/>
  <c r="AI123" i="32" s="1"/>
  <c r="AE132" i="32"/>
  <c r="AM119" i="32"/>
  <c r="AJ154" i="32"/>
  <c r="AL129" i="32"/>
  <c r="AL131" i="32"/>
  <c r="AD93" i="32"/>
  <c r="AJ144" i="32"/>
  <c r="AH87" i="32"/>
  <c r="AI87" i="32" s="1"/>
  <c r="AH89" i="32"/>
  <c r="AI89" i="32" s="1"/>
  <c r="AL89" i="32" s="1"/>
  <c r="AE93" i="32"/>
  <c r="AD110" i="32"/>
  <c r="AD116" i="32"/>
  <c r="AH122" i="32"/>
  <c r="AI122" i="32" s="1"/>
  <c r="AE135" i="32"/>
  <c r="AL122" i="32"/>
  <c r="AJ122" i="32"/>
  <c r="K39" i="68"/>
  <c r="AL110" i="32"/>
  <c r="AD102" i="32"/>
  <c r="AE109" i="32"/>
  <c r="AE115" i="32"/>
  <c r="AH132" i="32"/>
  <c r="AI132" i="32" s="1"/>
  <c r="AH156" i="32"/>
  <c r="AI156" i="32" s="1"/>
  <c r="AL156" i="32" s="1"/>
  <c r="AH167" i="32"/>
  <c r="AI167" i="32" s="1"/>
  <c r="AL167" i="32" s="1"/>
  <c r="AD98" i="32"/>
  <c r="AH99" i="32"/>
  <c r="AI99" i="32" s="1"/>
  <c r="AL99" i="32" s="1"/>
  <c r="AJ110" i="32"/>
  <c r="AH113" i="32"/>
  <c r="AI113" i="32" s="1"/>
  <c r="AD117" i="32"/>
  <c r="AD125" i="32"/>
  <c r="AD137" i="32"/>
  <c r="AL144" i="32"/>
  <c r="AD155" i="32"/>
  <c r="AD160" i="32"/>
  <c r="AD171" i="32"/>
  <c r="AE98" i="32"/>
  <c r="AD104" i="32"/>
  <c r="AE112" i="32"/>
  <c r="AD121" i="32"/>
  <c r="AD127" i="32"/>
  <c r="AL135" i="32"/>
  <c r="AE137" i="32"/>
  <c r="AD146" i="32"/>
  <c r="AE160" i="32"/>
  <c r="AE171" i="32"/>
  <c r="AD88" i="32"/>
  <c r="AL95" i="32"/>
  <c r="AE104" i="32"/>
  <c r="AE121" i="32"/>
  <c r="AE127" i="32"/>
  <c r="AH135" i="32"/>
  <c r="AI135" i="32" s="1"/>
  <c r="AD139" i="32"/>
  <c r="AE143" i="32"/>
  <c r="AD148" i="32"/>
  <c r="AH155" i="32"/>
  <c r="AI155" i="32" s="1"/>
  <c r="AL97" i="32"/>
  <c r="AH98" i="32"/>
  <c r="AI98" i="32" s="1"/>
  <c r="AE101" i="32"/>
  <c r="AH102" i="32"/>
  <c r="AI102" i="32" s="1"/>
  <c r="AD106" i="32"/>
  <c r="AL118" i="32"/>
  <c r="AH125" i="32"/>
  <c r="AI125" i="32" s="1"/>
  <c r="AL125" i="32" s="1"/>
  <c r="AE148" i="32"/>
  <c r="AH88" i="32"/>
  <c r="AI88" i="32" s="1"/>
  <c r="AL88" i="32" s="1"/>
  <c r="AH112" i="32"/>
  <c r="AI112" i="32" s="1"/>
  <c r="AL120" i="32"/>
  <c r="AH121" i="32"/>
  <c r="AI121" i="32" s="1"/>
  <c r="AE124" i="32"/>
  <c r="AD133" i="32"/>
  <c r="AH143" i="32"/>
  <c r="AI143" i="32" s="1"/>
  <c r="AH146" i="32"/>
  <c r="AI146" i="32" s="1"/>
  <c r="AD150" i="32"/>
  <c r="AD154" i="32"/>
  <c r="AD157" i="32"/>
  <c r="AD168" i="32"/>
  <c r="AL101" i="32"/>
  <c r="AE133" i="32"/>
  <c r="AL142" i="32"/>
  <c r="AE154" i="32"/>
  <c r="AL163" i="32"/>
  <c r="AJ165" i="32"/>
  <c r="AD170" i="32"/>
  <c r="AD87" i="32"/>
  <c r="AD90" i="32"/>
  <c r="AH101" i="32"/>
  <c r="AI101" i="32" s="1"/>
  <c r="AE116" i="32"/>
  <c r="AE159" i="32"/>
  <c r="AE170" i="32"/>
  <c r="AE87" i="32"/>
  <c r="AE90" i="32"/>
  <c r="AD100" i="32"/>
  <c r="AL107" i="32"/>
  <c r="AE110" i="32"/>
  <c r="AH111" i="32"/>
  <c r="AI111" i="32" s="1"/>
  <c r="AH124" i="32"/>
  <c r="AI124" i="32" s="1"/>
  <c r="AL124" i="32" s="1"/>
  <c r="AD138" i="32"/>
  <c r="AL153" i="32"/>
  <c r="AH157" i="32"/>
  <c r="AI157" i="32" s="1"/>
  <c r="AD161" i="32"/>
  <c r="AH168" i="32"/>
  <c r="AI168" i="32" s="1"/>
  <c r="AL168" i="32" s="1"/>
  <c r="W170" i="32"/>
  <c r="AD92" i="32"/>
  <c r="AD99" i="32"/>
  <c r="AD105" i="32"/>
  <c r="AD123" i="32"/>
  <c r="AD128" i="32"/>
  <c r="AD132" i="32"/>
  <c r="AH133" i="32"/>
  <c r="AI133" i="32" s="1"/>
  <c r="AL133" i="32" s="1"/>
  <c r="AE138" i="32"/>
  <c r="AH145" i="32"/>
  <c r="AI145" i="32" s="1"/>
  <c r="AE156" i="32"/>
  <c r="AH57" i="31"/>
  <c r="AI57" i="31" s="1"/>
  <c r="AJ57" i="31" s="1"/>
  <c r="AM57" i="31"/>
  <c r="AH45" i="31"/>
  <c r="AI45" i="31" s="1"/>
  <c r="AJ45" i="31" s="1"/>
  <c r="AH47" i="31"/>
  <c r="AI47" i="31" s="1"/>
  <c r="AD35" i="31"/>
  <c r="AH36" i="31"/>
  <c r="AI36" i="31" s="1"/>
  <c r="AH48" i="31"/>
  <c r="AI48" i="31" s="1"/>
  <c r="AE35" i="31"/>
  <c r="AD38" i="31"/>
  <c r="AE47" i="31"/>
  <c r="AN47" i="31" s="1"/>
  <c r="AD50" i="31"/>
  <c r="AE59" i="31"/>
  <c r="AE38" i="31"/>
  <c r="AH59" i="31"/>
  <c r="AI59" i="31" s="1"/>
  <c r="U59" i="31"/>
  <c r="U17" i="31"/>
  <c r="A14" i="31"/>
  <c r="AH32" i="31"/>
  <c r="AI32" i="31" s="1"/>
  <c r="AJ32" i="31" s="1"/>
  <c r="AE34" i="31"/>
  <c r="AH44" i="31"/>
  <c r="AI44" i="31" s="1"/>
  <c r="AJ44" i="31" s="1"/>
  <c r="AE46" i="31"/>
  <c r="AD49" i="31"/>
  <c r="AL53" i="31"/>
  <c r="AH56" i="31"/>
  <c r="AI56" i="31" s="1"/>
  <c r="AJ56" i="31" s="1"/>
  <c r="AE49" i="31"/>
  <c r="AH34" i="31"/>
  <c r="AI34" i="31" s="1"/>
  <c r="AH46" i="31"/>
  <c r="AI46" i="31" s="1"/>
  <c r="AH58" i="31"/>
  <c r="AI58" i="31" s="1"/>
  <c r="W11" i="31"/>
  <c r="J38" i="68"/>
  <c r="J41" i="68" s="1"/>
  <c r="AD36" i="31"/>
  <c r="AN36" i="31" s="1"/>
  <c r="AH37" i="31"/>
  <c r="AI37" i="31" s="1"/>
  <c r="AL37" i="31" s="1"/>
  <c r="AD48" i="31"/>
  <c r="AH49" i="31"/>
  <c r="AI49" i="31" s="1"/>
  <c r="AH31" i="31"/>
  <c r="AI31" i="31" s="1"/>
  <c r="AE36" i="31"/>
  <c r="AH43" i="31"/>
  <c r="AI43" i="31" s="1"/>
  <c r="AE48" i="31"/>
  <c r="AM22" i="30"/>
  <c r="AH23" i="30"/>
  <c r="AI23" i="30" s="1"/>
  <c r="AL23" i="30" s="1"/>
  <c r="K37" i="68"/>
  <c r="H37" i="68"/>
  <c r="C33" i="2" s="1"/>
  <c r="AH22" i="30"/>
  <c r="AI22" i="30" s="1"/>
  <c r="AD24" i="30"/>
  <c r="W22" i="30"/>
  <c r="U22" i="30"/>
  <c r="W8" i="30"/>
  <c r="U9" i="30"/>
  <c r="AH24" i="30"/>
  <c r="AI24" i="30" s="1"/>
  <c r="X23" i="25"/>
  <c r="I19" i="68"/>
  <c r="I33" i="67"/>
  <c r="I26" i="67"/>
  <c r="I16" i="67"/>
  <c r="I12" i="67"/>
  <c r="X22" i="50"/>
  <c r="AA22" i="50" s="1"/>
  <c r="AC22" i="50" s="1"/>
  <c r="AP22" i="50" s="1"/>
  <c r="I19" i="67"/>
  <c r="I35" i="67"/>
  <c r="AH51" i="29"/>
  <c r="AI51" i="29" s="1"/>
  <c r="AM49" i="29"/>
  <c r="AM62" i="29"/>
  <c r="AH57" i="29"/>
  <c r="AI57" i="29" s="1"/>
  <c r="AM55" i="29"/>
  <c r="AD73" i="29"/>
  <c r="AM59" i="29"/>
  <c r="AH67" i="29"/>
  <c r="AI67" i="29" s="1"/>
  <c r="AL56" i="29"/>
  <c r="AE60" i="29"/>
  <c r="AM67" i="29"/>
  <c r="AM54" i="29"/>
  <c r="AN54" i="29" s="1"/>
  <c r="AM56" i="29"/>
  <c r="AJ60" i="29"/>
  <c r="AE72" i="29"/>
  <c r="AD51" i="29"/>
  <c r="AM58" i="29"/>
  <c r="AE62" i="29"/>
  <c r="AE66" i="29"/>
  <c r="AL70" i="29"/>
  <c r="AE74" i="29"/>
  <c r="AH49" i="29"/>
  <c r="AI49" i="29" s="1"/>
  <c r="AM60" i="29"/>
  <c r="AD59" i="29"/>
  <c r="AD71" i="29"/>
  <c r="AH79" i="29"/>
  <c r="AI79" i="29" s="1"/>
  <c r="AL79" i="29" s="1"/>
  <c r="AH69" i="29"/>
  <c r="AI69" i="29" s="1"/>
  <c r="AD83" i="29"/>
  <c r="AN83" i="29" s="1"/>
  <c r="A14" i="29"/>
  <c r="AH59" i="29"/>
  <c r="AI59" i="29" s="1"/>
  <c r="AH71" i="29"/>
  <c r="AI71" i="29" s="1"/>
  <c r="AE78" i="29"/>
  <c r="AN78" i="29" s="1"/>
  <c r="U8" i="29"/>
  <c r="AH83" i="29"/>
  <c r="AI83" i="29" s="1"/>
  <c r="AD53" i="29"/>
  <c r="AH73" i="29"/>
  <c r="AI73" i="29" s="1"/>
  <c r="U80" i="29"/>
  <c r="AE50" i="29"/>
  <c r="AD55" i="29"/>
  <c r="AH61" i="29"/>
  <c r="AI61" i="29" s="1"/>
  <c r="AD75" i="29"/>
  <c r="AD77" i="29"/>
  <c r="U10" i="29"/>
  <c r="AH75" i="29"/>
  <c r="AI75" i="29" s="1"/>
  <c r="AH55" i="29"/>
  <c r="AI55" i="29" s="1"/>
  <c r="AD49" i="29"/>
  <c r="AH63" i="29"/>
  <c r="AI63" i="29" s="1"/>
  <c r="AD42" i="28"/>
  <c r="AD35" i="28"/>
  <c r="AE40" i="28"/>
  <c r="AH45" i="28"/>
  <c r="AI45" i="28" s="1"/>
  <c r="AE47" i="28"/>
  <c r="AH40" i="28"/>
  <c r="AI40" i="28" s="1"/>
  <c r="AE42" i="28"/>
  <c r="AD39" i="28"/>
  <c r="AL41" i="28"/>
  <c r="AE39" i="28"/>
  <c r="AH44" i="28"/>
  <c r="AI44" i="28" s="1"/>
  <c r="AE46" i="28"/>
  <c r="U46" i="28"/>
  <c r="AD48" i="28"/>
  <c r="AE48" i="28"/>
  <c r="AH36" i="28"/>
  <c r="AI36" i="28" s="1"/>
  <c r="AL36" i="28" s="1"/>
  <c r="AD38" i="28"/>
  <c r="K35" i="68"/>
  <c r="AD40" i="28"/>
  <c r="AD47" i="28"/>
  <c r="H33" i="68"/>
  <c r="C30" i="2" s="1"/>
  <c r="W9" i="27"/>
  <c r="W13" i="27"/>
  <c r="W11" i="27"/>
  <c r="U5" i="27"/>
  <c r="W15" i="27"/>
  <c r="K33" i="68"/>
  <c r="U10" i="27"/>
  <c r="AE16" i="26"/>
  <c r="AM14" i="26"/>
  <c r="W11" i="26"/>
  <c r="W6" i="26"/>
  <c r="U7" i="26"/>
  <c r="U21" i="26"/>
  <c r="W7" i="26"/>
  <c r="U8" i="26"/>
  <c r="W21" i="26"/>
  <c r="W8" i="26"/>
  <c r="U9" i="26"/>
  <c r="U24" i="26"/>
  <c r="W13" i="26"/>
  <c r="W17" i="26"/>
  <c r="U5" i="26"/>
  <c r="AJ14" i="26"/>
  <c r="U18" i="26"/>
  <c r="U10" i="26"/>
  <c r="W5" i="26"/>
  <c r="W14" i="26"/>
  <c r="U6" i="26"/>
  <c r="W10" i="26"/>
  <c r="W16" i="26"/>
  <c r="X16" i="26" s="1"/>
  <c r="U11" i="26"/>
  <c r="W20" i="26"/>
  <c r="AH19" i="24"/>
  <c r="AI19" i="24" s="1"/>
  <c r="AJ24" i="24"/>
  <c r="AE22" i="24"/>
  <c r="AH22" i="24"/>
  <c r="AI22" i="24" s="1"/>
  <c r="AL22" i="24" s="1"/>
  <c r="AD25" i="24"/>
  <c r="AE25" i="24"/>
  <c r="AD24" i="24"/>
  <c r="AD18" i="24"/>
  <c r="AH21" i="24"/>
  <c r="AI21" i="24" s="1"/>
  <c r="AE24" i="24"/>
  <c r="AH20" i="24"/>
  <c r="AI20" i="24" s="1"/>
  <c r="AL20" i="24" s="1"/>
  <c r="AD23" i="24"/>
  <c r="W8" i="24"/>
  <c r="A14" i="24"/>
  <c r="W23" i="24"/>
  <c r="AD28" i="24"/>
  <c r="W23" i="23"/>
  <c r="K29" i="68"/>
  <c r="U12" i="70"/>
  <c r="U6" i="70"/>
  <c r="W6" i="70"/>
  <c r="U7" i="70"/>
  <c r="U14" i="70"/>
  <c r="U20" i="70"/>
  <c r="W14" i="70"/>
  <c r="X14" i="70" s="1"/>
  <c r="W10" i="70"/>
  <c r="A14" i="70"/>
  <c r="W15" i="70"/>
  <c r="AD58" i="22"/>
  <c r="U90" i="22"/>
  <c r="W92" i="22"/>
  <c r="X92" i="22" s="1"/>
  <c r="U102" i="22"/>
  <c r="U110" i="22"/>
  <c r="W107" i="22"/>
  <c r="X107" i="22" s="1"/>
  <c r="U89" i="22"/>
  <c r="W91" i="22"/>
  <c r="X91" i="22" s="1"/>
  <c r="U101" i="22"/>
  <c r="W103" i="22"/>
  <c r="X103" i="22" s="1"/>
  <c r="U109" i="22"/>
  <c r="W109" i="22"/>
  <c r="X109" i="22" s="1"/>
  <c r="W90" i="22"/>
  <c r="X90" i="22" s="1"/>
  <c r="U100" i="22"/>
  <c r="W102" i="22"/>
  <c r="X102" i="22" s="1"/>
  <c r="U108" i="22"/>
  <c r="W110" i="22"/>
  <c r="X110" i="22" s="1"/>
  <c r="U99" i="22"/>
  <c r="U107" i="22"/>
  <c r="W89" i="22"/>
  <c r="X89" i="22" s="1"/>
  <c r="W101" i="22"/>
  <c r="X101" i="22" s="1"/>
  <c r="U98" i="22"/>
  <c r="W100" i="22"/>
  <c r="X100" i="22" s="1"/>
  <c r="U106" i="22"/>
  <c r="W108" i="22"/>
  <c r="X108" i="22" s="1"/>
  <c r="U97" i="22"/>
  <c r="W99" i="22"/>
  <c r="X99" i="22" s="1"/>
  <c r="U96" i="22"/>
  <c r="W98" i="22"/>
  <c r="X98" i="22" s="1"/>
  <c r="W106" i="22"/>
  <c r="X106" i="22" s="1"/>
  <c r="U95" i="22"/>
  <c r="W97" i="22"/>
  <c r="X97" i="22" s="1"/>
  <c r="U94" i="22"/>
  <c r="W96" i="22"/>
  <c r="X96" i="22" s="1"/>
  <c r="W93" i="22"/>
  <c r="X93" i="22" s="1"/>
  <c r="U93" i="22"/>
  <c r="W95" i="22"/>
  <c r="X95" i="22" s="1"/>
  <c r="U103" i="22"/>
  <c r="U92" i="22"/>
  <c r="W94" i="22"/>
  <c r="X94" i="22" s="1"/>
  <c r="U91" i="22"/>
  <c r="AH54" i="22"/>
  <c r="AI54" i="22" s="1"/>
  <c r="AJ54" i="22" s="1"/>
  <c r="AM62" i="22"/>
  <c r="AM64" i="22"/>
  <c r="AD62" i="22"/>
  <c r="AE62" i="22"/>
  <c r="W67" i="22"/>
  <c r="AH60" i="22"/>
  <c r="AI60" i="22" s="1"/>
  <c r="AL60" i="22" s="1"/>
  <c r="AE63" i="22"/>
  <c r="W52" i="22"/>
  <c r="X52" i="22" s="1"/>
  <c r="AE67" i="22"/>
  <c r="AH63" i="22"/>
  <c r="AI63" i="22" s="1"/>
  <c r="W32" i="22"/>
  <c r="X32" i="22" s="1"/>
  <c r="W44" i="22"/>
  <c r="X44" i="22" s="1"/>
  <c r="A14" i="22"/>
  <c r="AD54" i="22"/>
  <c r="AE54" i="22"/>
  <c r="AH59" i="22"/>
  <c r="AI59" i="22" s="1"/>
  <c r="AD61" i="22"/>
  <c r="U5" i="22"/>
  <c r="AE61" i="22"/>
  <c r="AE68" i="22"/>
  <c r="AE58" i="22"/>
  <c r="W7" i="22"/>
  <c r="X7" i="22" s="1"/>
  <c r="AH58" i="22"/>
  <c r="AI58" i="22" s="1"/>
  <c r="AL58" i="22" s="1"/>
  <c r="AD63" i="22"/>
  <c r="A14" i="21"/>
  <c r="U22" i="21"/>
  <c r="U15" i="21"/>
  <c r="U5" i="21"/>
  <c r="J21" i="68"/>
  <c r="AH13" i="21"/>
  <c r="AI13" i="21" s="1"/>
  <c r="AL13" i="21" s="1"/>
  <c r="U10" i="21"/>
  <c r="W18" i="21"/>
  <c r="AE21" i="21"/>
  <c r="AN21" i="21" s="1"/>
  <c r="U6" i="21"/>
  <c r="W10" i="21"/>
  <c r="U11" i="21"/>
  <c r="W12" i="21"/>
  <c r="AH15" i="21"/>
  <c r="AI15" i="21" s="1"/>
  <c r="AE18" i="21"/>
  <c r="AH21" i="21"/>
  <c r="AI21" i="21" s="1"/>
  <c r="W17" i="21"/>
  <c r="W6" i="21"/>
  <c r="U7" i="21"/>
  <c r="W11" i="21"/>
  <c r="W14" i="21"/>
  <c r="X14" i="21" s="1"/>
  <c r="K21" i="68"/>
  <c r="AE17" i="21"/>
  <c r="W7" i="21"/>
  <c r="U8" i="21"/>
  <c r="AL19" i="21"/>
  <c r="AH20" i="21"/>
  <c r="AI20" i="21" s="1"/>
  <c r="W16" i="21"/>
  <c r="AH17" i="21"/>
  <c r="AI17" i="21" s="1"/>
  <c r="U19" i="21"/>
  <c r="W22" i="21"/>
  <c r="W8" i="21"/>
  <c r="X8" i="21" s="1"/>
  <c r="U9" i="21"/>
  <c r="AD74" i="20"/>
  <c r="AD63" i="20"/>
  <c r="AM61" i="20"/>
  <c r="AD69" i="20"/>
  <c r="AL66" i="20"/>
  <c r="AD58" i="20"/>
  <c r="AL62" i="20"/>
  <c r="AM62" i="20"/>
  <c r="AE70" i="20"/>
  <c r="AJ65" i="20"/>
  <c r="AM68" i="20"/>
  <c r="AM80" i="20"/>
  <c r="AH61" i="20"/>
  <c r="AI61" i="20" s="1"/>
  <c r="A14" i="20"/>
  <c r="AD70" i="20"/>
  <c r="AH71" i="20"/>
  <c r="AI71" i="20" s="1"/>
  <c r="AJ71" i="20" s="1"/>
  <c r="AH58" i="20"/>
  <c r="AI58" i="20" s="1"/>
  <c r="AE63" i="20"/>
  <c r="AN63" i="20" s="1"/>
  <c r="AD75" i="20"/>
  <c r="AD77" i="20"/>
  <c r="AD65" i="20"/>
  <c r="AL70" i="20"/>
  <c r="W79" i="20"/>
  <c r="AH70" i="20"/>
  <c r="AI70" i="20" s="1"/>
  <c r="AJ67" i="20"/>
  <c r="AD59" i="20"/>
  <c r="AE74" i="20"/>
  <c r="AE76" i="20"/>
  <c r="AE61" i="20"/>
  <c r="AE64" i="20"/>
  <c r="AD71" i="20"/>
  <c r="AH59" i="20"/>
  <c r="AI59" i="20" s="1"/>
  <c r="AJ59" i="20" s="1"/>
  <c r="U19" i="19"/>
  <c r="H19" i="68"/>
  <c r="C20" i="2" s="1"/>
  <c r="U21" i="19"/>
  <c r="W12" i="19"/>
  <c r="U5" i="19"/>
  <c r="W14" i="19"/>
  <c r="W9" i="19"/>
  <c r="W7" i="19"/>
  <c r="U8" i="19"/>
  <c r="AH15" i="19"/>
  <c r="AI15" i="19" s="1"/>
  <c r="W23" i="19"/>
  <c r="W8" i="19"/>
  <c r="X8" i="19" s="1"/>
  <c r="U9" i="19"/>
  <c r="AH18" i="19"/>
  <c r="AI18" i="19" s="1"/>
  <c r="AL18" i="19" s="1"/>
  <c r="U24" i="19"/>
  <c r="U16" i="19"/>
  <c r="AD21" i="19"/>
  <c r="U10" i="19"/>
  <c r="U15" i="19"/>
  <c r="W16" i="19"/>
  <c r="W20" i="19"/>
  <c r="AH21" i="19"/>
  <c r="AI21" i="19" s="1"/>
  <c r="A14" i="19"/>
  <c r="W15" i="19"/>
  <c r="W5" i="19"/>
  <c r="W11" i="19"/>
  <c r="J19" i="68"/>
  <c r="W18" i="19"/>
  <c r="W19" i="19"/>
  <c r="U6" i="19"/>
  <c r="AD15" i="19"/>
  <c r="U12" i="19"/>
  <c r="AE18" i="19"/>
  <c r="AL12" i="18"/>
  <c r="AM11" i="18"/>
  <c r="W17" i="18"/>
  <c r="U14" i="18"/>
  <c r="W10" i="18"/>
  <c r="AD13" i="18"/>
  <c r="U22" i="18"/>
  <c r="AE13" i="18"/>
  <c r="W15" i="18"/>
  <c r="U11" i="18"/>
  <c r="A14" i="18"/>
  <c r="U18" i="18"/>
  <c r="AE11" i="18"/>
  <c r="AN6" i="74"/>
  <c r="T17" i="68"/>
  <c r="E18" i="2" s="1"/>
  <c r="K17" i="68"/>
  <c r="AL6" i="74"/>
  <c r="AJ6" i="74"/>
  <c r="W8" i="74"/>
  <c r="X8" i="74" s="1"/>
  <c r="U9" i="74"/>
  <c r="W19" i="74"/>
  <c r="W23" i="74"/>
  <c r="U13" i="74"/>
  <c r="U5" i="74"/>
  <c r="A16" i="74" s="1"/>
  <c r="W16" i="74"/>
  <c r="W20" i="74"/>
  <c r="W24" i="74"/>
  <c r="W13" i="74"/>
  <c r="U17" i="74"/>
  <c r="U21" i="74"/>
  <c r="W10" i="74"/>
  <c r="U14" i="74"/>
  <c r="W17" i="74"/>
  <c r="W21" i="74"/>
  <c r="W6" i="74"/>
  <c r="U7" i="74"/>
  <c r="W14" i="74"/>
  <c r="U15" i="74"/>
  <c r="W18" i="74"/>
  <c r="W22" i="74"/>
  <c r="W7" i="74"/>
  <c r="U8" i="74"/>
  <c r="U19" i="74"/>
  <c r="U23" i="74"/>
  <c r="U12" i="74"/>
  <c r="W15" i="74"/>
  <c r="S15" i="68"/>
  <c r="W10" i="16"/>
  <c r="AM146" i="15"/>
  <c r="AM165" i="15"/>
  <c r="AM153" i="15"/>
  <c r="AM157" i="15"/>
  <c r="AM159" i="15"/>
  <c r="AE145" i="15"/>
  <c r="AM134" i="15"/>
  <c r="W101" i="15"/>
  <c r="AH133" i="15"/>
  <c r="AI133" i="15" s="1"/>
  <c r="AM152" i="15"/>
  <c r="AM156" i="15"/>
  <c r="AM158" i="15"/>
  <c r="AM162" i="15"/>
  <c r="AD144" i="15"/>
  <c r="AL157" i="15"/>
  <c r="AM133" i="15"/>
  <c r="AE165" i="15"/>
  <c r="AD180" i="15"/>
  <c r="AL232" i="15"/>
  <c r="AJ232" i="15"/>
  <c r="AL234" i="15"/>
  <c r="AJ234" i="15"/>
  <c r="J14" i="68"/>
  <c r="U54" i="15"/>
  <c r="W64" i="15"/>
  <c r="AD138" i="15"/>
  <c r="AE140" i="15"/>
  <c r="AE142" i="15"/>
  <c r="AH190" i="15"/>
  <c r="AI190" i="15" s="1"/>
  <c r="AH231" i="15"/>
  <c r="AI231" i="15" s="1"/>
  <c r="AL231" i="15" s="1"/>
  <c r="AE234" i="15"/>
  <c r="U45" i="15"/>
  <c r="AH126" i="15"/>
  <c r="AI126" i="15" s="1"/>
  <c r="AH233" i="15"/>
  <c r="AI233" i="15" s="1"/>
  <c r="AJ233" i="15" s="1"/>
  <c r="AL153" i="15"/>
  <c r="W35" i="15"/>
  <c r="AH122" i="15"/>
  <c r="AI122" i="15" s="1"/>
  <c r="AJ122" i="15" s="1"/>
  <c r="AE193" i="15"/>
  <c r="AN193" i="15" s="1"/>
  <c r="AD224" i="15"/>
  <c r="AH145" i="15"/>
  <c r="AI145" i="15" s="1"/>
  <c r="AE149" i="15"/>
  <c r="AE173" i="15"/>
  <c r="AH214" i="15"/>
  <c r="AI214" i="15" s="1"/>
  <c r="AD157" i="15"/>
  <c r="AD181" i="15"/>
  <c r="AD231" i="15"/>
  <c r="W503" i="15"/>
  <c r="X503" i="15" s="1"/>
  <c r="U19" i="15"/>
  <c r="AE157" i="15"/>
  <c r="AD161" i="15"/>
  <c r="W167" i="15"/>
  <c r="AH175" i="15"/>
  <c r="AI175" i="15" s="1"/>
  <c r="AH183" i="15"/>
  <c r="AI183" i="15" s="1"/>
  <c r="AD232" i="15"/>
  <c r="W85" i="15"/>
  <c r="AE190" i="15"/>
  <c r="AD233" i="15"/>
  <c r="AD132" i="15"/>
  <c r="W5" i="14"/>
  <c r="W13" i="14"/>
  <c r="W7" i="14"/>
  <c r="U8" i="14"/>
  <c r="AE20" i="14"/>
  <c r="U10" i="14"/>
  <c r="AD19" i="14"/>
  <c r="AE19" i="14"/>
  <c r="AL22" i="14"/>
  <c r="W23" i="14"/>
  <c r="AD20" i="14"/>
  <c r="A14" i="14"/>
  <c r="W5" i="13"/>
  <c r="U6" i="13"/>
  <c r="AD20" i="13"/>
  <c r="AE20" i="13"/>
  <c r="AH17" i="13"/>
  <c r="AI17" i="13" s="1"/>
  <c r="AL17" i="13" s="1"/>
  <c r="AD19" i="13"/>
  <c r="U21" i="13"/>
  <c r="AE19" i="13"/>
  <c r="AH16" i="13"/>
  <c r="AI16" i="13" s="1"/>
  <c r="AJ16" i="13" s="1"/>
  <c r="A14" i="13"/>
  <c r="AE18" i="13"/>
  <c r="AN18" i="13" s="1"/>
  <c r="AM50" i="12"/>
  <c r="AD36" i="12"/>
  <c r="AH35" i="12"/>
  <c r="AI35" i="12" s="1"/>
  <c r="AH13" i="6"/>
  <c r="AI13" i="6" s="1"/>
  <c r="AD20" i="6"/>
  <c r="AM20" i="6"/>
  <c r="AD15" i="6"/>
  <c r="AL15" i="6"/>
  <c r="AL21" i="6"/>
  <c r="AJ21" i="6"/>
  <c r="AE14" i="6"/>
  <c r="AE19" i="6"/>
  <c r="AH23" i="6"/>
  <c r="AI23" i="6" s="1"/>
  <c r="AL23" i="6" s="1"/>
  <c r="A14" i="6"/>
  <c r="AH22" i="6"/>
  <c r="AI22" i="6" s="1"/>
  <c r="AL22" i="6" s="1"/>
  <c r="AL16" i="6"/>
  <c r="AE24" i="6"/>
  <c r="W23" i="6"/>
  <c r="AE15" i="6"/>
  <c r="U10" i="6"/>
  <c r="AH24" i="6"/>
  <c r="AI24" i="6" s="1"/>
  <c r="AL24" i="6" s="1"/>
  <c r="J10" i="68"/>
  <c r="AD14" i="6"/>
  <c r="AD19" i="6"/>
  <c r="AL35" i="5"/>
  <c r="AH42" i="5"/>
  <c r="AI42" i="5" s="1"/>
  <c r="AJ42" i="5" s="1"/>
  <c r="AD36" i="5"/>
  <c r="AH44" i="5"/>
  <c r="AI44" i="5" s="1"/>
  <c r="AE46" i="5"/>
  <c r="W50" i="5"/>
  <c r="AE36" i="5"/>
  <c r="U20" i="5"/>
  <c r="AD42" i="5"/>
  <c r="AE35" i="5"/>
  <c r="AE42" i="5"/>
  <c r="AH43" i="5"/>
  <c r="AI43" i="5" s="1"/>
  <c r="AL43" i="5" s="1"/>
  <c r="AE45" i="5"/>
  <c r="AL42" i="5"/>
  <c r="A14" i="5"/>
  <c r="AD34" i="5"/>
  <c r="AD37" i="5"/>
  <c r="AE41" i="5"/>
  <c r="AL50" i="5"/>
  <c r="AD44" i="5"/>
  <c r="AH41" i="5"/>
  <c r="AI41" i="5" s="1"/>
  <c r="AE44" i="5"/>
  <c r="AN44" i="5" s="1"/>
  <c r="AH34" i="5"/>
  <c r="AI34" i="5" s="1"/>
  <c r="AL34" i="5" s="1"/>
  <c r="AL40" i="5"/>
  <c r="AD46" i="5"/>
  <c r="AM15" i="3"/>
  <c r="A14" i="3"/>
  <c r="U205" i="65"/>
  <c r="J6" i="68"/>
  <c r="U6" i="62"/>
  <c r="AH6" i="62"/>
  <c r="AI6" i="62" s="1"/>
  <c r="AM6" i="62"/>
  <c r="AJ215" i="65"/>
  <c r="AL215" i="65"/>
  <c r="AL218" i="65"/>
  <c r="AJ218" i="65"/>
  <c r="AJ228" i="65"/>
  <c r="AL224" i="65"/>
  <c r="AJ224" i="65"/>
  <c r="AL230" i="65"/>
  <c r="AJ230" i="65"/>
  <c r="AL212" i="65"/>
  <c r="AJ212" i="65"/>
  <c r="AL225" i="65"/>
  <c r="AJ217" i="65"/>
  <c r="AJ227" i="65"/>
  <c r="AJ216" i="65"/>
  <c r="AL221" i="65"/>
  <c r="AL229" i="65"/>
  <c r="AL223" i="65"/>
  <c r="AJ223" i="65"/>
  <c r="AH200" i="65"/>
  <c r="AI200" i="65" s="1"/>
  <c r="AD212" i="65"/>
  <c r="AE222" i="65"/>
  <c r="AN222" i="65" s="1"/>
  <c r="AD223" i="65"/>
  <c r="AL227" i="65"/>
  <c r="AJ229" i="65"/>
  <c r="AL228" i="65"/>
  <c r="U209" i="65"/>
  <c r="AN213" i="65"/>
  <c r="A14" i="65"/>
  <c r="AD187" i="65"/>
  <c r="AL197" i="65"/>
  <c r="AD214" i="65"/>
  <c r="AN214" i="65" s="1"/>
  <c r="AH222" i="65"/>
  <c r="AI222" i="65" s="1"/>
  <c r="AJ222" i="65" s="1"/>
  <c r="AE225" i="65"/>
  <c r="AD226" i="65"/>
  <c r="AH204" i="65"/>
  <c r="AI204" i="65" s="1"/>
  <c r="AJ204" i="65" s="1"/>
  <c r="AE214" i="65"/>
  <c r="AD215" i="65"/>
  <c r="AJ221" i="65"/>
  <c r="AE226" i="65"/>
  <c r="AD227" i="65"/>
  <c r="AE189" i="65"/>
  <c r="AE196" i="65"/>
  <c r="AE209" i="65"/>
  <c r="AE215" i="65"/>
  <c r="AD216" i="65"/>
  <c r="AE227" i="65"/>
  <c r="AD228" i="65"/>
  <c r="AE184" i="65"/>
  <c r="AJ189" i="65"/>
  <c r="AD191" i="65"/>
  <c r="AE201" i="65"/>
  <c r="AL209" i="65"/>
  <c r="AE216" i="65"/>
  <c r="AN216" i="65" s="1"/>
  <c r="AE228" i="65"/>
  <c r="AD229" i="65"/>
  <c r="AH196" i="65"/>
  <c r="AI196" i="65" s="1"/>
  <c r="AE229" i="65"/>
  <c r="AD230" i="65"/>
  <c r="AH184" i="65"/>
  <c r="AI184" i="65" s="1"/>
  <c r="AJ184" i="65" s="1"/>
  <c r="AE230" i="65"/>
  <c r="AJ193" i="65"/>
  <c r="AD195" i="65"/>
  <c r="AE200" i="65"/>
  <c r="AE205" i="65"/>
  <c r="AH208" i="65"/>
  <c r="AI208" i="65" s="1"/>
  <c r="AD221" i="65"/>
  <c r="AL185" i="65"/>
  <c r="AH188" i="65"/>
  <c r="AI188" i="65" s="1"/>
  <c r="AL188" i="65" s="1"/>
  <c r="U197" i="65"/>
  <c r="U213" i="65"/>
  <c r="U10" i="66"/>
  <c r="U43" i="66"/>
  <c r="W45" i="66"/>
  <c r="X45" i="66" s="1"/>
  <c r="U55" i="66"/>
  <c r="W57" i="66"/>
  <c r="X57" i="66" s="1"/>
  <c r="U67" i="66"/>
  <c r="W69" i="66"/>
  <c r="X69" i="66" s="1"/>
  <c r="U79" i="66"/>
  <c r="W81" i="66"/>
  <c r="X81" i="66" s="1"/>
  <c r="U91" i="66"/>
  <c r="W93" i="66"/>
  <c r="X93" i="66" s="1"/>
  <c r="U42" i="66"/>
  <c r="W44" i="66"/>
  <c r="X44" i="66" s="1"/>
  <c r="U54" i="66"/>
  <c r="W56" i="66"/>
  <c r="X56" i="66" s="1"/>
  <c r="U66" i="66"/>
  <c r="W68" i="66"/>
  <c r="X68" i="66" s="1"/>
  <c r="U78" i="66"/>
  <c r="W80" i="66"/>
  <c r="X80" i="66" s="1"/>
  <c r="U90" i="66"/>
  <c r="W92" i="66"/>
  <c r="X92" i="66" s="1"/>
  <c r="W43" i="66"/>
  <c r="X43" i="66" s="1"/>
  <c r="U53" i="66"/>
  <c r="W55" i="66"/>
  <c r="X55" i="66" s="1"/>
  <c r="U65" i="66"/>
  <c r="W67" i="66"/>
  <c r="X67" i="66" s="1"/>
  <c r="U77" i="66"/>
  <c r="W79" i="66"/>
  <c r="X79" i="66" s="1"/>
  <c r="U89" i="66"/>
  <c r="W91" i="66"/>
  <c r="X91" i="66" s="1"/>
  <c r="W42" i="66"/>
  <c r="X42" i="66" s="1"/>
  <c r="U52" i="66"/>
  <c r="W54" i="66"/>
  <c r="X54" i="66" s="1"/>
  <c r="U64" i="66"/>
  <c r="W66" i="66"/>
  <c r="X66" i="66" s="1"/>
  <c r="U76" i="66"/>
  <c r="W78" i="66"/>
  <c r="X78" i="66" s="1"/>
  <c r="U88" i="66"/>
  <c r="U51" i="66"/>
  <c r="W53" i="66"/>
  <c r="X53" i="66" s="1"/>
  <c r="U63" i="66"/>
  <c r="W65" i="66"/>
  <c r="X65" i="66" s="1"/>
  <c r="U75" i="66"/>
  <c r="W77" i="66"/>
  <c r="X77" i="66" s="1"/>
  <c r="U87" i="66"/>
  <c r="U50" i="66"/>
  <c r="W52" i="66"/>
  <c r="X52" i="66" s="1"/>
  <c r="U62" i="66"/>
  <c r="W64" i="66"/>
  <c r="X64" i="66" s="1"/>
  <c r="U74" i="66"/>
  <c r="W76" i="66"/>
  <c r="X76" i="66" s="1"/>
  <c r="U49" i="66"/>
  <c r="W51" i="66"/>
  <c r="X51" i="66" s="1"/>
  <c r="U61" i="66"/>
  <c r="W63" i="66"/>
  <c r="X63" i="66" s="1"/>
  <c r="U73" i="66"/>
  <c r="W75" i="66"/>
  <c r="X75" i="66" s="1"/>
  <c r="U85" i="66"/>
  <c r="W87" i="66"/>
  <c r="X87" i="66" s="1"/>
  <c r="U97" i="66"/>
  <c r="U48" i="66"/>
  <c r="W50" i="66"/>
  <c r="X50" i="66" s="1"/>
  <c r="U60" i="66"/>
  <c r="W62" i="66"/>
  <c r="X62" i="66" s="1"/>
  <c r="U72" i="66"/>
  <c r="U47" i="66"/>
  <c r="W49" i="66"/>
  <c r="X49" i="66" s="1"/>
  <c r="U59" i="66"/>
  <c r="W61" i="66"/>
  <c r="X61" i="66" s="1"/>
  <c r="U71" i="66"/>
  <c r="W73" i="66"/>
  <c r="X73" i="66" s="1"/>
  <c r="U83" i="66"/>
  <c r="W85" i="66"/>
  <c r="X85" i="66" s="1"/>
  <c r="U46" i="66"/>
  <c r="W48" i="66"/>
  <c r="X48" i="66" s="1"/>
  <c r="U58" i="66"/>
  <c r="W60" i="66"/>
  <c r="X60" i="66" s="1"/>
  <c r="U70" i="66"/>
  <c r="W72" i="66"/>
  <c r="X72" i="66" s="1"/>
  <c r="U44" i="66"/>
  <c r="W46" i="66"/>
  <c r="X46" i="66" s="1"/>
  <c r="U56" i="66"/>
  <c r="W58" i="66"/>
  <c r="X58" i="66" s="1"/>
  <c r="U68" i="66"/>
  <c r="W70" i="66"/>
  <c r="X70" i="66" s="1"/>
  <c r="U45" i="66"/>
  <c r="W88" i="66"/>
  <c r="X88" i="66" s="1"/>
  <c r="U101" i="66"/>
  <c r="W103" i="66"/>
  <c r="X103" i="66" s="1"/>
  <c r="U113" i="66"/>
  <c r="W115" i="66"/>
  <c r="X115" i="66" s="1"/>
  <c r="U125" i="66"/>
  <c r="W127" i="66"/>
  <c r="X127" i="66" s="1"/>
  <c r="U137" i="66"/>
  <c r="W139" i="66"/>
  <c r="X139" i="66" s="1"/>
  <c r="U94" i="66"/>
  <c r="W97" i="66"/>
  <c r="X97" i="66" s="1"/>
  <c r="U100" i="66"/>
  <c r="W102" i="66"/>
  <c r="X102" i="66" s="1"/>
  <c r="U112" i="66"/>
  <c r="W114" i="66"/>
  <c r="X114" i="66" s="1"/>
  <c r="U124" i="66"/>
  <c r="W126" i="66"/>
  <c r="X126" i="66" s="1"/>
  <c r="U136" i="66"/>
  <c r="W138" i="66"/>
  <c r="X138" i="66" s="1"/>
  <c r="W59" i="66"/>
  <c r="X59" i="66" s="1"/>
  <c r="U69" i="66"/>
  <c r="W74" i="66"/>
  <c r="X74" i="66" s="1"/>
  <c r="U82" i="66"/>
  <c r="W90" i="66"/>
  <c r="X90" i="66" s="1"/>
  <c r="U92" i="66"/>
  <c r="W101" i="66"/>
  <c r="X101" i="66" s="1"/>
  <c r="U111" i="66"/>
  <c r="W113" i="66"/>
  <c r="X113" i="66" s="1"/>
  <c r="U81" i="66"/>
  <c r="W94" i="66"/>
  <c r="X94" i="66" s="1"/>
  <c r="W100" i="66"/>
  <c r="X100" i="66" s="1"/>
  <c r="U110" i="66"/>
  <c r="W112" i="66"/>
  <c r="X112" i="66" s="1"/>
  <c r="U122" i="66"/>
  <c r="W124" i="66"/>
  <c r="X124" i="66" s="1"/>
  <c r="W82" i="66"/>
  <c r="X82" i="66" s="1"/>
  <c r="U84" i="66"/>
  <c r="U96" i="66"/>
  <c r="U99" i="66"/>
  <c r="U109" i="66"/>
  <c r="W111" i="66"/>
  <c r="X111" i="66" s="1"/>
  <c r="U121" i="66"/>
  <c r="W123" i="66"/>
  <c r="X123" i="66" s="1"/>
  <c r="U80" i="66"/>
  <c r="W83" i="66"/>
  <c r="X83" i="66" s="1"/>
  <c r="U86" i="66"/>
  <c r="W89" i="66"/>
  <c r="X89" i="66" s="1"/>
  <c r="U108" i="66"/>
  <c r="W110" i="66"/>
  <c r="X110" i="66" s="1"/>
  <c r="U120" i="66"/>
  <c r="W122" i="66"/>
  <c r="X122" i="66" s="1"/>
  <c r="W84" i="66"/>
  <c r="X84" i="66" s="1"/>
  <c r="W96" i="66"/>
  <c r="X96" i="66" s="1"/>
  <c r="W99" i="66"/>
  <c r="X99" i="66" s="1"/>
  <c r="U107" i="66"/>
  <c r="W109" i="66"/>
  <c r="X109" i="66" s="1"/>
  <c r="U119" i="66"/>
  <c r="W121" i="66"/>
  <c r="X121" i="66" s="1"/>
  <c r="U131" i="66"/>
  <c r="W133" i="66"/>
  <c r="X133" i="66" s="1"/>
  <c r="U143" i="66"/>
  <c r="W47" i="66"/>
  <c r="X47" i="66" s="1"/>
  <c r="W86" i="66"/>
  <c r="X86" i="66" s="1"/>
  <c r="U106" i="66"/>
  <c r="W108" i="66"/>
  <c r="X108" i="66" s="1"/>
  <c r="U93" i="66"/>
  <c r="U95" i="66"/>
  <c r="U98" i="66"/>
  <c r="U105" i="66"/>
  <c r="W107" i="66"/>
  <c r="X107" i="66" s="1"/>
  <c r="U117" i="66"/>
  <c r="W119" i="66"/>
  <c r="X119" i="66" s="1"/>
  <c r="U102" i="66"/>
  <c r="W104" i="66"/>
  <c r="X104" i="66" s="1"/>
  <c r="U114" i="66"/>
  <c r="W116" i="66"/>
  <c r="X116" i="66" s="1"/>
  <c r="U126" i="66"/>
  <c r="W128" i="66"/>
  <c r="X128" i="66" s="1"/>
  <c r="W106" i="66"/>
  <c r="X106" i="66" s="1"/>
  <c r="U133" i="66"/>
  <c r="U138" i="66"/>
  <c r="W143" i="66"/>
  <c r="X143" i="66" s="1"/>
  <c r="U151" i="66"/>
  <c r="W153" i="66"/>
  <c r="X153" i="66" s="1"/>
  <c r="U163" i="66"/>
  <c r="W95" i="66"/>
  <c r="X95" i="66" s="1"/>
  <c r="U118" i="66"/>
  <c r="U150" i="66"/>
  <c r="W71" i="66"/>
  <c r="X71" i="66" s="1"/>
  <c r="W135" i="66"/>
  <c r="X135" i="66" s="1"/>
  <c r="W140" i="66"/>
  <c r="X140" i="66" s="1"/>
  <c r="W152" i="66"/>
  <c r="X152" i="66" s="1"/>
  <c r="U162" i="66"/>
  <c r="W125" i="66"/>
  <c r="X125" i="66" s="1"/>
  <c r="U142" i="66"/>
  <c r="U149" i="66"/>
  <c r="W151" i="66"/>
  <c r="X151" i="66" s="1"/>
  <c r="U161" i="66"/>
  <c r="W163" i="66"/>
  <c r="X163" i="66" s="1"/>
  <c r="W105" i="66"/>
  <c r="X105" i="66" s="1"/>
  <c r="W118" i="66"/>
  <c r="X118" i="66" s="1"/>
  <c r="U148" i="66"/>
  <c r="U160" i="66"/>
  <c r="W162" i="66"/>
  <c r="X162" i="66" s="1"/>
  <c r="W150" i="66"/>
  <c r="X150" i="66" s="1"/>
  <c r="U104" i="66"/>
  <c r="W117" i="66"/>
  <c r="X117" i="66" s="1"/>
  <c r="U123" i="66"/>
  <c r="W131" i="66"/>
  <c r="X131" i="66" s="1"/>
  <c r="W142" i="66"/>
  <c r="X142" i="66" s="1"/>
  <c r="U147" i="66"/>
  <c r="W149" i="66"/>
  <c r="X149" i="66" s="1"/>
  <c r="U159" i="66"/>
  <c r="W161" i="66"/>
  <c r="X161" i="66" s="1"/>
  <c r="U156" i="66"/>
  <c r="U153" i="66"/>
  <c r="U116" i="66"/>
  <c r="U127" i="66"/>
  <c r="U128" i="66"/>
  <c r="U134" i="66"/>
  <c r="U146" i="66"/>
  <c r="W148" i="66"/>
  <c r="X148" i="66" s="1"/>
  <c r="U158" i="66"/>
  <c r="W160" i="66"/>
  <c r="X160" i="66" s="1"/>
  <c r="W158" i="66"/>
  <c r="X158" i="66" s="1"/>
  <c r="W137" i="66"/>
  <c r="X137" i="66" s="1"/>
  <c r="U139" i="66"/>
  <c r="U141" i="66"/>
  <c r="U145" i="66"/>
  <c r="W147" i="66"/>
  <c r="X147" i="66" s="1"/>
  <c r="U157" i="66"/>
  <c r="W159" i="66"/>
  <c r="X159" i="66" s="1"/>
  <c r="W136" i="66"/>
  <c r="X136" i="66" s="1"/>
  <c r="W155" i="66"/>
  <c r="X155" i="66" s="1"/>
  <c r="W130" i="66"/>
  <c r="X130" i="66" s="1"/>
  <c r="W120" i="66"/>
  <c r="X120" i="66" s="1"/>
  <c r="U129" i="66"/>
  <c r="U132" i="66"/>
  <c r="W134" i="66"/>
  <c r="X134" i="66" s="1"/>
  <c r="U144" i="66"/>
  <c r="W146" i="66"/>
  <c r="X146" i="66" s="1"/>
  <c r="U103" i="66"/>
  <c r="U115" i="66"/>
  <c r="W141" i="66"/>
  <c r="X141" i="66" s="1"/>
  <c r="W145" i="66"/>
  <c r="X145" i="66" s="1"/>
  <c r="U155" i="66"/>
  <c r="W157" i="66"/>
  <c r="X157" i="66" s="1"/>
  <c r="W129" i="66"/>
  <c r="X129" i="66" s="1"/>
  <c r="U130" i="66"/>
  <c r="W132" i="66"/>
  <c r="X132" i="66" s="1"/>
  <c r="W144" i="66"/>
  <c r="X144" i="66" s="1"/>
  <c r="U154" i="66"/>
  <c r="W156" i="66"/>
  <c r="X156" i="66" s="1"/>
  <c r="W98" i="66"/>
  <c r="X98" i="66" s="1"/>
  <c r="U57" i="66"/>
  <c r="U152" i="66"/>
  <c r="U140" i="66"/>
  <c r="W154" i="66"/>
  <c r="X154" i="66" s="1"/>
  <c r="U135" i="66"/>
  <c r="U221" i="65"/>
  <c r="AL195" i="65"/>
  <c r="AJ195" i="65"/>
  <c r="AJ201" i="65"/>
  <c r="AL183" i="65"/>
  <c r="AJ183" i="65"/>
  <c r="U185" i="65"/>
  <c r="AJ200" i="65"/>
  <c r="AL200" i="65"/>
  <c r="U225" i="65"/>
  <c r="AJ188" i="65"/>
  <c r="AL203" i="65"/>
  <c r="AJ203" i="65"/>
  <c r="W231" i="65"/>
  <c r="W227" i="65"/>
  <c r="X227" i="65" s="1"/>
  <c r="W223" i="65"/>
  <c r="X223" i="65" s="1"/>
  <c r="W219" i="65"/>
  <c r="X219" i="65" s="1"/>
  <c r="W215" i="65"/>
  <c r="W211" i="65"/>
  <c r="W207" i="65"/>
  <c r="X207" i="65" s="1"/>
  <c r="W203" i="65"/>
  <c r="X203" i="65" s="1"/>
  <c r="W199" i="65"/>
  <c r="X199" i="65" s="1"/>
  <c r="W195" i="65"/>
  <c r="W191" i="65"/>
  <c r="X191" i="65" s="1"/>
  <c r="W187" i="65"/>
  <c r="X187" i="65" s="1"/>
  <c r="W183" i="65"/>
  <c r="U231" i="65"/>
  <c r="U227" i="65"/>
  <c r="U223" i="65"/>
  <c r="U219" i="65"/>
  <c r="U215" i="65"/>
  <c r="U211" i="65"/>
  <c r="U207" i="65"/>
  <c r="U203" i="65"/>
  <c r="U199" i="65"/>
  <c r="U195" i="65"/>
  <c r="U191" i="65"/>
  <c r="U187" i="65"/>
  <c r="U183" i="65"/>
  <c r="W230" i="65"/>
  <c r="X230" i="65" s="1"/>
  <c r="W226" i="65"/>
  <c r="X226" i="65" s="1"/>
  <c r="AC226" i="65" s="1"/>
  <c r="AP226" i="65" s="1"/>
  <c r="W222" i="65"/>
  <c r="W218" i="65"/>
  <c r="X218" i="65" s="1"/>
  <c r="W214" i="65"/>
  <c r="X214" i="65" s="1"/>
  <c r="W210" i="65"/>
  <c r="W206" i="65"/>
  <c r="X206" i="65" s="1"/>
  <c r="AC206" i="65" s="1"/>
  <c r="W202" i="65"/>
  <c r="X202" i="65" s="1"/>
  <c r="W198" i="65"/>
  <c r="X198" i="65" s="1"/>
  <c r="W194" i="65"/>
  <c r="X194" i="65" s="1"/>
  <c r="AC194" i="65" s="1"/>
  <c r="W190" i="65"/>
  <c r="X190" i="65" s="1"/>
  <c r="AC190" i="65" s="1"/>
  <c r="W186" i="65"/>
  <c r="X186" i="65" s="1"/>
  <c r="W182" i="65"/>
  <c r="U230" i="65"/>
  <c r="U226" i="65"/>
  <c r="U222" i="65"/>
  <c r="U218" i="65"/>
  <c r="U214" i="65"/>
  <c r="U210" i="65"/>
  <c r="U206" i="65"/>
  <c r="U202" i="65"/>
  <c r="U198" i="65"/>
  <c r="U194" i="65"/>
  <c r="U190" i="65"/>
  <c r="U186" i="65"/>
  <c r="U182" i="65"/>
  <c r="W229" i="65"/>
  <c r="X229" i="65" s="1"/>
  <c r="W225" i="65"/>
  <c r="W221" i="65"/>
  <c r="X221" i="65" s="1"/>
  <c r="W217" i="65"/>
  <c r="X217" i="65" s="1"/>
  <c r="W213" i="65"/>
  <c r="X213" i="65" s="1"/>
  <c r="W209" i="65"/>
  <c r="X209" i="65" s="1"/>
  <c r="W205" i="65"/>
  <c r="W201" i="65"/>
  <c r="X201" i="65" s="1"/>
  <c r="W197" i="65"/>
  <c r="W193" i="65"/>
  <c r="X193" i="65" s="1"/>
  <c r="W189" i="65"/>
  <c r="X189" i="65" s="1"/>
  <c r="X185" i="65"/>
  <c r="W232" i="65"/>
  <c r="X232" i="65" s="1"/>
  <c r="W228" i="65"/>
  <c r="W224" i="65"/>
  <c r="X224" i="65" s="1"/>
  <c r="W220" i="65"/>
  <c r="X220" i="65" s="1"/>
  <c r="W216" i="65"/>
  <c r="X216" i="65" s="1"/>
  <c r="W212" i="65"/>
  <c r="W208" i="65"/>
  <c r="W204" i="65"/>
  <c r="X204" i="65" s="1"/>
  <c r="W200" i="65"/>
  <c r="X200" i="65" s="1"/>
  <c r="W196" i="65"/>
  <c r="X196" i="65" s="1"/>
  <c r="W192" i="65"/>
  <c r="X192" i="65" s="1"/>
  <c r="W188" i="65"/>
  <c r="X188" i="65" s="1"/>
  <c r="W184" i="65"/>
  <c r="X184" i="65" s="1"/>
  <c r="U232" i="65"/>
  <c r="U228" i="65"/>
  <c r="U224" i="65"/>
  <c r="U220" i="65"/>
  <c r="U216" i="65"/>
  <c r="U212" i="65"/>
  <c r="U208" i="65"/>
  <c r="U204" i="65"/>
  <c r="U200" i="65"/>
  <c r="U196" i="65"/>
  <c r="U192" i="65"/>
  <c r="U188" i="65"/>
  <c r="U184" i="65"/>
  <c r="AL191" i="65"/>
  <c r="AJ191" i="65"/>
  <c r="U193" i="65"/>
  <c r="AJ197" i="65"/>
  <c r="AJ209" i="65"/>
  <c r="U217" i="65"/>
  <c r="AJ192" i="65"/>
  <c r="AL192" i="65"/>
  <c r="AJ185" i="65"/>
  <c r="AJ196" i="65"/>
  <c r="AL196" i="65"/>
  <c r="AJ208" i="65"/>
  <c r="AL208" i="65"/>
  <c r="AL199" i="65"/>
  <c r="AJ199" i="65"/>
  <c r="U201" i="65"/>
  <c r="U229" i="65"/>
  <c r="U189" i="65"/>
  <c r="AH182" i="65"/>
  <c r="AI182" i="65" s="1"/>
  <c r="AL182" i="65" s="1"/>
  <c r="AE183" i="65"/>
  <c r="AN183" i="65" s="1"/>
  <c r="AH186" i="65"/>
  <c r="AI186" i="65" s="1"/>
  <c r="AL186" i="65" s="1"/>
  <c r="AE187" i="65"/>
  <c r="AH190" i="65"/>
  <c r="AI190" i="65" s="1"/>
  <c r="AL190" i="65" s="1"/>
  <c r="AE191" i="65"/>
  <c r="AN191" i="65" s="1"/>
  <c r="AH194" i="65"/>
  <c r="AI194" i="65" s="1"/>
  <c r="AL194" i="65" s="1"/>
  <c r="AE195" i="65"/>
  <c r="AH198" i="65"/>
  <c r="AI198" i="65" s="1"/>
  <c r="AL198" i="65" s="1"/>
  <c r="AE199" i="65"/>
  <c r="AH202" i="65"/>
  <c r="AI202" i="65" s="1"/>
  <c r="AL202" i="65" s="1"/>
  <c r="AE203" i="65"/>
  <c r="AH206" i="65"/>
  <c r="AI206" i="65" s="1"/>
  <c r="AL206" i="65" s="1"/>
  <c r="AE207" i="65"/>
  <c r="AN207" i="65" s="1"/>
  <c r="AH210" i="65"/>
  <c r="AI210" i="65" s="1"/>
  <c r="AL210" i="65" s="1"/>
  <c r="AE211" i="65"/>
  <c r="AM193" i="65"/>
  <c r="AH187" i="65"/>
  <c r="AI187" i="65" s="1"/>
  <c r="AJ187" i="65" s="1"/>
  <c r="AH207" i="65"/>
  <c r="AI207" i="65" s="1"/>
  <c r="AJ207" i="65" s="1"/>
  <c r="AH211" i="65"/>
  <c r="AI211" i="65" s="1"/>
  <c r="AL211" i="65" s="1"/>
  <c r="AM182" i="65"/>
  <c r="AN182" i="65" s="1"/>
  <c r="AD185" i="65"/>
  <c r="AN185" i="65" s="1"/>
  <c r="AM186" i="65"/>
  <c r="AD189" i="65"/>
  <c r="AN189" i="65" s="1"/>
  <c r="AM190" i="65"/>
  <c r="AD193" i="65"/>
  <c r="AN193" i="65" s="1"/>
  <c r="AM194" i="65"/>
  <c r="AD197" i="65"/>
  <c r="AN197" i="65" s="1"/>
  <c r="AM198" i="65"/>
  <c r="AN198" i="65" s="1"/>
  <c r="AD201" i="65"/>
  <c r="AM202" i="65"/>
  <c r="AD205" i="65"/>
  <c r="AD209" i="65"/>
  <c r="AM210" i="65"/>
  <c r="AD182" i="65"/>
  <c r="AD186" i="65"/>
  <c r="AN186" i="65" s="1"/>
  <c r="AD190" i="65"/>
  <c r="AD194" i="65"/>
  <c r="AN194" i="65" s="1"/>
  <c r="AD198" i="65"/>
  <c r="AD202" i="65"/>
  <c r="AN202" i="65" s="1"/>
  <c r="AD206" i="65"/>
  <c r="AN206" i="65" s="1"/>
  <c r="AD210" i="65"/>
  <c r="U8" i="66"/>
  <c r="W13" i="66"/>
  <c r="X13" i="66" s="1"/>
  <c r="W37" i="66"/>
  <c r="A14" i="66"/>
  <c r="W6" i="66"/>
  <c r="X6" i="66" s="1"/>
  <c r="U7" i="66"/>
  <c r="W29" i="66"/>
  <c r="W21" i="66"/>
  <c r="X21" i="66" s="1"/>
  <c r="W41" i="66"/>
  <c r="X41" i="66" s="1"/>
  <c r="U14" i="66"/>
  <c r="W33" i="66"/>
  <c r="X33" i="66" s="1"/>
  <c r="W25" i="66"/>
  <c r="W10" i="66"/>
  <c r="U6" i="66"/>
  <c r="W17" i="66"/>
  <c r="W5" i="66"/>
  <c r="W16" i="66"/>
  <c r="X16" i="66" s="1"/>
  <c r="W20" i="66"/>
  <c r="W24" i="66"/>
  <c r="W28" i="66"/>
  <c r="W32" i="66"/>
  <c r="X32" i="66" s="1"/>
  <c r="W36" i="66"/>
  <c r="W40" i="66"/>
  <c r="U17" i="66"/>
  <c r="U21" i="66"/>
  <c r="U25" i="66"/>
  <c r="U29" i="66"/>
  <c r="U33" i="66"/>
  <c r="U37" i="66"/>
  <c r="U41" i="66"/>
  <c r="U11" i="66"/>
  <c r="U18" i="66"/>
  <c r="U22" i="66"/>
  <c r="U26" i="66"/>
  <c r="U30" i="66"/>
  <c r="U34" i="66"/>
  <c r="U38" i="66"/>
  <c r="W7" i="66"/>
  <c r="W14" i="66"/>
  <c r="U15" i="66"/>
  <c r="W18" i="66"/>
  <c r="X18" i="66" s="1"/>
  <c r="W22" i="66"/>
  <c r="X22" i="66" s="1"/>
  <c r="W26" i="66"/>
  <c r="X26" i="66" s="1"/>
  <c r="W30" i="66"/>
  <c r="W34" i="66"/>
  <c r="X34" i="66" s="1"/>
  <c r="W38" i="66"/>
  <c r="X38" i="66" s="1"/>
  <c r="U19" i="66"/>
  <c r="U23" i="66"/>
  <c r="U27" i="66"/>
  <c r="U31" i="66"/>
  <c r="U35" i="66"/>
  <c r="U39" i="66"/>
  <c r="W8" i="66"/>
  <c r="X8" i="66" s="1"/>
  <c r="U12" i="66"/>
  <c r="W15" i="66"/>
  <c r="U9" i="66"/>
  <c r="W19" i="66"/>
  <c r="X19" i="66" s="1"/>
  <c r="W23" i="66"/>
  <c r="W27" i="66"/>
  <c r="W31" i="66"/>
  <c r="X31" i="66" s="1"/>
  <c r="W35" i="66"/>
  <c r="W39" i="66"/>
  <c r="U5" i="66"/>
  <c r="W12" i="66"/>
  <c r="U16" i="66"/>
  <c r="U20" i="66"/>
  <c r="U24" i="66"/>
  <c r="U28" i="66"/>
  <c r="U32" i="66"/>
  <c r="U36" i="66"/>
  <c r="U40" i="66"/>
  <c r="U169" i="66"/>
  <c r="W171" i="66"/>
  <c r="X171" i="66" s="1"/>
  <c r="U181" i="66"/>
  <c r="W183" i="66"/>
  <c r="X183" i="66" s="1"/>
  <c r="W181" i="66"/>
  <c r="X181" i="66" s="1"/>
  <c r="U168" i="66"/>
  <c r="W170" i="66"/>
  <c r="X170" i="66" s="1"/>
  <c r="U180" i="66"/>
  <c r="W182" i="66"/>
  <c r="X182" i="66" s="1"/>
  <c r="U167" i="66"/>
  <c r="W169" i="66"/>
  <c r="X169" i="66" s="1"/>
  <c r="U179" i="66"/>
  <c r="U166" i="66"/>
  <c r="W168" i="66"/>
  <c r="X168" i="66" s="1"/>
  <c r="U178" i="66"/>
  <c r="W180" i="66"/>
  <c r="X180" i="66" s="1"/>
  <c r="W179" i="66"/>
  <c r="X179" i="66" s="1"/>
  <c r="U165" i="66"/>
  <c r="W167" i="66"/>
  <c r="X167" i="66" s="1"/>
  <c r="U177" i="66"/>
  <c r="U164" i="66"/>
  <c r="W166" i="66"/>
  <c r="X166" i="66" s="1"/>
  <c r="U176" i="66"/>
  <c r="W165" i="66"/>
  <c r="X165" i="66" s="1"/>
  <c r="U175" i="66"/>
  <c r="W177" i="66"/>
  <c r="X177" i="66" s="1"/>
  <c r="U187" i="66"/>
  <c r="W164" i="66"/>
  <c r="X164" i="66" s="1"/>
  <c r="U174" i="66"/>
  <c r="W176" i="66"/>
  <c r="X176" i="66" s="1"/>
  <c r="U173" i="66"/>
  <c r="W175" i="66"/>
  <c r="X175" i="66" s="1"/>
  <c r="U185" i="66"/>
  <c r="U172" i="66"/>
  <c r="W174" i="66"/>
  <c r="X174" i="66" s="1"/>
  <c r="U183" i="66"/>
  <c r="W186" i="66"/>
  <c r="X186" i="66" s="1"/>
  <c r="U170" i="66"/>
  <c r="W178" i="66"/>
  <c r="X178" i="66" s="1"/>
  <c r="W187" i="66"/>
  <c r="X187" i="66" s="1"/>
  <c r="U184" i="66"/>
  <c r="W184" i="66"/>
  <c r="X184" i="66" s="1"/>
  <c r="U182" i="66"/>
  <c r="W185" i="66"/>
  <c r="X185" i="66" s="1"/>
  <c r="U186" i="66"/>
  <c r="W173" i="66"/>
  <c r="X173" i="66" s="1"/>
  <c r="W172" i="66"/>
  <c r="X172" i="66" s="1"/>
  <c r="U171" i="66"/>
  <c r="U13" i="66"/>
  <c r="AN6" i="62"/>
  <c r="T38" i="67"/>
  <c r="AL6" i="62"/>
  <c r="AJ6" i="62"/>
  <c r="U13" i="62"/>
  <c r="U16" i="62"/>
  <c r="U20" i="62"/>
  <c r="U24" i="62"/>
  <c r="U10" i="62"/>
  <c r="W13" i="62"/>
  <c r="W16" i="62"/>
  <c r="W20" i="62"/>
  <c r="X20" i="62" s="1"/>
  <c r="W24" i="62"/>
  <c r="U17" i="62"/>
  <c r="U21" i="62"/>
  <c r="W10" i="62"/>
  <c r="W6" i="62"/>
  <c r="U7" i="62"/>
  <c r="U11" i="62"/>
  <c r="U14" i="62"/>
  <c r="W17" i="62"/>
  <c r="W21" i="62"/>
  <c r="U18" i="62"/>
  <c r="U22" i="62"/>
  <c r="W7" i="62"/>
  <c r="W11" i="62"/>
  <c r="W14" i="62"/>
  <c r="U8" i="62"/>
  <c r="U15" i="62"/>
  <c r="W18" i="62"/>
  <c r="W22" i="62"/>
  <c r="X22" i="62" s="1"/>
  <c r="U12" i="62"/>
  <c r="U19" i="62"/>
  <c r="A14" i="47"/>
  <c r="W6" i="47"/>
  <c r="U7" i="47"/>
  <c r="U14" i="47"/>
  <c r="U48" i="47"/>
  <c r="AH7" i="47"/>
  <c r="AI7" i="47" s="1"/>
  <c r="U41" i="47"/>
  <c r="AM7" i="47"/>
  <c r="U5" i="47"/>
  <c r="W33" i="47"/>
  <c r="X33" i="47" s="1"/>
  <c r="U10" i="47"/>
  <c r="U21" i="47"/>
  <c r="U28" i="47"/>
  <c r="W61" i="47"/>
  <c r="W41" i="47"/>
  <c r="U49" i="47"/>
  <c r="U56" i="47"/>
  <c r="U6" i="47"/>
  <c r="W10" i="47"/>
  <c r="W15" i="47"/>
  <c r="W21" i="47"/>
  <c r="X21" i="47" s="1"/>
  <c r="U29" i="47"/>
  <c r="U36" i="47"/>
  <c r="U16" i="47"/>
  <c r="W49" i="47"/>
  <c r="U57" i="47"/>
  <c r="U64" i="47"/>
  <c r="W29" i="47"/>
  <c r="U37" i="47"/>
  <c r="U44" i="47"/>
  <c r="U17" i="47"/>
  <c r="U24" i="47"/>
  <c r="W57" i="47"/>
  <c r="W7" i="47"/>
  <c r="X7" i="47" s="1"/>
  <c r="U12" i="47"/>
  <c r="W37" i="47"/>
  <c r="X37" i="47" s="1"/>
  <c r="U45" i="47"/>
  <c r="U52" i="47"/>
  <c r="W17" i="47"/>
  <c r="U25" i="47"/>
  <c r="U32" i="47"/>
  <c r="U67" i="47"/>
  <c r="W12" i="47"/>
  <c r="W45" i="47"/>
  <c r="U53" i="47"/>
  <c r="U60" i="47"/>
  <c r="W25" i="47"/>
  <c r="X25" i="47" s="1"/>
  <c r="U33" i="47"/>
  <c r="U40" i="47"/>
  <c r="W67" i="47"/>
  <c r="W13" i="47"/>
  <c r="U20" i="47"/>
  <c r="W53" i="47"/>
  <c r="U61" i="47"/>
  <c r="U7" i="34"/>
  <c r="U11" i="34"/>
  <c r="U18" i="34"/>
  <c r="U22" i="34"/>
  <c r="W14" i="34"/>
  <c r="U8" i="34"/>
  <c r="U15" i="34"/>
  <c r="W18" i="34"/>
  <c r="W22" i="34"/>
  <c r="X22" i="34" s="1"/>
  <c r="U19" i="34"/>
  <c r="U23" i="34"/>
  <c r="X8" i="34"/>
  <c r="U12" i="34"/>
  <c r="W15" i="34"/>
  <c r="U9" i="34"/>
  <c r="W19" i="34"/>
  <c r="W23" i="34"/>
  <c r="AD8" i="34"/>
  <c r="W12" i="34"/>
  <c r="U16" i="34"/>
  <c r="U20" i="34"/>
  <c r="AE8" i="34"/>
  <c r="U13" i="34"/>
  <c r="W16" i="34"/>
  <c r="X16" i="34" s="1"/>
  <c r="W20" i="34"/>
  <c r="X20" i="34" s="1"/>
  <c r="U10" i="34"/>
  <c r="W13" i="34"/>
  <c r="U17" i="34"/>
  <c r="N46" i="67"/>
  <c r="Q11" i="67"/>
  <c r="P37" i="67"/>
  <c r="AN14" i="31"/>
  <c r="AN40" i="39"/>
  <c r="AN34" i="47"/>
  <c r="AN21" i="52"/>
  <c r="AN13" i="53"/>
  <c r="AN25" i="53"/>
  <c r="AN23" i="71"/>
  <c r="AN17" i="57"/>
  <c r="AN29" i="57"/>
  <c r="AN18" i="12"/>
  <c r="AN18" i="14"/>
  <c r="AN37" i="29"/>
  <c r="AN26" i="31"/>
  <c r="AN21" i="37"/>
  <c r="AN23" i="42"/>
  <c r="AN18" i="45"/>
  <c r="AN12" i="46"/>
  <c r="AN24" i="46"/>
  <c r="AN52" i="75"/>
  <c r="AN24" i="54"/>
  <c r="AN11" i="58"/>
  <c r="AN17" i="58"/>
  <c r="AN13" i="59"/>
  <c r="AN19" i="12"/>
  <c r="AN14" i="13"/>
  <c r="AN277" i="15"/>
  <c r="AN337" i="15"/>
  <c r="AN9" i="19"/>
  <c r="AN17" i="20"/>
  <c r="AN15" i="72"/>
  <c r="AN12" i="24"/>
  <c r="AN12" i="27"/>
  <c r="AN72" i="32"/>
  <c r="AN12" i="34"/>
  <c r="AN9" i="35"/>
  <c r="AN14" i="37"/>
  <c r="AN16" i="66"/>
  <c r="AN20" i="66"/>
  <c r="AN24" i="66"/>
  <c r="AN28" i="66"/>
  <c r="AN32" i="66"/>
  <c r="AN36" i="66"/>
  <c r="AN40" i="66"/>
  <c r="AN20" i="41"/>
  <c r="AN13" i="43"/>
  <c r="AN36" i="46"/>
  <c r="AN21" i="47"/>
  <c r="AN11" i="49"/>
  <c r="AN19" i="49"/>
  <c r="AN10" i="50"/>
  <c r="AN18" i="56"/>
  <c r="AN22" i="56"/>
  <c r="AN19" i="57"/>
  <c r="AN23" i="58"/>
  <c r="AN11" i="5"/>
  <c r="AN10" i="12"/>
  <c r="AN15" i="13"/>
  <c r="AN10" i="18"/>
  <c r="AN16" i="18"/>
  <c r="AN24" i="18"/>
  <c r="AN14" i="19"/>
  <c r="AN9" i="20"/>
  <c r="AN22" i="63"/>
  <c r="AN13" i="64"/>
  <c r="AN24" i="21"/>
  <c r="AN12" i="23"/>
  <c r="AN24" i="26"/>
  <c r="AN13" i="32"/>
  <c r="AN12" i="36"/>
  <c r="AN19" i="38"/>
  <c r="AN10" i="66"/>
  <c r="AN14" i="43"/>
  <c r="AN10" i="75"/>
  <c r="AN41" i="75"/>
  <c r="AN16" i="15"/>
  <c r="AN268" i="15"/>
  <c r="AN376" i="15"/>
  <c r="AN484" i="15"/>
  <c r="AN19" i="69"/>
  <c r="AN25" i="69"/>
  <c r="AN9" i="72"/>
  <c r="AN10" i="25"/>
  <c r="AN13" i="27"/>
  <c r="AN51" i="32"/>
  <c r="AN16" i="46"/>
  <c r="AN30" i="47"/>
  <c r="AN195" i="65"/>
  <c r="AN203" i="65"/>
  <c r="AN9" i="13"/>
  <c r="AN84" i="15"/>
  <c r="AN10" i="70"/>
  <c r="AN16" i="24"/>
  <c r="AN24" i="37"/>
  <c r="AN7" i="66"/>
  <c r="AN11" i="44"/>
  <c r="AN13" i="45"/>
  <c r="AN40" i="46"/>
  <c r="AN24" i="47"/>
  <c r="AN37" i="47"/>
  <c r="AN65" i="47"/>
  <c r="AN38" i="75"/>
  <c r="AN12" i="56"/>
  <c r="AN14" i="61"/>
  <c r="AN52" i="15"/>
  <c r="AN73" i="15"/>
  <c r="AN451" i="15"/>
  <c r="AN11" i="19"/>
  <c r="AN22" i="28"/>
  <c r="AN12" i="44"/>
  <c r="AN12" i="47"/>
  <c r="AN18" i="47"/>
  <c r="AN66" i="47"/>
  <c r="AN10" i="53"/>
  <c r="AN21" i="53"/>
  <c r="AN13" i="57"/>
  <c r="AN25" i="57"/>
  <c r="AN10" i="62"/>
  <c r="AN184" i="65"/>
  <c r="AN192" i="65"/>
  <c r="AN196" i="65"/>
  <c r="AN11" i="13"/>
  <c r="AN20" i="15"/>
  <c r="AN86" i="15"/>
  <c r="AN24" i="20"/>
  <c r="AN36" i="20"/>
  <c r="AN48" i="20"/>
  <c r="AN55" i="32"/>
  <c r="AN79" i="32"/>
  <c r="AN15" i="41"/>
  <c r="AN20" i="46"/>
  <c r="AN19" i="47"/>
  <c r="AN25" i="47"/>
  <c r="AN46" i="47"/>
  <c r="AN47" i="75"/>
  <c r="AN41" i="22"/>
  <c r="AN17" i="70"/>
  <c r="AN17" i="30"/>
  <c r="AN23" i="33"/>
  <c r="AN18" i="34"/>
  <c r="AN22" i="34"/>
  <c r="AN19" i="37"/>
  <c r="AN13" i="38"/>
  <c r="AN15" i="66"/>
  <c r="AN51" i="75"/>
  <c r="AN18" i="52"/>
  <c r="AN23" i="53"/>
  <c r="AN53" i="53"/>
  <c r="AN9" i="5"/>
  <c r="AN29" i="5"/>
  <c r="AN43" i="15"/>
  <c r="AN44" i="15"/>
  <c r="AN76" i="15"/>
  <c r="AN358" i="15"/>
  <c r="AN20" i="23"/>
  <c r="AN21" i="32"/>
  <c r="AN33" i="47"/>
  <c r="AN16" i="57"/>
  <c r="AN28" i="57"/>
  <c r="AN23" i="61"/>
  <c r="AN11" i="62"/>
  <c r="AN15" i="64"/>
  <c r="W6" i="16"/>
  <c r="AN7" i="16"/>
  <c r="AJ20" i="60"/>
  <c r="AL20" i="60"/>
  <c r="AJ13" i="60"/>
  <c r="AL13" i="60"/>
  <c r="AL22" i="60"/>
  <c r="AJ22" i="60"/>
  <c r="AL11" i="60"/>
  <c r="AJ11" i="60"/>
  <c r="AL17" i="60"/>
  <c r="AJ17" i="60"/>
  <c r="AL10" i="60"/>
  <c r="AJ10" i="60"/>
  <c r="AL16" i="60"/>
  <c r="AJ16" i="60"/>
  <c r="AJ19" i="60"/>
  <c r="AL19" i="60"/>
  <c r="AL21" i="60"/>
  <c r="AJ21" i="60"/>
  <c r="AL24" i="60"/>
  <c r="AJ24" i="60"/>
  <c r="AL9" i="60"/>
  <c r="AJ9" i="60"/>
  <c r="AL15" i="60"/>
  <c r="AJ15" i="60"/>
  <c r="AL23" i="60"/>
  <c r="AJ23" i="60"/>
  <c r="AJ12" i="60"/>
  <c r="AL14" i="60"/>
  <c r="AJ14" i="60"/>
  <c r="U18" i="60"/>
  <c r="AN24" i="60"/>
  <c r="AD12" i="60"/>
  <c r="W13" i="60"/>
  <c r="AD18" i="60"/>
  <c r="AE12" i="60"/>
  <c r="AE18" i="60"/>
  <c r="AN18" i="60" s="1"/>
  <c r="AD19" i="60"/>
  <c r="AD13" i="60"/>
  <c r="U14" i="60"/>
  <c r="AE19" i="60"/>
  <c r="AD20" i="60"/>
  <c r="W21" i="60"/>
  <c r="AD9" i="60"/>
  <c r="AE13" i="60"/>
  <c r="AE20" i="60"/>
  <c r="U22" i="60"/>
  <c r="AE9" i="60"/>
  <c r="W14" i="60"/>
  <c r="AD21" i="60"/>
  <c r="W10" i="60"/>
  <c r="U11" i="60"/>
  <c r="AD14" i="60"/>
  <c r="AD22" i="60"/>
  <c r="AN22" i="60" s="1"/>
  <c r="U15" i="60"/>
  <c r="W18" i="60"/>
  <c r="W22" i="60"/>
  <c r="W7" i="60"/>
  <c r="U8" i="60"/>
  <c r="U19" i="60"/>
  <c r="U23" i="60"/>
  <c r="U12" i="60"/>
  <c r="W15" i="60"/>
  <c r="W8" i="60"/>
  <c r="X8" i="60" s="1"/>
  <c r="U9" i="60"/>
  <c r="W19" i="60"/>
  <c r="W23" i="60"/>
  <c r="W12" i="60"/>
  <c r="U16" i="60"/>
  <c r="U20" i="60"/>
  <c r="U26" i="60"/>
  <c r="W28" i="60"/>
  <c r="X28" i="60" s="1"/>
  <c r="U38" i="60"/>
  <c r="W40" i="60"/>
  <c r="X40" i="60" s="1"/>
  <c r="U50" i="60"/>
  <c r="W52" i="60"/>
  <c r="X52" i="60" s="1"/>
  <c r="U62" i="60"/>
  <c r="W64" i="60"/>
  <c r="X64" i="60" s="1"/>
  <c r="U74" i="60"/>
  <c r="W76" i="60"/>
  <c r="X76" i="60" s="1"/>
  <c r="U25" i="60"/>
  <c r="W27" i="60"/>
  <c r="X27" i="60" s="1"/>
  <c r="U37" i="60"/>
  <c r="W39" i="60"/>
  <c r="X39" i="60" s="1"/>
  <c r="U49" i="60"/>
  <c r="W51" i="60"/>
  <c r="X51" i="60" s="1"/>
  <c r="U61" i="60"/>
  <c r="W63" i="60"/>
  <c r="X63" i="60" s="1"/>
  <c r="U73" i="60"/>
  <c r="W26" i="60"/>
  <c r="X26" i="60" s="1"/>
  <c r="U36" i="60"/>
  <c r="W38" i="60"/>
  <c r="X38" i="60" s="1"/>
  <c r="U48" i="60"/>
  <c r="W50" i="60"/>
  <c r="X50" i="60" s="1"/>
  <c r="U60" i="60"/>
  <c r="W62" i="60"/>
  <c r="X62" i="60" s="1"/>
  <c r="U72" i="60"/>
  <c r="W74" i="60"/>
  <c r="X74" i="60" s="1"/>
  <c r="U84" i="60"/>
  <c r="W25" i="60"/>
  <c r="X25" i="60" s="1"/>
  <c r="U35" i="60"/>
  <c r="W37" i="60"/>
  <c r="X37" i="60" s="1"/>
  <c r="U47" i="60"/>
  <c r="W49" i="60"/>
  <c r="X49" i="60" s="1"/>
  <c r="U59" i="60"/>
  <c r="W61" i="60"/>
  <c r="X61" i="60" s="1"/>
  <c r="U34" i="60"/>
  <c r="W36" i="60"/>
  <c r="X36" i="60" s="1"/>
  <c r="U46" i="60"/>
  <c r="W48" i="60"/>
  <c r="X48" i="60" s="1"/>
  <c r="U58" i="60"/>
  <c r="W60" i="60"/>
  <c r="X60" i="60" s="1"/>
  <c r="U33" i="60"/>
  <c r="W35" i="60"/>
  <c r="X35" i="60" s="1"/>
  <c r="U45" i="60"/>
  <c r="W47" i="60"/>
  <c r="X47" i="60" s="1"/>
  <c r="U57" i="60"/>
  <c r="W59" i="60"/>
  <c r="X59" i="60" s="1"/>
  <c r="U69" i="60"/>
  <c r="W71" i="60"/>
  <c r="X71" i="60" s="1"/>
  <c r="U81" i="60"/>
  <c r="W83" i="60"/>
  <c r="X83" i="60" s="1"/>
  <c r="U32" i="60"/>
  <c r="W34" i="60"/>
  <c r="X34" i="60" s="1"/>
  <c r="U44" i="60"/>
  <c r="W46" i="60"/>
  <c r="X46" i="60" s="1"/>
  <c r="U56" i="60"/>
  <c r="W58" i="60"/>
  <c r="X58" i="60" s="1"/>
  <c r="U68" i="60"/>
  <c r="W70" i="60"/>
  <c r="X70" i="60" s="1"/>
  <c r="U31" i="60"/>
  <c r="W33" i="60"/>
  <c r="X33" i="60" s="1"/>
  <c r="U43" i="60"/>
  <c r="W45" i="60"/>
  <c r="X45" i="60" s="1"/>
  <c r="U55" i="60"/>
  <c r="W57" i="60"/>
  <c r="X57" i="60" s="1"/>
  <c r="U67" i="60"/>
  <c r="W69" i="60"/>
  <c r="X69" i="60" s="1"/>
  <c r="U79" i="60"/>
  <c r="U30" i="60"/>
  <c r="W32" i="60"/>
  <c r="X32" i="60" s="1"/>
  <c r="U42" i="60"/>
  <c r="W44" i="60"/>
  <c r="X44" i="60" s="1"/>
  <c r="U54" i="60"/>
  <c r="W56" i="60"/>
  <c r="X56" i="60" s="1"/>
  <c r="U66" i="60"/>
  <c r="W68" i="60"/>
  <c r="X68" i="60" s="1"/>
  <c r="U29" i="60"/>
  <c r="W31" i="60"/>
  <c r="X31" i="60" s="1"/>
  <c r="U41" i="60"/>
  <c r="W43" i="60"/>
  <c r="X43" i="60" s="1"/>
  <c r="U53" i="60"/>
  <c r="W55" i="60"/>
  <c r="X55" i="60" s="1"/>
  <c r="U27" i="60"/>
  <c r="W29" i="60"/>
  <c r="X29" i="60" s="1"/>
  <c r="U39" i="60"/>
  <c r="W41" i="60"/>
  <c r="X41" i="60" s="1"/>
  <c r="U51" i="60"/>
  <c r="W53" i="60"/>
  <c r="X53" i="60" s="1"/>
  <c r="W79" i="60"/>
  <c r="X79" i="60" s="1"/>
  <c r="W81" i="60"/>
  <c r="X81" i="60" s="1"/>
  <c r="U92" i="60"/>
  <c r="W94" i="60"/>
  <c r="X94" i="60" s="1"/>
  <c r="W77" i="60"/>
  <c r="X77" i="60" s="1"/>
  <c r="W84" i="60"/>
  <c r="X84" i="60" s="1"/>
  <c r="U91" i="60"/>
  <c r="W93" i="60"/>
  <c r="X93" i="60" s="1"/>
  <c r="U103" i="60"/>
  <c r="W105" i="60"/>
  <c r="X105" i="60" s="1"/>
  <c r="U115" i="60"/>
  <c r="W117" i="60"/>
  <c r="X117" i="60" s="1"/>
  <c r="W54" i="60"/>
  <c r="X54" i="60" s="1"/>
  <c r="U65" i="60"/>
  <c r="W66" i="60"/>
  <c r="X66" i="60" s="1"/>
  <c r="U70" i="60"/>
  <c r="U90" i="60"/>
  <c r="W92" i="60"/>
  <c r="X92" i="60" s="1"/>
  <c r="U102" i="60"/>
  <c r="W104" i="60"/>
  <c r="X104" i="60" s="1"/>
  <c r="U114" i="60"/>
  <c r="W116" i="60"/>
  <c r="X116" i="60" s="1"/>
  <c r="U126" i="60"/>
  <c r="W128" i="60"/>
  <c r="X128" i="60" s="1"/>
  <c r="U40" i="60"/>
  <c r="W67" i="60"/>
  <c r="X67" i="60" s="1"/>
  <c r="U71" i="60"/>
  <c r="U78" i="60"/>
  <c r="U80" i="60"/>
  <c r="U83" i="60"/>
  <c r="U89" i="60"/>
  <c r="W91" i="60"/>
  <c r="X91" i="60" s="1"/>
  <c r="U101" i="60"/>
  <c r="W65" i="60"/>
  <c r="X65" i="60" s="1"/>
  <c r="U88" i="60"/>
  <c r="W90" i="60"/>
  <c r="X90" i="60" s="1"/>
  <c r="U100" i="60"/>
  <c r="W102" i="60"/>
  <c r="X102" i="60" s="1"/>
  <c r="W30" i="60"/>
  <c r="X30" i="60" s="1"/>
  <c r="U64" i="60"/>
  <c r="U75" i="60"/>
  <c r="W78" i="60"/>
  <c r="X78" i="60" s="1"/>
  <c r="W80" i="60"/>
  <c r="X80" i="60" s="1"/>
  <c r="U87" i="60"/>
  <c r="W89" i="60"/>
  <c r="X89" i="60" s="1"/>
  <c r="U99" i="60"/>
  <c r="W101" i="60"/>
  <c r="X101" i="60" s="1"/>
  <c r="U111" i="60"/>
  <c r="W113" i="60"/>
  <c r="X113" i="60" s="1"/>
  <c r="U123" i="60"/>
  <c r="W125" i="60"/>
  <c r="X125" i="60" s="1"/>
  <c r="U82" i="60"/>
  <c r="U86" i="60"/>
  <c r="W88" i="60"/>
  <c r="X88" i="60" s="1"/>
  <c r="U98" i="60"/>
  <c r="W100" i="60"/>
  <c r="X100" i="60" s="1"/>
  <c r="U110" i="60"/>
  <c r="W112" i="60"/>
  <c r="X112" i="60" s="1"/>
  <c r="W75" i="60"/>
  <c r="X75" i="60" s="1"/>
  <c r="U85" i="60"/>
  <c r="W87" i="60"/>
  <c r="X87" i="60" s="1"/>
  <c r="U97" i="60"/>
  <c r="W99" i="60"/>
  <c r="X99" i="60" s="1"/>
  <c r="U52" i="60"/>
  <c r="W72" i="60"/>
  <c r="X72" i="60" s="1"/>
  <c r="U76" i="60"/>
  <c r="W82" i="60"/>
  <c r="X82" i="60" s="1"/>
  <c r="W86" i="60"/>
  <c r="X86" i="60" s="1"/>
  <c r="U96" i="60"/>
  <c r="W42" i="60"/>
  <c r="X42" i="60" s="1"/>
  <c r="U63" i="60"/>
  <c r="W85" i="60"/>
  <c r="X85" i="60" s="1"/>
  <c r="U95" i="60"/>
  <c r="W97" i="60"/>
  <c r="X97" i="60" s="1"/>
  <c r="U107" i="60"/>
  <c r="W109" i="60"/>
  <c r="X109" i="60" s="1"/>
  <c r="W98" i="60"/>
  <c r="X98" i="60" s="1"/>
  <c r="U104" i="60"/>
  <c r="W114" i="60"/>
  <c r="X114" i="60" s="1"/>
  <c r="W121" i="60"/>
  <c r="X121" i="60" s="1"/>
  <c r="U125" i="60"/>
  <c r="W129" i="60"/>
  <c r="X129" i="60" s="1"/>
  <c r="W123" i="60"/>
  <c r="X123" i="60" s="1"/>
  <c r="W96" i="60"/>
  <c r="X96" i="60" s="1"/>
  <c r="U116" i="60"/>
  <c r="U118" i="60"/>
  <c r="U128" i="60"/>
  <c r="U105" i="60"/>
  <c r="U106" i="60"/>
  <c r="W110" i="60"/>
  <c r="X110" i="60" s="1"/>
  <c r="U113" i="60"/>
  <c r="W118" i="60"/>
  <c r="X118" i="60" s="1"/>
  <c r="U120" i="60"/>
  <c r="U127" i="60"/>
  <c r="U94" i="60"/>
  <c r="W95" i="60"/>
  <c r="X95" i="60" s="1"/>
  <c r="U122" i="60"/>
  <c r="U124" i="60"/>
  <c r="W106" i="60"/>
  <c r="X106" i="60" s="1"/>
  <c r="W120" i="60"/>
  <c r="X120" i="60" s="1"/>
  <c r="W127" i="60"/>
  <c r="X127" i="60" s="1"/>
  <c r="U77" i="60"/>
  <c r="W115" i="60"/>
  <c r="X115" i="60" s="1"/>
  <c r="W122" i="60"/>
  <c r="X122" i="60" s="1"/>
  <c r="W124" i="60"/>
  <c r="X124" i="60" s="1"/>
  <c r="U130" i="60"/>
  <c r="W73" i="60"/>
  <c r="X73" i="60" s="1"/>
  <c r="W111" i="60"/>
  <c r="X111" i="60" s="1"/>
  <c r="U117" i="60"/>
  <c r="U93" i="60"/>
  <c r="W107" i="60"/>
  <c r="X107" i="60" s="1"/>
  <c r="U108" i="60"/>
  <c r="U119" i="60"/>
  <c r="W130" i="60"/>
  <c r="X130" i="60" s="1"/>
  <c r="U28" i="60"/>
  <c r="U121" i="60"/>
  <c r="W126" i="60"/>
  <c r="X126" i="60" s="1"/>
  <c r="U129" i="60"/>
  <c r="W103" i="60"/>
  <c r="X103" i="60" s="1"/>
  <c r="W108" i="60"/>
  <c r="X108" i="60" s="1"/>
  <c r="U109" i="60"/>
  <c r="U112" i="60"/>
  <c r="W119" i="60"/>
  <c r="X119" i="60" s="1"/>
  <c r="U13" i="60"/>
  <c r="U5" i="60"/>
  <c r="W16" i="60"/>
  <c r="W20" i="60"/>
  <c r="W24" i="60"/>
  <c r="U17" i="60"/>
  <c r="U21" i="60"/>
  <c r="AL20" i="59"/>
  <c r="AJ20" i="59"/>
  <c r="AL22" i="59"/>
  <c r="AJ22" i="59"/>
  <c r="AL16" i="59"/>
  <c r="AJ16" i="59"/>
  <c r="AL24" i="59"/>
  <c r="AJ24" i="59"/>
  <c r="AL19" i="59"/>
  <c r="AJ19" i="59"/>
  <c r="AJ21" i="59"/>
  <c r="AL21" i="59"/>
  <c r="AL15" i="59"/>
  <c r="AJ15" i="59"/>
  <c r="AL18" i="59"/>
  <c r="AJ18" i="59"/>
  <c r="W9" i="59"/>
  <c r="U10" i="59"/>
  <c r="W14" i="59"/>
  <c r="X14" i="59" s="1"/>
  <c r="U15" i="59"/>
  <c r="AD20" i="59"/>
  <c r="U22" i="59"/>
  <c r="AJ23" i="59"/>
  <c r="U11" i="59"/>
  <c r="AD14" i="59"/>
  <c r="AE20" i="59"/>
  <c r="AD21" i="59"/>
  <c r="AE14" i="59"/>
  <c r="W15" i="59"/>
  <c r="AE21" i="59"/>
  <c r="W22" i="59"/>
  <c r="H32" i="67"/>
  <c r="W11" i="59"/>
  <c r="X11" i="59" s="1"/>
  <c r="U23" i="59"/>
  <c r="AD15" i="59"/>
  <c r="AD22" i="59"/>
  <c r="W6" i="59"/>
  <c r="U7" i="59"/>
  <c r="U12" i="59"/>
  <c r="AE15" i="59"/>
  <c r="AD16" i="59"/>
  <c r="U18" i="59"/>
  <c r="AE22" i="59"/>
  <c r="AD23" i="59"/>
  <c r="W7" i="59"/>
  <c r="X7" i="59" s="1"/>
  <c r="U8" i="59"/>
  <c r="W18" i="59"/>
  <c r="X18" i="59" s="1"/>
  <c r="AD24" i="59"/>
  <c r="AN24" i="59" s="1"/>
  <c r="W13" i="59"/>
  <c r="U19" i="59"/>
  <c r="P29" i="67"/>
  <c r="W8" i="59"/>
  <c r="U9" i="59"/>
  <c r="W19" i="59"/>
  <c r="X19" i="59" s="1"/>
  <c r="W23" i="59"/>
  <c r="W12" i="59"/>
  <c r="U16" i="59"/>
  <c r="U20" i="59"/>
  <c r="U26" i="59"/>
  <c r="W28" i="59"/>
  <c r="X28" i="59" s="1"/>
  <c r="U38" i="59"/>
  <c r="W40" i="59"/>
  <c r="X40" i="59" s="1"/>
  <c r="U50" i="59"/>
  <c r="W52" i="59"/>
  <c r="X52" i="59" s="1"/>
  <c r="U62" i="59"/>
  <c r="W64" i="59"/>
  <c r="X64" i="59" s="1"/>
  <c r="W30" i="59"/>
  <c r="X30" i="59" s="1"/>
  <c r="U40" i="59"/>
  <c r="W42" i="59"/>
  <c r="X42" i="59" s="1"/>
  <c r="W54" i="59"/>
  <c r="X54" i="59" s="1"/>
  <c r="U25" i="59"/>
  <c r="W27" i="59"/>
  <c r="X27" i="59" s="1"/>
  <c r="U37" i="59"/>
  <c r="W39" i="59"/>
  <c r="X39" i="59" s="1"/>
  <c r="U49" i="59"/>
  <c r="W51" i="59"/>
  <c r="X51" i="59" s="1"/>
  <c r="U61" i="59"/>
  <c r="W63" i="59"/>
  <c r="X63" i="59" s="1"/>
  <c r="U73" i="59"/>
  <c r="U52" i="59"/>
  <c r="W26" i="59"/>
  <c r="X26" i="59" s="1"/>
  <c r="U36" i="59"/>
  <c r="W38" i="59"/>
  <c r="X38" i="59" s="1"/>
  <c r="U48" i="59"/>
  <c r="W50" i="59"/>
  <c r="X50" i="59" s="1"/>
  <c r="U60" i="59"/>
  <c r="W62" i="59"/>
  <c r="X62" i="59" s="1"/>
  <c r="U72" i="59"/>
  <c r="W25" i="59"/>
  <c r="X25" i="59" s="1"/>
  <c r="U35" i="59"/>
  <c r="W37" i="59"/>
  <c r="X37" i="59" s="1"/>
  <c r="U47" i="59"/>
  <c r="W49" i="59"/>
  <c r="X49" i="59" s="1"/>
  <c r="U59" i="59"/>
  <c r="W61" i="59"/>
  <c r="X61" i="59" s="1"/>
  <c r="U71" i="59"/>
  <c r="W73" i="59"/>
  <c r="X73" i="59" s="1"/>
  <c r="U28" i="59"/>
  <c r="U34" i="59"/>
  <c r="W36" i="59"/>
  <c r="X36" i="59" s="1"/>
  <c r="U46" i="59"/>
  <c r="W48" i="59"/>
  <c r="X48" i="59" s="1"/>
  <c r="U58" i="59"/>
  <c r="W60" i="59"/>
  <c r="X60" i="59" s="1"/>
  <c r="U70" i="59"/>
  <c r="W72" i="59"/>
  <c r="X72" i="59" s="1"/>
  <c r="U33" i="59"/>
  <c r="W35" i="59"/>
  <c r="X35" i="59" s="1"/>
  <c r="U45" i="59"/>
  <c r="W47" i="59"/>
  <c r="X47" i="59" s="1"/>
  <c r="U57" i="59"/>
  <c r="W59" i="59"/>
  <c r="X59" i="59" s="1"/>
  <c r="U69" i="59"/>
  <c r="W71" i="59"/>
  <c r="X71" i="59" s="1"/>
  <c r="U32" i="59"/>
  <c r="W34" i="59"/>
  <c r="X34" i="59" s="1"/>
  <c r="U44" i="59"/>
  <c r="W46" i="59"/>
  <c r="X46" i="59" s="1"/>
  <c r="U56" i="59"/>
  <c r="W58" i="59"/>
  <c r="X58" i="59" s="1"/>
  <c r="U68" i="59"/>
  <c r="W70" i="59"/>
  <c r="X70" i="59" s="1"/>
  <c r="U64" i="59"/>
  <c r="U31" i="59"/>
  <c r="W33" i="59"/>
  <c r="X33" i="59" s="1"/>
  <c r="U43" i="59"/>
  <c r="W45" i="59"/>
  <c r="X45" i="59" s="1"/>
  <c r="U55" i="59"/>
  <c r="W57" i="59"/>
  <c r="X57" i="59" s="1"/>
  <c r="U67" i="59"/>
  <c r="W69" i="59"/>
  <c r="X69" i="59" s="1"/>
  <c r="U30" i="59"/>
  <c r="W32" i="59"/>
  <c r="X32" i="59" s="1"/>
  <c r="U42" i="59"/>
  <c r="W44" i="59"/>
  <c r="X44" i="59" s="1"/>
  <c r="U54" i="59"/>
  <c r="W56" i="59"/>
  <c r="X56" i="59" s="1"/>
  <c r="U66" i="59"/>
  <c r="W68" i="59"/>
  <c r="X68" i="59" s="1"/>
  <c r="U29" i="59"/>
  <c r="W31" i="59"/>
  <c r="X31" i="59" s="1"/>
  <c r="U41" i="59"/>
  <c r="W43" i="59"/>
  <c r="X43" i="59" s="1"/>
  <c r="U53" i="59"/>
  <c r="W55" i="59"/>
  <c r="X55" i="59" s="1"/>
  <c r="U65" i="59"/>
  <c r="W67" i="59"/>
  <c r="X67" i="59" s="1"/>
  <c r="W66" i="59"/>
  <c r="X66" i="59" s="1"/>
  <c r="U27" i="59"/>
  <c r="W29" i="59"/>
  <c r="X29" i="59" s="1"/>
  <c r="U39" i="59"/>
  <c r="W41" i="59"/>
  <c r="X41" i="59" s="1"/>
  <c r="U51" i="59"/>
  <c r="W53" i="59"/>
  <c r="X53" i="59" s="1"/>
  <c r="U63" i="59"/>
  <c r="W65" i="59"/>
  <c r="X65" i="59" s="1"/>
  <c r="U13" i="59"/>
  <c r="U5" i="59"/>
  <c r="W16" i="59"/>
  <c r="W20" i="59"/>
  <c r="W24" i="59"/>
  <c r="U17" i="59"/>
  <c r="U21" i="59"/>
  <c r="W5" i="59"/>
  <c r="U6" i="59"/>
  <c r="W10" i="59"/>
  <c r="U14" i="59"/>
  <c r="W17" i="59"/>
  <c r="W21" i="59"/>
  <c r="AJ12" i="58"/>
  <c r="AL12" i="58"/>
  <c r="AL11" i="58"/>
  <c r="AJ11" i="58"/>
  <c r="AL14" i="58"/>
  <c r="AJ14" i="58"/>
  <c r="AL10" i="58"/>
  <c r="AJ10" i="58"/>
  <c r="AL13" i="58"/>
  <c r="AJ13" i="58"/>
  <c r="U12" i="58"/>
  <c r="U16" i="58"/>
  <c r="U20" i="58"/>
  <c r="W23" i="58"/>
  <c r="U13" i="58"/>
  <c r="U24" i="58"/>
  <c r="AD12" i="58"/>
  <c r="T31" i="67" s="1"/>
  <c r="AM13" i="58"/>
  <c r="S31" i="67" s="1"/>
  <c r="W16" i="58"/>
  <c r="W20" i="58"/>
  <c r="AE12" i="58"/>
  <c r="U14" i="58"/>
  <c r="W17" i="58"/>
  <c r="W21" i="58"/>
  <c r="J29" i="67"/>
  <c r="AN10" i="58"/>
  <c r="W14" i="58"/>
  <c r="U22" i="58"/>
  <c r="L29" i="67"/>
  <c r="W11" i="58"/>
  <c r="U15" i="58"/>
  <c r="AJ48" i="57"/>
  <c r="AL48" i="57"/>
  <c r="AL36" i="57"/>
  <c r="AJ36" i="57"/>
  <c r="AL46" i="57"/>
  <c r="AJ46" i="57"/>
  <c r="AL45" i="57"/>
  <c r="AJ45" i="57"/>
  <c r="AJ38" i="57"/>
  <c r="AL38" i="57"/>
  <c r="AL37" i="57"/>
  <c r="AJ37" i="57"/>
  <c r="AL41" i="57"/>
  <c r="AJ47" i="57"/>
  <c r="AL47" i="57"/>
  <c r="AL40" i="57"/>
  <c r="AJ40" i="57"/>
  <c r="AL44" i="57"/>
  <c r="AJ44" i="57"/>
  <c r="AJ39" i="57"/>
  <c r="AL39" i="57"/>
  <c r="W27" i="57"/>
  <c r="AH42" i="57"/>
  <c r="AI42" i="57" s="1"/>
  <c r="AJ42" i="57" s="1"/>
  <c r="AE44" i="57"/>
  <c r="AM48" i="57"/>
  <c r="W19" i="57"/>
  <c r="AE36" i="57"/>
  <c r="AN36" i="57" s="1"/>
  <c r="AD37" i="57"/>
  <c r="T30" i="67" s="1"/>
  <c r="AM39" i="57"/>
  <c r="AH43" i="57"/>
  <c r="AI43" i="57" s="1"/>
  <c r="AL43" i="57" s="1"/>
  <c r="AE46" i="57"/>
  <c r="AN46" i="57" s="1"/>
  <c r="AE37" i="57"/>
  <c r="W39" i="57"/>
  <c r="AD47" i="57"/>
  <c r="AE47" i="57"/>
  <c r="AD48" i="57"/>
  <c r="W31" i="57"/>
  <c r="AD39" i="57"/>
  <c r="AE48" i="57"/>
  <c r="AN48" i="57" s="1"/>
  <c r="W13" i="57"/>
  <c r="AE39" i="57"/>
  <c r="AN40" i="57"/>
  <c r="W8" i="57"/>
  <c r="U9" i="57"/>
  <c r="U48" i="57"/>
  <c r="W35" i="57"/>
  <c r="W12" i="57"/>
  <c r="U16" i="57"/>
  <c r="U20" i="57"/>
  <c r="U24" i="57"/>
  <c r="U28" i="57"/>
  <c r="U32" i="57"/>
  <c r="U36" i="57"/>
  <c r="U40" i="57"/>
  <c r="U44" i="57"/>
  <c r="U50" i="57"/>
  <c r="W52" i="57"/>
  <c r="X52" i="57" s="1"/>
  <c r="U62" i="57"/>
  <c r="W64" i="57"/>
  <c r="X64" i="57" s="1"/>
  <c r="U74" i="57"/>
  <c r="W76" i="57"/>
  <c r="X76" i="57" s="1"/>
  <c r="U86" i="57"/>
  <c r="W88" i="57"/>
  <c r="X88" i="57" s="1"/>
  <c r="U98" i="57"/>
  <c r="W66" i="57"/>
  <c r="X66" i="57" s="1"/>
  <c r="W90" i="57"/>
  <c r="X90" i="57" s="1"/>
  <c r="U49" i="57"/>
  <c r="W51" i="57"/>
  <c r="X51" i="57" s="1"/>
  <c r="U61" i="57"/>
  <c r="W63" i="57"/>
  <c r="X63" i="57" s="1"/>
  <c r="U73" i="57"/>
  <c r="W75" i="57"/>
  <c r="X75" i="57" s="1"/>
  <c r="U85" i="57"/>
  <c r="W87" i="57"/>
  <c r="X87" i="57" s="1"/>
  <c r="U97" i="57"/>
  <c r="W50" i="57"/>
  <c r="X50" i="57" s="1"/>
  <c r="U60" i="57"/>
  <c r="W62" i="57"/>
  <c r="X62" i="57" s="1"/>
  <c r="U72" i="57"/>
  <c r="W74" i="57"/>
  <c r="X74" i="57" s="1"/>
  <c r="U84" i="57"/>
  <c r="W86" i="57"/>
  <c r="X86" i="57" s="1"/>
  <c r="U96" i="57"/>
  <c r="W98" i="57"/>
  <c r="X98" i="57" s="1"/>
  <c r="W49" i="57"/>
  <c r="X49" i="57" s="1"/>
  <c r="U59" i="57"/>
  <c r="W61" i="57"/>
  <c r="X61" i="57" s="1"/>
  <c r="U71" i="57"/>
  <c r="W73" i="57"/>
  <c r="X73" i="57" s="1"/>
  <c r="U83" i="57"/>
  <c r="W85" i="57"/>
  <c r="X85" i="57" s="1"/>
  <c r="U95" i="57"/>
  <c r="W97" i="57"/>
  <c r="X97" i="57" s="1"/>
  <c r="W54" i="57"/>
  <c r="X54" i="57" s="1"/>
  <c r="U58" i="57"/>
  <c r="W60" i="57"/>
  <c r="X60" i="57" s="1"/>
  <c r="U70" i="57"/>
  <c r="W72" i="57"/>
  <c r="X72" i="57" s="1"/>
  <c r="U82" i="57"/>
  <c r="W84" i="57"/>
  <c r="X84" i="57" s="1"/>
  <c r="U94" i="57"/>
  <c r="W96" i="57"/>
  <c r="X96" i="57" s="1"/>
  <c r="U52" i="57"/>
  <c r="U57" i="57"/>
  <c r="W59" i="57"/>
  <c r="X59" i="57" s="1"/>
  <c r="U69" i="57"/>
  <c r="W71" i="57"/>
  <c r="X71" i="57" s="1"/>
  <c r="U81" i="57"/>
  <c r="W83" i="57"/>
  <c r="X83" i="57" s="1"/>
  <c r="U93" i="57"/>
  <c r="W95" i="57"/>
  <c r="X95" i="57" s="1"/>
  <c r="U56" i="57"/>
  <c r="W58" i="57"/>
  <c r="X58" i="57" s="1"/>
  <c r="U68" i="57"/>
  <c r="W70" i="57"/>
  <c r="X70" i="57" s="1"/>
  <c r="U80" i="57"/>
  <c r="W82" i="57"/>
  <c r="X82" i="57" s="1"/>
  <c r="U92" i="57"/>
  <c r="W94" i="57"/>
  <c r="X94" i="57" s="1"/>
  <c r="U76" i="57"/>
  <c r="U55" i="57"/>
  <c r="W57" i="57"/>
  <c r="X57" i="57" s="1"/>
  <c r="U67" i="57"/>
  <c r="W69" i="57"/>
  <c r="X69" i="57" s="1"/>
  <c r="U79" i="57"/>
  <c r="W81" i="57"/>
  <c r="X81" i="57" s="1"/>
  <c r="U91" i="57"/>
  <c r="W93" i="57"/>
  <c r="X93" i="57" s="1"/>
  <c r="U88" i="57"/>
  <c r="U54" i="57"/>
  <c r="W56" i="57"/>
  <c r="X56" i="57" s="1"/>
  <c r="U66" i="57"/>
  <c r="W68" i="57"/>
  <c r="X68" i="57" s="1"/>
  <c r="U78" i="57"/>
  <c r="W80" i="57"/>
  <c r="X80" i="57" s="1"/>
  <c r="U90" i="57"/>
  <c r="W92" i="57"/>
  <c r="X92" i="57" s="1"/>
  <c r="U53" i="57"/>
  <c r="W55" i="57"/>
  <c r="X55" i="57" s="1"/>
  <c r="U65" i="57"/>
  <c r="W67" i="57"/>
  <c r="X67" i="57" s="1"/>
  <c r="U77" i="57"/>
  <c r="W79" i="57"/>
  <c r="X79" i="57" s="1"/>
  <c r="U89" i="57"/>
  <c r="W91" i="57"/>
  <c r="X91" i="57" s="1"/>
  <c r="U64" i="57"/>
  <c r="U51" i="57"/>
  <c r="W53" i="57"/>
  <c r="X53" i="57" s="1"/>
  <c r="U63" i="57"/>
  <c r="W65" i="57"/>
  <c r="X65" i="57" s="1"/>
  <c r="U75" i="57"/>
  <c r="W77" i="57"/>
  <c r="X77" i="57" s="1"/>
  <c r="U87" i="57"/>
  <c r="W89" i="57"/>
  <c r="X89" i="57" s="1"/>
  <c r="W78" i="57"/>
  <c r="X78" i="57" s="1"/>
  <c r="U13" i="57"/>
  <c r="U5" i="57"/>
  <c r="W16" i="57"/>
  <c r="W20" i="57"/>
  <c r="X20" i="57" s="1"/>
  <c r="W24" i="57"/>
  <c r="W28" i="57"/>
  <c r="X28" i="57" s="1"/>
  <c r="W32" i="57"/>
  <c r="W36" i="57"/>
  <c r="W40" i="57"/>
  <c r="W44" i="57"/>
  <c r="W48" i="57"/>
  <c r="X48" i="57" s="1"/>
  <c r="U17" i="57"/>
  <c r="U21" i="57"/>
  <c r="U25" i="57"/>
  <c r="U29" i="57"/>
  <c r="U33" i="57"/>
  <c r="U37" i="57"/>
  <c r="U41" i="57"/>
  <c r="U45" i="57"/>
  <c r="W5" i="57"/>
  <c r="U6" i="57"/>
  <c r="W10" i="57"/>
  <c r="U14" i="57"/>
  <c r="W17" i="57"/>
  <c r="W21" i="57"/>
  <c r="W25" i="57"/>
  <c r="W29" i="57"/>
  <c r="W33" i="57"/>
  <c r="X33" i="57" s="1"/>
  <c r="W37" i="57"/>
  <c r="W41" i="57"/>
  <c r="X41" i="57" s="1"/>
  <c r="W45" i="57"/>
  <c r="U11" i="57"/>
  <c r="U18" i="57"/>
  <c r="U22" i="57"/>
  <c r="U26" i="57"/>
  <c r="U30" i="57"/>
  <c r="U34" i="57"/>
  <c r="U38" i="57"/>
  <c r="U42" i="57"/>
  <c r="U46" i="57"/>
  <c r="W6" i="57"/>
  <c r="U7" i="57"/>
  <c r="W14" i="57"/>
  <c r="L34" i="67"/>
  <c r="U15" i="57"/>
  <c r="W18" i="57"/>
  <c r="W22" i="57"/>
  <c r="X22" i="57" s="1"/>
  <c r="W26" i="57"/>
  <c r="W30" i="57"/>
  <c r="W34" i="57"/>
  <c r="W38" i="57"/>
  <c r="W42" i="57"/>
  <c r="X42" i="57" s="1"/>
  <c r="W46" i="57"/>
  <c r="W7" i="57"/>
  <c r="X7" i="57" s="1"/>
  <c r="U8" i="57"/>
  <c r="U19" i="57"/>
  <c r="U23" i="57"/>
  <c r="U27" i="57"/>
  <c r="U31" i="57"/>
  <c r="U35" i="57"/>
  <c r="U39" i="57"/>
  <c r="U43" i="57"/>
  <c r="U47" i="57"/>
  <c r="U12" i="57"/>
  <c r="W15" i="57"/>
  <c r="AL19" i="55"/>
  <c r="AJ19" i="55"/>
  <c r="AL15" i="55"/>
  <c r="AJ15" i="55"/>
  <c r="AL16" i="55"/>
  <c r="AJ16" i="55"/>
  <c r="AL12" i="55"/>
  <c r="AJ12" i="55"/>
  <c r="AJ11" i="55"/>
  <c r="AL11" i="55"/>
  <c r="AJ17" i="55"/>
  <c r="AL17" i="55"/>
  <c r="AL20" i="55"/>
  <c r="AJ20" i="55"/>
  <c r="AL14" i="55"/>
  <c r="AJ14" i="55"/>
  <c r="AJ10" i="55"/>
  <c r="AE9" i="55"/>
  <c r="AN9" i="55" s="1"/>
  <c r="AH13" i="55"/>
  <c r="AI13" i="55" s="1"/>
  <c r="AJ13" i="55" s="1"/>
  <c r="AE14" i="55"/>
  <c r="AD15" i="55"/>
  <c r="U17" i="55"/>
  <c r="AE23" i="55"/>
  <c r="AN23" i="55" s="1"/>
  <c r="AD24" i="55"/>
  <c r="AH21" i="55"/>
  <c r="AI21" i="55" s="1"/>
  <c r="AL21" i="55" s="1"/>
  <c r="AE24" i="55"/>
  <c r="AE16" i="55"/>
  <c r="W17" i="55"/>
  <c r="AH22" i="55"/>
  <c r="AI22" i="55" s="1"/>
  <c r="AL22" i="55" s="1"/>
  <c r="AD10" i="55"/>
  <c r="AN10" i="55" s="1"/>
  <c r="AH23" i="55"/>
  <c r="AI23" i="55" s="1"/>
  <c r="AL23" i="55" s="1"/>
  <c r="AE10" i="55"/>
  <c r="AD11" i="55"/>
  <c r="AD17" i="55"/>
  <c r="AN17" i="55" s="1"/>
  <c r="AH24" i="55"/>
  <c r="AI24" i="55" s="1"/>
  <c r="AL24" i="55" s="1"/>
  <c r="AJ9" i="55"/>
  <c r="AE17" i="55"/>
  <c r="U21" i="55"/>
  <c r="AM22" i="55"/>
  <c r="AN22" i="55" s="1"/>
  <c r="AD21" i="55"/>
  <c r="AN21" i="55" s="1"/>
  <c r="W5" i="55"/>
  <c r="W21" i="55"/>
  <c r="U11" i="55"/>
  <c r="U18" i="55"/>
  <c r="U22" i="55"/>
  <c r="W6" i="55"/>
  <c r="U7" i="55"/>
  <c r="W14" i="55"/>
  <c r="W11" i="55"/>
  <c r="U15" i="55"/>
  <c r="W18" i="55"/>
  <c r="W22" i="55"/>
  <c r="X22" i="55" s="1"/>
  <c r="W7" i="55"/>
  <c r="U8" i="55"/>
  <c r="U19" i="55"/>
  <c r="U23" i="55"/>
  <c r="U12" i="55"/>
  <c r="W15" i="55"/>
  <c r="W8" i="55"/>
  <c r="U9" i="55"/>
  <c r="W19" i="55"/>
  <c r="W23" i="55"/>
  <c r="W12" i="55"/>
  <c r="U16" i="55"/>
  <c r="U20" i="55"/>
  <c r="U26" i="55"/>
  <c r="W28" i="55"/>
  <c r="X28" i="55" s="1"/>
  <c r="U38" i="55"/>
  <c r="W40" i="55"/>
  <c r="X40" i="55" s="1"/>
  <c r="U50" i="55"/>
  <c r="W52" i="55"/>
  <c r="X52" i="55" s="1"/>
  <c r="W29" i="55"/>
  <c r="X29" i="55" s="1"/>
  <c r="U51" i="55"/>
  <c r="U25" i="55"/>
  <c r="W27" i="55"/>
  <c r="X27" i="55" s="1"/>
  <c r="U37" i="55"/>
  <c r="W39" i="55"/>
  <c r="X39" i="55" s="1"/>
  <c r="U49" i="55"/>
  <c r="W51" i="55"/>
  <c r="X51" i="55" s="1"/>
  <c r="W26" i="55"/>
  <c r="X26" i="55" s="1"/>
  <c r="U36" i="55"/>
  <c r="W38" i="55"/>
  <c r="X38" i="55" s="1"/>
  <c r="U48" i="55"/>
  <c r="W50" i="55"/>
  <c r="X50" i="55" s="1"/>
  <c r="W25" i="55"/>
  <c r="X25" i="55" s="1"/>
  <c r="U35" i="55"/>
  <c r="W37" i="55"/>
  <c r="X37" i="55" s="1"/>
  <c r="U47" i="55"/>
  <c r="W49" i="55"/>
  <c r="X49" i="55" s="1"/>
  <c r="U52" i="55"/>
  <c r="U34" i="55"/>
  <c r="W36" i="55"/>
  <c r="X36" i="55" s="1"/>
  <c r="U46" i="55"/>
  <c r="W48" i="55"/>
  <c r="X48" i="55" s="1"/>
  <c r="U33" i="55"/>
  <c r="W35" i="55"/>
  <c r="X35" i="55" s="1"/>
  <c r="U45" i="55"/>
  <c r="W47" i="55"/>
  <c r="X47" i="55" s="1"/>
  <c r="W41" i="55"/>
  <c r="X41" i="55" s="1"/>
  <c r="U32" i="55"/>
  <c r="W34" i="55"/>
  <c r="X34" i="55" s="1"/>
  <c r="U44" i="55"/>
  <c r="W46" i="55"/>
  <c r="X46" i="55" s="1"/>
  <c r="U39" i="55"/>
  <c r="U31" i="55"/>
  <c r="W33" i="55"/>
  <c r="X33" i="55" s="1"/>
  <c r="U43" i="55"/>
  <c r="W45" i="55"/>
  <c r="X45" i="55" s="1"/>
  <c r="U30" i="55"/>
  <c r="W32" i="55"/>
  <c r="X32" i="55" s="1"/>
  <c r="U42" i="55"/>
  <c r="W44" i="55"/>
  <c r="X44" i="55" s="1"/>
  <c r="U27" i="55"/>
  <c r="U29" i="55"/>
  <c r="W31" i="55"/>
  <c r="X31" i="55" s="1"/>
  <c r="U41" i="55"/>
  <c r="W43" i="55"/>
  <c r="X43" i="55" s="1"/>
  <c r="U28" i="55"/>
  <c r="W30" i="55"/>
  <c r="X30" i="55" s="1"/>
  <c r="U40" i="55"/>
  <c r="W42" i="55"/>
  <c r="X42" i="55" s="1"/>
  <c r="U13" i="55"/>
  <c r="U5" i="55"/>
  <c r="W16" i="55"/>
  <c r="X16" i="55" s="1"/>
  <c r="W20" i="55"/>
  <c r="W24" i="55"/>
  <c r="AJ8" i="54"/>
  <c r="AL8" i="54"/>
  <c r="AJ20" i="54"/>
  <c r="AL20" i="54"/>
  <c r="AJ13" i="54"/>
  <c r="AL13" i="54"/>
  <c r="AL22" i="54"/>
  <c r="AL15" i="54"/>
  <c r="AJ15" i="54"/>
  <c r="AL24" i="54"/>
  <c r="AJ24" i="54"/>
  <c r="AJ12" i="54"/>
  <c r="AJ19" i="54"/>
  <c r="AL21" i="54"/>
  <c r="AJ21" i="54"/>
  <c r="AL9" i="54"/>
  <c r="AJ18" i="54"/>
  <c r="AL18" i="54"/>
  <c r="AL17" i="54"/>
  <c r="AJ17" i="54"/>
  <c r="W18" i="54"/>
  <c r="AH23" i="54"/>
  <c r="AI23" i="54" s="1"/>
  <c r="AL23" i="54" s="1"/>
  <c r="AJ9" i="54"/>
  <c r="AN11" i="54"/>
  <c r="AJ14" i="54"/>
  <c r="AJ22" i="54"/>
  <c r="AH10" i="54"/>
  <c r="AI10" i="54" s="1"/>
  <c r="AL10" i="54" s="1"/>
  <c r="AN18" i="54"/>
  <c r="AM21" i="54"/>
  <c r="AN12" i="54"/>
  <c r="W13" i="54"/>
  <c r="X13" i="54" s="1"/>
  <c r="AJ16" i="54"/>
  <c r="AD20" i="54"/>
  <c r="AD13" i="54"/>
  <c r="AE20" i="54"/>
  <c r="AD21" i="54"/>
  <c r="AE13" i="54"/>
  <c r="AN15" i="54"/>
  <c r="AD9" i="54"/>
  <c r="U10" i="54"/>
  <c r="AJ11" i="54"/>
  <c r="AD14" i="54"/>
  <c r="AN14" i="54" s="1"/>
  <c r="AD22" i="54"/>
  <c r="AN22" i="54" s="1"/>
  <c r="AD23" i="54"/>
  <c r="U11" i="54"/>
  <c r="W6" i="54"/>
  <c r="U7" i="54"/>
  <c r="W14" i="54"/>
  <c r="U22" i="54"/>
  <c r="W7" i="54"/>
  <c r="U8" i="54"/>
  <c r="U19" i="54"/>
  <c r="W22" i="54"/>
  <c r="U12" i="54"/>
  <c r="W15" i="54"/>
  <c r="X15" i="54" s="1"/>
  <c r="U23" i="54"/>
  <c r="W8" i="54"/>
  <c r="X8" i="54" s="1"/>
  <c r="U9" i="54"/>
  <c r="W19" i="54"/>
  <c r="W12" i="54"/>
  <c r="U16" i="54"/>
  <c r="U20" i="54"/>
  <c r="U26" i="54"/>
  <c r="W28" i="54"/>
  <c r="X28" i="54" s="1"/>
  <c r="U38" i="54"/>
  <c r="W40" i="54"/>
  <c r="X40" i="54" s="1"/>
  <c r="W30" i="54"/>
  <c r="X30" i="54" s="1"/>
  <c r="U25" i="54"/>
  <c r="W27" i="54"/>
  <c r="X27" i="54" s="1"/>
  <c r="U37" i="54"/>
  <c r="W39" i="54"/>
  <c r="X39" i="54" s="1"/>
  <c r="W26" i="54"/>
  <c r="X26" i="54" s="1"/>
  <c r="U36" i="54"/>
  <c r="W38" i="54"/>
  <c r="X38" i="54" s="1"/>
  <c r="W25" i="54"/>
  <c r="X25" i="54" s="1"/>
  <c r="U35" i="54"/>
  <c r="W37" i="54"/>
  <c r="X37" i="54" s="1"/>
  <c r="U40" i="54"/>
  <c r="U34" i="54"/>
  <c r="W36" i="54"/>
  <c r="X36" i="54" s="1"/>
  <c r="U28" i="54"/>
  <c r="U33" i="54"/>
  <c r="W35" i="54"/>
  <c r="X35" i="54" s="1"/>
  <c r="U32" i="54"/>
  <c r="W34" i="54"/>
  <c r="X34" i="54" s="1"/>
  <c r="U44" i="54"/>
  <c r="W42" i="54"/>
  <c r="X42" i="54" s="1"/>
  <c r="U31" i="54"/>
  <c r="W33" i="54"/>
  <c r="X33" i="54" s="1"/>
  <c r="U43" i="54"/>
  <c r="U30" i="54"/>
  <c r="W32" i="54"/>
  <c r="X32" i="54" s="1"/>
  <c r="U42" i="54"/>
  <c r="W44" i="54"/>
  <c r="X44" i="54" s="1"/>
  <c r="U29" i="54"/>
  <c r="W31" i="54"/>
  <c r="X31" i="54" s="1"/>
  <c r="U41" i="54"/>
  <c r="W43" i="54"/>
  <c r="X43" i="54" s="1"/>
  <c r="U27" i="54"/>
  <c r="W29" i="54"/>
  <c r="X29" i="54" s="1"/>
  <c r="U39" i="54"/>
  <c r="W41" i="54"/>
  <c r="X41" i="54" s="1"/>
  <c r="U13" i="54"/>
  <c r="U24" i="54"/>
  <c r="U5" i="54"/>
  <c r="W16" i="54"/>
  <c r="W20" i="54"/>
  <c r="X20" i="54" s="1"/>
  <c r="U17" i="54"/>
  <c r="U21" i="54"/>
  <c r="W24" i="54"/>
  <c r="W5" i="54"/>
  <c r="U6" i="54"/>
  <c r="W10" i="54"/>
  <c r="U14" i="54"/>
  <c r="W17" i="54"/>
  <c r="X17" i="54" s="1"/>
  <c r="W21" i="54"/>
  <c r="AL7" i="73"/>
  <c r="AL9" i="73"/>
  <c r="AJ9" i="73"/>
  <c r="AJ8" i="73"/>
  <c r="AL8" i="73"/>
  <c r="AN6" i="73"/>
  <c r="W7" i="73"/>
  <c r="U8" i="73"/>
  <c r="U19" i="73"/>
  <c r="U23" i="73"/>
  <c r="U12" i="73"/>
  <c r="W15" i="73"/>
  <c r="W8" i="73"/>
  <c r="U9" i="73"/>
  <c r="W19" i="73"/>
  <c r="X19" i="73" s="1"/>
  <c r="W23" i="73"/>
  <c r="J34" i="67"/>
  <c r="W12" i="73"/>
  <c r="U16" i="73"/>
  <c r="U20" i="73"/>
  <c r="U24" i="73"/>
  <c r="AD8" i="73"/>
  <c r="AN8" i="73" s="1"/>
  <c r="U13" i="73"/>
  <c r="P22" i="67"/>
  <c r="U5" i="73"/>
  <c r="A16" i="73" s="1"/>
  <c r="AJ6" i="73"/>
  <c r="W16" i="73"/>
  <c r="X16" i="73" s="1"/>
  <c r="W20" i="73"/>
  <c r="W24" i="73"/>
  <c r="AD9" i="73"/>
  <c r="AN9" i="73" s="1"/>
  <c r="U10" i="73"/>
  <c r="W13" i="73"/>
  <c r="U17" i="73"/>
  <c r="U21" i="73"/>
  <c r="W5" i="73"/>
  <c r="AJ7" i="73"/>
  <c r="AE9" i="73"/>
  <c r="U6" i="73"/>
  <c r="W10" i="73"/>
  <c r="X10" i="73" s="1"/>
  <c r="U14" i="73"/>
  <c r="W17" i="73"/>
  <c r="W21" i="73"/>
  <c r="X21" i="73" s="1"/>
  <c r="U11" i="73"/>
  <c r="U18" i="73"/>
  <c r="U22" i="73"/>
  <c r="W6" i="73"/>
  <c r="U7" i="73"/>
  <c r="AL34" i="53"/>
  <c r="AJ34" i="53"/>
  <c r="AL33" i="53"/>
  <c r="AJ50" i="53"/>
  <c r="AL50" i="53"/>
  <c r="AL42" i="53"/>
  <c r="AJ42" i="53"/>
  <c r="AL47" i="53"/>
  <c r="AJ47" i="53"/>
  <c r="AL36" i="53"/>
  <c r="AL39" i="53"/>
  <c r="AJ39" i="53"/>
  <c r="AL40" i="53"/>
  <c r="AJ40" i="53"/>
  <c r="AL32" i="53"/>
  <c r="AJ32" i="53"/>
  <c r="AL53" i="53"/>
  <c r="AJ53" i="53"/>
  <c r="AL38" i="53"/>
  <c r="AJ38" i="53"/>
  <c r="AJ49" i="53"/>
  <c r="AL49" i="53"/>
  <c r="AL55" i="53"/>
  <c r="AJ55" i="53"/>
  <c r="AL37" i="53"/>
  <c r="AJ37" i="53"/>
  <c r="H23" i="67"/>
  <c r="W20" i="53"/>
  <c r="W27" i="53"/>
  <c r="AJ30" i="53"/>
  <c r="AE32" i="53"/>
  <c r="U35" i="53"/>
  <c r="AL35" i="53"/>
  <c r="AJ36" i="53"/>
  <c r="AJ43" i="53"/>
  <c r="AH44" i="53"/>
  <c r="AI44" i="53" s="1"/>
  <c r="AL44" i="53" s="1"/>
  <c r="AH51" i="53"/>
  <c r="AI51" i="53" s="1"/>
  <c r="AJ51" i="53" s="1"/>
  <c r="W9" i="53"/>
  <c r="W48" i="53"/>
  <c r="X48" i="53" s="1"/>
  <c r="AM49" i="53"/>
  <c r="W55" i="53"/>
  <c r="W28" i="53"/>
  <c r="AE34" i="53"/>
  <c r="W35" i="53"/>
  <c r="AE40" i="53"/>
  <c r="AN41" i="53"/>
  <c r="U43" i="53"/>
  <c r="AH46" i="53"/>
  <c r="AI46" i="53" s="1"/>
  <c r="AL46" i="53" s="1"/>
  <c r="AM50" i="53"/>
  <c r="U10" i="53"/>
  <c r="W15" i="53"/>
  <c r="U23" i="53"/>
  <c r="AM30" i="53"/>
  <c r="AM43" i="53"/>
  <c r="W36" i="53"/>
  <c r="AM37" i="53"/>
  <c r="W43" i="53"/>
  <c r="AD49" i="53"/>
  <c r="U51" i="53"/>
  <c r="AJ52" i="53"/>
  <c r="U5" i="53"/>
  <c r="W16" i="53"/>
  <c r="W23" i="53"/>
  <c r="X23" i="53" s="1"/>
  <c r="U31" i="53"/>
  <c r="AM44" i="53"/>
  <c r="AE49" i="53"/>
  <c r="AD50" i="53"/>
  <c r="W11" i="53"/>
  <c r="AD30" i="53"/>
  <c r="AM31" i="53"/>
  <c r="AJ33" i="53"/>
  <c r="AH41" i="53"/>
  <c r="AI41" i="53" s="1"/>
  <c r="AL41" i="53" s="1"/>
  <c r="AD43" i="53"/>
  <c r="W44" i="53"/>
  <c r="W51" i="53"/>
  <c r="X51" i="53" s="1"/>
  <c r="AJ54" i="53"/>
  <c r="W5" i="53"/>
  <c r="W24" i="53"/>
  <c r="AE30" i="53"/>
  <c r="W31" i="53"/>
  <c r="AD37" i="53"/>
  <c r="U39" i="53"/>
  <c r="AE43" i="53"/>
  <c r="U12" i="53"/>
  <c r="U19" i="53"/>
  <c r="AM32" i="53"/>
  <c r="AE37" i="53"/>
  <c r="AD44" i="53"/>
  <c r="AD51" i="53"/>
  <c r="W52" i="53"/>
  <c r="W7" i="53"/>
  <c r="U8" i="53"/>
  <c r="AD31" i="53"/>
  <c r="AN31" i="53" s="1"/>
  <c r="W32" i="53"/>
  <c r="W39" i="53"/>
  <c r="AN45" i="53"/>
  <c r="U47" i="53"/>
  <c r="J22" i="67"/>
  <c r="W19" i="53"/>
  <c r="X19" i="53" s="1"/>
  <c r="U27" i="53"/>
  <c r="AD46" i="53"/>
  <c r="W8" i="53"/>
  <c r="U9" i="53"/>
  <c r="W13" i="53"/>
  <c r="W40" i="53"/>
  <c r="W47" i="53"/>
  <c r="U55" i="53"/>
  <c r="W12" i="53"/>
  <c r="U16" i="53"/>
  <c r="U20" i="53"/>
  <c r="U24" i="53"/>
  <c r="U28" i="53"/>
  <c r="U32" i="53"/>
  <c r="U36" i="53"/>
  <c r="U40" i="53"/>
  <c r="U44" i="53"/>
  <c r="U48" i="53"/>
  <c r="U57" i="53"/>
  <c r="W59" i="53"/>
  <c r="X59" i="53" s="1"/>
  <c r="U69" i="53"/>
  <c r="W71" i="53"/>
  <c r="X71" i="53" s="1"/>
  <c r="U81" i="53"/>
  <c r="W83" i="53"/>
  <c r="X83" i="53" s="1"/>
  <c r="U93" i="53"/>
  <c r="W72" i="53"/>
  <c r="X72" i="53" s="1"/>
  <c r="U56" i="53"/>
  <c r="W58" i="53"/>
  <c r="X58" i="53" s="1"/>
  <c r="U68" i="53"/>
  <c r="W70" i="53"/>
  <c r="X70" i="53" s="1"/>
  <c r="U80" i="53"/>
  <c r="W82" i="53"/>
  <c r="X82" i="53" s="1"/>
  <c r="U92" i="53"/>
  <c r="W57" i="53"/>
  <c r="X57" i="53" s="1"/>
  <c r="U67" i="53"/>
  <c r="W69" i="53"/>
  <c r="X69" i="53" s="1"/>
  <c r="U79" i="53"/>
  <c r="W81" i="53"/>
  <c r="X81" i="53" s="1"/>
  <c r="U91" i="53"/>
  <c r="W93" i="53"/>
  <c r="X93" i="53" s="1"/>
  <c r="U70" i="53"/>
  <c r="W56" i="53"/>
  <c r="X56" i="53" s="1"/>
  <c r="U66" i="53"/>
  <c r="W68" i="53"/>
  <c r="X68" i="53" s="1"/>
  <c r="U78" i="53"/>
  <c r="W80" i="53"/>
  <c r="X80" i="53" s="1"/>
  <c r="U90" i="53"/>
  <c r="W92" i="53"/>
  <c r="X92" i="53" s="1"/>
  <c r="U65" i="53"/>
  <c r="W67" i="53"/>
  <c r="X67" i="53" s="1"/>
  <c r="U77" i="53"/>
  <c r="W79" i="53"/>
  <c r="X79" i="53" s="1"/>
  <c r="U89" i="53"/>
  <c r="W91" i="53"/>
  <c r="X91" i="53" s="1"/>
  <c r="U64" i="53"/>
  <c r="W66" i="53"/>
  <c r="X66" i="53" s="1"/>
  <c r="U76" i="53"/>
  <c r="W78" i="53"/>
  <c r="X78" i="53" s="1"/>
  <c r="U88" i="53"/>
  <c r="W90" i="53"/>
  <c r="X90" i="53" s="1"/>
  <c r="W60" i="53"/>
  <c r="X60" i="53" s="1"/>
  <c r="U82" i="53"/>
  <c r="U63" i="53"/>
  <c r="W65" i="53"/>
  <c r="X65" i="53" s="1"/>
  <c r="U75" i="53"/>
  <c r="W77" i="53"/>
  <c r="X77" i="53" s="1"/>
  <c r="U87" i="53"/>
  <c r="W89" i="53"/>
  <c r="X89" i="53" s="1"/>
  <c r="U62" i="53"/>
  <c r="W64" i="53"/>
  <c r="X64" i="53" s="1"/>
  <c r="U74" i="53"/>
  <c r="W76" i="53"/>
  <c r="X76" i="53" s="1"/>
  <c r="U86" i="53"/>
  <c r="W88" i="53"/>
  <c r="X88" i="53" s="1"/>
  <c r="U58" i="53"/>
  <c r="U61" i="53"/>
  <c r="W63" i="53"/>
  <c r="X63" i="53" s="1"/>
  <c r="U73" i="53"/>
  <c r="W75" i="53"/>
  <c r="X75" i="53" s="1"/>
  <c r="U85" i="53"/>
  <c r="W87" i="53"/>
  <c r="X87" i="53" s="1"/>
  <c r="U60" i="53"/>
  <c r="W62" i="53"/>
  <c r="X62" i="53" s="1"/>
  <c r="U72" i="53"/>
  <c r="W74" i="53"/>
  <c r="X74" i="53" s="1"/>
  <c r="U84" i="53"/>
  <c r="W86" i="53"/>
  <c r="X86" i="53" s="1"/>
  <c r="U59" i="53"/>
  <c r="W61" i="53"/>
  <c r="X61" i="53" s="1"/>
  <c r="U71" i="53"/>
  <c r="W73" i="53"/>
  <c r="X73" i="53" s="1"/>
  <c r="U83" i="53"/>
  <c r="W85" i="53"/>
  <c r="X85" i="53" s="1"/>
  <c r="W84" i="53"/>
  <c r="X84" i="53" s="1"/>
  <c r="U13" i="53"/>
  <c r="L22" i="67"/>
  <c r="U17" i="53"/>
  <c r="U21" i="53"/>
  <c r="U25" i="53"/>
  <c r="U29" i="53"/>
  <c r="U33" i="53"/>
  <c r="U37" i="53"/>
  <c r="U41" i="53"/>
  <c r="U45" i="53"/>
  <c r="U49" i="53"/>
  <c r="U53" i="53"/>
  <c r="P34" i="67"/>
  <c r="U6" i="53"/>
  <c r="W10" i="53"/>
  <c r="U14" i="53"/>
  <c r="W17" i="53"/>
  <c r="W21" i="53"/>
  <c r="W25" i="53"/>
  <c r="W29" i="53"/>
  <c r="X29" i="53" s="1"/>
  <c r="W33" i="53"/>
  <c r="W37" i="53"/>
  <c r="W41" i="53"/>
  <c r="W45" i="53"/>
  <c r="W49" i="53"/>
  <c r="W53" i="53"/>
  <c r="X53" i="53" s="1"/>
  <c r="U11" i="53"/>
  <c r="U18" i="53"/>
  <c r="U22" i="53"/>
  <c r="U26" i="53"/>
  <c r="U30" i="53"/>
  <c r="U34" i="53"/>
  <c r="U38" i="53"/>
  <c r="U42" i="53"/>
  <c r="U46" i="53"/>
  <c r="U50" i="53"/>
  <c r="U54" i="53"/>
  <c r="W6" i="53"/>
  <c r="X6" i="53" s="1"/>
  <c r="U7" i="53"/>
  <c r="W14" i="53"/>
  <c r="U15" i="53"/>
  <c r="W18" i="53"/>
  <c r="W22" i="53"/>
  <c r="W26" i="53"/>
  <c r="W30" i="53"/>
  <c r="W34" i="53"/>
  <c r="W38" i="53"/>
  <c r="W42" i="53"/>
  <c r="W46" i="53"/>
  <c r="W50" i="53"/>
  <c r="X50" i="53" s="1"/>
  <c r="W54" i="53"/>
  <c r="AL19" i="52"/>
  <c r="AJ19" i="52"/>
  <c r="AL10" i="52"/>
  <c r="AJ10" i="52"/>
  <c r="AJ13" i="52"/>
  <c r="AL13" i="52"/>
  <c r="AL16" i="52"/>
  <c r="AJ16" i="52"/>
  <c r="AL15" i="52"/>
  <c r="AJ15" i="52"/>
  <c r="AJ20" i="52"/>
  <c r="AL20" i="52"/>
  <c r="AL12" i="52"/>
  <c r="AJ12" i="52"/>
  <c r="AL17" i="52"/>
  <c r="AJ17" i="52"/>
  <c r="AL11" i="52"/>
  <c r="U13" i="52"/>
  <c r="U20" i="52"/>
  <c r="U24" i="52"/>
  <c r="AN9" i="52"/>
  <c r="U10" i="52"/>
  <c r="W13" i="52"/>
  <c r="X13" i="52" s="1"/>
  <c r="U17" i="52"/>
  <c r="W20" i="52"/>
  <c r="W24" i="52"/>
  <c r="W5" i="52"/>
  <c r="AJ11" i="52"/>
  <c r="AM17" i="52"/>
  <c r="U21" i="52"/>
  <c r="U6" i="52"/>
  <c r="W10" i="52"/>
  <c r="AD13" i="52"/>
  <c r="U14" i="52"/>
  <c r="AE16" i="52"/>
  <c r="W17" i="52"/>
  <c r="AJ18" i="52"/>
  <c r="AD20" i="52"/>
  <c r="U11" i="52"/>
  <c r="AE13" i="52"/>
  <c r="AM14" i="52"/>
  <c r="S19" i="67" s="1"/>
  <c r="AE20" i="52"/>
  <c r="W21" i="52"/>
  <c r="W6" i="52"/>
  <c r="U7" i="52"/>
  <c r="AD10" i="52"/>
  <c r="W14" i="52"/>
  <c r="X14" i="52" s="1"/>
  <c r="AD17" i="52"/>
  <c r="U18" i="52"/>
  <c r="U22" i="52"/>
  <c r="AE10" i="52"/>
  <c r="W11" i="52"/>
  <c r="U15" i="52"/>
  <c r="AE17" i="52"/>
  <c r="W7" i="52"/>
  <c r="U8" i="52"/>
  <c r="AD14" i="52"/>
  <c r="W18" i="52"/>
  <c r="W22" i="52"/>
  <c r="X22" i="52" s="1"/>
  <c r="U12" i="52"/>
  <c r="W15" i="52"/>
  <c r="U19" i="52"/>
  <c r="U23" i="52"/>
  <c r="W8" i="52"/>
  <c r="U9" i="52"/>
  <c r="W12" i="52"/>
  <c r="U16" i="52"/>
  <c r="W19" i="52"/>
  <c r="AL23" i="51"/>
  <c r="AJ23" i="51"/>
  <c r="AL16" i="51"/>
  <c r="AJ16" i="51"/>
  <c r="AL18" i="51"/>
  <c r="AJ18" i="51"/>
  <c r="AL24" i="51"/>
  <c r="AJ24" i="51"/>
  <c r="AJ17" i="51"/>
  <c r="AL17" i="51"/>
  <c r="AJ19" i="51"/>
  <c r="AL19" i="51"/>
  <c r="AH20" i="51"/>
  <c r="AI20" i="51" s="1"/>
  <c r="AJ20" i="51" s="1"/>
  <c r="AE22" i="51"/>
  <c r="AD23" i="51"/>
  <c r="AN23" i="51" s="1"/>
  <c r="U10" i="51"/>
  <c r="AD16" i="51"/>
  <c r="AH22" i="51"/>
  <c r="AI22" i="51" s="1"/>
  <c r="AL22" i="51" s="1"/>
  <c r="AM19" i="51"/>
  <c r="AN19" i="51" s="1"/>
  <c r="AJ21" i="51"/>
  <c r="AD17" i="51"/>
  <c r="AM20" i="51"/>
  <c r="AE17" i="51"/>
  <c r="AD18" i="51"/>
  <c r="U21" i="51"/>
  <c r="AM17" i="51"/>
  <c r="AD20" i="51"/>
  <c r="W13" i="51"/>
  <c r="U17" i="51"/>
  <c r="H18" i="67"/>
  <c r="AD21" i="51"/>
  <c r="W9" i="51"/>
  <c r="W5" i="51"/>
  <c r="U6" i="51"/>
  <c r="W10" i="51"/>
  <c r="U14" i="51"/>
  <c r="W17" i="51"/>
  <c r="W21" i="51"/>
  <c r="U11" i="51"/>
  <c r="U18" i="51"/>
  <c r="U22" i="51"/>
  <c r="W6" i="51"/>
  <c r="U7" i="51"/>
  <c r="W14" i="51"/>
  <c r="X14" i="51" s="1"/>
  <c r="W11" i="51"/>
  <c r="U15" i="51"/>
  <c r="W18" i="51"/>
  <c r="W22" i="51"/>
  <c r="W7" i="51"/>
  <c r="U8" i="51"/>
  <c r="U19" i="51"/>
  <c r="U23" i="51"/>
  <c r="U12" i="51"/>
  <c r="W15" i="51"/>
  <c r="W8" i="51"/>
  <c r="X8" i="51" s="1"/>
  <c r="U9" i="51"/>
  <c r="W19" i="51"/>
  <c r="W23" i="51"/>
  <c r="W12" i="51"/>
  <c r="U16" i="51"/>
  <c r="U20" i="51"/>
  <c r="U26" i="51"/>
  <c r="W28" i="51"/>
  <c r="X28" i="51" s="1"/>
  <c r="U38" i="51"/>
  <c r="W40" i="51"/>
  <c r="X40" i="51" s="1"/>
  <c r="U50" i="51"/>
  <c r="W52" i="51"/>
  <c r="X52" i="51" s="1"/>
  <c r="U25" i="51"/>
  <c r="W27" i="51"/>
  <c r="X27" i="51" s="1"/>
  <c r="U37" i="51"/>
  <c r="W39" i="51"/>
  <c r="X39" i="51" s="1"/>
  <c r="U49" i="51"/>
  <c r="W51" i="51"/>
  <c r="X51" i="51" s="1"/>
  <c r="W26" i="51"/>
  <c r="X26" i="51" s="1"/>
  <c r="U36" i="51"/>
  <c r="W38" i="51"/>
  <c r="X38" i="51" s="1"/>
  <c r="U48" i="51"/>
  <c r="W50" i="51"/>
  <c r="X50" i="51" s="1"/>
  <c r="W25" i="51"/>
  <c r="X25" i="51" s="1"/>
  <c r="U35" i="51"/>
  <c r="W37" i="51"/>
  <c r="X37" i="51" s="1"/>
  <c r="U47" i="51"/>
  <c r="W49" i="51"/>
  <c r="X49" i="51" s="1"/>
  <c r="U59" i="51"/>
  <c r="W61" i="51"/>
  <c r="X61" i="51" s="1"/>
  <c r="U71" i="51"/>
  <c r="W73" i="51"/>
  <c r="X73" i="51" s="1"/>
  <c r="U83" i="51"/>
  <c r="U34" i="51"/>
  <c r="W36" i="51"/>
  <c r="X36" i="51" s="1"/>
  <c r="U46" i="51"/>
  <c r="W48" i="51"/>
  <c r="X48" i="51" s="1"/>
  <c r="U58" i="51"/>
  <c r="W60" i="51"/>
  <c r="X60" i="51" s="1"/>
  <c r="U70" i="51"/>
  <c r="W72" i="51"/>
  <c r="X72" i="51" s="1"/>
  <c r="U82" i="51"/>
  <c r="U33" i="51"/>
  <c r="W35" i="51"/>
  <c r="X35" i="51" s="1"/>
  <c r="U45" i="51"/>
  <c r="W47" i="51"/>
  <c r="X47" i="51" s="1"/>
  <c r="U32" i="51"/>
  <c r="W34" i="51"/>
  <c r="X34" i="51" s="1"/>
  <c r="U44" i="51"/>
  <c r="W46" i="51"/>
  <c r="X46" i="51" s="1"/>
  <c r="U56" i="51"/>
  <c r="U31" i="51"/>
  <c r="W33" i="51"/>
  <c r="X33" i="51" s="1"/>
  <c r="U43" i="51"/>
  <c r="W45" i="51"/>
  <c r="X45" i="51" s="1"/>
  <c r="U55" i="51"/>
  <c r="W57" i="51"/>
  <c r="X57" i="51" s="1"/>
  <c r="U30" i="51"/>
  <c r="W32" i="51"/>
  <c r="X32" i="51" s="1"/>
  <c r="U42" i="51"/>
  <c r="W44" i="51"/>
  <c r="X44" i="51" s="1"/>
  <c r="U54" i="51"/>
  <c r="W56" i="51"/>
  <c r="X56" i="51" s="1"/>
  <c r="U66" i="51"/>
  <c r="W68" i="51"/>
  <c r="X68" i="51" s="1"/>
  <c r="U29" i="51"/>
  <c r="W31" i="51"/>
  <c r="X31" i="51" s="1"/>
  <c r="U41" i="51"/>
  <c r="W43" i="51"/>
  <c r="X43" i="51" s="1"/>
  <c r="U53" i="51"/>
  <c r="W55" i="51"/>
  <c r="X55" i="51" s="1"/>
  <c r="U65" i="51"/>
  <c r="W67" i="51"/>
  <c r="X67" i="51" s="1"/>
  <c r="U77" i="51"/>
  <c r="W79" i="51"/>
  <c r="X79" i="51" s="1"/>
  <c r="U28" i="51"/>
  <c r="W30" i="51"/>
  <c r="X30" i="51" s="1"/>
  <c r="U40" i="51"/>
  <c r="W42" i="51"/>
  <c r="X42" i="51" s="1"/>
  <c r="U52" i="51"/>
  <c r="W29" i="51"/>
  <c r="X29" i="51" s="1"/>
  <c r="U90" i="51"/>
  <c r="W92" i="51"/>
  <c r="X92" i="51" s="1"/>
  <c r="W59" i="51"/>
  <c r="X59" i="51" s="1"/>
  <c r="U63" i="51"/>
  <c r="U67" i="51"/>
  <c r="U76" i="51"/>
  <c r="U89" i="51"/>
  <c r="W91" i="51"/>
  <c r="X91" i="51" s="1"/>
  <c r="U88" i="51"/>
  <c r="W41" i="51"/>
  <c r="X41" i="51" s="1"/>
  <c r="W71" i="51"/>
  <c r="X71" i="51" s="1"/>
  <c r="U74" i="51"/>
  <c r="U80" i="51"/>
  <c r="W90" i="51"/>
  <c r="X90" i="51" s="1"/>
  <c r="U57" i="51"/>
  <c r="W63" i="51"/>
  <c r="X63" i="51" s="1"/>
  <c r="W76" i="51"/>
  <c r="X76" i="51" s="1"/>
  <c r="U78" i="51"/>
  <c r="W83" i="51"/>
  <c r="X83" i="51" s="1"/>
  <c r="U87" i="51"/>
  <c r="W89" i="51"/>
  <c r="X89" i="51" s="1"/>
  <c r="U27" i="51"/>
  <c r="U60" i="51"/>
  <c r="W65" i="51"/>
  <c r="X65" i="51" s="1"/>
  <c r="W74" i="51"/>
  <c r="X74" i="51" s="1"/>
  <c r="W80" i="51"/>
  <c r="X80" i="51" s="1"/>
  <c r="U86" i="51"/>
  <c r="W88" i="51"/>
  <c r="X88" i="51" s="1"/>
  <c r="W53" i="51"/>
  <c r="X53" i="51" s="1"/>
  <c r="U68" i="51"/>
  <c r="W78" i="51"/>
  <c r="X78" i="51" s="1"/>
  <c r="U85" i="51"/>
  <c r="W87" i="51"/>
  <c r="X87" i="51" s="1"/>
  <c r="U39" i="51"/>
  <c r="W54" i="51"/>
  <c r="X54" i="51" s="1"/>
  <c r="W70" i="51"/>
  <c r="X70" i="51" s="1"/>
  <c r="U72" i="51"/>
  <c r="W86" i="51"/>
  <c r="X86" i="51" s="1"/>
  <c r="W77" i="51"/>
  <c r="X77" i="51" s="1"/>
  <c r="W81" i="51"/>
  <c r="X81" i="51" s="1"/>
  <c r="U92" i="51"/>
  <c r="U61" i="51"/>
  <c r="U64" i="51"/>
  <c r="U75" i="51"/>
  <c r="W82" i="51"/>
  <c r="X82" i="51" s="1"/>
  <c r="W85" i="51"/>
  <c r="X85" i="51" s="1"/>
  <c r="U51" i="51"/>
  <c r="W58" i="51"/>
  <c r="X58" i="51" s="1"/>
  <c r="U81" i="51"/>
  <c r="U62" i="51"/>
  <c r="W64" i="51"/>
  <c r="X64" i="51" s="1"/>
  <c r="U69" i="51"/>
  <c r="W75" i="51"/>
  <c r="X75" i="51" s="1"/>
  <c r="U79" i="51"/>
  <c r="U84" i="51"/>
  <c r="U93" i="51"/>
  <c r="W66" i="51"/>
  <c r="X66" i="51" s="1"/>
  <c r="W62" i="51"/>
  <c r="X62" i="51" s="1"/>
  <c r="W69" i="51"/>
  <c r="X69" i="51" s="1"/>
  <c r="U73" i="51"/>
  <c r="W84" i="51"/>
  <c r="X84" i="51" s="1"/>
  <c r="U91" i="51"/>
  <c r="W93" i="51"/>
  <c r="X93" i="51" s="1"/>
  <c r="U13" i="51"/>
  <c r="U5" i="51"/>
  <c r="W16" i="51"/>
  <c r="W20" i="51"/>
  <c r="W24" i="51"/>
  <c r="AJ8" i="49"/>
  <c r="AL8" i="49"/>
  <c r="AE10" i="49"/>
  <c r="U15" i="49"/>
  <c r="W18" i="49"/>
  <c r="W22" i="49"/>
  <c r="AJ9" i="49"/>
  <c r="U19" i="49"/>
  <c r="U23" i="49"/>
  <c r="AD7" i="49"/>
  <c r="W8" i="49"/>
  <c r="X8" i="49" s="1"/>
  <c r="U9" i="49"/>
  <c r="AH10" i="49"/>
  <c r="AI10" i="49" s="1"/>
  <c r="AJ10" i="49" s="1"/>
  <c r="W19" i="49"/>
  <c r="W23" i="49"/>
  <c r="AM9" i="49"/>
  <c r="S17" i="67" s="1"/>
  <c r="W12" i="49"/>
  <c r="U16" i="49"/>
  <c r="U20" i="49"/>
  <c r="U24" i="49"/>
  <c r="U13" i="49"/>
  <c r="AH7" i="49"/>
  <c r="AI7" i="49" s="1"/>
  <c r="AL7" i="49" s="1"/>
  <c r="W16" i="49"/>
  <c r="X16" i="49" s="1"/>
  <c r="W20" i="49"/>
  <c r="W24" i="49"/>
  <c r="AD9" i="49"/>
  <c r="U10" i="49"/>
  <c r="W13" i="49"/>
  <c r="U17" i="49"/>
  <c r="U21" i="49"/>
  <c r="AE9" i="49"/>
  <c r="AM10" i="49"/>
  <c r="W10" i="49"/>
  <c r="U14" i="49"/>
  <c r="W17" i="49"/>
  <c r="X17" i="49" s="1"/>
  <c r="W21" i="49"/>
  <c r="AH7" i="16"/>
  <c r="AI7" i="16" s="1"/>
  <c r="AJ7" i="16" s="1"/>
  <c r="U22" i="16"/>
  <c r="A14" i="16"/>
  <c r="U7" i="16"/>
  <c r="U18" i="16"/>
  <c r="W5" i="16"/>
  <c r="AL7" i="47"/>
  <c r="AJ7" i="47"/>
  <c r="AL8" i="47"/>
  <c r="U8" i="47"/>
  <c r="AM8" i="47"/>
  <c r="S15" i="67" s="1"/>
  <c r="U19" i="47"/>
  <c r="U23" i="47"/>
  <c r="U27" i="47"/>
  <c r="U31" i="47"/>
  <c r="U35" i="47"/>
  <c r="U39" i="47"/>
  <c r="U43" i="47"/>
  <c r="U47" i="47"/>
  <c r="U51" i="47"/>
  <c r="U55" i="47"/>
  <c r="U59" i="47"/>
  <c r="U63" i="47"/>
  <c r="W66" i="47"/>
  <c r="X66" i="47" s="1"/>
  <c r="AN7" i="47"/>
  <c r="W8" i="47"/>
  <c r="X8" i="47" s="1"/>
  <c r="U9" i="47"/>
  <c r="W19" i="47"/>
  <c r="W23" i="47"/>
  <c r="W27" i="47"/>
  <c r="W31" i="47"/>
  <c r="W35" i="47"/>
  <c r="W39" i="47"/>
  <c r="W43" i="47"/>
  <c r="W47" i="47"/>
  <c r="W51" i="47"/>
  <c r="X51" i="47" s="1"/>
  <c r="W55" i="47"/>
  <c r="X55" i="47" s="1"/>
  <c r="W59" i="47"/>
  <c r="X59" i="47" s="1"/>
  <c r="W63" i="47"/>
  <c r="AD8" i="47"/>
  <c r="U13" i="47"/>
  <c r="W16" i="47"/>
  <c r="W20" i="47"/>
  <c r="W24" i="47"/>
  <c r="W28" i="47"/>
  <c r="W32" i="47"/>
  <c r="W36" i="47"/>
  <c r="W40" i="47"/>
  <c r="X40" i="47" s="1"/>
  <c r="W44" i="47"/>
  <c r="X44" i="47" s="1"/>
  <c r="W48" i="47"/>
  <c r="X48" i="47" s="1"/>
  <c r="W52" i="47"/>
  <c r="W56" i="47"/>
  <c r="W60" i="47"/>
  <c r="W64" i="47"/>
  <c r="W5" i="47"/>
  <c r="U65" i="47"/>
  <c r="AJ8" i="47"/>
  <c r="U11" i="47"/>
  <c r="U18" i="47"/>
  <c r="U22" i="47"/>
  <c r="U26" i="47"/>
  <c r="U30" i="47"/>
  <c r="U34" i="47"/>
  <c r="U38" i="47"/>
  <c r="U42" i="47"/>
  <c r="U46" i="47"/>
  <c r="U50" i="47"/>
  <c r="U54" i="47"/>
  <c r="U58" i="47"/>
  <c r="U62" i="47"/>
  <c r="W65" i="47"/>
  <c r="W14" i="47"/>
  <c r="X14" i="47" s="1"/>
  <c r="U66" i="47"/>
  <c r="U15" i="47"/>
  <c r="W18" i="47"/>
  <c r="W22" i="47"/>
  <c r="W26" i="47"/>
  <c r="W30" i="47"/>
  <c r="W34" i="47"/>
  <c r="W38" i="47"/>
  <c r="W42" i="47"/>
  <c r="W46" i="47"/>
  <c r="W50" i="47"/>
  <c r="W54" i="47"/>
  <c r="X54" i="47" s="1"/>
  <c r="W58" i="47"/>
  <c r="X58" i="47" s="1"/>
  <c r="AE49" i="46"/>
  <c r="AL51" i="46"/>
  <c r="AH56" i="46"/>
  <c r="AI56" i="46" s="1"/>
  <c r="AD67" i="46"/>
  <c r="AH67" i="46"/>
  <c r="AI67" i="46" s="1"/>
  <c r="AL67" i="46" s="1"/>
  <c r="AE75" i="46"/>
  <c r="AH53" i="46"/>
  <c r="AI53" i="46" s="1"/>
  <c r="AJ53" i="46" s="1"/>
  <c r="AE60" i="46"/>
  <c r="AD77" i="46"/>
  <c r="AN77" i="46" s="1"/>
  <c r="AJ60" i="46"/>
  <c r="AD66" i="46"/>
  <c r="AH64" i="46"/>
  <c r="AI64" i="46" s="1"/>
  <c r="AJ64" i="46" s="1"/>
  <c r="AE66" i="46"/>
  <c r="AE72" i="46"/>
  <c r="AN72" i="46" s="1"/>
  <c r="AE47" i="46"/>
  <c r="AD59" i="46"/>
  <c r="W51" i="46"/>
  <c r="U210" i="46"/>
  <c r="W212" i="46"/>
  <c r="X212" i="46" s="1"/>
  <c r="U209" i="46"/>
  <c r="W211" i="46"/>
  <c r="X211" i="46" s="1"/>
  <c r="W214" i="46"/>
  <c r="X214" i="46" s="1"/>
  <c r="W210" i="46"/>
  <c r="X210" i="46" s="1"/>
  <c r="W209" i="46"/>
  <c r="X209" i="46" s="1"/>
  <c r="U212" i="46"/>
  <c r="U215" i="46"/>
  <c r="U214" i="46"/>
  <c r="U213" i="46"/>
  <c r="W215" i="46"/>
  <c r="X215" i="46" s="1"/>
  <c r="U211" i="46"/>
  <c r="W213" i="46"/>
  <c r="X213" i="46" s="1"/>
  <c r="AJ72" i="46"/>
  <c r="AL72" i="46"/>
  <c r="AH48" i="46"/>
  <c r="AI48" i="46" s="1"/>
  <c r="AL48" i="46" s="1"/>
  <c r="AD53" i="46"/>
  <c r="AE56" i="46"/>
  <c r="AJ52" i="46"/>
  <c r="AD46" i="46"/>
  <c r="AD61" i="46"/>
  <c r="AE68" i="46"/>
  <c r="AH77" i="46"/>
  <c r="AI77" i="46" s="1"/>
  <c r="AL77" i="46" s="1"/>
  <c r="AE79" i="46"/>
  <c r="AE46" i="46"/>
  <c r="AE58" i="46"/>
  <c r="AL60" i="46"/>
  <c r="AD76" i="46"/>
  <c r="W11" i="46"/>
  <c r="AD70" i="46"/>
  <c r="AE76" i="46"/>
  <c r="A14" i="46"/>
  <c r="AL65" i="46"/>
  <c r="AD48" i="46"/>
  <c r="AD78" i="46"/>
  <c r="AE64" i="46"/>
  <c r="AD69" i="46"/>
  <c r="AH75" i="46"/>
  <c r="AI75" i="46" s="1"/>
  <c r="AL75" i="46" s="1"/>
  <c r="AD80" i="46"/>
  <c r="AL69" i="46"/>
  <c r="AJ69" i="46"/>
  <c r="AL80" i="46"/>
  <c r="AJ80" i="46"/>
  <c r="AJ82" i="46"/>
  <c r="AL82" i="46"/>
  <c r="AL53" i="46"/>
  <c r="AL56" i="46"/>
  <c r="AJ56" i="46"/>
  <c r="AL71" i="46"/>
  <c r="AJ71" i="46"/>
  <c r="AL59" i="46"/>
  <c r="AJ59" i="46"/>
  <c r="AL64" i="46"/>
  <c r="AL50" i="46"/>
  <c r="AJ50" i="46"/>
  <c r="AL74" i="46"/>
  <c r="AL47" i="46"/>
  <c r="AL55" i="46"/>
  <c r="AL61" i="46"/>
  <c r="AJ61" i="46"/>
  <c r="AL46" i="46"/>
  <c r="AJ46" i="46"/>
  <c r="AL52" i="46"/>
  <c r="AL54" i="46"/>
  <c r="AJ54" i="46"/>
  <c r="AJ63" i="46"/>
  <c r="AL63" i="46"/>
  <c r="AL81" i="46"/>
  <c r="AJ81" i="46"/>
  <c r="AL70" i="46"/>
  <c r="AJ70" i="46"/>
  <c r="AJ62" i="46"/>
  <c r="AL62" i="46"/>
  <c r="AJ73" i="46"/>
  <c r="AL73" i="46"/>
  <c r="AL76" i="46"/>
  <c r="AJ67" i="46"/>
  <c r="AJ51" i="46"/>
  <c r="AL57" i="46"/>
  <c r="W30" i="46"/>
  <c r="AJ45" i="46"/>
  <c r="AE50" i="46"/>
  <c r="AD51" i="46"/>
  <c r="AN51" i="46" s="1"/>
  <c r="AJ55" i="46"/>
  <c r="AE59" i="46"/>
  <c r="AN59" i="46" s="1"/>
  <c r="AD60" i="46"/>
  <c r="U62" i="46"/>
  <c r="AJ65" i="46"/>
  <c r="AH66" i="46"/>
  <c r="AI66" i="46" s="1"/>
  <c r="AL66" i="46" s="1"/>
  <c r="AE69" i="46"/>
  <c r="AJ74" i="46"/>
  <c r="AE78" i="46"/>
  <c r="AD79" i="46"/>
  <c r="AM63" i="46"/>
  <c r="U82" i="46"/>
  <c r="W22" i="46"/>
  <c r="X22" i="46" s="1"/>
  <c r="AJ47" i="46"/>
  <c r="AH49" i="46"/>
  <c r="AI49" i="46" s="1"/>
  <c r="AL49" i="46" s="1"/>
  <c r="AD52" i="46"/>
  <c r="U54" i="46"/>
  <c r="AJ57" i="46"/>
  <c r="AH58" i="46"/>
  <c r="AI58" i="46" s="1"/>
  <c r="AL58" i="46" s="1"/>
  <c r="AE61" i="46"/>
  <c r="AN61" i="46" s="1"/>
  <c r="AM64" i="46"/>
  <c r="AH68" i="46"/>
  <c r="AI68" i="46" s="1"/>
  <c r="AJ68" i="46" s="1"/>
  <c r="AE70" i="46"/>
  <c r="AD71" i="46"/>
  <c r="AJ76" i="46"/>
  <c r="AE80" i="46"/>
  <c r="AD81" i="46"/>
  <c r="AE52" i="46"/>
  <c r="AD62" i="46"/>
  <c r="AM65" i="46"/>
  <c r="AE71" i="46"/>
  <c r="U74" i="46"/>
  <c r="AH78" i="46"/>
  <c r="AI78" i="46" s="1"/>
  <c r="AL78" i="46" s="1"/>
  <c r="AE81" i="46"/>
  <c r="W8" i="46"/>
  <c r="U9" i="46"/>
  <c r="U15" i="46"/>
  <c r="AJ49" i="46"/>
  <c r="AE62" i="46"/>
  <c r="AD63" i="46"/>
  <c r="AD73" i="46"/>
  <c r="AH79" i="46"/>
  <c r="AI79" i="46" s="1"/>
  <c r="AJ79" i="46" s="1"/>
  <c r="AD82" i="46"/>
  <c r="AN82" i="46" s="1"/>
  <c r="AD54" i="46"/>
  <c r="AE63" i="46"/>
  <c r="U66" i="46"/>
  <c r="AE73" i="46"/>
  <c r="AE82" i="46"/>
  <c r="AD45" i="46"/>
  <c r="AE54" i="46"/>
  <c r="AD55" i="46"/>
  <c r="AD65" i="46"/>
  <c r="AM67" i="46"/>
  <c r="AD74" i="46"/>
  <c r="W26" i="46"/>
  <c r="AE55" i="46"/>
  <c r="AN56" i="46"/>
  <c r="U58" i="46"/>
  <c r="AE65" i="46"/>
  <c r="AM68" i="46"/>
  <c r="AE74" i="46"/>
  <c r="U78" i="46"/>
  <c r="W18" i="46"/>
  <c r="U70" i="46"/>
  <c r="W6" i="46"/>
  <c r="U7" i="46"/>
  <c r="W14" i="46"/>
  <c r="U34" i="46"/>
  <c r="U38" i="46"/>
  <c r="U42" i="46"/>
  <c r="U46" i="46"/>
  <c r="U50" i="46"/>
  <c r="W53" i="46"/>
  <c r="X53" i="46" s="1"/>
  <c r="W57" i="46"/>
  <c r="W61" i="46"/>
  <c r="W65" i="46"/>
  <c r="X65" i="46" s="1"/>
  <c r="W69" i="46"/>
  <c r="W73" i="46"/>
  <c r="X73" i="46" s="1"/>
  <c r="W77" i="46"/>
  <c r="W81" i="46"/>
  <c r="W7" i="46"/>
  <c r="X7" i="46" s="1"/>
  <c r="U8" i="46"/>
  <c r="U19" i="46"/>
  <c r="U23" i="46"/>
  <c r="U27" i="46"/>
  <c r="U31" i="46"/>
  <c r="W34" i="46"/>
  <c r="W38" i="46"/>
  <c r="X38" i="46" s="1"/>
  <c r="W42" i="46"/>
  <c r="W46" i="46"/>
  <c r="X46" i="46" s="1"/>
  <c r="W50" i="46"/>
  <c r="U12" i="46"/>
  <c r="W15" i="46"/>
  <c r="X15" i="46" s="1"/>
  <c r="U35" i="46"/>
  <c r="U39" i="46"/>
  <c r="U43" i="46"/>
  <c r="U47" i="46"/>
  <c r="U51" i="46"/>
  <c r="W54" i="46"/>
  <c r="W58" i="46"/>
  <c r="X58" i="46" s="1"/>
  <c r="W62" i="46"/>
  <c r="W66" i="46"/>
  <c r="X66" i="46" s="1"/>
  <c r="W70" i="46"/>
  <c r="W74" i="46"/>
  <c r="W78" i="46"/>
  <c r="X78" i="46" s="1"/>
  <c r="W82" i="46"/>
  <c r="W19" i="46"/>
  <c r="W23" i="46"/>
  <c r="X23" i="46" s="1"/>
  <c r="W27" i="46"/>
  <c r="X27" i="46" s="1"/>
  <c r="W31" i="46"/>
  <c r="U55" i="46"/>
  <c r="U59" i="46"/>
  <c r="U63" i="46"/>
  <c r="U67" i="46"/>
  <c r="U71" i="46"/>
  <c r="U75" i="46"/>
  <c r="U79" i="46"/>
  <c r="W12" i="46"/>
  <c r="U16" i="46"/>
  <c r="U20" i="46"/>
  <c r="U24" i="46"/>
  <c r="U28" i="46"/>
  <c r="U32" i="46"/>
  <c r="W35" i="46"/>
  <c r="X35" i="46" s="1"/>
  <c r="W39" i="46"/>
  <c r="W43" i="46"/>
  <c r="X43" i="46" s="1"/>
  <c r="W47" i="46"/>
  <c r="U84" i="46"/>
  <c r="W86" i="46"/>
  <c r="X86" i="46" s="1"/>
  <c r="U96" i="46"/>
  <c r="W98" i="46"/>
  <c r="X98" i="46" s="1"/>
  <c r="U108" i="46"/>
  <c r="W110" i="46"/>
  <c r="X110" i="46" s="1"/>
  <c r="U120" i="46"/>
  <c r="W122" i="46"/>
  <c r="X122" i="46" s="1"/>
  <c r="U83" i="46"/>
  <c r="W85" i="46"/>
  <c r="X85" i="46" s="1"/>
  <c r="U95" i="46"/>
  <c r="W97" i="46"/>
  <c r="X97" i="46" s="1"/>
  <c r="U107" i="46"/>
  <c r="W109" i="46"/>
  <c r="X109" i="46" s="1"/>
  <c r="U119" i="46"/>
  <c r="W121" i="46"/>
  <c r="X121" i="46" s="1"/>
  <c r="U131" i="46"/>
  <c r="W133" i="46"/>
  <c r="X133" i="46" s="1"/>
  <c r="W84" i="46"/>
  <c r="X84" i="46" s="1"/>
  <c r="U94" i="46"/>
  <c r="W96" i="46"/>
  <c r="X96" i="46" s="1"/>
  <c r="U106" i="46"/>
  <c r="W108" i="46"/>
  <c r="X108" i="46" s="1"/>
  <c r="U118" i="46"/>
  <c r="W120" i="46"/>
  <c r="X120" i="46" s="1"/>
  <c r="U130" i="46"/>
  <c r="W132" i="46"/>
  <c r="X132" i="46" s="1"/>
  <c r="W83" i="46"/>
  <c r="X83" i="46" s="1"/>
  <c r="U93" i="46"/>
  <c r="W95" i="46"/>
  <c r="X95" i="46" s="1"/>
  <c r="U105" i="46"/>
  <c r="W107" i="46"/>
  <c r="X107" i="46" s="1"/>
  <c r="U117" i="46"/>
  <c r="U92" i="46"/>
  <c r="W94" i="46"/>
  <c r="X94" i="46" s="1"/>
  <c r="U104" i="46"/>
  <c r="W106" i="46"/>
  <c r="X106" i="46" s="1"/>
  <c r="U116" i="46"/>
  <c r="W118" i="46"/>
  <c r="X118" i="46" s="1"/>
  <c r="U128" i="46"/>
  <c r="W130" i="46"/>
  <c r="X130" i="46" s="1"/>
  <c r="U91" i="46"/>
  <c r="W93" i="46"/>
  <c r="X93" i="46" s="1"/>
  <c r="U103" i="46"/>
  <c r="W105" i="46"/>
  <c r="X105" i="46" s="1"/>
  <c r="U115" i="46"/>
  <c r="W117" i="46"/>
  <c r="X117" i="46" s="1"/>
  <c r="U127" i="46"/>
  <c r="W129" i="46"/>
  <c r="X129" i="46" s="1"/>
  <c r="U90" i="46"/>
  <c r="W92" i="46"/>
  <c r="X92" i="46" s="1"/>
  <c r="U102" i="46"/>
  <c r="W104" i="46"/>
  <c r="X104" i="46" s="1"/>
  <c r="U114" i="46"/>
  <c r="W116" i="46"/>
  <c r="X116" i="46" s="1"/>
  <c r="U126" i="46"/>
  <c r="W128" i="46"/>
  <c r="X128" i="46" s="1"/>
  <c r="U89" i="46"/>
  <c r="W91" i="46"/>
  <c r="X91" i="46" s="1"/>
  <c r="U101" i="46"/>
  <c r="W103" i="46"/>
  <c r="X103" i="46" s="1"/>
  <c r="U113" i="46"/>
  <c r="W115" i="46"/>
  <c r="X115" i="46" s="1"/>
  <c r="U125" i="46"/>
  <c r="W127" i="46"/>
  <c r="X127" i="46" s="1"/>
  <c r="U137" i="46"/>
  <c r="W139" i="46"/>
  <c r="X139" i="46" s="1"/>
  <c r="U88" i="46"/>
  <c r="W90" i="46"/>
  <c r="X90" i="46" s="1"/>
  <c r="U100" i="46"/>
  <c r="W102" i="46"/>
  <c r="X102" i="46" s="1"/>
  <c r="U112" i="46"/>
  <c r="W114" i="46"/>
  <c r="X114" i="46" s="1"/>
  <c r="U124" i="46"/>
  <c r="W126" i="46"/>
  <c r="X126" i="46" s="1"/>
  <c r="U136" i="46"/>
  <c r="W138" i="46"/>
  <c r="X138" i="46" s="1"/>
  <c r="U87" i="46"/>
  <c r="W89" i="46"/>
  <c r="X89" i="46" s="1"/>
  <c r="U99" i="46"/>
  <c r="W101" i="46"/>
  <c r="X101" i="46" s="1"/>
  <c r="U111" i="46"/>
  <c r="W113" i="46"/>
  <c r="X113" i="46" s="1"/>
  <c r="U123" i="46"/>
  <c r="W125" i="46"/>
  <c r="X125" i="46" s="1"/>
  <c r="U85" i="46"/>
  <c r="W87" i="46"/>
  <c r="X87" i="46" s="1"/>
  <c r="U97" i="46"/>
  <c r="W99" i="46"/>
  <c r="X99" i="46" s="1"/>
  <c r="U109" i="46"/>
  <c r="W111" i="46"/>
  <c r="X111" i="46" s="1"/>
  <c r="U135" i="46"/>
  <c r="W137" i="46"/>
  <c r="X137" i="46" s="1"/>
  <c r="U146" i="46"/>
  <c r="W148" i="46"/>
  <c r="X148" i="46" s="1"/>
  <c r="U158" i="46"/>
  <c r="W160" i="46"/>
  <c r="X160" i="46" s="1"/>
  <c r="U170" i="46"/>
  <c r="W172" i="46"/>
  <c r="X172" i="46" s="1"/>
  <c r="U98" i="46"/>
  <c r="W140" i="46"/>
  <c r="X140" i="46" s="1"/>
  <c r="U145" i="46"/>
  <c r="W147" i="46"/>
  <c r="X147" i="46" s="1"/>
  <c r="U157" i="46"/>
  <c r="W159" i="46"/>
  <c r="X159" i="46" s="1"/>
  <c r="U169" i="46"/>
  <c r="W171" i="46"/>
  <c r="X171" i="46" s="1"/>
  <c r="U181" i="46"/>
  <c r="W183" i="46"/>
  <c r="X183" i="46" s="1"/>
  <c r="W135" i="46"/>
  <c r="X135" i="46" s="1"/>
  <c r="U138" i="46"/>
  <c r="U144" i="46"/>
  <c r="W146" i="46"/>
  <c r="X146" i="46" s="1"/>
  <c r="U156" i="46"/>
  <c r="W158" i="46"/>
  <c r="X158" i="46" s="1"/>
  <c r="U110" i="46"/>
  <c r="U121" i="46"/>
  <c r="W131" i="46"/>
  <c r="X131" i="46" s="1"/>
  <c r="U132" i="46"/>
  <c r="U143" i="46"/>
  <c r="W145" i="46"/>
  <c r="X145" i="46" s="1"/>
  <c r="U155" i="46"/>
  <c r="W157" i="46"/>
  <c r="X157" i="46" s="1"/>
  <c r="U167" i="46"/>
  <c r="W169" i="46"/>
  <c r="X169" i="46" s="1"/>
  <c r="U142" i="46"/>
  <c r="W144" i="46"/>
  <c r="X144" i="46" s="1"/>
  <c r="U154" i="46"/>
  <c r="W156" i="46"/>
  <c r="X156" i="46" s="1"/>
  <c r="U166" i="46"/>
  <c r="W168" i="46"/>
  <c r="X168" i="46" s="1"/>
  <c r="U178" i="46"/>
  <c r="W180" i="46"/>
  <c r="X180" i="46" s="1"/>
  <c r="U139" i="46"/>
  <c r="W143" i="46"/>
  <c r="X143" i="46" s="1"/>
  <c r="U153" i="46"/>
  <c r="W88" i="46"/>
  <c r="X88" i="46" s="1"/>
  <c r="U133" i="46"/>
  <c r="U141" i="46"/>
  <c r="W142" i="46"/>
  <c r="X142" i="46" s="1"/>
  <c r="U152" i="46"/>
  <c r="W154" i="46"/>
  <c r="X154" i="46" s="1"/>
  <c r="U164" i="46"/>
  <c r="W166" i="46"/>
  <c r="X166" i="46" s="1"/>
  <c r="U176" i="46"/>
  <c r="W178" i="46"/>
  <c r="X178" i="46" s="1"/>
  <c r="U134" i="46"/>
  <c r="W136" i="46"/>
  <c r="X136" i="46" s="1"/>
  <c r="U151" i="46"/>
  <c r="W153" i="46"/>
  <c r="X153" i="46" s="1"/>
  <c r="U163" i="46"/>
  <c r="W165" i="46"/>
  <c r="X165" i="46" s="1"/>
  <c r="W100" i="46"/>
  <c r="X100" i="46" s="1"/>
  <c r="W119" i="46"/>
  <c r="X119" i="46" s="1"/>
  <c r="W141" i="46"/>
  <c r="X141" i="46" s="1"/>
  <c r="U150" i="46"/>
  <c r="W152" i="46"/>
  <c r="X152" i="46" s="1"/>
  <c r="U162" i="46"/>
  <c r="W164" i="46"/>
  <c r="X164" i="46" s="1"/>
  <c r="U174" i="46"/>
  <c r="W176" i="46"/>
  <c r="X176" i="46" s="1"/>
  <c r="U186" i="46"/>
  <c r="W188" i="46"/>
  <c r="X188" i="46" s="1"/>
  <c r="U129" i="46"/>
  <c r="W134" i="46"/>
  <c r="X134" i="46" s="1"/>
  <c r="U149" i="46"/>
  <c r="W151" i="46"/>
  <c r="X151" i="46" s="1"/>
  <c r="U161" i="46"/>
  <c r="W163" i="46"/>
  <c r="X163" i="46" s="1"/>
  <c r="U173" i="46"/>
  <c r="U159" i="46"/>
  <c r="U165" i="46"/>
  <c r="U177" i="46"/>
  <c r="U179" i="46"/>
  <c r="W187" i="46"/>
  <c r="X187" i="46" s="1"/>
  <c r="U194" i="46"/>
  <c r="W196" i="46"/>
  <c r="X196" i="46" s="1"/>
  <c r="U206" i="46"/>
  <c r="W208" i="46"/>
  <c r="X208" i="46" s="1"/>
  <c r="U196" i="46"/>
  <c r="W112" i="46"/>
  <c r="X112" i="46" s="1"/>
  <c r="W123" i="46"/>
  <c r="X123" i="46" s="1"/>
  <c r="W162" i="46"/>
  <c r="X162" i="46" s="1"/>
  <c r="U175" i="46"/>
  <c r="U193" i="46"/>
  <c r="W195" i="46"/>
  <c r="X195" i="46" s="1"/>
  <c r="U205" i="46"/>
  <c r="W207" i="46"/>
  <c r="X207" i="46" s="1"/>
  <c r="W197" i="46"/>
  <c r="X197" i="46" s="1"/>
  <c r="U147" i="46"/>
  <c r="W177" i="46"/>
  <c r="X177" i="46" s="1"/>
  <c r="W179" i="46"/>
  <c r="X179" i="46" s="1"/>
  <c r="U192" i="46"/>
  <c r="W194" i="46"/>
  <c r="X194" i="46" s="1"/>
  <c r="U204" i="46"/>
  <c r="W206" i="46"/>
  <c r="X206" i="46" s="1"/>
  <c r="U122" i="46"/>
  <c r="W155" i="46"/>
  <c r="X155" i="46" s="1"/>
  <c r="U168" i="46"/>
  <c r="U172" i="46"/>
  <c r="W175" i="46"/>
  <c r="X175" i="46" s="1"/>
  <c r="U191" i="46"/>
  <c r="W193" i="46"/>
  <c r="X193" i="46" s="1"/>
  <c r="U203" i="46"/>
  <c r="W205" i="46"/>
  <c r="X205" i="46" s="1"/>
  <c r="U187" i="46"/>
  <c r="W124" i="46"/>
  <c r="X124" i="46" s="1"/>
  <c r="W184" i="46"/>
  <c r="X184" i="46" s="1"/>
  <c r="U195" i="46"/>
  <c r="U140" i="46"/>
  <c r="W167" i="46"/>
  <c r="X167" i="46" s="1"/>
  <c r="U171" i="46"/>
  <c r="W181" i="46"/>
  <c r="X181" i="46" s="1"/>
  <c r="U183" i="46"/>
  <c r="U185" i="46"/>
  <c r="W186" i="46"/>
  <c r="X186" i="46" s="1"/>
  <c r="U190" i="46"/>
  <c r="W192" i="46"/>
  <c r="X192" i="46" s="1"/>
  <c r="U202" i="46"/>
  <c r="W204" i="46"/>
  <c r="X204" i="46" s="1"/>
  <c r="W173" i="46"/>
  <c r="X173" i="46" s="1"/>
  <c r="U189" i="46"/>
  <c r="W191" i="46"/>
  <c r="X191" i="46" s="1"/>
  <c r="U201" i="46"/>
  <c r="W203" i="46"/>
  <c r="X203" i="46" s="1"/>
  <c r="W170" i="46"/>
  <c r="X170" i="46" s="1"/>
  <c r="W185" i="46"/>
  <c r="X185" i="46" s="1"/>
  <c r="W190" i="46"/>
  <c r="X190" i="46" s="1"/>
  <c r="U200" i="46"/>
  <c r="W202" i="46"/>
  <c r="X202" i="46" s="1"/>
  <c r="U180" i="46"/>
  <c r="U188" i="46"/>
  <c r="W189" i="46"/>
  <c r="X189" i="46" s="1"/>
  <c r="U199" i="46"/>
  <c r="W201" i="46"/>
  <c r="X201" i="46" s="1"/>
  <c r="W149" i="46"/>
  <c r="X149" i="46" s="1"/>
  <c r="W150" i="46"/>
  <c r="X150" i="46" s="1"/>
  <c r="U182" i="46"/>
  <c r="U198" i="46"/>
  <c r="W200" i="46"/>
  <c r="X200" i="46" s="1"/>
  <c r="U160" i="46"/>
  <c r="W161" i="46"/>
  <c r="X161" i="46" s="1"/>
  <c r="U184" i="46"/>
  <c r="U197" i="46"/>
  <c r="W199" i="46"/>
  <c r="X199" i="46" s="1"/>
  <c r="W182" i="46"/>
  <c r="X182" i="46" s="1"/>
  <c r="W198" i="46"/>
  <c r="X198" i="46" s="1"/>
  <c r="U208" i="46"/>
  <c r="U86" i="46"/>
  <c r="U148" i="46"/>
  <c r="W174" i="46"/>
  <c r="X174" i="46" s="1"/>
  <c r="U207" i="46"/>
  <c r="U13" i="46"/>
  <c r="U36" i="46"/>
  <c r="U40" i="46"/>
  <c r="U44" i="46"/>
  <c r="U48" i="46"/>
  <c r="W55" i="46"/>
  <c r="X55" i="46" s="1"/>
  <c r="W59" i="46"/>
  <c r="W63" i="46"/>
  <c r="W67" i="46"/>
  <c r="X67" i="46" s="1"/>
  <c r="W71" i="46"/>
  <c r="W75" i="46"/>
  <c r="X75" i="46" s="1"/>
  <c r="W79" i="46"/>
  <c r="U5" i="46"/>
  <c r="W16" i="46"/>
  <c r="X16" i="46" s="1"/>
  <c r="W20" i="46"/>
  <c r="W24" i="46"/>
  <c r="W28" i="46"/>
  <c r="W32" i="46"/>
  <c r="X32" i="46" s="1"/>
  <c r="U52" i="46"/>
  <c r="U56" i="46"/>
  <c r="U60" i="46"/>
  <c r="U64" i="46"/>
  <c r="U68" i="46"/>
  <c r="U72" i="46"/>
  <c r="U76" i="46"/>
  <c r="U80" i="46"/>
  <c r="U10" i="46"/>
  <c r="W13" i="46"/>
  <c r="U17" i="46"/>
  <c r="U21" i="46"/>
  <c r="U25" i="46"/>
  <c r="U29" i="46"/>
  <c r="U33" i="46"/>
  <c r="W36" i="46"/>
  <c r="W40" i="46"/>
  <c r="X40" i="46" s="1"/>
  <c r="W44" i="46"/>
  <c r="W48" i="46"/>
  <c r="W5" i="46"/>
  <c r="X5" i="46" s="1"/>
  <c r="U37" i="46"/>
  <c r="U41" i="46"/>
  <c r="U45" i="46"/>
  <c r="U49" i="46"/>
  <c r="W52" i="46"/>
  <c r="W56" i="46"/>
  <c r="W60" i="46"/>
  <c r="X60" i="46" s="1"/>
  <c r="W64" i="46"/>
  <c r="W68" i="46"/>
  <c r="X68" i="46" s="1"/>
  <c r="W72" i="46"/>
  <c r="W76" i="46"/>
  <c r="W80" i="46"/>
  <c r="X80" i="46" s="1"/>
  <c r="U6" i="46"/>
  <c r="W10" i="46"/>
  <c r="U14" i="46"/>
  <c r="W17" i="46"/>
  <c r="X17" i="46" s="1"/>
  <c r="W21" i="46"/>
  <c r="W25" i="46"/>
  <c r="W29" i="46"/>
  <c r="X29" i="46" s="1"/>
  <c r="W33" i="46"/>
  <c r="U53" i="46"/>
  <c r="U57" i="46"/>
  <c r="U61" i="46"/>
  <c r="U65" i="46"/>
  <c r="U69" i="46"/>
  <c r="U73" i="46"/>
  <c r="U77" i="46"/>
  <c r="U81" i="46"/>
  <c r="U11" i="46"/>
  <c r="U18" i="46"/>
  <c r="U22" i="46"/>
  <c r="U26" i="46"/>
  <c r="U30" i="46"/>
  <c r="W37" i="46"/>
  <c r="W41" i="46"/>
  <c r="W45" i="46"/>
  <c r="X45" i="46" s="1"/>
  <c r="W49" i="46"/>
  <c r="AJ22" i="45"/>
  <c r="AL22" i="45"/>
  <c r="AL24" i="45"/>
  <c r="AJ24" i="45"/>
  <c r="AL19" i="45"/>
  <c r="AJ19" i="45"/>
  <c r="AL21" i="45"/>
  <c r="AJ21" i="45"/>
  <c r="AJ23" i="45"/>
  <c r="AL23" i="45"/>
  <c r="W21" i="45"/>
  <c r="U10" i="45"/>
  <c r="AD21" i="45"/>
  <c r="U23" i="45"/>
  <c r="U17" i="45"/>
  <c r="AH20" i="45"/>
  <c r="AI20" i="45" s="1"/>
  <c r="AL20" i="45" s="1"/>
  <c r="AE21" i="45"/>
  <c r="AD22" i="45"/>
  <c r="W10" i="45"/>
  <c r="AE22" i="45"/>
  <c r="W17" i="45"/>
  <c r="AD23" i="45"/>
  <c r="AE23" i="45"/>
  <c r="AD24" i="45"/>
  <c r="AN20" i="45"/>
  <c r="U19" i="45"/>
  <c r="AE24" i="45"/>
  <c r="U6" i="45"/>
  <c r="W13" i="45"/>
  <c r="W7" i="45"/>
  <c r="U8" i="45"/>
  <c r="U21" i="45"/>
  <c r="U12" i="45"/>
  <c r="W15" i="45"/>
  <c r="W8" i="45"/>
  <c r="U9" i="45"/>
  <c r="W19" i="45"/>
  <c r="W23" i="45"/>
  <c r="W12" i="45"/>
  <c r="U16" i="45"/>
  <c r="U20" i="45"/>
  <c r="U26" i="45"/>
  <c r="W28" i="45"/>
  <c r="X28" i="45" s="1"/>
  <c r="U38" i="45"/>
  <c r="W40" i="45"/>
  <c r="X40" i="45" s="1"/>
  <c r="U50" i="45"/>
  <c r="W52" i="45"/>
  <c r="X52" i="45" s="1"/>
  <c r="W30" i="45"/>
  <c r="X30" i="45" s="1"/>
  <c r="U25" i="45"/>
  <c r="W27" i="45"/>
  <c r="X27" i="45" s="1"/>
  <c r="U37" i="45"/>
  <c r="W39" i="45"/>
  <c r="X39" i="45" s="1"/>
  <c r="U49" i="45"/>
  <c r="W51" i="45"/>
  <c r="X51" i="45" s="1"/>
  <c r="U61" i="45"/>
  <c r="W26" i="45"/>
  <c r="X26" i="45" s="1"/>
  <c r="U36" i="45"/>
  <c r="W38" i="45"/>
  <c r="X38" i="45" s="1"/>
  <c r="U48" i="45"/>
  <c r="W50" i="45"/>
  <c r="X50" i="45" s="1"/>
  <c r="U60" i="45"/>
  <c r="U52" i="45"/>
  <c r="W25" i="45"/>
  <c r="X25" i="45" s="1"/>
  <c r="U35" i="45"/>
  <c r="W37" i="45"/>
  <c r="X37" i="45" s="1"/>
  <c r="U47" i="45"/>
  <c r="W49" i="45"/>
  <c r="X49" i="45" s="1"/>
  <c r="U59" i="45"/>
  <c r="W61" i="45"/>
  <c r="X61" i="45" s="1"/>
  <c r="U34" i="45"/>
  <c r="W36" i="45"/>
  <c r="X36" i="45" s="1"/>
  <c r="U46" i="45"/>
  <c r="W48" i="45"/>
  <c r="X48" i="45" s="1"/>
  <c r="U58" i="45"/>
  <c r="W60" i="45"/>
  <c r="X60" i="45" s="1"/>
  <c r="U33" i="45"/>
  <c r="W35" i="45"/>
  <c r="X35" i="45" s="1"/>
  <c r="U45" i="45"/>
  <c r="W47" i="45"/>
  <c r="X47" i="45" s="1"/>
  <c r="U57" i="45"/>
  <c r="W59" i="45"/>
  <c r="X59" i="45" s="1"/>
  <c r="U28" i="45"/>
  <c r="U32" i="45"/>
  <c r="W34" i="45"/>
  <c r="X34" i="45" s="1"/>
  <c r="U44" i="45"/>
  <c r="W46" i="45"/>
  <c r="X46" i="45" s="1"/>
  <c r="U56" i="45"/>
  <c r="W58" i="45"/>
  <c r="X58" i="45" s="1"/>
  <c r="U40" i="45"/>
  <c r="U31" i="45"/>
  <c r="W33" i="45"/>
  <c r="X33" i="45" s="1"/>
  <c r="U43" i="45"/>
  <c r="W45" i="45"/>
  <c r="X45" i="45" s="1"/>
  <c r="U55" i="45"/>
  <c r="W57" i="45"/>
  <c r="X57" i="45" s="1"/>
  <c r="U30" i="45"/>
  <c r="W32" i="45"/>
  <c r="X32" i="45" s="1"/>
  <c r="U42" i="45"/>
  <c r="W44" i="45"/>
  <c r="X44" i="45" s="1"/>
  <c r="U54" i="45"/>
  <c r="W56" i="45"/>
  <c r="X56" i="45" s="1"/>
  <c r="U29" i="45"/>
  <c r="W31" i="45"/>
  <c r="X31" i="45" s="1"/>
  <c r="U41" i="45"/>
  <c r="W43" i="45"/>
  <c r="X43" i="45" s="1"/>
  <c r="U53" i="45"/>
  <c r="W55" i="45"/>
  <c r="X55" i="45" s="1"/>
  <c r="W54" i="45"/>
  <c r="X54" i="45" s="1"/>
  <c r="U27" i="45"/>
  <c r="W29" i="45"/>
  <c r="X29" i="45" s="1"/>
  <c r="U39" i="45"/>
  <c r="W41" i="45"/>
  <c r="X41" i="45" s="1"/>
  <c r="U51" i="45"/>
  <c r="W53" i="45"/>
  <c r="X53" i="45" s="1"/>
  <c r="W42" i="45"/>
  <c r="X42" i="45" s="1"/>
  <c r="U13" i="45"/>
  <c r="U5" i="45"/>
  <c r="W16" i="45"/>
  <c r="W20" i="45"/>
  <c r="W24" i="45"/>
  <c r="W5" i="45"/>
  <c r="U11" i="45"/>
  <c r="U18" i="45"/>
  <c r="U22" i="45"/>
  <c r="W6" i="45"/>
  <c r="U7" i="45"/>
  <c r="W14" i="45"/>
  <c r="W11" i="45"/>
  <c r="X11" i="45" s="1"/>
  <c r="U15" i="45"/>
  <c r="W18" i="45"/>
  <c r="W22" i="45"/>
  <c r="AJ16" i="44"/>
  <c r="AL16" i="44"/>
  <c r="AL23" i="44"/>
  <c r="AJ23" i="44"/>
  <c r="AL15" i="44"/>
  <c r="AJ15" i="44"/>
  <c r="AL18" i="44"/>
  <c r="AJ24" i="44"/>
  <c r="AL24" i="44"/>
  <c r="AJ17" i="44"/>
  <c r="AL17" i="44"/>
  <c r="W8" i="44"/>
  <c r="U9" i="44"/>
  <c r="AJ18" i="44"/>
  <c r="AH19" i="44"/>
  <c r="AI19" i="44" s="1"/>
  <c r="AL19" i="44" s="1"/>
  <c r="AE21" i="44"/>
  <c r="AD22" i="44"/>
  <c r="W23" i="44"/>
  <c r="X23" i="44" s="1"/>
  <c r="AE22" i="44"/>
  <c r="U24" i="44"/>
  <c r="AD15" i="44"/>
  <c r="AM17" i="44"/>
  <c r="S12" i="67" s="1"/>
  <c r="AH20" i="44"/>
  <c r="AI20" i="44" s="1"/>
  <c r="AL20" i="44" s="1"/>
  <c r="AN23" i="44"/>
  <c r="AE15" i="44"/>
  <c r="AH21" i="44"/>
  <c r="AI21" i="44" s="1"/>
  <c r="AJ21" i="44" s="1"/>
  <c r="AD16" i="44"/>
  <c r="AH22" i="44"/>
  <c r="AI22" i="44" s="1"/>
  <c r="AL22" i="44" s="1"/>
  <c r="AD24" i="44"/>
  <c r="AM19" i="44"/>
  <c r="AE24" i="44"/>
  <c r="W19" i="44"/>
  <c r="U20" i="44"/>
  <c r="U26" i="44"/>
  <c r="W28" i="44"/>
  <c r="X28" i="44" s="1"/>
  <c r="U25" i="44"/>
  <c r="W27" i="44"/>
  <c r="X27" i="44" s="1"/>
  <c r="W26" i="44"/>
  <c r="X26" i="44" s="1"/>
  <c r="U36" i="44"/>
  <c r="W25" i="44"/>
  <c r="X25" i="44" s="1"/>
  <c r="U35" i="44"/>
  <c r="U34" i="44"/>
  <c r="W36" i="44"/>
  <c r="X36" i="44" s="1"/>
  <c r="U33" i="44"/>
  <c r="W35" i="44"/>
  <c r="X35" i="44" s="1"/>
  <c r="U32" i="44"/>
  <c r="W34" i="44"/>
  <c r="X34" i="44" s="1"/>
  <c r="U31" i="44"/>
  <c r="W33" i="44"/>
  <c r="X33" i="44" s="1"/>
  <c r="U30" i="44"/>
  <c r="W32" i="44"/>
  <c r="X32" i="44" s="1"/>
  <c r="U29" i="44"/>
  <c r="W31" i="44"/>
  <c r="X31" i="44" s="1"/>
  <c r="U28" i="44"/>
  <c r="W30" i="44"/>
  <c r="X30" i="44" s="1"/>
  <c r="U27" i="44"/>
  <c r="W29" i="44"/>
  <c r="X29" i="44" s="1"/>
  <c r="U13" i="44"/>
  <c r="U5" i="44"/>
  <c r="W16" i="44"/>
  <c r="W20" i="44"/>
  <c r="W24" i="44"/>
  <c r="U10" i="44"/>
  <c r="W13" i="44"/>
  <c r="X13" i="44" s="1"/>
  <c r="U17" i="44"/>
  <c r="U21" i="44"/>
  <c r="W5" i="44"/>
  <c r="U6" i="44"/>
  <c r="W10" i="44"/>
  <c r="U14" i="44"/>
  <c r="W17" i="44"/>
  <c r="W21" i="44"/>
  <c r="U11" i="44"/>
  <c r="U18" i="44"/>
  <c r="U22" i="44"/>
  <c r="W6" i="44"/>
  <c r="X6" i="44" s="1"/>
  <c r="U7" i="44"/>
  <c r="W14" i="44"/>
  <c r="W11" i="44"/>
  <c r="U15" i="44"/>
  <c r="W18" i="44"/>
  <c r="X18" i="44" s="1"/>
  <c r="W22" i="44"/>
  <c r="W7" i="44"/>
  <c r="U8" i="44"/>
  <c r="U19" i="44"/>
  <c r="U23" i="44"/>
  <c r="U12" i="44"/>
  <c r="W15" i="44"/>
  <c r="X15" i="44" s="1"/>
  <c r="AL18" i="43"/>
  <c r="AJ17" i="43"/>
  <c r="AL17" i="43"/>
  <c r="AL20" i="43"/>
  <c r="AJ20" i="43"/>
  <c r="AL22" i="43"/>
  <c r="AJ22" i="43"/>
  <c r="AL24" i="43"/>
  <c r="AJ24" i="43"/>
  <c r="AL16" i="43"/>
  <c r="AJ16" i="43"/>
  <c r="AL19" i="43"/>
  <c r="AJ19" i="43"/>
  <c r="U10" i="43"/>
  <c r="AE22" i="43"/>
  <c r="AD23" i="43"/>
  <c r="AD16" i="43"/>
  <c r="AH21" i="43"/>
  <c r="AI21" i="43" s="1"/>
  <c r="AL21" i="43" s="1"/>
  <c r="AE23" i="43"/>
  <c r="AD24" i="43"/>
  <c r="AN24" i="43" s="1"/>
  <c r="AN17" i="43"/>
  <c r="AE24" i="43"/>
  <c r="AH23" i="43"/>
  <c r="AI23" i="43" s="1"/>
  <c r="AL23" i="43" s="1"/>
  <c r="AD19" i="43"/>
  <c r="U5" i="43"/>
  <c r="W13" i="43"/>
  <c r="X13" i="43" s="1"/>
  <c r="Z13" i="43" s="1"/>
  <c r="AB13" i="43" s="1"/>
  <c r="AO13" i="43" s="1"/>
  <c r="AE19" i="43"/>
  <c r="W20" i="43"/>
  <c r="X20" i="43" s="1"/>
  <c r="AA20" i="43" s="1"/>
  <c r="AC20" i="43" s="1"/>
  <c r="AN22" i="43"/>
  <c r="W5" i="43"/>
  <c r="X5" i="43" s="1"/>
  <c r="Z5" i="43" s="1"/>
  <c r="AB5" i="43" s="1"/>
  <c r="AO5" i="43" s="1"/>
  <c r="AN21" i="43"/>
  <c r="AA23" i="43"/>
  <c r="AC23" i="43" s="1"/>
  <c r="Z23" i="43"/>
  <c r="AB23" i="43" s="1"/>
  <c r="AO23" i="43" s="1"/>
  <c r="AA8" i="43"/>
  <c r="AC8" i="43" s="1"/>
  <c r="Z8" i="43"/>
  <c r="AB8" i="43" s="1"/>
  <c r="AO8" i="43" s="1"/>
  <c r="W9" i="43"/>
  <c r="X9" i="43" s="1"/>
  <c r="U19" i="43"/>
  <c r="U6" i="43"/>
  <c r="U12" i="43"/>
  <c r="W16" i="43"/>
  <c r="X16" i="43" s="1"/>
  <c r="U22" i="43"/>
  <c r="U15" i="43"/>
  <c r="W19" i="43"/>
  <c r="X19" i="43" s="1"/>
  <c r="W6" i="43"/>
  <c r="X6" i="43" s="1"/>
  <c r="U8" i="43"/>
  <c r="U11" i="43"/>
  <c r="W12" i="43"/>
  <c r="X12" i="43" s="1"/>
  <c r="W22" i="43"/>
  <c r="X22" i="43" s="1"/>
  <c r="W15" i="43"/>
  <c r="X15" i="43" s="1"/>
  <c r="U26" i="43"/>
  <c r="W28" i="43"/>
  <c r="X28" i="43" s="1"/>
  <c r="U38" i="43"/>
  <c r="W40" i="43"/>
  <c r="X40" i="43" s="1"/>
  <c r="U50" i="43"/>
  <c r="W42" i="43"/>
  <c r="X42" i="43" s="1"/>
  <c r="U25" i="43"/>
  <c r="W27" i="43"/>
  <c r="X27" i="43" s="1"/>
  <c r="U37" i="43"/>
  <c r="W39" i="43"/>
  <c r="X39" i="43" s="1"/>
  <c r="U49" i="43"/>
  <c r="W51" i="43"/>
  <c r="X51" i="43" s="1"/>
  <c r="W30" i="43"/>
  <c r="X30" i="43" s="1"/>
  <c r="W26" i="43"/>
  <c r="X26" i="43" s="1"/>
  <c r="U36" i="43"/>
  <c r="W38" i="43"/>
  <c r="X38" i="43" s="1"/>
  <c r="U48" i="43"/>
  <c r="W50" i="43"/>
  <c r="X50" i="43" s="1"/>
  <c r="W25" i="43"/>
  <c r="X25" i="43" s="1"/>
  <c r="U35" i="43"/>
  <c r="W37" i="43"/>
  <c r="X37" i="43" s="1"/>
  <c r="U47" i="43"/>
  <c r="W49" i="43"/>
  <c r="X49" i="43" s="1"/>
  <c r="U34" i="43"/>
  <c r="W36" i="43"/>
  <c r="X36" i="43" s="1"/>
  <c r="U46" i="43"/>
  <c r="W48" i="43"/>
  <c r="X48" i="43" s="1"/>
  <c r="U28" i="43"/>
  <c r="U33" i="43"/>
  <c r="W35" i="43"/>
  <c r="X35" i="43" s="1"/>
  <c r="U45" i="43"/>
  <c r="W47" i="43"/>
  <c r="X47" i="43" s="1"/>
  <c r="U32" i="43"/>
  <c r="W34" i="43"/>
  <c r="X34" i="43" s="1"/>
  <c r="U44" i="43"/>
  <c r="W46" i="43"/>
  <c r="X46" i="43" s="1"/>
  <c r="U31" i="43"/>
  <c r="W33" i="43"/>
  <c r="X33" i="43" s="1"/>
  <c r="U43" i="43"/>
  <c r="W45" i="43"/>
  <c r="X45" i="43" s="1"/>
  <c r="U30" i="43"/>
  <c r="W32" i="43"/>
  <c r="X32" i="43" s="1"/>
  <c r="U42" i="43"/>
  <c r="W44" i="43"/>
  <c r="X44" i="43" s="1"/>
  <c r="U29" i="43"/>
  <c r="W31" i="43"/>
  <c r="X31" i="43" s="1"/>
  <c r="U41" i="43"/>
  <c r="W43" i="43"/>
  <c r="X43" i="43" s="1"/>
  <c r="U40" i="43"/>
  <c r="U27" i="43"/>
  <c r="W29" i="43"/>
  <c r="X29" i="43" s="1"/>
  <c r="U39" i="43"/>
  <c r="W41" i="43"/>
  <c r="X41" i="43" s="1"/>
  <c r="U51" i="43"/>
  <c r="W11" i="43"/>
  <c r="X11" i="43" s="1"/>
  <c r="U21" i="43"/>
  <c r="U24" i="43"/>
  <c r="U14" i="43"/>
  <c r="W18" i="43"/>
  <c r="X18" i="43" s="1"/>
  <c r="U17" i="43"/>
  <c r="W21" i="43"/>
  <c r="X21" i="43" s="1"/>
  <c r="W24" i="43"/>
  <c r="X24" i="43" s="1"/>
  <c r="U7" i="43"/>
  <c r="W14" i="43"/>
  <c r="X14" i="43" s="1"/>
  <c r="W10" i="43"/>
  <c r="X10" i="43" s="1"/>
  <c r="U13" i="43"/>
  <c r="W17" i="43"/>
  <c r="X17" i="43" s="1"/>
  <c r="U20" i="43"/>
  <c r="U23" i="43"/>
  <c r="W7" i="43"/>
  <c r="X7" i="43" s="1"/>
  <c r="U9" i="43"/>
  <c r="AH13" i="40"/>
  <c r="AI13" i="40" s="1"/>
  <c r="AL13" i="40" s="1"/>
  <c r="AE17" i="40"/>
  <c r="AE21" i="40"/>
  <c r="H9" i="67"/>
  <c r="AH17" i="40"/>
  <c r="AI17" i="40" s="1"/>
  <c r="AH21" i="40"/>
  <c r="AI21" i="40" s="1"/>
  <c r="AM15" i="40"/>
  <c r="AD14" i="40"/>
  <c r="AM12" i="40"/>
  <c r="W11" i="40"/>
  <c r="W19" i="40"/>
  <c r="W12" i="40"/>
  <c r="W6" i="40"/>
  <c r="W8" i="40"/>
  <c r="U13" i="40"/>
  <c r="U26" i="40"/>
  <c r="W28" i="40"/>
  <c r="X28" i="40" s="1"/>
  <c r="U25" i="40"/>
  <c r="W27" i="40"/>
  <c r="X27" i="40" s="1"/>
  <c r="W26" i="40"/>
  <c r="X26" i="40" s="1"/>
  <c r="W25" i="40"/>
  <c r="X25" i="40" s="1"/>
  <c r="U27" i="40"/>
  <c r="U28" i="40"/>
  <c r="J7" i="67"/>
  <c r="U7" i="40"/>
  <c r="W13" i="40"/>
  <c r="U21" i="40"/>
  <c r="W7" i="40"/>
  <c r="U8" i="40"/>
  <c r="AJ12" i="40"/>
  <c r="W16" i="40"/>
  <c r="X16" i="40" s="1"/>
  <c r="AJ13" i="40"/>
  <c r="U15" i="40"/>
  <c r="W18" i="40"/>
  <c r="U5" i="40"/>
  <c r="U14" i="40"/>
  <c r="AD15" i="40"/>
  <c r="AN15" i="40" s="1"/>
  <c r="U17" i="40"/>
  <c r="AE18" i="40"/>
  <c r="L20" i="67"/>
  <c r="U10" i="40"/>
  <c r="W5" i="40"/>
  <c r="W14" i="40"/>
  <c r="X14" i="40" s="1"/>
  <c r="W17" i="40"/>
  <c r="U6" i="40"/>
  <c r="W10" i="40"/>
  <c r="A14" i="40"/>
  <c r="U11" i="40"/>
  <c r="AL14" i="40"/>
  <c r="AJ14" i="40"/>
  <c r="AJ17" i="40"/>
  <c r="AL17" i="40"/>
  <c r="AJ21" i="40"/>
  <c r="AL21" i="40"/>
  <c r="AL12" i="40"/>
  <c r="AL20" i="40"/>
  <c r="AJ20" i="40"/>
  <c r="AL24" i="40"/>
  <c r="AJ24" i="40"/>
  <c r="AD12" i="40"/>
  <c r="AM13" i="40"/>
  <c r="AH18" i="40"/>
  <c r="AI18" i="40" s="1"/>
  <c r="AL18" i="40" s="1"/>
  <c r="AE19" i="40"/>
  <c r="W20" i="40"/>
  <c r="X20" i="40" s="1"/>
  <c r="AH22" i="40"/>
  <c r="AI22" i="40" s="1"/>
  <c r="AL22" i="40" s="1"/>
  <c r="AE23" i="40"/>
  <c r="W24" i="40"/>
  <c r="AE12" i="40"/>
  <c r="AH15" i="40"/>
  <c r="AI15" i="40" s="1"/>
  <c r="AL15" i="40" s="1"/>
  <c r="AD16" i="40"/>
  <c r="AM17" i="40"/>
  <c r="AN17" i="40" s="1"/>
  <c r="AD20" i="40"/>
  <c r="AM21" i="40"/>
  <c r="AD24" i="40"/>
  <c r="AD13" i="40"/>
  <c r="AE16" i="40"/>
  <c r="AH19" i="40"/>
  <c r="AI19" i="40" s="1"/>
  <c r="AL19" i="40" s="1"/>
  <c r="AE20" i="40"/>
  <c r="W21" i="40"/>
  <c r="AH23" i="40"/>
  <c r="AI23" i="40" s="1"/>
  <c r="AL23" i="40" s="1"/>
  <c r="AE24" i="40"/>
  <c r="U18" i="40"/>
  <c r="U22" i="40"/>
  <c r="AM22" i="40"/>
  <c r="AH16" i="40"/>
  <c r="AI16" i="40" s="1"/>
  <c r="AL16" i="40" s="1"/>
  <c r="W22" i="40"/>
  <c r="U19" i="40"/>
  <c r="U23" i="40"/>
  <c r="U12" i="40"/>
  <c r="AE14" i="40"/>
  <c r="W15" i="40"/>
  <c r="AM19" i="40"/>
  <c r="AM23" i="40"/>
  <c r="W23" i="40"/>
  <c r="P7" i="67"/>
  <c r="U16" i="40"/>
  <c r="U20" i="40"/>
  <c r="U24" i="40"/>
  <c r="AJ32" i="39"/>
  <c r="AL32" i="39"/>
  <c r="AL26" i="39"/>
  <c r="AJ26" i="39"/>
  <c r="AL11" i="39"/>
  <c r="AJ11" i="39"/>
  <c r="AL15" i="39"/>
  <c r="AJ20" i="39"/>
  <c r="AL20" i="39"/>
  <c r="AL23" i="39"/>
  <c r="AJ23" i="39"/>
  <c r="AL14" i="39"/>
  <c r="AJ14" i="39"/>
  <c r="AJ13" i="39"/>
  <c r="AL13" i="39"/>
  <c r="AL28" i="39"/>
  <c r="AJ28" i="39"/>
  <c r="AL10" i="39"/>
  <c r="AL31" i="39"/>
  <c r="AJ31" i="39"/>
  <c r="AJ12" i="39"/>
  <c r="AL12" i="39"/>
  <c r="AL18" i="39"/>
  <c r="AJ18" i="39"/>
  <c r="AJ16" i="39"/>
  <c r="AL16" i="39"/>
  <c r="AL19" i="39"/>
  <c r="AJ19" i="39"/>
  <c r="AJ24" i="39"/>
  <c r="AL24" i="39"/>
  <c r="AL30" i="39"/>
  <c r="AJ30" i="39"/>
  <c r="AL21" i="39"/>
  <c r="AL27" i="39"/>
  <c r="AJ27" i="39"/>
  <c r="U16" i="39"/>
  <c r="U20" i="39"/>
  <c r="U24" i="39"/>
  <c r="U28" i="39"/>
  <c r="U32" i="39"/>
  <c r="AJ10" i="39"/>
  <c r="U13" i="39"/>
  <c r="AM16" i="39"/>
  <c r="AJ17" i="39"/>
  <c r="AJ21" i="39"/>
  <c r="AJ25" i="39"/>
  <c r="AJ29" i="39"/>
  <c r="AN22" i="39"/>
  <c r="L7" i="67"/>
  <c r="U5" i="39"/>
  <c r="AD12" i="39"/>
  <c r="AM13" i="39"/>
  <c r="W16" i="39"/>
  <c r="AE19" i="39"/>
  <c r="W20" i="39"/>
  <c r="AH22" i="39"/>
  <c r="AI22" i="39" s="1"/>
  <c r="AL22" i="39" s="1"/>
  <c r="AE23" i="39"/>
  <c r="W24" i="39"/>
  <c r="X24" i="39" s="1"/>
  <c r="AE27" i="39"/>
  <c r="AN27" i="39" s="1"/>
  <c r="W28" i="39"/>
  <c r="AE31" i="39"/>
  <c r="AN31" i="39" s="1"/>
  <c r="W32" i="39"/>
  <c r="W36" i="39"/>
  <c r="W40" i="39"/>
  <c r="X40" i="39" s="1"/>
  <c r="W44" i="39"/>
  <c r="W48" i="39"/>
  <c r="P20" i="67"/>
  <c r="U10" i="39"/>
  <c r="AE12" i="39"/>
  <c r="W13" i="39"/>
  <c r="X13" i="39" s="1"/>
  <c r="U17" i="39"/>
  <c r="U21" i="39"/>
  <c r="U25" i="39"/>
  <c r="U29" i="39"/>
  <c r="U33" i="39"/>
  <c r="U37" i="39"/>
  <c r="U41" i="39"/>
  <c r="U45" i="39"/>
  <c r="U49" i="39"/>
  <c r="W5" i="39"/>
  <c r="AM10" i="39"/>
  <c r="AD16" i="39"/>
  <c r="AM17" i="39"/>
  <c r="AD20" i="39"/>
  <c r="AM21" i="39"/>
  <c r="AD24" i="39"/>
  <c r="AD28" i="39"/>
  <c r="AD32" i="39"/>
  <c r="AN32" i="39" s="1"/>
  <c r="U6" i="39"/>
  <c r="W10" i="39"/>
  <c r="AD13" i="39"/>
  <c r="U14" i="39"/>
  <c r="AE16" i="39"/>
  <c r="W17" i="39"/>
  <c r="X17" i="39" s="1"/>
  <c r="AE20" i="39"/>
  <c r="W21" i="39"/>
  <c r="AE24" i="39"/>
  <c r="AN24" i="39" s="1"/>
  <c r="W25" i="39"/>
  <c r="AE28" i="39"/>
  <c r="W29" i="39"/>
  <c r="X29" i="39" s="1"/>
  <c r="AE32" i="39"/>
  <c r="W33" i="39"/>
  <c r="W37" i="39"/>
  <c r="W41" i="39"/>
  <c r="W45" i="39"/>
  <c r="W49" i="39"/>
  <c r="X49" i="39" s="1"/>
  <c r="U11" i="39"/>
  <c r="AE13" i="39"/>
  <c r="AJ15" i="39"/>
  <c r="U18" i="39"/>
  <c r="U22" i="39"/>
  <c r="U26" i="39"/>
  <c r="U30" i="39"/>
  <c r="U34" i="39"/>
  <c r="U38" i="39"/>
  <c r="U42" i="39"/>
  <c r="U46" i="39"/>
  <c r="U50" i="39"/>
  <c r="W6" i="39"/>
  <c r="U7" i="39"/>
  <c r="W14" i="39"/>
  <c r="X14" i="39" s="1"/>
  <c r="W11" i="39"/>
  <c r="U15" i="39"/>
  <c r="W18" i="39"/>
  <c r="W22" i="39"/>
  <c r="W26" i="39"/>
  <c r="W30" i="39"/>
  <c r="W34" i="39"/>
  <c r="W38" i="39"/>
  <c r="W42" i="39"/>
  <c r="X42" i="39" s="1"/>
  <c r="W46" i="39"/>
  <c r="M70" i="68"/>
  <c r="C44" i="2"/>
  <c r="P44" i="68"/>
  <c r="C40" i="2"/>
  <c r="AN10" i="15"/>
  <c r="AN19" i="15"/>
  <c r="AN96" i="15"/>
  <c r="AN388" i="15"/>
  <c r="AN436" i="15"/>
  <c r="AN448" i="15"/>
  <c r="AN23" i="23"/>
  <c r="AN35" i="32"/>
  <c r="AN47" i="32"/>
  <c r="AN12" i="38"/>
  <c r="AN48" i="46"/>
  <c r="T28" i="67"/>
  <c r="AN21" i="5"/>
  <c r="AN31" i="15"/>
  <c r="AN365" i="15"/>
  <c r="AN23" i="26"/>
  <c r="AN17" i="28"/>
  <c r="AN27" i="31"/>
  <c r="AN12" i="32"/>
  <c r="AN36" i="32"/>
  <c r="AN48" i="32"/>
  <c r="AN16" i="33"/>
  <c r="AN15" i="34"/>
  <c r="AN9" i="40"/>
  <c r="AN33" i="75"/>
  <c r="AN37" i="75"/>
  <c r="AN16" i="56"/>
  <c r="AN15" i="58"/>
  <c r="AN10" i="60"/>
  <c r="AN17" i="60"/>
  <c r="AN21" i="60"/>
  <c r="AN17" i="14"/>
  <c r="AN390" i="15"/>
  <c r="AN19" i="58"/>
  <c r="AN12" i="15"/>
  <c r="AN110" i="15"/>
  <c r="AN356" i="15"/>
  <c r="AN367" i="15"/>
  <c r="AN46" i="20"/>
  <c r="AN49" i="22"/>
  <c r="AN17" i="31"/>
  <c r="AN39" i="39"/>
  <c r="AN18" i="43"/>
  <c r="AN18" i="75"/>
  <c r="AN13" i="5"/>
  <c r="AN24" i="5"/>
  <c r="AN34" i="15"/>
  <c r="AN309" i="15"/>
  <c r="AN12" i="16"/>
  <c r="AN15" i="23"/>
  <c r="AN17" i="26"/>
  <c r="AN20" i="28"/>
  <c r="AN32" i="28"/>
  <c r="AN15" i="45"/>
  <c r="AN14" i="5"/>
  <c r="AN298" i="15"/>
  <c r="AN334" i="15"/>
  <c r="AN453" i="15"/>
  <c r="AN16" i="35"/>
  <c r="AN13" i="41"/>
  <c r="AN14" i="56"/>
  <c r="AN20" i="58"/>
  <c r="AN15" i="5"/>
  <c r="AN15" i="15"/>
  <c r="AN67" i="15"/>
  <c r="AN264" i="15"/>
  <c r="AN394" i="15"/>
  <c r="AN430" i="15"/>
  <c r="AN23" i="19"/>
  <c r="AN13" i="20"/>
  <c r="AN30" i="22"/>
  <c r="AN34" i="69"/>
  <c r="AN18" i="26"/>
  <c r="AN19" i="29"/>
  <c r="AN31" i="29"/>
  <c r="AN53" i="32"/>
  <c r="AN27" i="47"/>
  <c r="AN19" i="75"/>
  <c r="AN27" i="5"/>
  <c r="AN80" i="15"/>
  <c r="AN102" i="15"/>
  <c r="AN114" i="15"/>
  <c r="AN241" i="15"/>
  <c r="AN253" i="15"/>
  <c r="AN300" i="15"/>
  <c r="AN490" i="15"/>
  <c r="AN502" i="15"/>
  <c r="AN514" i="15"/>
  <c r="AN19" i="27"/>
  <c r="AN12" i="45"/>
  <c r="AN35" i="75"/>
  <c r="AN9" i="59"/>
  <c r="AN37" i="15"/>
  <c r="AN48" i="15"/>
  <c r="AN254" i="15"/>
  <c r="AN325" i="15"/>
  <c r="AN456" i="15"/>
  <c r="AN14" i="41"/>
  <c r="AN13" i="44"/>
  <c r="AN55" i="75"/>
  <c r="AN18" i="5"/>
  <c r="AN27" i="12"/>
  <c r="AN104" i="15"/>
  <c r="AN231" i="15"/>
  <c r="AN445" i="15"/>
  <c r="AN481" i="15"/>
  <c r="AN492" i="15"/>
  <c r="AN504" i="15"/>
  <c r="AN10" i="24"/>
  <c r="AN21" i="27"/>
  <c r="AN13" i="28"/>
  <c r="AN22" i="41"/>
  <c r="AN9" i="43"/>
  <c r="AN19" i="71"/>
  <c r="AN14" i="57"/>
  <c r="AN20" i="63"/>
  <c r="AN30" i="5"/>
  <c r="AN36" i="5"/>
  <c r="AN28" i="15"/>
  <c r="AN50" i="15"/>
  <c r="AN60" i="15"/>
  <c r="AN505" i="15"/>
  <c r="AN24" i="31"/>
  <c r="AN10" i="32"/>
  <c r="AN33" i="32"/>
  <c r="AN45" i="32"/>
  <c r="AN57" i="32"/>
  <c r="AN13" i="36"/>
  <c r="AN18" i="37"/>
  <c r="AN31" i="5"/>
  <c r="AN304" i="15"/>
  <c r="AN340" i="15"/>
  <c r="AN399" i="15"/>
  <c r="AN435" i="15"/>
  <c r="AN9" i="16"/>
  <c r="AN22" i="23"/>
  <c r="AN15" i="28"/>
  <c r="AN23" i="38"/>
  <c r="AN17" i="42"/>
  <c r="AN21" i="42"/>
  <c r="AN56" i="75"/>
  <c r="AN9" i="56"/>
  <c r="AN15" i="57"/>
  <c r="AN18" i="58"/>
  <c r="AN9" i="61"/>
  <c r="AN10" i="63"/>
  <c r="AN13" i="3"/>
  <c r="AN33" i="5"/>
  <c r="AN14" i="6"/>
  <c r="AN13" i="13"/>
  <c r="AN220" i="65"/>
  <c r="AN11" i="12"/>
  <c r="AN21" i="12"/>
  <c r="AN9" i="14"/>
  <c r="T40" i="67"/>
  <c r="AN221" i="65"/>
  <c r="AN225" i="65"/>
  <c r="AN229" i="65"/>
  <c r="AN26" i="5"/>
  <c r="AN42" i="5"/>
  <c r="AN10" i="6"/>
  <c r="AN11" i="6"/>
  <c r="AN23" i="12"/>
  <c r="AN24" i="12"/>
  <c r="AN10" i="14"/>
  <c r="AN286" i="15"/>
  <c r="AN28" i="5"/>
  <c r="AN12" i="6"/>
  <c r="AN20" i="26"/>
  <c r="AN10" i="3"/>
  <c r="T37" i="67"/>
  <c r="AN211" i="65"/>
  <c r="AN17" i="12"/>
  <c r="AN227" i="65"/>
  <c r="AN20" i="5"/>
  <c r="AN12" i="13"/>
  <c r="AN14" i="14"/>
  <c r="AN27" i="15"/>
  <c r="AN90" i="15"/>
  <c r="AN263" i="15"/>
  <c r="AN274" i="15"/>
  <c r="AN308" i="15"/>
  <c r="AN331" i="15"/>
  <c r="AN364" i="15"/>
  <c r="AN398" i="15"/>
  <c r="AN421" i="15"/>
  <c r="AN432" i="15"/>
  <c r="AN444" i="15"/>
  <c r="AN489" i="15"/>
  <c r="AN501" i="15"/>
  <c r="AN513" i="15"/>
  <c r="AN13" i="16"/>
  <c r="AN23" i="16"/>
  <c r="AN19" i="74"/>
  <c r="AN23" i="74"/>
  <c r="AN19" i="18"/>
  <c r="AN19" i="19"/>
  <c r="AN21" i="20"/>
  <c r="AN33" i="20"/>
  <c r="AN45" i="20"/>
  <c r="AN57" i="20"/>
  <c r="AN26" i="22"/>
  <c r="AN48" i="22"/>
  <c r="AN14" i="70"/>
  <c r="AN18" i="72"/>
  <c r="AN9" i="23"/>
  <c r="AN22" i="25"/>
  <c r="AN18" i="27"/>
  <c r="AN31" i="28"/>
  <c r="AN40" i="28"/>
  <c r="AN23" i="31"/>
  <c r="AN20" i="32"/>
  <c r="AN32" i="32"/>
  <c r="AN44" i="32"/>
  <c r="AN66" i="32"/>
  <c r="AN21" i="33"/>
  <c r="AN10" i="38"/>
  <c r="AN18" i="40"/>
  <c r="AN11" i="45"/>
  <c r="AN13" i="46"/>
  <c r="AN32" i="46"/>
  <c r="AN9" i="47"/>
  <c r="AN67" i="47"/>
  <c r="AN26" i="75"/>
  <c r="AN30" i="75"/>
  <c r="AN45" i="75"/>
  <c r="AN60" i="75"/>
  <c r="AN9" i="49"/>
  <c r="AN10" i="51"/>
  <c r="AN17" i="51"/>
  <c r="AN11" i="53"/>
  <c r="AN18" i="53"/>
  <c r="AN22" i="53"/>
  <c r="AN26" i="53"/>
  <c r="AN19" i="54"/>
  <c r="AN14" i="55"/>
  <c r="AN11" i="60"/>
  <c r="AN12" i="62"/>
  <c r="AN19" i="62"/>
  <c r="AN14" i="63"/>
  <c r="AN21" i="63"/>
  <c r="AN12" i="64"/>
  <c r="AN11" i="15"/>
  <c r="AN29" i="15"/>
  <c r="AN49" i="15"/>
  <c r="AN58" i="15"/>
  <c r="AN59" i="15"/>
  <c r="AN91" i="15"/>
  <c r="AN92" i="15"/>
  <c r="AN265" i="15"/>
  <c r="AN310" i="15"/>
  <c r="AN343" i="15"/>
  <c r="AN355" i="15"/>
  <c r="AN389" i="15"/>
  <c r="AN400" i="15"/>
  <c r="AN457" i="15"/>
  <c r="AN467" i="15"/>
  <c r="AN480" i="15"/>
  <c r="AN491" i="15"/>
  <c r="AN503" i="15"/>
  <c r="AN515" i="15"/>
  <c r="AN23" i="20"/>
  <c r="AN35" i="20"/>
  <c r="AN47" i="20"/>
  <c r="AN39" i="22"/>
  <c r="AN50" i="22"/>
  <c r="AN14" i="69"/>
  <c r="AN20" i="69"/>
  <c r="AN64" i="69"/>
  <c r="AN21" i="70"/>
  <c r="AN22" i="70"/>
  <c r="AN10" i="23"/>
  <c r="AN10" i="27"/>
  <c r="AN33" i="28"/>
  <c r="AN9" i="29"/>
  <c r="AN18" i="29"/>
  <c r="AN30" i="29"/>
  <c r="AN42" i="29"/>
  <c r="AN59" i="29"/>
  <c r="AN9" i="31"/>
  <c r="AN11" i="32"/>
  <c r="AN22" i="32"/>
  <c r="AN34" i="32"/>
  <c r="AN171" i="32"/>
  <c r="AN11" i="33"/>
  <c r="AN13" i="34"/>
  <c r="AN16" i="34"/>
  <c r="AN20" i="34"/>
  <c r="AN23" i="35"/>
  <c r="AN11" i="66"/>
  <c r="AN21" i="39"/>
  <c r="AN33" i="39"/>
  <c r="AN45" i="39"/>
  <c r="AN49" i="39"/>
  <c r="AN44" i="47"/>
  <c r="AN52" i="47"/>
  <c r="AN56" i="47"/>
  <c r="AN12" i="75"/>
  <c r="AN20" i="49"/>
  <c r="AN10" i="56"/>
  <c r="AN23" i="57"/>
  <c r="AN27" i="57"/>
  <c r="AN31" i="57"/>
  <c r="AN35" i="57"/>
  <c r="T33" i="67"/>
  <c r="AN16" i="42"/>
  <c r="AN10" i="43"/>
  <c r="AN9" i="44"/>
  <c r="AN25" i="46"/>
  <c r="AN42" i="75"/>
  <c r="AN65" i="75"/>
  <c r="AN9" i="50"/>
  <c r="AN19" i="53"/>
  <c r="AN27" i="53"/>
  <c r="AN35" i="53"/>
  <c r="AN39" i="53"/>
  <c r="AN47" i="53"/>
  <c r="AN51" i="53"/>
  <c r="AN21" i="73"/>
  <c r="AN12" i="59"/>
  <c r="AN82" i="15"/>
  <c r="AN232" i="15"/>
  <c r="AN255" i="15"/>
  <c r="AN289" i="15"/>
  <c r="AN301" i="15"/>
  <c r="AN345" i="15"/>
  <c r="AN368" i="15"/>
  <c r="AN379" i="15"/>
  <c r="AN391" i="15"/>
  <c r="AN424" i="15"/>
  <c r="AN458" i="15"/>
  <c r="AN493" i="15"/>
  <c r="AN49" i="20"/>
  <c r="AN54" i="22"/>
  <c r="AN12" i="72"/>
  <c r="AN19" i="72"/>
  <c r="AN12" i="25"/>
  <c r="AN22" i="27"/>
  <c r="AN10" i="29"/>
  <c r="AN14" i="39"/>
  <c r="AN23" i="40"/>
  <c r="AN20" i="44"/>
  <c r="AN10" i="47"/>
  <c r="AN24" i="52"/>
  <c r="AN15" i="55"/>
  <c r="AN20" i="62"/>
  <c r="AN24" i="62"/>
  <c r="AN21" i="15"/>
  <c r="AN233" i="15"/>
  <c r="AN245" i="15"/>
  <c r="AN256" i="15"/>
  <c r="AN313" i="15"/>
  <c r="AN324" i="15"/>
  <c r="AN336" i="15"/>
  <c r="AN346" i="15"/>
  <c r="AN380" i="15"/>
  <c r="AN403" i="15"/>
  <c r="AN426" i="15"/>
  <c r="AN494" i="15"/>
  <c r="AN506" i="15"/>
  <c r="AN9" i="18"/>
  <c r="AN22" i="18"/>
  <c r="AN26" i="20"/>
  <c r="AN38" i="20"/>
  <c r="AN50" i="20"/>
  <c r="AN52" i="22"/>
  <c r="AN62" i="22"/>
  <c r="AN12" i="26"/>
  <c r="AN20" i="29"/>
  <c r="AN21" i="29"/>
  <c r="AN32" i="29"/>
  <c r="AN33" i="29"/>
  <c r="AN44" i="29"/>
  <c r="AN45" i="29"/>
  <c r="AN25" i="32"/>
  <c r="AN37" i="32"/>
  <c r="AN59" i="32"/>
  <c r="AN81" i="32"/>
  <c r="AN12" i="33"/>
  <c r="AN10" i="35"/>
  <c r="AN20" i="35"/>
  <c r="AN11" i="39"/>
  <c r="AN18" i="39"/>
  <c r="AN30" i="39"/>
  <c r="AN42" i="39"/>
  <c r="AN9" i="45"/>
  <c r="AN19" i="45"/>
  <c r="AN14" i="46"/>
  <c r="AN18" i="46"/>
  <c r="AN22" i="46"/>
  <c r="AN57" i="46"/>
  <c r="AN49" i="47"/>
  <c r="AN53" i="47"/>
  <c r="AN61" i="47"/>
  <c r="AN39" i="75"/>
  <c r="AN10" i="49"/>
  <c r="AN16" i="50"/>
  <c r="AN15" i="51"/>
  <c r="AN10" i="52"/>
  <c r="AN9" i="53"/>
  <c r="AN12" i="53"/>
  <c r="AN11" i="73"/>
  <c r="AN13" i="54"/>
  <c r="AN107" i="15"/>
  <c r="AN280" i="15"/>
  <c r="AN291" i="15"/>
  <c r="AN370" i="15"/>
  <c r="AN381" i="15"/>
  <c r="AN404" i="15"/>
  <c r="AN415" i="15"/>
  <c r="AN427" i="15"/>
  <c r="AN438" i="15"/>
  <c r="AN472" i="15"/>
  <c r="AN495" i="15"/>
  <c r="AN507" i="15"/>
  <c r="AN18" i="16"/>
  <c r="AN10" i="74"/>
  <c r="AN17" i="74"/>
  <c r="AN21" i="74"/>
  <c r="AN23" i="18"/>
  <c r="AN27" i="20"/>
  <c r="AN39" i="20"/>
  <c r="AN51" i="20"/>
  <c r="AN16" i="72"/>
  <c r="AN20" i="72"/>
  <c r="AN13" i="23"/>
  <c r="AN22" i="29"/>
  <c r="AN34" i="29"/>
  <c r="AN46" i="29"/>
  <c r="AN26" i="32"/>
  <c r="AN38" i="32"/>
  <c r="AN82" i="32"/>
  <c r="AN14" i="38"/>
  <c r="AN66" i="75"/>
  <c r="AN15" i="56"/>
  <c r="AN16" i="60"/>
  <c r="AN22" i="61"/>
  <c r="AN23" i="15"/>
  <c r="AN33" i="15"/>
  <c r="AN74" i="15"/>
  <c r="AN108" i="15"/>
  <c r="AN120" i="15"/>
  <c r="AN247" i="15"/>
  <c r="AN258" i="15"/>
  <c r="AN292" i="15"/>
  <c r="AN326" i="15"/>
  <c r="AN348" i="15"/>
  <c r="AN382" i="15"/>
  <c r="AN439" i="15"/>
  <c r="AN462" i="15"/>
  <c r="AN496" i="15"/>
  <c r="AN508" i="15"/>
  <c r="AN10" i="16"/>
  <c r="AN16" i="20"/>
  <c r="AN28" i="20"/>
  <c r="AN40" i="20"/>
  <c r="AN52" i="20"/>
  <c r="AN21" i="22"/>
  <c r="AN29" i="69"/>
  <c r="AN15" i="24"/>
  <c r="AN13" i="25"/>
  <c r="AN9" i="26"/>
  <c r="AN26" i="28"/>
  <c r="AN16" i="30"/>
  <c r="AN15" i="32"/>
  <c r="AN27" i="32"/>
  <c r="AN39" i="32"/>
  <c r="AN61" i="32"/>
  <c r="AN9" i="37"/>
  <c r="AN15" i="38"/>
  <c r="AN15" i="39"/>
  <c r="AN12" i="41"/>
  <c r="AN23" i="41"/>
  <c r="AN21" i="44"/>
  <c r="AN16" i="45"/>
  <c r="AN34" i="46"/>
  <c r="AN38" i="46"/>
  <c r="AN42" i="46"/>
  <c r="AN81" i="46"/>
  <c r="AN16" i="71"/>
  <c r="AN16" i="55"/>
  <c r="AN20" i="55"/>
  <c r="AN24" i="55"/>
  <c r="AN10" i="57"/>
  <c r="AN9" i="58"/>
  <c r="AN10" i="59"/>
  <c r="AN17" i="62"/>
  <c r="AN21" i="62"/>
  <c r="AN16" i="63"/>
  <c r="AN98" i="15"/>
  <c r="AN259" i="15"/>
  <c r="AN282" i="15"/>
  <c r="AN316" i="15"/>
  <c r="AN327" i="15"/>
  <c r="AN349" i="15"/>
  <c r="AN360" i="15"/>
  <c r="AN372" i="15"/>
  <c r="AN383" i="15"/>
  <c r="AN406" i="15"/>
  <c r="AN417" i="15"/>
  <c r="AN463" i="15"/>
  <c r="AN474" i="15"/>
  <c r="AN497" i="15"/>
  <c r="AN509" i="15"/>
  <c r="AN20" i="16"/>
  <c r="AN29" i="20"/>
  <c r="AN41" i="20"/>
  <c r="AN53" i="20"/>
  <c r="AN22" i="22"/>
  <c r="AN33" i="22"/>
  <c r="AN61" i="22"/>
  <c r="AN60" i="69"/>
  <c r="AN12" i="70"/>
  <c r="AN27" i="28"/>
  <c r="AN16" i="32"/>
  <c r="AN84" i="32"/>
  <c r="AN9" i="41"/>
  <c r="AN11" i="42"/>
  <c r="AN14" i="42"/>
  <c r="AN58" i="47"/>
  <c r="AN21" i="75"/>
  <c r="AN9" i="51"/>
  <c r="AN65" i="15"/>
  <c r="AN237" i="15"/>
  <c r="AN271" i="15"/>
  <c r="AN283" i="15"/>
  <c r="AN294" i="15"/>
  <c r="AN317" i="15"/>
  <c r="AN328" i="15"/>
  <c r="AN350" i="15"/>
  <c r="AN361" i="15"/>
  <c r="AN373" i="15"/>
  <c r="AN384" i="15"/>
  <c r="AN407" i="15"/>
  <c r="AN418" i="15"/>
  <c r="AN440" i="15"/>
  <c r="AN475" i="15"/>
  <c r="AN498" i="15"/>
  <c r="AN510" i="15"/>
  <c r="AN18" i="20"/>
  <c r="AN30" i="20"/>
  <c r="AN42" i="20"/>
  <c r="AN54" i="20"/>
  <c r="AN61" i="20"/>
  <c r="AN23" i="22"/>
  <c r="AN34" i="22"/>
  <c r="AN12" i="69"/>
  <c r="AN61" i="69"/>
  <c r="AN18" i="70"/>
  <c r="AN21" i="25"/>
  <c r="AN18" i="28"/>
  <c r="AN28" i="28"/>
  <c r="AN25" i="29"/>
  <c r="AN10" i="30"/>
  <c r="AN12" i="31"/>
  <c r="AN17" i="32"/>
  <c r="AN29" i="32"/>
  <c r="AN52" i="32"/>
  <c r="AN63" i="32"/>
  <c r="AN73" i="32"/>
  <c r="AN23" i="37"/>
  <c r="AN12" i="43"/>
  <c r="AN27" i="46"/>
  <c r="AN66" i="46"/>
  <c r="AN11" i="75"/>
  <c r="AN29" i="75"/>
  <c r="AN48" i="75"/>
  <c r="AN15" i="49"/>
  <c r="AN16" i="58"/>
  <c r="AN19" i="61"/>
  <c r="AN22" i="62"/>
  <c r="AN35" i="15"/>
  <c r="AN55" i="15"/>
  <c r="AN272" i="15"/>
  <c r="AN295" i="15"/>
  <c r="AN318" i="15"/>
  <c r="AN351" i="15"/>
  <c r="AN362" i="15"/>
  <c r="AN385" i="15"/>
  <c r="AN408" i="15"/>
  <c r="AN419" i="15"/>
  <c r="AN499" i="15"/>
  <c r="AN511" i="15"/>
  <c r="AN10" i="20"/>
  <c r="AN19" i="20"/>
  <c r="AN31" i="20"/>
  <c r="AN43" i="20"/>
  <c r="AN55" i="20"/>
  <c r="AN17" i="23"/>
  <c r="AN16" i="27"/>
  <c r="AN19" i="28"/>
  <c r="AN18" i="30"/>
  <c r="AN13" i="31"/>
  <c r="AN18" i="32"/>
  <c r="AN74" i="32"/>
  <c r="AN18" i="42"/>
  <c r="AN18" i="44"/>
  <c r="AN10" i="45"/>
  <c r="AN39" i="46"/>
  <c r="AN43" i="46"/>
  <c r="AN47" i="46"/>
  <c r="AN23" i="56"/>
  <c r="AN15" i="14"/>
  <c r="AN26" i="15"/>
  <c r="AN56" i="15"/>
  <c r="AN78" i="15"/>
  <c r="AN273" i="15"/>
  <c r="AN307" i="15"/>
  <c r="AN319" i="15"/>
  <c r="AN352" i="15"/>
  <c r="AN363" i="15"/>
  <c r="AN397" i="15"/>
  <c r="AN409" i="15"/>
  <c r="AN420" i="15"/>
  <c r="AN454" i="15"/>
  <c r="AN500" i="15"/>
  <c r="AN512" i="15"/>
  <c r="AN22" i="16"/>
  <c r="AN18" i="18"/>
  <c r="AN20" i="20"/>
  <c r="AN32" i="20"/>
  <c r="AN44" i="20"/>
  <c r="AN56" i="20"/>
  <c r="AN13" i="22"/>
  <c r="AN25" i="22"/>
  <c r="AN18" i="69"/>
  <c r="AN31" i="69"/>
  <c r="AN20" i="70"/>
  <c r="AN11" i="72"/>
  <c r="AN14" i="72"/>
  <c r="AN18" i="23"/>
  <c r="AN9" i="24"/>
  <c r="AN11" i="25"/>
  <c r="AN10" i="26"/>
  <c r="AN19" i="26"/>
  <c r="AN10" i="28"/>
  <c r="AN30" i="28"/>
  <c r="AN15" i="29"/>
  <c r="AN27" i="29"/>
  <c r="AN39" i="29"/>
  <c r="AN19" i="32"/>
  <c r="AN43" i="32"/>
  <c r="AN75" i="32"/>
  <c r="AN17" i="33"/>
  <c r="AN18" i="35"/>
  <c r="AN22" i="35"/>
  <c r="AN17" i="37"/>
  <c r="AN13" i="66"/>
  <c r="AN10" i="41"/>
  <c r="AP8" i="43"/>
  <c r="AN31" i="47"/>
  <c r="AN35" i="47"/>
  <c r="AN43" i="47"/>
  <c r="AN12" i="49"/>
  <c r="AN23" i="49"/>
  <c r="AN18" i="50"/>
  <c r="AN21" i="71"/>
  <c r="AN13" i="56"/>
  <c r="AN18" i="57"/>
  <c r="AN22" i="57"/>
  <c r="AN26" i="57"/>
  <c r="AN30" i="57"/>
  <c r="AN34" i="57"/>
  <c r="AN38" i="57"/>
  <c r="AN42" i="57"/>
  <c r="AN13" i="61"/>
  <c r="AN20" i="61"/>
  <c r="AN24" i="61"/>
  <c r="AN15" i="62"/>
  <c r="AN7" i="38"/>
  <c r="T46" i="68"/>
  <c r="E43" i="2" s="1"/>
  <c r="AL8" i="38"/>
  <c r="AJ8" i="38"/>
  <c r="AL7" i="38"/>
  <c r="AJ7" i="38"/>
  <c r="AN8" i="38"/>
  <c r="U13" i="38"/>
  <c r="U16" i="38"/>
  <c r="U20" i="38"/>
  <c r="U24" i="38"/>
  <c r="K48" i="68"/>
  <c r="W5" i="38"/>
  <c r="U10" i="38"/>
  <c r="W13" i="38"/>
  <c r="W16" i="38"/>
  <c r="W20" i="38"/>
  <c r="W24" i="38"/>
  <c r="J48" i="68"/>
  <c r="U6" i="38"/>
  <c r="U17" i="38"/>
  <c r="U21" i="38"/>
  <c r="L48" i="68"/>
  <c r="W10" i="38"/>
  <c r="P48" i="68"/>
  <c r="W6" i="38"/>
  <c r="U11" i="38"/>
  <c r="U14" i="38"/>
  <c r="W17" i="38"/>
  <c r="W21" i="38"/>
  <c r="U18" i="38"/>
  <c r="U22" i="38"/>
  <c r="W11" i="38"/>
  <c r="W14" i="38"/>
  <c r="U15" i="38"/>
  <c r="W18" i="38"/>
  <c r="W22" i="38"/>
  <c r="U12" i="38"/>
  <c r="U19" i="38"/>
  <c r="U23" i="38"/>
  <c r="W8" i="38"/>
  <c r="U9" i="38"/>
  <c r="W15" i="38"/>
  <c r="W12" i="38"/>
  <c r="W19" i="38"/>
  <c r="U11" i="37"/>
  <c r="U18" i="37"/>
  <c r="W21" i="37"/>
  <c r="W6" i="37"/>
  <c r="U7" i="37"/>
  <c r="W14" i="37"/>
  <c r="U15" i="37"/>
  <c r="W18" i="37"/>
  <c r="U22" i="37"/>
  <c r="AD6" i="37"/>
  <c r="W7" i="37"/>
  <c r="U8" i="37"/>
  <c r="U19" i="37"/>
  <c r="W8" i="37"/>
  <c r="U9" i="37"/>
  <c r="W19" i="37"/>
  <c r="U23" i="37"/>
  <c r="AH6" i="37"/>
  <c r="AI6" i="37" s="1"/>
  <c r="AL6" i="37" s="1"/>
  <c r="U13" i="37"/>
  <c r="W23" i="37"/>
  <c r="U5" i="37"/>
  <c r="W16" i="37"/>
  <c r="W20" i="37"/>
  <c r="U24" i="37"/>
  <c r="U10" i="37"/>
  <c r="W13" i="37"/>
  <c r="U17" i="37"/>
  <c r="U6" i="37"/>
  <c r="W10" i="37"/>
  <c r="U14" i="37"/>
  <c r="AL87" i="32"/>
  <c r="AJ87" i="32"/>
  <c r="AJ96" i="32"/>
  <c r="AL96" i="32"/>
  <c r="AL100" i="32"/>
  <c r="AJ100" i="32"/>
  <c r="AL140" i="32"/>
  <c r="AJ140" i="32"/>
  <c r="AJ119" i="32"/>
  <c r="AL119" i="32"/>
  <c r="AL123" i="32"/>
  <c r="AJ123" i="32"/>
  <c r="AJ142" i="32"/>
  <c r="AJ163" i="32"/>
  <c r="AL132" i="32"/>
  <c r="AJ132" i="32"/>
  <c r="AL165" i="32"/>
  <c r="AL113" i="32"/>
  <c r="AJ141" i="32"/>
  <c r="AL141" i="32"/>
  <c r="AL151" i="32"/>
  <c r="AJ151" i="32"/>
  <c r="AJ153" i="32"/>
  <c r="AL109" i="32"/>
  <c r="AJ109" i="32"/>
  <c r="AJ152" i="32"/>
  <c r="AL152" i="32"/>
  <c r="AL155" i="32"/>
  <c r="AJ155" i="32"/>
  <c r="AL98" i="32"/>
  <c r="AJ98" i="32"/>
  <c r="AL102" i="32"/>
  <c r="AL164" i="32"/>
  <c r="AJ164" i="32"/>
  <c r="AN87" i="32"/>
  <c r="AL112" i="32"/>
  <c r="AL121" i="32"/>
  <c r="AJ121" i="32"/>
  <c r="AJ129" i="32"/>
  <c r="AJ131" i="32"/>
  <c r="AL143" i="32"/>
  <c r="AJ143" i="32"/>
  <c r="AL146" i="32"/>
  <c r="AL162" i="32"/>
  <c r="AJ162" i="32"/>
  <c r="AJ108" i="32"/>
  <c r="AL108" i="32"/>
  <c r="AL134" i="32"/>
  <c r="AJ134" i="32"/>
  <c r="AJ95" i="32"/>
  <c r="AL111" i="32"/>
  <c r="AJ111" i="32"/>
  <c r="AL157" i="32"/>
  <c r="AJ97" i="32"/>
  <c r="AJ118" i="32"/>
  <c r="AL145" i="32"/>
  <c r="AL154" i="32"/>
  <c r="AL172" i="32"/>
  <c r="AJ172" i="32"/>
  <c r="AM141" i="32"/>
  <c r="AM152" i="32"/>
  <c r="AE91" i="32"/>
  <c r="AM95" i="32"/>
  <c r="AE103" i="32"/>
  <c r="AN104" i="32"/>
  <c r="AM107" i="32"/>
  <c r="AE114" i="32"/>
  <c r="AM118" i="32"/>
  <c r="AE126" i="32"/>
  <c r="AM129" i="32"/>
  <c r="AE136" i="32"/>
  <c r="AE147" i="32"/>
  <c r="AN148" i="32"/>
  <c r="AM151" i="32"/>
  <c r="AE158" i="32"/>
  <c r="AN159" i="32"/>
  <c r="AM162" i="32"/>
  <c r="AH166" i="32"/>
  <c r="AI166" i="32" s="1"/>
  <c r="AL166" i="32" s="1"/>
  <c r="AE169" i="32"/>
  <c r="AM172" i="32"/>
  <c r="AN93" i="32"/>
  <c r="AN149" i="32"/>
  <c r="AM97" i="32"/>
  <c r="AM120" i="32"/>
  <c r="AM131" i="32"/>
  <c r="AM142" i="32"/>
  <c r="AM153" i="32"/>
  <c r="AN161" i="32"/>
  <c r="AM163" i="32"/>
  <c r="AJ89" i="32"/>
  <c r="AH91" i="32"/>
  <c r="AI91" i="32" s="1"/>
  <c r="AL91" i="32" s="1"/>
  <c r="AE94" i="32"/>
  <c r="AN94" i="32" s="1"/>
  <c r="AD95" i="32"/>
  <c r="AJ101" i="32"/>
  <c r="AH103" i="32"/>
  <c r="AI103" i="32" s="1"/>
  <c r="AL103" i="32" s="1"/>
  <c r="AE106" i="32"/>
  <c r="AD107" i="32"/>
  <c r="AJ112" i="32"/>
  <c r="AH114" i="32"/>
  <c r="AI114" i="32" s="1"/>
  <c r="AL114" i="32" s="1"/>
  <c r="AE117" i="32"/>
  <c r="AD118" i="32"/>
  <c r="AJ124" i="32"/>
  <c r="AH126" i="32"/>
  <c r="AI126" i="32" s="1"/>
  <c r="AL126" i="32" s="1"/>
  <c r="AE128" i="32"/>
  <c r="AN128" i="32" s="1"/>
  <c r="AD129" i="32"/>
  <c r="AJ135" i="32"/>
  <c r="AH136" i="32"/>
  <c r="AI136" i="32" s="1"/>
  <c r="AL136" i="32" s="1"/>
  <c r="AE139" i="32"/>
  <c r="AD140" i="32"/>
  <c r="AM143" i="32"/>
  <c r="AJ145" i="32"/>
  <c r="AH147" i="32"/>
  <c r="AI147" i="32" s="1"/>
  <c r="AL147" i="32" s="1"/>
  <c r="AE150" i="32"/>
  <c r="AN150" i="32" s="1"/>
  <c r="AD151" i="32"/>
  <c r="AJ156" i="32"/>
  <c r="AH158" i="32"/>
  <c r="AI158" i="32" s="1"/>
  <c r="AL158" i="32" s="1"/>
  <c r="AD162" i="32"/>
  <c r="AM164" i="32"/>
  <c r="AJ167" i="32"/>
  <c r="AH169" i="32"/>
  <c r="AI169" i="32" s="1"/>
  <c r="AJ169" i="32" s="1"/>
  <c r="AD172" i="32"/>
  <c r="AN105" i="32"/>
  <c r="AJ90" i="32"/>
  <c r="AH92" i="32"/>
  <c r="AI92" i="32" s="1"/>
  <c r="AL92" i="32" s="1"/>
  <c r="AE95" i="32"/>
  <c r="AN95" i="32" s="1"/>
  <c r="AD96" i="32"/>
  <c r="AJ102" i="32"/>
  <c r="AH104" i="32"/>
  <c r="AI104" i="32" s="1"/>
  <c r="AL104" i="32" s="1"/>
  <c r="AE107" i="32"/>
  <c r="AD108" i="32"/>
  <c r="AJ113" i="32"/>
  <c r="AH115" i="32"/>
  <c r="AI115" i="32" s="1"/>
  <c r="AL115" i="32" s="1"/>
  <c r="AE118" i="32"/>
  <c r="AD119" i="32"/>
  <c r="AJ125" i="32"/>
  <c r="AE129" i="32"/>
  <c r="AD130" i="32"/>
  <c r="AH137" i="32"/>
  <c r="AI137" i="32" s="1"/>
  <c r="AL137" i="32" s="1"/>
  <c r="AE140" i="32"/>
  <c r="AD141" i="32"/>
  <c r="AM144" i="32"/>
  <c r="AN144" i="32" s="1"/>
  <c r="AJ146" i="32"/>
  <c r="AH148" i="32"/>
  <c r="AI148" i="32" s="1"/>
  <c r="AL148" i="32" s="1"/>
  <c r="AE151" i="32"/>
  <c r="AD152" i="32"/>
  <c r="AM154" i="32"/>
  <c r="AJ157" i="32"/>
  <c r="AH159" i="32"/>
  <c r="AI159" i="32" s="1"/>
  <c r="AL159" i="32" s="1"/>
  <c r="AE162" i="32"/>
  <c r="AM165" i="32"/>
  <c r="AH170" i="32"/>
  <c r="AI170" i="32" s="1"/>
  <c r="AL170" i="32" s="1"/>
  <c r="AE172" i="32"/>
  <c r="AM88" i="32"/>
  <c r="AN88" i="32" s="1"/>
  <c r="AH93" i="32"/>
  <c r="AI93" i="32" s="1"/>
  <c r="AL93" i="32" s="1"/>
  <c r="AE96" i="32"/>
  <c r="AD97" i="32"/>
  <c r="AM100" i="32"/>
  <c r="AH105" i="32"/>
  <c r="AI105" i="32" s="1"/>
  <c r="AL105" i="32" s="1"/>
  <c r="AE108" i="32"/>
  <c r="AM111" i="32"/>
  <c r="AH116" i="32"/>
  <c r="AI116" i="32" s="1"/>
  <c r="AL116" i="32" s="1"/>
  <c r="AE119" i="32"/>
  <c r="AD120" i="32"/>
  <c r="AM123" i="32"/>
  <c r="AN123" i="32" s="1"/>
  <c r="AH127" i="32"/>
  <c r="AI127" i="32" s="1"/>
  <c r="AL127" i="32" s="1"/>
  <c r="AE130" i="32"/>
  <c r="AD131" i="32"/>
  <c r="AM134" i="32"/>
  <c r="AH138" i="32"/>
  <c r="AI138" i="32" s="1"/>
  <c r="AL138" i="32" s="1"/>
  <c r="AE141" i="32"/>
  <c r="AD142" i="32"/>
  <c r="AH149" i="32"/>
  <c r="AI149" i="32" s="1"/>
  <c r="AL149" i="32" s="1"/>
  <c r="AE152" i="32"/>
  <c r="AN152" i="32" s="1"/>
  <c r="AD153" i="32"/>
  <c r="AM155" i="32"/>
  <c r="AN155" i="32" s="1"/>
  <c r="AH160" i="32"/>
  <c r="AI160" i="32" s="1"/>
  <c r="AL160" i="32" s="1"/>
  <c r="AD163" i="32"/>
  <c r="AM166" i="32"/>
  <c r="AH171" i="32"/>
  <c r="AI171" i="32" s="1"/>
  <c r="AL171" i="32" s="1"/>
  <c r="AN138" i="32"/>
  <c r="AM89" i="32"/>
  <c r="AH94" i="32"/>
  <c r="AI94" i="32" s="1"/>
  <c r="AE97" i="32"/>
  <c r="AN98" i="32"/>
  <c r="AM101" i="32"/>
  <c r="AN101" i="32" s="1"/>
  <c r="AH106" i="32"/>
  <c r="AI106" i="32" s="1"/>
  <c r="AN109" i="32"/>
  <c r="AM112" i="32"/>
  <c r="AH117" i="32"/>
  <c r="AI117" i="32" s="1"/>
  <c r="AL117" i="32" s="1"/>
  <c r="AE120" i="32"/>
  <c r="AM124" i="32"/>
  <c r="AN124" i="32" s="1"/>
  <c r="AH128" i="32"/>
  <c r="AI128" i="32" s="1"/>
  <c r="AL128" i="32" s="1"/>
  <c r="AE131" i="32"/>
  <c r="AN132" i="32"/>
  <c r="AM135" i="32"/>
  <c r="AN135" i="32" s="1"/>
  <c r="AH139" i="32"/>
  <c r="AI139" i="32" s="1"/>
  <c r="AL139" i="32" s="1"/>
  <c r="AE142" i="32"/>
  <c r="AN142" i="32" s="1"/>
  <c r="AM145" i="32"/>
  <c r="AN145" i="32" s="1"/>
  <c r="AH150" i="32"/>
  <c r="AI150" i="32" s="1"/>
  <c r="AE153" i="32"/>
  <c r="AM156" i="32"/>
  <c r="AH161" i="32"/>
  <c r="AI161" i="32" s="1"/>
  <c r="AE163" i="32"/>
  <c r="AD164" i="32"/>
  <c r="AN164" i="32" s="1"/>
  <c r="AM167" i="32"/>
  <c r="AN127" i="32"/>
  <c r="AN99" i="32"/>
  <c r="AM113" i="32"/>
  <c r="AN122" i="32"/>
  <c r="AM125" i="32"/>
  <c r="AN133" i="32"/>
  <c r="AM146" i="32"/>
  <c r="AN154" i="32"/>
  <c r="AM157" i="32"/>
  <c r="AD165" i="32"/>
  <c r="AN165" i="32" s="1"/>
  <c r="AM168" i="32"/>
  <c r="AN168" i="32" s="1"/>
  <c r="AN160" i="32"/>
  <c r="AM91" i="32"/>
  <c r="AN100" i="32"/>
  <c r="AM103" i="32"/>
  <c r="AN111" i="32"/>
  <c r="AM114" i="32"/>
  <c r="AN114" i="32" s="1"/>
  <c r="AM126" i="32"/>
  <c r="AN126" i="32" s="1"/>
  <c r="AH130" i="32"/>
  <c r="AI130" i="32" s="1"/>
  <c r="AM136" i="32"/>
  <c r="AM147" i="32"/>
  <c r="AN147" i="32" s="1"/>
  <c r="AM158" i="32"/>
  <c r="AN158" i="32" s="1"/>
  <c r="AD166" i="32"/>
  <c r="AM169" i="32"/>
  <c r="AN90" i="32"/>
  <c r="AN102" i="32"/>
  <c r="U5" i="32"/>
  <c r="W16" i="32"/>
  <c r="W20" i="32"/>
  <c r="X20" i="32" s="1"/>
  <c r="W24" i="32"/>
  <c r="W28" i="32"/>
  <c r="W32" i="32"/>
  <c r="W36" i="32"/>
  <c r="W40" i="32"/>
  <c r="W44" i="32"/>
  <c r="W48" i="32"/>
  <c r="U56" i="32"/>
  <c r="U60" i="32"/>
  <c r="U64" i="32"/>
  <c r="U68" i="32"/>
  <c r="W71" i="32"/>
  <c r="X71" i="32" s="1"/>
  <c r="U91" i="32"/>
  <c r="U95" i="32"/>
  <c r="U99" i="32"/>
  <c r="U103" i="32"/>
  <c r="U107" i="32"/>
  <c r="W110" i="32"/>
  <c r="W114" i="32"/>
  <c r="W118" i="32"/>
  <c r="X118" i="32" s="1"/>
  <c r="W122" i="32"/>
  <c r="W126" i="32"/>
  <c r="X126" i="32" s="1"/>
  <c r="U138" i="32"/>
  <c r="U142" i="32"/>
  <c r="W145" i="32"/>
  <c r="W149" i="32"/>
  <c r="W153" i="32"/>
  <c r="U165" i="32"/>
  <c r="U169" i="32"/>
  <c r="W172" i="32"/>
  <c r="W5" i="32"/>
  <c r="U10" i="32"/>
  <c r="W13" i="32"/>
  <c r="U17" i="32"/>
  <c r="U21" i="32"/>
  <c r="U25" i="32"/>
  <c r="U29" i="32"/>
  <c r="U33" i="32"/>
  <c r="U37" i="32"/>
  <c r="U41" i="32"/>
  <c r="U45" i="32"/>
  <c r="U49" i="32"/>
  <c r="W52" i="32"/>
  <c r="U72" i="32"/>
  <c r="W75" i="32"/>
  <c r="W79" i="32"/>
  <c r="X79" i="32" s="1"/>
  <c r="W83" i="32"/>
  <c r="W87" i="32"/>
  <c r="X87" i="32" s="1"/>
  <c r="U111" i="32"/>
  <c r="U115" i="32"/>
  <c r="U119" i="32"/>
  <c r="U123" i="32"/>
  <c r="W130" i="32"/>
  <c r="W134" i="32"/>
  <c r="U146" i="32"/>
  <c r="U150" i="32"/>
  <c r="W157" i="32"/>
  <c r="W161" i="32"/>
  <c r="X161" i="32" s="1"/>
  <c r="W59" i="32"/>
  <c r="U6" i="32"/>
  <c r="U53" i="32"/>
  <c r="W56" i="32"/>
  <c r="W60" i="32"/>
  <c r="W64" i="32"/>
  <c r="W68" i="32"/>
  <c r="U76" i="32"/>
  <c r="U80" i="32"/>
  <c r="U84" i="32"/>
  <c r="W91" i="32"/>
  <c r="W95" i="32"/>
  <c r="X95" i="32" s="1"/>
  <c r="W99" i="32"/>
  <c r="W103" i="32"/>
  <c r="X103" i="32" s="1"/>
  <c r="W107" i="32"/>
  <c r="U127" i="32"/>
  <c r="U131" i="32"/>
  <c r="U135" i="32"/>
  <c r="W138" i="32"/>
  <c r="W142" i="32"/>
  <c r="U154" i="32"/>
  <c r="U158" i="32"/>
  <c r="U162" i="32"/>
  <c r="W165" i="32"/>
  <c r="X165" i="32" s="1"/>
  <c r="W169" i="32"/>
  <c r="W10" i="32"/>
  <c r="X10" i="32" s="1"/>
  <c r="U14" i="32"/>
  <c r="W17" i="32"/>
  <c r="W21" i="32"/>
  <c r="W25" i="32"/>
  <c r="W29" i="32"/>
  <c r="W33" i="32"/>
  <c r="W37" i="32"/>
  <c r="W41" i="32"/>
  <c r="X41" i="32" s="1"/>
  <c r="W45" i="32"/>
  <c r="W49" i="32"/>
  <c r="X49" i="32" s="1"/>
  <c r="U57" i="32"/>
  <c r="U61" i="32"/>
  <c r="U65" i="32"/>
  <c r="U69" i="32"/>
  <c r="W72" i="32"/>
  <c r="U88" i="32"/>
  <c r="U92" i="32"/>
  <c r="U96" i="32"/>
  <c r="U100" i="32"/>
  <c r="U104" i="32"/>
  <c r="U108" i="32"/>
  <c r="W111" i="32"/>
  <c r="X111" i="32" s="1"/>
  <c r="W115" i="32"/>
  <c r="W119" i="32"/>
  <c r="X119" i="32" s="1"/>
  <c r="W123" i="32"/>
  <c r="U139" i="32"/>
  <c r="U143" i="32"/>
  <c r="W146" i="32"/>
  <c r="W150" i="32"/>
  <c r="U166" i="32"/>
  <c r="U170" i="32"/>
  <c r="W6" i="32"/>
  <c r="X6" i="32" s="1"/>
  <c r="U7" i="32"/>
  <c r="U11" i="32"/>
  <c r="U18" i="32"/>
  <c r="U22" i="32"/>
  <c r="U26" i="32"/>
  <c r="U30" i="32"/>
  <c r="U34" i="32"/>
  <c r="U38" i="32"/>
  <c r="U42" i="32"/>
  <c r="U46" i="32"/>
  <c r="U50" i="32"/>
  <c r="W53" i="32"/>
  <c r="X53" i="32" s="1"/>
  <c r="W76" i="32"/>
  <c r="W80" i="32"/>
  <c r="X80" i="32" s="1"/>
  <c r="W84" i="32"/>
  <c r="U112" i="32"/>
  <c r="U116" i="32"/>
  <c r="U120" i="32"/>
  <c r="U124" i="32"/>
  <c r="W127" i="32"/>
  <c r="W131" i="32"/>
  <c r="W135" i="32"/>
  <c r="U147" i="32"/>
  <c r="U151" i="32"/>
  <c r="W154" i="32"/>
  <c r="W158" i="32"/>
  <c r="X158" i="32" s="1"/>
  <c r="W162" i="32"/>
  <c r="U13" i="32"/>
  <c r="U75" i="32"/>
  <c r="W90" i="32"/>
  <c r="W98" i="32"/>
  <c r="U161" i="32"/>
  <c r="W14" i="32"/>
  <c r="U54" i="32"/>
  <c r="W57" i="32"/>
  <c r="X57" i="32" s="1"/>
  <c r="W61" i="32"/>
  <c r="W65" i="32"/>
  <c r="W69" i="32"/>
  <c r="X69" i="32" s="1"/>
  <c r="U73" i="32"/>
  <c r="U77" i="32"/>
  <c r="U81" i="32"/>
  <c r="U85" i="32"/>
  <c r="W88" i="32"/>
  <c r="W92" i="32"/>
  <c r="W96" i="32"/>
  <c r="W100" i="32"/>
  <c r="W104" i="32"/>
  <c r="W108" i="32"/>
  <c r="X108" i="32" s="1"/>
  <c r="U128" i="32"/>
  <c r="U132" i="32"/>
  <c r="W139" i="32"/>
  <c r="W143" i="32"/>
  <c r="X143" i="32" s="1"/>
  <c r="U155" i="32"/>
  <c r="U159" i="32"/>
  <c r="W166" i="32"/>
  <c r="U174" i="32"/>
  <c r="W176" i="32"/>
  <c r="X176" i="32" s="1"/>
  <c r="U186" i="32"/>
  <c r="W188" i="32"/>
  <c r="X188" i="32" s="1"/>
  <c r="U198" i="32"/>
  <c r="W200" i="32"/>
  <c r="X200" i="32" s="1"/>
  <c r="U210" i="32"/>
  <c r="W212" i="32"/>
  <c r="X212" i="32" s="1"/>
  <c r="U173" i="32"/>
  <c r="W175" i="32"/>
  <c r="X175" i="32" s="1"/>
  <c r="U185" i="32"/>
  <c r="W187" i="32"/>
  <c r="X187" i="32" s="1"/>
  <c r="U197" i="32"/>
  <c r="W199" i="32"/>
  <c r="X199" i="32" s="1"/>
  <c r="U209" i="32"/>
  <c r="W211" i="32"/>
  <c r="X211" i="32" s="1"/>
  <c r="W174" i="32"/>
  <c r="X174" i="32" s="1"/>
  <c r="U184" i="32"/>
  <c r="W186" i="32"/>
  <c r="X186" i="32" s="1"/>
  <c r="U196" i="32"/>
  <c r="W198" i="32"/>
  <c r="X198" i="32" s="1"/>
  <c r="U208" i="32"/>
  <c r="W210" i="32"/>
  <c r="X210" i="32" s="1"/>
  <c r="W189" i="32"/>
  <c r="X189" i="32" s="1"/>
  <c r="W173" i="32"/>
  <c r="X173" i="32" s="1"/>
  <c r="U183" i="32"/>
  <c r="W185" i="32"/>
  <c r="X185" i="32" s="1"/>
  <c r="U195" i="32"/>
  <c r="W197" i="32"/>
  <c r="X197" i="32" s="1"/>
  <c r="U207" i="32"/>
  <c r="W209" i="32"/>
  <c r="X209" i="32" s="1"/>
  <c r="U182" i="32"/>
  <c r="W184" i="32"/>
  <c r="X184" i="32" s="1"/>
  <c r="U194" i="32"/>
  <c r="W196" i="32"/>
  <c r="X196" i="32" s="1"/>
  <c r="U206" i="32"/>
  <c r="W208" i="32"/>
  <c r="X208" i="32" s="1"/>
  <c r="U181" i="32"/>
  <c r="W183" i="32"/>
  <c r="X183" i="32" s="1"/>
  <c r="U193" i="32"/>
  <c r="W195" i="32"/>
  <c r="X195" i="32" s="1"/>
  <c r="U205" i="32"/>
  <c r="W207" i="32"/>
  <c r="X207" i="32" s="1"/>
  <c r="W177" i="32"/>
  <c r="X177" i="32" s="1"/>
  <c r="U187" i="32"/>
  <c r="U180" i="32"/>
  <c r="W182" i="32"/>
  <c r="X182" i="32" s="1"/>
  <c r="U192" i="32"/>
  <c r="W194" i="32"/>
  <c r="X194" i="32" s="1"/>
  <c r="U204" i="32"/>
  <c r="W206" i="32"/>
  <c r="X206" i="32" s="1"/>
  <c r="U211" i="32"/>
  <c r="U179" i="32"/>
  <c r="W181" i="32"/>
  <c r="X181" i="32" s="1"/>
  <c r="U191" i="32"/>
  <c r="W193" i="32"/>
  <c r="X193" i="32" s="1"/>
  <c r="U203" i="32"/>
  <c r="W205" i="32"/>
  <c r="X205" i="32" s="1"/>
  <c r="U175" i="32"/>
  <c r="U199" i="32"/>
  <c r="U178" i="32"/>
  <c r="W180" i="32"/>
  <c r="X180" i="32" s="1"/>
  <c r="U190" i="32"/>
  <c r="W192" i="32"/>
  <c r="X192" i="32" s="1"/>
  <c r="U202" i="32"/>
  <c r="W204" i="32"/>
  <c r="X204" i="32" s="1"/>
  <c r="W201" i="32"/>
  <c r="X201" i="32" s="1"/>
  <c r="U177" i="32"/>
  <c r="W179" i="32"/>
  <c r="X179" i="32" s="1"/>
  <c r="U189" i="32"/>
  <c r="W191" i="32"/>
  <c r="X191" i="32" s="1"/>
  <c r="U201" i="32"/>
  <c r="W203" i="32"/>
  <c r="X203" i="32" s="1"/>
  <c r="U176" i="32"/>
  <c r="W178" i="32"/>
  <c r="X178" i="32" s="1"/>
  <c r="U188" i="32"/>
  <c r="W190" i="32"/>
  <c r="X190" i="32" s="1"/>
  <c r="U200" i="32"/>
  <c r="W202" i="32"/>
  <c r="X202" i="32" s="1"/>
  <c r="U212" i="32"/>
  <c r="U52" i="32"/>
  <c r="W67" i="32"/>
  <c r="U87" i="32"/>
  <c r="W106" i="32"/>
  <c r="U134" i="32"/>
  <c r="W141" i="32"/>
  <c r="W164" i="32"/>
  <c r="H39" i="68"/>
  <c r="C35" i="2" s="1"/>
  <c r="W7" i="32"/>
  <c r="X7" i="32" s="1"/>
  <c r="U8" i="32"/>
  <c r="W11" i="32"/>
  <c r="X11" i="32" s="1"/>
  <c r="U15" i="32"/>
  <c r="W18" i="32"/>
  <c r="X18" i="32" s="1"/>
  <c r="W22" i="32"/>
  <c r="W26" i="32"/>
  <c r="W30" i="32"/>
  <c r="W34" i="32"/>
  <c r="W38" i="32"/>
  <c r="W42" i="32"/>
  <c r="W46" i="32"/>
  <c r="W50" i="32"/>
  <c r="X50" i="32" s="1"/>
  <c r="U58" i="32"/>
  <c r="U62" i="32"/>
  <c r="U66" i="32"/>
  <c r="U89" i="32"/>
  <c r="U93" i="32"/>
  <c r="U97" i="32"/>
  <c r="U101" i="32"/>
  <c r="U105" i="32"/>
  <c r="W112" i="32"/>
  <c r="W116" i="32"/>
  <c r="W120" i="32"/>
  <c r="W124" i="32"/>
  <c r="X124" i="32" s="1"/>
  <c r="U136" i="32"/>
  <c r="U140" i="32"/>
  <c r="U144" i="32"/>
  <c r="W147" i="32"/>
  <c r="X147" i="32" s="1"/>
  <c r="W151" i="32"/>
  <c r="U163" i="32"/>
  <c r="U167" i="32"/>
  <c r="U171" i="32"/>
  <c r="W9" i="32"/>
  <c r="W63" i="32"/>
  <c r="U79" i="32"/>
  <c r="W94" i="32"/>
  <c r="X94" i="32" s="1"/>
  <c r="W168" i="32"/>
  <c r="U19" i="32"/>
  <c r="U23" i="32"/>
  <c r="U27" i="32"/>
  <c r="U31" i="32"/>
  <c r="U35" i="32"/>
  <c r="U39" i="32"/>
  <c r="U43" i="32"/>
  <c r="U47" i="32"/>
  <c r="U51" i="32"/>
  <c r="W54" i="32"/>
  <c r="U70" i="32"/>
  <c r="W73" i="32"/>
  <c r="W77" i="32"/>
  <c r="X77" i="32" s="1"/>
  <c r="W81" i="32"/>
  <c r="W85" i="32"/>
  <c r="X85" i="32" s="1"/>
  <c r="U109" i="32"/>
  <c r="U113" i="32"/>
  <c r="U117" i="32"/>
  <c r="U121" i="32"/>
  <c r="U125" i="32"/>
  <c r="W128" i="32"/>
  <c r="W132" i="32"/>
  <c r="U148" i="32"/>
  <c r="U152" i="32"/>
  <c r="W155" i="32"/>
  <c r="X155" i="32" s="1"/>
  <c r="W159" i="32"/>
  <c r="W55" i="32"/>
  <c r="X55" i="32" s="1"/>
  <c r="U83" i="32"/>
  <c r="W102" i="32"/>
  <c r="U130" i="32"/>
  <c r="W137" i="32"/>
  <c r="U157" i="32"/>
  <c r="W8" i="32"/>
  <c r="U12" i="32"/>
  <c r="W15" i="32"/>
  <c r="W58" i="32"/>
  <c r="X58" i="32" s="1"/>
  <c r="W62" i="32"/>
  <c r="W66" i="32"/>
  <c r="X66" i="32" s="1"/>
  <c r="U74" i="32"/>
  <c r="U78" i="32"/>
  <c r="U82" i="32"/>
  <c r="U86" i="32"/>
  <c r="W89" i="32"/>
  <c r="W93" i="32"/>
  <c r="W97" i="32"/>
  <c r="W101" i="32"/>
  <c r="X101" i="32" s="1"/>
  <c r="W105" i="32"/>
  <c r="U129" i="32"/>
  <c r="U133" i="32"/>
  <c r="W136" i="32"/>
  <c r="X136" i="32" s="1"/>
  <c r="W140" i="32"/>
  <c r="W144" i="32"/>
  <c r="U156" i="32"/>
  <c r="U160" i="32"/>
  <c r="W163" i="32"/>
  <c r="W167" i="32"/>
  <c r="W171" i="32"/>
  <c r="U9" i="32"/>
  <c r="W19" i="32"/>
  <c r="W23" i="32"/>
  <c r="X23" i="32" s="1"/>
  <c r="W27" i="32"/>
  <c r="W31" i="32"/>
  <c r="X31" i="32" s="1"/>
  <c r="W35" i="32"/>
  <c r="W39" i="32"/>
  <c r="W43" i="32"/>
  <c r="W47" i="32"/>
  <c r="W51" i="32"/>
  <c r="U55" i="32"/>
  <c r="U59" i="32"/>
  <c r="U63" i="32"/>
  <c r="U67" i="32"/>
  <c r="W70" i="32"/>
  <c r="X70" i="32" s="1"/>
  <c r="U90" i="32"/>
  <c r="U94" i="32"/>
  <c r="U98" i="32"/>
  <c r="U102" i="32"/>
  <c r="U106" i="32"/>
  <c r="W109" i="32"/>
  <c r="W113" i="32"/>
  <c r="W117" i="32"/>
  <c r="W121" i="32"/>
  <c r="W125" i="32"/>
  <c r="X125" i="32" s="1"/>
  <c r="U137" i="32"/>
  <c r="U141" i="32"/>
  <c r="W148" i="32"/>
  <c r="W152" i="32"/>
  <c r="X152" i="32" s="1"/>
  <c r="U164" i="32"/>
  <c r="U168" i="32"/>
  <c r="W12" i="32"/>
  <c r="U16" i="32"/>
  <c r="U20" i="32"/>
  <c r="U24" i="32"/>
  <c r="U28" i="32"/>
  <c r="U32" i="32"/>
  <c r="U36" i="32"/>
  <c r="U40" i="32"/>
  <c r="U44" i="32"/>
  <c r="U48" i="32"/>
  <c r="U71" i="32"/>
  <c r="W74" i="32"/>
  <c r="W78" i="32"/>
  <c r="W82" i="32"/>
  <c r="W86" i="32"/>
  <c r="U110" i="32"/>
  <c r="U114" i="32"/>
  <c r="U118" i="32"/>
  <c r="U122" i="32"/>
  <c r="U126" i="32"/>
  <c r="W129" i="32"/>
  <c r="W133" i="32"/>
  <c r="X133" i="32" s="1"/>
  <c r="U145" i="32"/>
  <c r="U149" i="32"/>
  <c r="U153" i="32"/>
  <c r="W156" i="32"/>
  <c r="W160" i="32"/>
  <c r="U172" i="32"/>
  <c r="AJ31" i="31"/>
  <c r="AL31" i="31"/>
  <c r="AL43" i="31"/>
  <c r="AJ43" i="31"/>
  <c r="AL36" i="31"/>
  <c r="AJ36" i="31"/>
  <c r="AL48" i="31"/>
  <c r="AJ48" i="31"/>
  <c r="AL30" i="31"/>
  <c r="AJ30" i="31"/>
  <c r="AL35" i="31"/>
  <c r="AJ35" i="31"/>
  <c r="AL47" i="31"/>
  <c r="AJ47" i="31"/>
  <c r="AJ52" i="31"/>
  <c r="AL52" i="31"/>
  <c r="AL59" i="31"/>
  <c r="AJ59" i="31"/>
  <c r="AJ42" i="31"/>
  <c r="AL42" i="31"/>
  <c r="AJ54" i="31"/>
  <c r="AL54" i="31"/>
  <c r="AL29" i="31"/>
  <c r="AJ29" i="31"/>
  <c r="AL38" i="31"/>
  <c r="AL50" i="31"/>
  <c r="AJ39" i="31"/>
  <c r="AL39" i="31"/>
  <c r="AL41" i="31"/>
  <c r="AJ41" i="31"/>
  <c r="AL34" i="31"/>
  <c r="AJ34" i="31"/>
  <c r="AL46" i="31"/>
  <c r="AJ46" i="31"/>
  <c r="AL58" i="31"/>
  <c r="AJ58" i="31"/>
  <c r="AL49" i="31"/>
  <c r="AJ49" i="31"/>
  <c r="AM38" i="31"/>
  <c r="AM50" i="31"/>
  <c r="AN50" i="31" s="1"/>
  <c r="AH55" i="31"/>
  <c r="AI55" i="31" s="1"/>
  <c r="AE58" i="31"/>
  <c r="AN58" i="31" s="1"/>
  <c r="AM31" i="31"/>
  <c r="AE39" i="31"/>
  <c r="AD40" i="31"/>
  <c r="AM43" i="31"/>
  <c r="AE51" i="31"/>
  <c r="AD52" i="31"/>
  <c r="AM55" i="31"/>
  <c r="AN55" i="31" s="1"/>
  <c r="W20" i="31"/>
  <c r="AD29" i="31"/>
  <c r="AM32" i="31"/>
  <c r="AL33" i="31"/>
  <c r="AE40" i="31"/>
  <c r="AD41" i="31"/>
  <c r="AM44" i="31"/>
  <c r="AL45" i="31"/>
  <c r="AE52" i="31"/>
  <c r="AD53" i="31"/>
  <c r="AM56" i="31"/>
  <c r="AL57" i="31"/>
  <c r="AN38" i="31"/>
  <c r="W5" i="31"/>
  <c r="AE29" i="31"/>
  <c r="AD30" i="31"/>
  <c r="AM33" i="31"/>
  <c r="AE41" i="31"/>
  <c r="AD42" i="31"/>
  <c r="AM45" i="31"/>
  <c r="AE53" i="31"/>
  <c r="AD54" i="31"/>
  <c r="AD39" i="31"/>
  <c r="AE30" i="31"/>
  <c r="AD31" i="31"/>
  <c r="AN31" i="31" s="1"/>
  <c r="AM34" i="31"/>
  <c r="AN34" i="31" s="1"/>
  <c r="AE42" i="31"/>
  <c r="AD43" i="31"/>
  <c r="AM46" i="31"/>
  <c r="AH51" i="31"/>
  <c r="AI51" i="31" s="1"/>
  <c r="AL51" i="31" s="1"/>
  <c r="AE54" i="31"/>
  <c r="AD55" i="31"/>
  <c r="AD32" i="31"/>
  <c r="AJ38" i="31"/>
  <c r="AH40" i="31"/>
  <c r="AI40" i="31" s="1"/>
  <c r="AL40" i="31" s="1"/>
  <c r="AD44" i="31"/>
  <c r="AJ50" i="31"/>
  <c r="AD56" i="31"/>
  <c r="AN48" i="31"/>
  <c r="AN37" i="31"/>
  <c r="AD33" i="31"/>
  <c r="AN33" i="31" s="1"/>
  <c r="AD45" i="31"/>
  <c r="AD57" i="31"/>
  <c r="AM51" i="31"/>
  <c r="AM42" i="31"/>
  <c r="U10" i="31"/>
  <c r="U6" i="31"/>
  <c r="W10" i="31"/>
  <c r="U14" i="31"/>
  <c r="W24" i="31"/>
  <c r="W28" i="31"/>
  <c r="W32" i="31"/>
  <c r="W36" i="31"/>
  <c r="W40" i="31"/>
  <c r="W44" i="31"/>
  <c r="W48" i="31"/>
  <c r="W52" i="31"/>
  <c r="W56" i="31"/>
  <c r="U11" i="31"/>
  <c r="W17" i="31"/>
  <c r="U21" i="31"/>
  <c r="U25" i="31"/>
  <c r="U29" i="31"/>
  <c r="U33" i="31"/>
  <c r="U37" i="31"/>
  <c r="U41" i="31"/>
  <c r="U45" i="31"/>
  <c r="U49" i="31"/>
  <c r="U53" i="31"/>
  <c r="U57" i="31"/>
  <c r="W6" i="31"/>
  <c r="U7" i="31"/>
  <c r="W14" i="31"/>
  <c r="U18" i="31"/>
  <c r="W21" i="31"/>
  <c r="W25" i="31"/>
  <c r="W29" i="31"/>
  <c r="W33" i="31"/>
  <c r="W37" i="31"/>
  <c r="W41" i="31"/>
  <c r="W45" i="31"/>
  <c r="W49" i="31"/>
  <c r="W53" i="31"/>
  <c r="W57" i="31"/>
  <c r="W7" i="31"/>
  <c r="U8" i="31"/>
  <c r="U15" i="31"/>
  <c r="U22" i="31"/>
  <c r="U26" i="31"/>
  <c r="U30" i="31"/>
  <c r="U34" i="31"/>
  <c r="U38" i="31"/>
  <c r="U42" i="31"/>
  <c r="U46" i="31"/>
  <c r="U50" i="31"/>
  <c r="U54" i="31"/>
  <c r="U58" i="31"/>
  <c r="U12" i="31"/>
  <c r="W18" i="31"/>
  <c r="W8" i="31"/>
  <c r="U9" i="31"/>
  <c r="W15" i="31"/>
  <c r="U19" i="31"/>
  <c r="W22" i="31"/>
  <c r="W26" i="31"/>
  <c r="W30" i="31"/>
  <c r="W34" i="31"/>
  <c r="W38" i="31"/>
  <c r="W42" i="31"/>
  <c r="W46" i="31"/>
  <c r="W50" i="31"/>
  <c r="W54" i="31"/>
  <c r="W58" i="31"/>
  <c r="W12" i="31"/>
  <c r="U23" i="31"/>
  <c r="U27" i="31"/>
  <c r="U31" i="31"/>
  <c r="U35" i="31"/>
  <c r="U39" i="31"/>
  <c r="U43" i="31"/>
  <c r="U47" i="31"/>
  <c r="U51" i="31"/>
  <c r="U55" i="31"/>
  <c r="U61" i="31"/>
  <c r="W63" i="31"/>
  <c r="U73" i="31"/>
  <c r="W75" i="31"/>
  <c r="U85" i="31"/>
  <c r="W87" i="31"/>
  <c r="W64" i="31"/>
  <c r="U60" i="31"/>
  <c r="W62" i="31"/>
  <c r="U72" i="31"/>
  <c r="W74" i="31"/>
  <c r="U84" i="31"/>
  <c r="W86" i="31"/>
  <c r="W61" i="31"/>
  <c r="U71" i="31"/>
  <c r="W73" i="31"/>
  <c r="U83" i="31"/>
  <c r="W85" i="31"/>
  <c r="W60" i="31"/>
  <c r="U70" i="31"/>
  <c r="W72" i="31"/>
  <c r="U82" i="31"/>
  <c r="W84" i="31"/>
  <c r="U69" i="31"/>
  <c r="W71" i="31"/>
  <c r="U81" i="31"/>
  <c r="W83" i="31"/>
  <c r="U68" i="31"/>
  <c r="W70" i="31"/>
  <c r="U80" i="31"/>
  <c r="W82" i="31"/>
  <c r="U62" i="31"/>
  <c r="U67" i="31"/>
  <c r="W69" i="31"/>
  <c r="U79" i="31"/>
  <c r="W81" i="31"/>
  <c r="U66" i="31"/>
  <c r="W68" i="31"/>
  <c r="U78" i="31"/>
  <c r="W80" i="31"/>
  <c r="U65" i="31"/>
  <c r="W67" i="31"/>
  <c r="U77" i="31"/>
  <c r="W79" i="31"/>
  <c r="U89" i="31"/>
  <c r="U64" i="31"/>
  <c r="W66" i="31"/>
  <c r="U76" i="31"/>
  <c r="W78" i="31"/>
  <c r="U88" i="31"/>
  <c r="W76" i="31"/>
  <c r="U86" i="31"/>
  <c r="W88" i="31"/>
  <c r="U63" i="31"/>
  <c r="W65" i="31"/>
  <c r="U75" i="31"/>
  <c r="W77" i="31"/>
  <c r="U87" i="31"/>
  <c r="W89" i="31"/>
  <c r="U74" i="31"/>
  <c r="U13" i="31"/>
  <c r="U16" i="31"/>
  <c r="W19" i="31"/>
  <c r="U5" i="31"/>
  <c r="U20" i="31"/>
  <c r="W23" i="31"/>
  <c r="W27" i="31"/>
  <c r="W31" i="31"/>
  <c r="W35" i="31"/>
  <c r="W39" i="31"/>
  <c r="W43" i="31"/>
  <c r="W47" i="31"/>
  <c r="W51" i="31"/>
  <c r="W55" i="31"/>
  <c r="W59" i="31"/>
  <c r="W16" i="31"/>
  <c r="U24" i="31"/>
  <c r="U28" i="31"/>
  <c r="U32" i="31"/>
  <c r="U36" i="31"/>
  <c r="U40" i="31"/>
  <c r="U44" i="31"/>
  <c r="U48" i="31"/>
  <c r="U52" i="31"/>
  <c r="U56" i="31"/>
  <c r="AL20" i="30"/>
  <c r="AJ20" i="30"/>
  <c r="AL21" i="30"/>
  <c r="AJ21" i="30"/>
  <c r="AL24" i="30"/>
  <c r="AJ23" i="30"/>
  <c r="AL22" i="30"/>
  <c r="AJ22" i="30"/>
  <c r="AM20" i="30"/>
  <c r="AD20" i="30"/>
  <c r="U21" i="30"/>
  <c r="AM21" i="30"/>
  <c r="U15" i="30"/>
  <c r="AE20" i="30"/>
  <c r="AJ24" i="30"/>
  <c r="AD21" i="30"/>
  <c r="AM23" i="30"/>
  <c r="AN23" i="30" s="1"/>
  <c r="W5" i="30"/>
  <c r="AE21" i="30"/>
  <c r="AM24" i="30"/>
  <c r="AN24" i="30" s="1"/>
  <c r="W17" i="30"/>
  <c r="AD22" i="30"/>
  <c r="AN22" i="30" s="1"/>
  <c r="W6" i="30"/>
  <c r="U7" i="30"/>
  <c r="U12" i="30"/>
  <c r="W7" i="30"/>
  <c r="U8" i="30"/>
  <c r="W18" i="30"/>
  <c r="W15" i="30"/>
  <c r="U19" i="30"/>
  <c r="U26" i="30"/>
  <c r="U25" i="30"/>
  <c r="W26" i="30"/>
  <c r="X26" i="30" s="1"/>
  <c r="W25" i="30"/>
  <c r="X25" i="30" s="1"/>
  <c r="W12" i="30"/>
  <c r="U23" i="30"/>
  <c r="U5" i="30"/>
  <c r="U13" i="30"/>
  <c r="U16" i="30"/>
  <c r="W19" i="30"/>
  <c r="X19" i="30" s="1"/>
  <c r="U10" i="30"/>
  <c r="U20" i="30"/>
  <c r="W23" i="30"/>
  <c r="X23" i="30" s="1"/>
  <c r="W16" i="30"/>
  <c r="U24" i="30"/>
  <c r="U6" i="30"/>
  <c r="W10" i="30"/>
  <c r="U17" i="30"/>
  <c r="W20" i="30"/>
  <c r="U11" i="30"/>
  <c r="U14" i="30"/>
  <c r="W24" i="30"/>
  <c r="W11" i="30"/>
  <c r="W14" i="30"/>
  <c r="U18" i="30"/>
  <c r="W21" i="30"/>
  <c r="AJ73" i="29"/>
  <c r="AL73" i="29"/>
  <c r="AJ48" i="29"/>
  <c r="AJ61" i="29"/>
  <c r="AL61" i="29"/>
  <c r="AL58" i="29"/>
  <c r="AL75" i="29"/>
  <c r="AJ75" i="29"/>
  <c r="AL55" i="29"/>
  <c r="AJ55" i="29"/>
  <c r="AL63" i="29"/>
  <c r="AJ63" i="29"/>
  <c r="AL57" i="29"/>
  <c r="AJ57" i="29"/>
  <c r="AL49" i="29"/>
  <c r="AJ49" i="29"/>
  <c r="AL67" i="29"/>
  <c r="AJ67" i="29"/>
  <c r="AL69" i="29"/>
  <c r="AJ69" i="29"/>
  <c r="AL81" i="29"/>
  <c r="AJ81" i="29"/>
  <c r="AJ59" i="29"/>
  <c r="AL59" i="29"/>
  <c r="AJ71" i="29"/>
  <c r="AL71" i="29"/>
  <c r="AL74" i="29"/>
  <c r="AL51" i="29"/>
  <c r="AJ51" i="29"/>
  <c r="AL62" i="29"/>
  <c r="AJ83" i="29"/>
  <c r="AL83" i="29"/>
  <c r="AN67" i="29"/>
  <c r="AL48" i="29"/>
  <c r="AJ50" i="29"/>
  <c r="AH52" i="29"/>
  <c r="AI52" i="29" s="1"/>
  <c r="AJ52" i="29" s="1"/>
  <c r="AD56" i="29"/>
  <c r="AL60" i="29"/>
  <c r="AJ62" i="29"/>
  <c r="AH64" i="29"/>
  <c r="AI64" i="29" s="1"/>
  <c r="AL64" i="29" s="1"/>
  <c r="AD68" i="29"/>
  <c r="AL72" i="29"/>
  <c r="AJ74" i="29"/>
  <c r="AH76" i="29"/>
  <c r="AI76" i="29" s="1"/>
  <c r="AL76" i="29" s="1"/>
  <c r="AD80" i="29"/>
  <c r="W8" i="29"/>
  <c r="W13" i="29"/>
  <c r="AM48" i="29"/>
  <c r="AH53" i="29"/>
  <c r="AI53" i="29" s="1"/>
  <c r="AL53" i="29" s="1"/>
  <c r="AE56" i="29"/>
  <c r="AD57" i="29"/>
  <c r="AN57" i="29" s="1"/>
  <c r="AH65" i="29"/>
  <c r="AI65" i="29" s="1"/>
  <c r="AJ65" i="29" s="1"/>
  <c r="AE68" i="29"/>
  <c r="AN68" i="29" s="1"/>
  <c r="AD69" i="29"/>
  <c r="AM72" i="29"/>
  <c r="AH77" i="29"/>
  <c r="AI77" i="29" s="1"/>
  <c r="AL77" i="29" s="1"/>
  <c r="AE80" i="29"/>
  <c r="AD81" i="29"/>
  <c r="AH54" i="29"/>
  <c r="AI54" i="29" s="1"/>
  <c r="AL54" i="29" s="1"/>
  <c r="AD58" i="29"/>
  <c r="AH66" i="29"/>
  <c r="AI66" i="29" s="1"/>
  <c r="AL66" i="29" s="1"/>
  <c r="AE69" i="29"/>
  <c r="AD70" i="29"/>
  <c r="AJ76" i="29"/>
  <c r="AH78" i="29"/>
  <c r="AI78" i="29" s="1"/>
  <c r="AJ78" i="29" s="1"/>
  <c r="AE81" i="29"/>
  <c r="AD82" i="29"/>
  <c r="AM50" i="29"/>
  <c r="AE58" i="29"/>
  <c r="AE70" i="29"/>
  <c r="AM74" i="29"/>
  <c r="AE82" i="29"/>
  <c r="AD48" i="29"/>
  <c r="AD60" i="29"/>
  <c r="AM63" i="29"/>
  <c r="AN63" i="29" s="1"/>
  <c r="AH68" i="29"/>
  <c r="AI68" i="29" s="1"/>
  <c r="AJ68" i="29" s="1"/>
  <c r="AD72" i="29"/>
  <c r="AM75" i="29"/>
  <c r="AH80" i="29"/>
  <c r="AI80" i="29" s="1"/>
  <c r="AL80" i="29" s="1"/>
  <c r="AN49" i="29"/>
  <c r="AN61" i="29"/>
  <c r="AM64" i="29"/>
  <c r="AN73" i="29"/>
  <c r="AM76" i="29"/>
  <c r="AM70" i="29"/>
  <c r="U5" i="29"/>
  <c r="AD50" i="29"/>
  <c r="AJ56" i="29"/>
  <c r="AD62" i="29"/>
  <c r="AM65" i="29"/>
  <c r="AD74" i="29"/>
  <c r="AM66" i="29"/>
  <c r="AN66" i="29" s="1"/>
  <c r="AN75" i="29"/>
  <c r="W11" i="29"/>
  <c r="AD52" i="29"/>
  <c r="AJ58" i="29"/>
  <c r="AD64" i="29"/>
  <c r="AJ70" i="29"/>
  <c r="AD76" i="29"/>
  <c r="AJ82" i="29"/>
  <c r="U12" i="29"/>
  <c r="U19" i="29"/>
  <c r="U23" i="29"/>
  <c r="U27" i="29"/>
  <c r="U31" i="29"/>
  <c r="U35" i="29"/>
  <c r="U39" i="29"/>
  <c r="U43" i="29"/>
  <c r="U47" i="29"/>
  <c r="U51" i="29"/>
  <c r="U55" i="29"/>
  <c r="U59" i="29"/>
  <c r="U63" i="29"/>
  <c r="U67" i="29"/>
  <c r="U71" i="29"/>
  <c r="U75" i="29"/>
  <c r="U79" i="29"/>
  <c r="U83" i="29"/>
  <c r="U9" i="29"/>
  <c r="W19" i="29"/>
  <c r="W23" i="29"/>
  <c r="X23" i="29" s="1"/>
  <c r="W27" i="29"/>
  <c r="W31" i="29"/>
  <c r="W35" i="29"/>
  <c r="X35" i="29" s="1"/>
  <c r="W39" i="29"/>
  <c r="W43" i="29"/>
  <c r="W47" i="29"/>
  <c r="W51" i="29"/>
  <c r="W55" i="29"/>
  <c r="W59" i="29"/>
  <c r="W63" i="29"/>
  <c r="W67" i="29"/>
  <c r="W71" i="29"/>
  <c r="X71" i="29" s="1"/>
  <c r="W75" i="29"/>
  <c r="W79" i="29"/>
  <c r="W83" i="29"/>
  <c r="X83" i="29" s="1"/>
  <c r="W5" i="29"/>
  <c r="W12" i="29"/>
  <c r="U16" i="29"/>
  <c r="U20" i="29"/>
  <c r="U24" i="29"/>
  <c r="U28" i="29"/>
  <c r="U32" i="29"/>
  <c r="U36" i="29"/>
  <c r="U40" i="29"/>
  <c r="U44" i="29"/>
  <c r="U48" i="29"/>
  <c r="U52" i="29"/>
  <c r="U56" i="29"/>
  <c r="U60" i="29"/>
  <c r="U64" i="29"/>
  <c r="U68" i="29"/>
  <c r="U72" i="29"/>
  <c r="U76" i="29"/>
  <c r="U85" i="29"/>
  <c r="W87" i="29"/>
  <c r="X87" i="29" s="1"/>
  <c r="U97" i="29"/>
  <c r="W99" i="29"/>
  <c r="X99" i="29" s="1"/>
  <c r="U89" i="29"/>
  <c r="U84" i="29"/>
  <c r="W86" i="29"/>
  <c r="X86" i="29" s="1"/>
  <c r="U96" i="29"/>
  <c r="W98" i="29"/>
  <c r="X98" i="29" s="1"/>
  <c r="W85" i="29"/>
  <c r="X85" i="29" s="1"/>
  <c r="U95" i="29"/>
  <c r="W97" i="29"/>
  <c r="X97" i="29" s="1"/>
  <c r="W84" i="29"/>
  <c r="X84" i="29" s="1"/>
  <c r="U94" i="29"/>
  <c r="W96" i="29"/>
  <c r="X96" i="29" s="1"/>
  <c r="U101" i="29"/>
  <c r="U93" i="29"/>
  <c r="W95" i="29"/>
  <c r="X95" i="29" s="1"/>
  <c r="U92" i="29"/>
  <c r="W94" i="29"/>
  <c r="X94" i="29" s="1"/>
  <c r="U91" i="29"/>
  <c r="W93" i="29"/>
  <c r="X93" i="29" s="1"/>
  <c r="U90" i="29"/>
  <c r="W92" i="29"/>
  <c r="X92" i="29" s="1"/>
  <c r="U88" i="29"/>
  <c r="W90" i="29"/>
  <c r="X90" i="29" s="1"/>
  <c r="U100" i="29"/>
  <c r="U87" i="29"/>
  <c r="W89" i="29"/>
  <c r="X89" i="29" s="1"/>
  <c r="U99" i="29"/>
  <c r="W101" i="29"/>
  <c r="X101" i="29" s="1"/>
  <c r="U86" i="29"/>
  <c r="W88" i="29"/>
  <c r="X88" i="29" s="1"/>
  <c r="U98" i="29"/>
  <c r="W100" i="29"/>
  <c r="X100" i="29" s="1"/>
  <c r="W91" i="29"/>
  <c r="X91" i="29" s="1"/>
  <c r="U13" i="29"/>
  <c r="U6" i="29"/>
  <c r="W16" i="29"/>
  <c r="X16" i="29" s="1"/>
  <c r="W20" i="29"/>
  <c r="W24" i="29"/>
  <c r="W28" i="29"/>
  <c r="X28" i="29" s="1"/>
  <c r="W32" i="29"/>
  <c r="W36" i="29"/>
  <c r="W40" i="29"/>
  <c r="W44" i="29"/>
  <c r="W48" i="29"/>
  <c r="W52" i="29"/>
  <c r="W56" i="29"/>
  <c r="W60" i="29"/>
  <c r="W64" i="29"/>
  <c r="X64" i="29" s="1"/>
  <c r="W68" i="29"/>
  <c r="W72" i="29"/>
  <c r="W76" i="29"/>
  <c r="X76" i="29" s="1"/>
  <c r="W80" i="29"/>
  <c r="U17" i="29"/>
  <c r="U21" i="29"/>
  <c r="U25" i="29"/>
  <c r="U29" i="29"/>
  <c r="U33" i="29"/>
  <c r="U37" i="29"/>
  <c r="U41" i="29"/>
  <c r="U45" i="29"/>
  <c r="U49" i="29"/>
  <c r="U53" i="29"/>
  <c r="U57" i="29"/>
  <c r="U61" i="29"/>
  <c r="U65" i="29"/>
  <c r="U69" i="29"/>
  <c r="U73" i="29"/>
  <c r="U77" i="29"/>
  <c r="U81" i="29"/>
  <c r="W6" i="29"/>
  <c r="X6" i="29" s="1"/>
  <c r="U7" i="29"/>
  <c r="W10" i="29"/>
  <c r="U14" i="29"/>
  <c r="W17" i="29"/>
  <c r="W21" i="29"/>
  <c r="W25" i="29"/>
  <c r="W29" i="29"/>
  <c r="W33" i="29"/>
  <c r="W37" i="29"/>
  <c r="W41" i="29"/>
  <c r="W45" i="29"/>
  <c r="W49" i="29"/>
  <c r="W53" i="29"/>
  <c r="X53" i="29" s="1"/>
  <c r="W57" i="29"/>
  <c r="W61" i="29"/>
  <c r="W65" i="29"/>
  <c r="W69" i="29"/>
  <c r="W73" i="29"/>
  <c r="W77" i="29"/>
  <c r="W81" i="29"/>
  <c r="U11" i="29"/>
  <c r="U18" i="29"/>
  <c r="U22" i="29"/>
  <c r="U26" i="29"/>
  <c r="U30" i="29"/>
  <c r="U34" i="29"/>
  <c r="U38" i="29"/>
  <c r="U42" i="29"/>
  <c r="U46" i="29"/>
  <c r="U50" i="29"/>
  <c r="U54" i="29"/>
  <c r="U58" i="29"/>
  <c r="U62" i="29"/>
  <c r="U66" i="29"/>
  <c r="U70" i="29"/>
  <c r="U74" i="29"/>
  <c r="U78" i="29"/>
  <c r="U82" i="29"/>
  <c r="W7" i="29"/>
  <c r="W14" i="29"/>
  <c r="U15" i="29"/>
  <c r="W18" i="29"/>
  <c r="W22" i="29"/>
  <c r="W26" i="29"/>
  <c r="W30" i="29"/>
  <c r="X30" i="29" s="1"/>
  <c r="W34" i="29"/>
  <c r="W38" i="29"/>
  <c r="X38" i="29" s="1"/>
  <c r="W42" i="29"/>
  <c r="W46" i="29"/>
  <c r="W50" i="29"/>
  <c r="W54" i="29"/>
  <c r="W58" i="29"/>
  <c r="W62" i="29"/>
  <c r="W66" i="29"/>
  <c r="W70" i="29"/>
  <c r="W74" i="29"/>
  <c r="W78" i="29"/>
  <c r="X78" i="29" s="1"/>
  <c r="W82" i="29"/>
  <c r="AL45" i="28"/>
  <c r="AL40" i="28"/>
  <c r="AJ40" i="28"/>
  <c r="AJ35" i="28"/>
  <c r="AL35" i="28"/>
  <c r="AL37" i="28"/>
  <c r="AL42" i="28"/>
  <c r="AJ42" i="28"/>
  <c r="AL44" i="28"/>
  <c r="AJ43" i="28"/>
  <c r="AL43" i="28"/>
  <c r="W13" i="28"/>
  <c r="C31" i="2"/>
  <c r="W22" i="28"/>
  <c r="AJ36" i="28"/>
  <c r="W41" i="28"/>
  <c r="AM42" i="28"/>
  <c r="AJ44" i="28"/>
  <c r="AH46" i="28"/>
  <c r="AI46" i="28" s="1"/>
  <c r="AL46" i="28" s="1"/>
  <c r="U10" i="28"/>
  <c r="W15" i="28"/>
  <c r="AM35" i="28"/>
  <c r="AJ37" i="28"/>
  <c r="AH38" i="28"/>
  <c r="AI38" i="28" s="1"/>
  <c r="AL38" i="28" s="1"/>
  <c r="AM43" i="28"/>
  <c r="AN43" i="28" s="1"/>
  <c r="AJ45" i="28"/>
  <c r="AH47" i="28"/>
  <c r="AI47" i="28" s="1"/>
  <c r="AL47" i="28" s="1"/>
  <c r="W9" i="28"/>
  <c r="AM41" i="28"/>
  <c r="AH39" i="28"/>
  <c r="AI39" i="28" s="1"/>
  <c r="AL39" i="28" s="1"/>
  <c r="AD41" i="28"/>
  <c r="AH48" i="28"/>
  <c r="AI48" i="28" s="1"/>
  <c r="AL48" i="28" s="1"/>
  <c r="AM36" i="28"/>
  <c r="AE41" i="28"/>
  <c r="AM44" i="28"/>
  <c r="W11" i="28"/>
  <c r="AM37" i="28"/>
  <c r="AM45" i="28"/>
  <c r="AM46" i="28"/>
  <c r="AN46" i="28" s="1"/>
  <c r="AN39" i="28"/>
  <c r="U12" i="28"/>
  <c r="U19" i="28"/>
  <c r="AD36" i="28"/>
  <c r="U38" i="28"/>
  <c r="AD44" i="28"/>
  <c r="AN38" i="28"/>
  <c r="AN47" i="28"/>
  <c r="AD37" i="28"/>
  <c r="AD45" i="28"/>
  <c r="W7" i="28"/>
  <c r="U8" i="28"/>
  <c r="W18" i="28"/>
  <c r="U26" i="28"/>
  <c r="U30" i="28"/>
  <c r="U34" i="28"/>
  <c r="W37" i="28"/>
  <c r="U45" i="28"/>
  <c r="W8" i="28"/>
  <c r="U9" i="28"/>
  <c r="W26" i="28"/>
  <c r="W30" i="28"/>
  <c r="X30" i="28" s="1"/>
  <c r="W34" i="28"/>
  <c r="U42" i="28"/>
  <c r="W45" i="28"/>
  <c r="W12" i="28"/>
  <c r="U16" i="28"/>
  <c r="W19" i="28"/>
  <c r="U23" i="28"/>
  <c r="U27" i="28"/>
  <c r="U31" i="28"/>
  <c r="U35" i="28"/>
  <c r="W38" i="28"/>
  <c r="U50" i="28"/>
  <c r="W52" i="28"/>
  <c r="X52" i="28" s="1"/>
  <c r="U62" i="28"/>
  <c r="U49" i="28"/>
  <c r="W51" i="28"/>
  <c r="X51" i="28" s="1"/>
  <c r="U61" i="28"/>
  <c r="W53" i="28"/>
  <c r="X53" i="28" s="1"/>
  <c r="W50" i="28"/>
  <c r="X50" i="28" s="1"/>
  <c r="U60" i="28"/>
  <c r="W62" i="28"/>
  <c r="X62" i="28" s="1"/>
  <c r="W49" i="28"/>
  <c r="X49" i="28" s="1"/>
  <c r="U59" i="28"/>
  <c r="W61" i="28"/>
  <c r="X61" i="28" s="1"/>
  <c r="U58" i="28"/>
  <c r="W60" i="28"/>
  <c r="X60" i="28" s="1"/>
  <c r="U57" i="28"/>
  <c r="W59" i="28"/>
  <c r="X59" i="28" s="1"/>
  <c r="U56" i="28"/>
  <c r="W58" i="28"/>
  <c r="X58" i="28" s="1"/>
  <c r="U55" i="28"/>
  <c r="W57" i="28"/>
  <c r="X57" i="28" s="1"/>
  <c r="U51" i="28"/>
  <c r="U54" i="28"/>
  <c r="W56" i="28"/>
  <c r="X56" i="28" s="1"/>
  <c r="U53" i="28"/>
  <c r="W55" i="28"/>
  <c r="X55" i="28" s="1"/>
  <c r="U52" i="28"/>
  <c r="W54" i="28"/>
  <c r="X54" i="28" s="1"/>
  <c r="U13" i="28"/>
  <c r="U20" i="28"/>
  <c r="U39" i="28"/>
  <c r="W42" i="28"/>
  <c r="U5" i="28"/>
  <c r="W16" i="28"/>
  <c r="W23" i="28"/>
  <c r="W27" i="28"/>
  <c r="W31" i="28"/>
  <c r="X31" i="28" s="1"/>
  <c r="W35" i="28"/>
  <c r="U43" i="28"/>
  <c r="W46" i="28"/>
  <c r="U17" i="28"/>
  <c r="W20" i="28"/>
  <c r="U24" i="28"/>
  <c r="U28" i="28"/>
  <c r="U32" i="28"/>
  <c r="W39" i="28"/>
  <c r="U47" i="28"/>
  <c r="W5" i="28"/>
  <c r="U36" i="28"/>
  <c r="U40" i="28"/>
  <c r="W43" i="28"/>
  <c r="U6" i="28"/>
  <c r="W10" i="28"/>
  <c r="U14" i="28"/>
  <c r="W17" i="28"/>
  <c r="X17" i="28" s="1"/>
  <c r="U21" i="28"/>
  <c r="W24" i="28"/>
  <c r="W28" i="28"/>
  <c r="W32" i="28"/>
  <c r="X32" i="28" s="1"/>
  <c r="W47" i="28"/>
  <c r="U11" i="28"/>
  <c r="U25" i="28"/>
  <c r="U29" i="28"/>
  <c r="U33" i="28"/>
  <c r="W36" i="28"/>
  <c r="W40" i="28"/>
  <c r="U44" i="28"/>
  <c r="U48" i="28"/>
  <c r="W6" i="28"/>
  <c r="U7" i="28"/>
  <c r="W14" i="28"/>
  <c r="X14" i="28" s="1"/>
  <c r="U18" i="28"/>
  <c r="W21" i="28"/>
  <c r="X21" i="28" s="1"/>
  <c r="U37" i="28"/>
  <c r="U15" i="28"/>
  <c r="U22" i="28"/>
  <c r="W25" i="28"/>
  <c r="W29" i="28"/>
  <c r="W33" i="28"/>
  <c r="U41" i="28"/>
  <c r="W44" i="28"/>
  <c r="W48" i="28"/>
  <c r="W12" i="27"/>
  <c r="W19" i="27"/>
  <c r="W23" i="27"/>
  <c r="U13" i="27"/>
  <c r="AD15" i="27"/>
  <c r="U16" i="27"/>
  <c r="U20" i="27"/>
  <c r="U24" i="27"/>
  <c r="AH14" i="27"/>
  <c r="AI14" i="27" s="1"/>
  <c r="AL14" i="27" s="1"/>
  <c r="AE15" i="27"/>
  <c r="W16" i="27"/>
  <c r="W20" i="27"/>
  <c r="W24" i="27"/>
  <c r="U17" i="27"/>
  <c r="U21" i="27"/>
  <c r="W5" i="27"/>
  <c r="U6" i="27"/>
  <c r="W10" i="27"/>
  <c r="AH15" i="27"/>
  <c r="AI15" i="27" s="1"/>
  <c r="AL15" i="27" s="1"/>
  <c r="U11" i="27"/>
  <c r="U14" i="27"/>
  <c r="W17" i="27"/>
  <c r="X17" i="27" s="1"/>
  <c r="W21" i="27"/>
  <c r="W6" i="27"/>
  <c r="U7" i="27"/>
  <c r="AM14" i="27"/>
  <c r="U18" i="27"/>
  <c r="U22" i="27"/>
  <c r="W7" i="27"/>
  <c r="X7" i="27" s="1"/>
  <c r="U8" i="27"/>
  <c r="U15" i="27"/>
  <c r="W18" i="27"/>
  <c r="W22" i="27"/>
  <c r="U12" i="27"/>
  <c r="AD14" i="27"/>
  <c r="U19" i="27"/>
  <c r="U23" i="27"/>
  <c r="W8" i="27"/>
  <c r="U9" i="27"/>
  <c r="AL14" i="26"/>
  <c r="AL16" i="26"/>
  <c r="AJ16" i="26"/>
  <c r="AH15" i="26"/>
  <c r="AI15" i="26" s="1"/>
  <c r="AL15" i="26" s="1"/>
  <c r="U17" i="26"/>
  <c r="W24" i="26"/>
  <c r="U14" i="26"/>
  <c r="AD16" i="26"/>
  <c r="U15" i="26"/>
  <c r="U22" i="26"/>
  <c r="AD14" i="26"/>
  <c r="AM15" i="26"/>
  <c r="W18" i="26"/>
  <c r="U12" i="26"/>
  <c r="AE14" i="26"/>
  <c r="W15" i="26"/>
  <c r="U19" i="26"/>
  <c r="W22" i="26"/>
  <c r="U23" i="26"/>
  <c r="AD15" i="26"/>
  <c r="W19" i="26"/>
  <c r="X19" i="26" s="1"/>
  <c r="U13" i="26"/>
  <c r="U16" i="26"/>
  <c r="U20" i="26"/>
  <c r="W23" i="26"/>
  <c r="AL23" i="24"/>
  <c r="AJ23" i="24"/>
  <c r="AJ19" i="24"/>
  <c r="AL19" i="24"/>
  <c r="AL28" i="24"/>
  <c r="AJ28" i="24"/>
  <c r="AL26" i="24"/>
  <c r="AJ26" i="24"/>
  <c r="AJ17" i="24"/>
  <c r="AL17" i="24"/>
  <c r="AL27" i="24"/>
  <c r="AJ27" i="24"/>
  <c r="AL21" i="24"/>
  <c r="AJ21" i="24"/>
  <c r="AL25" i="24"/>
  <c r="AJ25" i="24"/>
  <c r="AL18" i="24"/>
  <c r="AJ18" i="24"/>
  <c r="AL24" i="24"/>
  <c r="AE23" i="24"/>
  <c r="AN23" i="24" s="1"/>
  <c r="AD26" i="24"/>
  <c r="U27" i="24"/>
  <c r="U10" i="24"/>
  <c r="AE26" i="24"/>
  <c r="AM28" i="24"/>
  <c r="AD17" i="24"/>
  <c r="AJ22" i="24"/>
  <c r="AE17" i="24"/>
  <c r="AD27" i="24"/>
  <c r="AE27" i="24"/>
  <c r="AE18" i="24"/>
  <c r="AN18" i="24" s="1"/>
  <c r="AD19" i="24"/>
  <c r="AE28" i="24"/>
  <c r="W9" i="24"/>
  <c r="X9" i="24" s="1"/>
  <c r="AD20" i="24"/>
  <c r="AN20" i="24" s="1"/>
  <c r="H30" i="68"/>
  <c r="C27" i="2" s="1"/>
  <c r="W13" i="24"/>
  <c r="AD21" i="24"/>
  <c r="AN21" i="24" s="1"/>
  <c r="W12" i="24"/>
  <c r="U16" i="24"/>
  <c r="W19" i="24"/>
  <c r="X19" i="24" s="1"/>
  <c r="U30" i="24"/>
  <c r="W32" i="24"/>
  <c r="X32" i="24" s="1"/>
  <c r="U42" i="24"/>
  <c r="W44" i="24"/>
  <c r="X44" i="24" s="1"/>
  <c r="U54" i="24"/>
  <c r="W56" i="24"/>
  <c r="X56" i="24" s="1"/>
  <c r="U29" i="24"/>
  <c r="W31" i="24"/>
  <c r="X31" i="24" s="1"/>
  <c r="U41" i="24"/>
  <c r="W43" i="24"/>
  <c r="X43" i="24" s="1"/>
  <c r="U53" i="24"/>
  <c r="W55" i="24"/>
  <c r="X55" i="24" s="1"/>
  <c r="W45" i="24"/>
  <c r="X45" i="24" s="1"/>
  <c r="U55" i="24"/>
  <c r="W30" i="24"/>
  <c r="X30" i="24" s="1"/>
  <c r="U40" i="24"/>
  <c r="W42" i="24"/>
  <c r="X42" i="24" s="1"/>
  <c r="U52" i="24"/>
  <c r="W54" i="24"/>
  <c r="X54" i="24" s="1"/>
  <c r="U64" i="24"/>
  <c r="W29" i="24"/>
  <c r="X29" i="24" s="1"/>
  <c r="U39" i="24"/>
  <c r="W41" i="24"/>
  <c r="X41" i="24" s="1"/>
  <c r="U51" i="24"/>
  <c r="W53" i="24"/>
  <c r="X53" i="24" s="1"/>
  <c r="U63" i="24"/>
  <c r="U38" i="24"/>
  <c r="W40" i="24"/>
  <c r="X40" i="24" s="1"/>
  <c r="U50" i="24"/>
  <c r="W52" i="24"/>
  <c r="X52" i="24" s="1"/>
  <c r="U62" i="24"/>
  <c r="W64" i="24"/>
  <c r="X64" i="24" s="1"/>
  <c r="U37" i="24"/>
  <c r="W39" i="24"/>
  <c r="X39" i="24" s="1"/>
  <c r="U49" i="24"/>
  <c r="W51" i="24"/>
  <c r="X51" i="24" s="1"/>
  <c r="U61" i="24"/>
  <c r="W63" i="24"/>
  <c r="X63" i="24" s="1"/>
  <c r="W33" i="24"/>
  <c r="X33" i="24" s="1"/>
  <c r="U36" i="24"/>
  <c r="W38" i="24"/>
  <c r="X38" i="24" s="1"/>
  <c r="U48" i="24"/>
  <c r="W50" i="24"/>
  <c r="X50" i="24" s="1"/>
  <c r="U60" i="24"/>
  <c r="W62" i="24"/>
  <c r="X62" i="24" s="1"/>
  <c r="U35" i="24"/>
  <c r="W37" i="24"/>
  <c r="X37" i="24" s="1"/>
  <c r="U47" i="24"/>
  <c r="W49" i="24"/>
  <c r="X49" i="24" s="1"/>
  <c r="U59" i="24"/>
  <c r="W61" i="24"/>
  <c r="X61" i="24" s="1"/>
  <c r="U31" i="24"/>
  <c r="U34" i="24"/>
  <c r="W36" i="24"/>
  <c r="X36" i="24" s="1"/>
  <c r="U46" i="24"/>
  <c r="W48" i="24"/>
  <c r="X48" i="24" s="1"/>
  <c r="U58" i="24"/>
  <c r="W60" i="24"/>
  <c r="X60" i="24" s="1"/>
  <c r="W57" i="24"/>
  <c r="X57" i="24" s="1"/>
  <c r="U33" i="24"/>
  <c r="W35" i="24"/>
  <c r="X35" i="24" s="1"/>
  <c r="U45" i="24"/>
  <c r="W47" i="24"/>
  <c r="X47" i="24" s="1"/>
  <c r="U57" i="24"/>
  <c r="W59" i="24"/>
  <c r="X59" i="24" s="1"/>
  <c r="U43" i="24"/>
  <c r="U32" i="24"/>
  <c r="W34" i="24"/>
  <c r="X34" i="24" s="1"/>
  <c r="U44" i="24"/>
  <c r="W46" i="24"/>
  <c r="X46" i="24" s="1"/>
  <c r="U56" i="24"/>
  <c r="W58" i="24"/>
  <c r="X58" i="24" s="1"/>
  <c r="U13" i="24"/>
  <c r="U20" i="24"/>
  <c r="U24" i="24"/>
  <c r="W27" i="24"/>
  <c r="X27" i="24" s="1"/>
  <c r="U5" i="24"/>
  <c r="W16" i="24"/>
  <c r="U28" i="24"/>
  <c r="U17" i="24"/>
  <c r="W20" i="24"/>
  <c r="X20" i="24" s="1"/>
  <c r="W24" i="24"/>
  <c r="W5" i="24"/>
  <c r="X5" i="24" s="1"/>
  <c r="U21" i="24"/>
  <c r="U25" i="24"/>
  <c r="W28" i="24"/>
  <c r="U6" i="24"/>
  <c r="W10" i="24"/>
  <c r="X10" i="24" s="1"/>
  <c r="U14" i="24"/>
  <c r="W17" i="24"/>
  <c r="U11" i="24"/>
  <c r="W21" i="24"/>
  <c r="W25" i="24"/>
  <c r="X25" i="24" s="1"/>
  <c r="W6" i="24"/>
  <c r="U7" i="24"/>
  <c r="W14" i="24"/>
  <c r="U18" i="24"/>
  <c r="U22" i="24"/>
  <c r="U26" i="24"/>
  <c r="W11" i="24"/>
  <c r="X11" i="24" s="1"/>
  <c r="U15" i="24"/>
  <c r="W7" i="24"/>
  <c r="U8" i="24"/>
  <c r="W18" i="24"/>
  <c r="W22" i="24"/>
  <c r="X22" i="24" s="1"/>
  <c r="W26" i="24"/>
  <c r="U12" i="24"/>
  <c r="W15" i="24"/>
  <c r="X15" i="24" s="1"/>
  <c r="U19" i="24"/>
  <c r="U23" i="24"/>
  <c r="AD26" i="23"/>
  <c r="U20" i="23"/>
  <c r="AL26" i="23"/>
  <c r="AJ26" i="23"/>
  <c r="AL27" i="23"/>
  <c r="AJ27" i="23"/>
  <c r="W12" i="23"/>
  <c r="X12" i="23" s="1"/>
  <c r="AE26" i="23"/>
  <c r="W27" i="23"/>
  <c r="X27" i="23" s="1"/>
  <c r="W20" i="23"/>
  <c r="U5" i="23"/>
  <c r="AD27" i="23"/>
  <c r="AE27" i="23"/>
  <c r="AN27" i="23" s="1"/>
  <c r="U16" i="23"/>
  <c r="U24" i="23"/>
  <c r="W16" i="23"/>
  <c r="X16" i="23" s="1"/>
  <c r="W24" i="23"/>
  <c r="W8" i="23"/>
  <c r="U9" i="23"/>
  <c r="W19" i="23"/>
  <c r="U29" i="23"/>
  <c r="W31" i="23"/>
  <c r="X31" i="23" s="1"/>
  <c r="U41" i="23"/>
  <c r="W43" i="23"/>
  <c r="X43" i="23" s="1"/>
  <c r="U53" i="23"/>
  <c r="W55" i="23"/>
  <c r="X55" i="23" s="1"/>
  <c r="W56" i="23"/>
  <c r="X56" i="23" s="1"/>
  <c r="U28" i="23"/>
  <c r="W30" i="23"/>
  <c r="X30" i="23" s="1"/>
  <c r="U40" i="23"/>
  <c r="W42" i="23"/>
  <c r="X42" i="23" s="1"/>
  <c r="U52" i="23"/>
  <c r="W54" i="23"/>
  <c r="X54" i="23" s="1"/>
  <c r="W29" i="23"/>
  <c r="X29" i="23" s="1"/>
  <c r="U39" i="23"/>
  <c r="W41" i="23"/>
  <c r="X41" i="23" s="1"/>
  <c r="U51" i="23"/>
  <c r="W53" i="23"/>
  <c r="X53" i="23" s="1"/>
  <c r="W28" i="23"/>
  <c r="X28" i="23" s="1"/>
  <c r="U38" i="23"/>
  <c r="W40" i="23"/>
  <c r="X40" i="23" s="1"/>
  <c r="U50" i="23"/>
  <c r="W52" i="23"/>
  <c r="X52" i="23" s="1"/>
  <c r="W32" i="23"/>
  <c r="X32" i="23" s="1"/>
  <c r="U37" i="23"/>
  <c r="W39" i="23"/>
  <c r="X39" i="23" s="1"/>
  <c r="U49" i="23"/>
  <c r="W51" i="23"/>
  <c r="X51" i="23" s="1"/>
  <c r="U36" i="23"/>
  <c r="W38" i="23"/>
  <c r="X38" i="23" s="1"/>
  <c r="U48" i="23"/>
  <c r="W50" i="23"/>
  <c r="X50" i="23" s="1"/>
  <c r="W44" i="23"/>
  <c r="X44" i="23" s="1"/>
  <c r="U35" i="23"/>
  <c r="W37" i="23"/>
  <c r="X37" i="23" s="1"/>
  <c r="U47" i="23"/>
  <c r="W49" i="23"/>
  <c r="X49" i="23" s="1"/>
  <c r="U34" i="23"/>
  <c r="W36" i="23"/>
  <c r="X36" i="23" s="1"/>
  <c r="U46" i="23"/>
  <c r="W48" i="23"/>
  <c r="X48" i="23" s="1"/>
  <c r="U30" i="23"/>
  <c r="U42" i="23"/>
  <c r="U33" i="23"/>
  <c r="W35" i="23"/>
  <c r="X35" i="23" s="1"/>
  <c r="U45" i="23"/>
  <c r="W47" i="23"/>
  <c r="X47" i="23" s="1"/>
  <c r="U57" i="23"/>
  <c r="U32" i="23"/>
  <c r="W34" i="23"/>
  <c r="X34" i="23" s="1"/>
  <c r="U44" i="23"/>
  <c r="W46" i="23"/>
  <c r="X46" i="23" s="1"/>
  <c r="U56" i="23"/>
  <c r="U31" i="23"/>
  <c r="W33" i="23"/>
  <c r="X33" i="23" s="1"/>
  <c r="U43" i="23"/>
  <c r="W45" i="23"/>
  <c r="X45" i="23" s="1"/>
  <c r="U55" i="23"/>
  <c r="W57" i="23"/>
  <c r="X57" i="23" s="1"/>
  <c r="U54" i="23"/>
  <c r="U13" i="23"/>
  <c r="W5" i="23"/>
  <c r="U10" i="23"/>
  <c r="W13" i="23"/>
  <c r="U17" i="23"/>
  <c r="U21" i="23"/>
  <c r="U25" i="23"/>
  <c r="U6" i="23"/>
  <c r="W10" i="23"/>
  <c r="U14" i="23"/>
  <c r="W17" i="23"/>
  <c r="X17" i="23" s="1"/>
  <c r="W21" i="23"/>
  <c r="W25" i="23"/>
  <c r="X25" i="23" s="1"/>
  <c r="U11" i="23"/>
  <c r="U18" i="23"/>
  <c r="U22" i="23"/>
  <c r="U26" i="23"/>
  <c r="W6" i="23"/>
  <c r="U7" i="23"/>
  <c r="W14" i="23"/>
  <c r="X14" i="23" s="1"/>
  <c r="W11" i="23"/>
  <c r="U15" i="23"/>
  <c r="W18" i="23"/>
  <c r="X18" i="23" s="1"/>
  <c r="W22" i="23"/>
  <c r="W26" i="23"/>
  <c r="W7" i="23"/>
  <c r="U8" i="23"/>
  <c r="U19" i="23"/>
  <c r="U23" i="23"/>
  <c r="U12" i="23"/>
  <c r="W15" i="23"/>
  <c r="X15" i="23" s="1"/>
  <c r="U27" i="23"/>
  <c r="W7" i="70"/>
  <c r="X7" i="70" s="1"/>
  <c r="U8" i="70"/>
  <c r="U17" i="70"/>
  <c r="W20" i="70"/>
  <c r="AD16" i="70"/>
  <c r="W8" i="70"/>
  <c r="X8" i="70" s="1"/>
  <c r="U9" i="70"/>
  <c r="AH15" i="70"/>
  <c r="AI15" i="70" s="1"/>
  <c r="AL15" i="70" s="1"/>
  <c r="AE16" i="70"/>
  <c r="W17" i="70"/>
  <c r="W12" i="70"/>
  <c r="X12" i="70" s="1"/>
  <c r="W21" i="70"/>
  <c r="U13" i="70"/>
  <c r="U18" i="70"/>
  <c r="U22" i="70"/>
  <c r="U5" i="70"/>
  <c r="AH16" i="70"/>
  <c r="AI16" i="70" s="1"/>
  <c r="AL16" i="70" s="1"/>
  <c r="U10" i="70"/>
  <c r="W13" i="70"/>
  <c r="X13" i="70" s="1"/>
  <c r="U15" i="70"/>
  <c r="W18" i="70"/>
  <c r="W22" i="70"/>
  <c r="W5" i="70"/>
  <c r="X5" i="70" s="1"/>
  <c r="U19" i="70"/>
  <c r="U11" i="70"/>
  <c r="U16" i="70"/>
  <c r="W19" i="70"/>
  <c r="X19" i="70" s="1"/>
  <c r="AN15" i="70"/>
  <c r="W12" i="69"/>
  <c r="U35" i="69"/>
  <c r="W62" i="69"/>
  <c r="W66" i="69"/>
  <c r="U13" i="69"/>
  <c r="U16" i="69"/>
  <c r="W19" i="69"/>
  <c r="W23" i="69"/>
  <c r="W27" i="69"/>
  <c r="X27" i="69" s="1"/>
  <c r="W31" i="69"/>
  <c r="U63" i="69"/>
  <c r="U67" i="69"/>
  <c r="U20" i="69"/>
  <c r="U24" i="69"/>
  <c r="U28" i="69"/>
  <c r="U32" i="69"/>
  <c r="W35" i="69"/>
  <c r="X35" i="69" s="1"/>
  <c r="W13" i="69"/>
  <c r="W16" i="69"/>
  <c r="U36" i="69"/>
  <c r="W63" i="69"/>
  <c r="X63" i="69" s="1"/>
  <c r="W67" i="69"/>
  <c r="U6" i="69"/>
  <c r="W20" i="69"/>
  <c r="X20" i="69" s="1"/>
  <c r="W24" i="69"/>
  <c r="W28" i="69"/>
  <c r="W32" i="69"/>
  <c r="U60" i="69"/>
  <c r="U64" i="69"/>
  <c r="J24" i="68"/>
  <c r="W6" i="69"/>
  <c r="U11" i="69"/>
  <c r="W60" i="69"/>
  <c r="X60" i="69" s="1"/>
  <c r="W64" i="69"/>
  <c r="L24" i="68"/>
  <c r="W25" i="69"/>
  <c r="X25" i="69" s="1"/>
  <c r="W29" i="69"/>
  <c r="W33" i="69"/>
  <c r="U61" i="69"/>
  <c r="U65" i="69"/>
  <c r="P24" i="68"/>
  <c r="U15" i="69"/>
  <c r="U18" i="69"/>
  <c r="U22" i="69"/>
  <c r="U26" i="69"/>
  <c r="U30" i="69"/>
  <c r="U34" i="69"/>
  <c r="W7" i="69"/>
  <c r="U8" i="69"/>
  <c r="W61" i="69"/>
  <c r="AJ63" i="22"/>
  <c r="AL63" i="22"/>
  <c r="AL55" i="22"/>
  <c r="AL59" i="22"/>
  <c r="AJ62" i="22"/>
  <c r="AL62" i="22"/>
  <c r="AL54" i="22"/>
  <c r="AL64" i="22"/>
  <c r="AL61" i="22"/>
  <c r="W5" i="22"/>
  <c r="X5" i="22" s="1"/>
  <c r="W20" i="22"/>
  <c r="AJ55" i="22"/>
  <c r="AH56" i="22"/>
  <c r="AI56" i="22" s="1"/>
  <c r="AL56" i="22" s="1"/>
  <c r="AD59" i="22"/>
  <c r="U61" i="22"/>
  <c r="AJ64" i="22"/>
  <c r="AH65" i="22"/>
  <c r="AI65" i="22" s="1"/>
  <c r="AL65" i="22" s="1"/>
  <c r="W68" i="22"/>
  <c r="X68" i="22" s="1"/>
  <c r="U6" i="22"/>
  <c r="W40" i="22"/>
  <c r="AH57" i="22"/>
  <c r="AI57" i="22" s="1"/>
  <c r="AJ57" i="22" s="1"/>
  <c r="AE59" i="22"/>
  <c r="AD60" i="22"/>
  <c r="AH66" i="22"/>
  <c r="AI66" i="22" s="1"/>
  <c r="AL66" i="22" s="1"/>
  <c r="W13" i="22"/>
  <c r="AE60" i="22"/>
  <c r="AH67" i="22"/>
  <c r="AI67" i="22" s="1"/>
  <c r="AL67" i="22" s="1"/>
  <c r="AD68" i="22"/>
  <c r="W24" i="22"/>
  <c r="X24" i="22" s="1"/>
  <c r="AM56" i="22"/>
  <c r="U65" i="22"/>
  <c r="AM65" i="22"/>
  <c r="AD55" i="22"/>
  <c r="W56" i="22"/>
  <c r="AM57" i="22"/>
  <c r="AJ59" i="22"/>
  <c r="AD64" i="22"/>
  <c r="AM66" i="22"/>
  <c r="AH68" i="22"/>
  <c r="AI68" i="22" s="1"/>
  <c r="AL68" i="22" s="1"/>
  <c r="U10" i="22"/>
  <c r="W16" i="22"/>
  <c r="X16" i="22" s="1"/>
  <c r="AE55" i="22"/>
  <c r="AE64" i="22"/>
  <c r="AM67" i="22"/>
  <c r="AN67" i="22" s="1"/>
  <c r="W36" i="22"/>
  <c r="AD56" i="22"/>
  <c r="AD65" i="22"/>
  <c r="AD57" i="22"/>
  <c r="AJ61" i="22"/>
  <c r="AD66" i="22"/>
  <c r="W28" i="22"/>
  <c r="U68" i="22"/>
  <c r="W48" i="22"/>
  <c r="AN58" i="22"/>
  <c r="W10" i="22"/>
  <c r="U14" i="22"/>
  <c r="W17" i="22"/>
  <c r="X17" i="22" s="1"/>
  <c r="W21" i="22"/>
  <c r="W25" i="22"/>
  <c r="X25" i="22" s="1"/>
  <c r="W29" i="22"/>
  <c r="W33" i="22"/>
  <c r="W37" i="22"/>
  <c r="X37" i="22" s="1"/>
  <c r="W41" i="22"/>
  <c r="X41" i="22" s="1"/>
  <c r="W45" i="22"/>
  <c r="X45" i="22" s="1"/>
  <c r="W49" i="22"/>
  <c r="X49" i="22" s="1"/>
  <c r="W53" i="22"/>
  <c r="X53" i="22" s="1"/>
  <c r="U54" i="22"/>
  <c r="W57" i="22"/>
  <c r="W6" i="22"/>
  <c r="U7" i="22"/>
  <c r="U11" i="22"/>
  <c r="U18" i="22"/>
  <c r="U22" i="22"/>
  <c r="U26" i="22"/>
  <c r="U30" i="22"/>
  <c r="U34" i="22"/>
  <c r="U38" i="22"/>
  <c r="U42" i="22"/>
  <c r="U46" i="22"/>
  <c r="U50" i="22"/>
  <c r="W61" i="22"/>
  <c r="X61" i="22" s="1"/>
  <c r="W65" i="22"/>
  <c r="X65" i="22" s="1"/>
  <c r="L41" i="68"/>
  <c r="W14" i="22"/>
  <c r="W54" i="22"/>
  <c r="X54" i="22" s="1"/>
  <c r="U58" i="22"/>
  <c r="U62" i="22"/>
  <c r="U66" i="22"/>
  <c r="U15" i="22"/>
  <c r="W18" i="22"/>
  <c r="X18" i="22" s="1"/>
  <c r="W22" i="22"/>
  <c r="W26" i="22"/>
  <c r="W30" i="22"/>
  <c r="W34" i="22"/>
  <c r="X34" i="22" s="1"/>
  <c r="W38" i="22"/>
  <c r="W42" i="22"/>
  <c r="X42" i="22" s="1"/>
  <c r="W46" i="22"/>
  <c r="W50" i="22"/>
  <c r="X50" i="22" s="1"/>
  <c r="P41" i="68"/>
  <c r="U8" i="22"/>
  <c r="U19" i="22"/>
  <c r="U23" i="22"/>
  <c r="U27" i="22"/>
  <c r="U31" i="22"/>
  <c r="U35" i="22"/>
  <c r="U39" i="22"/>
  <c r="U43" i="22"/>
  <c r="U47" i="22"/>
  <c r="U51" i="22"/>
  <c r="U55" i="22"/>
  <c r="W58" i="22"/>
  <c r="X58" i="22" s="1"/>
  <c r="W62" i="22"/>
  <c r="W66" i="22"/>
  <c r="X66" i="22" s="1"/>
  <c r="U12" i="22"/>
  <c r="W15" i="22"/>
  <c r="X15" i="22" s="1"/>
  <c r="U59" i="22"/>
  <c r="U63" i="22"/>
  <c r="U67" i="22"/>
  <c r="W8" i="22"/>
  <c r="U9" i="22"/>
  <c r="W19" i="22"/>
  <c r="X19" i="22" s="1"/>
  <c r="W23" i="22"/>
  <c r="X23" i="22" s="1"/>
  <c r="W27" i="22"/>
  <c r="W31" i="22"/>
  <c r="W35" i="22"/>
  <c r="W39" i="22"/>
  <c r="X39" i="22" s="1"/>
  <c r="W43" i="22"/>
  <c r="W47" i="22"/>
  <c r="W51" i="22"/>
  <c r="W55" i="22"/>
  <c r="X55" i="22" s="1"/>
  <c r="W12" i="22"/>
  <c r="X12" i="22" s="1"/>
  <c r="U16" i="22"/>
  <c r="U20" i="22"/>
  <c r="U24" i="22"/>
  <c r="U28" i="22"/>
  <c r="U32" i="22"/>
  <c r="U36" i="22"/>
  <c r="U40" i="22"/>
  <c r="U44" i="22"/>
  <c r="U48" i="22"/>
  <c r="U52" i="22"/>
  <c r="U56" i="22"/>
  <c r="W59" i="22"/>
  <c r="X59" i="22" s="1"/>
  <c r="W63" i="22"/>
  <c r="U70" i="22"/>
  <c r="W72" i="22"/>
  <c r="X72" i="22" s="1"/>
  <c r="U82" i="22"/>
  <c r="W84" i="22"/>
  <c r="X84" i="22" s="1"/>
  <c r="U69" i="22"/>
  <c r="W71" i="22"/>
  <c r="X71" i="22" s="1"/>
  <c r="U81" i="22"/>
  <c r="W83" i="22"/>
  <c r="X83" i="22" s="1"/>
  <c r="W85" i="22"/>
  <c r="X85" i="22" s="1"/>
  <c r="W70" i="22"/>
  <c r="X70" i="22" s="1"/>
  <c r="U80" i="22"/>
  <c r="W82" i="22"/>
  <c r="X82" i="22" s="1"/>
  <c r="W69" i="22"/>
  <c r="X69" i="22" s="1"/>
  <c r="U79" i="22"/>
  <c r="W81" i="22"/>
  <c r="X81" i="22" s="1"/>
  <c r="U78" i="22"/>
  <c r="W80" i="22"/>
  <c r="X80" i="22" s="1"/>
  <c r="W73" i="22"/>
  <c r="X73" i="22" s="1"/>
  <c r="U77" i="22"/>
  <c r="W79" i="22"/>
  <c r="X79" i="22" s="1"/>
  <c r="U76" i="22"/>
  <c r="W78" i="22"/>
  <c r="X78" i="22" s="1"/>
  <c r="U88" i="22"/>
  <c r="U75" i="22"/>
  <c r="W77" i="22"/>
  <c r="X77" i="22" s="1"/>
  <c r="U87" i="22"/>
  <c r="U83" i="22"/>
  <c r="U74" i="22"/>
  <c r="W76" i="22"/>
  <c r="X76" i="22" s="1"/>
  <c r="U86" i="22"/>
  <c r="W88" i="22"/>
  <c r="X88" i="22" s="1"/>
  <c r="U71" i="22"/>
  <c r="U73" i="22"/>
  <c r="W75" i="22"/>
  <c r="X75" i="22" s="1"/>
  <c r="U85" i="22"/>
  <c r="W87" i="22"/>
  <c r="X87" i="22" s="1"/>
  <c r="U72" i="22"/>
  <c r="W74" i="22"/>
  <c r="X74" i="22" s="1"/>
  <c r="U84" i="22"/>
  <c r="W86" i="22"/>
  <c r="X86" i="22" s="1"/>
  <c r="U13" i="22"/>
  <c r="U60" i="22"/>
  <c r="U64" i="22"/>
  <c r="U17" i="22"/>
  <c r="U21" i="22"/>
  <c r="U25" i="22"/>
  <c r="U29" i="22"/>
  <c r="U33" i="22"/>
  <c r="U37" i="22"/>
  <c r="U41" i="22"/>
  <c r="U45" i="22"/>
  <c r="U49" i="22"/>
  <c r="U53" i="22"/>
  <c r="U57" i="22"/>
  <c r="W60" i="22"/>
  <c r="W64" i="22"/>
  <c r="X64" i="22" s="1"/>
  <c r="AL11" i="21"/>
  <c r="AJ11" i="21"/>
  <c r="AL16" i="21"/>
  <c r="AJ16" i="21"/>
  <c r="AJ19" i="21"/>
  <c r="AJ15" i="21"/>
  <c r="AL15" i="21"/>
  <c r="AL21" i="21"/>
  <c r="AJ21" i="21"/>
  <c r="AL18" i="21"/>
  <c r="AJ18" i="21"/>
  <c r="AL12" i="21"/>
  <c r="AJ12" i="21"/>
  <c r="AL20" i="21"/>
  <c r="AJ20" i="21"/>
  <c r="AL17" i="21"/>
  <c r="AJ17" i="21"/>
  <c r="AD11" i="21"/>
  <c r="U12" i="21"/>
  <c r="AE14" i="21"/>
  <c r="AN14" i="21" s="1"/>
  <c r="W15" i="21"/>
  <c r="AD18" i="21"/>
  <c r="AN18" i="21" s="1"/>
  <c r="AM19" i="21"/>
  <c r="AD22" i="21"/>
  <c r="AN22" i="21" s="1"/>
  <c r="U23" i="21"/>
  <c r="AM12" i="21"/>
  <c r="AJ13" i="21"/>
  <c r="AD15" i="21"/>
  <c r="AN15" i="21" s="1"/>
  <c r="U16" i="21"/>
  <c r="U20" i="21"/>
  <c r="W23" i="21"/>
  <c r="U13" i="21"/>
  <c r="AH14" i="21"/>
  <c r="AI14" i="21" s="1"/>
  <c r="AL14" i="21" s="1"/>
  <c r="AM16" i="21"/>
  <c r="AD19" i="21"/>
  <c r="AM20" i="21"/>
  <c r="U24" i="21"/>
  <c r="AD12" i="21"/>
  <c r="AE19" i="21"/>
  <c r="W20" i="21"/>
  <c r="AH22" i="21"/>
  <c r="AI22" i="21" s="1"/>
  <c r="AL22" i="21" s="1"/>
  <c r="AE12" i="21"/>
  <c r="W13" i="21"/>
  <c r="U17" i="21"/>
  <c r="U21" i="21"/>
  <c r="W24" i="21"/>
  <c r="AD16" i="21"/>
  <c r="AD20" i="21"/>
  <c r="AD13" i="21"/>
  <c r="U14" i="21"/>
  <c r="W21" i="21"/>
  <c r="U18" i="21"/>
  <c r="AL80" i="20"/>
  <c r="AJ80" i="20"/>
  <c r="AL69" i="20"/>
  <c r="AJ69" i="20"/>
  <c r="AL59" i="20"/>
  <c r="AJ78" i="20"/>
  <c r="AL78" i="20"/>
  <c r="AJ66" i="20"/>
  <c r="AL68" i="20"/>
  <c r="AJ68" i="20"/>
  <c r="AL71" i="20"/>
  <c r="AL61" i="20"/>
  <c r="AJ61" i="20"/>
  <c r="AL73" i="20"/>
  <c r="AJ73" i="20"/>
  <c r="AL58" i="20"/>
  <c r="AJ58" i="20"/>
  <c r="AL63" i="20"/>
  <c r="AJ63" i="20"/>
  <c r="AJ79" i="20"/>
  <c r="AL77" i="20"/>
  <c r="AL65" i="20"/>
  <c r="AM65" i="20"/>
  <c r="AN74" i="20"/>
  <c r="AM77" i="20"/>
  <c r="AE62" i="20"/>
  <c r="AN62" i="20" s="1"/>
  <c r="AM66" i="20"/>
  <c r="AL67" i="20"/>
  <c r="AM78" i="20"/>
  <c r="AL79" i="20"/>
  <c r="AH60" i="20"/>
  <c r="AI60" i="20" s="1"/>
  <c r="AL60" i="20" s="1"/>
  <c r="AD64" i="20"/>
  <c r="AN64" i="20" s="1"/>
  <c r="AM67" i="20"/>
  <c r="AJ70" i="20"/>
  <c r="AH72" i="20"/>
  <c r="AI72" i="20" s="1"/>
  <c r="AJ72" i="20" s="1"/>
  <c r="AE75" i="20"/>
  <c r="AN75" i="20" s="1"/>
  <c r="AD76" i="20"/>
  <c r="AN76" i="20" s="1"/>
  <c r="AM79" i="20"/>
  <c r="AE65" i="20"/>
  <c r="AD66" i="20"/>
  <c r="AM69" i="20"/>
  <c r="AN69" i="20" s="1"/>
  <c r="AH74" i="20"/>
  <c r="AI74" i="20" s="1"/>
  <c r="AL74" i="20" s="1"/>
  <c r="AE77" i="20"/>
  <c r="AD78" i="20"/>
  <c r="AE66" i="20"/>
  <c r="AD67" i="20"/>
  <c r="AH75" i="20"/>
  <c r="AI75" i="20" s="1"/>
  <c r="AL75" i="20" s="1"/>
  <c r="AE78" i="20"/>
  <c r="AD79" i="20"/>
  <c r="W5" i="20"/>
  <c r="AJ62" i="20"/>
  <c r="AH64" i="20"/>
  <c r="AI64" i="20" s="1"/>
  <c r="AL64" i="20" s="1"/>
  <c r="AD68" i="20"/>
  <c r="AJ74" i="20"/>
  <c r="AH76" i="20"/>
  <c r="AI76" i="20" s="1"/>
  <c r="AL76" i="20" s="1"/>
  <c r="AE79" i="20"/>
  <c r="AD80" i="20"/>
  <c r="W13" i="20"/>
  <c r="AM60" i="20"/>
  <c r="AE68" i="20"/>
  <c r="AM72" i="20"/>
  <c r="AE80" i="20"/>
  <c r="W8" i="20"/>
  <c r="U9" i="20"/>
  <c r="AN58" i="20"/>
  <c r="AN70" i="20"/>
  <c r="AM73" i="20"/>
  <c r="AN59" i="20"/>
  <c r="AN71" i="20"/>
  <c r="AJ77" i="20"/>
  <c r="AD60" i="20"/>
  <c r="AD72" i="20"/>
  <c r="W15" i="20"/>
  <c r="W12" i="20"/>
  <c r="W19" i="20"/>
  <c r="W23" i="20"/>
  <c r="W27" i="20"/>
  <c r="X27" i="20" s="1"/>
  <c r="W31" i="20"/>
  <c r="W35" i="20"/>
  <c r="W39" i="20"/>
  <c r="W43" i="20"/>
  <c r="W47" i="20"/>
  <c r="W51" i="20"/>
  <c r="X51" i="20" s="1"/>
  <c r="W55" i="20"/>
  <c r="W59" i="20"/>
  <c r="X59" i="20" s="1"/>
  <c r="W63" i="20"/>
  <c r="W67" i="20"/>
  <c r="W71" i="20"/>
  <c r="W75" i="20"/>
  <c r="U82" i="20"/>
  <c r="W84" i="20"/>
  <c r="X84" i="20" s="1"/>
  <c r="U94" i="20"/>
  <c r="W96" i="20"/>
  <c r="X96" i="20" s="1"/>
  <c r="U106" i="20"/>
  <c r="W108" i="20"/>
  <c r="X108" i="20" s="1"/>
  <c r="U118" i="20"/>
  <c r="W120" i="20"/>
  <c r="X120" i="20" s="1"/>
  <c r="U130" i="20"/>
  <c r="W132" i="20"/>
  <c r="X132" i="20" s="1"/>
  <c r="W131" i="20"/>
  <c r="X131" i="20" s="1"/>
  <c r="U107" i="20"/>
  <c r="U81" i="20"/>
  <c r="W83" i="20"/>
  <c r="X83" i="20" s="1"/>
  <c r="U93" i="20"/>
  <c r="W95" i="20"/>
  <c r="X95" i="20" s="1"/>
  <c r="U105" i="20"/>
  <c r="W107" i="20"/>
  <c r="X107" i="20" s="1"/>
  <c r="U117" i="20"/>
  <c r="W119" i="20"/>
  <c r="X119" i="20" s="1"/>
  <c r="U129" i="20"/>
  <c r="U83" i="20"/>
  <c r="W97" i="20"/>
  <c r="X97" i="20" s="1"/>
  <c r="W82" i="20"/>
  <c r="X82" i="20" s="1"/>
  <c r="U92" i="20"/>
  <c r="W94" i="20"/>
  <c r="X94" i="20" s="1"/>
  <c r="U104" i="20"/>
  <c r="W106" i="20"/>
  <c r="X106" i="20" s="1"/>
  <c r="U116" i="20"/>
  <c r="W118" i="20"/>
  <c r="X118" i="20" s="1"/>
  <c r="U128" i="20"/>
  <c r="W130" i="20"/>
  <c r="X130" i="20" s="1"/>
  <c r="W85" i="20"/>
  <c r="X85" i="20" s="1"/>
  <c r="W109" i="20"/>
  <c r="X109" i="20" s="1"/>
  <c r="U131" i="20"/>
  <c r="W81" i="20"/>
  <c r="X81" i="20" s="1"/>
  <c r="U91" i="20"/>
  <c r="W93" i="20"/>
  <c r="X93" i="20" s="1"/>
  <c r="U103" i="20"/>
  <c r="W105" i="20"/>
  <c r="X105" i="20" s="1"/>
  <c r="U115" i="20"/>
  <c r="W117" i="20"/>
  <c r="X117" i="20" s="1"/>
  <c r="U127" i="20"/>
  <c r="W129" i="20"/>
  <c r="X129" i="20" s="1"/>
  <c r="U90" i="20"/>
  <c r="W92" i="20"/>
  <c r="X92" i="20" s="1"/>
  <c r="U102" i="20"/>
  <c r="W104" i="20"/>
  <c r="X104" i="20" s="1"/>
  <c r="U114" i="20"/>
  <c r="W116" i="20"/>
  <c r="X116" i="20" s="1"/>
  <c r="U126" i="20"/>
  <c r="W128" i="20"/>
  <c r="X128" i="20" s="1"/>
  <c r="U119" i="20"/>
  <c r="U89" i="20"/>
  <c r="W91" i="20"/>
  <c r="X91" i="20" s="1"/>
  <c r="U101" i="20"/>
  <c r="W103" i="20"/>
  <c r="X103" i="20" s="1"/>
  <c r="U113" i="20"/>
  <c r="W115" i="20"/>
  <c r="X115" i="20" s="1"/>
  <c r="U125" i="20"/>
  <c r="W127" i="20"/>
  <c r="X127" i="20" s="1"/>
  <c r="U122" i="20"/>
  <c r="W121" i="20"/>
  <c r="X121" i="20" s="1"/>
  <c r="U88" i="20"/>
  <c r="W90" i="20"/>
  <c r="X90" i="20" s="1"/>
  <c r="U100" i="20"/>
  <c r="W102" i="20"/>
  <c r="X102" i="20" s="1"/>
  <c r="U112" i="20"/>
  <c r="W114" i="20"/>
  <c r="X114" i="20" s="1"/>
  <c r="U124" i="20"/>
  <c r="W126" i="20"/>
  <c r="X126" i="20" s="1"/>
  <c r="U87" i="20"/>
  <c r="W89" i="20"/>
  <c r="X89" i="20" s="1"/>
  <c r="U99" i="20"/>
  <c r="W101" i="20"/>
  <c r="X101" i="20" s="1"/>
  <c r="U111" i="20"/>
  <c r="W113" i="20"/>
  <c r="X113" i="20" s="1"/>
  <c r="U123" i="20"/>
  <c r="W125" i="20"/>
  <c r="X125" i="20" s="1"/>
  <c r="W133" i="20"/>
  <c r="X133" i="20" s="1"/>
  <c r="U86" i="20"/>
  <c r="W88" i="20"/>
  <c r="X88" i="20" s="1"/>
  <c r="U98" i="20"/>
  <c r="W100" i="20"/>
  <c r="X100" i="20" s="1"/>
  <c r="U110" i="20"/>
  <c r="W112" i="20"/>
  <c r="X112" i="20" s="1"/>
  <c r="W124" i="20"/>
  <c r="X124" i="20" s="1"/>
  <c r="U85" i="20"/>
  <c r="W87" i="20"/>
  <c r="X87" i="20" s="1"/>
  <c r="U97" i="20"/>
  <c r="W99" i="20"/>
  <c r="X99" i="20" s="1"/>
  <c r="U109" i="20"/>
  <c r="W111" i="20"/>
  <c r="X111" i="20" s="1"/>
  <c r="U121" i="20"/>
  <c r="W123" i="20"/>
  <c r="X123" i="20" s="1"/>
  <c r="U133" i="20"/>
  <c r="U132" i="20"/>
  <c r="U95" i="20"/>
  <c r="U84" i="20"/>
  <c r="W86" i="20"/>
  <c r="X86" i="20" s="1"/>
  <c r="U96" i="20"/>
  <c r="W98" i="20"/>
  <c r="X98" i="20" s="1"/>
  <c r="U108" i="20"/>
  <c r="W110" i="20"/>
  <c r="X110" i="20" s="1"/>
  <c r="U120" i="20"/>
  <c r="W122" i="20"/>
  <c r="X122" i="20" s="1"/>
  <c r="U16" i="20"/>
  <c r="U20" i="20"/>
  <c r="U24" i="20"/>
  <c r="U28" i="20"/>
  <c r="U32" i="20"/>
  <c r="U36" i="20"/>
  <c r="U40" i="20"/>
  <c r="U44" i="20"/>
  <c r="U48" i="20"/>
  <c r="U52" i="20"/>
  <c r="U56" i="20"/>
  <c r="U60" i="20"/>
  <c r="U64" i="20"/>
  <c r="U68" i="20"/>
  <c r="U72" i="20"/>
  <c r="U76" i="20"/>
  <c r="U80" i="20"/>
  <c r="U5" i="20"/>
  <c r="U13" i="20"/>
  <c r="U10" i="20"/>
  <c r="W16" i="20"/>
  <c r="W20" i="20"/>
  <c r="X20" i="20" s="1"/>
  <c r="W24" i="20"/>
  <c r="W28" i="20"/>
  <c r="W32" i="20"/>
  <c r="W36" i="20"/>
  <c r="X36" i="20" s="1"/>
  <c r="W40" i="20"/>
  <c r="W44" i="20"/>
  <c r="W48" i="20"/>
  <c r="W52" i="20"/>
  <c r="W56" i="20"/>
  <c r="W60" i="20"/>
  <c r="X60" i="20" s="1"/>
  <c r="W64" i="20"/>
  <c r="W68" i="20"/>
  <c r="X68" i="20" s="1"/>
  <c r="W72" i="20"/>
  <c r="W76" i="20"/>
  <c r="W80" i="20"/>
  <c r="U17" i="20"/>
  <c r="U21" i="20"/>
  <c r="U25" i="20"/>
  <c r="U29" i="20"/>
  <c r="U33" i="20"/>
  <c r="U37" i="20"/>
  <c r="U41" i="20"/>
  <c r="U45" i="20"/>
  <c r="U49" i="20"/>
  <c r="U53" i="20"/>
  <c r="U57" i="20"/>
  <c r="U61" i="20"/>
  <c r="U65" i="20"/>
  <c r="U69" i="20"/>
  <c r="U73" i="20"/>
  <c r="U77" i="20"/>
  <c r="U6" i="20"/>
  <c r="W10" i="20"/>
  <c r="X10" i="20" s="1"/>
  <c r="U11" i="20"/>
  <c r="U14" i="20"/>
  <c r="W17" i="20"/>
  <c r="X17" i="20" s="1"/>
  <c r="W21" i="20"/>
  <c r="W25" i="20"/>
  <c r="W29" i="20"/>
  <c r="W33" i="20"/>
  <c r="X33" i="20" s="1"/>
  <c r="W37" i="20"/>
  <c r="W41" i="20"/>
  <c r="W45" i="20"/>
  <c r="W49" i="20"/>
  <c r="W53" i="20"/>
  <c r="W57" i="20"/>
  <c r="X57" i="20" s="1"/>
  <c r="W61" i="20"/>
  <c r="W65" i="20"/>
  <c r="X65" i="20" s="1"/>
  <c r="W69" i="20"/>
  <c r="W73" i="20"/>
  <c r="W77" i="20"/>
  <c r="W6" i="20"/>
  <c r="U7" i="20"/>
  <c r="U18" i="20"/>
  <c r="U22" i="20"/>
  <c r="U26" i="20"/>
  <c r="U30" i="20"/>
  <c r="U34" i="20"/>
  <c r="U38" i="20"/>
  <c r="U42" i="20"/>
  <c r="U46" i="20"/>
  <c r="U50" i="20"/>
  <c r="U54" i="20"/>
  <c r="U58" i="20"/>
  <c r="U62" i="20"/>
  <c r="U66" i="20"/>
  <c r="U70" i="20"/>
  <c r="U74" i="20"/>
  <c r="U78" i="20"/>
  <c r="W14" i="20"/>
  <c r="W7" i="20"/>
  <c r="X7" i="20" s="1"/>
  <c r="U8" i="20"/>
  <c r="U15" i="20"/>
  <c r="W18" i="20"/>
  <c r="W22" i="20"/>
  <c r="W26" i="20"/>
  <c r="X26" i="20" s="1"/>
  <c r="W30" i="20"/>
  <c r="W34" i="20"/>
  <c r="W38" i="20"/>
  <c r="W42" i="20"/>
  <c r="W46" i="20"/>
  <c r="W50" i="20"/>
  <c r="X50" i="20" s="1"/>
  <c r="W54" i="20"/>
  <c r="X54" i="20" s="1"/>
  <c r="W58" i="20"/>
  <c r="W62" i="20"/>
  <c r="W66" i="20"/>
  <c r="W70" i="20"/>
  <c r="W74" i="20"/>
  <c r="X74" i="20" s="1"/>
  <c r="W78" i="20"/>
  <c r="U12" i="20"/>
  <c r="U19" i="20"/>
  <c r="U23" i="20"/>
  <c r="U27" i="20"/>
  <c r="U31" i="20"/>
  <c r="U35" i="20"/>
  <c r="U39" i="20"/>
  <c r="U43" i="20"/>
  <c r="U47" i="20"/>
  <c r="U51" i="20"/>
  <c r="U55" i="20"/>
  <c r="U59" i="20"/>
  <c r="U63" i="20"/>
  <c r="U67" i="20"/>
  <c r="U71" i="20"/>
  <c r="U75" i="20"/>
  <c r="U79" i="20"/>
  <c r="AL19" i="19"/>
  <c r="AJ19" i="19"/>
  <c r="AJ17" i="19"/>
  <c r="AL17" i="19"/>
  <c r="AJ21" i="19"/>
  <c r="AL21" i="19"/>
  <c r="AL20" i="19"/>
  <c r="AL15" i="19"/>
  <c r="AJ15" i="19"/>
  <c r="AL16" i="19"/>
  <c r="AJ16" i="19"/>
  <c r="U17" i="19"/>
  <c r="W24" i="19"/>
  <c r="AN16" i="19"/>
  <c r="AM17" i="19"/>
  <c r="W10" i="19"/>
  <c r="X10" i="19" s="1"/>
  <c r="U14" i="19"/>
  <c r="W17" i="19"/>
  <c r="AJ18" i="19"/>
  <c r="AD20" i="19"/>
  <c r="W6" i="19"/>
  <c r="U7" i="19"/>
  <c r="U11" i="19"/>
  <c r="AE20" i="19"/>
  <c r="W21" i="19"/>
  <c r="AD17" i="19"/>
  <c r="U18" i="19"/>
  <c r="U22" i="19"/>
  <c r="AE17" i="19"/>
  <c r="AN21" i="19"/>
  <c r="W22" i="19"/>
  <c r="U23" i="19"/>
  <c r="AJ20" i="19"/>
  <c r="AN15" i="19"/>
  <c r="U13" i="19"/>
  <c r="U20" i="19"/>
  <c r="AJ11" i="18"/>
  <c r="AL11" i="18"/>
  <c r="AJ14" i="18"/>
  <c r="AL14" i="18"/>
  <c r="S18" i="68"/>
  <c r="AN13" i="18"/>
  <c r="U5" i="18"/>
  <c r="W8" i="18"/>
  <c r="X8" i="18" s="1"/>
  <c r="W11" i="18"/>
  <c r="X11" i="18" s="1"/>
  <c r="AJ12" i="18"/>
  <c r="W14" i="18"/>
  <c r="U15" i="18"/>
  <c r="W18" i="18"/>
  <c r="W22" i="18"/>
  <c r="W5" i="18"/>
  <c r="U9" i="18"/>
  <c r="AD11" i="18"/>
  <c r="U12" i="18"/>
  <c r="AH13" i="18"/>
  <c r="AI13" i="18" s="1"/>
  <c r="AL13" i="18" s="1"/>
  <c r="AD14" i="18"/>
  <c r="AN14" i="18" s="1"/>
  <c r="U19" i="18"/>
  <c r="U23" i="18"/>
  <c r="W12" i="18"/>
  <c r="W19" i="18"/>
  <c r="W23" i="18"/>
  <c r="W6" i="18"/>
  <c r="U16" i="18"/>
  <c r="U20" i="18"/>
  <c r="U24" i="18"/>
  <c r="AD12" i="18"/>
  <c r="AN12" i="18" s="1"/>
  <c r="U13" i="18"/>
  <c r="U7" i="18"/>
  <c r="U10" i="18"/>
  <c r="W16" i="18"/>
  <c r="W20" i="18"/>
  <c r="W24" i="18"/>
  <c r="W13" i="18"/>
  <c r="U17" i="18"/>
  <c r="U21" i="18"/>
  <c r="AL6" i="16"/>
  <c r="AJ6" i="16"/>
  <c r="U11" i="16"/>
  <c r="U14" i="16"/>
  <c r="W17" i="16"/>
  <c r="W21" i="16"/>
  <c r="X21" i="16" s="1"/>
  <c r="W11" i="16"/>
  <c r="W14" i="16"/>
  <c r="AD6" i="16"/>
  <c r="W7" i="16"/>
  <c r="X7" i="16" s="1"/>
  <c r="U8" i="16"/>
  <c r="U15" i="16"/>
  <c r="W18" i="16"/>
  <c r="W22" i="16"/>
  <c r="U12" i="16"/>
  <c r="U19" i="16"/>
  <c r="U23" i="16"/>
  <c r="W8" i="16"/>
  <c r="X8" i="16" s="1"/>
  <c r="U9" i="16"/>
  <c r="W15" i="16"/>
  <c r="W12" i="16"/>
  <c r="W19" i="16"/>
  <c r="X19" i="16" s="1"/>
  <c r="W23" i="16"/>
  <c r="X23" i="16" s="1"/>
  <c r="U16" i="16"/>
  <c r="U20" i="16"/>
  <c r="U24" i="16"/>
  <c r="U5" i="16"/>
  <c r="U13" i="16"/>
  <c r="U10" i="16"/>
  <c r="W16" i="16"/>
  <c r="X16" i="16" s="1"/>
  <c r="Z16" i="16" s="1"/>
  <c r="AB16" i="16" s="1"/>
  <c r="AO16" i="16" s="1"/>
  <c r="W20" i="16"/>
  <c r="W24" i="16"/>
  <c r="W13" i="16"/>
  <c r="U17" i="16"/>
  <c r="U21" i="16"/>
  <c r="AL122" i="15"/>
  <c r="U12" i="15"/>
  <c r="AE124" i="15"/>
  <c r="W126" i="15"/>
  <c r="AL141" i="15"/>
  <c r="AD153" i="15"/>
  <c r="AL165" i="15"/>
  <c r="AE177" i="15"/>
  <c r="AE182" i="15"/>
  <c r="AM185" i="15"/>
  <c r="AD228" i="15"/>
  <c r="W56" i="15"/>
  <c r="X56" i="15" s="1"/>
  <c r="AM149" i="15"/>
  <c r="AL161" i="15"/>
  <c r="AM166" i="15"/>
  <c r="AJ174" i="15"/>
  <c r="AM226" i="15"/>
  <c r="AE228" i="15"/>
  <c r="AM122" i="15"/>
  <c r="AE126" i="15"/>
  <c r="AH137" i="15"/>
  <c r="AI137" i="15" s="1"/>
  <c r="AL137" i="15" s="1"/>
  <c r="AE148" i="15"/>
  <c r="AD160" i="15"/>
  <c r="AL204" i="15"/>
  <c r="AD208" i="15"/>
  <c r="AH211" i="15"/>
  <c r="AI211" i="15" s="1"/>
  <c r="AE215" i="15"/>
  <c r="AE219" i="15"/>
  <c r="W21" i="15"/>
  <c r="U31" i="15"/>
  <c r="AE160" i="15"/>
  <c r="AL169" i="15"/>
  <c r="AH179" i="15"/>
  <c r="AI179" i="15" s="1"/>
  <c r="AL179" i="15" s="1"/>
  <c r="AM182" i="15"/>
  <c r="AE208" i="15"/>
  <c r="AN208" i="15" s="1"/>
  <c r="AE223" i="15"/>
  <c r="AM170" i="15"/>
  <c r="AM206" i="15"/>
  <c r="AM211" i="15"/>
  <c r="AJ129" i="15"/>
  <c r="AM130" i="15"/>
  <c r="U41" i="15"/>
  <c r="W113" i="15"/>
  <c r="AD122" i="15"/>
  <c r="AM139" i="15"/>
  <c r="AE150" i="15"/>
  <c r="AD152" i="15"/>
  <c r="AD176" i="15"/>
  <c r="AJ178" i="15"/>
  <c r="AM179" i="15"/>
  <c r="AE181" i="15"/>
  <c r="AE227" i="15"/>
  <c r="U24" i="15"/>
  <c r="W69" i="15"/>
  <c r="AE123" i="15"/>
  <c r="AL145" i="15"/>
  <c r="AL149" i="15"/>
  <c r="AM160" i="15"/>
  <c r="AD169" i="15"/>
  <c r="AM186" i="15"/>
  <c r="AM208" i="15"/>
  <c r="U62" i="15"/>
  <c r="W131" i="15"/>
  <c r="AN133" i="15"/>
  <c r="AE162" i="15"/>
  <c r="AH167" i="15"/>
  <c r="AI167" i="15" s="1"/>
  <c r="AL167" i="15" s="1"/>
  <c r="AE169" i="15"/>
  <c r="AD173" i="15"/>
  <c r="AE185" i="15"/>
  <c r="AN185" i="15" s="1"/>
  <c r="AH227" i="15"/>
  <c r="AI227" i="15" s="1"/>
  <c r="AJ166" i="15"/>
  <c r="AM125" i="15"/>
  <c r="AL173" i="15"/>
  <c r="AL177" i="15"/>
  <c r="W117" i="15"/>
  <c r="AM147" i="15"/>
  <c r="AL175" i="15"/>
  <c r="AH185" i="15"/>
  <c r="AI185" i="15" s="1"/>
  <c r="AL185" i="15" s="1"/>
  <c r="AJ181" i="15"/>
  <c r="AL181" i="15"/>
  <c r="AJ169" i="15"/>
  <c r="W13" i="15"/>
  <c r="U20" i="15"/>
  <c r="U27" i="15"/>
  <c r="W105" i="15"/>
  <c r="AL152" i="15"/>
  <c r="AE178" i="15"/>
  <c r="AD184" i="15"/>
  <c r="AD192" i="15"/>
  <c r="AJ185" i="15"/>
  <c r="H14" i="68"/>
  <c r="C15" i="2" s="1"/>
  <c r="W34" i="15"/>
  <c r="W60" i="15"/>
  <c r="X60" i="15" s="1"/>
  <c r="W77" i="15"/>
  <c r="AH128" i="15"/>
  <c r="AI128" i="15" s="1"/>
  <c r="AJ128" i="15" s="1"/>
  <c r="AD131" i="15"/>
  <c r="AN131" i="15" s="1"/>
  <c r="AL134" i="15"/>
  <c r="AD141" i="15"/>
  <c r="AE153" i="15"/>
  <c r="W159" i="15"/>
  <c r="AE166" i="15"/>
  <c r="AE192" i="15"/>
  <c r="AH223" i="15"/>
  <c r="AI223" i="15" s="1"/>
  <c r="AL223" i="15" s="1"/>
  <c r="AJ147" i="15"/>
  <c r="U10" i="15"/>
  <c r="W14" i="15"/>
  <c r="U28" i="15"/>
  <c r="W97" i="15"/>
  <c r="X97" i="15" s="1"/>
  <c r="AE125" i="15"/>
  <c r="AE141" i="15"/>
  <c r="AH163" i="15"/>
  <c r="AI163" i="15" s="1"/>
  <c r="AD165" i="15"/>
  <c r="AN165" i="15" s="1"/>
  <c r="AD177" i="15"/>
  <c r="AD220" i="15"/>
  <c r="AH230" i="15"/>
  <c r="AI230" i="15" s="1"/>
  <c r="AL230" i="15" s="1"/>
  <c r="W89" i="15"/>
  <c r="AE130" i="15"/>
  <c r="AD149" i="15"/>
  <c r="AE152" i="15"/>
  <c r="AH159" i="15"/>
  <c r="AI159" i="15" s="1"/>
  <c r="AL159" i="15" s="1"/>
  <c r="AE174" i="15"/>
  <c r="AH187" i="15"/>
  <c r="AI187" i="15" s="1"/>
  <c r="AJ187" i="15" s="1"/>
  <c r="AE191" i="15"/>
  <c r="AE194" i="15"/>
  <c r="AN194" i="15" s="1"/>
  <c r="AD204" i="15"/>
  <c r="AH222" i="15"/>
  <c r="AI222" i="15" s="1"/>
  <c r="AJ222" i="15" s="1"/>
  <c r="W11" i="15"/>
  <c r="U23" i="15"/>
  <c r="W29" i="15"/>
  <c r="X29" i="15" s="1"/>
  <c r="W109" i="15"/>
  <c r="AH125" i="15"/>
  <c r="AI125" i="15" s="1"/>
  <c r="AL125" i="15" s="1"/>
  <c r="U157" i="15"/>
  <c r="AJ165" i="15"/>
  <c r="AH171" i="15"/>
  <c r="AI171" i="15" s="1"/>
  <c r="AL171" i="15" s="1"/>
  <c r="AJ177" i="15"/>
  <c r="AE204" i="15"/>
  <c r="AN204" i="15" s="1"/>
  <c r="U5" i="15"/>
  <c r="W81" i="15"/>
  <c r="A14" i="15"/>
  <c r="AD129" i="15"/>
  <c r="W145" i="15"/>
  <c r="X145" i="15" s="1"/>
  <c r="AH207" i="15"/>
  <c r="AI207" i="15" s="1"/>
  <c r="AJ207" i="15" s="1"/>
  <c r="AD212" i="15"/>
  <c r="AH215" i="15"/>
  <c r="AI215" i="15" s="1"/>
  <c r="AL215" i="15" s="1"/>
  <c r="AL206" i="15"/>
  <c r="AE212" i="15"/>
  <c r="W17" i="15"/>
  <c r="X17" i="15" s="1"/>
  <c r="U49" i="15"/>
  <c r="W73" i="15"/>
  <c r="W121" i="15"/>
  <c r="AE170" i="15"/>
  <c r="AE186" i="15"/>
  <c r="AH219" i="15"/>
  <c r="AI219" i="15" s="1"/>
  <c r="AL219" i="15" s="1"/>
  <c r="AE224" i="15"/>
  <c r="AE129" i="15"/>
  <c r="AL133" i="15"/>
  <c r="AL160" i="15"/>
  <c r="U6" i="15"/>
  <c r="W12" i="15"/>
  <c r="X12" i="15" s="1"/>
  <c r="U58" i="15"/>
  <c r="U66" i="15"/>
  <c r="W93" i="15"/>
  <c r="AL129" i="15"/>
  <c r="AL156" i="15"/>
  <c r="AJ206" i="15"/>
  <c r="AL226" i="15"/>
  <c r="AL190" i="15"/>
  <c r="AL126" i="15"/>
  <c r="AJ126" i="15"/>
  <c r="AL163" i="15"/>
  <c r="AJ163" i="15"/>
  <c r="AL139" i="15"/>
  <c r="AJ139" i="15"/>
  <c r="AL130" i="15"/>
  <c r="AJ138" i="15"/>
  <c r="AL143" i="15"/>
  <c r="AJ143" i="15"/>
  <c r="AL135" i="15"/>
  <c r="AJ135" i="15"/>
  <c r="AL151" i="15"/>
  <c r="AJ151" i="15"/>
  <c r="AJ182" i="15"/>
  <c r="W7" i="15"/>
  <c r="X7" i="15" s="1"/>
  <c r="U8" i="15"/>
  <c r="U15" i="15"/>
  <c r="U18" i="15"/>
  <c r="U22" i="15"/>
  <c r="U26" i="15"/>
  <c r="U30" i="15"/>
  <c r="W33" i="15"/>
  <c r="W37" i="15"/>
  <c r="U53" i="15"/>
  <c r="U57" i="15"/>
  <c r="U61" i="15"/>
  <c r="U65" i="15"/>
  <c r="W68" i="15"/>
  <c r="W72" i="15"/>
  <c r="W76" i="15"/>
  <c r="X76" i="15" s="1"/>
  <c r="W80" i="15"/>
  <c r="X80" i="15" s="1"/>
  <c r="W84" i="15"/>
  <c r="X84" i="15" s="1"/>
  <c r="W88" i="15"/>
  <c r="W92" i="15"/>
  <c r="W96" i="15"/>
  <c r="W100" i="15"/>
  <c r="W104" i="15"/>
  <c r="X104" i="15" s="1"/>
  <c r="W108" i="15"/>
  <c r="X108" i="15" s="1"/>
  <c r="W112" i="15"/>
  <c r="W116" i="15"/>
  <c r="W120" i="15"/>
  <c r="AD124" i="15"/>
  <c r="AN124" i="15" s="1"/>
  <c r="W125" i="15"/>
  <c r="X125" i="15" s="1"/>
  <c r="AD130" i="15"/>
  <c r="W133" i="15"/>
  <c r="U134" i="15"/>
  <c r="AE135" i="15"/>
  <c r="AD135" i="15"/>
  <c r="U136" i="15"/>
  <c r="U137" i="15"/>
  <c r="AL138" i="15"/>
  <c r="AE143" i="15"/>
  <c r="AD143" i="15"/>
  <c r="AM143" i="15"/>
  <c r="W146" i="15"/>
  <c r="X146" i="15" s="1"/>
  <c r="U156" i="15"/>
  <c r="AH158" i="15"/>
  <c r="AI158" i="15" s="1"/>
  <c r="AJ158" i="15" s="1"/>
  <c r="AD158" i="15"/>
  <c r="AL162" i="15"/>
  <c r="U165" i="15"/>
  <c r="AJ173" i="15"/>
  <c r="AL186" i="15"/>
  <c r="AL228" i="15"/>
  <c r="AJ228" i="15"/>
  <c r="W335" i="15"/>
  <c r="U398" i="15"/>
  <c r="U429" i="15"/>
  <c r="W480" i="15"/>
  <c r="W511" i="15"/>
  <c r="U34" i="15"/>
  <c r="W41" i="15"/>
  <c r="X41" i="15" s="1"/>
  <c r="W45" i="15"/>
  <c r="W49" i="15"/>
  <c r="X49" i="15" s="1"/>
  <c r="U69" i="15"/>
  <c r="U73" i="15"/>
  <c r="U77" i="15"/>
  <c r="U81" i="15"/>
  <c r="U85" i="15"/>
  <c r="U89" i="15"/>
  <c r="U93" i="15"/>
  <c r="U97" i="15"/>
  <c r="U101" i="15"/>
  <c r="U105" i="15"/>
  <c r="U109" i="15"/>
  <c r="U113" i="15"/>
  <c r="U117" i="15"/>
  <c r="U121" i="15"/>
  <c r="U126" i="15"/>
  <c r="U141" i="15"/>
  <c r="AL147" i="15"/>
  <c r="AJ149" i="15"/>
  <c r="W157" i="15"/>
  <c r="U194" i="15"/>
  <c r="W366" i="15"/>
  <c r="W450" i="15"/>
  <c r="X450" i="15" s="1"/>
  <c r="W8" i="15"/>
  <c r="X8" i="15" s="1"/>
  <c r="U9" i="15"/>
  <c r="W15" i="15"/>
  <c r="W18" i="15"/>
  <c r="W22" i="15"/>
  <c r="W26" i="15"/>
  <c r="X26" i="15" s="1"/>
  <c r="W30" i="15"/>
  <c r="X30" i="15" s="1"/>
  <c r="U38" i="15"/>
  <c r="U42" i="15"/>
  <c r="U46" i="15"/>
  <c r="U50" i="15"/>
  <c r="W53" i="15"/>
  <c r="W57" i="15"/>
  <c r="X57" i="15" s="1"/>
  <c r="W61" i="15"/>
  <c r="W65" i="15"/>
  <c r="AH123" i="15"/>
  <c r="AI123" i="15" s="1"/>
  <c r="AL123" i="15" s="1"/>
  <c r="AM126" i="15"/>
  <c r="AM127" i="15"/>
  <c r="AE132" i="15"/>
  <c r="AN132" i="15" s="1"/>
  <c r="W134" i="15"/>
  <c r="W135" i="15"/>
  <c r="W137" i="15"/>
  <c r="X137" i="15" s="1"/>
  <c r="U138" i="15"/>
  <c r="AE139" i="15"/>
  <c r="AD139" i="15"/>
  <c r="U140" i="15"/>
  <c r="AH142" i="15"/>
  <c r="AI142" i="15" s="1"/>
  <c r="AD142" i="15"/>
  <c r="W143" i="15"/>
  <c r="X143" i="15" s="1"/>
  <c r="AE144" i="15"/>
  <c r="AN144" i="15" s="1"/>
  <c r="AN145" i="15"/>
  <c r="AH148" i="15"/>
  <c r="AI148" i="15" s="1"/>
  <c r="AJ148" i="15" s="1"/>
  <c r="AE155" i="15"/>
  <c r="AD155" i="15"/>
  <c r="AM155" i="15"/>
  <c r="AJ160" i="15"/>
  <c r="AJ161" i="15"/>
  <c r="AJ162" i="15"/>
  <c r="AM164" i="15"/>
  <c r="AH164" i="15"/>
  <c r="AI164" i="15" s="1"/>
  <c r="AE164" i="15"/>
  <c r="AJ186" i="15"/>
  <c r="AJ191" i="15"/>
  <c r="AL191" i="15"/>
  <c r="U251" i="15"/>
  <c r="AM128" i="15"/>
  <c r="AD136" i="15"/>
  <c r="W141" i="15"/>
  <c r="U152" i="15"/>
  <c r="U153" i="15"/>
  <c r="AD156" i="15"/>
  <c r="U164" i="15"/>
  <c r="W171" i="15"/>
  <c r="X171" i="15" s="1"/>
  <c r="W190" i="15"/>
  <c r="X190" i="15" s="1"/>
  <c r="AL214" i="15"/>
  <c r="AJ214" i="15"/>
  <c r="W224" i="15"/>
  <c r="W327" i="15"/>
  <c r="X327" i="15" s="1"/>
  <c r="U421" i="15"/>
  <c r="W472" i="15"/>
  <c r="X472" i="15" s="1"/>
  <c r="W513" i="15"/>
  <c r="W509" i="15"/>
  <c r="W505" i="15"/>
  <c r="W501" i="15"/>
  <c r="W497" i="15"/>
  <c r="X497" i="15" s="1"/>
  <c r="W493" i="15"/>
  <c r="X493" i="15" s="1"/>
  <c r="W489" i="15"/>
  <c r="X489" i="15" s="1"/>
  <c r="W485" i="15"/>
  <c r="U482" i="15"/>
  <c r="U478" i="15"/>
  <c r="U474" i="15"/>
  <c r="U470" i="15"/>
  <c r="W446" i="15"/>
  <c r="W442" i="15"/>
  <c r="W438" i="15"/>
  <c r="W434" i="15"/>
  <c r="U427" i="15"/>
  <c r="U423" i="15"/>
  <c r="U419" i="15"/>
  <c r="U415" i="15"/>
  <c r="W391" i="15"/>
  <c r="W387" i="15"/>
  <c r="X387" i="15" s="1"/>
  <c r="W383" i="15"/>
  <c r="W379" i="15"/>
  <c r="X379" i="15" s="1"/>
  <c r="U376" i="15"/>
  <c r="U372" i="15"/>
  <c r="U368" i="15"/>
  <c r="U364" i="15"/>
  <c r="U360" i="15"/>
  <c r="W340" i="15"/>
  <c r="X340" i="15" s="1"/>
  <c r="U337" i="15"/>
  <c r="U333" i="15"/>
  <c r="U329" i="15"/>
  <c r="U325" i="15"/>
  <c r="W301" i="15"/>
  <c r="W297" i="15"/>
  <c r="X297" i="15" s="1"/>
  <c r="W293" i="15"/>
  <c r="W289" i="15"/>
  <c r="U286" i="15"/>
  <c r="U282" i="15"/>
  <c r="U278" i="15"/>
  <c r="U274" i="15"/>
  <c r="U270" i="15"/>
  <c r="W250" i="15"/>
  <c r="W246" i="15"/>
  <c r="W242" i="15"/>
  <c r="X242" i="15" s="1"/>
  <c r="W238" i="15"/>
  <c r="W234" i="15"/>
  <c r="X234" i="15" s="1"/>
  <c r="W230" i="15"/>
  <c r="W226" i="15"/>
  <c r="W222" i="15"/>
  <c r="W218" i="15"/>
  <c r="W214" i="15"/>
  <c r="X214" i="15" s="1"/>
  <c r="W210" i="15"/>
  <c r="X210" i="15" s="1"/>
  <c r="W206" i="15"/>
  <c r="X206" i="15" s="1"/>
  <c r="W481" i="15"/>
  <c r="W477" i="15"/>
  <c r="W473" i="15"/>
  <c r="X473" i="15" s="1"/>
  <c r="W469" i="15"/>
  <c r="U466" i="15"/>
  <c r="U462" i="15"/>
  <c r="U458" i="15"/>
  <c r="U454" i="15"/>
  <c r="U450" i="15"/>
  <c r="W430" i="15"/>
  <c r="X430" i="15" s="1"/>
  <c r="W426" i="15"/>
  <c r="X426" i="15" s="1"/>
  <c r="W422" i="15"/>
  <c r="X422" i="15" s="1"/>
  <c r="W418" i="15"/>
  <c r="W414" i="15"/>
  <c r="U411" i="15"/>
  <c r="U407" i="15"/>
  <c r="U403" i="15"/>
  <c r="U399" i="15"/>
  <c r="U395" i="15"/>
  <c r="W375" i="15"/>
  <c r="W371" i="15"/>
  <c r="W367" i="15"/>
  <c r="X367" i="15" s="1"/>
  <c r="W363" i="15"/>
  <c r="X363" i="15" s="1"/>
  <c r="W359" i="15"/>
  <c r="X359" i="15" s="1"/>
  <c r="U356" i="15"/>
  <c r="U352" i="15"/>
  <c r="U348" i="15"/>
  <c r="U344" i="15"/>
  <c r="W336" i="15"/>
  <c r="X336" i="15" s="1"/>
  <c r="W332" i="15"/>
  <c r="W328" i="15"/>
  <c r="W324" i="15"/>
  <c r="U321" i="15"/>
  <c r="U317" i="15"/>
  <c r="U313" i="15"/>
  <c r="U309" i="15"/>
  <c r="U305" i="15"/>
  <c r="W285" i="15"/>
  <c r="W281" i="15"/>
  <c r="X281" i="15" s="1"/>
  <c r="W277" i="15"/>
  <c r="W273" i="15"/>
  <c r="X273" i="15" s="1"/>
  <c r="W269" i="15"/>
  <c r="U266" i="15"/>
  <c r="U262" i="15"/>
  <c r="U258" i="15"/>
  <c r="U254" i="15"/>
  <c r="U513" i="15"/>
  <c r="U509" i="15"/>
  <c r="U505" i="15"/>
  <c r="U501" i="15"/>
  <c r="U497" i="15"/>
  <c r="U493" i="15"/>
  <c r="U489" i="15"/>
  <c r="U485" i="15"/>
  <c r="W465" i="15"/>
  <c r="W461" i="15"/>
  <c r="W457" i="15"/>
  <c r="W453" i="15"/>
  <c r="X453" i="15" s="1"/>
  <c r="W449" i="15"/>
  <c r="X449" i="15" s="1"/>
  <c r="U446" i="15"/>
  <c r="U442" i="15"/>
  <c r="U438" i="15"/>
  <c r="U434" i="15"/>
  <c r="W410" i="15"/>
  <c r="W406" i="15"/>
  <c r="W402" i="15"/>
  <c r="W398" i="15"/>
  <c r="U391" i="15"/>
  <c r="U387" i="15"/>
  <c r="U383" i="15"/>
  <c r="U379" i="15"/>
  <c r="W355" i="15"/>
  <c r="X355" i="15" s="1"/>
  <c r="W351" i="15"/>
  <c r="W347" i="15"/>
  <c r="W343" i="15"/>
  <c r="X343" i="15" s="1"/>
  <c r="U340" i="15"/>
  <c r="W320" i="15"/>
  <c r="X320" i="15" s="1"/>
  <c r="W316" i="15"/>
  <c r="W312" i="15"/>
  <c r="W308" i="15"/>
  <c r="U301" i="15"/>
  <c r="U297" i="15"/>
  <c r="U293" i="15"/>
  <c r="U289" i="15"/>
  <c r="W265" i="15"/>
  <c r="W261" i="15"/>
  <c r="W257" i="15"/>
  <c r="X257" i="15" s="1"/>
  <c r="U250" i="15"/>
  <c r="U246" i="15"/>
  <c r="U242" i="15"/>
  <c r="U238" i="15"/>
  <c r="U234" i="15"/>
  <c r="U230" i="15"/>
  <c r="U226" i="15"/>
  <c r="U222" i="15"/>
  <c r="U218" i="15"/>
  <c r="U214" i="15"/>
  <c r="U210" i="15"/>
  <c r="U206" i="15"/>
  <c r="W512" i="15"/>
  <c r="W508" i="15"/>
  <c r="X508" i="15" s="1"/>
  <c r="W504" i="15"/>
  <c r="W500" i="15"/>
  <c r="W496" i="15"/>
  <c r="W492" i="15"/>
  <c r="W488" i="15"/>
  <c r="X488" i="15" s="1"/>
  <c r="U481" i="15"/>
  <c r="U477" i="15"/>
  <c r="U473" i="15"/>
  <c r="U469" i="15"/>
  <c r="W445" i="15"/>
  <c r="X445" i="15" s="1"/>
  <c r="W441" i="15"/>
  <c r="W437" i="15"/>
  <c r="X437" i="15" s="1"/>
  <c r="W433" i="15"/>
  <c r="U430" i="15"/>
  <c r="U426" i="15"/>
  <c r="U422" i="15"/>
  <c r="U418" i="15"/>
  <c r="U414" i="15"/>
  <c r="W394" i="15"/>
  <c r="X394" i="15" s="1"/>
  <c r="W390" i="15"/>
  <c r="W386" i="15"/>
  <c r="W382" i="15"/>
  <c r="X382" i="15" s="1"/>
  <c r="W378" i="15"/>
  <c r="U375" i="15"/>
  <c r="U371" i="15"/>
  <c r="U367" i="15"/>
  <c r="U363" i="15"/>
  <c r="U359" i="15"/>
  <c r="W339" i="15"/>
  <c r="X339" i="15" s="1"/>
  <c r="U336" i="15"/>
  <c r="U332" i="15"/>
  <c r="U328" i="15"/>
  <c r="U324" i="15"/>
  <c r="W304" i="15"/>
  <c r="X304" i="15" s="1"/>
  <c r="W300" i="15"/>
  <c r="W296" i="15"/>
  <c r="X296" i="15" s="1"/>
  <c r="W292" i="15"/>
  <c r="W288" i="15"/>
  <c r="U285" i="15"/>
  <c r="U281" i="15"/>
  <c r="U277" i="15"/>
  <c r="U273" i="15"/>
  <c r="U269" i="15"/>
  <c r="W253" i="15"/>
  <c r="W249" i="15"/>
  <c r="W245" i="15"/>
  <c r="W241" i="15"/>
  <c r="W237" i="15"/>
  <c r="X237" i="15" s="1"/>
  <c r="W233" i="15"/>
  <c r="W229" i="15"/>
  <c r="W225" i="15"/>
  <c r="W221" i="15"/>
  <c r="U512" i="15"/>
  <c r="U508" i="15"/>
  <c r="U504" i="15"/>
  <c r="U500" i="15"/>
  <c r="U496" i="15"/>
  <c r="U492" i="15"/>
  <c r="U488" i="15"/>
  <c r="W464" i="15"/>
  <c r="X464" i="15" s="1"/>
  <c r="W460" i="15"/>
  <c r="W456" i="15"/>
  <c r="W452" i="15"/>
  <c r="U445" i="15"/>
  <c r="U441" i="15"/>
  <c r="U437" i="15"/>
  <c r="U433" i="15"/>
  <c r="W409" i="15"/>
  <c r="W405" i="15"/>
  <c r="W401" i="15"/>
  <c r="X401" i="15" s="1"/>
  <c r="W397" i="15"/>
  <c r="U394" i="15"/>
  <c r="U390" i="15"/>
  <c r="U386" i="15"/>
  <c r="U382" i="15"/>
  <c r="U378" i="15"/>
  <c r="W358" i="15"/>
  <c r="X358" i="15" s="1"/>
  <c r="W354" i="15"/>
  <c r="X354" i="15" s="1"/>
  <c r="W350" i="15"/>
  <c r="X350" i="15" s="1"/>
  <c r="W346" i="15"/>
  <c r="W342" i="15"/>
  <c r="U339" i="15"/>
  <c r="W319" i="15"/>
  <c r="W315" i="15"/>
  <c r="W311" i="15"/>
  <c r="W307" i="15"/>
  <c r="U304" i="15"/>
  <c r="U300" i="15"/>
  <c r="U296" i="15"/>
  <c r="U292" i="15"/>
  <c r="U288" i="15"/>
  <c r="W268" i="15"/>
  <c r="W264" i="15"/>
  <c r="W260" i="15"/>
  <c r="X260" i="15" s="1"/>
  <c r="W256" i="15"/>
  <c r="U253" i="15"/>
  <c r="U249" i="15"/>
  <c r="U245" i="15"/>
  <c r="U241" i="15"/>
  <c r="U237" i="15"/>
  <c r="U233" i="15"/>
  <c r="U229" i="15"/>
  <c r="U225" i="15"/>
  <c r="U221" i="15"/>
  <c r="U217" i="15"/>
  <c r="U213" i="15"/>
  <c r="U209" i="15"/>
  <c r="U205" i="15"/>
  <c r="W515" i="15"/>
  <c r="W483" i="15"/>
  <c r="W479" i="15"/>
  <c r="W475" i="15"/>
  <c r="W471" i="15"/>
  <c r="X471" i="15" s="1"/>
  <c r="W467" i="15"/>
  <c r="X467" i="15" s="1"/>
  <c r="U464" i="15"/>
  <c r="U460" i="15"/>
  <c r="U456" i="15"/>
  <c r="U452" i="15"/>
  <c r="W428" i="15"/>
  <c r="W424" i="15"/>
  <c r="X424" i="15" s="1"/>
  <c r="W420" i="15"/>
  <c r="W416" i="15"/>
  <c r="U409" i="15"/>
  <c r="U405" i="15"/>
  <c r="U401" i="15"/>
  <c r="U397" i="15"/>
  <c r="W373" i="15"/>
  <c r="X373" i="15" s="1"/>
  <c r="W369" i="15"/>
  <c r="W365" i="15"/>
  <c r="W361" i="15"/>
  <c r="U358" i="15"/>
  <c r="U354" i="15"/>
  <c r="U350" i="15"/>
  <c r="U346" i="15"/>
  <c r="U342" i="15"/>
  <c r="W334" i="15"/>
  <c r="W330" i="15"/>
  <c r="X330" i="15" s="1"/>
  <c r="W326" i="15"/>
  <c r="X326" i="15" s="1"/>
  <c r="U319" i="15"/>
  <c r="U315" i="15"/>
  <c r="U311" i="15"/>
  <c r="U307" i="15"/>
  <c r="W283" i="15"/>
  <c r="W279" i="15"/>
  <c r="X279" i="15" s="1"/>
  <c r="W275" i="15"/>
  <c r="W271" i="15"/>
  <c r="U268" i="15"/>
  <c r="U264" i="15"/>
  <c r="U260" i="15"/>
  <c r="U256" i="15"/>
  <c r="U515" i="15"/>
  <c r="U511" i="15"/>
  <c r="U507" i="15"/>
  <c r="U503" i="15"/>
  <c r="U499" i="15"/>
  <c r="U495" i="15"/>
  <c r="U491" i="15"/>
  <c r="U487" i="15"/>
  <c r="W463" i="15"/>
  <c r="W459" i="15"/>
  <c r="W455" i="15"/>
  <c r="X455" i="15" s="1"/>
  <c r="W451" i="15"/>
  <c r="X451" i="15" s="1"/>
  <c r="U448" i="15"/>
  <c r="U444" i="15"/>
  <c r="U440" i="15"/>
  <c r="U436" i="15"/>
  <c r="U432" i="15"/>
  <c r="W412" i="15"/>
  <c r="X412" i="15" s="1"/>
  <c r="W408" i="15"/>
  <c r="W404" i="15"/>
  <c r="W400" i="15"/>
  <c r="W396" i="15"/>
  <c r="U393" i="15"/>
  <c r="U389" i="15"/>
  <c r="U385" i="15"/>
  <c r="U381" i="15"/>
  <c r="U377" i="15"/>
  <c r="W357" i="15"/>
  <c r="X357" i="15" s="1"/>
  <c r="W353" i="15"/>
  <c r="W349" i="15"/>
  <c r="X349" i="15" s="1"/>
  <c r="W345" i="15"/>
  <c r="W341" i="15"/>
  <c r="U338" i="15"/>
  <c r="W322" i="15"/>
  <c r="W318" i="15"/>
  <c r="X318" i="15" s="1"/>
  <c r="W314" i="15"/>
  <c r="X314" i="15" s="1"/>
  <c r="W310" i="15"/>
  <c r="X310" i="15" s="1"/>
  <c r="W306" i="15"/>
  <c r="U303" i="15"/>
  <c r="U299" i="15"/>
  <c r="U295" i="15"/>
  <c r="U291" i="15"/>
  <c r="U287" i="15"/>
  <c r="W267" i="15"/>
  <c r="W263" i="15"/>
  <c r="W259" i="15"/>
  <c r="W255" i="15"/>
  <c r="X255" i="15" s="1"/>
  <c r="U252" i="15"/>
  <c r="U248" i="15"/>
  <c r="U244" i="15"/>
  <c r="U240" i="15"/>
  <c r="U236" i="15"/>
  <c r="U232" i="15"/>
  <c r="U228" i="15"/>
  <c r="U224" i="15"/>
  <c r="U220" i="15"/>
  <c r="U216" i="15"/>
  <c r="U212" i="15"/>
  <c r="U208" i="15"/>
  <c r="W514" i="15"/>
  <c r="X514" i="15" s="1"/>
  <c r="W510" i="15"/>
  <c r="X510" i="15" s="1"/>
  <c r="W506" i="15"/>
  <c r="W502" i="15"/>
  <c r="W498" i="15"/>
  <c r="X498" i="15" s="1"/>
  <c r="W494" i="15"/>
  <c r="W490" i="15"/>
  <c r="X490" i="15" s="1"/>
  <c r="W486" i="15"/>
  <c r="U483" i="15"/>
  <c r="U479" i="15"/>
  <c r="U475" i="15"/>
  <c r="U471" i="15"/>
  <c r="U467" i="15"/>
  <c r="W447" i="15"/>
  <c r="X447" i="15" s="1"/>
  <c r="W443" i="15"/>
  <c r="W439" i="15"/>
  <c r="W435" i="15"/>
  <c r="X435" i="15" s="1"/>
  <c r="W431" i="15"/>
  <c r="U428" i="15"/>
  <c r="U424" i="15"/>
  <c r="U420" i="15"/>
  <c r="U416" i="15"/>
  <c r="W392" i="15"/>
  <c r="W388" i="15"/>
  <c r="X388" i="15" s="1"/>
  <c r="W384" i="15"/>
  <c r="W380" i="15"/>
  <c r="X380" i="15" s="1"/>
  <c r="U373" i="15"/>
  <c r="U369" i="15"/>
  <c r="U365" i="15"/>
  <c r="U361" i="15"/>
  <c r="U334" i="15"/>
  <c r="U330" i="15"/>
  <c r="U326" i="15"/>
  <c r="W302" i="15"/>
  <c r="W298" i="15"/>
  <c r="W294" i="15"/>
  <c r="X294" i="15" s="1"/>
  <c r="W290" i="15"/>
  <c r="X290" i="15" s="1"/>
  <c r="U283" i="15"/>
  <c r="U279" i="15"/>
  <c r="U275" i="15"/>
  <c r="U271" i="15"/>
  <c r="W251" i="15"/>
  <c r="W247" i="15"/>
  <c r="X247" i="15" s="1"/>
  <c r="W243" i="15"/>
  <c r="W239" i="15"/>
  <c r="W235" i="15"/>
  <c r="W231" i="15"/>
  <c r="W227" i="15"/>
  <c r="X227" i="15" s="1"/>
  <c r="W223" i="15"/>
  <c r="X223" i="15" s="1"/>
  <c r="W219" i="15"/>
  <c r="X219" i="15" s="1"/>
  <c r="W215" i="15"/>
  <c r="W211" i="15"/>
  <c r="W207" i="15"/>
  <c r="X207" i="15" s="1"/>
  <c r="W482" i="15"/>
  <c r="W478" i="15"/>
  <c r="X478" i="15" s="1"/>
  <c r="W474" i="15"/>
  <c r="W470" i="15"/>
  <c r="U463" i="15"/>
  <c r="U459" i="15"/>
  <c r="U455" i="15"/>
  <c r="U451" i="15"/>
  <c r="W427" i="15"/>
  <c r="X427" i="15" s="1"/>
  <c r="W423" i="15"/>
  <c r="W419" i="15"/>
  <c r="W415" i="15"/>
  <c r="X415" i="15" s="1"/>
  <c r="U412" i="15"/>
  <c r="U408" i="15"/>
  <c r="U404" i="15"/>
  <c r="U400" i="15"/>
  <c r="U396" i="15"/>
  <c r="W376" i="15"/>
  <c r="W372" i="15"/>
  <c r="X372" i="15" s="1"/>
  <c r="W368" i="15"/>
  <c r="X368" i="15" s="1"/>
  <c r="W364" i="15"/>
  <c r="X364" i="15" s="1"/>
  <c r="W360" i="15"/>
  <c r="U357" i="15"/>
  <c r="U353" i="15"/>
  <c r="U349" i="15"/>
  <c r="U345" i="15"/>
  <c r="U341" i="15"/>
  <c r="W337" i="15"/>
  <c r="W333" i="15"/>
  <c r="W329" i="15"/>
  <c r="W325" i="15"/>
  <c r="X325" i="15" s="1"/>
  <c r="U322" i="15"/>
  <c r="U318" i="15"/>
  <c r="U314" i="15"/>
  <c r="U310" i="15"/>
  <c r="U306" i="15"/>
  <c r="W286" i="15"/>
  <c r="W282" i="15"/>
  <c r="X282" i="15" s="1"/>
  <c r="W278" i="15"/>
  <c r="W274" i="15"/>
  <c r="W270" i="15"/>
  <c r="U267" i="15"/>
  <c r="U263" i="15"/>
  <c r="U259" i="15"/>
  <c r="U255" i="15"/>
  <c r="U443" i="15"/>
  <c r="U435" i="15"/>
  <c r="W389" i="15"/>
  <c r="X389" i="15" s="1"/>
  <c r="W381" i="15"/>
  <c r="U335" i="15"/>
  <c r="U327" i="15"/>
  <c r="U320" i="15"/>
  <c r="U312" i="15"/>
  <c r="W280" i="15"/>
  <c r="W272" i="15"/>
  <c r="X272" i="15" s="1"/>
  <c r="U265" i="15"/>
  <c r="U257" i="15"/>
  <c r="U190" i="15"/>
  <c r="W188" i="15"/>
  <c r="W184" i="15"/>
  <c r="X184" i="15" s="1"/>
  <c r="W180" i="15"/>
  <c r="W176" i="15"/>
  <c r="X176" i="15" s="1"/>
  <c r="W172" i="15"/>
  <c r="W168" i="15"/>
  <c r="W164" i="15"/>
  <c r="W160" i="15"/>
  <c r="W156" i="15"/>
  <c r="X156" i="15" s="1"/>
  <c r="W152" i="15"/>
  <c r="X152" i="15" s="1"/>
  <c r="W148" i="15"/>
  <c r="X148" i="15" s="1"/>
  <c r="W144" i="15"/>
  <c r="W140" i="15"/>
  <c r="W136" i="15"/>
  <c r="X136" i="15" s="1"/>
  <c r="W132" i="15"/>
  <c r="W128" i="15"/>
  <c r="X128" i="15" s="1"/>
  <c r="U480" i="15"/>
  <c r="U472" i="15"/>
  <c r="U465" i="15"/>
  <c r="U457" i="15"/>
  <c r="U449" i="15"/>
  <c r="U374" i="15"/>
  <c r="U366" i="15"/>
  <c r="W303" i="15"/>
  <c r="W295" i="15"/>
  <c r="W287" i="15"/>
  <c r="X287" i="15" s="1"/>
  <c r="W248" i="15"/>
  <c r="W240" i="15"/>
  <c r="X240" i="15" s="1"/>
  <c r="W232" i="15"/>
  <c r="U227" i="15"/>
  <c r="U189" i="15"/>
  <c r="U510" i="15"/>
  <c r="U502" i="15"/>
  <c r="U494" i="15"/>
  <c r="U486" i="15"/>
  <c r="W411" i="15"/>
  <c r="W403" i="15"/>
  <c r="W395" i="15"/>
  <c r="X395" i="15" s="1"/>
  <c r="W356" i="15"/>
  <c r="W348" i="15"/>
  <c r="U280" i="15"/>
  <c r="U272" i="15"/>
  <c r="W228" i="15"/>
  <c r="U188" i="15"/>
  <c r="U184" i="15"/>
  <c r="U180" i="15"/>
  <c r="U176" i="15"/>
  <c r="U172" i="15"/>
  <c r="W448" i="15"/>
  <c r="W440" i="15"/>
  <c r="X440" i="15" s="1"/>
  <c r="W432" i="15"/>
  <c r="W425" i="15"/>
  <c r="W417" i="15"/>
  <c r="U388" i="15"/>
  <c r="U380" i="15"/>
  <c r="W317" i="15"/>
  <c r="W309" i="15"/>
  <c r="X309" i="15" s="1"/>
  <c r="W262" i="15"/>
  <c r="X262" i="15" s="1"/>
  <c r="W254" i="15"/>
  <c r="X254" i="15" s="1"/>
  <c r="U207" i="15"/>
  <c r="W187" i="15"/>
  <c r="W183" i="15"/>
  <c r="X183" i="15" s="1"/>
  <c r="W179" i="15"/>
  <c r="W175" i="15"/>
  <c r="X175" i="15" s="1"/>
  <c r="W462" i="15"/>
  <c r="W454" i="15"/>
  <c r="W331" i="15"/>
  <c r="W323" i="15"/>
  <c r="U302" i="15"/>
  <c r="U294" i="15"/>
  <c r="U247" i="15"/>
  <c r="U239" i="15"/>
  <c r="U231" i="15"/>
  <c r="W212" i="15"/>
  <c r="X212" i="15" s="1"/>
  <c r="U211" i="15"/>
  <c r="W208" i="15"/>
  <c r="X208" i="15" s="1"/>
  <c r="W507" i="15"/>
  <c r="W499" i="15"/>
  <c r="W491" i="15"/>
  <c r="W484" i="15"/>
  <c r="X484" i="15" s="1"/>
  <c r="W476" i="15"/>
  <c r="X476" i="15" s="1"/>
  <c r="W468" i="15"/>
  <c r="X468" i="15" s="1"/>
  <c r="U425" i="15"/>
  <c r="U417" i="15"/>
  <c r="U410" i="15"/>
  <c r="U402" i="15"/>
  <c r="W370" i="15"/>
  <c r="W362" i="15"/>
  <c r="X362" i="15" s="1"/>
  <c r="U355" i="15"/>
  <c r="U347" i="15"/>
  <c r="W338" i="15"/>
  <c r="U215" i="15"/>
  <c r="W204" i="15"/>
  <c r="X204" i="15" s="1"/>
  <c r="U187" i="15"/>
  <c r="U183" i="15"/>
  <c r="U179" i="15"/>
  <c r="U175" i="15"/>
  <c r="U171" i="15"/>
  <c r="U167" i="15"/>
  <c r="U163" i="15"/>
  <c r="U159" i="15"/>
  <c r="U155" i="15"/>
  <c r="U151" i="15"/>
  <c r="U147" i="15"/>
  <c r="U143" i="15"/>
  <c r="U139" i="15"/>
  <c r="U135" i="15"/>
  <c r="U131" i="15"/>
  <c r="U127" i="15"/>
  <c r="U123" i="15"/>
  <c r="U447" i="15"/>
  <c r="U439" i="15"/>
  <c r="U431" i="15"/>
  <c r="W393" i="15"/>
  <c r="W385" i="15"/>
  <c r="W377" i="15"/>
  <c r="U331" i="15"/>
  <c r="U323" i="15"/>
  <c r="U316" i="15"/>
  <c r="U308" i="15"/>
  <c r="W284" i="15"/>
  <c r="W276" i="15"/>
  <c r="X276" i="15" s="1"/>
  <c r="U261" i="15"/>
  <c r="W216" i="15"/>
  <c r="X216" i="15" s="1"/>
  <c r="W209" i="15"/>
  <c r="W205" i="15"/>
  <c r="W203" i="15"/>
  <c r="W186" i="15"/>
  <c r="W182" i="15"/>
  <c r="X182" i="15" s="1"/>
  <c r="W178" i="15"/>
  <c r="X178" i="15" s="1"/>
  <c r="W174" i="15"/>
  <c r="X174" i="15" s="1"/>
  <c r="W170" i="15"/>
  <c r="W166" i="15"/>
  <c r="W162" i="15"/>
  <c r="X162" i="15" s="1"/>
  <c r="W158" i="15"/>
  <c r="U484" i="15"/>
  <c r="U476" i="15"/>
  <c r="U468" i="15"/>
  <c r="U461" i="15"/>
  <c r="U453" i="15"/>
  <c r="U370" i="15"/>
  <c r="U362" i="15"/>
  <c r="W299" i="15"/>
  <c r="X299" i="15" s="1"/>
  <c r="W291" i="15"/>
  <c r="W252" i="15"/>
  <c r="W244" i="15"/>
  <c r="X244" i="15" s="1"/>
  <c r="W236" i="15"/>
  <c r="U219" i="15"/>
  <c r="W213" i="15"/>
  <c r="U204" i="15"/>
  <c r="W202" i="15"/>
  <c r="W201" i="15"/>
  <c r="W200" i="15"/>
  <c r="X200" i="15" s="1"/>
  <c r="W199" i="15"/>
  <c r="X199" i="15" s="1"/>
  <c r="W198" i="15"/>
  <c r="X198" i="15" s="1"/>
  <c r="W197" i="15"/>
  <c r="W196" i="15"/>
  <c r="U514" i="15"/>
  <c r="U506" i="15"/>
  <c r="U498" i="15"/>
  <c r="U490" i="15"/>
  <c r="W407" i="15"/>
  <c r="W399" i="15"/>
  <c r="W352" i="15"/>
  <c r="W344" i="15"/>
  <c r="X344" i="15" s="1"/>
  <c r="U284" i="15"/>
  <c r="U276" i="15"/>
  <c r="W220" i="15"/>
  <c r="U203" i="15"/>
  <c r="W195" i="15"/>
  <c r="X195" i="15" s="1"/>
  <c r="U186" i="15"/>
  <c r="U182" i="15"/>
  <c r="U178" i="15"/>
  <c r="U174" i="15"/>
  <c r="U170" i="15"/>
  <c r="U166" i="15"/>
  <c r="U162" i="15"/>
  <c r="U158" i="15"/>
  <c r="U154" i="15"/>
  <c r="U150" i="15"/>
  <c r="U146" i="15"/>
  <c r="U142" i="15"/>
  <c r="W444" i="15"/>
  <c r="W436" i="15"/>
  <c r="X436" i="15" s="1"/>
  <c r="W429" i="15"/>
  <c r="W421" i="15"/>
  <c r="W413" i="15"/>
  <c r="U392" i="15"/>
  <c r="U384" i="15"/>
  <c r="W321" i="15"/>
  <c r="X321" i="15" s="1"/>
  <c r="W313" i="15"/>
  <c r="X313" i="15" s="1"/>
  <c r="W305" i="15"/>
  <c r="W266" i="15"/>
  <c r="W258" i="15"/>
  <c r="X258" i="15" s="1"/>
  <c r="W217" i="15"/>
  <c r="U202" i="15"/>
  <c r="U201" i="15"/>
  <c r="U200" i="15"/>
  <c r="U199" i="15"/>
  <c r="U198" i="15"/>
  <c r="U197" i="15"/>
  <c r="U196" i="15"/>
  <c r="W194" i="15"/>
  <c r="X194" i="15" s="1"/>
  <c r="W193" i="15"/>
  <c r="W192" i="15"/>
  <c r="W191" i="15"/>
  <c r="X191" i="15" s="1"/>
  <c r="W185" i="15"/>
  <c r="W181" i="15"/>
  <c r="X181" i="15" s="1"/>
  <c r="W177" i="15"/>
  <c r="W173" i="15"/>
  <c r="W169" i="15"/>
  <c r="W165" i="15"/>
  <c r="U35" i="15"/>
  <c r="W38" i="15"/>
  <c r="X38" i="15" s="1"/>
  <c r="W42" i="15"/>
  <c r="X42" i="15" s="1"/>
  <c r="W46" i="15"/>
  <c r="W50" i="15"/>
  <c r="U70" i="15"/>
  <c r="U74" i="15"/>
  <c r="U78" i="15"/>
  <c r="U82" i="15"/>
  <c r="U86" i="15"/>
  <c r="U90" i="15"/>
  <c r="U94" i="15"/>
  <c r="U98" i="15"/>
  <c r="U102" i="15"/>
  <c r="U106" i="15"/>
  <c r="U110" i="15"/>
  <c r="U114" i="15"/>
  <c r="U118" i="15"/>
  <c r="U122" i="15"/>
  <c r="AJ123" i="15"/>
  <c r="AH124" i="15"/>
  <c r="AI124" i="15" s="1"/>
  <c r="AL124" i="15" s="1"/>
  <c r="U128" i="15"/>
  <c r="AH131" i="15"/>
  <c r="AI131" i="15" s="1"/>
  <c r="AL131" i="15" s="1"/>
  <c r="AD134" i="15"/>
  <c r="AE136" i="15"/>
  <c r="W138" i="15"/>
  <c r="X138" i="15" s="1"/>
  <c r="W139" i="15"/>
  <c r="X139" i="15" s="1"/>
  <c r="W142" i="15"/>
  <c r="AJ145" i="15"/>
  <c r="AL148" i="15"/>
  <c r="AH154" i="15"/>
  <c r="AI154" i="15" s="1"/>
  <c r="AJ154" i="15" s="1"/>
  <c r="AD154" i="15"/>
  <c r="AN154" i="15" s="1"/>
  <c r="W155" i="15"/>
  <c r="AE156" i="15"/>
  <c r="AL158" i="15"/>
  <c r="AL166" i="15"/>
  <c r="AL184" i="15"/>
  <c r="AM196" i="15"/>
  <c r="AH196" i="15"/>
  <c r="AI196" i="15" s="1"/>
  <c r="AL196" i="15" s="1"/>
  <c r="AE196" i="15"/>
  <c r="AD196" i="15"/>
  <c r="AM198" i="15"/>
  <c r="AD198" i="15"/>
  <c r="AH198" i="15"/>
  <c r="AI198" i="15" s="1"/>
  <c r="AL198" i="15" s="1"/>
  <c r="AE198" i="15"/>
  <c r="U223" i="15"/>
  <c r="W5" i="15"/>
  <c r="U13" i="15"/>
  <c r="U16" i="15"/>
  <c r="W19" i="15"/>
  <c r="W23" i="15"/>
  <c r="W27" i="15"/>
  <c r="X27" i="15" s="1"/>
  <c r="W31" i="15"/>
  <c r="U39" i="15"/>
  <c r="U43" i="15"/>
  <c r="U47" i="15"/>
  <c r="U51" i="15"/>
  <c r="W54" i="15"/>
  <c r="W58" i="15"/>
  <c r="W62" i="15"/>
  <c r="X62" i="15" s="1"/>
  <c r="W66" i="15"/>
  <c r="X66" i="15" s="1"/>
  <c r="AJ124" i="15"/>
  <c r="W127" i="15"/>
  <c r="X127" i="15" s="1"/>
  <c r="U129" i="15"/>
  <c r="AJ130" i="15"/>
  <c r="AH132" i="15"/>
  <c r="AI132" i="15" s="1"/>
  <c r="AL132" i="15" s="1"/>
  <c r="AJ133" i="15"/>
  <c r="AE134" i="15"/>
  <c r="AD140" i="15"/>
  <c r="AH144" i="15"/>
  <c r="AI144" i="15" s="1"/>
  <c r="AL144" i="15" s="1"/>
  <c r="AE151" i="15"/>
  <c r="AD151" i="15"/>
  <c r="AM151" i="15"/>
  <c r="W153" i="15"/>
  <c r="X153" i="15" s="1"/>
  <c r="U169" i="15"/>
  <c r="U193" i="15"/>
  <c r="AM200" i="15"/>
  <c r="AH200" i="15"/>
  <c r="AI200" i="15" s="1"/>
  <c r="AL200" i="15" s="1"/>
  <c r="AE200" i="15"/>
  <c r="AD200" i="15"/>
  <c r="AD202" i="15"/>
  <c r="AH202" i="15"/>
  <c r="AI202" i="15" s="1"/>
  <c r="AL202" i="15" s="1"/>
  <c r="AE202" i="15"/>
  <c r="U243" i="15"/>
  <c r="U55" i="15"/>
  <c r="U59" i="15"/>
  <c r="U63" i="15"/>
  <c r="U67" i="15"/>
  <c r="W70" i="15"/>
  <c r="W74" i="15"/>
  <c r="X74" i="15" s="1"/>
  <c r="W78" i="15"/>
  <c r="W82" i="15"/>
  <c r="W86" i="15"/>
  <c r="W90" i="15"/>
  <c r="W94" i="15"/>
  <c r="W98" i="15"/>
  <c r="X98" i="15" s="1"/>
  <c r="W102" i="15"/>
  <c r="X102" i="15" s="1"/>
  <c r="W106" i="15"/>
  <c r="X106" i="15" s="1"/>
  <c r="W110" i="15"/>
  <c r="X110" i="15" s="1"/>
  <c r="W114" i="15"/>
  <c r="W118" i="15"/>
  <c r="W122" i="15"/>
  <c r="X122" i="15" s="1"/>
  <c r="AM123" i="15"/>
  <c r="AN142" i="15"/>
  <c r="U149" i="15"/>
  <c r="W154" i="15"/>
  <c r="AJ156" i="15"/>
  <c r="AJ157" i="15"/>
  <c r="AN164" i="15"/>
  <c r="AH168" i="15"/>
  <c r="AI168" i="15" s="1"/>
  <c r="AJ168" i="15" s="1"/>
  <c r="AE168" i="15"/>
  <c r="AN168" i="15" s="1"/>
  <c r="U173" i="15"/>
  <c r="AJ211" i="15"/>
  <c r="AL211" i="15"/>
  <c r="U298" i="15"/>
  <c r="U413" i="15"/>
  <c r="W495" i="15"/>
  <c r="X495" i="15" s="1"/>
  <c r="W16" i="15"/>
  <c r="U32" i="15"/>
  <c r="U36" i="15"/>
  <c r="W39" i="15"/>
  <c r="X39" i="15" s="1"/>
  <c r="W43" i="15"/>
  <c r="W47" i="15"/>
  <c r="X47" i="15" s="1"/>
  <c r="W51" i="15"/>
  <c r="X51" i="15" s="1"/>
  <c r="U71" i="15"/>
  <c r="U75" i="15"/>
  <c r="U79" i="15"/>
  <c r="U83" i="15"/>
  <c r="U87" i="15"/>
  <c r="U91" i="15"/>
  <c r="U95" i="15"/>
  <c r="U99" i="15"/>
  <c r="U103" i="15"/>
  <c r="U107" i="15"/>
  <c r="U111" i="15"/>
  <c r="U115" i="15"/>
  <c r="U119" i="15"/>
  <c r="AD127" i="15"/>
  <c r="AD128" i="15"/>
  <c r="W129" i="15"/>
  <c r="AH136" i="15"/>
  <c r="AI136" i="15" s="1"/>
  <c r="AL136" i="15" s="1"/>
  <c r="AE138" i="15"/>
  <c r="AL142" i="15"/>
  <c r="U148" i="15"/>
  <c r="AH150" i="15"/>
  <c r="AI150" i="15" s="1"/>
  <c r="AL150" i="15" s="1"/>
  <c r="AD150" i="15"/>
  <c r="AN150" i="15" s="1"/>
  <c r="W151" i="15"/>
  <c r="X151" i="15" s="1"/>
  <c r="AL155" i="15"/>
  <c r="U161" i="15"/>
  <c r="W163" i="15"/>
  <c r="U168" i="15"/>
  <c r="U177" i="15"/>
  <c r="U181" i="15"/>
  <c r="U192" i="15"/>
  <c r="U351" i="15"/>
  <c r="W466" i="15"/>
  <c r="X466" i="15" s="1"/>
  <c r="AL182" i="15"/>
  <c r="W10" i="15"/>
  <c r="X10" i="15" s="1"/>
  <c r="W20" i="15"/>
  <c r="W24" i="15"/>
  <c r="W28" i="15"/>
  <c r="U40" i="15"/>
  <c r="U44" i="15"/>
  <c r="U48" i="15"/>
  <c r="U52" i="15"/>
  <c r="W55" i="15"/>
  <c r="W59" i="15"/>
  <c r="X59" i="15" s="1"/>
  <c r="W63" i="15"/>
  <c r="X63" i="15" s="1"/>
  <c r="W67" i="15"/>
  <c r="W123" i="15"/>
  <c r="X123" i="15" s="1"/>
  <c r="U124" i="15"/>
  <c r="U130" i="15"/>
  <c r="AJ134" i="15"/>
  <c r="AJ141" i="15"/>
  <c r="AE147" i="15"/>
  <c r="AD147" i="15"/>
  <c r="W149" i="15"/>
  <c r="U160" i="15"/>
  <c r="AJ164" i="15"/>
  <c r="AL170" i="15"/>
  <c r="AJ171" i="15"/>
  <c r="AJ175" i="15"/>
  <c r="AL183" i="15"/>
  <c r="AJ183" i="15"/>
  <c r="U185" i="15"/>
  <c r="AD195" i="15"/>
  <c r="AH195" i="15"/>
  <c r="AI195" i="15" s="1"/>
  <c r="AL195" i="15" s="1"/>
  <c r="AE195" i="15"/>
  <c r="U235" i="15"/>
  <c r="W6" i="15"/>
  <c r="U11" i="15"/>
  <c r="U14" i="15"/>
  <c r="U17" i="15"/>
  <c r="U21" i="15"/>
  <c r="U25" i="15"/>
  <c r="U29" i="15"/>
  <c r="W32" i="15"/>
  <c r="X32" i="15" s="1"/>
  <c r="W36" i="15"/>
  <c r="U56" i="15"/>
  <c r="U60" i="15"/>
  <c r="U64" i="15"/>
  <c r="W71" i="15"/>
  <c r="W75" i="15"/>
  <c r="X75" i="15" s="1"/>
  <c r="W79" i="15"/>
  <c r="X79" i="15" s="1"/>
  <c r="W83" i="15"/>
  <c r="W87" i="15"/>
  <c r="X87" i="15" s="1"/>
  <c r="W91" i="15"/>
  <c r="W95" i="15"/>
  <c r="X95" i="15" s="1"/>
  <c r="W99" i="15"/>
  <c r="X99" i="15" s="1"/>
  <c r="W103" i="15"/>
  <c r="W107" i="15"/>
  <c r="W111" i="15"/>
  <c r="W115" i="15"/>
  <c r="W119" i="15"/>
  <c r="AH140" i="15"/>
  <c r="AI140" i="15" s="1"/>
  <c r="AJ140" i="15" s="1"/>
  <c r="AJ142" i="15"/>
  <c r="U145" i="15"/>
  <c r="W150" i="15"/>
  <c r="X150" i="15" s="1"/>
  <c r="AJ152" i="15"/>
  <c r="AL154" i="15"/>
  <c r="AJ155" i="15"/>
  <c r="W161" i="15"/>
  <c r="AL174" i="15"/>
  <c r="W189" i="15"/>
  <c r="U195" i="15"/>
  <c r="AL210" i="15"/>
  <c r="AJ210" i="15"/>
  <c r="U290" i="15"/>
  <c r="U406" i="15"/>
  <c r="W487" i="15"/>
  <c r="X487" i="15" s="1"/>
  <c r="AD201" i="15"/>
  <c r="AH201" i="15"/>
  <c r="AI201" i="15" s="1"/>
  <c r="AJ201" i="15" s="1"/>
  <c r="AE201" i="15"/>
  <c r="U7" i="15"/>
  <c r="U33" i="15"/>
  <c r="U37" i="15"/>
  <c r="W40" i="15"/>
  <c r="W44" i="15"/>
  <c r="X44" i="15" s="1"/>
  <c r="W48" i="15"/>
  <c r="X48" i="15" s="1"/>
  <c r="W52" i="15"/>
  <c r="U68" i="15"/>
  <c r="U72" i="15"/>
  <c r="U76" i="15"/>
  <c r="U80" i="15"/>
  <c r="U84" i="15"/>
  <c r="U88" i="15"/>
  <c r="U92" i="15"/>
  <c r="U96" i="15"/>
  <c r="U100" i="15"/>
  <c r="U104" i="15"/>
  <c r="U108" i="15"/>
  <c r="U112" i="15"/>
  <c r="U116" i="15"/>
  <c r="U120" i="15"/>
  <c r="W124" i="15"/>
  <c r="X124" i="15" s="1"/>
  <c r="U125" i="15"/>
  <c r="AH127" i="15"/>
  <c r="AI127" i="15" s="1"/>
  <c r="AL127" i="15" s="1"/>
  <c r="W130" i="15"/>
  <c r="U132" i="15"/>
  <c r="U133" i="15"/>
  <c r="AM135" i="15"/>
  <c r="U144" i="15"/>
  <c r="AH146" i="15"/>
  <c r="AI146" i="15" s="1"/>
  <c r="AL146" i="15" s="1"/>
  <c r="AD146" i="15"/>
  <c r="AN146" i="15" s="1"/>
  <c r="W147" i="15"/>
  <c r="X147" i="15" s="1"/>
  <c r="AD148" i="15"/>
  <c r="AN148" i="15" s="1"/>
  <c r="AJ153" i="15"/>
  <c r="AL164" i="15"/>
  <c r="AD168" i="15"/>
  <c r="AJ170" i="15"/>
  <c r="AM172" i="15"/>
  <c r="AH172" i="15"/>
  <c r="AI172" i="15" s="1"/>
  <c r="AL172" i="15" s="1"/>
  <c r="AE172" i="15"/>
  <c r="AL178" i="15"/>
  <c r="U191" i="15"/>
  <c r="AD197" i="15"/>
  <c r="AH197" i="15"/>
  <c r="AI197" i="15" s="1"/>
  <c r="AJ197" i="15" s="1"/>
  <c r="AE197" i="15"/>
  <c r="AD199" i="15"/>
  <c r="AM199" i="15"/>
  <c r="AH199" i="15"/>
  <c r="AI199" i="15" s="1"/>
  <c r="AL199" i="15" s="1"/>
  <c r="AE199" i="15"/>
  <c r="AE217" i="15"/>
  <c r="AD217" i="15"/>
  <c r="AH217" i="15"/>
  <c r="AI217" i="15" s="1"/>
  <c r="AL217" i="15" s="1"/>
  <c r="AM217" i="15"/>
  <c r="U343" i="15"/>
  <c r="W374" i="15"/>
  <c r="W458" i="15"/>
  <c r="X458" i="15" s="1"/>
  <c r="AE176" i="15"/>
  <c r="AE180" i="15"/>
  <c r="AN180" i="15" s="1"/>
  <c r="AE184" i="15"/>
  <c r="AN184" i="15" s="1"/>
  <c r="AE188" i="15"/>
  <c r="AN188" i="15" s="1"/>
  <c r="AD189" i="15"/>
  <c r="AE213" i="15"/>
  <c r="AD213" i="15"/>
  <c r="AH213" i="15"/>
  <c r="AI213" i="15" s="1"/>
  <c r="AJ213" i="15" s="1"/>
  <c r="AE189" i="15"/>
  <c r="AE205" i="15"/>
  <c r="AD205" i="15"/>
  <c r="AH205" i="15"/>
  <c r="AI205" i="15" s="1"/>
  <c r="AJ205" i="15" s="1"/>
  <c r="AE209" i="15"/>
  <c r="AD209" i="15"/>
  <c r="AH209" i="15"/>
  <c r="AI209" i="15" s="1"/>
  <c r="AL209" i="15" s="1"/>
  <c r="AJ227" i="15"/>
  <c r="AJ217" i="15"/>
  <c r="AL224" i="15"/>
  <c r="AJ224" i="15"/>
  <c r="AE229" i="15"/>
  <c r="AD229" i="15"/>
  <c r="AH229" i="15"/>
  <c r="AI229" i="15" s="1"/>
  <c r="AL229" i="15" s="1"/>
  <c r="AH176" i="15"/>
  <c r="AI176" i="15" s="1"/>
  <c r="AL176" i="15" s="1"/>
  <c r="AH180" i="15"/>
  <c r="AI180" i="15" s="1"/>
  <c r="AL180" i="15" s="1"/>
  <c r="AN181" i="15"/>
  <c r="AH188" i="15"/>
  <c r="AI188" i="15" s="1"/>
  <c r="AJ188" i="15" s="1"/>
  <c r="AH189" i="15"/>
  <c r="AI189" i="15" s="1"/>
  <c r="AJ189" i="15" s="1"/>
  <c r="AJ192" i="15"/>
  <c r="AH193" i="15"/>
  <c r="AI193" i="15" s="1"/>
  <c r="AL193" i="15" s="1"/>
  <c r="AH194" i="15"/>
  <c r="AI194" i="15" s="1"/>
  <c r="AJ194" i="15" s="1"/>
  <c r="AL213" i="15"/>
  <c r="AJ223" i="15"/>
  <c r="AJ226" i="15"/>
  <c r="AL227" i="15"/>
  <c r="AD162" i="15"/>
  <c r="AN162" i="15" s="1"/>
  <c r="AM163" i="15"/>
  <c r="AD166" i="15"/>
  <c r="AN166" i="15" s="1"/>
  <c r="AM167" i="15"/>
  <c r="AD170" i="15"/>
  <c r="AN170" i="15" s="1"/>
  <c r="AM171" i="15"/>
  <c r="AD174" i="15"/>
  <c r="AN174" i="15" s="1"/>
  <c r="AD178" i="15"/>
  <c r="AN178" i="15" s="1"/>
  <c r="AD182" i="15"/>
  <c r="AM183" i="15"/>
  <c r="AJ184" i="15"/>
  <c r="AD186" i="15"/>
  <c r="AM187" i="15"/>
  <c r="AJ190" i="15"/>
  <c r="AE203" i="15"/>
  <c r="AN203" i="15" s="1"/>
  <c r="AE218" i="15"/>
  <c r="AD218" i="15"/>
  <c r="AL220" i="15"/>
  <c r="AJ220" i="15"/>
  <c r="AL222" i="15"/>
  <c r="AE225" i="15"/>
  <c r="AN225" i="15" s="1"/>
  <c r="AD225" i="15"/>
  <c r="AH225" i="15"/>
  <c r="AI225" i="15" s="1"/>
  <c r="AL225" i="15" s="1"/>
  <c r="AJ196" i="15"/>
  <c r="AJ199" i="15"/>
  <c r="AE214" i="15"/>
  <c r="AD214" i="15"/>
  <c r="AL216" i="15"/>
  <c r="AJ216" i="15"/>
  <c r="AM229" i="15"/>
  <c r="AD159" i="15"/>
  <c r="AN159" i="15" s="1"/>
  <c r="AD163" i="15"/>
  <c r="AD167" i="15"/>
  <c r="AD171" i="15"/>
  <c r="AD175" i="15"/>
  <c r="AN175" i="15" s="1"/>
  <c r="AD179" i="15"/>
  <c r="AN179" i="15" s="1"/>
  <c r="AD183" i="15"/>
  <c r="AD187" i="15"/>
  <c r="AM190" i="15"/>
  <c r="AN190" i="15" s="1"/>
  <c r="AH203" i="15"/>
  <c r="AI203" i="15" s="1"/>
  <c r="AL203" i="15" s="1"/>
  <c r="AJ204" i="15"/>
  <c r="AE210" i="15"/>
  <c r="AD210" i="15"/>
  <c r="AE221" i="15"/>
  <c r="AD221" i="15"/>
  <c r="AH221" i="15"/>
  <c r="AI221" i="15" s="1"/>
  <c r="AL221" i="15" s="1"/>
  <c r="AD191" i="15"/>
  <c r="AM191" i="15"/>
  <c r="AL197" i="15"/>
  <c r="AE206" i="15"/>
  <c r="AD206" i="15"/>
  <c r="AL208" i="15"/>
  <c r="AJ208" i="15"/>
  <c r="AL212" i="15"/>
  <c r="AJ212" i="15"/>
  <c r="AH218" i="15"/>
  <c r="AI218" i="15" s="1"/>
  <c r="AJ218" i="15" s="1"/>
  <c r="AM207" i="15"/>
  <c r="AN207" i="15" s="1"/>
  <c r="AM215" i="15"/>
  <c r="AN215" i="15" s="1"/>
  <c r="AM219" i="15"/>
  <c r="AN219" i="15" s="1"/>
  <c r="AD222" i="15"/>
  <c r="AN222" i="15" s="1"/>
  <c r="AM223" i="15"/>
  <c r="AD226" i="15"/>
  <c r="AN226" i="15" s="1"/>
  <c r="AM227" i="15"/>
  <c r="AD230" i="15"/>
  <c r="AN230" i="15" s="1"/>
  <c r="AM212" i="15"/>
  <c r="AM216" i="15"/>
  <c r="AN216" i="15" s="1"/>
  <c r="AM220" i="15"/>
  <c r="AM224" i="15"/>
  <c r="AN224" i="15" s="1"/>
  <c r="AM228" i="15"/>
  <c r="AL20" i="14"/>
  <c r="AJ20" i="14"/>
  <c r="AJ22" i="14"/>
  <c r="AJ23" i="14"/>
  <c r="AL23" i="14"/>
  <c r="AJ21" i="14"/>
  <c r="AL21" i="14"/>
  <c r="AM20" i="14"/>
  <c r="S13" i="68" s="1"/>
  <c r="AH24" i="14"/>
  <c r="AI24" i="14" s="1"/>
  <c r="AJ24" i="14" s="1"/>
  <c r="AD21" i="14"/>
  <c r="W22" i="14"/>
  <c r="AM23" i="14"/>
  <c r="AE21" i="14"/>
  <c r="AM24" i="14"/>
  <c r="AH19" i="14"/>
  <c r="AI19" i="14" s="1"/>
  <c r="AL19" i="14" s="1"/>
  <c r="AD22" i="14"/>
  <c r="AE22" i="14"/>
  <c r="AD23" i="14"/>
  <c r="AE23" i="14"/>
  <c r="AD24" i="14"/>
  <c r="AM22" i="14"/>
  <c r="AN19" i="14"/>
  <c r="W18" i="14"/>
  <c r="U12" i="14"/>
  <c r="W15" i="14"/>
  <c r="U19" i="14"/>
  <c r="U23" i="14"/>
  <c r="W8" i="14"/>
  <c r="U9" i="14"/>
  <c r="W12" i="14"/>
  <c r="U16" i="14"/>
  <c r="W19" i="14"/>
  <c r="U26" i="14"/>
  <c r="W28" i="14"/>
  <c r="X28" i="14" s="1"/>
  <c r="U38" i="14"/>
  <c r="W40" i="14"/>
  <c r="X40" i="14" s="1"/>
  <c r="U50" i="14"/>
  <c r="W52" i="14"/>
  <c r="X52" i="14" s="1"/>
  <c r="W41" i="14"/>
  <c r="X41" i="14" s="1"/>
  <c r="U25" i="14"/>
  <c r="W27" i="14"/>
  <c r="X27" i="14" s="1"/>
  <c r="U37" i="14"/>
  <c r="W39" i="14"/>
  <c r="X39" i="14" s="1"/>
  <c r="U49" i="14"/>
  <c r="W51" i="14"/>
  <c r="X51" i="14" s="1"/>
  <c r="W26" i="14"/>
  <c r="X26" i="14" s="1"/>
  <c r="U36" i="14"/>
  <c r="W38" i="14"/>
  <c r="X38" i="14" s="1"/>
  <c r="U48" i="14"/>
  <c r="W50" i="14"/>
  <c r="X50" i="14" s="1"/>
  <c r="U60" i="14"/>
  <c r="W29" i="14"/>
  <c r="X29" i="14" s="1"/>
  <c r="W25" i="14"/>
  <c r="X25" i="14" s="1"/>
  <c r="U35" i="14"/>
  <c r="W37" i="14"/>
  <c r="X37" i="14" s="1"/>
  <c r="U47" i="14"/>
  <c r="W49" i="14"/>
  <c r="X49" i="14" s="1"/>
  <c r="U59" i="14"/>
  <c r="U34" i="14"/>
  <c r="W36" i="14"/>
  <c r="X36" i="14" s="1"/>
  <c r="U46" i="14"/>
  <c r="W48" i="14"/>
  <c r="X48" i="14" s="1"/>
  <c r="U58" i="14"/>
  <c r="W60" i="14"/>
  <c r="X60" i="14" s="1"/>
  <c r="U33" i="14"/>
  <c r="W35" i="14"/>
  <c r="X35" i="14" s="1"/>
  <c r="U45" i="14"/>
  <c r="W47" i="14"/>
  <c r="X47" i="14" s="1"/>
  <c r="U57" i="14"/>
  <c r="W59" i="14"/>
  <c r="X59" i="14" s="1"/>
  <c r="U32" i="14"/>
  <c r="W34" i="14"/>
  <c r="X34" i="14" s="1"/>
  <c r="U44" i="14"/>
  <c r="W46" i="14"/>
  <c r="X46" i="14" s="1"/>
  <c r="U56" i="14"/>
  <c r="W58" i="14"/>
  <c r="X58" i="14" s="1"/>
  <c r="U31" i="14"/>
  <c r="W33" i="14"/>
  <c r="X33" i="14" s="1"/>
  <c r="U43" i="14"/>
  <c r="W45" i="14"/>
  <c r="X45" i="14" s="1"/>
  <c r="U55" i="14"/>
  <c r="W57" i="14"/>
  <c r="X57" i="14" s="1"/>
  <c r="U27" i="14"/>
  <c r="U51" i="14"/>
  <c r="U30" i="14"/>
  <c r="W32" i="14"/>
  <c r="X32" i="14" s="1"/>
  <c r="U42" i="14"/>
  <c r="W44" i="14"/>
  <c r="X44" i="14" s="1"/>
  <c r="U54" i="14"/>
  <c r="W56" i="14"/>
  <c r="X56" i="14" s="1"/>
  <c r="W53" i="14"/>
  <c r="X53" i="14" s="1"/>
  <c r="U29" i="14"/>
  <c r="W31" i="14"/>
  <c r="X31" i="14" s="1"/>
  <c r="U41" i="14"/>
  <c r="W43" i="14"/>
  <c r="X43" i="14" s="1"/>
  <c r="U53" i="14"/>
  <c r="W55" i="14"/>
  <c r="X55" i="14" s="1"/>
  <c r="U39" i="14"/>
  <c r="U28" i="14"/>
  <c r="W30" i="14"/>
  <c r="X30" i="14" s="1"/>
  <c r="U40" i="14"/>
  <c r="W42" i="14"/>
  <c r="X42" i="14" s="1"/>
  <c r="U52" i="14"/>
  <c r="W54" i="14"/>
  <c r="X54" i="14" s="1"/>
  <c r="U13" i="14"/>
  <c r="U20" i="14"/>
  <c r="U24" i="14"/>
  <c r="W16" i="14"/>
  <c r="X16" i="14" s="1"/>
  <c r="U17" i="14"/>
  <c r="W20" i="14"/>
  <c r="W24" i="14"/>
  <c r="X24" i="14" s="1"/>
  <c r="U6" i="14"/>
  <c r="U21" i="14"/>
  <c r="W10" i="14"/>
  <c r="U14" i="14"/>
  <c r="W17" i="14"/>
  <c r="W6" i="14"/>
  <c r="U7" i="14"/>
  <c r="U11" i="14"/>
  <c r="W21" i="14"/>
  <c r="X21" i="14" s="1"/>
  <c r="W14" i="14"/>
  <c r="U18" i="14"/>
  <c r="U22" i="14"/>
  <c r="W11" i="14"/>
  <c r="U15" i="14"/>
  <c r="AL19" i="13"/>
  <c r="AJ19" i="13"/>
  <c r="AL23" i="13"/>
  <c r="AJ23" i="13"/>
  <c r="AL21" i="13"/>
  <c r="AJ24" i="13"/>
  <c r="AL24" i="13"/>
  <c r="AH18" i="13"/>
  <c r="AI18" i="13" s="1"/>
  <c r="AL18" i="13" s="1"/>
  <c r="AD21" i="13"/>
  <c r="AJ17" i="13"/>
  <c r="AE21" i="13"/>
  <c r="AN21" i="13" s="1"/>
  <c r="AD22" i="13"/>
  <c r="AM16" i="13"/>
  <c r="AH20" i="13"/>
  <c r="AI20" i="13" s="1"/>
  <c r="AL20" i="13" s="1"/>
  <c r="AE22" i="13"/>
  <c r="AN22" i="13" s="1"/>
  <c r="AD23" i="13"/>
  <c r="AE23" i="13"/>
  <c r="AD24" i="13"/>
  <c r="U10" i="13"/>
  <c r="U17" i="13"/>
  <c r="AH21" i="13"/>
  <c r="AI21" i="13" s="1"/>
  <c r="AE24" i="13"/>
  <c r="AD16" i="13"/>
  <c r="AH22" i="13"/>
  <c r="AI22" i="13" s="1"/>
  <c r="AL22" i="13" s="1"/>
  <c r="AJ21" i="13"/>
  <c r="AD17" i="13"/>
  <c r="AN17" i="13" s="1"/>
  <c r="U26" i="13"/>
  <c r="W28" i="13"/>
  <c r="X28" i="13" s="1"/>
  <c r="U38" i="13"/>
  <c r="U25" i="13"/>
  <c r="W27" i="13"/>
  <c r="X27" i="13" s="1"/>
  <c r="W26" i="13"/>
  <c r="X26" i="13" s="1"/>
  <c r="U36" i="13"/>
  <c r="W38" i="13"/>
  <c r="X38" i="13" s="1"/>
  <c r="W32" i="13"/>
  <c r="X32" i="13" s="1"/>
  <c r="W25" i="13"/>
  <c r="X25" i="13" s="1"/>
  <c r="U35" i="13"/>
  <c r="W37" i="13"/>
  <c r="X37" i="13" s="1"/>
  <c r="W30" i="13"/>
  <c r="X30" i="13" s="1"/>
  <c r="U34" i="13"/>
  <c r="W36" i="13"/>
  <c r="X36" i="13" s="1"/>
  <c r="U33" i="13"/>
  <c r="W35" i="13"/>
  <c r="X35" i="13" s="1"/>
  <c r="U32" i="13"/>
  <c r="W34" i="13"/>
  <c r="X34" i="13" s="1"/>
  <c r="U31" i="13"/>
  <c r="W33" i="13"/>
  <c r="X33" i="13" s="1"/>
  <c r="U30" i="13"/>
  <c r="U29" i="13"/>
  <c r="W31" i="13"/>
  <c r="X31" i="13" s="1"/>
  <c r="U28" i="13"/>
  <c r="U27" i="13"/>
  <c r="W29" i="13"/>
  <c r="X29" i="13" s="1"/>
  <c r="U39" i="13"/>
  <c r="U37" i="13"/>
  <c r="W39" i="13"/>
  <c r="X39" i="13" s="1"/>
  <c r="U13" i="13"/>
  <c r="U16" i="13"/>
  <c r="U20" i="13"/>
  <c r="U24" i="13"/>
  <c r="W16" i="13"/>
  <c r="X16" i="13" s="1"/>
  <c r="W20" i="13"/>
  <c r="X20" i="13" s="1"/>
  <c r="W24" i="13"/>
  <c r="X24" i="13" s="1"/>
  <c r="W10" i="13"/>
  <c r="U14" i="13"/>
  <c r="W6" i="13"/>
  <c r="U11" i="13"/>
  <c r="W17" i="13"/>
  <c r="W21" i="13"/>
  <c r="U7" i="13"/>
  <c r="W14" i="13"/>
  <c r="U18" i="13"/>
  <c r="U22" i="13"/>
  <c r="W11" i="13"/>
  <c r="X11" i="13" s="1"/>
  <c r="W7" i="13"/>
  <c r="X7" i="13" s="1"/>
  <c r="U8" i="13"/>
  <c r="U15" i="13"/>
  <c r="W18" i="13"/>
  <c r="W22" i="13"/>
  <c r="U12" i="13"/>
  <c r="U19" i="13"/>
  <c r="U23" i="13"/>
  <c r="W8" i="13"/>
  <c r="U9" i="13"/>
  <c r="W15" i="13"/>
  <c r="X15" i="13" s="1"/>
  <c r="U5" i="13"/>
  <c r="W12" i="13"/>
  <c r="X12" i="13" s="1"/>
  <c r="W19" i="13"/>
  <c r="X19" i="13" s="1"/>
  <c r="W23" i="13"/>
  <c r="X23" i="13" s="1"/>
  <c r="AJ42" i="12"/>
  <c r="AL29" i="12"/>
  <c r="AD42" i="12"/>
  <c r="AN42" i="12" s="1"/>
  <c r="AM29" i="12"/>
  <c r="AE42" i="12"/>
  <c r="AJ43" i="12"/>
  <c r="AE35" i="12"/>
  <c r="AH41" i="12"/>
  <c r="AI41" i="12" s="1"/>
  <c r="AL41" i="12" s="1"/>
  <c r="U47" i="12"/>
  <c r="U59" i="12"/>
  <c r="W61" i="12"/>
  <c r="X61" i="12" s="1"/>
  <c r="U58" i="12"/>
  <c r="W60" i="12"/>
  <c r="X60" i="12" s="1"/>
  <c r="W59" i="12"/>
  <c r="X59" i="12" s="1"/>
  <c r="U61" i="12"/>
  <c r="W58" i="12"/>
  <c r="X58" i="12" s="1"/>
  <c r="U62" i="12"/>
  <c r="U60" i="12"/>
  <c r="W62" i="12"/>
  <c r="X62" i="12" s="1"/>
  <c r="AD29" i="12"/>
  <c r="AH44" i="12"/>
  <c r="AI44" i="12" s="1"/>
  <c r="AL44" i="12" s="1"/>
  <c r="AE31" i="12"/>
  <c r="AD33" i="12"/>
  <c r="AE36" i="12"/>
  <c r="AE46" i="12"/>
  <c r="AE33" i="12"/>
  <c r="AD38" i="12"/>
  <c r="AL43" i="12"/>
  <c r="AE50" i="12"/>
  <c r="AN50" i="12" s="1"/>
  <c r="AH48" i="12"/>
  <c r="AI48" i="12" s="1"/>
  <c r="AL48" i="12" s="1"/>
  <c r="AH33" i="12"/>
  <c r="AI33" i="12" s="1"/>
  <c r="AL33" i="12" s="1"/>
  <c r="A14" i="12"/>
  <c r="U29" i="12"/>
  <c r="AH30" i="12"/>
  <c r="AI30" i="12" s="1"/>
  <c r="AL30" i="12" s="1"/>
  <c r="AE41" i="12"/>
  <c r="AD47" i="12"/>
  <c r="AH37" i="12"/>
  <c r="AI37" i="12" s="1"/>
  <c r="AL37" i="12" s="1"/>
  <c r="AE44" i="12"/>
  <c r="AN44" i="12" s="1"/>
  <c r="AL46" i="12"/>
  <c r="AE47" i="12"/>
  <c r="AJ47" i="12"/>
  <c r="AL47" i="12"/>
  <c r="AJ36" i="12"/>
  <c r="AL36" i="12"/>
  <c r="AJ46" i="12"/>
  <c r="AL38" i="12"/>
  <c r="AL35" i="12"/>
  <c r="AJ35" i="12"/>
  <c r="AL45" i="12"/>
  <c r="AJ45" i="12"/>
  <c r="AL42" i="12"/>
  <c r="AL39" i="12"/>
  <c r="AJ39" i="12"/>
  <c r="U10" i="12"/>
  <c r="AJ29" i="12"/>
  <c r="AH31" i="12"/>
  <c r="AI31" i="12" s="1"/>
  <c r="AJ31" i="12" s="1"/>
  <c r="AD34" i="12"/>
  <c r="AJ38" i="12"/>
  <c r="AD43" i="12"/>
  <c r="AM46" i="12"/>
  <c r="AH32" i="12"/>
  <c r="AI32" i="12" s="1"/>
  <c r="AL32" i="12" s="1"/>
  <c r="AE34" i="12"/>
  <c r="AD35" i="12"/>
  <c r="AM36" i="12"/>
  <c r="AH40" i="12"/>
  <c r="AI40" i="12" s="1"/>
  <c r="AL40" i="12" s="1"/>
  <c r="AE43" i="12"/>
  <c r="AM47" i="12"/>
  <c r="AH49" i="12"/>
  <c r="AI49" i="12" s="1"/>
  <c r="AL49" i="12" s="1"/>
  <c r="W36" i="12"/>
  <c r="AM37" i="12"/>
  <c r="AN37" i="12" s="1"/>
  <c r="AD45" i="12"/>
  <c r="AH50" i="12"/>
  <c r="AI50" i="12" s="1"/>
  <c r="AJ50" i="12" s="1"/>
  <c r="AM30" i="12"/>
  <c r="AH34" i="12"/>
  <c r="AI34" i="12" s="1"/>
  <c r="AJ34" i="12" s="1"/>
  <c r="AM39" i="12"/>
  <c r="U48" i="12"/>
  <c r="AM48" i="12"/>
  <c r="AM38" i="12"/>
  <c r="AE45" i="12"/>
  <c r="U21" i="12"/>
  <c r="AM31" i="12"/>
  <c r="AJ33" i="12"/>
  <c r="W13" i="12"/>
  <c r="AE29" i="12"/>
  <c r="AD30" i="12"/>
  <c r="AE38" i="12"/>
  <c r="AD39" i="12"/>
  <c r="AM41" i="12"/>
  <c r="AD48" i="12"/>
  <c r="AM32" i="12"/>
  <c r="AM40" i="12"/>
  <c r="W5" i="12"/>
  <c r="X5" i="12" s="1"/>
  <c r="U33" i="12"/>
  <c r="AD32" i="12"/>
  <c r="AD40" i="12"/>
  <c r="AD49" i="12"/>
  <c r="AN49" i="12" s="1"/>
  <c r="U25" i="12"/>
  <c r="U6" i="12"/>
  <c r="W10" i="12"/>
  <c r="U14" i="12"/>
  <c r="W17" i="12"/>
  <c r="X17" i="12" s="1"/>
  <c r="U37" i="12"/>
  <c r="W40" i="12"/>
  <c r="X40" i="12" s="1"/>
  <c r="W44" i="12"/>
  <c r="X44" i="12" s="1"/>
  <c r="U11" i="12"/>
  <c r="U18" i="12"/>
  <c r="W21" i="12"/>
  <c r="W25" i="12"/>
  <c r="W29" i="12"/>
  <c r="X29" i="12" s="1"/>
  <c r="W33" i="12"/>
  <c r="U41" i="12"/>
  <c r="U45" i="12"/>
  <c r="W48" i="12"/>
  <c r="W6" i="12"/>
  <c r="U7" i="12"/>
  <c r="W14" i="12"/>
  <c r="X14" i="12" s="1"/>
  <c r="U22" i="12"/>
  <c r="U26" i="12"/>
  <c r="U30" i="12"/>
  <c r="U34" i="12"/>
  <c r="W37" i="12"/>
  <c r="X37" i="12" s="1"/>
  <c r="U15" i="12"/>
  <c r="W18" i="12"/>
  <c r="U38" i="12"/>
  <c r="W41" i="12"/>
  <c r="X41" i="12" s="1"/>
  <c r="W45" i="12"/>
  <c r="U49" i="12"/>
  <c r="W7" i="12"/>
  <c r="X7" i="12" s="1"/>
  <c r="U8" i="12"/>
  <c r="W22" i="12"/>
  <c r="W26" i="12"/>
  <c r="W30" i="12"/>
  <c r="W34" i="12"/>
  <c r="X34" i="12" s="1"/>
  <c r="U42" i="12"/>
  <c r="U46" i="12"/>
  <c r="U12" i="12"/>
  <c r="W15" i="12"/>
  <c r="X15" i="12" s="1"/>
  <c r="U19" i="12"/>
  <c r="U23" i="12"/>
  <c r="U27" i="12"/>
  <c r="U31" i="12"/>
  <c r="U35" i="12"/>
  <c r="W38" i="12"/>
  <c r="W49" i="12"/>
  <c r="W8" i="12"/>
  <c r="X8" i="12" s="1"/>
  <c r="U9" i="12"/>
  <c r="U39" i="12"/>
  <c r="W42" i="12"/>
  <c r="W46" i="12"/>
  <c r="X46" i="12" s="1"/>
  <c r="U50" i="12"/>
  <c r="W12" i="12"/>
  <c r="U16" i="12"/>
  <c r="W19" i="12"/>
  <c r="X19" i="12" s="1"/>
  <c r="W23" i="12"/>
  <c r="W27" i="12"/>
  <c r="W31" i="12"/>
  <c r="W35" i="12"/>
  <c r="X35" i="12" s="1"/>
  <c r="U43" i="12"/>
  <c r="U52" i="12"/>
  <c r="W54" i="12"/>
  <c r="X54" i="12" s="1"/>
  <c r="U51" i="12"/>
  <c r="W53" i="12"/>
  <c r="X53" i="12" s="1"/>
  <c r="W52" i="12"/>
  <c r="X52" i="12" s="1"/>
  <c r="W55" i="12"/>
  <c r="X55" i="12" s="1"/>
  <c r="W51" i="12"/>
  <c r="X51" i="12" s="1"/>
  <c r="U53" i="12"/>
  <c r="U57" i="12"/>
  <c r="U56" i="12"/>
  <c r="U55" i="12"/>
  <c r="W57" i="12"/>
  <c r="X57" i="12" s="1"/>
  <c r="U54" i="12"/>
  <c r="W56" i="12"/>
  <c r="X56" i="12" s="1"/>
  <c r="U13" i="12"/>
  <c r="U20" i="12"/>
  <c r="U24" i="12"/>
  <c r="U28" i="12"/>
  <c r="U32" i="12"/>
  <c r="W39" i="12"/>
  <c r="W50" i="12"/>
  <c r="U5" i="12"/>
  <c r="W16" i="12"/>
  <c r="X16" i="12" s="1"/>
  <c r="U36" i="12"/>
  <c r="W43" i="12"/>
  <c r="W47" i="12"/>
  <c r="U17" i="12"/>
  <c r="W20" i="12"/>
  <c r="W24" i="12"/>
  <c r="X24" i="12" s="1"/>
  <c r="W28" i="12"/>
  <c r="X28" i="12" s="1"/>
  <c r="W32" i="12"/>
  <c r="X32" i="12" s="1"/>
  <c r="U40" i="12"/>
  <c r="U44" i="12"/>
  <c r="AL13" i="6"/>
  <c r="AL20" i="6"/>
  <c r="AJ20" i="6"/>
  <c r="AJ18" i="6"/>
  <c r="AL18" i="6"/>
  <c r="AJ19" i="6"/>
  <c r="AL19" i="6"/>
  <c r="AL17" i="6"/>
  <c r="AM17" i="6"/>
  <c r="AD16" i="6"/>
  <c r="AM19" i="6"/>
  <c r="AN19" i="6" s="1"/>
  <c r="AJ22" i="6"/>
  <c r="W11" i="6"/>
  <c r="AJ13" i="6"/>
  <c r="AH14" i="6"/>
  <c r="AI14" i="6" s="1"/>
  <c r="AL14" i="6" s="1"/>
  <c r="AE16" i="6"/>
  <c r="AD17" i="6"/>
  <c r="AJ23" i="6"/>
  <c r="AN15" i="6"/>
  <c r="AE17" i="6"/>
  <c r="AD18" i="6"/>
  <c r="AJ24" i="6"/>
  <c r="AE18" i="6"/>
  <c r="AM23" i="6"/>
  <c r="W5" i="6"/>
  <c r="W13" i="6"/>
  <c r="X13" i="6" s="1"/>
  <c r="AJ15" i="6"/>
  <c r="AE20" i="6"/>
  <c r="AN20" i="6" s="1"/>
  <c r="AD21" i="6"/>
  <c r="AN21" i="6" s="1"/>
  <c r="AJ16" i="6"/>
  <c r="AD22" i="6"/>
  <c r="AD13" i="6"/>
  <c r="AJ17" i="6"/>
  <c r="AD23" i="6"/>
  <c r="U7" i="6"/>
  <c r="W14" i="6"/>
  <c r="U18" i="6"/>
  <c r="U22" i="6"/>
  <c r="W7" i="6"/>
  <c r="U8" i="6"/>
  <c r="U15" i="6"/>
  <c r="W18" i="6"/>
  <c r="W22" i="6"/>
  <c r="U12" i="6"/>
  <c r="U19" i="6"/>
  <c r="U23" i="6"/>
  <c r="W8" i="6"/>
  <c r="X8" i="6" s="1"/>
  <c r="U9" i="6"/>
  <c r="W15" i="6"/>
  <c r="W12" i="6"/>
  <c r="X12" i="6" s="1"/>
  <c r="W19" i="6"/>
  <c r="X19" i="6" s="1"/>
  <c r="U26" i="6"/>
  <c r="W28" i="6"/>
  <c r="X28" i="6" s="1"/>
  <c r="U25" i="6"/>
  <c r="W27" i="6"/>
  <c r="X27" i="6" s="1"/>
  <c r="W26" i="6"/>
  <c r="X26" i="6" s="1"/>
  <c r="W25" i="6"/>
  <c r="X25" i="6" s="1"/>
  <c r="U35" i="6"/>
  <c r="U34" i="6"/>
  <c r="U28" i="6"/>
  <c r="U33" i="6"/>
  <c r="W35" i="6"/>
  <c r="X35" i="6" s="1"/>
  <c r="U32" i="6"/>
  <c r="W34" i="6"/>
  <c r="X34" i="6" s="1"/>
  <c r="U31" i="6"/>
  <c r="W33" i="6"/>
  <c r="X33" i="6" s="1"/>
  <c r="W32" i="6"/>
  <c r="X32" i="6" s="1"/>
  <c r="U30" i="6"/>
  <c r="U29" i="6"/>
  <c r="W31" i="6"/>
  <c r="X31" i="6" s="1"/>
  <c r="U27" i="6"/>
  <c r="W29" i="6"/>
  <c r="X29" i="6" s="1"/>
  <c r="W30" i="6"/>
  <c r="X30" i="6" s="1"/>
  <c r="U13" i="6"/>
  <c r="U16" i="6"/>
  <c r="U20" i="6"/>
  <c r="U24" i="6"/>
  <c r="W16" i="6"/>
  <c r="W20" i="6"/>
  <c r="W24" i="6"/>
  <c r="U6" i="6"/>
  <c r="U17" i="6"/>
  <c r="U21" i="6"/>
  <c r="W10" i="6"/>
  <c r="U14" i="6"/>
  <c r="W6" i="6"/>
  <c r="U11" i="6"/>
  <c r="W17" i="6"/>
  <c r="W21" i="6"/>
  <c r="AJ41" i="5"/>
  <c r="AL41" i="5"/>
  <c r="AJ52" i="5"/>
  <c r="AL52" i="5"/>
  <c r="AL44" i="5"/>
  <c r="AJ44" i="5"/>
  <c r="AJ50" i="5"/>
  <c r="AL36" i="5"/>
  <c r="AJ36" i="5"/>
  <c r="AJ39" i="5"/>
  <c r="AL39" i="5"/>
  <c r="AL49" i="5"/>
  <c r="AJ49" i="5"/>
  <c r="AJ51" i="5"/>
  <c r="AL51" i="5"/>
  <c r="AM39" i="5"/>
  <c r="AM50" i="5"/>
  <c r="AJ34" i="5"/>
  <c r="AE37" i="5"/>
  <c r="AN37" i="5" s="1"/>
  <c r="AD38" i="5"/>
  <c r="W39" i="5"/>
  <c r="AM40" i="5"/>
  <c r="AE47" i="5"/>
  <c r="AN47" i="5" s="1"/>
  <c r="AD48" i="5"/>
  <c r="AM51" i="5"/>
  <c r="U5" i="5"/>
  <c r="U32" i="5"/>
  <c r="AJ35" i="5"/>
  <c r="AE38" i="5"/>
  <c r="AM41" i="5"/>
  <c r="AJ43" i="5"/>
  <c r="AH45" i="5"/>
  <c r="AI45" i="5" s="1"/>
  <c r="AL45" i="5" s="1"/>
  <c r="AE48" i="5"/>
  <c r="AD49" i="5"/>
  <c r="AM52" i="5"/>
  <c r="AD39" i="5"/>
  <c r="AH46" i="5"/>
  <c r="AI46" i="5" s="1"/>
  <c r="AL46" i="5" s="1"/>
  <c r="AE49" i="5"/>
  <c r="AD50" i="5"/>
  <c r="W5" i="5"/>
  <c r="U24" i="5"/>
  <c r="AM34" i="5"/>
  <c r="AH37" i="5"/>
  <c r="AI37" i="5" s="1"/>
  <c r="AJ37" i="5" s="1"/>
  <c r="AE39" i="5"/>
  <c r="AD40" i="5"/>
  <c r="AH47" i="5"/>
  <c r="AI47" i="5" s="1"/>
  <c r="AL47" i="5" s="1"/>
  <c r="AE50" i="5"/>
  <c r="AD51" i="5"/>
  <c r="AM35" i="5"/>
  <c r="AH38" i="5"/>
  <c r="AI38" i="5" s="1"/>
  <c r="AL38" i="5" s="1"/>
  <c r="AE40" i="5"/>
  <c r="AM43" i="5"/>
  <c r="AH48" i="5"/>
  <c r="AI48" i="5" s="1"/>
  <c r="AL48" i="5" s="1"/>
  <c r="AE51" i="5"/>
  <c r="AD52" i="5"/>
  <c r="AE52" i="5"/>
  <c r="U36" i="5"/>
  <c r="AM45" i="5"/>
  <c r="AN45" i="5" s="1"/>
  <c r="AN46" i="5"/>
  <c r="U28" i="5"/>
  <c r="U10" i="5"/>
  <c r="W13" i="5"/>
  <c r="W16" i="5"/>
  <c r="U40" i="5"/>
  <c r="W43" i="5"/>
  <c r="W47" i="5"/>
  <c r="W51" i="5"/>
  <c r="U17" i="5"/>
  <c r="W20" i="5"/>
  <c r="X20" i="5" s="1"/>
  <c r="W24" i="5"/>
  <c r="X24" i="5" s="1"/>
  <c r="W28" i="5"/>
  <c r="X28" i="5" s="1"/>
  <c r="W32" i="5"/>
  <c r="W36" i="5"/>
  <c r="U44" i="5"/>
  <c r="U48" i="5"/>
  <c r="U52" i="5"/>
  <c r="U6" i="5"/>
  <c r="W10" i="5"/>
  <c r="U21" i="5"/>
  <c r="U25" i="5"/>
  <c r="U29" i="5"/>
  <c r="U33" i="5"/>
  <c r="W40" i="5"/>
  <c r="X40" i="5" s="1"/>
  <c r="U11" i="5"/>
  <c r="U14" i="5"/>
  <c r="W17" i="5"/>
  <c r="U37" i="5"/>
  <c r="U41" i="5"/>
  <c r="W44" i="5"/>
  <c r="W48" i="5"/>
  <c r="W52" i="5"/>
  <c r="W6" i="5"/>
  <c r="X6" i="5" s="1"/>
  <c r="U7" i="5"/>
  <c r="U18" i="5"/>
  <c r="W21" i="5"/>
  <c r="W25" i="5"/>
  <c r="W29" i="5"/>
  <c r="W33" i="5"/>
  <c r="U45" i="5"/>
  <c r="U49" i="5"/>
  <c r="L22" i="68"/>
  <c r="W14" i="5"/>
  <c r="U22" i="5"/>
  <c r="U26" i="5"/>
  <c r="U30" i="5"/>
  <c r="U34" i="5"/>
  <c r="W37" i="5"/>
  <c r="W41" i="5"/>
  <c r="P22" i="68"/>
  <c r="W7" i="5"/>
  <c r="U8" i="5"/>
  <c r="U15" i="5"/>
  <c r="W18" i="5"/>
  <c r="U38" i="5"/>
  <c r="U42" i="5"/>
  <c r="W45" i="5"/>
  <c r="X45" i="5" s="1"/>
  <c r="W49" i="5"/>
  <c r="X49" i="5" s="1"/>
  <c r="U12" i="5"/>
  <c r="W22" i="5"/>
  <c r="W26" i="5"/>
  <c r="W30" i="5"/>
  <c r="W34" i="5"/>
  <c r="U46" i="5"/>
  <c r="U50" i="5"/>
  <c r="W8" i="5"/>
  <c r="U9" i="5"/>
  <c r="W15" i="5"/>
  <c r="U19" i="5"/>
  <c r="U23" i="5"/>
  <c r="U27" i="5"/>
  <c r="U31" i="5"/>
  <c r="U35" i="5"/>
  <c r="W38" i="5"/>
  <c r="W42" i="5"/>
  <c r="W12" i="5"/>
  <c r="U39" i="5"/>
  <c r="W46" i="5"/>
  <c r="U54" i="5"/>
  <c r="W56" i="5"/>
  <c r="X56" i="5" s="1"/>
  <c r="U66" i="5"/>
  <c r="W68" i="5"/>
  <c r="X68" i="5" s="1"/>
  <c r="U78" i="5"/>
  <c r="W80" i="5"/>
  <c r="X80" i="5" s="1"/>
  <c r="U53" i="5"/>
  <c r="W55" i="5"/>
  <c r="X55" i="5" s="1"/>
  <c r="U65" i="5"/>
  <c r="W67" i="5"/>
  <c r="X67" i="5" s="1"/>
  <c r="U77" i="5"/>
  <c r="W79" i="5"/>
  <c r="X79" i="5" s="1"/>
  <c r="W54" i="5"/>
  <c r="X54" i="5" s="1"/>
  <c r="U64" i="5"/>
  <c r="W66" i="5"/>
  <c r="X66" i="5" s="1"/>
  <c r="U76" i="5"/>
  <c r="W78" i="5"/>
  <c r="X78" i="5" s="1"/>
  <c r="W70" i="5"/>
  <c r="X70" i="5" s="1"/>
  <c r="W53" i="5"/>
  <c r="X53" i="5" s="1"/>
  <c r="U63" i="5"/>
  <c r="W65" i="5"/>
  <c r="X65" i="5" s="1"/>
  <c r="U75" i="5"/>
  <c r="W77" i="5"/>
  <c r="X77" i="5" s="1"/>
  <c r="U62" i="5"/>
  <c r="W64" i="5"/>
  <c r="X64" i="5" s="1"/>
  <c r="U74" i="5"/>
  <c r="W76" i="5"/>
  <c r="X76" i="5" s="1"/>
  <c r="W58" i="5"/>
  <c r="X58" i="5" s="1"/>
  <c r="U80" i="5"/>
  <c r="W81" i="5"/>
  <c r="X81" i="5" s="1"/>
  <c r="U61" i="5"/>
  <c r="W63" i="5"/>
  <c r="X63" i="5" s="1"/>
  <c r="U73" i="5"/>
  <c r="W75" i="5"/>
  <c r="X75" i="5" s="1"/>
  <c r="U60" i="5"/>
  <c r="W62" i="5"/>
  <c r="X62" i="5" s="1"/>
  <c r="U72" i="5"/>
  <c r="W74" i="5"/>
  <c r="X74" i="5" s="1"/>
  <c r="U84" i="5"/>
  <c r="U56" i="5"/>
  <c r="U68" i="5"/>
  <c r="U59" i="5"/>
  <c r="W61" i="5"/>
  <c r="X61" i="5" s="1"/>
  <c r="U71" i="5"/>
  <c r="W73" i="5"/>
  <c r="X73" i="5" s="1"/>
  <c r="U83" i="5"/>
  <c r="U58" i="5"/>
  <c r="W60" i="5"/>
  <c r="X60" i="5" s="1"/>
  <c r="U70" i="5"/>
  <c r="W72" i="5"/>
  <c r="X72" i="5" s="1"/>
  <c r="U82" i="5"/>
  <c r="W84" i="5"/>
  <c r="X84" i="5" s="1"/>
  <c r="W83" i="5"/>
  <c r="X83" i="5" s="1"/>
  <c r="U57" i="5"/>
  <c r="W59" i="5"/>
  <c r="X59" i="5" s="1"/>
  <c r="U69" i="5"/>
  <c r="W71" i="5"/>
  <c r="X71" i="5" s="1"/>
  <c r="U81" i="5"/>
  <c r="W82" i="5"/>
  <c r="X82" i="5" s="1"/>
  <c r="U55" i="5"/>
  <c r="W57" i="5"/>
  <c r="X57" i="5" s="1"/>
  <c r="U67" i="5"/>
  <c r="W69" i="5"/>
  <c r="X69" i="5" s="1"/>
  <c r="U79" i="5"/>
  <c r="U13" i="5"/>
  <c r="U16" i="5"/>
  <c r="W19" i="5"/>
  <c r="W23" i="5"/>
  <c r="W27" i="5"/>
  <c r="W31" i="5"/>
  <c r="W35" i="5"/>
  <c r="U43" i="5"/>
  <c r="U47" i="5"/>
  <c r="U51" i="5"/>
  <c r="AH20" i="3"/>
  <c r="AI20" i="3" s="1"/>
  <c r="AJ20" i="3" s="1"/>
  <c r="AE22" i="3"/>
  <c r="AM16" i="3"/>
  <c r="J7" i="68"/>
  <c r="AM21" i="3"/>
  <c r="U23" i="3"/>
  <c r="U36" i="3"/>
  <c r="W38" i="3"/>
  <c r="X38" i="3" s="1"/>
  <c r="U35" i="3"/>
  <c r="W37" i="3"/>
  <c r="X37" i="3" s="1"/>
  <c r="W36" i="3"/>
  <c r="X36" i="3" s="1"/>
  <c r="U38" i="3"/>
  <c r="W35" i="3"/>
  <c r="X35" i="3" s="1"/>
  <c r="U37" i="3"/>
  <c r="AL16" i="3"/>
  <c r="W16" i="3"/>
  <c r="AE19" i="3"/>
  <c r="AD16" i="3"/>
  <c r="AE16" i="3"/>
  <c r="AD23" i="3"/>
  <c r="AD15" i="3"/>
  <c r="AD18" i="3"/>
  <c r="AD20" i="3"/>
  <c r="AN20" i="3" s="1"/>
  <c r="AL17" i="3"/>
  <c r="AL20" i="3"/>
  <c r="AJ17" i="3"/>
  <c r="AL19" i="3"/>
  <c r="AJ19" i="3"/>
  <c r="AL15" i="3"/>
  <c r="AJ15" i="3"/>
  <c r="AJ18" i="3"/>
  <c r="AL18" i="3"/>
  <c r="AE15" i="3"/>
  <c r="AN15" i="3" s="1"/>
  <c r="AM17" i="3"/>
  <c r="AE23" i="3"/>
  <c r="W12" i="3"/>
  <c r="W17" i="3"/>
  <c r="X17" i="3" s="1"/>
  <c r="AM18" i="3"/>
  <c r="AH21" i="3"/>
  <c r="AI21" i="3" s="1"/>
  <c r="AL21" i="3" s="1"/>
  <c r="W5" i="3"/>
  <c r="X5" i="3" s="1"/>
  <c r="AM19" i="3"/>
  <c r="AH22" i="3"/>
  <c r="AI22" i="3" s="1"/>
  <c r="AL22" i="3" s="1"/>
  <c r="AD17" i="3"/>
  <c r="AH23" i="3"/>
  <c r="AI23" i="3" s="1"/>
  <c r="AL23" i="3" s="1"/>
  <c r="W6" i="3"/>
  <c r="U7" i="3"/>
  <c r="W13" i="3"/>
  <c r="X13" i="3" s="1"/>
  <c r="AE17" i="3"/>
  <c r="AE18" i="3"/>
  <c r="AD19" i="3"/>
  <c r="W20" i="3"/>
  <c r="X20" i="3" s="1"/>
  <c r="AJ16" i="3"/>
  <c r="W21" i="3"/>
  <c r="AM22" i="3"/>
  <c r="W15" i="3"/>
  <c r="AD21" i="3"/>
  <c r="AN21" i="3" s="1"/>
  <c r="W11" i="3"/>
  <c r="X11" i="3" s="1"/>
  <c r="U10" i="3"/>
  <c r="U6" i="3"/>
  <c r="W10" i="3"/>
  <c r="U17" i="3"/>
  <c r="U21" i="3"/>
  <c r="U11" i="3"/>
  <c r="U14" i="3"/>
  <c r="W14" i="3"/>
  <c r="X14" i="3" s="1"/>
  <c r="U18" i="3"/>
  <c r="U22" i="3"/>
  <c r="W7" i="3"/>
  <c r="U8" i="3"/>
  <c r="U12" i="3"/>
  <c r="U15" i="3"/>
  <c r="W18" i="3"/>
  <c r="X18" i="3" s="1"/>
  <c r="W22" i="3"/>
  <c r="X22" i="3" s="1"/>
  <c r="L7" i="68"/>
  <c r="W8" i="3"/>
  <c r="X8" i="3" s="1"/>
  <c r="U9" i="3"/>
  <c r="U19" i="3"/>
  <c r="P7" i="68"/>
  <c r="U25" i="3"/>
  <c r="W27" i="3"/>
  <c r="X27" i="3" s="1"/>
  <c r="U24" i="3"/>
  <c r="W26" i="3"/>
  <c r="X26" i="3" s="1"/>
  <c r="W25" i="3"/>
  <c r="X25" i="3" s="1"/>
  <c r="W24" i="3"/>
  <c r="X24" i="3" s="1"/>
  <c r="U34" i="3"/>
  <c r="U33" i="3"/>
  <c r="U32" i="3"/>
  <c r="U30" i="3"/>
  <c r="W32" i="3"/>
  <c r="X32" i="3" s="1"/>
  <c r="U29" i="3"/>
  <c r="W31" i="3"/>
  <c r="X31" i="3" s="1"/>
  <c r="W30" i="3"/>
  <c r="X30" i="3" s="1"/>
  <c r="W34" i="3"/>
  <c r="X34" i="3" s="1"/>
  <c r="U28" i="3"/>
  <c r="U31" i="3"/>
  <c r="U27" i="3"/>
  <c r="W29" i="3"/>
  <c r="X29" i="3" s="1"/>
  <c r="U26" i="3"/>
  <c r="W28" i="3"/>
  <c r="X28" i="3" s="1"/>
  <c r="W33" i="3"/>
  <c r="X33" i="3" s="1"/>
  <c r="W19" i="3"/>
  <c r="X19" i="3" s="1"/>
  <c r="W23" i="3"/>
  <c r="X23" i="3" s="1"/>
  <c r="U5" i="3"/>
  <c r="U13" i="3"/>
  <c r="U16" i="3"/>
  <c r="U20" i="3"/>
  <c r="X6" i="62"/>
  <c r="AA6" i="62" s="1"/>
  <c r="AC6" i="62" s="1"/>
  <c r="AP6" i="62" s="1"/>
  <c r="X5" i="62"/>
  <c r="AA5" i="62" s="1"/>
  <c r="AC5" i="62" s="1"/>
  <c r="X13" i="50"/>
  <c r="AA13" i="50" s="1"/>
  <c r="AC13" i="50" s="1"/>
  <c r="AP13" i="50" s="1"/>
  <c r="X7" i="50"/>
  <c r="AA7" i="50" s="1"/>
  <c r="AC7" i="50" s="1"/>
  <c r="AP7" i="50" s="1"/>
  <c r="X5" i="50"/>
  <c r="AA5" i="50" s="1"/>
  <c r="AC5" i="50" s="1"/>
  <c r="AP5" i="50" s="1"/>
  <c r="A18" i="62"/>
  <c r="N38" i="67" s="1"/>
  <c r="T15" i="68"/>
  <c r="E16" i="2" s="1"/>
  <c r="AN9" i="6"/>
  <c r="AN20" i="12"/>
  <c r="AN31" i="12"/>
  <c r="AN200" i="65"/>
  <c r="AN17" i="5"/>
  <c r="AN35" i="5"/>
  <c r="AN19" i="13"/>
  <c r="AN25" i="15"/>
  <c r="AN236" i="15"/>
  <c r="AN240" i="15"/>
  <c r="AN487" i="15"/>
  <c r="AN215" i="65"/>
  <c r="AN32" i="5"/>
  <c r="AN14" i="12"/>
  <c r="AN190" i="65"/>
  <c r="AN208" i="65"/>
  <c r="AN226" i="65"/>
  <c r="AN25" i="5"/>
  <c r="AN43" i="5"/>
  <c r="AN24" i="6"/>
  <c r="AN25" i="12"/>
  <c r="AN10" i="13"/>
  <c r="AN16" i="13"/>
  <c r="AN20" i="13"/>
  <c r="AN11" i="14"/>
  <c r="AN221" i="15"/>
  <c r="AN386" i="15"/>
  <c r="AN433" i="15"/>
  <c r="AN476" i="15"/>
  <c r="AN205" i="65"/>
  <c r="AN12" i="5"/>
  <c r="AN22" i="5"/>
  <c r="AN15" i="12"/>
  <c r="AN22" i="12"/>
  <c r="AN66" i="15"/>
  <c r="AN422" i="15"/>
  <c r="AN469" i="15"/>
  <c r="AN14" i="20"/>
  <c r="T17" i="67"/>
  <c r="AN26" i="12"/>
  <c r="AN51" i="15"/>
  <c r="AN188" i="65"/>
  <c r="AN224" i="65"/>
  <c r="AN23" i="5"/>
  <c r="AN41" i="5"/>
  <c r="AN199" i="65"/>
  <c r="AN16" i="5"/>
  <c r="AN34" i="5"/>
  <c r="AN16" i="12"/>
  <c r="AN36" i="15"/>
  <c r="AN14" i="16"/>
  <c r="AN13" i="24"/>
  <c r="AN11" i="26"/>
  <c r="AN9" i="27"/>
  <c r="AN26" i="29"/>
  <c r="AN38" i="29"/>
  <c r="AN50" i="29"/>
  <c r="AN62" i="29"/>
  <c r="AN74" i="29"/>
  <c r="AN13" i="30"/>
  <c r="AN18" i="15"/>
  <c r="AN40" i="15"/>
  <c r="AN401" i="15"/>
  <c r="AN18" i="19"/>
  <c r="AN10" i="21"/>
  <c r="AN23" i="21"/>
  <c r="AN66" i="69"/>
  <c r="AN21" i="26"/>
  <c r="AN23" i="27"/>
  <c r="AN5" i="29"/>
  <c r="AN12" i="29"/>
  <c r="AN16" i="31"/>
  <c r="AN42" i="32"/>
  <c r="AN143" i="32"/>
  <c r="AN17" i="44"/>
  <c r="AN50" i="46"/>
  <c r="AN13" i="52"/>
  <c r="AN249" i="15"/>
  <c r="AN297" i="15"/>
  <c r="AN315" i="15"/>
  <c r="AN333" i="15"/>
  <c r="AN369" i="15"/>
  <c r="AN387" i="15"/>
  <c r="AN405" i="15"/>
  <c r="AN423" i="15"/>
  <c r="AN441" i="15"/>
  <c r="AN459" i="15"/>
  <c r="AN477" i="15"/>
  <c r="AN13" i="74"/>
  <c r="AN12" i="19"/>
  <c r="AN19" i="23"/>
  <c r="AN24" i="24"/>
  <c r="AN43" i="29"/>
  <c r="AN51" i="29"/>
  <c r="AN55" i="29"/>
  <c r="AN12" i="71"/>
  <c r="AN16" i="59"/>
  <c r="AN12" i="14"/>
  <c r="AN9" i="15"/>
  <c r="AN22" i="15"/>
  <c r="AN30" i="15"/>
  <c r="AN41" i="15"/>
  <c r="AN45" i="15"/>
  <c r="AN290" i="15"/>
  <c r="AN344" i="15"/>
  <c r="AN416" i="15"/>
  <c r="AN17" i="21"/>
  <c r="AN23" i="29"/>
  <c r="AN71" i="29"/>
  <c r="AN79" i="29"/>
  <c r="AN11" i="31"/>
  <c r="AN59" i="31"/>
  <c r="AN89" i="32"/>
  <c r="AN14" i="44"/>
  <c r="AN44" i="75"/>
  <c r="AN71" i="15"/>
  <c r="AN75" i="15"/>
  <c r="AN83" i="15"/>
  <c r="AN87" i="15"/>
  <c r="AN95" i="15"/>
  <c r="AN99" i="15"/>
  <c r="AN111" i="15"/>
  <c r="AN119" i="15"/>
  <c r="AN123" i="15"/>
  <c r="AN276" i="15"/>
  <c r="AN312" i="15"/>
  <c r="AN330" i="15"/>
  <c r="AN366" i="15"/>
  <c r="AN402" i="15"/>
  <c r="AN470" i="15"/>
  <c r="AN488" i="15"/>
  <c r="AN42" i="22"/>
  <c r="AN46" i="22"/>
  <c r="AN24" i="69"/>
  <c r="AN16" i="23"/>
  <c r="AN22" i="26"/>
  <c r="AN20" i="27"/>
  <c r="AN14" i="28"/>
  <c r="AN24" i="28"/>
  <c r="AN14" i="33"/>
  <c r="AN211" i="15"/>
  <c r="AN238" i="15"/>
  <c r="AN246" i="15"/>
  <c r="AN250" i="15"/>
  <c r="AN359" i="15"/>
  <c r="AN377" i="15"/>
  <c r="AN395" i="15"/>
  <c r="AN413" i="15"/>
  <c r="AN14" i="74"/>
  <c r="AN13" i="19"/>
  <c r="AN11" i="69"/>
  <c r="AN17" i="69"/>
  <c r="AN35" i="69"/>
  <c r="AN25" i="24"/>
  <c r="AN18" i="25"/>
  <c r="AN11" i="28"/>
  <c r="AN21" i="28"/>
  <c r="AN16" i="29"/>
  <c r="AN24" i="29"/>
  <c r="AN28" i="29"/>
  <c r="AN36" i="29"/>
  <c r="AN40" i="29"/>
  <c r="AN48" i="29"/>
  <c r="AN52" i="29"/>
  <c r="AN60" i="29"/>
  <c r="AN76" i="29"/>
  <c r="AN21" i="31"/>
  <c r="AN28" i="31"/>
  <c r="AN78" i="32"/>
  <c r="AN125" i="32"/>
  <c r="AN19" i="42"/>
  <c r="AN13" i="55"/>
  <c r="AN13" i="15"/>
  <c r="AN38" i="15"/>
  <c r="AN42" i="15"/>
  <c r="AN53" i="15"/>
  <c r="AN68" i="15"/>
  <c r="AN57" i="15"/>
  <c r="AN72" i="15"/>
  <c r="AN156" i="15"/>
  <c r="AN262" i="15"/>
  <c r="AN374" i="15"/>
  <c r="AN392" i="15"/>
  <c r="AN410" i="15"/>
  <c r="AN10" i="19"/>
  <c r="AN9" i="22"/>
  <c r="AN23" i="72"/>
  <c r="AN24" i="23"/>
  <c r="AN22" i="24"/>
  <c r="AN13" i="26"/>
  <c r="AN16" i="26"/>
  <c r="AN11" i="27"/>
  <c r="AN17" i="27"/>
  <c r="AN7" i="29"/>
  <c r="AN15" i="30"/>
  <c r="AN18" i="31"/>
  <c r="AN25" i="31"/>
  <c r="AN71" i="32"/>
  <c r="AN11" i="41"/>
  <c r="AN75" i="46"/>
  <c r="AN9" i="75"/>
  <c r="AN88" i="15"/>
  <c r="AN100" i="15"/>
  <c r="AN112" i="15"/>
  <c r="AN306" i="15"/>
  <c r="AN342" i="15"/>
  <c r="AN396" i="15"/>
  <c r="AN414" i="15"/>
  <c r="AN450" i="15"/>
  <c r="AN468" i="15"/>
  <c r="AN482" i="15"/>
  <c r="AN486" i="15"/>
  <c r="AN9" i="74"/>
  <c r="AN14" i="62"/>
  <c r="AN39" i="15"/>
  <c r="AN54" i="15"/>
  <c r="AN69" i="15"/>
  <c r="AN281" i="15"/>
  <c r="AN299" i="15"/>
  <c r="AN335" i="15"/>
  <c r="AN353" i="15"/>
  <c r="AN371" i="15"/>
  <c r="AN73" i="20"/>
  <c r="AN9" i="21"/>
  <c r="AN10" i="72"/>
  <c r="AN24" i="72"/>
  <c r="AN11" i="23"/>
  <c r="AN21" i="23"/>
  <c r="AN19" i="24"/>
  <c r="AN12" i="28"/>
  <c r="AN48" i="28"/>
  <c r="AN17" i="29"/>
  <c r="AN29" i="29"/>
  <c r="AN41" i="29"/>
  <c r="AN53" i="29"/>
  <c r="AN65" i="29"/>
  <c r="AN77" i="29"/>
  <c r="AN15" i="31"/>
  <c r="AN22" i="31"/>
  <c r="AN45" i="31"/>
  <c r="AN49" i="31"/>
  <c r="AN53" i="31"/>
  <c r="AN57" i="31"/>
  <c r="AN60" i="32"/>
  <c r="AN68" i="46"/>
  <c r="AN23" i="52"/>
  <c r="AN16" i="61"/>
  <c r="AN17" i="15"/>
  <c r="AN32" i="15"/>
  <c r="AN47" i="15"/>
  <c r="AN62" i="15"/>
  <c r="AN77" i="15"/>
  <c r="AN81" i="15"/>
  <c r="AN89" i="15"/>
  <c r="AN93" i="15"/>
  <c r="AN101" i="15"/>
  <c r="AN105" i="15"/>
  <c r="AN113" i="15"/>
  <c r="AN117" i="15"/>
  <c r="AN137" i="15"/>
  <c r="AN141" i="15"/>
  <c r="AN149" i="15"/>
  <c r="AN161" i="15"/>
  <c r="AN173" i="15"/>
  <c r="AN177" i="15"/>
  <c r="AN197" i="15"/>
  <c r="AN213" i="15"/>
  <c r="AN267" i="15"/>
  <c r="AN285" i="15"/>
  <c r="AN303" i="15"/>
  <c r="AN321" i="15"/>
  <c r="AN339" i="15"/>
  <c r="AN357" i="15"/>
  <c r="AN375" i="15"/>
  <c r="AN393" i="15"/>
  <c r="AN411" i="15"/>
  <c r="AN425" i="15"/>
  <c r="AN429" i="15"/>
  <c r="AN447" i="15"/>
  <c r="AN465" i="15"/>
  <c r="AN479" i="15"/>
  <c r="AN483" i="15"/>
  <c r="AN11" i="16"/>
  <c r="AN17" i="16"/>
  <c r="AN21" i="16"/>
  <c r="AN11" i="20"/>
  <c r="AN13" i="21"/>
  <c r="AN16" i="22"/>
  <c r="AN24" i="22"/>
  <c r="AN28" i="22"/>
  <c r="AN32" i="22"/>
  <c r="AN36" i="22"/>
  <c r="AN40" i="22"/>
  <c r="AN44" i="22"/>
  <c r="AN9" i="69"/>
  <c r="AN33" i="69"/>
  <c r="AN17" i="72"/>
  <c r="AN25" i="23"/>
  <c r="AN16" i="25"/>
  <c r="AN42" i="28"/>
  <c r="AN8" i="29"/>
  <c r="AN14" i="29"/>
  <c r="AN19" i="30"/>
  <c r="AN107" i="32"/>
  <c r="AN13" i="73"/>
  <c r="AN9" i="32"/>
  <c r="AN85" i="32"/>
  <c r="AN103" i="32"/>
  <c r="AN121" i="32"/>
  <c r="AN139" i="32"/>
  <c r="AN157" i="32"/>
  <c r="AN24" i="33"/>
  <c r="AN14" i="34"/>
  <c r="AN13" i="35"/>
  <c r="AN10" i="36"/>
  <c r="AN16" i="36"/>
  <c r="AN20" i="36"/>
  <c r="AN24" i="36"/>
  <c r="AN15" i="37"/>
  <c r="AN9" i="38"/>
  <c r="AN9" i="39"/>
  <c r="AN12" i="39"/>
  <c r="AN21" i="41"/>
  <c r="AN9" i="42"/>
  <c r="AN12" i="42"/>
  <c r="AN15" i="42"/>
  <c r="AN17" i="45"/>
  <c r="AN11" i="46"/>
  <c r="AN28" i="46"/>
  <c r="AN11" i="47"/>
  <c r="AN45" i="47"/>
  <c r="AN15" i="75"/>
  <c r="AN22" i="75"/>
  <c r="AN40" i="75"/>
  <c r="AN58" i="75"/>
  <c r="AN14" i="50"/>
  <c r="AN21" i="50"/>
  <c r="AN18" i="51"/>
  <c r="AN22" i="51"/>
  <c r="AN16" i="53"/>
  <c r="AN20" i="53"/>
  <c r="AN24" i="53"/>
  <c r="AN28" i="53"/>
  <c r="AN32" i="53"/>
  <c r="AN36" i="53"/>
  <c r="AN40" i="53"/>
  <c r="AN44" i="53"/>
  <c r="AN48" i="53"/>
  <c r="AN52" i="53"/>
  <c r="AN15" i="71"/>
  <c r="AN22" i="71"/>
  <c r="AN16" i="73"/>
  <c r="AN20" i="73"/>
  <c r="AN24" i="73"/>
  <c r="AN11" i="56"/>
  <c r="AN24" i="56"/>
  <c r="AN22" i="58"/>
  <c r="AN50" i="32"/>
  <c r="AN68" i="32"/>
  <c r="AN86" i="32"/>
  <c r="AN17" i="36"/>
  <c r="AN21" i="36"/>
  <c r="AN22" i="37"/>
  <c r="AN14" i="66"/>
  <c r="AN36" i="39"/>
  <c r="AN48" i="39"/>
  <c r="AN10" i="40"/>
  <c r="AN20" i="40"/>
  <c r="AN29" i="46"/>
  <c r="AN42" i="47"/>
  <c r="AN54" i="47"/>
  <c r="AN15" i="60"/>
  <c r="AN10" i="61"/>
  <c r="AN18" i="62"/>
  <c r="AN115" i="32"/>
  <c r="AN151" i="32"/>
  <c r="AN18" i="33"/>
  <c r="AN13" i="37"/>
  <c r="AN16" i="38"/>
  <c r="AN20" i="38"/>
  <c r="AN24" i="38"/>
  <c r="AN8" i="66"/>
  <c r="AN20" i="42"/>
  <c r="AN58" i="46"/>
  <c r="AN76" i="46"/>
  <c r="AN62" i="47"/>
  <c r="AN16" i="75"/>
  <c r="AN34" i="75"/>
  <c r="AN14" i="49"/>
  <c r="AN15" i="50"/>
  <c r="AN16" i="54"/>
  <c r="AN39" i="57"/>
  <c r="AN43" i="57"/>
  <c r="AN47" i="57"/>
  <c r="AN17" i="59"/>
  <c r="AN21" i="59"/>
  <c r="AN9" i="60"/>
  <c r="AN12" i="60"/>
  <c r="AN19" i="60"/>
  <c r="AN17" i="61"/>
  <c r="AN21" i="61"/>
  <c r="AN24" i="32"/>
  <c r="AN65" i="32"/>
  <c r="AN83" i="32"/>
  <c r="AN137" i="32"/>
  <c r="AN22" i="33"/>
  <c r="AN16" i="37"/>
  <c r="AN17" i="39"/>
  <c r="AN25" i="39"/>
  <c r="AN29" i="39"/>
  <c r="AN37" i="39"/>
  <c r="AN41" i="39"/>
  <c r="AN11" i="40"/>
  <c r="AN21" i="40"/>
  <c r="AN26" i="46"/>
  <c r="AN44" i="46"/>
  <c r="AN62" i="46"/>
  <c r="AN47" i="47"/>
  <c r="AN55" i="47"/>
  <c r="AN27" i="75"/>
  <c r="AN63" i="75"/>
  <c r="AN18" i="49"/>
  <c r="AN22" i="49"/>
  <c r="AN14" i="52"/>
  <c r="AN23" i="54"/>
  <c r="AN23" i="60"/>
  <c r="AN40" i="32"/>
  <c r="AN58" i="32"/>
  <c r="AN76" i="32"/>
  <c r="AN112" i="32"/>
  <c r="AN166" i="32"/>
  <c r="AN18" i="36"/>
  <c r="AN22" i="36"/>
  <c r="AN19" i="41"/>
  <c r="AN20" i="43"/>
  <c r="AN15" i="44"/>
  <c r="AN19" i="46"/>
  <c r="AN37" i="46"/>
  <c r="AN55" i="46"/>
  <c r="AN73" i="46"/>
  <c r="AN39" i="47"/>
  <c r="AN59" i="47"/>
  <c r="AN31" i="75"/>
  <c r="AN49" i="75"/>
  <c r="AN67" i="75"/>
  <c r="AN13" i="51"/>
  <c r="AN16" i="51"/>
  <c r="AN20" i="51"/>
  <c r="AN24" i="51"/>
  <c r="AN34" i="53"/>
  <c r="AN38" i="53"/>
  <c r="AN42" i="53"/>
  <c r="AN46" i="53"/>
  <c r="AN50" i="53"/>
  <c r="AN54" i="53"/>
  <c r="AN18" i="73"/>
  <c r="AN22" i="73"/>
  <c r="AN20" i="54"/>
  <c r="AN11" i="55"/>
  <c r="AN23" i="62"/>
  <c r="AN62" i="32"/>
  <c r="AN116" i="32"/>
  <c r="AN134" i="32"/>
  <c r="AN19" i="33"/>
  <c r="AN15" i="35"/>
  <c r="AN21" i="35"/>
  <c r="AN11" i="38"/>
  <c r="AN17" i="38"/>
  <c r="AN21" i="38"/>
  <c r="AN9" i="66"/>
  <c r="AN19" i="44"/>
  <c r="AN23" i="46"/>
  <c r="AN11" i="52"/>
  <c r="AN22" i="59"/>
  <c r="AN20" i="60"/>
  <c r="AN18" i="61"/>
  <c r="AN91" i="32"/>
  <c r="AN22" i="40"/>
  <c r="AN15" i="43"/>
  <c r="AN70" i="46"/>
  <c r="AN63" i="47"/>
  <c r="AN28" i="75"/>
  <c r="AN46" i="75"/>
  <c r="AN64" i="75"/>
  <c r="AN15" i="52"/>
  <c r="AN14" i="58"/>
  <c r="AN13" i="60"/>
  <c r="AN16" i="62"/>
  <c r="AN11" i="63"/>
  <c r="AN14" i="64"/>
  <c r="AN14" i="32"/>
  <c r="AN41" i="32"/>
  <c r="AN77" i="32"/>
  <c r="AN113" i="32"/>
  <c r="AN167" i="32"/>
  <c r="AN15" i="36"/>
  <c r="AN46" i="39"/>
  <c r="AN16" i="41"/>
  <c r="AN19" i="43"/>
  <c r="AN16" i="44"/>
  <c r="AN57" i="75"/>
  <c r="AN20" i="50"/>
  <c r="AN55" i="53"/>
  <c r="AN11" i="71"/>
  <c r="AN23" i="73"/>
  <c r="AN12" i="61"/>
  <c r="AN30" i="32"/>
  <c r="AN70" i="32"/>
  <c r="AN106" i="32"/>
  <c r="AN13" i="33"/>
  <c r="AN18" i="38"/>
  <c r="AN22" i="38"/>
  <c r="AN23" i="45"/>
  <c r="AN31" i="46"/>
  <c r="AN49" i="46"/>
  <c r="AN67" i="46"/>
  <c r="AN14" i="75"/>
  <c r="AN25" i="75"/>
  <c r="AN43" i="75"/>
  <c r="AN61" i="75"/>
  <c r="AN14" i="71"/>
  <c r="AN12" i="55"/>
  <c r="AN41" i="57"/>
  <c r="AN45" i="57"/>
  <c r="AN23" i="59"/>
  <c r="AN15" i="63"/>
  <c r="AN18" i="63"/>
  <c r="AN56" i="32"/>
  <c r="AN92" i="32"/>
  <c r="AN110" i="32"/>
  <c r="AN146" i="32"/>
  <c r="AN17" i="34"/>
  <c r="AN21" i="34"/>
  <c r="AN19" i="39"/>
  <c r="AN23" i="39"/>
  <c r="AN35" i="39"/>
  <c r="AN47" i="39"/>
  <c r="AN10" i="44"/>
  <c r="AN17" i="46"/>
  <c r="AN35" i="46"/>
  <c r="AN53" i="46"/>
  <c r="AN71" i="46"/>
  <c r="AN36" i="75"/>
  <c r="AN54" i="75"/>
  <c r="AN13" i="49"/>
  <c r="AN16" i="49"/>
  <c r="AN24" i="49"/>
  <c r="AN17" i="50"/>
  <c r="AN24" i="50"/>
  <c r="AN14" i="51"/>
  <c r="AN19" i="52"/>
  <c r="AN18" i="71"/>
  <c r="AN11" i="57"/>
  <c r="AN12" i="58"/>
  <c r="AN14" i="60"/>
  <c r="AN12" i="63"/>
  <c r="AN9" i="64"/>
  <c r="AN19" i="64"/>
  <c r="AN23" i="64"/>
  <c r="T28" i="68"/>
  <c r="T31" i="68"/>
  <c r="E28" i="2" s="1"/>
  <c r="T23" i="67"/>
  <c r="T35" i="68"/>
  <c r="AN13" i="12"/>
  <c r="AN23" i="6"/>
  <c r="AN248" i="15"/>
  <c r="AN266" i="15"/>
  <c r="AN284" i="15"/>
  <c r="AN302" i="15"/>
  <c r="AN320" i="15"/>
  <c r="AN338" i="15"/>
  <c r="AN234" i="15"/>
  <c r="AN252" i="15"/>
  <c r="AN270" i="15"/>
  <c r="AN288" i="15"/>
  <c r="AN242" i="15"/>
  <c r="AN260" i="15"/>
  <c r="AN278" i="15"/>
  <c r="AN296" i="15"/>
  <c r="AN314" i="15"/>
  <c r="AN332" i="15"/>
  <c r="AN239" i="15"/>
  <c r="AN257" i="15"/>
  <c r="AN275" i="15"/>
  <c r="AN293" i="15"/>
  <c r="AN311" i="15"/>
  <c r="AN329" i="15"/>
  <c r="AN347" i="15"/>
  <c r="AN243" i="15"/>
  <c r="AN261" i="15"/>
  <c r="AN279" i="15"/>
  <c r="AN251" i="15"/>
  <c r="AN269" i="15"/>
  <c r="AN287" i="15"/>
  <c r="AN305" i="15"/>
  <c r="AN323" i="15"/>
  <c r="AN341" i="15"/>
  <c r="AN16" i="16"/>
  <c r="AN10" i="69"/>
  <c r="AN19" i="16"/>
  <c r="AN35" i="31"/>
  <c r="AN39" i="31"/>
  <c r="AN43" i="31"/>
  <c r="AN51" i="31"/>
  <c r="AN8" i="32"/>
  <c r="AN28" i="32"/>
  <c r="AN46" i="32"/>
  <c r="AN64" i="32"/>
  <c r="AN23" i="32"/>
  <c r="AN31" i="32"/>
  <c r="AN49" i="32"/>
  <c r="AN67" i="32"/>
  <c r="AN22" i="44"/>
  <c r="AN24" i="63"/>
  <c r="AN14" i="45"/>
  <c r="I31" i="68"/>
  <c r="I50" i="68"/>
  <c r="I66" i="67"/>
  <c r="A20" i="27"/>
  <c r="X6" i="50"/>
  <c r="Z6" i="50" s="1"/>
  <c r="AB6" i="50" s="1"/>
  <c r="AO6" i="50" s="1"/>
  <c r="I59" i="68"/>
  <c r="X14" i="62"/>
  <c r="AA14" i="62" s="1"/>
  <c r="AC14" i="62" s="1"/>
  <c r="AP14" i="62" s="1"/>
  <c r="I61" i="68"/>
  <c r="X18" i="50"/>
  <c r="AA18" i="50" s="1"/>
  <c r="AC18" i="50" s="1"/>
  <c r="AP18" i="50" s="1"/>
  <c r="X22" i="27"/>
  <c r="AA22" i="27" s="1"/>
  <c r="AC22" i="27" s="1"/>
  <c r="AP22" i="27" s="1"/>
  <c r="I33" i="68"/>
  <c r="I56" i="68"/>
  <c r="I58" i="68"/>
  <c r="N58" i="68" s="1"/>
  <c r="O42" i="67"/>
  <c r="I57" i="67"/>
  <c r="X19" i="27"/>
  <c r="Z19" i="27" s="1"/>
  <c r="AB19" i="27" s="1"/>
  <c r="AO19" i="27" s="1"/>
  <c r="X11" i="50"/>
  <c r="AA11" i="50" s="1"/>
  <c r="AC11" i="50" s="1"/>
  <c r="AP11" i="50" s="1"/>
  <c r="X14" i="50"/>
  <c r="AA14" i="50" s="1"/>
  <c r="AC14" i="50" s="1"/>
  <c r="N50" i="67"/>
  <c r="O59" i="67"/>
  <c r="I57" i="68"/>
  <c r="I66" i="68"/>
  <c r="I48" i="67"/>
  <c r="I56" i="67"/>
  <c r="X14" i="18"/>
  <c r="Z14" i="18" s="1"/>
  <c r="AB14" i="18" s="1"/>
  <c r="AO14" i="18" s="1"/>
  <c r="X29" i="28"/>
  <c r="AA29" i="28" s="1"/>
  <c r="AC29" i="28" s="1"/>
  <c r="AP29" i="28" s="1"/>
  <c r="X19" i="50"/>
  <c r="AA19" i="50" s="1"/>
  <c r="AC19" i="50" s="1"/>
  <c r="AP19" i="50" s="1"/>
  <c r="X16" i="62"/>
  <c r="Z16" i="62" s="1"/>
  <c r="AB16" i="62" s="1"/>
  <c r="AO16" i="62" s="1"/>
  <c r="I68" i="68"/>
  <c r="I49" i="67"/>
  <c r="X7" i="42"/>
  <c r="AA7" i="42" s="1"/>
  <c r="AC7" i="42" s="1"/>
  <c r="AP7" i="42" s="1"/>
  <c r="X222" i="65"/>
  <c r="Z222" i="65" s="1"/>
  <c r="AB222" i="65" s="1"/>
  <c r="AO222" i="65" s="1"/>
  <c r="X210" i="65"/>
  <c r="Z210" i="65" s="1"/>
  <c r="AB210" i="65" s="1"/>
  <c r="AO210" i="65" s="1"/>
  <c r="I6" i="68"/>
  <c r="I65" i="68"/>
  <c r="X24" i="42"/>
  <c r="AA24" i="42" s="1"/>
  <c r="AC24" i="42" s="1"/>
  <c r="AP24" i="42" s="1"/>
  <c r="X6" i="42"/>
  <c r="AA6" i="42" s="1"/>
  <c r="AC6" i="42" s="1"/>
  <c r="AP6" i="42" s="1"/>
  <c r="X17" i="42"/>
  <c r="Z17" i="42" s="1"/>
  <c r="AB17" i="42" s="1"/>
  <c r="AO17" i="42" s="1"/>
  <c r="X10" i="42"/>
  <c r="AA10" i="42" s="1"/>
  <c r="AC10" i="42" s="1"/>
  <c r="AP10" i="42" s="1"/>
  <c r="X20" i="42"/>
  <c r="AA20" i="42" s="1"/>
  <c r="AC20" i="42" s="1"/>
  <c r="AP20" i="42" s="1"/>
  <c r="X15" i="42"/>
  <c r="AA15" i="42" s="1"/>
  <c r="AC15" i="42" s="1"/>
  <c r="X11" i="42"/>
  <c r="AA11" i="42" s="1"/>
  <c r="AC11" i="42" s="1"/>
  <c r="AP11" i="42" s="1"/>
  <c r="X6" i="16"/>
  <c r="Z6" i="16" s="1"/>
  <c r="AB6" i="16" s="1"/>
  <c r="AO6" i="16" s="1"/>
  <c r="I72" i="68"/>
  <c r="I43" i="67"/>
  <c r="I55" i="68"/>
  <c r="I51" i="67"/>
  <c r="I53" i="68"/>
  <c r="N60" i="68"/>
  <c r="I44" i="67"/>
  <c r="X9" i="28"/>
  <c r="Z9" i="28" s="1"/>
  <c r="AB9" i="28" s="1"/>
  <c r="AO9" i="28" s="1"/>
  <c r="A18" i="42"/>
  <c r="X9" i="50"/>
  <c r="X10" i="50"/>
  <c r="X20" i="50"/>
  <c r="Z20" i="50" s="1"/>
  <c r="AB20" i="50" s="1"/>
  <c r="AO20" i="50" s="1"/>
  <c r="X17" i="62"/>
  <c r="AA17" i="62" s="1"/>
  <c r="AC17" i="62" s="1"/>
  <c r="AP17" i="62" s="1"/>
  <c r="X9" i="3"/>
  <c r="Z9" i="3" s="1"/>
  <c r="AB9" i="3" s="1"/>
  <c r="AO9" i="3" s="1"/>
  <c r="I35" i="68"/>
  <c r="O45" i="67"/>
  <c r="I52" i="67"/>
  <c r="A18" i="50"/>
  <c r="X8" i="50"/>
  <c r="X12" i="50"/>
  <c r="AA12" i="50" s="1"/>
  <c r="AC12" i="50" s="1"/>
  <c r="AP12" i="50" s="1"/>
  <c r="X17" i="50"/>
  <c r="Z17" i="50" s="1"/>
  <c r="AB17" i="50" s="1"/>
  <c r="AO17" i="50" s="1"/>
  <c r="X50" i="12"/>
  <c r="X42" i="12"/>
  <c r="X38" i="12"/>
  <c r="X30" i="12"/>
  <c r="X26" i="12"/>
  <c r="X20" i="12"/>
  <c r="X12" i="12"/>
  <c r="X11" i="12"/>
  <c r="X43" i="12"/>
  <c r="X27" i="12"/>
  <c r="X9" i="12"/>
  <c r="X49" i="12"/>
  <c r="X39" i="12"/>
  <c r="X36" i="12"/>
  <c r="X33" i="12"/>
  <c r="X21" i="12"/>
  <c r="I11" i="68"/>
  <c r="X48" i="12"/>
  <c r="X45" i="12"/>
  <c r="X23" i="12"/>
  <c r="X18" i="12"/>
  <c r="X13" i="12"/>
  <c r="X47" i="12"/>
  <c r="X6" i="12"/>
  <c r="X31" i="12"/>
  <c r="X25" i="12"/>
  <c r="X22" i="12"/>
  <c r="A20" i="12"/>
  <c r="X10" i="12"/>
  <c r="X20" i="14"/>
  <c r="X19" i="14"/>
  <c r="X12" i="14"/>
  <c r="X11" i="14"/>
  <c r="X7" i="14"/>
  <c r="X17" i="14"/>
  <c r="X14" i="14"/>
  <c r="X5" i="14"/>
  <c r="X23" i="14"/>
  <c r="X18" i="14"/>
  <c r="I13" i="68"/>
  <c r="X13" i="14"/>
  <c r="X9" i="14"/>
  <c r="X8" i="14"/>
  <c r="X6" i="14"/>
  <c r="A20" i="14"/>
  <c r="X15" i="14"/>
  <c r="X22" i="14"/>
  <c r="X10" i="14"/>
  <c r="X52" i="5"/>
  <c r="X48" i="5"/>
  <c r="X44" i="5"/>
  <c r="X36" i="5"/>
  <c r="X32" i="5"/>
  <c r="X42" i="5"/>
  <c r="X39" i="5"/>
  <c r="X29" i="5"/>
  <c r="X26" i="5"/>
  <c r="X18" i="5"/>
  <c r="X17" i="5"/>
  <c r="X10" i="5"/>
  <c r="X9" i="5"/>
  <c r="X22" i="5"/>
  <c r="X21" i="5"/>
  <c r="X8" i="5"/>
  <c r="X5" i="5"/>
  <c r="X51" i="5"/>
  <c r="X41" i="5"/>
  <c r="X38" i="5"/>
  <c r="X35" i="5"/>
  <c r="X25" i="5"/>
  <c r="X19" i="5"/>
  <c r="X12" i="5"/>
  <c r="X11" i="5"/>
  <c r="X7" i="5"/>
  <c r="I9" i="68"/>
  <c r="X50" i="5"/>
  <c r="X47" i="5"/>
  <c r="X37" i="5"/>
  <c r="X34" i="5"/>
  <c r="X31" i="5"/>
  <c r="A20" i="5"/>
  <c r="X14" i="5"/>
  <c r="X13" i="5"/>
  <c r="X23" i="5"/>
  <c r="X15" i="5"/>
  <c r="X30" i="5"/>
  <c r="X46" i="5"/>
  <c r="X43" i="5"/>
  <c r="X33" i="5"/>
  <c r="X16" i="5"/>
  <c r="X27" i="5"/>
  <c r="X55" i="53"/>
  <c r="X47" i="53"/>
  <c r="X43" i="53"/>
  <c r="X39" i="53"/>
  <c r="X35" i="53"/>
  <c r="X31" i="53"/>
  <c r="X27" i="53"/>
  <c r="X22" i="53"/>
  <c r="X21" i="53"/>
  <c r="A20" i="53"/>
  <c r="X52" i="53"/>
  <c r="X49" i="53"/>
  <c r="X46" i="53"/>
  <c r="X36" i="53"/>
  <c r="X33" i="53"/>
  <c r="X30" i="53"/>
  <c r="X12" i="53"/>
  <c r="X11" i="53"/>
  <c r="X7" i="53"/>
  <c r="X45" i="53"/>
  <c r="X44" i="53"/>
  <c r="X42" i="53"/>
  <c r="X41" i="53"/>
  <c r="X40" i="53"/>
  <c r="X34" i="53"/>
  <c r="X16" i="53"/>
  <c r="X38" i="53"/>
  <c r="X37" i="53"/>
  <c r="X13" i="53"/>
  <c r="X9" i="53"/>
  <c r="X8" i="53"/>
  <c r="X54" i="53"/>
  <c r="X18" i="53"/>
  <c r="X15" i="53"/>
  <c r="X10" i="53"/>
  <c r="X32" i="53"/>
  <c r="X26" i="53"/>
  <c r="X28" i="53"/>
  <c r="X25" i="53"/>
  <c r="X20" i="53"/>
  <c r="X17" i="53"/>
  <c r="X5" i="53"/>
  <c r="X14" i="53"/>
  <c r="X24" i="53"/>
  <c r="I23" i="67"/>
  <c r="X24" i="55"/>
  <c r="X23" i="55"/>
  <c r="X15" i="55"/>
  <c r="X20" i="55"/>
  <c r="X6" i="55"/>
  <c r="X14" i="55"/>
  <c r="X11" i="55"/>
  <c r="X8" i="55"/>
  <c r="A20" i="55"/>
  <c r="X19" i="55"/>
  <c r="X18" i="55"/>
  <c r="X10" i="55"/>
  <c r="X13" i="55"/>
  <c r="X7" i="55"/>
  <c r="X21" i="55"/>
  <c r="X17" i="55"/>
  <c r="X12" i="55"/>
  <c r="X5" i="55"/>
  <c r="I27" i="67"/>
  <c r="N52" i="68"/>
  <c r="X24" i="72"/>
  <c r="X23" i="72"/>
  <c r="X16" i="72"/>
  <c r="X15" i="72"/>
  <c r="X6" i="72"/>
  <c r="X18" i="72"/>
  <c r="X17" i="72"/>
  <c r="X10" i="72"/>
  <c r="X9" i="72"/>
  <c r="X7" i="72"/>
  <c r="X8" i="72"/>
  <c r="X21" i="72"/>
  <c r="A18" i="72"/>
  <c r="X13" i="72"/>
  <c r="X20" i="72"/>
  <c r="X14" i="72"/>
  <c r="X19" i="72"/>
  <c r="X11" i="72"/>
  <c r="I28" i="68"/>
  <c r="X12" i="72"/>
  <c r="X5" i="72"/>
  <c r="X18" i="54"/>
  <c r="X10" i="54"/>
  <c r="X9" i="54"/>
  <c r="A18" i="54"/>
  <c r="X11" i="54"/>
  <c r="X5" i="54"/>
  <c r="X22" i="54"/>
  <c r="A20" i="54"/>
  <c r="X7" i="54"/>
  <c r="X16" i="54"/>
  <c r="X14" i="54"/>
  <c r="X6" i="54"/>
  <c r="X19" i="54"/>
  <c r="X24" i="54"/>
  <c r="X12" i="54"/>
  <c r="X21" i="54"/>
  <c r="X20" i="21"/>
  <c r="X19" i="21"/>
  <c r="X12" i="21"/>
  <c r="X11" i="21"/>
  <c r="X7" i="21"/>
  <c r="X22" i="21"/>
  <c r="X21" i="21"/>
  <c r="A20" i="21"/>
  <c r="X13" i="21"/>
  <c r="X5" i="21"/>
  <c r="X16" i="21"/>
  <c r="X15" i="21"/>
  <c r="X10" i="21"/>
  <c r="X6" i="21"/>
  <c r="X17" i="21"/>
  <c r="X24" i="21"/>
  <c r="X9" i="21"/>
  <c r="X18" i="21"/>
  <c r="I21" i="68"/>
  <c r="X20" i="45"/>
  <c r="X19" i="45"/>
  <c r="X12" i="45"/>
  <c r="X7" i="45"/>
  <c r="X22" i="45"/>
  <c r="X21" i="45"/>
  <c r="A20" i="45"/>
  <c r="X14" i="45"/>
  <c r="X13" i="45"/>
  <c r="X8" i="45"/>
  <c r="X5" i="45"/>
  <c r="X16" i="45"/>
  <c r="X15" i="45"/>
  <c r="X10" i="45"/>
  <c r="X6" i="45"/>
  <c r="X18" i="45"/>
  <c r="X17" i="45"/>
  <c r="X9" i="45"/>
  <c r="X24" i="45"/>
  <c r="X23" i="45"/>
  <c r="I13" i="67"/>
  <c r="X24" i="49"/>
  <c r="X23" i="49"/>
  <c r="X15" i="49"/>
  <c r="X6" i="49"/>
  <c r="X18" i="49"/>
  <c r="X10" i="49"/>
  <c r="X9" i="49"/>
  <c r="X22" i="49"/>
  <c r="X21" i="49"/>
  <c r="A20" i="49"/>
  <c r="X13" i="49"/>
  <c r="X5" i="49"/>
  <c r="X7" i="49"/>
  <c r="X11" i="49"/>
  <c r="X20" i="49"/>
  <c r="X19" i="49"/>
  <c r="X12" i="49"/>
  <c r="X14" i="49"/>
  <c r="A18" i="49"/>
  <c r="I17" i="67"/>
  <c r="A20" i="15"/>
  <c r="X111" i="15"/>
  <c r="X236" i="15"/>
  <c r="X6" i="22"/>
  <c r="X14" i="22"/>
  <c r="A20" i="72"/>
  <c r="X18" i="26"/>
  <c r="X17" i="26"/>
  <c r="X10" i="26"/>
  <c r="X9" i="26"/>
  <c r="X20" i="26"/>
  <c r="X12" i="26"/>
  <c r="X11" i="26"/>
  <c r="X7" i="26"/>
  <c r="X24" i="26"/>
  <c r="X23" i="26"/>
  <c r="X8" i="26"/>
  <c r="X22" i="26"/>
  <c r="X5" i="26"/>
  <c r="A20" i="26"/>
  <c r="X13" i="26"/>
  <c r="X21" i="26"/>
  <c r="X15" i="26"/>
  <c r="X24" i="41"/>
  <c r="X23" i="41"/>
  <c r="X16" i="41"/>
  <c r="X15" i="41"/>
  <c r="X6" i="41"/>
  <c r="X22" i="41"/>
  <c r="A20" i="41"/>
  <c r="X17" i="41"/>
  <c r="X13" i="41"/>
  <c r="X10" i="41"/>
  <c r="X7" i="41"/>
  <c r="X19" i="41"/>
  <c r="X14" i="41"/>
  <c r="X12" i="41"/>
  <c r="X5" i="41"/>
  <c r="X21" i="41"/>
  <c r="X20" i="41"/>
  <c r="X11" i="41"/>
  <c r="X8" i="41"/>
  <c r="X18" i="41"/>
  <c r="X9" i="41"/>
  <c r="A18" i="41"/>
  <c r="X22" i="56"/>
  <c r="X21" i="56"/>
  <c r="A20" i="56"/>
  <c r="X14" i="56"/>
  <c r="X13" i="56"/>
  <c r="X8" i="56"/>
  <c r="X5" i="56"/>
  <c r="X24" i="56"/>
  <c r="X17" i="56"/>
  <c r="X12" i="56"/>
  <c r="X10" i="56"/>
  <c r="A18" i="56"/>
  <c r="X15" i="56"/>
  <c r="X9" i="56"/>
  <c r="X6" i="56"/>
  <c r="X23" i="56"/>
  <c r="X20" i="56"/>
  <c r="X11" i="56"/>
  <c r="X19" i="56"/>
  <c r="X16" i="56"/>
  <c r="X18" i="56"/>
  <c r="X7" i="56"/>
  <c r="I28" i="67"/>
  <c r="X172" i="15"/>
  <c r="X268" i="15"/>
  <c r="X428" i="15"/>
  <c r="Q42" i="67"/>
  <c r="O47" i="67"/>
  <c r="N47" i="67"/>
  <c r="X65" i="69"/>
  <c r="X61" i="69"/>
  <c r="X33" i="69"/>
  <c r="X29" i="69"/>
  <c r="X18" i="69"/>
  <c r="X10" i="69"/>
  <c r="X9" i="69"/>
  <c r="X66" i="69"/>
  <c r="X62" i="69"/>
  <c r="X34" i="69"/>
  <c r="X26" i="69"/>
  <c r="X19" i="69"/>
  <c r="A18" i="69"/>
  <c r="X12" i="69"/>
  <c r="X11" i="69"/>
  <c r="X7" i="69"/>
  <c r="X36" i="69"/>
  <c r="X28" i="69"/>
  <c r="X16" i="69"/>
  <c r="X14" i="69"/>
  <c r="X13" i="69"/>
  <c r="X31" i="69"/>
  <c r="X22" i="69"/>
  <c r="X21" i="69"/>
  <c r="A20" i="69"/>
  <c r="X6" i="69"/>
  <c r="X67" i="69"/>
  <c r="X64" i="69"/>
  <c r="X32" i="69"/>
  <c r="X8" i="69"/>
  <c r="X23" i="69"/>
  <c r="I26" i="68"/>
  <c r="X24" i="69"/>
  <c r="X24" i="58"/>
  <c r="X23" i="58"/>
  <c r="X16" i="58"/>
  <c r="X15" i="58"/>
  <c r="X6" i="58"/>
  <c r="X18" i="58"/>
  <c r="X17" i="58"/>
  <c r="X10" i="58"/>
  <c r="X9" i="58"/>
  <c r="X22" i="58"/>
  <c r="X21" i="58"/>
  <c r="A20" i="58"/>
  <c r="X13" i="58"/>
  <c r="X5" i="58"/>
  <c r="X7" i="58"/>
  <c r="X11" i="58"/>
  <c r="X20" i="58"/>
  <c r="X19" i="58"/>
  <c r="X12" i="58"/>
  <c r="A18" i="58"/>
  <c r="X8" i="58"/>
  <c r="X14" i="58"/>
  <c r="I31" i="67"/>
  <c r="X17" i="59"/>
  <c r="X10" i="59"/>
  <c r="X9" i="59"/>
  <c r="X21" i="59"/>
  <c r="X24" i="59"/>
  <c r="X8" i="59"/>
  <c r="X5" i="59"/>
  <c r="X23" i="59"/>
  <c r="X22" i="59"/>
  <c r="X20" i="59"/>
  <c r="X13" i="59"/>
  <c r="X6" i="59"/>
  <c r="A20" i="59"/>
  <c r="X16" i="59"/>
  <c r="X15" i="59"/>
  <c r="X12" i="59"/>
  <c r="A18" i="59"/>
  <c r="I32" i="67"/>
  <c r="X21" i="24"/>
  <c r="A20" i="24"/>
  <c r="X14" i="24"/>
  <c r="X13" i="24"/>
  <c r="X8" i="24"/>
  <c r="X28" i="24"/>
  <c r="X24" i="24"/>
  <c r="X23" i="24"/>
  <c r="X16" i="24"/>
  <c r="X6" i="24"/>
  <c r="X18" i="24"/>
  <c r="X17" i="24"/>
  <c r="X12" i="24"/>
  <c r="X26" i="24"/>
  <c r="X7" i="24"/>
  <c r="I30" i="68"/>
  <c r="X22" i="38"/>
  <c r="X21" i="38"/>
  <c r="A20" i="38"/>
  <c r="X14" i="38"/>
  <c r="X13" i="38"/>
  <c r="X8" i="38"/>
  <c r="X5" i="38"/>
  <c r="X24" i="38"/>
  <c r="X23" i="38"/>
  <c r="X16" i="38"/>
  <c r="X15" i="38"/>
  <c r="X6" i="38"/>
  <c r="X18" i="38"/>
  <c r="X17" i="38"/>
  <c r="X12" i="38"/>
  <c r="X10" i="38"/>
  <c r="X9" i="38"/>
  <c r="A18" i="38"/>
  <c r="X19" i="38"/>
  <c r="X7" i="38"/>
  <c r="X20" i="38"/>
  <c r="X11" i="38"/>
  <c r="I46" i="68"/>
  <c r="X15" i="70"/>
  <c r="X10" i="70"/>
  <c r="X9" i="70"/>
  <c r="X18" i="70"/>
  <c r="X17" i="70"/>
  <c r="X11" i="70"/>
  <c r="X22" i="70"/>
  <c r="X21" i="70"/>
  <c r="A20" i="70"/>
  <c r="X20" i="70"/>
  <c r="X6" i="70"/>
  <c r="I27" i="68"/>
  <c r="X47" i="28"/>
  <c r="X43" i="28"/>
  <c r="X39" i="28"/>
  <c r="X35" i="28"/>
  <c r="X27" i="28"/>
  <c r="X22" i="28"/>
  <c r="A20" i="28"/>
  <c r="X13" i="28"/>
  <c r="X8" i="28"/>
  <c r="X5" i="28"/>
  <c r="X48" i="28"/>
  <c r="X44" i="28"/>
  <c r="X40" i="28"/>
  <c r="X36" i="28"/>
  <c r="X28" i="28"/>
  <c r="X24" i="28"/>
  <c r="X23" i="28"/>
  <c r="X16" i="28"/>
  <c r="X15" i="28"/>
  <c r="X6" i="28"/>
  <c r="X41" i="28"/>
  <c r="X33" i="28"/>
  <c r="X25" i="28"/>
  <c r="X7" i="28"/>
  <c r="X42" i="28"/>
  <c r="X34" i="28"/>
  <c r="X26" i="28"/>
  <c r="X18" i="28"/>
  <c r="X12" i="28"/>
  <c r="X10" i="28"/>
  <c r="X19" i="28"/>
  <c r="X11" i="28"/>
  <c r="X46" i="28"/>
  <c r="X37" i="28"/>
  <c r="X20" i="28"/>
  <c r="X231" i="65"/>
  <c r="X215" i="65"/>
  <c r="X211" i="65"/>
  <c r="X195" i="65"/>
  <c r="X183" i="65"/>
  <c r="X205" i="65"/>
  <c r="X197" i="65"/>
  <c r="X228" i="65"/>
  <c r="X212" i="65"/>
  <c r="X208" i="65"/>
  <c r="X225" i="65"/>
  <c r="X24" i="19"/>
  <c r="X23" i="19"/>
  <c r="X16" i="19"/>
  <c r="X15" i="19"/>
  <c r="X6" i="19"/>
  <c r="X18" i="19"/>
  <c r="X17" i="19"/>
  <c r="X9" i="19"/>
  <c r="X20" i="19"/>
  <c r="X19" i="19"/>
  <c r="A18" i="19"/>
  <c r="X14" i="19"/>
  <c r="X12" i="19"/>
  <c r="X11" i="19"/>
  <c r="X22" i="19"/>
  <c r="X21" i="19"/>
  <c r="A20" i="19"/>
  <c r="X13" i="19"/>
  <c r="X5" i="19"/>
  <c r="X7" i="19"/>
  <c r="X18" i="74"/>
  <c r="X17" i="74"/>
  <c r="X10" i="74"/>
  <c r="X9" i="74"/>
  <c r="X20" i="74"/>
  <c r="X19" i="74"/>
  <c r="X12" i="74"/>
  <c r="X11" i="74"/>
  <c r="X7" i="74"/>
  <c r="X16" i="74"/>
  <c r="X14" i="74"/>
  <c r="X13" i="74"/>
  <c r="X22" i="74"/>
  <c r="X21" i="74"/>
  <c r="A20" i="74"/>
  <c r="X15" i="74"/>
  <c r="X6" i="74"/>
  <c r="X5" i="74"/>
  <c r="I17" i="68"/>
  <c r="X24" i="74"/>
  <c r="X23" i="74"/>
  <c r="X21" i="52"/>
  <c r="A20" i="52"/>
  <c r="X20" i="52"/>
  <c r="X15" i="52"/>
  <c r="X11" i="52"/>
  <c r="X9" i="52"/>
  <c r="X24" i="52"/>
  <c r="X17" i="52"/>
  <c r="X12" i="52"/>
  <c r="X10" i="52"/>
  <c r="X7" i="52"/>
  <c r="X19" i="52"/>
  <c r="X23" i="52"/>
  <c r="X16" i="52"/>
  <c r="X6" i="52"/>
  <c r="X5" i="52"/>
  <c r="X18" i="52"/>
  <c r="X8" i="52"/>
  <c r="X24" i="37"/>
  <c r="X23" i="37"/>
  <c r="X16" i="37"/>
  <c r="X15" i="37"/>
  <c r="X6" i="37"/>
  <c r="X18" i="37"/>
  <c r="X17" i="37"/>
  <c r="X10" i="37"/>
  <c r="X9" i="37"/>
  <c r="X22" i="37"/>
  <c r="X21" i="37"/>
  <c r="A20" i="37"/>
  <c r="X13" i="37"/>
  <c r="X5" i="37"/>
  <c r="X7" i="37"/>
  <c r="A18" i="37"/>
  <c r="X14" i="37"/>
  <c r="X8" i="37"/>
  <c r="X11" i="37"/>
  <c r="X19" i="37"/>
  <c r="X12" i="37"/>
  <c r="I45" i="68"/>
  <c r="X20" i="37"/>
  <c r="X12" i="3"/>
  <c r="X7" i="3"/>
  <c r="X21" i="3"/>
  <c r="A20" i="3"/>
  <c r="I8" i="68"/>
  <c r="X16" i="3"/>
  <c r="X15" i="3"/>
  <c r="X6" i="3"/>
  <c r="X19" i="34"/>
  <c r="X12" i="34"/>
  <c r="X11" i="34"/>
  <c r="X21" i="34"/>
  <c r="A20" i="34"/>
  <c r="X14" i="34"/>
  <c r="X13" i="34"/>
  <c r="X18" i="34"/>
  <c r="X23" i="34"/>
  <c r="X7" i="34"/>
  <c r="X15" i="34"/>
  <c r="X6" i="34"/>
  <c r="I42" i="68"/>
  <c r="X48" i="39"/>
  <c r="X44" i="39"/>
  <c r="X36" i="39"/>
  <c r="X32" i="39"/>
  <c r="X28" i="39"/>
  <c r="X23" i="39"/>
  <c r="X16" i="39"/>
  <c r="X15" i="39"/>
  <c r="X6" i="39"/>
  <c r="X45" i="39"/>
  <c r="X41" i="39"/>
  <c r="X37" i="39"/>
  <c r="X33" i="39"/>
  <c r="X25" i="39"/>
  <c r="X18" i="39"/>
  <c r="X10" i="39"/>
  <c r="X9" i="39"/>
  <c r="X47" i="39"/>
  <c r="X39" i="39"/>
  <c r="X31" i="39"/>
  <c r="X22" i="39"/>
  <c r="X21" i="39"/>
  <c r="A20" i="39"/>
  <c r="X5" i="39"/>
  <c r="X50" i="39"/>
  <c r="X34" i="39"/>
  <c r="X26" i="39"/>
  <c r="X7" i="39"/>
  <c r="X43" i="39"/>
  <c r="X35" i="39"/>
  <c r="X27" i="39"/>
  <c r="X8" i="39"/>
  <c r="X12" i="39"/>
  <c r="X30" i="39"/>
  <c r="X20" i="39"/>
  <c r="A18" i="39"/>
  <c r="X11" i="39"/>
  <c r="X38" i="39"/>
  <c r="X19" i="39"/>
  <c r="I8" i="67"/>
  <c r="X46" i="39"/>
  <c r="X172" i="32"/>
  <c r="X168" i="32"/>
  <c r="X164" i="32"/>
  <c r="X160" i="32"/>
  <c r="X156" i="32"/>
  <c r="X148" i="32"/>
  <c r="X144" i="32"/>
  <c r="X140" i="32"/>
  <c r="X132" i="32"/>
  <c r="X128" i="32"/>
  <c r="X120" i="32"/>
  <c r="X116" i="32"/>
  <c r="X112" i="32"/>
  <c r="X104" i="32"/>
  <c r="X100" i="32"/>
  <c r="X96" i="32"/>
  <c r="X92" i="32"/>
  <c r="X88" i="32"/>
  <c r="X84" i="32"/>
  <c r="X76" i="32"/>
  <c r="X72" i="32"/>
  <c r="X68" i="32"/>
  <c r="X64" i="32"/>
  <c r="X60" i="32"/>
  <c r="X56" i="32"/>
  <c r="X52" i="32"/>
  <c r="X48" i="32"/>
  <c r="X44" i="32"/>
  <c r="X40" i="32"/>
  <c r="X36" i="32"/>
  <c r="X32" i="32"/>
  <c r="X28" i="32"/>
  <c r="X24" i="32"/>
  <c r="X16" i="32"/>
  <c r="X15" i="32"/>
  <c r="X8" i="32"/>
  <c r="X5" i="32"/>
  <c r="X169" i="32"/>
  <c r="X157" i="32"/>
  <c r="X153" i="32"/>
  <c r="X149" i="32"/>
  <c r="X145" i="32"/>
  <c r="X141" i="32"/>
  <c r="X137" i="32"/>
  <c r="X129" i="32"/>
  <c r="X121" i="32"/>
  <c r="X117" i="32"/>
  <c r="X113" i="32"/>
  <c r="X109" i="32"/>
  <c r="X105" i="32"/>
  <c r="X97" i="32"/>
  <c r="X93" i="32"/>
  <c r="X89" i="32"/>
  <c r="X81" i="32"/>
  <c r="X167" i="32"/>
  <c r="X159" i="32"/>
  <c r="X151" i="32"/>
  <c r="X135" i="32"/>
  <c r="X127" i="32"/>
  <c r="X65" i="32"/>
  <c r="X62" i="32"/>
  <c r="X59" i="32"/>
  <c r="X46" i="32"/>
  <c r="X43" i="32"/>
  <c r="X33" i="32"/>
  <c r="X30" i="32"/>
  <c r="X27" i="32"/>
  <c r="X19" i="32"/>
  <c r="X14" i="32"/>
  <c r="X12" i="32"/>
  <c r="X170" i="32"/>
  <c r="X162" i="32"/>
  <c r="X154" i="32"/>
  <c r="X146" i="32"/>
  <c r="X138" i="32"/>
  <c r="X130" i="32"/>
  <c r="X122" i="32"/>
  <c r="X114" i="32"/>
  <c r="X106" i="32"/>
  <c r="X98" i="32"/>
  <c r="X90" i="32"/>
  <c r="X82" i="32"/>
  <c r="X74" i="32"/>
  <c r="X61" i="32"/>
  <c r="X45" i="32"/>
  <c r="X42" i="32"/>
  <c r="X39" i="32"/>
  <c r="X29" i="32"/>
  <c r="X26" i="32"/>
  <c r="X21" i="32"/>
  <c r="X9" i="32"/>
  <c r="X166" i="32"/>
  <c r="X163" i="32"/>
  <c r="X150" i="32"/>
  <c r="X134" i="32"/>
  <c r="X131" i="32"/>
  <c r="X115" i="32"/>
  <c r="X102" i="32"/>
  <c r="X99" i="32"/>
  <c r="X86" i="32"/>
  <c r="X83" i="32"/>
  <c r="X73" i="32"/>
  <c r="X63" i="32"/>
  <c r="X38" i="32"/>
  <c r="X34" i="32"/>
  <c r="X67" i="32"/>
  <c r="X35" i="32"/>
  <c r="X17" i="32"/>
  <c r="X171" i="32"/>
  <c r="X142" i="32"/>
  <c r="X139" i="32"/>
  <c r="X123" i="32"/>
  <c r="X110" i="32"/>
  <c r="X107" i="32"/>
  <c r="X54" i="32"/>
  <c r="X51" i="32"/>
  <c r="X47" i="32"/>
  <c r="X37" i="32"/>
  <c r="A20" i="32"/>
  <c r="X13" i="32"/>
  <c r="X91" i="32"/>
  <c r="X78" i="32"/>
  <c r="X25" i="32"/>
  <c r="X22" i="32"/>
  <c r="A18" i="32"/>
  <c r="X22" i="63"/>
  <c r="X21" i="63"/>
  <c r="A20" i="63"/>
  <c r="O39" i="67" s="1"/>
  <c r="X14" i="63"/>
  <c r="X13" i="63"/>
  <c r="X8" i="63"/>
  <c r="X5" i="63"/>
  <c r="X20" i="63"/>
  <c r="X15" i="63"/>
  <c r="X11" i="63"/>
  <c r="X7" i="63"/>
  <c r="X6" i="63"/>
  <c r="X23" i="63"/>
  <c r="X9" i="63"/>
  <c r="X19" i="63"/>
  <c r="X18" i="63"/>
  <c r="X16" i="63"/>
  <c r="X12" i="63"/>
  <c r="X10" i="63"/>
  <c r="X24" i="63"/>
  <c r="X17" i="63"/>
  <c r="I39" i="67"/>
  <c r="A18" i="3"/>
  <c r="A18" i="5"/>
  <c r="X16" i="6"/>
  <c r="X50" i="15"/>
  <c r="X114" i="15"/>
  <c r="X196" i="15"/>
  <c r="X228" i="15"/>
  <c r="X292" i="15"/>
  <c r="X324" i="15"/>
  <c r="X356" i="15"/>
  <c r="X420" i="15"/>
  <c r="X452" i="15"/>
  <c r="X22" i="72"/>
  <c r="A18" i="24"/>
  <c r="X6" i="26"/>
  <c r="X14" i="26"/>
  <c r="A18" i="28"/>
  <c r="X38" i="28"/>
  <c r="X45" i="28"/>
  <c r="A8" i="31"/>
  <c r="X9" i="34"/>
  <c r="X20" i="30"/>
  <c r="X12" i="30"/>
  <c r="X11" i="30"/>
  <c r="X7" i="30"/>
  <c r="X22" i="30"/>
  <c r="X21" i="30"/>
  <c r="A20" i="30"/>
  <c r="X14" i="30"/>
  <c r="X13" i="30"/>
  <c r="X8" i="30"/>
  <c r="X5" i="30"/>
  <c r="X16" i="30"/>
  <c r="X15" i="30"/>
  <c r="X10" i="30"/>
  <c r="X6" i="30"/>
  <c r="X17" i="30"/>
  <c r="X24" i="30"/>
  <c r="X9" i="30"/>
  <c r="X18" i="30"/>
  <c r="I37" i="68"/>
  <c r="X62" i="47"/>
  <c r="X50" i="47"/>
  <c r="X46" i="47"/>
  <c r="X42" i="47"/>
  <c r="X38" i="47"/>
  <c r="X34" i="47"/>
  <c r="X30" i="47"/>
  <c r="X26" i="47"/>
  <c r="X20" i="47"/>
  <c r="X19" i="47"/>
  <c r="X12" i="47"/>
  <c r="X11" i="47"/>
  <c r="X67" i="47"/>
  <c r="X63" i="47"/>
  <c r="X47" i="47"/>
  <c r="X43" i="47"/>
  <c r="X39" i="47"/>
  <c r="X35" i="47"/>
  <c r="X31" i="47"/>
  <c r="X27" i="47"/>
  <c r="X22" i="47"/>
  <c r="A20" i="47"/>
  <c r="X13" i="47"/>
  <c r="X5" i="47"/>
  <c r="X64" i="47"/>
  <c r="X60" i="47"/>
  <c r="X56" i="47"/>
  <c r="X52" i="47"/>
  <c r="X36" i="47"/>
  <c r="X32" i="47"/>
  <c r="X28" i="47"/>
  <c r="X24" i="47"/>
  <c r="X23" i="47"/>
  <c r="X16" i="47"/>
  <c r="X15" i="47"/>
  <c r="X6" i="47"/>
  <c r="X61" i="47"/>
  <c r="X45" i="47"/>
  <c r="X29" i="47"/>
  <c r="X18" i="47"/>
  <c r="X9" i="47"/>
  <c r="X65" i="47"/>
  <c r="X49" i="47"/>
  <c r="X10" i="47"/>
  <c r="X53" i="47"/>
  <c r="X17" i="47"/>
  <c r="X57" i="47"/>
  <c r="X41" i="47"/>
  <c r="I15" i="67"/>
  <c r="X79" i="20"/>
  <c r="X75" i="20"/>
  <c r="X71" i="20"/>
  <c r="X67" i="20"/>
  <c r="X63" i="20"/>
  <c r="X55" i="20"/>
  <c r="X47" i="20"/>
  <c r="X43" i="20"/>
  <c r="X39" i="20"/>
  <c r="X35" i="20"/>
  <c r="X31" i="20"/>
  <c r="X22" i="20"/>
  <c r="X21" i="20"/>
  <c r="A20" i="20"/>
  <c r="X14" i="20"/>
  <c r="X13" i="20"/>
  <c r="X8" i="20"/>
  <c r="X5" i="20"/>
  <c r="X80" i="20"/>
  <c r="X76" i="20"/>
  <c r="X72" i="20"/>
  <c r="X64" i="20"/>
  <c r="X56" i="20"/>
  <c r="X52" i="20"/>
  <c r="X48" i="20"/>
  <c r="X44" i="20"/>
  <c r="X40" i="20"/>
  <c r="X32" i="20"/>
  <c r="X28" i="20"/>
  <c r="X24" i="20"/>
  <c r="X23" i="20"/>
  <c r="X16" i="20"/>
  <c r="X15" i="20"/>
  <c r="X6" i="20"/>
  <c r="X73" i="20"/>
  <c r="X49" i="20"/>
  <c r="X41" i="20"/>
  <c r="X25" i="20"/>
  <c r="X66" i="20"/>
  <c r="X58" i="20"/>
  <c r="X42" i="20"/>
  <c r="X34" i="20"/>
  <c r="X78" i="20"/>
  <c r="X69" i="20"/>
  <c r="X62" i="20"/>
  <c r="X53" i="20"/>
  <c r="X46" i="20"/>
  <c r="X37" i="20"/>
  <c r="X30" i="20"/>
  <c r="I20" i="68"/>
  <c r="X19" i="20"/>
  <c r="X11" i="20"/>
  <c r="X77" i="20"/>
  <c r="X70" i="20"/>
  <c r="X61" i="20"/>
  <c r="X45" i="20"/>
  <c r="X38" i="20"/>
  <c r="X29" i="20"/>
  <c r="X9" i="20"/>
  <c r="X22" i="6"/>
  <c r="X21" i="6"/>
  <c r="A20" i="6"/>
  <c r="X14" i="6"/>
  <c r="X5" i="6"/>
  <c r="X23" i="6"/>
  <c r="X18" i="6"/>
  <c r="X9" i="6"/>
  <c r="X10" i="6"/>
  <c r="X20" i="6"/>
  <c r="X15" i="6"/>
  <c r="X11" i="6"/>
  <c r="X7" i="6"/>
  <c r="X6" i="6"/>
  <c r="I10" i="68"/>
  <c r="X24" i="6"/>
  <c r="X17" i="6"/>
  <c r="X81" i="46"/>
  <c r="X77" i="46"/>
  <c r="X69" i="46"/>
  <c r="X61" i="46"/>
  <c r="X57" i="46"/>
  <c r="X49" i="46"/>
  <c r="X41" i="46"/>
  <c r="X37" i="46"/>
  <c r="X33" i="46"/>
  <c r="X25" i="46"/>
  <c r="X18" i="46"/>
  <c r="X10" i="46"/>
  <c r="X9" i="46"/>
  <c r="X82" i="46"/>
  <c r="X74" i="46"/>
  <c r="X70" i="46"/>
  <c r="X62" i="46"/>
  <c r="X54" i="46"/>
  <c r="X50" i="46"/>
  <c r="X42" i="46"/>
  <c r="X34" i="46"/>
  <c r="X30" i="46"/>
  <c r="X26" i="46"/>
  <c r="X20" i="46"/>
  <c r="X19" i="46"/>
  <c r="A18" i="46"/>
  <c r="X12" i="46"/>
  <c r="X11" i="46"/>
  <c r="X79" i="46"/>
  <c r="X71" i="46"/>
  <c r="X63" i="46"/>
  <c r="X59" i="46"/>
  <c r="X51" i="46"/>
  <c r="X47" i="46"/>
  <c r="X39" i="46"/>
  <c r="X31" i="46"/>
  <c r="X21" i="46"/>
  <c r="A20" i="46"/>
  <c r="X14" i="46"/>
  <c r="X13" i="46"/>
  <c r="X8" i="46"/>
  <c r="X76" i="46"/>
  <c r="X44" i="46"/>
  <c r="X28" i="46"/>
  <c r="X64" i="46"/>
  <c r="X48" i="46"/>
  <c r="X6" i="46"/>
  <c r="X52" i="46"/>
  <c r="X36" i="46"/>
  <c r="X56" i="46"/>
  <c r="X72" i="46"/>
  <c r="X24" i="46"/>
  <c r="I14" i="67"/>
  <c r="X22" i="60"/>
  <c r="X21" i="60"/>
  <c r="A20" i="60"/>
  <c r="X14" i="60"/>
  <c r="X13" i="60"/>
  <c r="X24" i="60"/>
  <c r="X23" i="60"/>
  <c r="X16" i="60"/>
  <c r="X15" i="60"/>
  <c r="X6" i="60"/>
  <c r="X7" i="60"/>
  <c r="X5" i="60"/>
  <c r="X20" i="60"/>
  <c r="X18" i="60"/>
  <c r="X11" i="60"/>
  <c r="X12" i="60"/>
  <c r="X9" i="60"/>
  <c r="X19" i="60"/>
  <c r="X10" i="60"/>
  <c r="X17" i="60"/>
  <c r="X20" i="64"/>
  <c r="X19" i="64"/>
  <c r="X12" i="64"/>
  <c r="X11" i="64"/>
  <c r="X7" i="64"/>
  <c r="X24" i="64"/>
  <c r="X17" i="64"/>
  <c r="X14" i="64"/>
  <c r="X21" i="64"/>
  <c r="X16" i="64"/>
  <c r="X23" i="64"/>
  <c r="X9" i="64"/>
  <c r="A20" i="64"/>
  <c r="X13" i="64"/>
  <c r="X5" i="64"/>
  <c r="X15" i="64"/>
  <c r="X8" i="64"/>
  <c r="X6" i="64"/>
  <c r="X10" i="64"/>
  <c r="X22" i="64"/>
  <c r="X18" i="64"/>
  <c r="I36" i="67"/>
  <c r="X513" i="15"/>
  <c r="X509" i="15"/>
  <c r="X505" i="15"/>
  <c r="X501" i="15"/>
  <c r="X485" i="15"/>
  <c r="X481" i="15"/>
  <c r="X477" i="15"/>
  <c r="X469" i="15"/>
  <c r="X465" i="15"/>
  <c r="X461" i="15"/>
  <c r="X457" i="15"/>
  <c r="X441" i="15"/>
  <c r="X433" i="15"/>
  <c r="X429" i="15"/>
  <c r="X425" i="15"/>
  <c r="X421" i="15"/>
  <c r="X417" i="15"/>
  <c r="X413" i="15"/>
  <c r="X409" i="15"/>
  <c r="X405" i="15"/>
  <c r="X397" i="15"/>
  <c r="X393" i="15"/>
  <c r="X385" i="15"/>
  <c r="X381" i="15"/>
  <c r="X377" i="15"/>
  <c r="X369" i="15"/>
  <c r="X365" i="15"/>
  <c r="X361" i="15"/>
  <c r="X353" i="15"/>
  <c r="X345" i="15"/>
  <c r="X341" i="15"/>
  <c r="X337" i="15"/>
  <c r="X333" i="15"/>
  <c r="X329" i="15"/>
  <c r="X317" i="15"/>
  <c r="X305" i="15"/>
  <c r="X301" i="15"/>
  <c r="X293" i="15"/>
  <c r="X289" i="15"/>
  <c r="X285" i="15"/>
  <c r="X277" i="15"/>
  <c r="X269" i="15"/>
  <c r="X265" i="15"/>
  <c r="X261" i="15"/>
  <c r="X253" i="15"/>
  <c r="X249" i="15"/>
  <c r="X245" i="15"/>
  <c r="X241" i="15"/>
  <c r="X233" i="15"/>
  <c r="X229" i="15"/>
  <c r="X225" i="15"/>
  <c r="X221" i="15"/>
  <c r="X217" i="15"/>
  <c r="X213" i="15"/>
  <c r="X209" i="15"/>
  <c r="X205" i="15"/>
  <c r="X201" i="15"/>
  <c r="X197" i="15"/>
  <c r="X193" i="15"/>
  <c r="X189" i="15"/>
  <c r="X185" i="15"/>
  <c r="X177" i="15"/>
  <c r="X173" i="15"/>
  <c r="X169" i="15"/>
  <c r="X165" i="15"/>
  <c r="X161" i="15"/>
  <c r="X157" i="15"/>
  <c r="X149" i="15"/>
  <c r="X141" i="15"/>
  <c r="X133" i="15"/>
  <c r="X129" i="15"/>
  <c r="X121" i="15"/>
  <c r="X117" i="15"/>
  <c r="X113" i="15"/>
  <c r="X109" i="15"/>
  <c r="X105" i="15"/>
  <c r="X101" i="15"/>
  <c r="X93" i="15"/>
  <c r="X89" i="15"/>
  <c r="X85" i="15"/>
  <c r="X81" i="15"/>
  <c r="X77" i="15"/>
  <c r="X73" i="15"/>
  <c r="X69" i="15"/>
  <c r="X65" i="15"/>
  <c r="X61" i="15"/>
  <c r="X53" i="15"/>
  <c r="X45" i="15"/>
  <c r="X37" i="15"/>
  <c r="X33" i="15"/>
  <c r="X25" i="15"/>
  <c r="X18" i="15"/>
  <c r="X9" i="15"/>
  <c r="X506" i="15"/>
  <c r="X502" i="15"/>
  <c r="X494" i="15"/>
  <c r="X486" i="15"/>
  <c r="X482" i="15"/>
  <c r="X474" i="15"/>
  <c r="X470" i="15"/>
  <c r="X462" i="15"/>
  <c r="X454" i="15"/>
  <c r="X446" i="15"/>
  <c r="X442" i="15"/>
  <c r="X438" i="15"/>
  <c r="X434" i="15"/>
  <c r="X418" i="15"/>
  <c r="X414" i="15"/>
  <c r="X410" i="15"/>
  <c r="X406" i="15"/>
  <c r="X402" i="15"/>
  <c r="X398" i="15"/>
  <c r="X390" i="15"/>
  <c r="X386" i="15"/>
  <c r="X378" i="15"/>
  <c r="X374" i="15"/>
  <c r="X370" i="15"/>
  <c r="X366" i="15"/>
  <c r="X346" i="15"/>
  <c r="X342" i="15"/>
  <c r="X338" i="15"/>
  <c r="X334" i="15"/>
  <c r="X322" i="15"/>
  <c r="X306" i="15"/>
  <c r="X302" i="15"/>
  <c r="X298" i="15"/>
  <c r="X286" i="15"/>
  <c r="X278" i="15"/>
  <c r="X274" i="15"/>
  <c r="X270" i="15"/>
  <c r="X266" i="15"/>
  <c r="X250" i="15"/>
  <c r="X246" i="15"/>
  <c r="X238" i="15"/>
  <c r="X230" i="15"/>
  <c r="X226" i="15"/>
  <c r="X222" i="15"/>
  <c r="X218" i="15"/>
  <c r="X202" i="15"/>
  <c r="X186" i="15"/>
  <c r="X511" i="15"/>
  <c r="X479" i="15"/>
  <c r="X463" i="15"/>
  <c r="X439" i="15"/>
  <c r="X431" i="15"/>
  <c r="X423" i="15"/>
  <c r="X407" i="15"/>
  <c r="X399" i="15"/>
  <c r="X391" i="15"/>
  <c r="X383" i="15"/>
  <c r="X375" i="15"/>
  <c r="X351" i="15"/>
  <c r="X335" i="15"/>
  <c r="X319" i="15"/>
  <c r="X311" i="15"/>
  <c r="X303" i="15"/>
  <c r="X295" i="15"/>
  <c r="X271" i="15"/>
  <c r="X263" i="15"/>
  <c r="X239" i="15"/>
  <c r="X231" i="15"/>
  <c r="X215" i="15"/>
  <c r="X168" i="15"/>
  <c r="X158" i="15"/>
  <c r="X155" i="15"/>
  <c r="X142" i="15"/>
  <c r="X126" i="15"/>
  <c r="X120" i="15"/>
  <c r="X107" i="15"/>
  <c r="X94" i="15"/>
  <c r="X91" i="15"/>
  <c r="X88" i="15"/>
  <c r="X78" i="15"/>
  <c r="X72" i="15"/>
  <c r="X46" i="15"/>
  <c r="X43" i="15"/>
  <c r="X40" i="15"/>
  <c r="X24" i="15"/>
  <c r="X19" i="15"/>
  <c r="X15" i="15"/>
  <c r="X6" i="15"/>
  <c r="X499" i="15"/>
  <c r="X491" i="15"/>
  <c r="X483" i="15"/>
  <c r="X459" i="15"/>
  <c r="X403" i="15"/>
  <c r="X371" i="15"/>
  <c r="X347" i="15"/>
  <c r="X323" i="15"/>
  <c r="X307" i="15"/>
  <c r="X283" i="15"/>
  <c r="X275" i="15"/>
  <c r="X267" i="15"/>
  <c r="X251" i="15"/>
  <c r="X243" i="15"/>
  <c r="X187" i="15"/>
  <c r="X160" i="15"/>
  <c r="X144" i="15"/>
  <c r="X131" i="15"/>
  <c r="X115" i="15"/>
  <c r="X112" i="15"/>
  <c r="X86" i="15"/>
  <c r="X64" i="15"/>
  <c r="X54" i="15"/>
  <c r="X35" i="15"/>
  <c r="X23" i="15"/>
  <c r="A18" i="15"/>
  <c r="X5" i="15"/>
  <c r="X512" i="15"/>
  <c r="X504" i="15"/>
  <c r="X496" i="15"/>
  <c r="X480" i="15"/>
  <c r="X456" i="15"/>
  <c r="X448" i="15"/>
  <c r="X432" i="15"/>
  <c r="X416" i="15"/>
  <c r="X408" i="15"/>
  <c r="X400" i="15"/>
  <c r="X392" i="15"/>
  <c r="X384" i="15"/>
  <c r="X376" i="15"/>
  <c r="X360" i="15"/>
  <c r="X352" i="15"/>
  <c r="X328" i="15"/>
  <c r="X312" i="15"/>
  <c r="X288" i="15"/>
  <c r="X280" i="15"/>
  <c r="X264" i="15"/>
  <c r="X256" i="15"/>
  <c r="X248" i="15"/>
  <c r="X232" i="15"/>
  <c r="X224" i="15"/>
  <c r="X192" i="15"/>
  <c r="X170" i="15"/>
  <c r="X167" i="15"/>
  <c r="X164" i="15"/>
  <c r="X154" i="15"/>
  <c r="X135" i="15"/>
  <c r="X132" i="15"/>
  <c r="X119" i="15"/>
  <c r="X116" i="15"/>
  <c r="X103" i="15"/>
  <c r="X100" i="15"/>
  <c r="X90" i="15"/>
  <c r="X71" i="15"/>
  <c r="X68" i="15"/>
  <c r="X58" i="15"/>
  <c r="X55" i="15"/>
  <c r="X52" i="15"/>
  <c r="X36" i="15"/>
  <c r="X21" i="15"/>
  <c r="X16" i="15"/>
  <c r="X14" i="15"/>
  <c r="I14" i="68"/>
  <c r="X515" i="15"/>
  <c r="X507" i="15"/>
  <c r="X475" i="15"/>
  <c r="X443" i="15"/>
  <c r="X419" i="15"/>
  <c r="X411" i="15"/>
  <c r="X331" i="15"/>
  <c r="X315" i="15"/>
  <c r="X291" i="15"/>
  <c r="X259" i="15"/>
  <c r="X235" i="15"/>
  <c r="X211" i="15"/>
  <c r="X203" i="15"/>
  <c r="X179" i="15"/>
  <c r="X166" i="15"/>
  <c r="X163" i="15"/>
  <c r="X134" i="15"/>
  <c r="X118" i="15"/>
  <c r="X96" i="15"/>
  <c r="X83" i="15"/>
  <c r="X70" i="15"/>
  <c r="X67" i="15"/>
  <c r="X20" i="15"/>
  <c r="X11" i="15"/>
  <c r="X22" i="15"/>
  <c r="X28" i="15"/>
  <c r="X31" i="15"/>
  <c r="X82" i="15"/>
  <c r="X92" i="15"/>
  <c r="X159" i="15"/>
  <c r="X180" i="15"/>
  <c r="X308" i="15"/>
  <c r="X404" i="15"/>
  <c r="X500" i="15"/>
  <c r="A18" i="20"/>
  <c r="X18" i="20"/>
  <c r="X62" i="22"/>
  <c r="X33" i="22"/>
  <c r="X29" i="22"/>
  <c r="X10" i="22"/>
  <c r="X9" i="22"/>
  <c r="X67" i="22"/>
  <c r="X63" i="22"/>
  <c r="X46" i="22"/>
  <c r="X38" i="22"/>
  <c r="X30" i="22"/>
  <c r="X26" i="22"/>
  <c r="X20" i="22"/>
  <c r="X11" i="22"/>
  <c r="X57" i="22"/>
  <c r="X48" i="22"/>
  <c r="X40" i="22"/>
  <c r="X60" i="22"/>
  <c r="X51" i="22"/>
  <c r="X43" i="22"/>
  <c r="X35" i="22"/>
  <c r="X27" i="22"/>
  <c r="X8" i="22"/>
  <c r="X22" i="22"/>
  <c r="A20" i="22"/>
  <c r="X56" i="22"/>
  <c r="X47" i="22"/>
  <c r="X31" i="22"/>
  <c r="X28" i="22"/>
  <c r="X21" i="22"/>
  <c r="I25" i="68"/>
  <c r="X13" i="22"/>
  <c r="X36" i="22"/>
  <c r="Z23" i="25"/>
  <c r="AB23" i="25" s="1"/>
  <c r="AO23" i="25" s="1"/>
  <c r="AA23" i="25"/>
  <c r="AC23" i="25" s="1"/>
  <c r="AP23" i="25" s="1"/>
  <c r="X82" i="29"/>
  <c r="X74" i="29"/>
  <c r="X70" i="29"/>
  <c r="X66" i="29"/>
  <c r="X62" i="29"/>
  <c r="X58" i="29"/>
  <c r="X54" i="29"/>
  <c r="X50" i="29"/>
  <c r="X46" i="29"/>
  <c r="X42" i="29"/>
  <c r="X34" i="29"/>
  <c r="X26" i="29"/>
  <c r="X20" i="29"/>
  <c r="X19" i="29"/>
  <c r="X12" i="29"/>
  <c r="X11" i="29"/>
  <c r="X79" i="29"/>
  <c r="X75" i="29"/>
  <c r="X67" i="29"/>
  <c r="X63" i="29"/>
  <c r="X59" i="29"/>
  <c r="X55" i="29"/>
  <c r="X51" i="29"/>
  <c r="X47" i="29"/>
  <c r="X43" i="29"/>
  <c r="X39" i="29"/>
  <c r="X31" i="29"/>
  <c r="X27" i="29"/>
  <c r="X22" i="29"/>
  <c r="X21" i="29"/>
  <c r="A20" i="29"/>
  <c r="X14" i="29"/>
  <c r="X13" i="29"/>
  <c r="X5" i="29"/>
  <c r="X68" i="29"/>
  <c r="X60" i="29"/>
  <c r="X52" i="29"/>
  <c r="X44" i="29"/>
  <c r="X36" i="29"/>
  <c r="X15" i="29"/>
  <c r="X10" i="29"/>
  <c r="X8" i="29"/>
  <c r="X7" i="29"/>
  <c r="X77" i="29"/>
  <c r="X69" i="29"/>
  <c r="X61" i="29"/>
  <c r="X45" i="29"/>
  <c r="X37" i="29"/>
  <c r="X29" i="29"/>
  <c r="X18" i="29"/>
  <c r="X17" i="29"/>
  <c r="X9" i="29"/>
  <c r="X81" i="29"/>
  <c r="X72" i="29"/>
  <c r="X65" i="29"/>
  <c r="X56" i="29"/>
  <c r="X49" i="29"/>
  <c r="X40" i="29"/>
  <c r="X33" i="29"/>
  <c r="X24" i="29"/>
  <c r="I36" i="68"/>
  <c r="X80" i="29"/>
  <c r="X73" i="29"/>
  <c r="X57" i="29"/>
  <c r="X48" i="29"/>
  <c r="X41" i="29"/>
  <c r="X32" i="29"/>
  <c r="X25" i="29"/>
  <c r="X20" i="51"/>
  <c r="X19" i="51"/>
  <c r="X12" i="51"/>
  <c r="X11" i="51"/>
  <c r="X7" i="51"/>
  <c r="X22" i="51"/>
  <c r="X21" i="51"/>
  <c r="A20" i="51"/>
  <c r="X13" i="51"/>
  <c r="X5" i="51"/>
  <c r="X18" i="51"/>
  <c r="X17" i="51"/>
  <c r="X9" i="51"/>
  <c r="X24" i="51"/>
  <c r="X23" i="51"/>
  <c r="X16" i="51"/>
  <c r="X6" i="51"/>
  <c r="X15" i="51"/>
  <c r="X10" i="51"/>
  <c r="I18" i="67"/>
  <c r="X18" i="40"/>
  <c r="X17" i="40"/>
  <c r="X24" i="40"/>
  <c r="X19" i="40"/>
  <c r="X15" i="40"/>
  <c r="X12" i="40"/>
  <c r="X10" i="40"/>
  <c r="X9" i="40"/>
  <c r="X21" i="40"/>
  <c r="X7" i="40"/>
  <c r="A20" i="40"/>
  <c r="X11" i="40"/>
  <c r="X6" i="40"/>
  <c r="X5" i="40"/>
  <c r="X22" i="40"/>
  <c r="A18" i="40"/>
  <c r="X23" i="40"/>
  <c r="X8" i="40"/>
  <c r="I9" i="67"/>
  <c r="X13" i="40"/>
  <c r="X22" i="13"/>
  <c r="X21" i="13"/>
  <c r="A20" i="13"/>
  <c r="X14" i="13"/>
  <c r="X13" i="13"/>
  <c r="X8" i="13"/>
  <c r="X5" i="13"/>
  <c r="X18" i="13"/>
  <c r="X9" i="13"/>
  <c r="X17" i="13"/>
  <c r="X10" i="13"/>
  <c r="X6" i="13"/>
  <c r="I12" i="68"/>
  <c r="X34" i="15"/>
  <c r="X300" i="15"/>
  <c r="X332" i="15"/>
  <c r="X396" i="15"/>
  <c r="X460" i="15"/>
  <c r="X492" i="15"/>
  <c r="I32" i="68"/>
  <c r="O65" i="67"/>
  <c r="X22" i="71"/>
  <c r="X21" i="71"/>
  <c r="A20" i="71"/>
  <c r="X14" i="71"/>
  <c r="X13" i="71"/>
  <c r="X8" i="71"/>
  <c r="X5" i="71"/>
  <c r="X24" i="71"/>
  <c r="X19" i="71"/>
  <c r="X16" i="71"/>
  <c r="X11" i="71"/>
  <c r="X10" i="71"/>
  <c r="X18" i="71"/>
  <c r="X9" i="71"/>
  <c r="X12" i="71"/>
  <c r="X7" i="71"/>
  <c r="X20" i="71"/>
  <c r="X17" i="71"/>
  <c r="X6" i="71"/>
  <c r="X23" i="71"/>
  <c r="X15" i="71"/>
  <c r="I24" i="67"/>
  <c r="X22" i="23"/>
  <c r="X21" i="23"/>
  <c r="A20" i="23"/>
  <c r="X13" i="23"/>
  <c r="X8" i="23"/>
  <c r="X5" i="23"/>
  <c r="X24" i="23"/>
  <c r="X23" i="23"/>
  <c r="X6" i="23"/>
  <c r="X10" i="23"/>
  <c r="X9" i="23"/>
  <c r="X20" i="23"/>
  <c r="X19" i="23"/>
  <c r="X11" i="23"/>
  <c r="X26" i="23"/>
  <c r="I29" i="68"/>
  <c r="X45" i="57"/>
  <c r="X37" i="57"/>
  <c r="X29" i="57"/>
  <c r="X25" i="57"/>
  <c r="X18" i="57"/>
  <c r="X17" i="57"/>
  <c r="X46" i="57"/>
  <c r="X38" i="57"/>
  <c r="X34" i="57"/>
  <c r="X30" i="57"/>
  <c r="X26" i="57"/>
  <c r="X19" i="57"/>
  <c r="X12" i="57"/>
  <c r="X11" i="57"/>
  <c r="X47" i="57"/>
  <c r="X39" i="57"/>
  <c r="X31" i="57"/>
  <c r="X21" i="57"/>
  <c r="A20" i="57"/>
  <c r="X15" i="57"/>
  <c r="X13" i="57"/>
  <c r="X9" i="57"/>
  <c r="X8" i="57"/>
  <c r="X40" i="57"/>
  <c r="X32" i="57"/>
  <c r="X24" i="57"/>
  <c r="X23" i="57"/>
  <c r="X10" i="57"/>
  <c r="X44" i="57"/>
  <c r="X35" i="57"/>
  <c r="X16" i="57"/>
  <c r="X36" i="57"/>
  <c r="X27" i="57"/>
  <c r="X6" i="57"/>
  <c r="X5" i="57"/>
  <c r="X14" i="57"/>
  <c r="I30" i="67"/>
  <c r="A8" i="35"/>
  <c r="X20" i="16"/>
  <c r="X12" i="16"/>
  <c r="X11" i="16"/>
  <c r="X22" i="16"/>
  <c r="A20" i="16"/>
  <c r="X14" i="16"/>
  <c r="X13" i="16"/>
  <c r="X5" i="16"/>
  <c r="X18" i="16"/>
  <c r="X17" i="16"/>
  <c r="X9" i="16"/>
  <c r="X24" i="16"/>
  <c r="I15" i="68"/>
  <c r="X20" i="73"/>
  <c r="X12" i="73"/>
  <c r="X11" i="73"/>
  <c r="X7" i="73"/>
  <c r="X23" i="73"/>
  <c r="X18" i="73"/>
  <c r="X13" i="73"/>
  <c r="X9" i="73"/>
  <c r="X8" i="73"/>
  <c r="A20" i="73"/>
  <c r="X15" i="73"/>
  <c r="X6" i="73"/>
  <c r="X14" i="73"/>
  <c r="X5" i="73"/>
  <c r="X17" i="73"/>
  <c r="X24" i="73"/>
  <c r="I25" i="67"/>
  <c r="X22" i="33"/>
  <c r="X21" i="33"/>
  <c r="A20" i="33"/>
  <c r="X14" i="33"/>
  <c r="X13" i="33"/>
  <c r="X8" i="33"/>
  <c r="X5" i="33"/>
  <c r="X24" i="33"/>
  <c r="X23" i="33"/>
  <c r="X16" i="33"/>
  <c r="X15" i="33"/>
  <c r="X6" i="33"/>
  <c r="X20" i="33"/>
  <c r="X19" i="33"/>
  <c r="X11" i="33"/>
  <c r="X7" i="33"/>
  <c r="X17" i="33"/>
  <c r="X10" i="33"/>
  <c r="X12" i="33"/>
  <c r="X9" i="33"/>
  <c r="X18" i="33"/>
  <c r="I40" i="68"/>
  <c r="X40" i="66"/>
  <c r="X36" i="66"/>
  <c r="X28" i="66"/>
  <c r="X24" i="66"/>
  <c r="X23" i="66"/>
  <c r="X15" i="66"/>
  <c r="X7" i="66"/>
  <c r="X37" i="66"/>
  <c r="X29" i="66"/>
  <c r="X25" i="66"/>
  <c r="X17" i="66"/>
  <c r="X10" i="66"/>
  <c r="X9" i="66"/>
  <c r="X5" i="66"/>
  <c r="X35" i="66"/>
  <c r="X27" i="66"/>
  <c r="X30" i="66"/>
  <c r="X20" i="66"/>
  <c r="A18" i="66"/>
  <c r="X14" i="66"/>
  <c r="X12" i="66"/>
  <c r="X11" i="66"/>
  <c r="X39" i="66"/>
  <c r="A20" i="66"/>
  <c r="I6" i="67"/>
  <c r="X64" i="75"/>
  <c r="X60" i="75"/>
  <c r="X56" i="75"/>
  <c r="X52" i="75"/>
  <c r="X48" i="75"/>
  <c r="X44" i="75"/>
  <c r="X40" i="75"/>
  <c r="X36" i="75"/>
  <c r="X32" i="75"/>
  <c r="X28" i="75"/>
  <c r="X24" i="75"/>
  <c r="X23" i="75"/>
  <c r="X65" i="75"/>
  <c r="X61" i="75"/>
  <c r="X57" i="75"/>
  <c r="X53" i="75"/>
  <c r="X49" i="75"/>
  <c r="X41" i="75"/>
  <c r="X37" i="75"/>
  <c r="X33" i="75"/>
  <c r="X29" i="75"/>
  <c r="X25" i="75"/>
  <c r="X66" i="75"/>
  <c r="X58" i="75"/>
  <c r="X50" i="75"/>
  <c r="X42" i="75"/>
  <c r="X34" i="75"/>
  <c r="X26" i="75"/>
  <c r="X67" i="75"/>
  <c r="X59" i="75"/>
  <c r="X51" i="75"/>
  <c r="X43" i="75"/>
  <c r="X35" i="75"/>
  <c r="X63" i="75"/>
  <c r="X54" i="75"/>
  <c r="X47" i="75"/>
  <c r="X38" i="75"/>
  <c r="X31" i="75"/>
  <c r="X22" i="75"/>
  <c r="A20" i="75"/>
  <c r="X17" i="75"/>
  <c r="X12" i="75"/>
  <c r="X11" i="75"/>
  <c r="X7" i="75"/>
  <c r="X19" i="75"/>
  <c r="X14" i="75"/>
  <c r="X13" i="75"/>
  <c r="X8" i="75"/>
  <c r="X5" i="75"/>
  <c r="X62" i="75"/>
  <c r="X55" i="75"/>
  <c r="X46" i="75"/>
  <c r="X39" i="75"/>
  <c r="X30" i="75"/>
  <c r="X21" i="75"/>
  <c r="X16" i="75"/>
  <c r="X15" i="75"/>
  <c r="X6" i="75"/>
  <c r="X9" i="75"/>
  <c r="X10" i="75"/>
  <c r="X27" i="75"/>
  <c r="X20" i="61"/>
  <c r="X19" i="61"/>
  <c r="X12" i="61"/>
  <c r="X11" i="61"/>
  <c r="X7" i="61"/>
  <c r="X22" i="61"/>
  <c r="X21" i="61"/>
  <c r="A20" i="61"/>
  <c r="X14" i="61"/>
  <c r="X13" i="61"/>
  <c r="X8" i="61"/>
  <c r="X17" i="61"/>
  <c r="X24" i="61"/>
  <c r="X23" i="61"/>
  <c r="X16" i="61"/>
  <c r="X10" i="61"/>
  <c r="X9" i="61"/>
  <c r="X15" i="61"/>
  <c r="X6" i="61"/>
  <c r="X20" i="25"/>
  <c r="X19" i="25"/>
  <c r="X12" i="25"/>
  <c r="X11" i="25"/>
  <c r="X7" i="25"/>
  <c r="X22" i="25"/>
  <c r="X21" i="25"/>
  <c r="A20" i="25"/>
  <c r="X14" i="25"/>
  <c r="X13" i="25"/>
  <c r="X8" i="25"/>
  <c r="X5" i="25"/>
  <c r="X16" i="25"/>
  <c r="X15" i="25"/>
  <c r="X10" i="25"/>
  <c r="X6" i="25"/>
  <c r="X17" i="25"/>
  <c r="X24" i="25"/>
  <c r="X9" i="25"/>
  <c r="X18" i="25"/>
  <c r="X18" i="18"/>
  <c r="X17" i="18"/>
  <c r="X10" i="18"/>
  <c r="X22" i="18"/>
  <c r="A20" i="18"/>
  <c r="X13" i="18"/>
  <c r="X7" i="18"/>
  <c r="X24" i="18"/>
  <c r="X19" i="18"/>
  <c r="X15" i="18"/>
  <c r="X12" i="18"/>
  <c r="X23" i="18"/>
  <c r="X20" i="18"/>
  <c r="X16" i="18"/>
  <c r="X6" i="18"/>
  <c r="X5" i="18"/>
  <c r="I18" i="68"/>
  <c r="X21" i="18"/>
  <c r="A18" i="18"/>
  <c r="X9" i="18"/>
  <c r="X22" i="44"/>
  <c r="X21" i="44"/>
  <c r="A20" i="44"/>
  <c r="X14" i="44"/>
  <c r="X8" i="44"/>
  <c r="X5" i="44"/>
  <c r="X24" i="44"/>
  <c r="X16" i="44"/>
  <c r="X7" i="44"/>
  <c r="X17" i="44"/>
  <c r="X12" i="44"/>
  <c r="X10" i="44"/>
  <c r="X9" i="44"/>
  <c r="X20" i="44"/>
  <c r="X19" i="44"/>
  <c r="A18" i="44"/>
  <c r="X11" i="44"/>
  <c r="X18" i="36"/>
  <c r="X17" i="36"/>
  <c r="X10" i="36"/>
  <c r="X9" i="36"/>
  <c r="X20" i="36"/>
  <c r="X19" i="36"/>
  <c r="X12" i="36"/>
  <c r="X11" i="36"/>
  <c r="X7" i="36"/>
  <c r="X22" i="36"/>
  <c r="X21" i="36"/>
  <c r="A20" i="36"/>
  <c r="X15" i="36"/>
  <c r="X6" i="36"/>
  <c r="X5" i="36"/>
  <c r="X24" i="36"/>
  <c r="X23" i="36"/>
  <c r="X13" i="36"/>
  <c r="X8" i="36"/>
  <c r="X16" i="36"/>
  <c r="X14" i="36"/>
  <c r="I47" i="68"/>
  <c r="X182" i="65"/>
  <c r="X10" i="3"/>
  <c r="A18" i="6"/>
  <c r="A18" i="13"/>
  <c r="X13" i="15"/>
  <c r="X130" i="15"/>
  <c r="X140" i="15"/>
  <c r="X188" i="15"/>
  <c r="X220" i="15"/>
  <c r="X252" i="15"/>
  <c r="X284" i="15"/>
  <c r="X316" i="15"/>
  <c r="X348" i="15"/>
  <c r="X444" i="15"/>
  <c r="X10" i="16"/>
  <c r="X15" i="16"/>
  <c r="X12" i="20"/>
  <c r="X23" i="21"/>
  <c r="X7" i="23"/>
  <c r="X75" i="32"/>
  <c r="I51" i="68"/>
  <c r="N54" i="68"/>
  <c r="I64" i="68"/>
  <c r="N67" i="68"/>
  <c r="N73" i="68"/>
  <c r="I53" i="67"/>
  <c r="I58" i="67"/>
  <c r="N64" i="67"/>
  <c r="A18" i="74"/>
  <c r="O64" i="67"/>
  <c r="A18" i="12"/>
  <c r="A18" i="14"/>
  <c r="A18" i="16"/>
  <c r="A18" i="21"/>
  <c r="A18" i="23"/>
  <c r="A18" i="25"/>
  <c r="A18" i="30"/>
  <c r="A18" i="34"/>
  <c r="A18" i="33"/>
  <c r="A18" i="22"/>
  <c r="A18" i="70"/>
  <c r="A18" i="26"/>
  <c r="A18" i="29"/>
  <c r="A18" i="36"/>
  <c r="AA12" i="42"/>
  <c r="AC12" i="42" s="1"/>
  <c r="AP12" i="42" s="1"/>
  <c r="Z12" i="42"/>
  <c r="AB12" i="42" s="1"/>
  <c r="AO12" i="42" s="1"/>
  <c r="A18" i="75"/>
  <c r="A18" i="47"/>
  <c r="A18" i="53"/>
  <c r="X22" i="42"/>
  <c r="X21" i="42"/>
  <c r="A20" i="42"/>
  <c r="X14" i="42"/>
  <c r="X13" i="42"/>
  <c r="X8" i="42"/>
  <c r="X5" i="42"/>
  <c r="X9" i="42"/>
  <c r="X18" i="42"/>
  <c r="X23" i="42"/>
  <c r="A18" i="45"/>
  <c r="X16" i="42"/>
  <c r="X19" i="42"/>
  <c r="A18" i="71"/>
  <c r="A18" i="55"/>
  <c r="A18" i="52"/>
  <c r="A18" i="73"/>
  <c r="A18" i="51"/>
  <c r="A18" i="57"/>
  <c r="X15" i="50"/>
  <c r="X16" i="50"/>
  <c r="X23" i="50"/>
  <c r="X24" i="50"/>
  <c r="A20" i="50"/>
  <c r="X21" i="50"/>
  <c r="Z5" i="62"/>
  <c r="AB5" i="62" s="1"/>
  <c r="A18" i="60"/>
  <c r="A18" i="63"/>
  <c r="N39" i="67" s="1"/>
  <c r="A18" i="64"/>
  <c r="A18" i="61"/>
  <c r="X24" i="62"/>
  <c r="X23" i="62"/>
  <c r="X21" i="62"/>
  <c r="X11" i="62"/>
  <c r="X7" i="62"/>
  <c r="X10" i="62"/>
  <c r="X15" i="62"/>
  <c r="X8" i="62"/>
  <c r="X9" i="62"/>
  <c r="X13" i="62"/>
  <c r="X18" i="62"/>
  <c r="X9" i="27"/>
  <c r="AA9" i="27" s="1"/>
  <c r="AC9" i="27" s="1"/>
  <c r="X5" i="27"/>
  <c r="X6" i="27"/>
  <c r="X12" i="27"/>
  <c r="X14" i="27"/>
  <c r="A18" i="27"/>
  <c r="X20" i="27"/>
  <c r="X24" i="27"/>
  <c r="X10" i="27"/>
  <c r="X13" i="27"/>
  <c r="X16" i="27"/>
  <c r="X18" i="27"/>
  <c r="X21" i="27"/>
  <c r="X23" i="27"/>
  <c r="X8" i="27"/>
  <c r="X11" i="27"/>
  <c r="X15" i="27"/>
  <c r="R59" i="67" l="1"/>
  <c r="Q38" i="67"/>
  <c r="R47" i="67"/>
  <c r="Q50" i="67"/>
  <c r="K19" i="2"/>
  <c r="K25" i="2"/>
  <c r="R50" i="67"/>
  <c r="N49" i="67"/>
  <c r="M28" i="2"/>
  <c r="M32" i="2"/>
  <c r="M34" i="2" s="1"/>
  <c r="R65" i="67"/>
  <c r="P21" i="67"/>
  <c r="Q65" i="67"/>
  <c r="U11" i="67"/>
  <c r="N11" i="2" s="1"/>
  <c r="O44" i="67"/>
  <c r="O57" i="67"/>
  <c r="Q46" i="67"/>
  <c r="R46" i="67"/>
  <c r="Q59" i="67"/>
  <c r="Q45" i="67"/>
  <c r="R42" i="67"/>
  <c r="Q47" i="67"/>
  <c r="M30" i="2"/>
  <c r="O52" i="67"/>
  <c r="M26" i="2"/>
  <c r="N51" i="67"/>
  <c r="O56" i="67"/>
  <c r="M17" i="2"/>
  <c r="L21" i="67"/>
  <c r="M27" i="2"/>
  <c r="R45" i="67"/>
  <c r="O48" i="67"/>
  <c r="O43" i="67"/>
  <c r="K17" i="2"/>
  <c r="J20" i="67"/>
  <c r="M62" i="67"/>
  <c r="AN19" i="34"/>
  <c r="AJ14" i="34"/>
  <c r="AL11" i="34"/>
  <c r="AN9" i="34"/>
  <c r="AN23" i="34"/>
  <c r="I37" i="67"/>
  <c r="Z24" i="42"/>
  <c r="AB24" i="42" s="1"/>
  <c r="AO24" i="42" s="1"/>
  <c r="AC6" i="65"/>
  <c r="AP6" i="65" s="1"/>
  <c r="Z6" i="65"/>
  <c r="AB6" i="65" s="1"/>
  <c r="AO6" i="65" s="1"/>
  <c r="AJ22" i="70"/>
  <c r="AA104" i="22"/>
  <c r="AC104" i="22" s="1"/>
  <c r="AP104" i="22" s="1"/>
  <c r="Z104" i="22"/>
  <c r="AB104" i="22" s="1"/>
  <c r="AO104" i="22" s="1"/>
  <c r="AN45" i="22"/>
  <c r="AN20" i="22"/>
  <c r="AN51" i="22"/>
  <c r="Z105" i="22"/>
  <c r="AB105" i="22" s="1"/>
  <c r="AO105" i="22" s="1"/>
  <c r="AA105" i="22"/>
  <c r="AC105" i="22" s="1"/>
  <c r="AP105" i="22" s="1"/>
  <c r="AN14" i="22"/>
  <c r="AJ41" i="22"/>
  <c r="AN56" i="22"/>
  <c r="AN19" i="22"/>
  <c r="AN43" i="22"/>
  <c r="AJ17" i="22"/>
  <c r="AJ53" i="22"/>
  <c r="AN29" i="22"/>
  <c r="AN18" i="22"/>
  <c r="AL26" i="22"/>
  <c r="AL19" i="70"/>
  <c r="AJ19" i="70"/>
  <c r="Z36" i="70"/>
  <c r="AB36" i="70" s="1"/>
  <c r="AO36" i="70" s="1"/>
  <c r="AA36" i="70"/>
  <c r="AC36" i="70" s="1"/>
  <c r="AP36" i="70" s="1"/>
  <c r="Z45" i="70"/>
  <c r="AB45" i="70" s="1"/>
  <c r="AO45" i="70" s="1"/>
  <c r="AA45" i="70"/>
  <c r="AC45" i="70" s="1"/>
  <c r="AP45" i="70" s="1"/>
  <c r="Z40" i="70"/>
  <c r="AB40" i="70" s="1"/>
  <c r="AO40" i="70" s="1"/>
  <c r="AA40" i="70"/>
  <c r="AC40" i="70" s="1"/>
  <c r="AP40" i="70" s="1"/>
  <c r="Z33" i="70"/>
  <c r="AB33" i="70" s="1"/>
  <c r="AO33" i="70" s="1"/>
  <c r="AA33" i="70"/>
  <c r="AC33" i="70" s="1"/>
  <c r="AP33" i="70" s="1"/>
  <c r="Z24" i="70"/>
  <c r="AB24" i="70" s="1"/>
  <c r="AO24" i="70" s="1"/>
  <c r="AA24" i="70"/>
  <c r="AC24" i="70" s="1"/>
  <c r="AP24" i="70" s="1"/>
  <c r="AA30" i="70"/>
  <c r="AC30" i="70" s="1"/>
  <c r="AP30" i="70" s="1"/>
  <c r="Z30" i="70"/>
  <c r="AB30" i="70" s="1"/>
  <c r="AO30" i="70" s="1"/>
  <c r="AA43" i="70"/>
  <c r="AC43" i="70" s="1"/>
  <c r="AP43" i="70" s="1"/>
  <c r="Z43" i="70"/>
  <c r="AB43" i="70" s="1"/>
  <c r="AO43" i="70" s="1"/>
  <c r="Z37" i="70"/>
  <c r="AB37" i="70" s="1"/>
  <c r="AO37" i="70" s="1"/>
  <c r="AA37" i="70"/>
  <c r="AC37" i="70" s="1"/>
  <c r="AP37" i="70" s="1"/>
  <c r="Z28" i="70"/>
  <c r="AB28" i="70" s="1"/>
  <c r="AO28" i="70" s="1"/>
  <c r="AA28" i="70"/>
  <c r="AC28" i="70" s="1"/>
  <c r="AP28" i="70" s="1"/>
  <c r="Z27" i="70"/>
  <c r="AB27" i="70" s="1"/>
  <c r="AO27" i="70" s="1"/>
  <c r="AA27" i="70"/>
  <c r="AC27" i="70" s="1"/>
  <c r="AP27" i="70" s="1"/>
  <c r="AA31" i="70"/>
  <c r="AC31" i="70" s="1"/>
  <c r="AP31" i="70" s="1"/>
  <c r="Z31" i="70"/>
  <c r="AB31" i="70" s="1"/>
  <c r="AO31" i="70" s="1"/>
  <c r="Z25" i="70"/>
  <c r="AB25" i="70" s="1"/>
  <c r="AO25" i="70" s="1"/>
  <c r="AA25" i="70"/>
  <c r="AC25" i="70" s="1"/>
  <c r="AP25" i="70" s="1"/>
  <c r="Z41" i="70"/>
  <c r="AB41" i="70" s="1"/>
  <c r="AO41" i="70" s="1"/>
  <c r="AA41" i="70"/>
  <c r="AC41" i="70" s="1"/>
  <c r="AP41" i="70" s="1"/>
  <c r="Z34" i="70"/>
  <c r="AB34" i="70" s="1"/>
  <c r="AO34" i="70" s="1"/>
  <c r="AA34" i="70"/>
  <c r="AC34" i="70" s="1"/>
  <c r="AP34" i="70" s="1"/>
  <c r="Z44" i="70"/>
  <c r="AB44" i="70" s="1"/>
  <c r="AO44" i="70" s="1"/>
  <c r="AA44" i="70"/>
  <c r="AC44" i="70" s="1"/>
  <c r="AP44" i="70" s="1"/>
  <c r="Z38" i="70"/>
  <c r="AB38" i="70" s="1"/>
  <c r="AO38" i="70" s="1"/>
  <c r="AA38" i="70"/>
  <c r="AC38" i="70" s="1"/>
  <c r="AP38" i="70" s="1"/>
  <c r="Z29" i="70"/>
  <c r="AB29" i="70" s="1"/>
  <c r="AO29" i="70" s="1"/>
  <c r="AA29" i="70"/>
  <c r="AC29" i="70" s="1"/>
  <c r="AP29" i="70" s="1"/>
  <c r="Z32" i="70"/>
  <c r="AB32" i="70" s="1"/>
  <c r="AO32" i="70" s="1"/>
  <c r="AA32" i="70"/>
  <c r="AC32" i="70" s="1"/>
  <c r="AP32" i="70" s="1"/>
  <c r="Z35" i="70"/>
  <c r="AB35" i="70" s="1"/>
  <c r="AO35" i="70" s="1"/>
  <c r="AA35" i="70"/>
  <c r="AC35" i="70" s="1"/>
  <c r="AP35" i="70" s="1"/>
  <c r="Z26" i="70"/>
  <c r="AB26" i="70" s="1"/>
  <c r="AO26" i="70" s="1"/>
  <c r="AA26" i="70"/>
  <c r="AC26" i="70" s="1"/>
  <c r="AP26" i="70" s="1"/>
  <c r="AA42" i="70"/>
  <c r="AC42" i="70" s="1"/>
  <c r="AP42" i="70" s="1"/>
  <c r="Z42" i="70"/>
  <c r="AB42" i="70" s="1"/>
  <c r="AO42" i="70" s="1"/>
  <c r="Z39" i="70"/>
  <c r="AB39" i="70" s="1"/>
  <c r="AO39" i="70" s="1"/>
  <c r="AA39" i="70"/>
  <c r="AC39" i="70" s="1"/>
  <c r="AP39" i="70" s="1"/>
  <c r="Z23" i="70"/>
  <c r="AB23" i="70" s="1"/>
  <c r="AO23" i="70" s="1"/>
  <c r="AA23" i="70"/>
  <c r="AC23" i="70" s="1"/>
  <c r="AP23" i="70" s="1"/>
  <c r="AL35" i="22"/>
  <c r="AN10" i="22"/>
  <c r="AJ48" i="22"/>
  <c r="AN23" i="69"/>
  <c r="AN31" i="22"/>
  <c r="AL34" i="22"/>
  <c r="AA50" i="69"/>
  <c r="AC50" i="69" s="1"/>
  <c r="AP50" i="69" s="1"/>
  <c r="Z50" i="69"/>
  <c r="AB50" i="69" s="1"/>
  <c r="AO50" i="69" s="1"/>
  <c r="AA45" i="69"/>
  <c r="AC45" i="69" s="1"/>
  <c r="AP45" i="69" s="1"/>
  <c r="Z45" i="69"/>
  <c r="AB45" i="69" s="1"/>
  <c r="AO45" i="69" s="1"/>
  <c r="Z42" i="69"/>
  <c r="AB42" i="69" s="1"/>
  <c r="AO42" i="69" s="1"/>
  <c r="AA42" i="69"/>
  <c r="AC42" i="69" s="1"/>
  <c r="AP42" i="69" s="1"/>
  <c r="AN32" i="69"/>
  <c r="AJ29" i="69"/>
  <c r="AA52" i="69"/>
  <c r="AC52" i="69" s="1"/>
  <c r="AP52" i="69" s="1"/>
  <c r="Z52" i="69"/>
  <c r="AB52" i="69" s="1"/>
  <c r="AO52" i="69" s="1"/>
  <c r="AN26" i="69"/>
  <c r="AN27" i="69"/>
  <c r="AL28" i="69"/>
  <c r="AA37" i="69"/>
  <c r="AC37" i="69" s="1"/>
  <c r="AP37" i="69" s="1"/>
  <c r="Z37" i="69"/>
  <c r="AB37" i="69" s="1"/>
  <c r="AO37" i="69" s="1"/>
  <c r="AA47" i="69"/>
  <c r="AC47" i="69" s="1"/>
  <c r="AP47" i="69" s="1"/>
  <c r="Z47" i="69"/>
  <c r="AB47" i="69" s="1"/>
  <c r="AO47" i="69" s="1"/>
  <c r="AA57" i="69"/>
  <c r="AC57" i="69" s="1"/>
  <c r="AP57" i="69" s="1"/>
  <c r="Z57" i="69"/>
  <c r="AB57" i="69" s="1"/>
  <c r="AO57" i="69" s="1"/>
  <c r="Z54" i="69"/>
  <c r="AB54" i="69" s="1"/>
  <c r="AO54" i="69" s="1"/>
  <c r="AA54" i="69"/>
  <c r="AC54" i="69" s="1"/>
  <c r="AP54" i="69" s="1"/>
  <c r="AJ11" i="22"/>
  <c r="AN21" i="69"/>
  <c r="AJ38" i="22"/>
  <c r="AA49" i="69"/>
  <c r="AC49" i="69" s="1"/>
  <c r="AP49" i="69" s="1"/>
  <c r="Z49" i="69"/>
  <c r="AB49" i="69" s="1"/>
  <c r="AO49" i="69" s="1"/>
  <c r="AA59" i="69"/>
  <c r="AC59" i="69" s="1"/>
  <c r="AP59" i="69" s="1"/>
  <c r="Z59" i="69"/>
  <c r="AB59" i="69" s="1"/>
  <c r="AO59" i="69" s="1"/>
  <c r="AA44" i="69"/>
  <c r="AC44" i="69" s="1"/>
  <c r="AP44" i="69" s="1"/>
  <c r="Z44" i="69"/>
  <c r="AB44" i="69" s="1"/>
  <c r="AO44" i="69" s="1"/>
  <c r="AJ46" i="22"/>
  <c r="Z41" i="69"/>
  <c r="AB41" i="69" s="1"/>
  <c r="AO41" i="69" s="1"/>
  <c r="AA41" i="69"/>
  <c r="AC41" i="69" s="1"/>
  <c r="AP41" i="69" s="1"/>
  <c r="AJ36" i="22"/>
  <c r="AJ32" i="22"/>
  <c r="AJ17" i="69"/>
  <c r="AA51" i="69"/>
  <c r="AC51" i="69" s="1"/>
  <c r="AP51" i="69" s="1"/>
  <c r="Z51" i="69"/>
  <c r="AB51" i="69" s="1"/>
  <c r="AO51" i="69" s="1"/>
  <c r="AA46" i="69"/>
  <c r="AC46" i="69" s="1"/>
  <c r="AP46" i="69" s="1"/>
  <c r="Z46" i="69"/>
  <c r="AB46" i="69" s="1"/>
  <c r="AO46" i="69" s="1"/>
  <c r="AA56" i="69"/>
  <c r="AC56" i="69" s="1"/>
  <c r="AP56" i="69" s="1"/>
  <c r="Z56" i="69"/>
  <c r="AB56" i="69" s="1"/>
  <c r="AO56" i="69" s="1"/>
  <c r="AJ8" i="69"/>
  <c r="Z53" i="69"/>
  <c r="AB53" i="69" s="1"/>
  <c r="AO53" i="69" s="1"/>
  <c r="AA53" i="69"/>
  <c r="AC53" i="69" s="1"/>
  <c r="AP53" i="69" s="1"/>
  <c r="AA48" i="69"/>
  <c r="AC48" i="69" s="1"/>
  <c r="AP48" i="69" s="1"/>
  <c r="Z48" i="69"/>
  <c r="AB48" i="69" s="1"/>
  <c r="AO48" i="69" s="1"/>
  <c r="AA58" i="69"/>
  <c r="AC58" i="69" s="1"/>
  <c r="AP58" i="69" s="1"/>
  <c r="Z58" i="69"/>
  <c r="AB58" i="69" s="1"/>
  <c r="AO58" i="69" s="1"/>
  <c r="Z43" i="69"/>
  <c r="AB43" i="69" s="1"/>
  <c r="AO43" i="69" s="1"/>
  <c r="AA43" i="69"/>
  <c r="AC43" i="69" s="1"/>
  <c r="AP43" i="69" s="1"/>
  <c r="AA38" i="69"/>
  <c r="AC38" i="69" s="1"/>
  <c r="AP38" i="69" s="1"/>
  <c r="Z38" i="69"/>
  <c r="AB38" i="69" s="1"/>
  <c r="AO38" i="69" s="1"/>
  <c r="AJ12" i="22"/>
  <c r="AA40" i="69"/>
  <c r="AC40" i="69" s="1"/>
  <c r="AP40" i="69" s="1"/>
  <c r="Z40" i="69"/>
  <c r="AB40" i="69" s="1"/>
  <c r="AO40" i="69" s="1"/>
  <c r="AA39" i="69"/>
  <c r="AC39" i="69" s="1"/>
  <c r="AP39" i="69" s="1"/>
  <c r="Z39" i="69"/>
  <c r="AB39" i="69" s="1"/>
  <c r="AO39" i="69" s="1"/>
  <c r="Z55" i="69"/>
  <c r="AB55" i="69" s="1"/>
  <c r="AO55" i="69" s="1"/>
  <c r="AA55" i="69"/>
  <c r="AC55" i="69" s="1"/>
  <c r="AP55" i="69" s="1"/>
  <c r="AJ26" i="69"/>
  <c r="AN63" i="22"/>
  <c r="AL39" i="22"/>
  <c r="AJ16" i="22"/>
  <c r="AJ25" i="22"/>
  <c r="AL51" i="22"/>
  <c r="AN68" i="22"/>
  <c r="AJ5" i="69"/>
  <c r="AJ28" i="22"/>
  <c r="AL15" i="22"/>
  <c r="AJ49" i="22"/>
  <c r="AN13" i="69"/>
  <c r="C25" i="2"/>
  <c r="AJ24" i="22"/>
  <c r="AJ20" i="69"/>
  <c r="AJ32" i="69"/>
  <c r="AJ30" i="69"/>
  <c r="AJ7" i="69"/>
  <c r="AJ18" i="69"/>
  <c r="AJ22" i="22"/>
  <c r="AN15" i="69"/>
  <c r="AA272" i="3"/>
  <c r="AC272" i="3" s="1"/>
  <c r="AP272" i="3" s="1"/>
  <c r="Z272" i="3"/>
  <c r="AB272" i="3" s="1"/>
  <c r="AO272" i="3" s="1"/>
  <c r="Z237" i="3"/>
  <c r="AB237" i="3" s="1"/>
  <c r="AO237" i="3" s="1"/>
  <c r="AA237" i="3"/>
  <c r="AC237" i="3" s="1"/>
  <c r="AP237" i="3" s="1"/>
  <c r="Z188" i="3"/>
  <c r="AB188" i="3" s="1"/>
  <c r="AO188" i="3" s="1"/>
  <c r="AA188" i="3"/>
  <c r="AC188" i="3" s="1"/>
  <c r="AP188" i="3" s="1"/>
  <c r="Z41" i="3"/>
  <c r="AB41" i="3" s="1"/>
  <c r="AO41" i="3" s="1"/>
  <c r="AA41" i="3"/>
  <c r="AC41" i="3" s="1"/>
  <c r="AP41" i="3" s="1"/>
  <c r="Z323" i="3"/>
  <c r="AB323" i="3" s="1"/>
  <c r="AO323" i="3" s="1"/>
  <c r="AA323" i="3"/>
  <c r="AC323" i="3" s="1"/>
  <c r="AP323" i="3" s="1"/>
  <c r="Z307" i="3"/>
  <c r="AB307" i="3" s="1"/>
  <c r="AO307" i="3" s="1"/>
  <c r="AA307" i="3"/>
  <c r="AC307" i="3" s="1"/>
  <c r="AP307" i="3" s="1"/>
  <c r="AA231" i="3"/>
  <c r="AC231" i="3" s="1"/>
  <c r="AP231" i="3" s="1"/>
  <c r="Z231" i="3"/>
  <c r="AB231" i="3" s="1"/>
  <c r="AO231" i="3" s="1"/>
  <c r="Z286" i="3"/>
  <c r="AB286" i="3" s="1"/>
  <c r="AO286" i="3" s="1"/>
  <c r="AA286" i="3"/>
  <c r="AC286" i="3" s="1"/>
  <c r="AP286" i="3" s="1"/>
  <c r="Z249" i="3"/>
  <c r="AB249" i="3" s="1"/>
  <c r="AO249" i="3" s="1"/>
  <c r="AA249" i="3"/>
  <c r="AC249" i="3" s="1"/>
  <c r="AP249" i="3" s="1"/>
  <c r="Z235" i="3"/>
  <c r="AB235" i="3" s="1"/>
  <c r="AO235" i="3" s="1"/>
  <c r="AA235" i="3"/>
  <c r="AC235" i="3" s="1"/>
  <c r="AP235" i="3" s="1"/>
  <c r="Z289" i="3"/>
  <c r="AB289" i="3" s="1"/>
  <c r="AO289" i="3" s="1"/>
  <c r="AA289" i="3"/>
  <c r="AC289" i="3" s="1"/>
  <c r="AP289" i="3" s="1"/>
  <c r="Z219" i="3"/>
  <c r="AB219" i="3" s="1"/>
  <c r="AO219" i="3" s="1"/>
  <c r="AA219" i="3"/>
  <c r="AC219" i="3" s="1"/>
  <c r="AP219" i="3" s="1"/>
  <c r="Z228" i="3"/>
  <c r="AB228" i="3" s="1"/>
  <c r="AO228" i="3" s="1"/>
  <c r="AA228" i="3"/>
  <c r="AC228" i="3" s="1"/>
  <c r="AP228" i="3" s="1"/>
  <c r="Z199" i="3"/>
  <c r="AB199" i="3" s="1"/>
  <c r="AO199" i="3" s="1"/>
  <c r="AA199" i="3"/>
  <c r="AC199" i="3" s="1"/>
  <c r="AP199" i="3" s="1"/>
  <c r="Z226" i="3"/>
  <c r="AB226" i="3" s="1"/>
  <c r="AO226" i="3" s="1"/>
  <c r="AA226" i="3"/>
  <c r="AC226" i="3" s="1"/>
  <c r="AP226" i="3" s="1"/>
  <c r="Z227" i="3"/>
  <c r="AB227" i="3" s="1"/>
  <c r="AO227" i="3" s="1"/>
  <c r="AA227" i="3"/>
  <c r="AC227" i="3" s="1"/>
  <c r="AP227" i="3" s="1"/>
  <c r="Z205" i="3"/>
  <c r="AB205" i="3" s="1"/>
  <c r="AO205" i="3" s="1"/>
  <c r="AA205" i="3"/>
  <c r="AC205" i="3" s="1"/>
  <c r="AP205" i="3" s="1"/>
  <c r="Z134" i="3"/>
  <c r="AB134" i="3" s="1"/>
  <c r="AO134" i="3" s="1"/>
  <c r="AA134" i="3"/>
  <c r="AC134" i="3" s="1"/>
  <c r="AP134" i="3" s="1"/>
  <c r="Z168" i="3"/>
  <c r="AB168" i="3" s="1"/>
  <c r="AO168" i="3" s="1"/>
  <c r="AA168" i="3"/>
  <c r="AC168" i="3" s="1"/>
  <c r="AP168" i="3" s="1"/>
  <c r="Z93" i="3"/>
  <c r="AB93" i="3" s="1"/>
  <c r="AO93" i="3" s="1"/>
  <c r="AA93" i="3"/>
  <c r="AC93" i="3" s="1"/>
  <c r="AP93" i="3" s="1"/>
  <c r="Z96" i="3"/>
  <c r="AB96" i="3" s="1"/>
  <c r="AO96" i="3" s="1"/>
  <c r="AA96" i="3"/>
  <c r="AC96" i="3" s="1"/>
  <c r="AP96" i="3" s="1"/>
  <c r="Z98" i="3"/>
  <c r="AB98" i="3" s="1"/>
  <c r="AO98" i="3" s="1"/>
  <c r="AA98" i="3"/>
  <c r="AC98" i="3" s="1"/>
  <c r="AP98" i="3" s="1"/>
  <c r="AA94" i="3"/>
  <c r="AC94" i="3" s="1"/>
  <c r="AP94" i="3" s="1"/>
  <c r="Z94" i="3"/>
  <c r="AB94" i="3" s="1"/>
  <c r="AO94" i="3" s="1"/>
  <c r="Z52" i="3"/>
  <c r="AB52" i="3" s="1"/>
  <c r="AO52" i="3" s="1"/>
  <c r="AA52" i="3"/>
  <c r="AC52" i="3" s="1"/>
  <c r="AP52" i="3" s="1"/>
  <c r="Z329" i="3"/>
  <c r="AB329" i="3" s="1"/>
  <c r="AO329" i="3" s="1"/>
  <c r="AA329" i="3"/>
  <c r="AC329" i="3" s="1"/>
  <c r="AP329" i="3" s="1"/>
  <c r="Z250" i="3"/>
  <c r="AB250" i="3" s="1"/>
  <c r="AO250" i="3" s="1"/>
  <c r="AA250" i="3"/>
  <c r="AC250" i="3" s="1"/>
  <c r="AP250" i="3" s="1"/>
  <c r="Z233" i="3"/>
  <c r="AB233" i="3" s="1"/>
  <c r="AO233" i="3" s="1"/>
  <c r="AA233" i="3"/>
  <c r="AC233" i="3" s="1"/>
  <c r="AP233" i="3" s="1"/>
  <c r="Z306" i="3"/>
  <c r="AB306" i="3" s="1"/>
  <c r="AO306" i="3" s="1"/>
  <c r="AA306" i="3"/>
  <c r="AC306" i="3" s="1"/>
  <c r="AP306" i="3" s="1"/>
  <c r="Z320" i="3"/>
  <c r="AB320" i="3" s="1"/>
  <c r="AO320" i="3" s="1"/>
  <c r="AA320" i="3"/>
  <c r="AC320" i="3" s="1"/>
  <c r="AP320" i="3" s="1"/>
  <c r="Z271" i="3"/>
  <c r="AB271" i="3" s="1"/>
  <c r="AO271" i="3" s="1"/>
  <c r="AA271" i="3"/>
  <c r="AC271" i="3" s="1"/>
  <c r="AP271" i="3" s="1"/>
  <c r="Z257" i="3"/>
  <c r="AB257" i="3" s="1"/>
  <c r="AO257" i="3" s="1"/>
  <c r="AA257" i="3"/>
  <c r="AC257" i="3" s="1"/>
  <c r="AP257" i="3" s="1"/>
  <c r="Z300" i="3"/>
  <c r="AB300" i="3" s="1"/>
  <c r="AO300" i="3" s="1"/>
  <c r="AA300" i="3"/>
  <c r="AC300" i="3" s="1"/>
  <c r="AP300" i="3" s="1"/>
  <c r="AA328" i="3"/>
  <c r="AC328" i="3" s="1"/>
  <c r="AP328" i="3" s="1"/>
  <c r="Z328" i="3"/>
  <c r="AB328" i="3" s="1"/>
  <c r="AO328" i="3" s="1"/>
  <c r="Z317" i="3"/>
  <c r="AB317" i="3" s="1"/>
  <c r="AO317" i="3" s="1"/>
  <c r="AA317" i="3"/>
  <c r="AC317" i="3" s="1"/>
  <c r="AP317" i="3" s="1"/>
  <c r="AA221" i="3"/>
  <c r="AC221" i="3" s="1"/>
  <c r="AP221" i="3" s="1"/>
  <c r="Z221" i="3"/>
  <c r="AB221" i="3" s="1"/>
  <c r="AO221" i="3" s="1"/>
  <c r="AA260" i="3"/>
  <c r="AC260" i="3" s="1"/>
  <c r="AP260" i="3" s="1"/>
  <c r="Z260" i="3"/>
  <c r="AB260" i="3" s="1"/>
  <c r="AO260" i="3" s="1"/>
  <c r="Z240" i="3"/>
  <c r="AB240" i="3" s="1"/>
  <c r="AO240" i="3" s="1"/>
  <c r="AA240" i="3"/>
  <c r="AC240" i="3" s="1"/>
  <c r="AP240" i="3" s="1"/>
  <c r="Z185" i="3"/>
  <c r="AB185" i="3" s="1"/>
  <c r="AO185" i="3" s="1"/>
  <c r="AA185" i="3"/>
  <c r="AC185" i="3" s="1"/>
  <c r="AP185" i="3" s="1"/>
  <c r="Z222" i="3"/>
  <c r="AB222" i="3" s="1"/>
  <c r="AO222" i="3" s="1"/>
  <c r="AA222" i="3"/>
  <c r="AC222" i="3" s="1"/>
  <c r="AP222" i="3" s="1"/>
  <c r="Z208" i="3"/>
  <c r="AB208" i="3" s="1"/>
  <c r="AO208" i="3" s="1"/>
  <c r="AA208" i="3"/>
  <c r="AC208" i="3" s="1"/>
  <c r="AP208" i="3" s="1"/>
  <c r="Z181" i="3"/>
  <c r="AB181" i="3" s="1"/>
  <c r="AO181" i="3" s="1"/>
  <c r="AA181" i="3"/>
  <c r="AC181" i="3" s="1"/>
  <c r="AP181" i="3" s="1"/>
  <c r="Z179" i="3"/>
  <c r="AB179" i="3" s="1"/>
  <c r="AO179" i="3" s="1"/>
  <c r="AA179" i="3"/>
  <c r="AC179" i="3" s="1"/>
  <c r="AP179" i="3" s="1"/>
  <c r="Z204" i="3"/>
  <c r="AB204" i="3" s="1"/>
  <c r="AO204" i="3" s="1"/>
  <c r="AA204" i="3"/>
  <c r="AC204" i="3" s="1"/>
  <c r="AP204" i="3" s="1"/>
  <c r="Z149" i="3"/>
  <c r="AB149" i="3" s="1"/>
  <c r="AO149" i="3" s="1"/>
  <c r="AA149" i="3"/>
  <c r="AC149" i="3" s="1"/>
  <c r="AP149" i="3" s="1"/>
  <c r="Z163" i="3"/>
  <c r="AB163" i="3" s="1"/>
  <c r="AO163" i="3" s="1"/>
  <c r="AA163" i="3"/>
  <c r="AC163" i="3" s="1"/>
  <c r="AP163" i="3" s="1"/>
  <c r="Z152" i="3"/>
  <c r="AB152" i="3" s="1"/>
  <c r="AO152" i="3" s="1"/>
  <c r="AA152" i="3"/>
  <c r="AC152" i="3" s="1"/>
  <c r="AP152" i="3" s="1"/>
  <c r="Z178" i="3"/>
  <c r="AB178" i="3" s="1"/>
  <c r="AO178" i="3" s="1"/>
  <c r="AA178" i="3"/>
  <c r="AC178" i="3" s="1"/>
  <c r="AP178" i="3" s="1"/>
  <c r="AA167" i="3"/>
  <c r="AC167" i="3" s="1"/>
  <c r="AP167" i="3" s="1"/>
  <c r="Z167" i="3"/>
  <c r="AB167" i="3" s="1"/>
  <c r="AO167" i="3" s="1"/>
  <c r="Z85" i="3"/>
  <c r="AB85" i="3" s="1"/>
  <c r="AO85" i="3" s="1"/>
  <c r="AA85" i="3"/>
  <c r="AC85" i="3" s="1"/>
  <c r="AP85" i="3" s="1"/>
  <c r="Z103" i="3"/>
  <c r="AB103" i="3" s="1"/>
  <c r="AO103" i="3" s="1"/>
  <c r="AA103" i="3"/>
  <c r="AC103" i="3" s="1"/>
  <c r="AP103" i="3" s="1"/>
  <c r="AA118" i="3"/>
  <c r="AC118" i="3" s="1"/>
  <c r="AP118" i="3" s="1"/>
  <c r="Z118" i="3"/>
  <c r="AB118" i="3" s="1"/>
  <c r="AO118" i="3" s="1"/>
  <c r="Z107" i="3"/>
  <c r="AB107" i="3" s="1"/>
  <c r="AO107" i="3" s="1"/>
  <c r="AA107" i="3"/>
  <c r="AC107" i="3" s="1"/>
  <c r="AP107" i="3" s="1"/>
  <c r="Z91" i="3"/>
  <c r="AB91" i="3" s="1"/>
  <c r="AO91" i="3" s="1"/>
  <c r="AA91" i="3"/>
  <c r="AC91" i="3" s="1"/>
  <c r="AP91" i="3" s="1"/>
  <c r="Z83" i="3"/>
  <c r="AB83" i="3" s="1"/>
  <c r="AO83" i="3" s="1"/>
  <c r="AA83" i="3"/>
  <c r="AC83" i="3" s="1"/>
  <c r="AP83" i="3" s="1"/>
  <c r="Z60" i="3"/>
  <c r="AB60" i="3" s="1"/>
  <c r="AO60" i="3" s="1"/>
  <c r="AA60" i="3"/>
  <c r="AC60" i="3" s="1"/>
  <c r="AP60" i="3" s="1"/>
  <c r="Z74" i="3"/>
  <c r="AB74" i="3" s="1"/>
  <c r="AO74" i="3" s="1"/>
  <c r="AA74" i="3"/>
  <c r="AC74" i="3" s="1"/>
  <c r="AP74" i="3" s="1"/>
  <c r="Z63" i="3"/>
  <c r="AB63" i="3" s="1"/>
  <c r="AO63" i="3" s="1"/>
  <c r="AA63" i="3"/>
  <c r="AC63" i="3" s="1"/>
  <c r="AP63" i="3" s="1"/>
  <c r="Z90" i="3"/>
  <c r="AB90" i="3" s="1"/>
  <c r="AO90" i="3" s="1"/>
  <c r="AA90" i="3"/>
  <c r="AC90" i="3" s="1"/>
  <c r="AP90" i="3" s="1"/>
  <c r="Z325" i="3"/>
  <c r="AB325" i="3" s="1"/>
  <c r="AO325" i="3" s="1"/>
  <c r="AA325" i="3"/>
  <c r="AC325" i="3" s="1"/>
  <c r="AP325" i="3" s="1"/>
  <c r="Z330" i="3"/>
  <c r="AB330" i="3" s="1"/>
  <c r="AO330" i="3" s="1"/>
  <c r="AA330" i="3"/>
  <c r="AC330" i="3" s="1"/>
  <c r="AP330" i="3" s="1"/>
  <c r="Z296" i="3"/>
  <c r="AB296" i="3" s="1"/>
  <c r="AO296" i="3" s="1"/>
  <c r="AA296" i="3"/>
  <c r="AC296" i="3" s="1"/>
  <c r="AP296" i="3" s="1"/>
  <c r="Z269" i="3"/>
  <c r="AB269" i="3" s="1"/>
  <c r="AO269" i="3" s="1"/>
  <c r="AA269" i="3"/>
  <c r="AC269" i="3" s="1"/>
  <c r="AP269" i="3" s="1"/>
  <c r="Z311" i="3"/>
  <c r="AB311" i="3" s="1"/>
  <c r="AO311" i="3" s="1"/>
  <c r="AA311" i="3"/>
  <c r="AC311" i="3" s="1"/>
  <c r="AP311" i="3" s="1"/>
  <c r="Z338" i="3"/>
  <c r="AB338" i="3" s="1"/>
  <c r="AO338" i="3" s="1"/>
  <c r="AA338" i="3"/>
  <c r="AC338" i="3" s="1"/>
  <c r="AP338" i="3" s="1"/>
  <c r="Z281" i="3"/>
  <c r="AB281" i="3" s="1"/>
  <c r="AO281" i="3" s="1"/>
  <c r="AA281" i="3"/>
  <c r="AC281" i="3" s="1"/>
  <c r="AP281" i="3" s="1"/>
  <c r="Z259" i="3"/>
  <c r="AB259" i="3" s="1"/>
  <c r="AO259" i="3" s="1"/>
  <c r="AA259" i="3"/>
  <c r="AC259" i="3" s="1"/>
  <c r="AP259" i="3" s="1"/>
  <c r="Z225" i="3"/>
  <c r="AB225" i="3" s="1"/>
  <c r="AO225" i="3" s="1"/>
  <c r="AA225" i="3"/>
  <c r="AC225" i="3" s="1"/>
  <c r="AP225" i="3" s="1"/>
  <c r="Z230" i="3"/>
  <c r="AB230" i="3" s="1"/>
  <c r="AO230" i="3" s="1"/>
  <c r="AA230" i="3"/>
  <c r="AC230" i="3" s="1"/>
  <c r="AP230" i="3" s="1"/>
  <c r="Z277" i="3"/>
  <c r="AB277" i="3" s="1"/>
  <c r="AO277" i="3" s="1"/>
  <c r="AA277" i="3"/>
  <c r="AC277" i="3" s="1"/>
  <c r="AP277" i="3" s="1"/>
  <c r="Z290" i="3"/>
  <c r="AB290" i="3" s="1"/>
  <c r="AO290" i="3" s="1"/>
  <c r="AA290" i="3"/>
  <c r="AC290" i="3" s="1"/>
  <c r="AP290" i="3" s="1"/>
  <c r="AA172" i="3"/>
  <c r="AC172" i="3" s="1"/>
  <c r="AP172" i="3" s="1"/>
  <c r="Z172" i="3"/>
  <c r="AB172" i="3" s="1"/>
  <c r="AO172" i="3" s="1"/>
  <c r="Z187" i="3"/>
  <c r="AB187" i="3" s="1"/>
  <c r="AO187" i="3" s="1"/>
  <c r="AA187" i="3"/>
  <c r="AC187" i="3" s="1"/>
  <c r="AP187" i="3" s="1"/>
  <c r="Z175" i="3"/>
  <c r="AB175" i="3" s="1"/>
  <c r="AO175" i="3" s="1"/>
  <c r="AA175" i="3"/>
  <c r="AC175" i="3" s="1"/>
  <c r="AP175" i="3" s="1"/>
  <c r="Z214" i="3"/>
  <c r="AB214" i="3" s="1"/>
  <c r="AO214" i="3" s="1"/>
  <c r="AA214" i="3"/>
  <c r="AC214" i="3" s="1"/>
  <c r="AP214" i="3" s="1"/>
  <c r="Z215" i="3"/>
  <c r="AB215" i="3" s="1"/>
  <c r="AO215" i="3" s="1"/>
  <c r="AA215" i="3"/>
  <c r="AC215" i="3" s="1"/>
  <c r="AP215" i="3" s="1"/>
  <c r="Z193" i="3"/>
  <c r="AB193" i="3" s="1"/>
  <c r="AO193" i="3" s="1"/>
  <c r="AA193" i="3"/>
  <c r="AC193" i="3" s="1"/>
  <c r="AP193" i="3" s="1"/>
  <c r="Z159" i="3"/>
  <c r="AB159" i="3" s="1"/>
  <c r="AO159" i="3" s="1"/>
  <c r="AA159" i="3"/>
  <c r="AC159" i="3" s="1"/>
  <c r="AP159" i="3" s="1"/>
  <c r="Z156" i="3"/>
  <c r="AB156" i="3" s="1"/>
  <c r="AO156" i="3" s="1"/>
  <c r="AA156" i="3"/>
  <c r="AC156" i="3" s="1"/>
  <c r="AP156" i="3" s="1"/>
  <c r="Z126" i="3"/>
  <c r="AB126" i="3" s="1"/>
  <c r="AO126" i="3" s="1"/>
  <c r="AA126" i="3"/>
  <c r="AC126" i="3" s="1"/>
  <c r="AP126" i="3" s="1"/>
  <c r="Z81" i="3"/>
  <c r="AB81" i="3" s="1"/>
  <c r="AO81" i="3" s="1"/>
  <c r="AA81" i="3"/>
  <c r="AC81" i="3" s="1"/>
  <c r="AP81" i="3" s="1"/>
  <c r="Z80" i="3"/>
  <c r="AB80" i="3" s="1"/>
  <c r="AO80" i="3" s="1"/>
  <c r="AA80" i="3"/>
  <c r="AC80" i="3" s="1"/>
  <c r="AP80" i="3" s="1"/>
  <c r="Z40" i="3"/>
  <c r="AB40" i="3" s="1"/>
  <c r="AO40" i="3" s="1"/>
  <c r="AA40" i="3"/>
  <c r="AC40" i="3" s="1"/>
  <c r="AP40" i="3" s="1"/>
  <c r="Z75" i="3"/>
  <c r="AB75" i="3" s="1"/>
  <c r="AO75" i="3" s="1"/>
  <c r="AA75" i="3"/>
  <c r="AC75" i="3" s="1"/>
  <c r="AP75" i="3" s="1"/>
  <c r="AA349" i="3"/>
  <c r="AC349" i="3" s="1"/>
  <c r="AP349" i="3" s="1"/>
  <c r="Z349" i="3"/>
  <c r="AB349" i="3" s="1"/>
  <c r="AO349" i="3" s="1"/>
  <c r="Z348" i="3"/>
  <c r="AB348" i="3" s="1"/>
  <c r="AO348" i="3" s="1"/>
  <c r="AA348" i="3"/>
  <c r="AC348" i="3" s="1"/>
  <c r="AP348" i="3" s="1"/>
  <c r="Z344" i="3"/>
  <c r="AB344" i="3" s="1"/>
  <c r="AO344" i="3" s="1"/>
  <c r="AA344" i="3"/>
  <c r="AC344" i="3" s="1"/>
  <c r="AP344" i="3" s="1"/>
  <c r="AA333" i="3"/>
  <c r="AC333" i="3" s="1"/>
  <c r="AP333" i="3" s="1"/>
  <c r="Z333" i="3"/>
  <c r="AB333" i="3" s="1"/>
  <c r="AO333" i="3" s="1"/>
  <c r="Z322" i="3"/>
  <c r="AB322" i="3" s="1"/>
  <c r="AO322" i="3" s="1"/>
  <c r="AA322" i="3"/>
  <c r="AC322" i="3" s="1"/>
  <c r="AP322" i="3" s="1"/>
  <c r="Z316" i="3"/>
  <c r="AB316" i="3" s="1"/>
  <c r="AO316" i="3" s="1"/>
  <c r="AA316" i="3"/>
  <c r="AC316" i="3" s="1"/>
  <c r="AP316" i="3" s="1"/>
  <c r="Z305" i="3"/>
  <c r="AB305" i="3" s="1"/>
  <c r="AO305" i="3" s="1"/>
  <c r="AA305" i="3"/>
  <c r="AC305" i="3" s="1"/>
  <c r="AP305" i="3" s="1"/>
  <c r="AA248" i="3"/>
  <c r="AC248" i="3" s="1"/>
  <c r="AP248" i="3" s="1"/>
  <c r="Z248" i="3"/>
  <c r="AB248" i="3" s="1"/>
  <c r="AO248" i="3" s="1"/>
  <c r="AA279" i="3"/>
  <c r="AC279" i="3" s="1"/>
  <c r="AP279" i="3" s="1"/>
  <c r="Z279" i="3"/>
  <c r="AB279" i="3" s="1"/>
  <c r="AO279" i="3" s="1"/>
  <c r="Z292" i="3"/>
  <c r="AB292" i="3" s="1"/>
  <c r="AO292" i="3" s="1"/>
  <c r="AA292" i="3"/>
  <c r="AC292" i="3" s="1"/>
  <c r="AP292" i="3" s="1"/>
  <c r="Z218" i="3"/>
  <c r="AB218" i="3" s="1"/>
  <c r="AO218" i="3" s="1"/>
  <c r="AA218" i="3"/>
  <c r="AC218" i="3" s="1"/>
  <c r="AP218" i="3" s="1"/>
  <c r="Z196" i="3"/>
  <c r="AB196" i="3" s="1"/>
  <c r="AO196" i="3" s="1"/>
  <c r="AA196" i="3"/>
  <c r="AC196" i="3" s="1"/>
  <c r="AP196" i="3" s="1"/>
  <c r="Z210" i="3"/>
  <c r="AB210" i="3" s="1"/>
  <c r="AO210" i="3" s="1"/>
  <c r="AA210" i="3"/>
  <c r="AC210" i="3" s="1"/>
  <c r="AP210" i="3" s="1"/>
  <c r="Z171" i="3"/>
  <c r="AB171" i="3" s="1"/>
  <c r="AO171" i="3" s="1"/>
  <c r="AA171" i="3"/>
  <c r="AC171" i="3" s="1"/>
  <c r="AP171" i="3" s="1"/>
  <c r="Z192" i="3"/>
  <c r="AB192" i="3" s="1"/>
  <c r="AO192" i="3" s="1"/>
  <c r="AA192" i="3"/>
  <c r="AC192" i="3" s="1"/>
  <c r="AP192" i="3" s="1"/>
  <c r="Z139" i="3"/>
  <c r="AB139" i="3" s="1"/>
  <c r="AO139" i="3" s="1"/>
  <c r="AA139" i="3"/>
  <c r="AC139" i="3" s="1"/>
  <c r="AP139" i="3" s="1"/>
  <c r="Z151" i="3"/>
  <c r="AB151" i="3" s="1"/>
  <c r="AO151" i="3" s="1"/>
  <c r="AA151" i="3"/>
  <c r="AC151" i="3" s="1"/>
  <c r="AP151" i="3" s="1"/>
  <c r="AA135" i="3"/>
  <c r="AC135" i="3" s="1"/>
  <c r="AP135" i="3" s="1"/>
  <c r="Z135" i="3"/>
  <c r="AB135" i="3" s="1"/>
  <c r="AO135" i="3" s="1"/>
  <c r="Z166" i="3"/>
  <c r="AB166" i="3" s="1"/>
  <c r="AO166" i="3" s="1"/>
  <c r="AA166" i="3"/>
  <c r="AC166" i="3" s="1"/>
  <c r="AP166" i="3" s="1"/>
  <c r="Z155" i="3"/>
  <c r="AB155" i="3" s="1"/>
  <c r="AO155" i="3" s="1"/>
  <c r="AA155" i="3"/>
  <c r="AC155" i="3" s="1"/>
  <c r="AP155" i="3" s="1"/>
  <c r="Z117" i="3"/>
  <c r="AB117" i="3" s="1"/>
  <c r="AO117" i="3" s="1"/>
  <c r="AA117" i="3"/>
  <c r="AC117" i="3" s="1"/>
  <c r="AP117" i="3" s="1"/>
  <c r="Z106" i="3"/>
  <c r="AB106" i="3" s="1"/>
  <c r="AO106" i="3" s="1"/>
  <c r="AA106" i="3"/>
  <c r="AC106" i="3" s="1"/>
  <c r="AP106" i="3" s="1"/>
  <c r="Z79" i="3"/>
  <c r="AB79" i="3" s="1"/>
  <c r="AO79" i="3" s="1"/>
  <c r="AA79" i="3"/>
  <c r="AC79" i="3" s="1"/>
  <c r="AP79" i="3" s="1"/>
  <c r="Z67" i="3"/>
  <c r="AB67" i="3" s="1"/>
  <c r="AO67" i="3" s="1"/>
  <c r="AA67" i="3"/>
  <c r="AC67" i="3" s="1"/>
  <c r="AP67" i="3" s="1"/>
  <c r="Z71" i="3"/>
  <c r="AB71" i="3" s="1"/>
  <c r="AO71" i="3" s="1"/>
  <c r="AA71" i="3"/>
  <c r="AC71" i="3" s="1"/>
  <c r="AP71" i="3" s="1"/>
  <c r="Z48" i="3"/>
  <c r="AB48" i="3" s="1"/>
  <c r="AO48" i="3" s="1"/>
  <c r="AA48" i="3"/>
  <c r="AC48" i="3" s="1"/>
  <c r="AP48" i="3" s="1"/>
  <c r="Z62" i="3"/>
  <c r="AB62" i="3" s="1"/>
  <c r="AO62" i="3" s="1"/>
  <c r="AA62" i="3"/>
  <c r="AC62" i="3" s="1"/>
  <c r="AP62" i="3" s="1"/>
  <c r="Z51" i="3"/>
  <c r="AB51" i="3" s="1"/>
  <c r="AO51" i="3" s="1"/>
  <c r="AA51" i="3"/>
  <c r="AC51" i="3" s="1"/>
  <c r="AP51" i="3" s="1"/>
  <c r="Z89" i="3"/>
  <c r="AB89" i="3" s="1"/>
  <c r="AO89" i="3" s="1"/>
  <c r="AA89" i="3"/>
  <c r="AC89" i="3" s="1"/>
  <c r="AP89" i="3" s="1"/>
  <c r="Z78" i="3"/>
  <c r="AB78" i="3" s="1"/>
  <c r="AO78" i="3" s="1"/>
  <c r="AA78" i="3"/>
  <c r="AC78" i="3" s="1"/>
  <c r="AP78" i="3" s="1"/>
  <c r="Z341" i="3"/>
  <c r="AB341" i="3" s="1"/>
  <c r="AO341" i="3" s="1"/>
  <c r="AA341" i="3"/>
  <c r="AC341" i="3" s="1"/>
  <c r="AP341" i="3" s="1"/>
  <c r="AA342" i="3"/>
  <c r="AC342" i="3" s="1"/>
  <c r="AP342" i="3" s="1"/>
  <c r="Z342" i="3"/>
  <c r="AB342" i="3" s="1"/>
  <c r="AO342" i="3" s="1"/>
  <c r="AA291" i="3"/>
  <c r="AC291" i="3" s="1"/>
  <c r="AP291" i="3" s="1"/>
  <c r="Z291" i="3"/>
  <c r="AB291" i="3" s="1"/>
  <c r="AO291" i="3" s="1"/>
  <c r="Z299" i="3"/>
  <c r="AB299" i="3" s="1"/>
  <c r="AO299" i="3" s="1"/>
  <c r="AA299" i="3"/>
  <c r="AC299" i="3" s="1"/>
  <c r="AP299" i="3" s="1"/>
  <c r="Z288" i="3"/>
  <c r="AB288" i="3" s="1"/>
  <c r="AO288" i="3" s="1"/>
  <c r="AA288" i="3"/>
  <c r="AC288" i="3" s="1"/>
  <c r="AP288" i="3" s="1"/>
  <c r="AA326" i="3"/>
  <c r="AC326" i="3" s="1"/>
  <c r="AP326" i="3" s="1"/>
  <c r="Z326" i="3"/>
  <c r="AB326" i="3" s="1"/>
  <c r="AO326" i="3" s="1"/>
  <c r="Z247" i="3"/>
  <c r="AB247" i="3" s="1"/>
  <c r="AO247" i="3" s="1"/>
  <c r="AA247" i="3"/>
  <c r="AC247" i="3" s="1"/>
  <c r="AP247" i="3" s="1"/>
  <c r="Z232" i="3"/>
  <c r="AB232" i="3" s="1"/>
  <c r="AO232" i="3" s="1"/>
  <c r="AA232" i="3"/>
  <c r="AC232" i="3" s="1"/>
  <c r="AP232" i="3" s="1"/>
  <c r="Z287" i="3"/>
  <c r="AB287" i="3" s="1"/>
  <c r="AO287" i="3" s="1"/>
  <c r="AA287" i="3"/>
  <c r="AC287" i="3" s="1"/>
  <c r="AP287" i="3" s="1"/>
  <c r="Z265" i="3"/>
  <c r="AB265" i="3" s="1"/>
  <c r="AO265" i="3" s="1"/>
  <c r="AA265" i="3"/>
  <c r="AC265" i="3" s="1"/>
  <c r="AP265" i="3" s="1"/>
  <c r="Z278" i="3"/>
  <c r="AB278" i="3" s="1"/>
  <c r="AO278" i="3" s="1"/>
  <c r="AA278" i="3"/>
  <c r="AC278" i="3" s="1"/>
  <c r="AP278" i="3" s="1"/>
  <c r="Z207" i="3"/>
  <c r="AB207" i="3" s="1"/>
  <c r="AO207" i="3" s="1"/>
  <c r="AA207" i="3"/>
  <c r="AC207" i="3" s="1"/>
  <c r="AP207" i="3" s="1"/>
  <c r="Z138" i="3"/>
  <c r="AB138" i="3" s="1"/>
  <c r="AO138" i="3" s="1"/>
  <c r="AA138" i="3"/>
  <c r="AC138" i="3" s="1"/>
  <c r="AP138" i="3" s="1"/>
  <c r="Z202" i="3"/>
  <c r="AB202" i="3" s="1"/>
  <c r="AO202" i="3" s="1"/>
  <c r="AA202" i="3"/>
  <c r="AC202" i="3" s="1"/>
  <c r="AP202" i="3" s="1"/>
  <c r="Z203" i="3"/>
  <c r="AB203" i="3" s="1"/>
  <c r="AO203" i="3" s="1"/>
  <c r="AA203" i="3"/>
  <c r="AC203" i="3" s="1"/>
  <c r="AP203" i="3" s="1"/>
  <c r="Z147" i="3"/>
  <c r="AB147" i="3" s="1"/>
  <c r="AO147" i="3" s="1"/>
  <c r="AA147" i="3"/>
  <c r="AC147" i="3" s="1"/>
  <c r="AP147" i="3" s="1"/>
  <c r="Z132" i="3"/>
  <c r="AB132" i="3" s="1"/>
  <c r="AO132" i="3" s="1"/>
  <c r="AA132" i="3"/>
  <c r="AC132" i="3" s="1"/>
  <c r="AP132" i="3" s="1"/>
  <c r="Z177" i="3"/>
  <c r="AB177" i="3" s="1"/>
  <c r="AO177" i="3" s="1"/>
  <c r="AA177" i="3"/>
  <c r="AC177" i="3" s="1"/>
  <c r="AP177" i="3" s="1"/>
  <c r="Z144" i="3"/>
  <c r="AB144" i="3" s="1"/>
  <c r="AO144" i="3" s="1"/>
  <c r="AA144" i="3"/>
  <c r="AC144" i="3" s="1"/>
  <c r="AP144" i="3" s="1"/>
  <c r="Z112" i="3"/>
  <c r="AB112" i="3" s="1"/>
  <c r="AO112" i="3" s="1"/>
  <c r="AA112" i="3"/>
  <c r="AC112" i="3" s="1"/>
  <c r="AP112" i="3" s="1"/>
  <c r="Z114" i="3"/>
  <c r="AB114" i="3" s="1"/>
  <c r="AO114" i="3" s="1"/>
  <c r="AA114" i="3"/>
  <c r="AC114" i="3" s="1"/>
  <c r="AP114" i="3" s="1"/>
  <c r="Z72" i="3"/>
  <c r="AB72" i="3" s="1"/>
  <c r="AO72" i="3" s="1"/>
  <c r="AA72" i="3"/>
  <c r="AC72" i="3" s="1"/>
  <c r="AP72" i="3" s="1"/>
  <c r="Z319" i="3"/>
  <c r="AB319" i="3" s="1"/>
  <c r="AO319" i="3" s="1"/>
  <c r="AA319" i="3"/>
  <c r="AC319" i="3" s="1"/>
  <c r="AP319" i="3" s="1"/>
  <c r="Z285" i="3"/>
  <c r="AB285" i="3" s="1"/>
  <c r="AO285" i="3" s="1"/>
  <c r="AA285" i="3"/>
  <c r="AC285" i="3" s="1"/>
  <c r="AP285" i="3" s="1"/>
  <c r="AA321" i="3"/>
  <c r="AC321" i="3" s="1"/>
  <c r="AP321" i="3" s="1"/>
  <c r="Z321" i="3"/>
  <c r="AB321" i="3" s="1"/>
  <c r="AO321" i="3" s="1"/>
  <c r="Z310" i="3"/>
  <c r="AB310" i="3" s="1"/>
  <c r="AO310" i="3" s="1"/>
  <c r="AA310" i="3"/>
  <c r="AC310" i="3" s="1"/>
  <c r="AP310" i="3" s="1"/>
  <c r="AA284" i="3"/>
  <c r="AC284" i="3" s="1"/>
  <c r="AP284" i="3" s="1"/>
  <c r="Z284" i="3"/>
  <c r="AB284" i="3" s="1"/>
  <c r="AO284" i="3" s="1"/>
  <c r="Z245" i="3"/>
  <c r="AB245" i="3" s="1"/>
  <c r="AO245" i="3" s="1"/>
  <c r="AA245" i="3"/>
  <c r="AC245" i="3" s="1"/>
  <c r="AP245" i="3" s="1"/>
  <c r="Z304" i="3"/>
  <c r="AB304" i="3" s="1"/>
  <c r="AO304" i="3" s="1"/>
  <c r="AA304" i="3"/>
  <c r="AC304" i="3" s="1"/>
  <c r="AP304" i="3" s="1"/>
  <c r="Z293" i="3"/>
  <c r="AB293" i="3" s="1"/>
  <c r="AO293" i="3" s="1"/>
  <c r="AA293" i="3"/>
  <c r="AC293" i="3" s="1"/>
  <c r="AP293" i="3" s="1"/>
  <c r="Z220" i="3"/>
  <c r="AB220" i="3" s="1"/>
  <c r="AO220" i="3" s="1"/>
  <c r="AA220" i="3"/>
  <c r="AC220" i="3" s="1"/>
  <c r="AP220" i="3" s="1"/>
  <c r="Z264" i="3"/>
  <c r="AB264" i="3" s="1"/>
  <c r="AO264" i="3" s="1"/>
  <c r="AA264" i="3"/>
  <c r="AC264" i="3" s="1"/>
  <c r="AP264" i="3" s="1"/>
  <c r="Z267" i="3"/>
  <c r="AB267" i="3" s="1"/>
  <c r="AO267" i="3" s="1"/>
  <c r="AA267" i="3"/>
  <c r="AC267" i="3" s="1"/>
  <c r="AP267" i="3" s="1"/>
  <c r="Z280" i="3"/>
  <c r="AB280" i="3" s="1"/>
  <c r="AO280" i="3" s="1"/>
  <c r="AA280" i="3"/>
  <c r="AC280" i="3" s="1"/>
  <c r="AP280" i="3" s="1"/>
  <c r="Z198" i="3"/>
  <c r="AB198" i="3" s="1"/>
  <c r="AO198" i="3" s="1"/>
  <c r="AA198" i="3"/>
  <c r="AC198" i="3" s="1"/>
  <c r="AP198" i="3" s="1"/>
  <c r="Z224" i="3"/>
  <c r="AB224" i="3" s="1"/>
  <c r="AO224" i="3" s="1"/>
  <c r="AA224" i="3"/>
  <c r="AC224" i="3" s="1"/>
  <c r="AP224" i="3" s="1"/>
  <c r="Z201" i="3"/>
  <c r="AB201" i="3" s="1"/>
  <c r="AO201" i="3" s="1"/>
  <c r="AA201" i="3"/>
  <c r="AC201" i="3" s="1"/>
  <c r="AP201" i="3" s="1"/>
  <c r="AA164" i="3"/>
  <c r="AC164" i="3" s="1"/>
  <c r="AP164" i="3" s="1"/>
  <c r="Z164" i="3"/>
  <c r="AB164" i="3" s="1"/>
  <c r="AO164" i="3" s="1"/>
  <c r="AA125" i="3"/>
  <c r="AC125" i="3" s="1"/>
  <c r="AP125" i="3" s="1"/>
  <c r="Z125" i="3"/>
  <c r="AB125" i="3" s="1"/>
  <c r="AO125" i="3" s="1"/>
  <c r="Z140" i="3"/>
  <c r="AB140" i="3" s="1"/>
  <c r="AO140" i="3" s="1"/>
  <c r="AA140" i="3"/>
  <c r="AC140" i="3" s="1"/>
  <c r="AP140" i="3" s="1"/>
  <c r="Z154" i="3"/>
  <c r="AB154" i="3" s="1"/>
  <c r="AO154" i="3" s="1"/>
  <c r="AA154" i="3"/>
  <c r="AC154" i="3" s="1"/>
  <c r="AP154" i="3" s="1"/>
  <c r="Z143" i="3"/>
  <c r="AB143" i="3" s="1"/>
  <c r="AO143" i="3" s="1"/>
  <c r="AA143" i="3"/>
  <c r="AC143" i="3" s="1"/>
  <c r="AP143" i="3" s="1"/>
  <c r="Z105" i="3"/>
  <c r="AB105" i="3" s="1"/>
  <c r="AO105" i="3" s="1"/>
  <c r="AA105" i="3"/>
  <c r="AC105" i="3" s="1"/>
  <c r="AP105" i="3" s="1"/>
  <c r="Z97" i="3"/>
  <c r="AB97" i="3" s="1"/>
  <c r="AO97" i="3" s="1"/>
  <c r="AA97" i="3"/>
  <c r="AC97" i="3" s="1"/>
  <c r="AP97" i="3" s="1"/>
  <c r="AA82" i="3"/>
  <c r="AC82" i="3" s="1"/>
  <c r="AP82" i="3" s="1"/>
  <c r="Z82" i="3"/>
  <c r="AB82" i="3" s="1"/>
  <c r="AO82" i="3" s="1"/>
  <c r="Z44" i="3"/>
  <c r="AB44" i="3" s="1"/>
  <c r="AO44" i="3" s="1"/>
  <c r="AA44" i="3"/>
  <c r="AC44" i="3" s="1"/>
  <c r="AP44" i="3" s="1"/>
  <c r="Z55" i="3"/>
  <c r="AB55" i="3" s="1"/>
  <c r="AO55" i="3" s="1"/>
  <c r="AA55" i="3"/>
  <c r="AC55" i="3" s="1"/>
  <c r="AP55" i="3" s="1"/>
  <c r="AA59" i="3"/>
  <c r="AC59" i="3" s="1"/>
  <c r="AP59" i="3" s="1"/>
  <c r="Z59" i="3"/>
  <c r="AB59" i="3" s="1"/>
  <c r="AO59" i="3" s="1"/>
  <c r="AA73" i="3"/>
  <c r="AC73" i="3" s="1"/>
  <c r="AP73" i="3" s="1"/>
  <c r="Z73" i="3"/>
  <c r="AB73" i="3" s="1"/>
  <c r="AO73" i="3" s="1"/>
  <c r="Z50" i="3"/>
  <c r="AB50" i="3" s="1"/>
  <c r="AO50" i="3" s="1"/>
  <c r="AA50" i="3"/>
  <c r="AC50" i="3" s="1"/>
  <c r="AP50" i="3" s="1"/>
  <c r="Z39" i="3"/>
  <c r="AB39" i="3" s="1"/>
  <c r="AO39" i="3" s="1"/>
  <c r="AA39" i="3"/>
  <c r="AC39" i="3" s="1"/>
  <c r="AP39" i="3" s="1"/>
  <c r="Z77" i="3"/>
  <c r="AB77" i="3" s="1"/>
  <c r="AO77" i="3" s="1"/>
  <c r="AA77" i="3"/>
  <c r="AC77" i="3" s="1"/>
  <c r="AP77" i="3" s="1"/>
  <c r="Z66" i="3"/>
  <c r="AB66" i="3" s="1"/>
  <c r="AO66" i="3" s="1"/>
  <c r="AA66" i="3"/>
  <c r="AC66" i="3" s="1"/>
  <c r="AP66" i="3" s="1"/>
  <c r="Z303" i="3"/>
  <c r="AB303" i="3" s="1"/>
  <c r="AO303" i="3" s="1"/>
  <c r="AA303" i="3"/>
  <c r="AC303" i="3" s="1"/>
  <c r="AP303" i="3" s="1"/>
  <c r="Z145" i="3"/>
  <c r="AB145" i="3" s="1"/>
  <c r="AO145" i="3" s="1"/>
  <c r="AA145" i="3"/>
  <c r="AC145" i="3" s="1"/>
  <c r="AP145" i="3" s="1"/>
  <c r="AA46" i="3"/>
  <c r="AC46" i="3" s="1"/>
  <c r="AP46" i="3" s="1"/>
  <c r="Z46" i="3"/>
  <c r="AB46" i="3" s="1"/>
  <c r="AO46" i="3" s="1"/>
  <c r="Z119" i="3"/>
  <c r="AB119" i="3" s="1"/>
  <c r="AO119" i="3" s="1"/>
  <c r="AA119" i="3"/>
  <c r="AC119" i="3" s="1"/>
  <c r="AP119" i="3" s="1"/>
  <c r="AA334" i="3"/>
  <c r="AC334" i="3" s="1"/>
  <c r="AP334" i="3" s="1"/>
  <c r="Z334" i="3"/>
  <c r="AB334" i="3" s="1"/>
  <c r="AO334" i="3" s="1"/>
  <c r="Z347" i="3"/>
  <c r="AB347" i="3" s="1"/>
  <c r="AO347" i="3" s="1"/>
  <c r="AA347" i="3"/>
  <c r="AC347" i="3" s="1"/>
  <c r="AP347" i="3" s="1"/>
  <c r="Z206" i="3"/>
  <c r="AB206" i="3" s="1"/>
  <c r="AO206" i="3" s="1"/>
  <c r="AA206" i="3"/>
  <c r="AC206" i="3" s="1"/>
  <c r="AP206" i="3" s="1"/>
  <c r="Z314" i="3"/>
  <c r="AB314" i="3" s="1"/>
  <c r="AO314" i="3" s="1"/>
  <c r="AA314" i="3"/>
  <c r="AC314" i="3" s="1"/>
  <c r="AP314" i="3" s="1"/>
  <c r="Z176" i="3"/>
  <c r="AB176" i="3" s="1"/>
  <c r="AO176" i="3" s="1"/>
  <c r="AA176" i="3"/>
  <c r="AC176" i="3" s="1"/>
  <c r="AP176" i="3" s="1"/>
  <c r="Z238" i="3"/>
  <c r="AB238" i="3" s="1"/>
  <c r="AO238" i="3" s="1"/>
  <c r="AA238" i="3"/>
  <c r="AC238" i="3" s="1"/>
  <c r="AP238" i="3" s="1"/>
  <c r="Z275" i="3"/>
  <c r="AB275" i="3" s="1"/>
  <c r="AO275" i="3" s="1"/>
  <c r="AA275" i="3"/>
  <c r="AC275" i="3" s="1"/>
  <c r="AP275" i="3" s="1"/>
  <c r="Z253" i="3"/>
  <c r="AB253" i="3" s="1"/>
  <c r="AO253" i="3" s="1"/>
  <c r="AA253" i="3"/>
  <c r="AC253" i="3" s="1"/>
  <c r="AP253" i="3" s="1"/>
  <c r="Z266" i="3"/>
  <c r="AB266" i="3" s="1"/>
  <c r="AO266" i="3" s="1"/>
  <c r="AA266" i="3"/>
  <c r="AC266" i="3" s="1"/>
  <c r="AP266" i="3" s="1"/>
  <c r="Z195" i="3"/>
  <c r="AB195" i="3" s="1"/>
  <c r="AO195" i="3" s="1"/>
  <c r="AA195" i="3"/>
  <c r="AC195" i="3" s="1"/>
  <c r="AP195" i="3" s="1"/>
  <c r="Z190" i="3"/>
  <c r="AB190" i="3" s="1"/>
  <c r="AO190" i="3" s="1"/>
  <c r="AA190" i="3"/>
  <c r="AC190" i="3" s="1"/>
  <c r="AP190" i="3" s="1"/>
  <c r="Z191" i="3"/>
  <c r="AB191" i="3" s="1"/>
  <c r="AO191" i="3" s="1"/>
  <c r="AA191" i="3"/>
  <c r="AC191" i="3" s="1"/>
  <c r="AP191" i="3" s="1"/>
  <c r="Z129" i="3"/>
  <c r="AB129" i="3" s="1"/>
  <c r="AO129" i="3" s="1"/>
  <c r="AA129" i="3"/>
  <c r="AC129" i="3" s="1"/>
  <c r="AP129" i="3" s="1"/>
  <c r="Z169" i="3"/>
  <c r="AB169" i="3" s="1"/>
  <c r="AO169" i="3" s="1"/>
  <c r="AA169" i="3"/>
  <c r="AC169" i="3" s="1"/>
  <c r="AP169" i="3" s="1"/>
  <c r="Z174" i="3"/>
  <c r="AB174" i="3" s="1"/>
  <c r="AO174" i="3" s="1"/>
  <c r="AA174" i="3"/>
  <c r="AC174" i="3" s="1"/>
  <c r="AP174" i="3" s="1"/>
  <c r="Z165" i="3"/>
  <c r="AB165" i="3" s="1"/>
  <c r="AO165" i="3" s="1"/>
  <c r="AA165" i="3"/>
  <c r="AC165" i="3" s="1"/>
  <c r="AP165" i="3" s="1"/>
  <c r="Z136" i="3"/>
  <c r="AB136" i="3" s="1"/>
  <c r="AO136" i="3" s="1"/>
  <c r="AA136" i="3"/>
  <c r="AC136" i="3" s="1"/>
  <c r="AP136" i="3" s="1"/>
  <c r="Z100" i="3"/>
  <c r="AB100" i="3" s="1"/>
  <c r="AO100" i="3" s="1"/>
  <c r="AA100" i="3"/>
  <c r="AC100" i="3" s="1"/>
  <c r="AP100" i="3" s="1"/>
  <c r="Z102" i="3"/>
  <c r="AB102" i="3" s="1"/>
  <c r="AO102" i="3" s="1"/>
  <c r="AA102" i="3"/>
  <c r="AC102" i="3" s="1"/>
  <c r="AP102" i="3" s="1"/>
  <c r="Z128" i="3"/>
  <c r="AB128" i="3" s="1"/>
  <c r="AO128" i="3" s="1"/>
  <c r="AA128" i="3"/>
  <c r="AC128" i="3" s="1"/>
  <c r="AP128" i="3" s="1"/>
  <c r="Z133" i="3"/>
  <c r="AB133" i="3" s="1"/>
  <c r="AO133" i="3" s="1"/>
  <c r="AA133" i="3"/>
  <c r="AC133" i="3" s="1"/>
  <c r="AP133" i="3" s="1"/>
  <c r="Z88" i="3"/>
  <c r="AB88" i="3" s="1"/>
  <c r="AO88" i="3" s="1"/>
  <c r="AA88" i="3"/>
  <c r="AC88" i="3" s="1"/>
  <c r="AP88" i="3" s="1"/>
  <c r="Z331" i="3"/>
  <c r="AB331" i="3" s="1"/>
  <c r="AO331" i="3" s="1"/>
  <c r="AA331" i="3"/>
  <c r="AC331" i="3" s="1"/>
  <c r="AP331" i="3" s="1"/>
  <c r="Z312" i="3"/>
  <c r="AB312" i="3" s="1"/>
  <c r="AO312" i="3" s="1"/>
  <c r="AA312" i="3"/>
  <c r="AC312" i="3" s="1"/>
  <c r="AP312" i="3" s="1"/>
  <c r="Z246" i="3"/>
  <c r="AB246" i="3" s="1"/>
  <c r="AO246" i="3" s="1"/>
  <c r="AA246" i="3"/>
  <c r="AC246" i="3" s="1"/>
  <c r="AP246" i="3" s="1"/>
  <c r="Z194" i="3"/>
  <c r="AB194" i="3" s="1"/>
  <c r="AO194" i="3" s="1"/>
  <c r="AA194" i="3"/>
  <c r="AC194" i="3" s="1"/>
  <c r="AP194" i="3" s="1"/>
  <c r="Z244" i="3"/>
  <c r="AB244" i="3" s="1"/>
  <c r="AO244" i="3" s="1"/>
  <c r="AA244" i="3"/>
  <c r="AC244" i="3" s="1"/>
  <c r="AP244" i="3" s="1"/>
  <c r="AA216" i="3"/>
  <c r="AC216" i="3" s="1"/>
  <c r="AP216" i="3" s="1"/>
  <c r="Z216" i="3"/>
  <c r="AB216" i="3" s="1"/>
  <c r="AO216" i="3" s="1"/>
  <c r="AA101" i="3"/>
  <c r="AC101" i="3" s="1"/>
  <c r="AP101" i="3" s="1"/>
  <c r="Z101" i="3"/>
  <c r="AB101" i="3" s="1"/>
  <c r="AO101" i="3" s="1"/>
  <c r="Z115" i="3"/>
  <c r="AB115" i="3" s="1"/>
  <c r="AO115" i="3" s="1"/>
  <c r="AA115" i="3"/>
  <c r="AC115" i="3" s="1"/>
  <c r="AP115" i="3" s="1"/>
  <c r="Z130" i="3"/>
  <c r="AB130" i="3" s="1"/>
  <c r="AO130" i="3" s="1"/>
  <c r="AA130" i="3"/>
  <c r="AC130" i="3" s="1"/>
  <c r="AP130" i="3" s="1"/>
  <c r="Z335" i="3"/>
  <c r="AB335" i="3" s="1"/>
  <c r="AO335" i="3" s="1"/>
  <c r="AA335" i="3"/>
  <c r="AC335" i="3" s="1"/>
  <c r="AP335" i="3" s="1"/>
  <c r="Z337" i="3"/>
  <c r="AB337" i="3" s="1"/>
  <c r="AO337" i="3" s="1"/>
  <c r="AA337" i="3"/>
  <c r="AC337" i="3" s="1"/>
  <c r="AP337" i="3" s="1"/>
  <c r="Z346" i="3"/>
  <c r="AB346" i="3" s="1"/>
  <c r="AO346" i="3" s="1"/>
  <c r="AA346" i="3"/>
  <c r="AC346" i="3" s="1"/>
  <c r="AP346" i="3" s="1"/>
  <c r="Z345" i="3"/>
  <c r="AB345" i="3" s="1"/>
  <c r="AO345" i="3" s="1"/>
  <c r="AA345" i="3"/>
  <c r="AC345" i="3" s="1"/>
  <c r="AP345" i="3" s="1"/>
  <c r="Z273" i="3"/>
  <c r="AB273" i="3" s="1"/>
  <c r="AO273" i="3" s="1"/>
  <c r="AA273" i="3"/>
  <c r="AC273" i="3" s="1"/>
  <c r="AP273" i="3" s="1"/>
  <c r="AA309" i="3"/>
  <c r="AC309" i="3" s="1"/>
  <c r="AP309" i="3" s="1"/>
  <c r="Z309" i="3"/>
  <c r="AB309" i="3" s="1"/>
  <c r="AO309" i="3" s="1"/>
  <c r="Z298" i="3"/>
  <c r="AB298" i="3" s="1"/>
  <c r="AO298" i="3" s="1"/>
  <c r="AA298" i="3"/>
  <c r="AC298" i="3" s="1"/>
  <c r="AP298" i="3" s="1"/>
  <c r="AA336" i="3"/>
  <c r="AC336" i="3" s="1"/>
  <c r="AP336" i="3" s="1"/>
  <c r="Z336" i="3"/>
  <c r="AB336" i="3" s="1"/>
  <c r="AO336" i="3" s="1"/>
  <c r="Z327" i="3"/>
  <c r="AB327" i="3" s="1"/>
  <c r="AO327" i="3" s="1"/>
  <c r="AA327" i="3"/>
  <c r="AC327" i="3" s="1"/>
  <c r="AP327" i="3" s="1"/>
  <c r="Z270" i="3"/>
  <c r="AB270" i="3" s="1"/>
  <c r="AO270" i="3" s="1"/>
  <c r="AA270" i="3"/>
  <c r="AC270" i="3" s="1"/>
  <c r="AP270" i="3" s="1"/>
  <c r="Z234" i="3"/>
  <c r="AB234" i="3" s="1"/>
  <c r="AO234" i="3" s="1"/>
  <c r="AA234" i="3"/>
  <c r="AC234" i="3" s="1"/>
  <c r="AP234" i="3" s="1"/>
  <c r="Z213" i="3"/>
  <c r="AB213" i="3" s="1"/>
  <c r="AO213" i="3" s="1"/>
  <c r="AA213" i="3"/>
  <c r="AC213" i="3" s="1"/>
  <c r="AP213" i="3" s="1"/>
  <c r="Z274" i="3"/>
  <c r="AB274" i="3" s="1"/>
  <c r="AO274" i="3" s="1"/>
  <c r="AA274" i="3"/>
  <c r="AC274" i="3" s="1"/>
  <c r="AP274" i="3" s="1"/>
  <c r="Z252" i="3"/>
  <c r="AB252" i="3" s="1"/>
  <c r="AO252" i="3" s="1"/>
  <c r="AA252" i="3"/>
  <c r="AC252" i="3" s="1"/>
  <c r="AP252" i="3" s="1"/>
  <c r="Z255" i="3"/>
  <c r="AB255" i="3" s="1"/>
  <c r="AO255" i="3" s="1"/>
  <c r="AA255" i="3"/>
  <c r="AC255" i="3" s="1"/>
  <c r="AP255" i="3" s="1"/>
  <c r="Z268" i="3"/>
  <c r="AB268" i="3" s="1"/>
  <c r="AO268" i="3" s="1"/>
  <c r="AA268" i="3"/>
  <c r="AC268" i="3" s="1"/>
  <c r="AP268" i="3" s="1"/>
  <c r="AA161" i="3"/>
  <c r="AC161" i="3" s="1"/>
  <c r="AP161" i="3" s="1"/>
  <c r="Z161" i="3"/>
  <c r="AB161" i="3" s="1"/>
  <c r="AO161" i="3" s="1"/>
  <c r="Z186" i="3"/>
  <c r="AB186" i="3" s="1"/>
  <c r="AO186" i="3" s="1"/>
  <c r="AA186" i="3"/>
  <c r="AC186" i="3" s="1"/>
  <c r="AP186" i="3" s="1"/>
  <c r="Z212" i="3"/>
  <c r="AB212" i="3" s="1"/>
  <c r="AO212" i="3" s="1"/>
  <c r="AA212" i="3"/>
  <c r="AC212" i="3" s="1"/>
  <c r="AP212" i="3" s="1"/>
  <c r="Z189" i="3"/>
  <c r="AB189" i="3" s="1"/>
  <c r="AO189" i="3" s="1"/>
  <c r="AA189" i="3"/>
  <c r="AC189" i="3" s="1"/>
  <c r="AP189" i="3" s="1"/>
  <c r="Z127" i="3"/>
  <c r="AB127" i="3" s="1"/>
  <c r="AO127" i="3" s="1"/>
  <c r="AA127" i="3"/>
  <c r="AC127" i="3" s="1"/>
  <c r="AP127" i="3" s="1"/>
  <c r="Z158" i="3"/>
  <c r="AB158" i="3" s="1"/>
  <c r="AO158" i="3" s="1"/>
  <c r="AA158" i="3"/>
  <c r="AC158" i="3" s="1"/>
  <c r="AP158" i="3" s="1"/>
  <c r="AA137" i="3"/>
  <c r="AC137" i="3" s="1"/>
  <c r="AP137" i="3" s="1"/>
  <c r="Z137" i="3"/>
  <c r="AB137" i="3" s="1"/>
  <c r="AO137" i="3" s="1"/>
  <c r="Z142" i="3"/>
  <c r="AB142" i="3" s="1"/>
  <c r="AO142" i="3" s="1"/>
  <c r="AA142" i="3"/>
  <c r="AC142" i="3" s="1"/>
  <c r="AP142" i="3" s="1"/>
  <c r="Z92" i="3"/>
  <c r="AB92" i="3" s="1"/>
  <c r="AO92" i="3" s="1"/>
  <c r="AA92" i="3"/>
  <c r="AC92" i="3" s="1"/>
  <c r="AP92" i="3" s="1"/>
  <c r="Z69" i="3"/>
  <c r="AB69" i="3" s="1"/>
  <c r="AO69" i="3" s="1"/>
  <c r="AA69" i="3"/>
  <c r="AC69" i="3" s="1"/>
  <c r="AP69" i="3" s="1"/>
  <c r="Z43" i="3"/>
  <c r="AB43" i="3" s="1"/>
  <c r="AO43" i="3" s="1"/>
  <c r="AA43" i="3"/>
  <c r="AC43" i="3" s="1"/>
  <c r="AP43" i="3" s="1"/>
  <c r="AA47" i="3"/>
  <c r="AC47" i="3" s="1"/>
  <c r="AP47" i="3" s="1"/>
  <c r="Z47" i="3"/>
  <c r="AB47" i="3" s="1"/>
  <c r="AO47" i="3" s="1"/>
  <c r="AA61" i="3"/>
  <c r="AC61" i="3" s="1"/>
  <c r="AP61" i="3" s="1"/>
  <c r="Z61" i="3"/>
  <c r="AB61" i="3" s="1"/>
  <c r="AO61" i="3" s="1"/>
  <c r="Z99" i="3"/>
  <c r="AB99" i="3" s="1"/>
  <c r="AO99" i="3" s="1"/>
  <c r="AA99" i="3"/>
  <c r="AC99" i="3" s="1"/>
  <c r="AP99" i="3" s="1"/>
  <c r="Z65" i="3"/>
  <c r="AB65" i="3" s="1"/>
  <c r="AO65" i="3" s="1"/>
  <c r="AA65" i="3"/>
  <c r="AC65" i="3" s="1"/>
  <c r="AP65" i="3" s="1"/>
  <c r="Z54" i="3"/>
  <c r="AB54" i="3" s="1"/>
  <c r="AO54" i="3" s="1"/>
  <c r="AA54" i="3"/>
  <c r="AC54" i="3" s="1"/>
  <c r="AP54" i="3" s="1"/>
  <c r="Z45" i="3"/>
  <c r="AB45" i="3" s="1"/>
  <c r="AO45" i="3" s="1"/>
  <c r="AA45" i="3"/>
  <c r="AC45" i="3" s="1"/>
  <c r="AP45" i="3" s="1"/>
  <c r="AA351" i="3"/>
  <c r="AC351" i="3" s="1"/>
  <c r="AP351" i="3" s="1"/>
  <c r="Z351" i="3"/>
  <c r="AB351" i="3" s="1"/>
  <c r="AO351" i="3" s="1"/>
  <c r="AA294" i="3"/>
  <c r="AC294" i="3" s="1"/>
  <c r="AP294" i="3" s="1"/>
  <c r="Z294" i="3"/>
  <c r="AB294" i="3" s="1"/>
  <c r="AO294" i="3" s="1"/>
  <c r="Z313" i="3"/>
  <c r="AB313" i="3" s="1"/>
  <c r="AO313" i="3" s="1"/>
  <c r="AA313" i="3"/>
  <c r="AC313" i="3" s="1"/>
  <c r="AP313" i="3" s="1"/>
  <c r="Z302" i="3"/>
  <c r="AB302" i="3" s="1"/>
  <c r="AO302" i="3" s="1"/>
  <c r="AA302" i="3"/>
  <c r="AC302" i="3" s="1"/>
  <c r="AP302" i="3" s="1"/>
  <c r="Z263" i="3"/>
  <c r="AB263" i="3" s="1"/>
  <c r="AO263" i="3" s="1"/>
  <c r="AA263" i="3"/>
  <c r="AC263" i="3" s="1"/>
  <c r="AP263" i="3" s="1"/>
  <c r="Z241" i="3"/>
  <c r="AB241" i="3" s="1"/>
  <c r="AO241" i="3" s="1"/>
  <c r="AA241" i="3"/>
  <c r="AC241" i="3" s="1"/>
  <c r="AP241" i="3" s="1"/>
  <c r="Z254" i="3"/>
  <c r="AB254" i="3" s="1"/>
  <c r="AO254" i="3" s="1"/>
  <c r="AA254" i="3"/>
  <c r="AC254" i="3" s="1"/>
  <c r="AP254" i="3" s="1"/>
  <c r="Z183" i="3"/>
  <c r="AB183" i="3" s="1"/>
  <c r="AO183" i="3" s="1"/>
  <c r="AA183" i="3"/>
  <c r="AC183" i="3" s="1"/>
  <c r="AP183" i="3" s="1"/>
  <c r="AA209" i="3"/>
  <c r="AC209" i="3" s="1"/>
  <c r="AP209" i="3" s="1"/>
  <c r="Z209" i="3"/>
  <c r="AB209" i="3" s="1"/>
  <c r="AO209" i="3" s="1"/>
  <c r="Z229" i="3"/>
  <c r="AB229" i="3" s="1"/>
  <c r="AO229" i="3" s="1"/>
  <c r="AA229" i="3"/>
  <c r="AC229" i="3" s="1"/>
  <c r="AP229" i="3" s="1"/>
  <c r="AA160" i="3"/>
  <c r="AC160" i="3" s="1"/>
  <c r="AP160" i="3" s="1"/>
  <c r="Z160" i="3"/>
  <c r="AB160" i="3" s="1"/>
  <c r="AO160" i="3" s="1"/>
  <c r="Z162" i="3"/>
  <c r="AB162" i="3" s="1"/>
  <c r="AO162" i="3" s="1"/>
  <c r="AA162" i="3"/>
  <c r="AC162" i="3" s="1"/>
  <c r="AP162" i="3" s="1"/>
  <c r="Z153" i="3"/>
  <c r="AB153" i="3" s="1"/>
  <c r="AO153" i="3" s="1"/>
  <c r="AA153" i="3"/>
  <c r="AC153" i="3" s="1"/>
  <c r="AP153" i="3" s="1"/>
  <c r="Z56" i="3"/>
  <c r="AB56" i="3" s="1"/>
  <c r="AO56" i="3" s="1"/>
  <c r="AA56" i="3"/>
  <c r="AC56" i="3" s="1"/>
  <c r="AP56" i="3" s="1"/>
  <c r="Z95" i="3"/>
  <c r="AB95" i="3" s="1"/>
  <c r="AO95" i="3" s="1"/>
  <c r="AA95" i="3"/>
  <c r="AC95" i="3" s="1"/>
  <c r="AP95" i="3" s="1"/>
  <c r="Z116" i="3"/>
  <c r="AB116" i="3" s="1"/>
  <c r="AO116" i="3" s="1"/>
  <c r="AA116" i="3"/>
  <c r="AC116" i="3" s="1"/>
  <c r="AP116" i="3" s="1"/>
  <c r="AA70" i="3"/>
  <c r="AC70" i="3" s="1"/>
  <c r="AP70" i="3" s="1"/>
  <c r="Z70" i="3"/>
  <c r="AB70" i="3" s="1"/>
  <c r="AO70" i="3" s="1"/>
  <c r="Z120" i="3"/>
  <c r="AB120" i="3" s="1"/>
  <c r="AO120" i="3" s="1"/>
  <c r="AA120" i="3"/>
  <c r="AC120" i="3" s="1"/>
  <c r="AP120" i="3" s="1"/>
  <c r="Z121" i="3"/>
  <c r="AB121" i="3" s="1"/>
  <c r="AO121" i="3" s="1"/>
  <c r="AA121" i="3"/>
  <c r="AC121" i="3" s="1"/>
  <c r="AP121" i="3" s="1"/>
  <c r="Z76" i="3"/>
  <c r="AB76" i="3" s="1"/>
  <c r="AO76" i="3" s="1"/>
  <c r="AA76" i="3"/>
  <c r="AC76" i="3" s="1"/>
  <c r="AP76" i="3" s="1"/>
  <c r="Z86" i="3"/>
  <c r="AB86" i="3" s="1"/>
  <c r="AO86" i="3" s="1"/>
  <c r="AA86" i="3"/>
  <c r="AC86" i="3" s="1"/>
  <c r="AP86" i="3" s="1"/>
  <c r="Z339" i="3"/>
  <c r="AB339" i="3" s="1"/>
  <c r="AO339" i="3" s="1"/>
  <c r="AA339" i="3"/>
  <c r="AC339" i="3" s="1"/>
  <c r="AP339" i="3" s="1"/>
  <c r="AA350" i="3"/>
  <c r="AC350" i="3" s="1"/>
  <c r="AP350" i="3" s="1"/>
  <c r="Z350" i="3"/>
  <c r="AB350" i="3" s="1"/>
  <c r="AO350" i="3" s="1"/>
  <c r="Z332" i="3"/>
  <c r="AB332" i="3" s="1"/>
  <c r="AO332" i="3" s="1"/>
  <c r="AA332" i="3"/>
  <c r="AC332" i="3" s="1"/>
  <c r="AP332" i="3" s="1"/>
  <c r="AA297" i="3"/>
  <c r="AC297" i="3" s="1"/>
  <c r="AP297" i="3" s="1"/>
  <c r="Z297" i="3"/>
  <c r="AB297" i="3" s="1"/>
  <c r="AO297" i="3" s="1"/>
  <c r="AA282" i="3"/>
  <c r="AC282" i="3" s="1"/>
  <c r="AP282" i="3" s="1"/>
  <c r="Z282" i="3"/>
  <c r="AB282" i="3" s="1"/>
  <c r="AO282" i="3" s="1"/>
  <c r="Z324" i="3"/>
  <c r="AB324" i="3" s="1"/>
  <c r="AO324" i="3" s="1"/>
  <c r="AA324" i="3"/>
  <c r="AC324" i="3" s="1"/>
  <c r="AP324" i="3" s="1"/>
  <c r="Z315" i="3"/>
  <c r="AB315" i="3" s="1"/>
  <c r="AO315" i="3" s="1"/>
  <c r="AA315" i="3"/>
  <c r="AC315" i="3" s="1"/>
  <c r="AP315" i="3" s="1"/>
  <c r="Z283" i="3"/>
  <c r="AB283" i="3" s="1"/>
  <c r="AO283" i="3" s="1"/>
  <c r="AA283" i="3"/>
  <c r="AC283" i="3" s="1"/>
  <c r="AP283" i="3" s="1"/>
  <c r="Z258" i="3"/>
  <c r="AB258" i="3" s="1"/>
  <c r="AO258" i="3" s="1"/>
  <c r="AA258" i="3"/>
  <c r="AC258" i="3" s="1"/>
  <c r="AP258" i="3" s="1"/>
  <c r="Z110" i="3"/>
  <c r="AB110" i="3" s="1"/>
  <c r="AO110" i="3" s="1"/>
  <c r="AA110" i="3"/>
  <c r="AC110" i="3" s="1"/>
  <c r="AP110" i="3" s="1"/>
  <c r="Z262" i="3"/>
  <c r="AB262" i="3" s="1"/>
  <c r="AO262" i="3" s="1"/>
  <c r="AA262" i="3"/>
  <c r="AC262" i="3" s="1"/>
  <c r="AP262" i="3" s="1"/>
  <c r="Z236" i="3"/>
  <c r="AB236" i="3" s="1"/>
  <c r="AO236" i="3" s="1"/>
  <c r="AA236" i="3"/>
  <c r="AC236" i="3" s="1"/>
  <c r="AP236" i="3" s="1"/>
  <c r="Z243" i="3"/>
  <c r="AB243" i="3" s="1"/>
  <c r="AO243" i="3" s="1"/>
  <c r="AA243" i="3"/>
  <c r="AC243" i="3" s="1"/>
  <c r="AP243" i="3" s="1"/>
  <c r="Z256" i="3"/>
  <c r="AB256" i="3" s="1"/>
  <c r="AO256" i="3" s="1"/>
  <c r="AA256" i="3"/>
  <c r="AC256" i="3" s="1"/>
  <c r="AP256" i="3" s="1"/>
  <c r="Z200" i="3"/>
  <c r="AB200" i="3" s="1"/>
  <c r="AO200" i="3" s="1"/>
  <c r="AA200" i="3"/>
  <c r="AC200" i="3" s="1"/>
  <c r="AP200" i="3" s="1"/>
  <c r="Z184" i="3"/>
  <c r="AB184" i="3" s="1"/>
  <c r="AO184" i="3" s="1"/>
  <c r="AA184" i="3"/>
  <c r="AC184" i="3" s="1"/>
  <c r="AP184" i="3" s="1"/>
  <c r="AA182" i="3"/>
  <c r="AC182" i="3" s="1"/>
  <c r="AP182" i="3" s="1"/>
  <c r="Z182" i="3"/>
  <c r="AB182" i="3" s="1"/>
  <c r="AO182" i="3" s="1"/>
  <c r="Z146" i="3"/>
  <c r="AB146" i="3" s="1"/>
  <c r="AO146" i="3" s="1"/>
  <c r="AA146" i="3"/>
  <c r="AC146" i="3" s="1"/>
  <c r="AP146" i="3" s="1"/>
  <c r="Z123" i="3"/>
  <c r="AB123" i="3" s="1"/>
  <c r="AO123" i="3" s="1"/>
  <c r="AA123" i="3"/>
  <c r="AC123" i="3" s="1"/>
  <c r="AP123" i="3" s="1"/>
  <c r="Z111" i="3"/>
  <c r="AB111" i="3" s="1"/>
  <c r="AO111" i="3" s="1"/>
  <c r="AA111" i="3"/>
  <c r="AC111" i="3" s="1"/>
  <c r="AP111" i="3" s="1"/>
  <c r="AA113" i="3"/>
  <c r="AC113" i="3" s="1"/>
  <c r="AP113" i="3" s="1"/>
  <c r="Z113" i="3"/>
  <c r="AB113" i="3" s="1"/>
  <c r="AO113" i="3" s="1"/>
  <c r="AA58" i="3"/>
  <c r="AC58" i="3" s="1"/>
  <c r="AP58" i="3" s="1"/>
  <c r="Z58" i="3"/>
  <c r="AB58" i="3" s="1"/>
  <c r="AO58" i="3" s="1"/>
  <c r="Z68" i="3"/>
  <c r="AB68" i="3" s="1"/>
  <c r="AO68" i="3" s="1"/>
  <c r="AA68" i="3"/>
  <c r="AC68" i="3" s="1"/>
  <c r="AP68" i="3" s="1"/>
  <c r="Z131" i="3"/>
  <c r="AB131" i="3" s="1"/>
  <c r="AO131" i="3" s="1"/>
  <c r="AA131" i="3"/>
  <c r="AC131" i="3" s="1"/>
  <c r="AP131" i="3" s="1"/>
  <c r="Z57" i="3"/>
  <c r="AB57" i="3" s="1"/>
  <c r="AO57" i="3" s="1"/>
  <c r="AA57" i="3"/>
  <c r="AC57" i="3" s="1"/>
  <c r="AP57" i="3" s="1"/>
  <c r="Z84" i="3"/>
  <c r="AB84" i="3" s="1"/>
  <c r="AO84" i="3" s="1"/>
  <c r="AA84" i="3"/>
  <c r="AC84" i="3" s="1"/>
  <c r="AP84" i="3" s="1"/>
  <c r="AA49" i="3"/>
  <c r="AC49" i="3" s="1"/>
  <c r="AP49" i="3" s="1"/>
  <c r="Z49" i="3"/>
  <c r="AB49" i="3" s="1"/>
  <c r="AO49" i="3" s="1"/>
  <c r="Z87" i="3"/>
  <c r="AB87" i="3" s="1"/>
  <c r="AO87" i="3" s="1"/>
  <c r="AA87" i="3"/>
  <c r="AC87" i="3" s="1"/>
  <c r="AP87" i="3" s="1"/>
  <c r="Z53" i="3"/>
  <c r="AB53" i="3" s="1"/>
  <c r="AO53" i="3" s="1"/>
  <c r="AA53" i="3"/>
  <c r="AC53" i="3" s="1"/>
  <c r="AP53" i="3" s="1"/>
  <c r="Z42" i="3"/>
  <c r="AB42" i="3" s="1"/>
  <c r="AO42" i="3" s="1"/>
  <c r="AA42" i="3"/>
  <c r="AC42" i="3" s="1"/>
  <c r="AP42" i="3" s="1"/>
  <c r="AA340" i="3"/>
  <c r="AC340" i="3" s="1"/>
  <c r="AP340" i="3" s="1"/>
  <c r="Z340" i="3"/>
  <c r="AB340" i="3" s="1"/>
  <c r="AO340" i="3" s="1"/>
  <c r="AA343" i="3"/>
  <c r="AC343" i="3" s="1"/>
  <c r="AP343" i="3" s="1"/>
  <c r="Z343" i="3"/>
  <c r="AB343" i="3" s="1"/>
  <c r="AO343" i="3" s="1"/>
  <c r="Z318" i="3"/>
  <c r="AB318" i="3" s="1"/>
  <c r="AO318" i="3" s="1"/>
  <c r="AA318" i="3"/>
  <c r="AC318" i="3" s="1"/>
  <c r="AP318" i="3" s="1"/>
  <c r="Z308" i="3"/>
  <c r="AB308" i="3" s="1"/>
  <c r="AO308" i="3" s="1"/>
  <c r="AA308" i="3"/>
  <c r="AC308" i="3" s="1"/>
  <c r="AP308" i="3" s="1"/>
  <c r="Z276" i="3"/>
  <c r="AB276" i="3" s="1"/>
  <c r="AO276" i="3" s="1"/>
  <c r="AA276" i="3"/>
  <c r="AC276" i="3" s="1"/>
  <c r="AP276" i="3" s="1"/>
  <c r="Z301" i="3"/>
  <c r="AB301" i="3" s="1"/>
  <c r="AO301" i="3" s="1"/>
  <c r="AA301" i="3"/>
  <c r="AC301" i="3" s="1"/>
  <c r="AP301" i="3" s="1"/>
  <c r="Z295" i="3"/>
  <c r="AB295" i="3" s="1"/>
  <c r="AO295" i="3" s="1"/>
  <c r="AA295" i="3"/>
  <c r="AC295" i="3" s="1"/>
  <c r="AP295" i="3" s="1"/>
  <c r="Z157" i="3"/>
  <c r="AB157" i="3" s="1"/>
  <c r="AO157" i="3" s="1"/>
  <c r="AA157" i="3"/>
  <c r="AC157" i="3" s="1"/>
  <c r="AP157" i="3" s="1"/>
  <c r="Z261" i="3"/>
  <c r="AB261" i="3" s="1"/>
  <c r="AO261" i="3" s="1"/>
  <c r="AA261" i="3"/>
  <c r="AC261" i="3" s="1"/>
  <c r="AP261" i="3" s="1"/>
  <c r="Z251" i="3"/>
  <c r="AB251" i="3" s="1"/>
  <c r="AO251" i="3" s="1"/>
  <c r="AA251" i="3"/>
  <c r="AC251" i="3" s="1"/>
  <c r="AP251" i="3" s="1"/>
  <c r="Z223" i="3"/>
  <c r="AB223" i="3" s="1"/>
  <c r="AO223" i="3" s="1"/>
  <c r="AA223" i="3"/>
  <c r="AC223" i="3" s="1"/>
  <c r="AP223" i="3" s="1"/>
  <c r="Z242" i="3"/>
  <c r="AB242" i="3" s="1"/>
  <c r="AO242" i="3" s="1"/>
  <c r="AA242" i="3"/>
  <c r="AC242" i="3" s="1"/>
  <c r="AP242" i="3" s="1"/>
  <c r="Z173" i="3"/>
  <c r="AB173" i="3" s="1"/>
  <c r="AO173" i="3" s="1"/>
  <c r="AA173" i="3"/>
  <c r="AC173" i="3" s="1"/>
  <c r="AP173" i="3" s="1"/>
  <c r="AA197" i="3"/>
  <c r="AC197" i="3" s="1"/>
  <c r="AP197" i="3" s="1"/>
  <c r="Z197" i="3"/>
  <c r="AB197" i="3" s="1"/>
  <c r="AO197" i="3" s="1"/>
  <c r="Z211" i="3"/>
  <c r="AB211" i="3" s="1"/>
  <c r="AO211" i="3" s="1"/>
  <c r="AA211" i="3"/>
  <c r="AC211" i="3" s="1"/>
  <c r="AP211" i="3" s="1"/>
  <c r="AA239" i="3"/>
  <c r="AC239" i="3" s="1"/>
  <c r="AP239" i="3" s="1"/>
  <c r="Z239" i="3"/>
  <c r="AB239" i="3" s="1"/>
  <c r="AO239" i="3" s="1"/>
  <c r="Z170" i="3"/>
  <c r="AB170" i="3" s="1"/>
  <c r="AO170" i="3" s="1"/>
  <c r="AA170" i="3"/>
  <c r="AC170" i="3" s="1"/>
  <c r="AP170" i="3" s="1"/>
  <c r="Z217" i="3"/>
  <c r="AB217" i="3" s="1"/>
  <c r="AO217" i="3" s="1"/>
  <c r="AA217" i="3"/>
  <c r="AC217" i="3" s="1"/>
  <c r="AP217" i="3" s="1"/>
  <c r="AA148" i="3"/>
  <c r="AC148" i="3" s="1"/>
  <c r="AP148" i="3" s="1"/>
  <c r="Z148" i="3"/>
  <c r="AB148" i="3" s="1"/>
  <c r="AO148" i="3" s="1"/>
  <c r="Z150" i="3"/>
  <c r="AB150" i="3" s="1"/>
  <c r="AO150" i="3" s="1"/>
  <c r="AA150" i="3"/>
  <c r="AC150" i="3" s="1"/>
  <c r="AP150" i="3" s="1"/>
  <c r="Z124" i="3"/>
  <c r="AB124" i="3" s="1"/>
  <c r="AO124" i="3" s="1"/>
  <c r="AA124" i="3"/>
  <c r="AC124" i="3" s="1"/>
  <c r="AP124" i="3" s="1"/>
  <c r="Z141" i="3"/>
  <c r="AB141" i="3" s="1"/>
  <c r="AO141" i="3" s="1"/>
  <c r="AA141" i="3"/>
  <c r="AC141" i="3" s="1"/>
  <c r="AP141" i="3" s="1"/>
  <c r="Z122" i="3"/>
  <c r="AB122" i="3" s="1"/>
  <c r="AO122" i="3" s="1"/>
  <c r="AA122" i="3"/>
  <c r="AC122" i="3" s="1"/>
  <c r="AP122" i="3" s="1"/>
  <c r="Z180" i="3"/>
  <c r="AB180" i="3" s="1"/>
  <c r="AO180" i="3" s="1"/>
  <c r="AA180" i="3"/>
  <c r="AC180" i="3" s="1"/>
  <c r="AP180" i="3" s="1"/>
  <c r="Z104" i="3"/>
  <c r="AB104" i="3" s="1"/>
  <c r="AO104" i="3" s="1"/>
  <c r="AA104" i="3"/>
  <c r="AC104" i="3" s="1"/>
  <c r="AP104" i="3" s="1"/>
  <c r="Z108" i="3"/>
  <c r="AB108" i="3" s="1"/>
  <c r="AO108" i="3" s="1"/>
  <c r="AA108" i="3"/>
  <c r="AC108" i="3" s="1"/>
  <c r="AP108" i="3" s="1"/>
  <c r="Z109" i="3"/>
  <c r="AB109" i="3" s="1"/>
  <c r="AO109" i="3" s="1"/>
  <c r="AA109" i="3"/>
  <c r="AC109" i="3" s="1"/>
  <c r="AP109" i="3" s="1"/>
  <c r="Z64" i="3"/>
  <c r="AB64" i="3" s="1"/>
  <c r="AO64" i="3" s="1"/>
  <c r="AA64" i="3"/>
  <c r="AC64" i="3" s="1"/>
  <c r="AP64" i="3" s="1"/>
  <c r="Z179" i="65"/>
  <c r="AB179" i="65" s="1"/>
  <c r="AO179" i="65" s="1"/>
  <c r="AC179" i="65"/>
  <c r="AP179" i="65" s="1"/>
  <c r="Z173" i="65"/>
  <c r="AB173" i="65" s="1"/>
  <c r="AO173" i="65" s="1"/>
  <c r="AC173" i="65"/>
  <c r="AP173" i="65" s="1"/>
  <c r="AC74" i="65"/>
  <c r="AP74" i="65" s="1"/>
  <c r="Z74" i="65"/>
  <c r="AB74" i="65" s="1"/>
  <c r="AO74" i="65" s="1"/>
  <c r="Z136" i="65"/>
  <c r="AB136" i="65" s="1"/>
  <c r="AO136" i="65" s="1"/>
  <c r="AC136" i="65"/>
  <c r="AP136" i="65" s="1"/>
  <c r="Z157" i="65"/>
  <c r="AB157" i="65" s="1"/>
  <c r="AO157" i="65" s="1"/>
  <c r="AC157" i="65"/>
  <c r="AP157" i="65" s="1"/>
  <c r="Z122" i="65"/>
  <c r="AB122" i="65" s="1"/>
  <c r="AO122" i="65" s="1"/>
  <c r="AC122" i="65"/>
  <c r="AP122" i="65" s="1"/>
  <c r="Z137" i="65"/>
  <c r="AB137" i="65" s="1"/>
  <c r="AO137" i="65" s="1"/>
  <c r="AC137" i="65"/>
  <c r="AP137" i="65" s="1"/>
  <c r="Z106" i="65"/>
  <c r="AB106" i="65" s="1"/>
  <c r="AO106" i="65" s="1"/>
  <c r="AC106" i="65"/>
  <c r="AP106" i="65" s="1"/>
  <c r="Z70" i="65"/>
  <c r="AB70" i="65" s="1"/>
  <c r="AO70" i="65" s="1"/>
  <c r="AC70" i="65"/>
  <c r="AP70" i="65" s="1"/>
  <c r="Z93" i="65"/>
  <c r="AB93" i="65" s="1"/>
  <c r="AO93" i="65" s="1"/>
  <c r="AC93" i="65"/>
  <c r="AP93" i="65" s="1"/>
  <c r="Z19" i="65"/>
  <c r="AB19" i="65" s="1"/>
  <c r="AO19" i="65" s="1"/>
  <c r="AC19" i="65"/>
  <c r="AP19" i="65" s="1"/>
  <c r="Z21" i="65"/>
  <c r="AB21" i="65" s="1"/>
  <c r="AO21" i="65" s="1"/>
  <c r="AC21" i="65"/>
  <c r="AP21" i="65" s="1"/>
  <c r="Z10" i="65"/>
  <c r="AB10" i="65" s="1"/>
  <c r="AO10" i="65" s="1"/>
  <c r="AC10" i="65"/>
  <c r="AP10" i="65" s="1"/>
  <c r="Z171" i="65"/>
  <c r="AB171" i="65" s="1"/>
  <c r="AO171" i="65" s="1"/>
  <c r="AC171" i="65"/>
  <c r="AP171" i="65" s="1"/>
  <c r="Z149" i="65"/>
  <c r="AB149" i="65" s="1"/>
  <c r="AO149" i="65" s="1"/>
  <c r="AC149" i="65"/>
  <c r="AP149" i="65" s="1"/>
  <c r="Z165" i="65"/>
  <c r="AB165" i="65" s="1"/>
  <c r="AO165" i="65" s="1"/>
  <c r="AC165" i="65"/>
  <c r="AP165" i="65" s="1"/>
  <c r="AC131" i="65"/>
  <c r="AP131" i="65" s="1"/>
  <c r="Z131" i="65"/>
  <c r="AB131" i="65" s="1"/>
  <c r="AO131" i="65" s="1"/>
  <c r="Z168" i="65"/>
  <c r="AB168" i="65" s="1"/>
  <c r="AO168" i="65" s="1"/>
  <c r="AC168" i="65"/>
  <c r="AP168" i="65" s="1"/>
  <c r="Z107" i="65"/>
  <c r="AB107" i="65" s="1"/>
  <c r="AO107" i="65" s="1"/>
  <c r="AC107" i="65"/>
  <c r="AP107" i="65" s="1"/>
  <c r="Z111" i="65"/>
  <c r="AB111" i="65" s="1"/>
  <c r="AO111" i="65" s="1"/>
  <c r="AC111" i="65"/>
  <c r="AP111" i="65" s="1"/>
  <c r="Z114" i="65"/>
  <c r="AB114" i="65" s="1"/>
  <c r="AO114" i="65" s="1"/>
  <c r="AC114" i="65"/>
  <c r="AP114" i="65" s="1"/>
  <c r="Z90" i="65"/>
  <c r="AB90" i="65" s="1"/>
  <c r="AO90" i="65" s="1"/>
  <c r="AC90" i="65"/>
  <c r="AP90" i="65" s="1"/>
  <c r="Z53" i="65"/>
  <c r="AB53" i="65" s="1"/>
  <c r="AO53" i="65" s="1"/>
  <c r="AC53" i="65"/>
  <c r="AP53" i="65" s="1"/>
  <c r="Z91" i="65"/>
  <c r="AB91" i="65" s="1"/>
  <c r="AO91" i="65" s="1"/>
  <c r="AC91" i="65"/>
  <c r="AP91" i="65" s="1"/>
  <c r="Z30" i="65"/>
  <c r="AB30" i="65" s="1"/>
  <c r="AO30" i="65" s="1"/>
  <c r="AC30" i="65"/>
  <c r="AP30" i="65" s="1"/>
  <c r="AC59" i="65"/>
  <c r="AP59" i="65" s="1"/>
  <c r="Z59" i="65"/>
  <c r="AB59" i="65" s="1"/>
  <c r="AO59" i="65" s="1"/>
  <c r="Z36" i="65"/>
  <c r="AB36" i="65" s="1"/>
  <c r="AO36" i="65" s="1"/>
  <c r="AC36" i="65"/>
  <c r="AP36" i="65" s="1"/>
  <c r="Z38" i="65"/>
  <c r="AB38" i="65" s="1"/>
  <c r="AO38" i="65" s="1"/>
  <c r="AC38" i="65"/>
  <c r="AP38" i="65" s="1"/>
  <c r="Z15" i="65"/>
  <c r="AB15" i="65" s="1"/>
  <c r="AO15" i="65" s="1"/>
  <c r="AC15" i="65"/>
  <c r="AP15" i="65" s="1"/>
  <c r="AC162" i="65"/>
  <c r="AP162" i="65" s="1"/>
  <c r="Z162" i="65"/>
  <c r="AB162" i="65" s="1"/>
  <c r="AO162" i="65" s="1"/>
  <c r="Z181" i="65"/>
  <c r="AB181" i="65" s="1"/>
  <c r="AO181" i="65" s="1"/>
  <c r="AC181" i="65"/>
  <c r="AP181" i="65" s="1"/>
  <c r="Z135" i="65"/>
  <c r="AB135" i="65" s="1"/>
  <c r="AO135" i="65" s="1"/>
  <c r="AC135" i="65"/>
  <c r="AP135" i="65" s="1"/>
  <c r="Z145" i="65"/>
  <c r="AB145" i="65" s="1"/>
  <c r="AO145" i="65" s="1"/>
  <c r="AC145" i="65"/>
  <c r="AP145" i="65" s="1"/>
  <c r="Z130" i="65"/>
  <c r="AB130" i="65" s="1"/>
  <c r="AO130" i="65" s="1"/>
  <c r="AC130" i="65"/>
  <c r="AP130" i="65" s="1"/>
  <c r="AC120" i="65"/>
  <c r="AP120" i="65" s="1"/>
  <c r="Z120" i="65"/>
  <c r="AB120" i="65" s="1"/>
  <c r="AO120" i="65" s="1"/>
  <c r="Z110" i="65"/>
  <c r="AB110" i="65" s="1"/>
  <c r="AO110" i="65" s="1"/>
  <c r="AC110" i="65"/>
  <c r="AP110" i="65" s="1"/>
  <c r="Z125" i="65"/>
  <c r="AB125" i="65" s="1"/>
  <c r="AO125" i="65" s="1"/>
  <c r="AC125" i="65"/>
  <c r="AP125" i="65" s="1"/>
  <c r="Z86" i="65"/>
  <c r="AB86" i="65" s="1"/>
  <c r="AO86" i="65" s="1"/>
  <c r="AC86" i="65"/>
  <c r="AP86" i="65" s="1"/>
  <c r="Z64" i="65"/>
  <c r="AB64" i="65" s="1"/>
  <c r="AO64" i="65" s="1"/>
  <c r="AC64" i="65"/>
  <c r="AP64" i="65" s="1"/>
  <c r="Z75" i="65"/>
  <c r="AB75" i="65" s="1"/>
  <c r="AO75" i="65" s="1"/>
  <c r="AC75" i="65"/>
  <c r="AP75" i="65" s="1"/>
  <c r="Z81" i="65"/>
  <c r="AB81" i="65" s="1"/>
  <c r="AO81" i="65" s="1"/>
  <c r="AC81" i="65"/>
  <c r="AP81" i="65" s="1"/>
  <c r="Z8" i="65"/>
  <c r="AB8" i="65" s="1"/>
  <c r="AO8" i="65" s="1"/>
  <c r="AC8" i="65"/>
  <c r="AP8" i="65" s="1"/>
  <c r="Z9" i="65"/>
  <c r="AB9" i="65" s="1"/>
  <c r="AO9" i="65" s="1"/>
  <c r="AC9" i="65"/>
  <c r="AP9" i="65" s="1"/>
  <c r="Z161" i="65"/>
  <c r="AB161" i="65" s="1"/>
  <c r="AO161" i="65" s="1"/>
  <c r="AC161" i="65"/>
  <c r="AP161" i="65" s="1"/>
  <c r="Z134" i="65"/>
  <c r="AB134" i="65" s="1"/>
  <c r="AO134" i="65" s="1"/>
  <c r="AC134" i="65"/>
  <c r="AP134" i="65" s="1"/>
  <c r="Z153" i="65"/>
  <c r="AB153" i="65" s="1"/>
  <c r="AO153" i="65" s="1"/>
  <c r="AC153" i="65"/>
  <c r="AP153" i="65" s="1"/>
  <c r="Z167" i="65"/>
  <c r="AB167" i="65" s="1"/>
  <c r="AO167" i="65" s="1"/>
  <c r="AC167" i="65"/>
  <c r="AP167" i="65" s="1"/>
  <c r="Z156" i="65"/>
  <c r="AB156" i="65" s="1"/>
  <c r="AO156" i="65" s="1"/>
  <c r="AC156" i="65"/>
  <c r="AP156" i="65" s="1"/>
  <c r="Z101" i="65"/>
  <c r="AB101" i="65" s="1"/>
  <c r="AO101" i="65" s="1"/>
  <c r="AC101" i="65"/>
  <c r="AP101" i="65" s="1"/>
  <c r="Z128" i="65"/>
  <c r="AB128" i="65" s="1"/>
  <c r="AO128" i="65" s="1"/>
  <c r="AC128" i="65"/>
  <c r="AP128" i="65" s="1"/>
  <c r="Z54" i="65"/>
  <c r="AB54" i="65" s="1"/>
  <c r="AO54" i="65" s="1"/>
  <c r="AC54" i="65"/>
  <c r="AP54" i="65" s="1"/>
  <c r="Z25" i="65"/>
  <c r="AB25" i="65" s="1"/>
  <c r="AO25" i="65" s="1"/>
  <c r="AC25" i="65"/>
  <c r="AP25" i="65" s="1"/>
  <c r="Z78" i="65"/>
  <c r="AB78" i="65" s="1"/>
  <c r="AO78" i="65" s="1"/>
  <c r="AC78" i="65"/>
  <c r="AP78" i="65" s="1"/>
  <c r="AC79" i="65"/>
  <c r="AP79" i="65" s="1"/>
  <c r="Z79" i="65"/>
  <c r="AB79" i="65" s="1"/>
  <c r="AO79" i="65" s="1"/>
  <c r="Z18" i="65"/>
  <c r="AB18" i="65" s="1"/>
  <c r="AO18" i="65" s="1"/>
  <c r="AC18" i="65"/>
  <c r="AP18" i="65" s="1"/>
  <c r="Z47" i="65"/>
  <c r="AB47" i="65" s="1"/>
  <c r="AO47" i="65" s="1"/>
  <c r="AC47" i="65"/>
  <c r="AP47" i="65" s="1"/>
  <c r="Z24" i="65"/>
  <c r="AB24" i="65" s="1"/>
  <c r="AO24" i="65" s="1"/>
  <c r="AC24" i="65"/>
  <c r="AP24" i="65" s="1"/>
  <c r="Z26" i="65"/>
  <c r="AB26" i="65" s="1"/>
  <c r="AO26" i="65" s="1"/>
  <c r="AC26" i="65"/>
  <c r="AP26" i="65" s="1"/>
  <c r="Z147" i="65"/>
  <c r="AB147" i="65" s="1"/>
  <c r="AO147" i="65" s="1"/>
  <c r="AC147" i="65"/>
  <c r="AP147" i="65" s="1"/>
  <c r="Z132" i="65"/>
  <c r="AB132" i="65" s="1"/>
  <c r="AO132" i="65" s="1"/>
  <c r="AC132" i="65"/>
  <c r="AP132" i="65" s="1"/>
  <c r="Z140" i="65"/>
  <c r="AB140" i="65" s="1"/>
  <c r="AO140" i="65" s="1"/>
  <c r="AC140" i="65"/>
  <c r="AP140" i="65" s="1"/>
  <c r="AC108" i="65"/>
  <c r="AP108" i="65" s="1"/>
  <c r="Z108" i="65"/>
  <c r="AB108" i="65" s="1"/>
  <c r="AO108" i="65" s="1"/>
  <c r="Z87" i="65"/>
  <c r="AB87" i="65" s="1"/>
  <c r="AO87" i="65" s="1"/>
  <c r="AC87" i="65"/>
  <c r="AP87" i="65" s="1"/>
  <c r="Z113" i="65"/>
  <c r="AB113" i="65" s="1"/>
  <c r="AO113" i="65" s="1"/>
  <c r="AC113" i="65"/>
  <c r="AP113" i="65" s="1"/>
  <c r="Z102" i="65"/>
  <c r="AB102" i="65" s="1"/>
  <c r="AO102" i="65" s="1"/>
  <c r="AC102" i="65"/>
  <c r="AP102" i="65" s="1"/>
  <c r="Z45" i="65"/>
  <c r="AB45" i="65" s="1"/>
  <c r="AO45" i="65" s="1"/>
  <c r="AC45" i="65"/>
  <c r="AP45" i="65" s="1"/>
  <c r="Z13" i="65"/>
  <c r="AB13" i="65" s="1"/>
  <c r="AO13" i="65" s="1"/>
  <c r="AC13" i="65"/>
  <c r="AP13" i="65" s="1"/>
  <c r="AC52" i="65"/>
  <c r="AP52" i="65" s="1"/>
  <c r="Z52" i="65"/>
  <c r="AB52" i="65" s="1"/>
  <c r="AO52" i="65" s="1"/>
  <c r="Z69" i="65"/>
  <c r="AB69" i="65" s="1"/>
  <c r="AO69" i="65" s="1"/>
  <c r="AC69" i="65"/>
  <c r="AP69" i="65" s="1"/>
  <c r="AC44" i="65"/>
  <c r="AP44" i="65" s="1"/>
  <c r="Z44" i="65"/>
  <c r="AB44" i="65" s="1"/>
  <c r="AO44" i="65" s="1"/>
  <c r="Z58" i="65"/>
  <c r="AB58" i="65" s="1"/>
  <c r="AO58" i="65" s="1"/>
  <c r="AC58" i="65"/>
  <c r="AP58" i="65" s="1"/>
  <c r="AC172" i="65"/>
  <c r="AP172" i="65" s="1"/>
  <c r="Z172" i="65"/>
  <c r="AB172" i="65" s="1"/>
  <c r="AO172" i="65" s="1"/>
  <c r="Z118" i="65"/>
  <c r="AB118" i="65" s="1"/>
  <c r="AO118" i="65" s="1"/>
  <c r="AC118" i="65"/>
  <c r="AP118" i="65" s="1"/>
  <c r="Z155" i="65"/>
  <c r="AB155" i="65" s="1"/>
  <c r="AO155" i="65" s="1"/>
  <c r="AC155" i="65"/>
  <c r="AP155" i="65" s="1"/>
  <c r="Z144" i="65"/>
  <c r="AB144" i="65" s="1"/>
  <c r="AO144" i="65" s="1"/>
  <c r="AC144" i="65"/>
  <c r="AP144" i="65" s="1"/>
  <c r="Z104" i="65"/>
  <c r="AB104" i="65" s="1"/>
  <c r="AO104" i="65" s="1"/>
  <c r="AC104" i="65"/>
  <c r="AP104" i="65" s="1"/>
  <c r="AC83" i="65"/>
  <c r="AP83" i="65" s="1"/>
  <c r="Z83" i="65"/>
  <c r="AB83" i="65" s="1"/>
  <c r="AO83" i="65" s="1"/>
  <c r="Z116" i="65"/>
  <c r="AB116" i="65" s="1"/>
  <c r="AO116" i="65" s="1"/>
  <c r="AC116" i="65"/>
  <c r="AP116" i="65" s="1"/>
  <c r="Z84" i="65"/>
  <c r="AB84" i="65" s="1"/>
  <c r="AO84" i="65" s="1"/>
  <c r="AC84" i="65"/>
  <c r="AP84" i="65" s="1"/>
  <c r="AC97" i="65"/>
  <c r="AP97" i="65" s="1"/>
  <c r="Z97" i="65"/>
  <c r="AB97" i="65" s="1"/>
  <c r="AO97" i="65" s="1"/>
  <c r="Z76" i="65"/>
  <c r="AB76" i="65" s="1"/>
  <c r="AO76" i="65" s="1"/>
  <c r="AC76" i="65"/>
  <c r="AP76" i="65" s="1"/>
  <c r="Z67" i="65"/>
  <c r="AB67" i="65" s="1"/>
  <c r="AO67" i="65" s="1"/>
  <c r="AC67" i="65"/>
  <c r="AP67" i="65" s="1"/>
  <c r="Z29" i="65"/>
  <c r="AB29" i="65" s="1"/>
  <c r="AO29" i="65" s="1"/>
  <c r="AC29" i="65"/>
  <c r="AP29" i="65" s="1"/>
  <c r="Z35" i="65"/>
  <c r="AB35" i="65" s="1"/>
  <c r="AO35" i="65" s="1"/>
  <c r="AC35" i="65"/>
  <c r="AP35" i="65" s="1"/>
  <c r="Z12" i="65"/>
  <c r="AB12" i="65" s="1"/>
  <c r="AO12" i="65" s="1"/>
  <c r="AC12" i="65"/>
  <c r="AP12" i="65" s="1"/>
  <c r="Z14" i="65"/>
  <c r="AB14" i="65" s="1"/>
  <c r="AO14" i="65" s="1"/>
  <c r="AC14" i="65"/>
  <c r="AP14" i="65" s="1"/>
  <c r="Z164" i="65"/>
  <c r="AB164" i="65" s="1"/>
  <c r="AO164" i="65" s="1"/>
  <c r="AC164" i="65"/>
  <c r="AP164" i="65" s="1"/>
  <c r="Z117" i="65"/>
  <c r="AB117" i="65" s="1"/>
  <c r="AO117" i="65" s="1"/>
  <c r="AC117" i="65"/>
  <c r="AP117" i="65" s="1"/>
  <c r="AC95" i="65"/>
  <c r="AP95" i="65" s="1"/>
  <c r="Z95" i="65"/>
  <c r="AB95" i="65" s="1"/>
  <c r="AO95" i="65" s="1"/>
  <c r="AC100" i="65"/>
  <c r="AP100" i="65" s="1"/>
  <c r="Z100" i="65"/>
  <c r="AB100" i="65" s="1"/>
  <c r="AO100" i="65" s="1"/>
  <c r="Z98" i="65"/>
  <c r="AB98" i="65" s="1"/>
  <c r="AO98" i="65" s="1"/>
  <c r="AC98" i="65"/>
  <c r="AP98" i="65" s="1"/>
  <c r="AC112" i="65"/>
  <c r="AP112" i="65" s="1"/>
  <c r="Z112" i="65"/>
  <c r="AB112" i="65" s="1"/>
  <c r="AO112" i="65" s="1"/>
  <c r="Z92" i="65"/>
  <c r="AB92" i="65" s="1"/>
  <c r="AO92" i="65" s="1"/>
  <c r="AC92" i="65"/>
  <c r="AP92" i="65" s="1"/>
  <c r="Z49" i="65"/>
  <c r="AB49" i="65" s="1"/>
  <c r="AO49" i="65" s="1"/>
  <c r="AC49" i="65"/>
  <c r="AP49" i="65" s="1"/>
  <c r="Z55" i="65"/>
  <c r="AB55" i="65" s="1"/>
  <c r="AO55" i="65" s="1"/>
  <c r="AC55" i="65"/>
  <c r="AP55" i="65" s="1"/>
  <c r="AC32" i="65"/>
  <c r="AP32" i="65" s="1"/>
  <c r="Z32" i="65"/>
  <c r="AB32" i="65" s="1"/>
  <c r="AO32" i="65" s="1"/>
  <c r="Z46" i="65"/>
  <c r="AB46" i="65" s="1"/>
  <c r="AO46" i="65" s="1"/>
  <c r="AC46" i="65"/>
  <c r="AP46" i="65" s="1"/>
  <c r="AC40" i="65"/>
  <c r="AP40" i="65" s="1"/>
  <c r="Z40" i="65"/>
  <c r="AB40" i="65" s="1"/>
  <c r="AO40" i="65" s="1"/>
  <c r="Z159" i="65"/>
  <c r="AB159" i="65" s="1"/>
  <c r="AO159" i="65" s="1"/>
  <c r="AC159" i="65"/>
  <c r="AP159" i="65" s="1"/>
  <c r="Z148" i="65"/>
  <c r="AB148" i="65" s="1"/>
  <c r="AO148" i="65" s="1"/>
  <c r="AC148" i="65"/>
  <c r="AP148" i="65" s="1"/>
  <c r="Z166" i="65"/>
  <c r="AB166" i="65" s="1"/>
  <c r="AO166" i="65" s="1"/>
  <c r="AC166" i="65"/>
  <c r="AP166" i="65" s="1"/>
  <c r="AC150" i="65"/>
  <c r="AP150" i="65" s="1"/>
  <c r="Z150" i="65"/>
  <c r="AB150" i="65" s="1"/>
  <c r="AO150" i="65" s="1"/>
  <c r="Z143" i="65"/>
  <c r="AB143" i="65" s="1"/>
  <c r="AO143" i="65" s="1"/>
  <c r="AC143" i="65"/>
  <c r="AP143" i="65" s="1"/>
  <c r="Z133" i="65"/>
  <c r="AB133" i="65" s="1"/>
  <c r="AO133" i="65" s="1"/>
  <c r="AC133" i="65"/>
  <c r="AP133" i="65" s="1"/>
  <c r="Z170" i="65"/>
  <c r="AB170" i="65" s="1"/>
  <c r="AO170" i="65" s="1"/>
  <c r="AC170" i="65"/>
  <c r="AP170" i="65" s="1"/>
  <c r="Z109" i="65"/>
  <c r="AB109" i="65" s="1"/>
  <c r="AO109" i="65" s="1"/>
  <c r="AC109" i="65"/>
  <c r="AP109" i="65" s="1"/>
  <c r="Z96" i="65"/>
  <c r="AB96" i="65" s="1"/>
  <c r="AO96" i="65" s="1"/>
  <c r="AC96" i="65"/>
  <c r="AP96" i="65" s="1"/>
  <c r="Z82" i="65"/>
  <c r="AB82" i="65" s="1"/>
  <c r="AO82" i="65" s="1"/>
  <c r="AC82" i="65"/>
  <c r="AP82" i="65" s="1"/>
  <c r="Z72" i="65"/>
  <c r="AB72" i="65" s="1"/>
  <c r="AO72" i="65" s="1"/>
  <c r="AC72" i="65"/>
  <c r="AP72" i="65" s="1"/>
  <c r="AC85" i="65"/>
  <c r="AP85" i="65" s="1"/>
  <c r="Z85" i="65"/>
  <c r="AB85" i="65" s="1"/>
  <c r="AO85" i="65" s="1"/>
  <c r="AC66" i="65"/>
  <c r="AP66" i="65" s="1"/>
  <c r="Z66" i="65"/>
  <c r="AB66" i="65" s="1"/>
  <c r="AO66" i="65" s="1"/>
  <c r="Z41" i="65"/>
  <c r="AB41" i="65" s="1"/>
  <c r="AO41" i="65" s="1"/>
  <c r="AC41" i="65"/>
  <c r="AP41" i="65" s="1"/>
  <c r="Z17" i="65"/>
  <c r="AB17" i="65" s="1"/>
  <c r="AO17" i="65" s="1"/>
  <c r="AC17" i="65"/>
  <c r="AP17" i="65" s="1"/>
  <c r="Z23" i="65"/>
  <c r="AB23" i="65" s="1"/>
  <c r="AO23" i="65" s="1"/>
  <c r="AC23" i="65"/>
  <c r="AP23" i="65" s="1"/>
  <c r="Z51" i="65"/>
  <c r="AB51" i="65" s="1"/>
  <c r="AO51" i="65" s="1"/>
  <c r="AC51" i="65"/>
  <c r="AP51" i="65" s="1"/>
  <c r="Z152" i="65"/>
  <c r="AB152" i="65" s="1"/>
  <c r="AO152" i="65" s="1"/>
  <c r="AC152" i="65"/>
  <c r="AP152" i="65" s="1"/>
  <c r="Z154" i="65"/>
  <c r="AB154" i="65" s="1"/>
  <c r="AO154" i="65" s="1"/>
  <c r="AC154" i="65"/>
  <c r="AP154" i="65" s="1"/>
  <c r="Z121" i="65"/>
  <c r="AB121" i="65" s="1"/>
  <c r="AO121" i="65" s="1"/>
  <c r="AC121" i="65"/>
  <c r="AP121" i="65" s="1"/>
  <c r="AC127" i="65"/>
  <c r="AP127" i="65" s="1"/>
  <c r="Z127" i="65"/>
  <c r="AB127" i="65" s="1"/>
  <c r="AO127" i="65" s="1"/>
  <c r="Z99" i="65"/>
  <c r="AB99" i="65" s="1"/>
  <c r="AO99" i="65" s="1"/>
  <c r="AC99" i="65"/>
  <c r="AP99" i="65" s="1"/>
  <c r="AC63" i="65"/>
  <c r="AP63" i="65" s="1"/>
  <c r="Z63" i="65"/>
  <c r="AB63" i="65" s="1"/>
  <c r="AO63" i="65" s="1"/>
  <c r="Z43" i="65"/>
  <c r="AB43" i="65" s="1"/>
  <c r="AO43" i="65" s="1"/>
  <c r="AC43" i="65"/>
  <c r="AP43" i="65" s="1"/>
  <c r="AC20" i="65"/>
  <c r="AP20" i="65" s="1"/>
  <c r="Z20" i="65"/>
  <c r="AB20" i="65" s="1"/>
  <c r="AO20" i="65" s="1"/>
  <c r="Z34" i="65"/>
  <c r="AB34" i="65" s="1"/>
  <c r="AO34" i="65" s="1"/>
  <c r="AC34" i="65"/>
  <c r="AP34" i="65" s="1"/>
  <c r="Z5" i="65"/>
  <c r="AB5" i="65" s="1"/>
  <c r="AO5" i="65" s="1"/>
  <c r="AC5" i="65"/>
  <c r="AP5" i="65" s="1"/>
  <c r="AC28" i="65"/>
  <c r="AP28" i="65" s="1"/>
  <c r="Z28" i="65"/>
  <c r="AB28" i="65" s="1"/>
  <c r="AO28" i="65" s="1"/>
  <c r="AC174" i="65"/>
  <c r="AP174" i="65" s="1"/>
  <c r="Z174" i="65"/>
  <c r="AB174" i="65" s="1"/>
  <c r="AO174" i="65" s="1"/>
  <c r="Z175" i="65"/>
  <c r="AB175" i="65" s="1"/>
  <c r="AO175" i="65" s="1"/>
  <c r="AC175" i="65"/>
  <c r="AP175" i="65" s="1"/>
  <c r="Z141" i="65"/>
  <c r="AB141" i="65" s="1"/>
  <c r="AO141" i="65" s="1"/>
  <c r="AC141" i="65"/>
  <c r="AP141" i="65" s="1"/>
  <c r="Z158" i="65"/>
  <c r="AB158" i="65" s="1"/>
  <c r="AO158" i="65" s="1"/>
  <c r="AC158" i="65"/>
  <c r="AP158" i="65" s="1"/>
  <c r="Z56" i="65"/>
  <c r="AB56" i="65" s="1"/>
  <c r="AO56" i="65" s="1"/>
  <c r="AC56" i="65"/>
  <c r="AP56" i="65" s="1"/>
  <c r="AC89" i="65"/>
  <c r="AP89" i="65" s="1"/>
  <c r="Z89" i="65"/>
  <c r="AB89" i="65" s="1"/>
  <c r="AO89" i="65" s="1"/>
  <c r="Z138" i="65"/>
  <c r="AB138" i="65" s="1"/>
  <c r="AO138" i="65" s="1"/>
  <c r="AC138" i="65"/>
  <c r="AP138" i="65" s="1"/>
  <c r="AC73" i="65"/>
  <c r="AP73" i="65" s="1"/>
  <c r="Z73" i="65"/>
  <c r="AB73" i="65" s="1"/>
  <c r="AO73" i="65" s="1"/>
  <c r="Z61" i="65"/>
  <c r="AB61" i="65" s="1"/>
  <c r="AO61" i="65" s="1"/>
  <c r="AC61" i="65"/>
  <c r="AP61" i="65" s="1"/>
  <c r="Z57" i="65"/>
  <c r="AB57" i="65" s="1"/>
  <c r="AO57" i="65" s="1"/>
  <c r="AC57" i="65"/>
  <c r="AP57" i="65" s="1"/>
  <c r="Z7" i="65"/>
  <c r="AB7" i="65" s="1"/>
  <c r="AO7" i="65" s="1"/>
  <c r="AC7" i="65"/>
  <c r="AP7" i="65" s="1"/>
  <c r="Z11" i="65"/>
  <c r="AB11" i="65" s="1"/>
  <c r="AO11" i="65" s="1"/>
  <c r="AC11" i="65"/>
  <c r="AP11" i="65" s="1"/>
  <c r="AC62" i="65"/>
  <c r="AP62" i="65" s="1"/>
  <c r="Z62" i="65"/>
  <c r="AB62" i="65" s="1"/>
  <c r="AO62" i="65" s="1"/>
  <c r="Z39" i="65"/>
  <c r="AB39" i="65" s="1"/>
  <c r="AO39" i="65" s="1"/>
  <c r="AC39" i="65"/>
  <c r="AP39" i="65" s="1"/>
  <c r="Z163" i="65"/>
  <c r="AB163" i="65" s="1"/>
  <c r="AO163" i="65" s="1"/>
  <c r="AC163" i="65"/>
  <c r="AP163" i="65" s="1"/>
  <c r="Z160" i="65"/>
  <c r="AB160" i="65" s="1"/>
  <c r="AO160" i="65" s="1"/>
  <c r="AC160" i="65"/>
  <c r="AP160" i="65" s="1"/>
  <c r="AC124" i="65"/>
  <c r="AP124" i="65" s="1"/>
  <c r="Z124" i="65"/>
  <c r="AB124" i="65" s="1"/>
  <c r="AO124" i="65" s="1"/>
  <c r="Z142" i="65"/>
  <c r="AB142" i="65" s="1"/>
  <c r="AO142" i="65" s="1"/>
  <c r="AC142" i="65"/>
  <c r="AP142" i="65" s="1"/>
  <c r="Z68" i="65"/>
  <c r="AB68" i="65" s="1"/>
  <c r="AO68" i="65" s="1"/>
  <c r="AC68" i="65"/>
  <c r="AP68" i="65" s="1"/>
  <c r="AC169" i="65"/>
  <c r="AP169" i="65" s="1"/>
  <c r="Z169" i="65"/>
  <c r="AB169" i="65" s="1"/>
  <c r="AO169" i="65" s="1"/>
  <c r="AC71" i="65"/>
  <c r="AP71" i="65" s="1"/>
  <c r="Z71" i="65"/>
  <c r="AB71" i="65" s="1"/>
  <c r="AO71" i="65" s="1"/>
  <c r="Z94" i="65"/>
  <c r="AB94" i="65" s="1"/>
  <c r="AO94" i="65" s="1"/>
  <c r="AC94" i="65"/>
  <c r="AP94" i="65" s="1"/>
  <c r="Z115" i="65"/>
  <c r="AB115" i="65" s="1"/>
  <c r="AO115" i="65" s="1"/>
  <c r="AC115" i="65"/>
  <c r="AP115" i="65" s="1"/>
  <c r="Z88" i="65"/>
  <c r="AB88" i="65" s="1"/>
  <c r="AO88" i="65" s="1"/>
  <c r="AC88" i="65"/>
  <c r="AP88" i="65" s="1"/>
  <c r="Z37" i="65"/>
  <c r="AB37" i="65" s="1"/>
  <c r="AO37" i="65" s="1"/>
  <c r="AC37" i="65"/>
  <c r="AP37" i="65" s="1"/>
  <c r="Z105" i="65"/>
  <c r="AB105" i="65" s="1"/>
  <c r="AO105" i="65" s="1"/>
  <c r="AC105" i="65"/>
  <c r="AP105" i="65" s="1"/>
  <c r="Z31" i="65"/>
  <c r="AB31" i="65" s="1"/>
  <c r="AO31" i="65" s="1"/>
  <c r="AC31" i="65"/>
  <c r="AP31" i="65" s="1"/>
  <c r="Z33" i="65"/>
  <c r="AB33" i="65" s="1"/>
  <c r="AO33" i="65" s="1"/>
  <c r="AC33" i="65"/>
  <c r="AP33" i="65" s="1"/>
  <c r="Z22" i="65"/>
  <c r="AB22" i="65" s="1"/>
  <c r="AO22" i="65" s="1"/>
  <c r="AC22" i="65"/>
  <c r="AP22" i="65" s="1"/>
  <c r="AC16" i="65"/>
  <c r="AP16" i="65" s="1"/>
  <c r="Z16" i="65"/>
  <c r="AB16" i="65" s="1"/>
  <c r="AO16" i="65" s="1"/>
  <c r="Z178" i="65"/>
  <c r="AB178" i="65" s="1"/>
  <c r="AO178" i="65" s="1"/>
  <c r="AC178" i="65"/>
  <c r="AP178" i="65" s="1"/>
  <c r="AC176" i="65"/>
  <c r="AP176" i="65" s="1"/>
  <c r="Z176" i="65"/>
  <c r="AB176" i="65" s="1"/>
  <c r="AO176" i="65" s="1"/>
  <c r="Z177" i="65"/>
  <c r="AB177" i="65" s="1"/>
  <c r="AO177" i="65" s="1"/>
  <c r="AC177" i="65"/>
  <c r="AP177" i="65" s="1"/>
  <c r="Z151" i="65"/>
  <c r="AB151" i="65" s="1"/>
  <c r="AO151" i="65" s="1"/>
  <c r="AC151" i="65"/>
  <c r="AP151" i="65" s="1"/>
  <c r="Z129" i="65"/>
  <c r="AB129" i="65" s="1"/>
  <c r="AO129" i="65" s="1"/>
  <c r="AC129" i="65"/>
  <c r="AP129" i="65" s="1"/>
  <c r="Z139" i="65"/>
  <c r="AB139" i="65" s="1"/>
  <c r="AO139" i="65" s="1"/>
  <c r="AC139" i="65"/>
  <c r="AP139" i="65" s="1"/>
  <c r="Z180" i="65"/>
  <c r="AB180" i="65" s="1"/>
  <c r="AO180" i="65" s="1"/>
  <c r="AC180" i="65"/>
  <c r="AP180" i="65" s="1"/>
  <c r="Z146" i="65"/>
  <c r="AB146" i="65" s="1"/>
  <c r="AO146" i="65" s="1"/>
  <c r="AC146" i="65"/>
  <c r="AP146" i="65" s="1"/>
  <c r="Z119" i="65"/>
  <c r="AB119" i="65" s="1"/>
  <c r="AO119" i="65" s="1"/>
  <c r="AC119" i="65"/>
  <c r="AP119" i="65" s="1"/>
  <c r="Z123" i="65"/>
  <c r="AB123" i="65" s="1"/>
  <c r="AO123" i="65" s="1"/>
  <c r="AC123" i="65"/>
  <c r="AP123" i="65" s="1"/>
  <c r="Z126" i="65"/>
  <c r="AB126" i="65" s="1"/>
  <c r="AO126" i="65" s="1"/>
  <c r="AC126" i="65"/>
  <c r="AP126" i="65" s="1"/>
  <c r="Z80" i="65"/>
  <c r="AB80" i="65" s="1"/>
  <c r="AO80" i="65" s="1"/>
  <c r="AC80" i="65"/>
  <c r="AP80" i="65" s="1"/>
  <c r="Z60" i="65"/>
  <c r="AB60" i="65" s="1"/>
  <c r="AO60" i="65" s="1"/>
  <c r="AC60" i="65"/>
  <c r="AP60" i="65" s="1"/>
  <c r="Z65" i="65"/>
  <c r="AB65" i="65" s="1"/>
  <c r="AO65" i="65" s="1"/>
  <c r="AC65" i="65"/>
  <c r="AP65" i="65" s="1"/>
  <c r="AC77" i="65"/>
  <c r="AP77" i="65" s="1"/>
  <c r="Z77" i="65"/>
  <c r="AB77" i="65" s="1"/>
  <c r="AO77" i="65" s="1"/>
  <c r="Z103" i="65"/>
  <c r="AB103" i="65" s="1"/>
  <c r="AO103" i="65" s="1"/>
  <c r="AC103" i="65"/>
  <c r="AP103" i="65" s="1"/>
  <c r="Z42" i="65"/>
  <c r="AB42" i="65" s="1"/>
  <c r="AO42" i="65" s="1"/>
  <c r="AC42" i="65"/>
  <c r="AP42" i="65" s="1"/>
  <c r="AC48" i="65"/>
  <c r="AP48" i="65" s="1"/>
  <c r="Z48" i="65"/>
  <c r="AB48" i="65" s="1"/>
  <c r="AO48" i="65" s="1"/>
  <c r="Z50" i="65"/>
  <c r="AB50" i="65" s="1"/>
  <c r="AO50" i="65" s="1"/>
  <c r="AC50" i="65"/>
  <c r="AP50" i="65" s="1"/>
  <c r="Z27" i="65"/>
  <c r="AB27" i="65" s="1"/>
  <c r="AO27" i="65" s="1"/>
  <c r="AC27" i="65"/>
  <c r="AP27" i="65" s="1"/>
  <c r="C23" i="2"/>
  <c r="AN187" i="65"/>
  <c r="AN212" i="65"/>
  <c r="AN218" i="65"/>
  <c r="AN209" i="65"/>
  <c r="AL184" i="65"/>
  <c r="AN230" i="65"/>
  <c r="AN210" i="65"/>
  <c r="AL204" i="65"/>
  <c r="AJ220" i="65"/>
  <c r="AN228" i="65"/>
  <c r="AN219" i="65"/>
  <c r="AJ213" i="65"/>
  <c r="L23" i="68"/>
  <c r="AN231" i="65"/>
  <c r="P23" i="68"/>
  <c r="AN201" i="65"/>
  <c r="O59" i="68"/>
  <c r="Q58" i="68"/>
  <c r="O47" i="68"/>
  <c r="N55" i="68"/>
  <c r="N68" i="68"/>
  <c r="Q54" i="68"/>
  <c r="N72" i="68"/>
  <c r="R54" i="68"/>
  <c r="Q52" i="68"/>
  <c r="O58" i="68"/>
  <c r="Z22" i="50"/>
  <c r="AB22" i="50" s="1"/>
  <c r="AO22" i="50" s="1"/>
  <c r="R67" i="68"/>
  <c r="O56" i="68"/>
  <c r="Q60" i="68"/>
  <c r="R73" i="68"/>
  <c r="O53" i="68"/>
  <c r="O66" i="68"/>
  <c r="O46" i="68"/>
  <c r="O57" i="68"/>
  <c r="R60" i="68"/>
  <c r="Q73" i="68"/>
  <c r="O61" i="68"/>
  <c r="Q67" i="68"/>
  <c r="R52" i="68"/>
  <c r="N56" i="67"/>
  <c r="O50" i="68"/>
  <c r="I63" i="68"/>
  <c r="K44" i="68"/>
  <c r="J22" i="68"/>
  <c r="Z5" i="50"/>
  <c r="AB5" i="50" s="1"/>
  <c r="A22" i="50" s="1"/>
  <c r="Z6" i="62"/>
  <c r="AB6" i="62" s="1"/>
  <c r="AO6" i="62" s="1"/>
  <c r="N48" i="67"/>
  <c r="Z190" i="65"/>
  <c r="AB190" i="65" s="1"/>
  <c r="AO190" i="65" s="1"/>
  <c r="Z7" i="50"/>
  <c r="AB7" i="50" s="1"/>
  <c r="AO7" i="50" s="1"/>
  <c r="Z14" i="62"/>
  <c r="AB14" i="62" s="1"/>
  <c r="AO14" i="62" s="1"/>
  <c r="S38" i="67"/>
  <c r="K33" i="67"/>
  <c r="AJ17" i="59"/>
  <c r="AN14" i="59"/>
  <c r="K32" i="67"/>
  <c r="AN20" i="59"/>
  <c r="K31" i="67"/>
  <c r="A16" i="58"/>
  <c r="AN44" i="57"/>
  <c r="AL42" i="57"/>
  <c r="K27" i="67"/>
  <c r="AJ22" i="55"/>
  <c r="S27" i="67"/>
  <c r="AJ10" i="54"/>
  <c r="AJ23" i="54"/>
  <c r="K26" i="67"/>
  <c r="F25" i="67"/>
  <c r="T25" i="67"/>
  <c r="H20" i="67"/>
  <c r="S23" i="67"/>
  <c r="AJ44" i="53"/>
  <c r="AL31" i="53"/>
  <c r="AL51" i="53"/>
  <c r="AJ41" i="53"/>
  <c r="K23" i="67"/>
  <c r="AN30" i="53"/>
  <c r="AN16" i="52"/>
  <c r="AL14" i="52"/>
  <c r="K19" i="67"/>
  <c r="A16" i="52"/>
  <c r="AL20" i="51"/>
  <c r="K18" i="67"/>
  <c r="A16" i="49"/>
  <c r="AN7" i="49"/>
  <c r="K15" i="67"/>
  <c r="AJ66" i="46"/>
  <c r="AN46" i="46"/>
  <c r="AJ48" i="46"/>
  <c r="K14" i="67"/>
  <c r="AN60" i="46"/>
  <c r="AN45" i="46"/>
  <c r="AN63" i="46"/>
  <c r="AN65" i="46"/>
  <c r="AJ77" i="46"/>
  <c r="K12" i="67"/>
  <c r="AA13" i="43"/>
  <c r="AC13" i="43" s="1"/>
  <c r="AP13" i="43" s="1"/>
  <c r="AN16" i="43"/>
  <c r="K9" i="67"/>
  <c r="AJ23" i="40"/>
  <c r="AN13" i="39"/>
  <c r="AJ22" i="39"/>
  <c r="K8" i="67"/>
  <c r="K6" i="67"/>
  <c r="A16" i="38"/>
  <c r="T43" i="68"/>
  <c r="E39" i="2" s="1"/>
  <c r="S42" i="68"/>
  <c r="T42" i="68"/>
  <c r="Z57" i="32"/>
  <c r="AB57" i="32" s="1"/>
  <c r="AO57" i="32" s="1"/>
  <c r="AA57" i="32"/>
  <c r="AC57" i="32" s="1"/>
  <c r="AP57" i="32" s="1"/>
  <c r="AN170" i="32"/>
  <c r="AJ168" i="32"/>
  <c r="AJ166" i="32"/>
  <c r="AJ88" i="32"/>
  <c r="AJ147" i="32"/>
  <c r="AJ133" i="32"/>
  <c r="AN117" i="32"/>
  <c r="AJ114" i="32"/>
  <c r="AJ99" i="32"/>
  <c r="AN156" i="32"/>
  <c r="AJ37" i="31"/>
  <c r="AN46" i="31"/>
  <c r="K38" i="68"/>
  <c r="AL56" i="31"/>
  <c r="AL32" i="31"/>
  <c r="S38" i="68"/>
  <c r="AJ40" i="31"/>
  <c r="AL44" i="31"/>
  <c r="Z23" i="30"/>
  <c r="AB23" i="30" s="1"/>
  <c r="AO23" i="30" s="1"/>
  <c r="AA23" i="30"/>
  <c r="AC23" i="30" s="1"/>
  <c r="AP23" i="30" s="1"/>
  <c r="N50" i="68"/>
  <c r="AC210" i="65"/>
  <c r="AP210" i="65" s="1"/>
  <c r="Z206" i="65"/>
  <c r="AB206" i="65" s="1"/>
  <c r="AO206" i="65" s="1"/>
  <c r="Z13" i="50"/>
  <c r="AB13" i="50" s="1"/>
  <c r="AO13" i="50" s="1"/>
  <c r="O16" i="67"/>
  <c r="O18" i="67"/>
  <c r="N36" i="67"/>
  <c r="N18" i="67"/>
  <c r="N31" i="68"/>
  <c r="O35" i="67"/>
  <c r="O28" i="68"/>
  <c r="N28" i="68"/>
  <c r="O27" i="67"/>
  <c r="X88" i="31"/>
  <c r="Z88" i="31" s="1"/>
  <c r="AB88" i="31" s="1"/>
  <c r="AO88" i="31" s="1"/>
  <c r="X70" i="31"/>
  <c r="N8" i="68"/>
  <c r="X80" i="31"/>
  <c r="Z80" i="31" s="1"/>
  <c r="AB80" i="31" s="1"/>
  <c r="AO80" i="31" s="1"/>
  <c r="X73" i="31"/>
  <c r="AA73" i="31" s="1"/>
  <c r="AC73" i="31" s="1"/>
  <c r="AP73" i="31" s="1"/>
  <c r="X75" i="31"/>
  <c r="Z75" i="31" s="1"/>
  <c r="AB75" i="31" s="1"/>
  <c r="AO75" i="31" s="1"/>
  <c r="N27" i="68"/>
  <c r="N42" i="68"/>
  <c r="O25" i="67"/>
  <c r="N33" i="68"/>
  <c r="N25" i="67"/>
  <c r="N29" i="68"/>
  <c r="N12" i="68"/>
  <c r="N33" i="67"/>
  <c r="N19" i="67"/>
  <c r="N21" i="68"/>
  <c r="N10" i="68"/>
  <c r="O6" i="67"/>
  <c r="N32" i="67"/>
  <c r="N31" i="67"/>
  <c r="X76" i="31"/>
  <c r="AA76" i="31" s="1"/>
  <c r="AC76" i="31" s="1"/>
  <c r="AP76" i="31" s="1"/>
  <c r="X83" i="31"/>
  <c r="Z83" i="31" s="1"/>
  <c r="AB83" i="31" s="1"/>
  <c r="AO83" i="31" s="1"/>
  <c r="N15" i="68"/>
  <c r="N12" i="67"/>
  <c r="O31" i="68"/>
  <c r="N14" i="68"/>
  <c r="N19" i="68"/>
  <c r="N46" i="68"/>
  <c r="Q46" i="68" s="1"/>
  <c r="O23" i="67"/>
  <c r="X68" i="31"/>
  <c r="AA68" i="31" s="1"/>
  <c r="AC68" i="31" s="1"/>
  <c r="AP68" i="31" s="1"/>
  <c r="X61" i="31"/>
  <c r="Z61" i="31" s="1"/>
  <c r="AB61" i="31" s="1"/>
  <c r="AO61" i="31" s="1"/>
  <c r="X63" i="31"/>
  <c r="Z63" i="31" s="1"/>
  <c r="AB63" i="31" s="1"/>
  <c r="AO63" i="31" s="1"/>
  <c r="O36" i="67"/>
  <c r="O39" i="68"/>
  <c r="N8" i="67"/>
  <c r="Q8" i="67" s="1"/>
  <c r="O26" i="68"/>
  <c r="X78" i="31"/>
  <c r="AA78" i="31" s="1"/>
  <c r="AC78" i="31" s="1"/>
  <c r="AP78" i="31" s="1"/>
  <c r="X71" i="31"/>
  <c r="Z71" i="31" s="1"/>
  <c r="AB71" i="31" s="1"/>
  <c r="AO71" i="31" s="1"/>
  <c r="X86" i="31"/>
  <c r="Z86" i="31" s="1"/>
  <c r="AB86" i="31" s="1"/>
  <c r="AO86" i="31" s="1"/>
  <c r="N17" i="68"/>
  <c r="N13" i="68"/>
  <c r="O12" i="67"/>
  <c r="N27" i="67"/>
  <c r="N20" i="68"/>
  <c r="N14" i="67"/>
  <c r="O15" i="67"/>
  <c r="A18" i="31"/>
  <c r="N6" i="68"/>
  <c r="O28" i="67"/>
  <c r="X81" i="31"/>
  <c r="Z81" i="31" s="1"/>
  <c r="AB81" i="31" s="1"/>
  <c r="AO81" i="31" s="1"/>
  <c r="N47" i="68"/>
  <c r="O14" i="67"/>
  <c r="N36" i="68"/>
  <c r="N11" i="68"/>
  <c r="N24" i="67"/>
  <c r="N32" i="68"/>
  <c r="N9" i="67"/>
  <c r="O19" i="67"/>
  <c r="O17" i="67"/>
  <c r="O26" i="67"/>
  <c r="X89" i="31"/>
  <c r="Z89" i="31" s="1"/>
  <c r="AB89" i="31" s="1"/>
  <c r="AO89" i="31" s="1"/>
  <c r="X66" i="31"/>
  <c r="Z66" i="31" s="1"/>
  <c r="AB66" i="31" s="1"/>
  <c r="AO66" i="31" s="1"/>
  <c r="X84" i="31"/>
  <c r="Z84" i="31" s="1"/>
  <c r="AB84" i="31" s="1"/>
  <c r="AO84" i="31" s="1"/>
  <c r="X74" i="31"/>
  <c r="Z74" i="31" s="1"/>
  <c r="AB74" i="31" s="1"/>
  <c r="AO74" i="31" s="1"/>
  <c r="O8" i="67"/>
  <c r="X69" i="31"/>
  <c r="Z69" i="31" s="1"/>
  <c r="AB69" i="31" s="1"/>
  <c r="AO69" i="31" s="1"/>
  <c r="N23" i="67"/>
  <c r="N25" i="68"/>
  <c r="N18" i="68"/>
  <c r="O24" i="67"/>
  <c r="N35" i="68"/>
  <c r="N45" i="68"/>
  <c r="N28" i="67"/>
  <c r="O13" i="67"/>
  <c r="X77" i="31"/>
  <c r="Z77" i="31" s="1"/>
  <c r="AB77" i="31" s="1"/>
  <c r="AO77" i="31" s="1"/>
  <c r="X72" i="31"/>
  <c r="Z72" i="31" s="1"/>
  <c r="AB72" i="31" s="1"/>
  <c r="AO72" i="31" s="1"/>
  <c r="X62" i="31"/>
  <c r="AA62" i="31" s="1"/>
  <c r="AC62" i="31" s="1"/>
  <c r="AP62" i="31" s="1"/>
  <c r="N13" i="67"/>
  <c r="Q13" i="67" s="1"/>
  <c r="N15" i="67"/>
  <c r="N40" i="68"/>
  <c r="O40" i="68"/>
  <c r="O37" i="68"/>
  <c r="N39" i="68"/>
  <c r="O32" i="67"/>
  <c r="N17" i="67"/>
  <c r="X79" i="31"/>
  <c r="AA79" i="31" s="1"/>
  <c r="AC79" i="31" s="1"/>
  <c r="AP79" i="31" s="1"/>
  <c r="O33" i="67"/>
  <c r="O42" i="68"/>
  <c r="O31" i="67"/>
  <c r="N26" i="68"/>
  <c r="N26" i="67"/>
  <c r="X65" i="31"/>
  <c r="Z65" i="31" s="1"/>
  <c r="AB65" i="31" s="1"/>
  <c r="AO65" i="31" s="1"/>
  <c r="X82" i="31"/>
  <c r="Z82" i="31" s="1"/>
  <c r="AB82" i="31" s="1"/>
  <c r="AO82" i="31" s="1"/>
  <c r="X60" i="31"/>
  <c r="Z60" i="31" s="1"/>
  <c r="AB60" i="31" s="1"/>
  <c r="AO60" i="31" s="1"/>
  <c r="X64" i="31"/>
  <c r="Z64" i="31" s="1"/>
  <c r="AB64" i="31" s="1"/>
  <c r="AO64" i="31" s="1"/>
  <c r="N6" i="67"/>
  <c r="N35" i="67"/>
  <c r="N30" i="67"/>
  <c r="N16" i="67"/>
  <c r="N37" i="68"/>
  <c r="O30" i="67"/>
  <c r="O9" i="67"/>
  <c r="N30" i="68"/>
  <c r="N9" i="68"/>
  <c r="X67" i="31"/>
  <c r="AA67" i="31" s="1"/>
  <c r="AC67" i="31" s="1"/>
  <c r="AP67" i="31" s="1"/>
  <c r="X85" i="31"/>
  <c r="Z85" i="31" s="1"/>
  <c r="AB85" i="31" s="1"/>
  <c r="AO85" i="31" s="1"/>
  <c r="X87" i="31"/>
  <c r="Z87" i="31" s="1"/>
  <c r="AB87" i="31" s="1"/>
  <c r="AO87" i="31" s="1"/>
  <c r="AL78" i="29"/>
  <c r="AJ66" i="29"/>
  <c r="K36" i="68"/>
  <c r="O36" i="68"/>
  <c r="AN64" i="29"/>
  <c r="AL65" i="29"/>
  <c r="AJ80" i="29"/>
  <c r="AN80" i="29"/>
  <c r="AJ79" i="29"/>
  <c r="AJ47" i="28"/>
  <c r="AN45" i="28"/>
  <c r="Z29" i="28"/>
  <c r="AB29" i="28" s="1"/>
  <c r="AO29" i="28" s="1"/>
  <c r="O35" i="68"/>
  <c r="Z7" i="27"/>
  <c r="AB7" i="27" s="1"/>
  <c r="AO7" i="27" s="1"/>
  <c r="AA7" i="27"/>
  <c r="AC7" i="27" s="1"/>
  <c r="AP7" i="27" s="1"/>
  <c r="O33" i="68"/>
  <c r="A16" i="27"/>
  <c r="S33" i="68"/>
  <c r="AJ14" i="27"/>
  <c r="AA16" i="26"/>
  <c r="AC16" i="26" s="1"/>
  <c r="AP16" i="26" s="1"/>
  <c r="Z16" i="26"/>
  <c r="AB16" i="26" s="1"/>
  <c r="AO16" i="26" s="1"/>
  <c r="O32" i="68"/>
  <c r="A16" i="26"/>
  <c r="AN28" i="24"/>
  <c r="AJ20" i="24"/>
  <c r="S30" i="68"/>
  <c r="O30" i="68"/>
  <c r="T30" i="68"/>
  <c r="E27" i="2" s="1"/>
  <c r="AN17" i="24"/>
  <c r="K30" i="68"/>
  <c r="O29" i="68"/>
  <c r="K27" i="68"/>
  <c r="O27" i="68"/>
  <c r="AJ58" i="22"/>
  <c r="AJ60" i="22"/>
  <c r="Z109" i="22"/>
  <c r="AB109" i="22" s="1"/>
  <c r="AO109" i="22" s="1"/>
  <c r="AA109" i="22"/>
  <c r="AC109" i="22" s="1"/>
  <c r="AP109" i="22" s="1"/>
  <c r="Z100" i="22"/>
  <c r="AB100" i="22" s="1"/>
  <c r="AO100" i="22" s="1"/>
  <c r="AA100" i="22"/>
  <c r="AC100" i="22" s="1"/>
  <c r="AP100" i="22" s="1"/>
  <c r="AA97" i="22"/>
  <c r="AC97" i="22" s="1"/>
  <c r="AP97" i="22" s="1"/>
  <c r="Z97" i="22"/>
  <c r="AB97" i="22" s="1"/>
  <c r="AO97" i="22" s="1"/>
  <c r="Z101" i="22"/>
  <c r="AB101" i="22" s="1"/>
  <c r="AO101" i="22" s="1"/>
  <c r="AA101" i="22"/>
  <c r="AC101" i="22" s="1"/>
  <c r="AP101" i="22" s="1"/>
  <c r="Z103" i="22"/>
  <c r="AB103" i="22" s="1"/>
  <c r="AO103" i="22" s="1"/>
  <c r="AA103" i="22"/>
  <c r="AC103" i="22" s="1"/>
  <c r="AP103" i="22" s="1"/>
  <c r="Z89" i="22"/>
  <c r="AB89" i="22" s="1"/>
  <c r="AO89" i="22" s="1"/>
  <c r="AA89" i="22"/>
  <c r="AC89" i="22" s="1"/>
  <c r="AP89" i="22" s="1"/>
  <c r="Z106" i="22"/>
  <c r="AB106" i="22" s="1"/>
  <c r="AO106" i="22" s="1"/>
  <c r="AA106" i="22"/>
  <c r="AC106" i="22" s="1"/>
  <c r="AP106" i="22" s="1"/>
  <c r="Z91" i="22"/>
  <c r="AB91" i="22" s="1"/>
  <c r="AO91" i="22" s="1"/>
  <c r="AA91" i="22"/>
  <c r="AC91" i="22" s="1"/>
  <c r="AP91" i="22" s="1"/>
  <c r="Z95" i="22"/>
  <c r="AB95" i="22" s="1"/>
  <c r="AO95" i="22" s="1"/>
  <c r="AA95" i="22"/>
  <c r="AC95" i="22" s="1"/>
  <c r="AP95" i="22" s="1"/>
  <c r="Z98" i="22"/>
  <c r="AB98" i="22" s="1"/>
  <c r="AO98" i="22" s="1"/>
  <c r="AA98" i="22"/>
  <c r="AC98" i="22" s="1"/>
  <c r="AP98" i="22" s="1"/>
  <c r="Z107" i="22"/>
  <c r="AB107" i="22" s="1"/>
  <c r="AO107" i="22" s="1"/>
  <c r="AA107" i="22"/>
  <c r="AC107" i="22" s="1"/>
  <c r="AP107" i="22" s="1"/>
  <c r="Z93" i="22"/>
  <c r="AB93" i="22" s="1"/>
  <c r="AO93" i="22" s="1"/>
  <c r="AA93" i="22"/>
  <c r="AC93" i="22" s="1"/>
  <c r="AP93" i="22" s="1"/>
  <c r="Z110" i="22"/>
  <c r="AB110" i="22" s="1"/>
  <c r="AO110" i="22" s="1"/>
  <c r="AA110" i="22"/>
  <c r="AC110" i="22" s="1"/>
  <c r="AP110" i="22" s="1"/>
  <c r="Z99" i="22"/>
  <c r="AB99" i="22" s="1"/>
  <c r="AO99" i="22" s="1"/>
  <c r="AA99" i="22"/>
  <c r="AC99" i="22" s="1"/>
  <c r="AP99" i="22" s="1"/>
  <c r="Z102" i="22"/>
  <c r="AB102" i="22" s="1"/>
  <c r="AO102" i="22" s="1"/>
  <c r="AA102" i="22"/>
  <c r="AC102" i="22" s="1"/>
  <c r="AP102" i="22" s="1"/>
  <c r="AA96" i="22"/>
  <c r="AC96" i="22" s="1"/>
  <c r="AP96" i="22" s="1"/>
  <c r="Z96" i="22"/>
  <c r="AB96" i="22" s="1"/>
  <c r="AO96" i="22" s="1"/>
  <c r="Z108" i="22"/>
  <c r="AB108" i="22" s="1"/>
  <c r="AO108" i="22" s="1"/>
  <c r="AA108" i="22"/>
  <c r="AC108" i="22" s="1"/>
  <c r="AP108" i="22" s="1"/>
  <c r="Z92" i="22"/>
  <c r="AB92" i="22" s="1"/>
  <c r="AO92" i="22" s="1"/>
  <c r="AA92" i="22"/>
  <c r="AC92" i="22" s="1"/>
  <c r="AP92" i="22" s="1"/>
  <c r="Z94" i="22"/>
  <c r="AB94" i="22" s="1"/>
  <c r="AO94" i="22" s="1"/>
  <c r="AA94" i="22"/>
  <c r="AC94" i="22" s="1"/>
  <c r="AP94" i="22" s="1"/>
  <c r="Z90" i="22"/>
  <c r="AB90" i="22" s="1"/>
  <c r="AO90" i="22" s="1"/>
  <c r="AA90" i="22"/>
  <c r="AC90" i="22" s="1"/>
  <c r="AP90" i="22" s="1"/>
  <c r="AN65" i="22"/>
  <c r="AN59" i="22"/>
  <c r="AJ65" i="22"/>
  <c r="AL57" i="22"/>
  <c r="K25" i="68"/>
  <c r="AJ67" i="22"/>
  <c r="O25" i="68"/>
  <c r="S25" i="68"/>
  <c r="A16" i="21"/>
  <c r="S21" i="68"/>
  <c r="O21" i="68"/>
  <c r="AN11" i="21"/>
  <c r="AN67" i="20"/>
  <c r="AN77" i="20"/>
  <c r="AJ76" i="20"/>
  <c r="AN72" i="20"/>
  <c r="S20" i="68"/>
  <c r="AN80" i="20"/>
  <c r="AL72" i="20"/>
  <c r="K20" i="68"/>
  <c r="O20" i="68"/>
  <c r="A16" i="19"/>
  <c r="O19" i="68"/>
  <c r="K19" i="68"/>
  <c r="AA11" i="18"/>
  <c r="AC11" i="18" s="1"/>
  <c r="Z11" i="18"/>
  <c r="AB11" i="18" s="1"/>
  <c r="AO11" i="18" s="1"/>
  <c r="O18" i="68"/>
  <c r="K18" i="68"/>
  <c r="AN11" i="18"/>
  <c r="Z8" i="74"/>
  <c r="AB8" i="74" s="1"/>
  <c r="AO8" i="74" s="1"/>
  <c r="AA8" i="74"/>
  <c r="AC8" i="74" s="1"/>
  <c r="AP8" i="74" s="1"/>
  <c r="O17" i="68"/>
  <c r="F17" i="68"/>
  <c r="O15" i="68"/>
  <c r="AN6" i="16"/>
  <c r="K15" i="68"/>
  <c r="Z484" i="15"/>
  <c r="AB484" i="15" s="1"/>
  <c r="AO484" i="15" s="1"/>
  <c r="AA484" i="15"/>
  <c r="AC484" i="15" s="1"/>
  <c r="AP484" i="15" s="1"/>
  <c r="AN182" i="15"/>
  <c r="AJ137" i="15"/>
  <c r="AJ167" i="15"/>
  <c r="AN158" i="15"/>
  <c r="AJ179" i="15"/>
  <c r="AN157" i="15"/>
  <c r="AN169" i="15"/>
  <c r="AN152" i="15"/>
  <c r="AN160" i="15"/>
  <c r="AN138" i="15"/>
  <c r="AN212" i="15"/>
  <c r="AN122" i="15"/>
  <c r="O14" i="68"/>
  <c r="AN140" i="15"/>
  <c r="K14" i="68"/>
  <c r="AJ230" i="15"/>
  <c r="AN153" i="15"/>
  <c r="AL233" i="15"/>
  <c r="AN187" i="15"/>
  <c r="AJ195" i="15"/>
  <c r="AJ231" i="15"/>
  <c r="AN135" i="15"/>
  <c r="AL128" i="15"/>
  <c r="AN209" i="15"/>
  <c r="O13" i="68"/>
  <c r="AJ19" i="14"/>
  <c r="K13" i="68"/>
  <c r="T13" i="68"/>
  <c r="E14" i="2" s="1"/>
  <c r="AL16" i="13"/>
  <c r="AJ18" i="13"/>
  <c r="S12" i="68"/>
  <c r="K12" i="68"/>
  <c r="O12" i="68"/>
  <c r="K11" i="68"/>
  <c r="AJ30" i="12"/>
  <c r="AJ44" i="12"/>
  <c r="AN29" i="12"/>
  <c r="S11" i="68"/>
  <c r="AN34" i="12"/>
  <c r="O11" i="68"/>
  <c r="AJ40" i="12"/>
  <c r="AN18" i="6"/>
  <c r="K10" i="68"/>
  <c r="O10" i="68"/>
  <c r="S10" i="68"/>
  <c r="AN13" i="6"/>
  <c r="AJ14" i="6"/>
  <c r="AN40" i="5"/>
  <c r="AJ45" i="5"/>
  <c r="AJ46" i="5"/>
  <c r="K9" i="68"/>
  <c r="O9" i="68"/>
  <c r="AN22" i="3"/>
  <c r="AN16" i="3"/>
  <c r="O8" i="68"/>
  <c r="K8" i="68"/>
  <c r="Z194" i="65"/>
  <c r="AB194" i="65" s="1"/>
  <c r="AO194" i="65" s="1"/>
  <c r="K6" i="68"/>
  <c r="O6" i="68"/>
  <c r="A16" i="34"/>
  <c r="AL222" i="65"/>
  <c r="AL207" i="65"/>
  <c r="AL187" i="65"/>
  <c r="AJ202" i="65"/>
  <c r="T6" i="68"/>
  <c r="AJ194" i="65"/>
  <c r="Z98" i="66"/>
  <c r="AB98" i="66" s="1"/>
  <c r="AO98" i="66" s="1"/>
  <c r="AA98" i="66"/>
  <c r="AC98" i="66" s="1"/>
  <c r="AP98" i="66" s="1"/>
  <c r="Z147" i="66"/>
  <c r="AB147" i="66" s="1"/>
  <c r="AO147" i="66" s="1"/>
  <c r="AA147" i="66"/>
  <c r="AC147" i="66" s="1"/>
  <c r="AP147" i="66" s="1"/>
  <c r="Z125" i="66"/>
  <c r="AB125" i="66" s="1"/>
  <c r="AO125" i="66" s="1"/>
  <c r="AA125" i="66"/>
  <c r="AC125" i="66" s="1"/>
  <c r="AP125" i="66" s="1"/>
  <c r="AA143" i="66"/>
  <c r="AC143" i="66" s="1"/>
  <c r="AP143" i="66" s="1"/>
  <c r="Z143" i="66"/>
  <c r="AB143" i="66" s="1"/>
  <c r="AO143" i="66" s="1"/>
  <c r="AA107" i="66"/>
  <c r="AC107" i="66" s="1"/>
  <c r="AP107" i="66" s="1"/>
  <c r="Z107" i="66"/>
  <c r="AB107" i="66" s="1"/>
  <c r="AO107" i="66" s="1"/>
  <c r="Z121" i="66"/>
  <c r="AB121" i="66" s="1"/>
  <c r="AO121" i="66" s="1"/>
  <c r="AA121" i="66"/>
  <c r="AC121" i="66" s="1"/>
  <c r="AP121" i="66" s="1"/>
  <c r="Z74" i="66"/>
  <c r="AB74" i="66" s="1"/>
  <c r="AO74" i="66" s="1"/>
  <c r="AA74" i="66"/>
  <c r="AC74" i="66" s="1"/>
  <c r="AP74" i="66" s="1"/>
  <c r="Z55" i="66"/>
  <c r="AB55" i="66" s="1"/>
  <c r="AO55" i="66" s="1"/>
  <c r="AA55" i="66"/>
  <c r="AC55" i="66" s="1"/>
  <c r="AP55" i="66" s="1"/>
  <c r="Z156" i="66"/>
  <c r="AB156" i="66" s="1"/>
  <c r="AO156" i="66" s="1"/>
  <c r="AA156" i="66"/>
  <c r="AC156" i="66" s="1"/>
  <c r="AP156" i="66" s="1"/>
  <c r="Z146" i="66"/>
  <c r="AB146" i="66" s="1"/>
  <c r="AO146" i="66" s="1"/>
  <c r="AA146" i="66"/>
  <c r="AC146" i="66" s="1"/>
  <c r="AP146" i="66" s="1"/>
  <c r="Z150" i="66"/>
  <c r="AB150" i="66" s="1"/>
  <c r="AO150" i="66" s="1"/>
  <c r="AA150" i="66"/>
  <c r="AC150" i="66" s="1"/>
  <c r="AP150" i="66" s="1"/>
  <c r="Z83" i="66"/>
  <c r="AB83" i="66" s="1"/>
  <c r="AO83" i="66" s="1"/>
  <c r="AA83" i="66"/>
  <c r="AC83" i="66" s="1"/>
  <c r="AP83" i="66" s="1"/>
  <c r="Z112" i="66"/>
  <c r="AB112" i="66" s="1"/>
  <c r="AO112" i="66" s="1"/>
  <c r="AA112" i="66"/>
  <c r="AC112" i="66" s="1"/>
  <c r="AP112" i="66" s="1"/>
  <c r="AA139" i="66"/>
  <c r="AC139" i="66" s="1"/>
  <c r="AP139" i="66" s="1"/>
  <c r="Z139" i="66"/>
  <c r="AB139" i="66" s="1"/>
  <c r="AO139" i="66" s="1"/>
  <c r="Z58" i="66"/>
  <c r="AB58" i="66" s="1"/>
  <c r="AO58" i="66" s="1"/>
  <c r="AA58" i="66"/>
  <c r="AC58" i="66" s="1"/>
  <c r="AP58" i="66" s="1"/>
  <c r="AA73" i="66"/>
  <c r="AC73" i="66" s="1"/>
  <c r="AP73" i="66" s="1"/>
  <c r="Z73" i="66"/>
  <c r="AB73" i="66" s="1"/>
  <c r="AO73" i="66" s="1"/>
  <c r="AA87" i="66"/>
  <c r="AC87" i="66" s="1"/>
  <c r="AP87" i="66" s="1"/>
  <c r="Z87" i="66"/>
  <c r="AB87" i="66" s="1"/>
  <c r="AO87" i="66" s="1"/>
  <c r="Z52" i="66"/>
  <c r="AB52" i="66" s="1"/>
  <c r="AO52" i="66" s="1"/>
  <c r="AA52" i="66"/>
  <c r="AC52" i="66" s="1"/>
  <c r="AP52" i="66" s="1"/>
  <c r="Z66" i="66"/>
  <c r="AB66" i="66" s="1"/>
  <c r="AO66" i="66" s="1"/>
  <c r="AA66" i="66"/>
  <c r="AC66" i="66" s="1"/>
  <c r="AP66" i="66" s="1"/>
  <c r="AA93" i="66"/>
  <c r="AC93" i="66" s="1"/>
  <c r="AP93" i="66" s="1"/>
  <c r="Z93" i="66"/>
  <c r="AB93" i="66" s="1"/>
  <c r="AO93" i="66" s="1"/>
  <c r="Z162" i="66"/>
  <c r="AB162" i="66" s="1"/>
  <c r="AO162" i="66" s="1"/>
  <c r="AA162" i="66"/>
  <c r="AC162" i="66" s="1"/>
  <c r="AP162" i="66" s="1"/>
  <c r="Z152" i="66"/>
  <c r="AB152" i="66" s="1"/>
  <c r="AO152" i="66" s="1"/>
  <c r="AA152" i="66"/>
  <c r="AC152" i="66" s="1"/>
  <c r="AP152" i="66" s="1"/>
  <c r="Z109" i="66"/>
  <c r="AB109" i="66" s="1"/>
  <c r="AO109" i="66" s="1"/>
  <c r="AA109" i="66"/>
  <c r="AC109" i="66" s="1"/>
  <c r="AP109" i="66" s="1"/>
  <c r="Z59" i="66"/>
  <c r="AB59" i="66" s="1"/>
  <c r="AO59" i="66" s="1"/>
  <c r="AA59" i="66"/>
  <c r="AC59" i="66" s="1"/>
  <c r="AP59" i="66" s="1"/>
  <c r="Z43" i="66"/>
  <c r="AB43" i="66" s="1"/>
  <c r="AO43" i="66" s="1"/>
  <c r="AA43" i="66"/>
  <c r="AC43" i="66" s="1"/>
  <c r="AP43" i="66" s="1"/>
  <c r="Z144" i="66"/>
  <c r="AB144" i="66" s="1"/>
  <c r="AO144" i="66" s="1"/>
  <c r="AA144" i="66"/>
  <c r="AC144" i="66" s="1"/>
  <c r="AP144" i="66" s="1"/>
  <c r="AA134" i="66"/>
  <c r="AC134" i="66" s="1"/>
  <c r="AP134" i="66" s="1"/>
  <c r="Z134" i="66"/>
  <c r="AB134" i="66" s="1"/>
  <c r="AO134" i="66" s="1"/>
  <c r="Z140" i="66"/>
  <c r="AB140" i="66" s="1"/>
  <c r="AO140" i="66" s="1"/>
  <c r="AA140" i="66"/>
  <c r="AC140" i="66" s="1"/>
  <c r="AP140" i="66" s="1"/>
  <c r="Z106" i="66"/>
  <c r="AB106" i="66" s="1"/>
  <c r="AO106" i="66" s="1"/>
  <c r="AA106" i="66"/>
  <c r="AC106" i="66" s="1"/>
  <c r="AP106" i="66" s="1"/>
  <c r="AA123" i="66"/>
  <c r="AC123" i="66" s="1"/>
  <c r="AP123" i="66" s="1"/>
  <c r="Z123" i="66"/>
  <c r="AB123" i="66" s="1"/>
  <c r="AO123" i="66" s="1"/>
  <c r="Z100" i="66"/>
  <c r="AB100" i="66" s="1"/>
  <c r="AO100" i="66" s="1"/>
  <c r="AA100" i="66"/>
  <c r="AC100" i="66" s="1"/>
  <c r="AP100" i="66" s="1"/>
  <c r="Z138" i="66"/>
  <c r="AB138" i="66" s="1"/>
  <c r="AO138" i="66" s="1"/>
  <c r="AA138" i="66"/>
  <c r="AC138" i="66" s="1"/>
  <c r="AP138" i="66" s="1"/>
  <c r="Z127" i="66"/>
  <c r="AB127" i="66" s="1"/>
  <c r="AO127" i="66" s="1"/>
  <c r="AA127" i="66"/>
  <c r="AC127" i="66" s="1"/>
  <c r="AP127" i="66" s="1"/>
  <c r="Z46" i="66"/>
  <c r="AB46" i="66" s="1"/>
  <c r="AO46" i="66" s="1"/>
  <c r="AA46" i="66"/>
  <c r="AC46" i="66" s="1"/>
  <c r="AP46" i="66" s="1"/>
  <c r="AA61" i="66"/>
  <c r="AC61" i="66" s="1"/>
  <c r="AP61" i="66" s="1"/>
  <c r="Z61" i="66"/>
  <c r="AB61" i="66" s="1"/>
  <c r="AO61" i="66" s="1"/>
  <c r="Z75" i="66"/>
  <c r="AB75" i="66" s="1"/>
  <c r="AO75" i="66" s="1"/>
  <c r="AA75" i="66"/>
  <c r="AC75" i="66" s="1"/>
  <c r="AP75" i="66" s="1"/>
  <c r="Z54" i="66"/>
  <c r="AB54" i="66" s="1"/>
  <c r="AO54" i="66" s="1"/>
  <c r="AA54" i="66"/>
  <c r="AC54" i="66" s="1"/>
  <c r="AP54" i="66" s="1"/>
  <c r="Z92" i="66"/>
  <c r="AB92" i="66" s="1"/>
  <c r="AO92" i="66" s="1"/>
  <c r="AA92" i="66"/>
  <c r="AC92" i="66" s="1"/>
  <c r="AP92" i="66" s="1"/>
  <c r="Z81" i="66"/>
  <c r="AB81" i="66" s="1"/>
  <c r="AO81" i="66" s="1"/>
  <c r="AA81" i="66"/>
  <c r="AC81" i="66" s="1"/>
  <c r="AP81" i="66" s="1"/>
  <c r="AA132" i="66"/>
  <c r="AC132" i="66" s="1"/>
  <c r="AP132" i="66" s="1"/>
  <c r="Z132" i="66"/>
  <c r="AB132" i="66" s="1"/>
  <c r="AO132" i="66" s="1"/>
  <c r="AA137" i="66"/>
  <c r="AC137" i="66" s="1"/>
  <c r="AP137" i="66" s="1"/>
  <c r="Z137" i="66"/>
  <c r="AB137" i="66" s="1"/>
  <c r="AO137" i="66" s="1"/>
  <c r="Z161" i="66"/>
  <c r="AB161" i="66" s="1"/>
  <c r="AO161" i="66" s="1"/>
  <c r="AA161" i="66"/>
  <c r="AC161" i="66" s="1"/>
  <c r="AP161" i="66" s="1"/>
  <c r="Z135" i="66"/>
  <c r="AB135" i="66" s="1"/>
  <c r="AO135" i="66" s="1"/>
  <c r="AA135" i="66"/>
  <c r="AC135" i="66" s="1"/>
  <c r="AP135" i="66" s="1"/>
  <c r="AA128" i="66"/>
  <c r="AC128" i="66" s="1"/>
  <c r="AP128" i="66" s="1"/>
  <c r="Z128" i="66"/>
  <c r="AB128" i="66" s="1"/>
  <c r="AO128" i="66" s="1"/>
  <c r="Z99" i="66"/>
  <c r="AB99" i="66" s="1"/>
  <c r="AO99" i="66" s="1"/>
  <c r="AA99" i="66"/>
  <c r="AC99" i="66" s="1"/>
  <c r="AP99" i="66" s="1"/>
  <c r="Z94" i="66"/>
  <c r="AB94" i="66" s="1"/>
  <c r="AO94" i="66" s="1"/>
  <c r="AA94" i="66"/>
  <c r="AC94" i="66" s="1"/>
  <c r="AP94" i="66" s="1"/>
  <c r="AA77" i="66"/>
  <c r="AC77" i="66" s="1"/>
  <c r="AP77" i="66" s="1"/>
  <c r="Z77" i="66"/>
  <c r="AB77" i="66" s="1"/>
  <c r="AO77" i="66" s="1"/>
  <c r="Z158" i="66"/>
  <c r="AB158" i="66" s="1"/>
  <c r="AO158" i="66" s="1"/>
  <c r="AA158" i="66"/>
  <c r="AC158" i="66" s="1"/>
  <c r="AP158" i="66" s="1"/>
  <c r="Z118" i="66"/>
  <c r="AB118" i="66" s="1"/>
  <c r="AO118" i="66" s="1"/>
  <c r="AA118" i="66"/>
  <c r="AC118" i="66" s="1"/>
  <c r="AP118" i="66" s="1"/>
  <c r="Z71" i="66"/>
  <c r="AB71" i="66" s="1"/>
  <c r="AO71" i="66" s="1"/>
  <c r="AA71" i="66"/>
  <c r="AC71" i="66" s="1"/>
  <c r="AP71" i="66" s="1"/>
  <c r="AA108" i="66"/>
  <c r="AC108" i="66" s="1"/>
  <c r="AP108" i="66" s="1"/>
  <c r="Z108" i="66"/>
  <c r="AB108" i="66" s="1"/>
  <c r="AO108" i="66" s="1"/>
  <c r="Z96" i="66"/>
  <c r="AB96" i="66" s="1"/>
  <c r="AO96" i="66" s="1"/>
  <c r="AA96" i="66"/>
  <c r="AC96" i="66" s="1"/>
  <c r="AP96" i="66" s="1"/>
  <c r="AA111" i="66"/>
  <c r="AC111" i="66" s="1"/>
  <c r="AP111" i="66" s="1"/>
  <c r="Z111" i="66"/>
  <c r="AB111" i="66" s="1"/>
  <c r="AO111" i="66" s="1"/>
  <c r="Z126" i="66"/>
  <c r="AB126" i="66" s="1"/>
  <c r="AO126" i="66" s="1"/>
  <c r="AA126" i="66"/>
  <c r="AC126" i="66" s="1"/>
  <c r="AP126" i="66" s="1"/>
  <c r="Z115" i="66"/>
  <c r="AB115" i="66" s="1"/>
  <c r="AO115" i="66" s="1"/>
  <c r="AA115" i="66"/>
  <c r="AC115" i="66" s="1"/>
  <c r="AP115" i="66" s="1"/>
  <c r="Z72" i="66"/>
  <c r="AB72" i="66" s="1"/>
  <c r="AO72" i="66" s="1"/>
  <c r="AA72" i="66"/>
  <c r="AC72" i="66" s="1"/>
  <c r="AP72" i="66" s="1"/>
  <c r="AA49" i="66"/>
  <c r="AC49" i="66" s="1"/>
  <c r="AP49" i="66" s="1"/>
  <c r="Z49" i="66"/>
  <c r="AB49" i="66" s="1"/>
  <c r="AO49" i="66" s="1"/>
  <c r="Z63" i="66"/>
  <c r="AB63" i="66" s="1"/>
  <c r="AO63" i="66" s="1"/>
  <c r="AA63" i="66"/>
  <c r="AC63" i="66" s="1"/>
  <c r="AP63" i="66" s="1"/>
  <c r="Z42" i="66"/>
  <c r="AB42" i="66" s="1"/>
  <c r="AO42" i="66" s="1"/>
  <c r="AA42" i="66"/>
  <c r="AC42" i="66" s="1"/>
  <c r="AP42" i="66" s="1"/>
  <c r="Z80" i="66"/>
  <c r="AB80" i="66" s="1"/>
  <c r="AO80" i="66" s="1"/>
  <c r="AA80" i="66"/>
  <c r="AC80" i="66" s="1"/>
  <c r="AP80" i="66" s="1"/>
  <c r="Z69" i="66"/>
  <c r="AB69" i="66" s="1"/>
  <c r="AO69" i="66" s="1"/>
  <c r="AA69" i="66"/>
  <c r="AC69" i="66" s="1"/>
  <c r="AP69" i="66" s="1"/>
  <c r="Z129" i="66"/>
  <c r="AB129" i="66" s="1"/>
  <c r="AO129" i="66" s="1"/>
  <c r="AA129" i="66"/>
  <c r="AC129" i="66" s="1"/>
  <c r="AP129" i="66" s="1"/>
  <c r="AA120" i="66"/>
  <c r="AC120" i="66" s="1"/>
  <c r="AP120" i="66" s="1"/>
  <c r="Z120" i="66"/>
  <c r="AB120" i="66" s="1"/>
  <c r="AO120" i="66" s="1"/>
  <c r="Z160" i="66"/>
  <c r="AB160" i="66" s="1"/>
  <c r="AO160" i="66" s="1"/>
  <c r="AA160" i="66"/>
  <c r="AC160" i="66" s="1"/>
  <c r="AP160" i="66" s="1"/>
  <c r="Z149" i="66"/>
  <c r="AB149" i="66" s="1"/>
  <c r="AO149" i="66" s="1"/>
  <c r="AA149" i="66"/>
  <c r="AC149" i="66" s="1"/>
  <c r="AP149" i="66" s="1"/>
  <c r="Z105" i="66"/>
  <c r="AB105" i="66" s="1"/>
  <c r="AO105" i="66" s="1"/>
  <c r="AA105" i="66"/>
  <c r="AC105" i="66" s="1"/>
  <c r="AP105" i="66" s="1"/>
  <c r="Z116" i="66"/>
  <c r="AB116" i="66" s="1"/>
  <c r="AO116" i="66" s="1"/>
  <c r="AA116" i="66"/>
  <c r="AC116" i="66" s="1"/>
  <c r="AP116" i="66" s="1"/>
  <c r="Z84" i="66"/>
  <c r="AB84" i="66" s="1"/>
  <c r="AO84" i="66" s="1"/>
  <c r="AA84" i="66"/>
  <c r="AC84" i="66" s="1"/>
  <c r="AP84" i="66" s="1"/>
  <c r="Z113" i="66"/>
  <c r="AB113" i="66" s="1"/>
  <c r="AO113" i="66" s="1"/>
  <c r="AA113" i="66"/>
  <c r="AC113" i="66" s="1"/>
  <c r="AP113" i="66" s="1"/>
  <c r="Z65" i="66"/>
  <c r="AB65" i="66" s="1"/>
  <c r="AO65" i="66" s="1"/>
  <c r="AA65" i="66"/>
  <c r="AC65" i="66" s="1"/>
  <c r="AP65" i="66" s="1"/>
  <c r="AA91" i="66"/>
  <c r="AC91" i="66" s="1"/>
  <c r="AP91" i="66" s="1"/>
  <c r="Z91" i="66"/>
  <c r="AB91" i="66" s="1"/>
  <c r="AO91" i="66" s="1"/>
  <c r="AA157" i="66"/>
  <c r="AC157" i="66" s="1"/>
  <c r="AP157" i="66" s="1"/>
  <c r="Z157" i="66"/>
  <c r="AB157" i="66" s="1"/>
  <c r="AO157" i="66" s="1"/>
  <c r="Z130" i="66"/>
  <c r="AB130" i="66" s="1"/>
  <c r="AO130" i="66" s="1"/>
  <c r="AA130" i="66"/>
  <c r="AC130" i="66" s="1"/>
  <c r="AP130" i="66" s="1"/>
  <c r="Z163" i="66"/>
  <c r="AB163" i="66" s="1"/>
  <c r="AO163" i="66" s="1"/>
  <c r="AA163" i="66"/>
  <c r="AC163" i="66" s="1"/>
  <c r="AP163" i="66" s="1"/>
  <c r="AA86" i="66"/>
  <c r="AC86" i="66" s="1"/>
  <c r="AP86" i="66" s="1"/>
  <c r="Z86" i="66"/>
  <c r="AB86" i="66" s="1"/>
  <c r="AO86" i="66" s="1"/>
  <c r="Z122" i="66"/>
  <c r="AB122" i="66" s="1"/>
  <c r="AO122" i="66" s="1"/>
  <c r="AA122" i="66"/>
  <c r="AC122" i="66" s="1"/>
  <c r="AP122" i="66" s="1"/>
  <c r="Z114" i="66"/>
  <c r="AB114" i="66" s="1"/>
  <c r="AO114" i="66" s="1"/>
  <c r="AA114" i="66"/>
  <c r="AC114" i="66" s="1"/>
  <c r="AP114" i="66" s="1"/>
  <c r="Z103" i="66"/>
  <c r="AB103" i="66" s="1"/>
  <c r="AO103" i="66" s="1"/>
  <c r="AA103" i="66"/>
  <c r="AC103" i="66" s="1"/>
  <c r="AP103" i="66" s="1"/>
  <c r="Z60" i="66"/>
  <c r="AB60" i="66" s="1"/>
  <c r="AO60" i="66" s="1"/>
  <c r="AA60" i="66"/>
  <c r="AC60" i="66" s="1"/>
  <c r="AP60" i="66" s="1"/>
  <c r="Z51" i="66"/>
  <c r="AB51" i="66" s="1"/>
  <c r="AO51" i="66" s="1"/>
  <c r="AA51" i="66"/>
  <c r="AC51" i="66" s="1"/>
  <c r="AP51" i="66" s="1"/>
  <c r="Z68" i="66"/>
  <c r="AB68" i="66" s="1"/>
  <c r="AO68" i="66" s="1"/>
  <c r="AA68" i="66"/>
  <c r="AC68" i="66" s="1"/>
  <c r="AP68" i="66" s="1"/>
  <c r="Z57" i="66"/>
  <c r="AB57" i="66" s="1"/>
  <c r="AO57" i="66" s="1"/>
  <c r="AA57" i="66"/>
  <c r="AC57" i="66" s="1"/>
  <c r="AP57" i="66" s="1"/>
  <c r="Z154" i="66"/>
  <c r="AB154" i="66" s="1"/>
  <c r="AO154" i="66" s="1"/>
  <c r="AA154" i="66"/>
  <c r="AC154" i="66" s="1"/>
  <c r="AP154" i="66" s="1"/>
  <c r="Z155" i="66"/>
  <c r="AB155" i="66" s="1"/>
  <c r="AO155" i="66" s="1"/>
  <c r="AA155" i="66"/>
  <c r="AC155" i="66" s="1"/>
  <c r="AP155" i="66" s="1"/>
  <c r="Z148" i="66"/>
  <c r="AB148" i="66" s="1"/>
  <c r="AO148" i="66" s="1"/>
  <c r="AA148" i="66"/>
  <c r="AC148" i="66" s="1"/>
  <c r="AP148" i="66" s="1"/>
  <c r="Z142" i="66"/>
  <c r="AB142" i="66" s="1"/>
  <c r="AO142" i="66" s="1"/>
  <c r="AA142" i="66"/>
  <c r="AC142" i="66" s="1"/>
  <c r="AP142" i="66" s="1"/>
  <c r="Z95" i="66"/>
  <c r="AB95" i="66" s="1"/>
  <c r="AO95" i="66" s="1"/>
  <c r="AA95" i="66"/>
  <c r="AC95" i="66" s="1"/>
  <c r="AP95" i="66" s="1"/>
  <c r="Z104" i="66"/>
  <c r="AB104" i="66" s="1"/>
  <c r="AO104" i="66" s="1"/>
  <c r="AA104" i="66"/>
  <c r="AC104" i="66" s="1"/>
  <c r="AP104" i="66" s="1"/>
  <c r="Z47" i="66"/>
  <c r="AB47" i="66" s="1"/>
  <c r="AO47" i="66" s="1"/>
  <c r="AA47" i="66"/>
  <c r="AC47" i="66" s="1"/>
  <c r="AP47" i="66" s="1"/>
  <c r="Z101" i="66"/>
  <c r="AB101" i="66" s="1"/>
  <c r="AO101" i="66" s="1"/>
  <c r="AA101" i="66"/>
  <c r="AC101" i="66" s="1"/>
  <c r="AP101" i="66" s="1"/>
  <c r="AA62" i="66"/>
  <c r="AC62" i="66" s="1"/>
  <c r="AP62" i="66" s="1"/>
  <c r="Z62" i="66"/>
  <c r="AB62" i="66" s="1"/>
  <c r="AO62" i="66" s="1"/>
  <c r="Z53" i="66"/>
  <c r="AB53" i="66" s="1"/>
  <c r="AO53" i="66" s="1"/>
  <c r="AA53" i="66"/>
  <c r="AC53" i="66" s="1"/>
  <c r="AP53" i="66" s="1"/>
  <c r="Z79" i="66"/>
  <c r="AB79" i="66" s="1"/>
  <c r="AO79" i="66" s="1"/>
  <c r="AA79" i="66"/>
  <c r="AC79" i="66" s="1"/>
  <c r="AP79" i="66" s="1"/>
  <c r="AA145" i="66"/>
  <c r="AC145" i="66" s="1"/>
  <c r="AP145" i="66" s="1"/>
  <c r="Z145" i="66"/>
  <c r="AB145" i="66" s="1"/>
  <c r="AO145" i="66" s="1"/>
  <c r="Z136" i="66"/>
  <c r="AB136" i="66" s="1"/>
  <c r="AO136" i="66" s="1"/>
  <c r="AA136" i="66"/>
  <c r="AC136" i="66" s="1"/>
  <c r="AP136" i="66" s="1"/>
  <c r="AA131" i="66"/>
  <c r="AC131" i="66" s="1"/>
  <c r="AP131" i="66" s="1"/>
  <c r="Z131" i="66"/>
  <c r="AB131" i="66" s="1"/>
  <c r="AO131" i="66" s="1"/>
  <c r="Z151" i="66"/>
  <c r="AB151" i="66" s="1"/>
  <c r="AO151" i="66" s="1"/>
  <c r="AA151" i="66"/>
  <c r="AC151" i="66" s="1"/>
  <c r="AP151" i="66" s="1"/>
  <c r="Z110" i="66"/>
  <c r="AB110" i="66" s="1"/>
  <c r="AO110" i="66" s="1"/>
  <c r="AA110" i="66"/>
  <c r="AC110" i="66" s="1"/>
  <c r="AP110" i="66" s="1"/>
  <c r="Z102" i="66"/>
  <c r="AB102" i="66" s="1"/>
  <c r="AO102" i="66" s="1"/>
  <c r="AA102" i="66"/>
  <c r="AC102" i="66" s="1"/>
  <c r="AP102" i="66" s="1"/>
  <c r="Z88" i="66"/>
  <c r="AB88" i="66" s="1"/>
  <c r="AO88" i="66" s="1"/>
  <c r="AA88" i="66"/>
  <c r="AC88" i="66" s="1"/>
  <c r="AP88" i="66" s="1"/>
  <c r="Z48" i="66"/>
  <c r="AB48" i="66" s="1"/>
  <c r="AO48" i="66" s="1"/>
  <c r="AA48" i="66"/>
  <c r="AC48" i="66" s="1"/>
  <c r="AP48" i="66" s="1"/>
  <c r="Z76" i="66"/>
  <c r="AB76" i="66" s="1"/>
  <c r="AO76" i="66" s="1"/>
  <c r="AA76" i="66"/>
  <c r="AC76" i="66" s="1"/>
  <c r="AP76" i="66" s="1"/>
  <c r="Z56" i="66"/>
  <c r="AB56" i="66" s="1"/>
  <c r="AO56" i="66" s="1"/>
  <c r="AA56" i="66"/>
  <c r="AC56" i="66" s="1"/>
  <c r="AP56" i="66" s="1"/>
  <c r="Z45" i="66"/>
  <c r="AB45" i="66" s="1"/>
  <c r="AO45" i="66" s="1"/>
  <c r="AA45" i="66"/>
  <c r="AC45" i="66" s="1"/>
  <c r="AP45" i="66" s="1"/>
  <c r="Z141" i="66"/>
  <c r="AB141" i="66" s="1"/>
  <c r="AO141" i="66" s="1"/>
  <c r="AA141" i="66"/>
  <c r="AC141" i="66" s="1"/>
  <c r="AP141" i="66" s="1"/>
  <c r="Z159" i="66"/>
  <c r="AB159" i="66" s="1"/>
  <c r="AO159" i="66" s="1"/>
  <c r="AA159" i="66"/>
  <c r="AC159" i="66" s="1"/>
  <c r="AP159" i="66" s="1"/>
  <c r="Z153" i="66"/>
  <c r="AB153" i="66" s="1"/>
  <c r="AO153" i="66" s="1"/>
  <c r="AA153" i="66"/>
  <c r="AC153" i="66" s="1"/>
  <c r="AP153" i="66" s="1"/>
  <c r="AA119" i="66"/>
  <c r="AC119" i="66" s="1"/>
  <c r="AP119" i="66" s="1"/>
  <c r="Z119" i="66"/>
  <c r="AB119" i="66" s="1"/>
  <c r="AO119" i="66" s="1"/>
  <c r="Z133" i="66"/>
  <c r="AB133" i="66" s="1"/>
  <c r="AO133" i="66" s="1"/>
  <c r="AA133" i="66"/>
  <c r="AC133" i="66" s="1"/>
  <c r="AP133" i="66" s="1"/>
  <c r="Z82" i="66"/>
  <c r="AB82" i="66" s="1"/>
  <c r="AO82" i="66" s="1"/>
  <c r="AA82" i="66"/>
  <c r="AC82" i="66" s="1"/>
  <c r="AP82" i="66" s="1"/>
  <c r="Z90" i="66"/>
  <c r="AB90" i="66" s="1"/>
  <c r="AO90" i="66" s="1"/>
  <c r="AA90" i="66"/>
  <c r="AC90" i="66" s="1"/>
  <c r="AP90" i="66" s="1"/>
  <c r="AA50" i="66"/>
  <c r="AC50" i="66" s="1"/>
  <c r="AP50" i="66" s="1"/>
  <c r="Z50" i="66"/>
  <c r="AB50" i="66" s="1"/>
  <c r="AO50" i="66" s="1"/>
  <c r="Z67" i="66"/>
  <c r="AB67" i="66" s="1"/>
  <c r="AO67" i="66" s="1"/>
  <c r="AA67" i="66"/>
  <c r="AC67" i="66" s="1"/>
  <c r="AP67" i="66" s="1"/>
  <c r="Z117" i="66"/>
  <c r="AB117" i="66" s="1"/>
  <c r="AO117" i="66" s="1"/>
  <c r="AA117" i="66"/>
  <c r="AC117" i="66" s="1"/>
  <c r="AP117" i="66" s="1"/>
  <c r="Z89" i="66"/>
  <c r="AB89" i="66" s="1"/>
  <c r="AO89" i="66" s="1"/>
  <c r="AA89" i="66"/>
  <c r="AC89" i="66" s="1"/>
  <c r="AP89" i="66" s="1"/>
  <c r="Z124" i="66"/>
  <c r="AB124" i="66" s="1"/>
  <c r="AO124" i="66" s="1"/>
  <c r="AA124" i="66"/>
  <c r="AC124" i="66" s="1"/>
  <c r="AP124" i="66" s="1"/>
  <c r="AA97" i="66"/>
  <c r="AC97" i="66" s="1"/>
  <c r="AP97" i="66" s="1"/>
  <c r="Z97" i="66"/>
  <c r="AB97" i="66" s="1"/>
  <c r="AO97" i="66" s="1"/>
  <c r="Z70" i="66"/>
  <c r="AB70" i="66" s="1"/>
  <c r="AO70" i="66" s="1"/>
  <c r="AA70" i="66"/>
  <c r="AC70" i="66" s="1"/>
  <c r="AP70" i="66" s="1"/>
  <c r="AA85" i="66"/>
  <c r="AC85" i="66" s="1"/>
  <c r="AP85" i="66" s="1"/>
  <c r="Z85" i="66"/>
  <c r="AB85" i="66" s="1"/>
  <c r="AO85" i="66" s="1"/>
  <c r="Z64" i="66"/>
  <c r="AB64" i="66" s="1"/>
  <c r="AO64" i="66" s="1"/>
  <c r="AA64" i="66"/>
  <c r="AC64" i="66" s="1"/>
  <c r="AP64" i="66" s="1"/>
  <c r="Z78" i="66"/>
  <c r="AB78" i="66" s="1"/>
  <c r="AO78" i="66" s="1"/>
  <c r="AA78" i="66"/>
  <c r="AC78" i="66" s="1"/>
  <c r="AP78" i="66" s="1"/>
  <c r="Z44" i="66"/>
  <c r="AB44" i="66" s="1"/>
  <c r="AO44" i="66" s="1"/>
  <c r="AA44" i="66"/>
  <c r="AC44" i="66" s="1"/>
  <c r="AP44" i="66" s="1"/>
  <c r="A16" i="37"/>
  <c r="AJ211" i="65"/>
  <c r="AJ198" i="65"/>
  <c r="A16" i="65"/>
  <c r="AJ186" i="65"/>
  <c r="AP206" i="65"/>
  <c r="AP194" i="65"/>
  <c r="S6" i="68"/>
  <c r="AJ206" i="65"/>
  <c r="AJ210" i="65"/>
  <c r="AJ190" i="65"/>
  <c r="AJ182" i="65"/>
  <c r="T6" i="67"/>
  <c r="S6" i="67"/>
  <c r="Z173" i="66"/>
  <c r="AB173" i="66" s="1"/>
  <c r="AO173" i="66" s="1"/>
  <c r="AA173" i="66"/>
  <c r="AC173" i="66" s="1"/>
  <c r="AP173" i="66" s="1"/>
  <c r="Z172" i="66"/>
  <c r="AB172" i="66" s="1"/>
  <c r="AO172" i="66" s="1"/>
  <c r="AA172" i="66"/>
  <c r="AC172" i="66" s="1"/>
  <c r="AP172" i="66" s="1"/>
  <c r="Z174" i="66"/>
  <c r="AB174" i="66" s="1"/>
  <c r="AO174" i="66" s="1"/>
  <c r="AA174" i="66"/>
  <c r="AC174" i="66" s="1"/>
  <c r="AP174" i="66" s="1"/>
  <c r="Z179" i="66"/>
  <c r="AB179" i="66" s="1"/>
  <c r="AO179" i="66" s="1"/>
  <c r="AA179" i="66"/>
  <c r="AC179" i="66" s="1"/>
  <c r="AP179" i="66" s="1"/>
  <c r="Z178" i="66"/>
  <c r="AB178" i="66" s="1"/>
  <c r="AO178" i="66" s="1"/>
  <c r="AA178" i="66"/>
  <c r="AC178" i="66" s="1"/>
  <c r="AP178" i="66" s="1"/>
  <c r="Z168" i="66"/>
  <c r="AB168" i="66" s="1"/>
  <c r="AO168" i="66" s="1"/>
  <c r="AA168" i="66"/>
  <c r="AC168" i="66" s="1"/>
  <c r="AP168" i="66" s="1"/>
  <c r="Z165" i="66"/>
  <c r="AB165" i="66" s="1"/>
  <c r="AO165" i="66" s="1"/>
  <c r="AA165" i="66"/>
  <c r="AC165" i="66" s="1"/>
  <c r="AP165" i="66" s="1"/>
  <c r="AA181" i="66"/>
  <c r="AC181" i="66" s="1"/>
  <c r="AP181" i="66" s="1"/>
  <c r="Z181" i="66"/>
  <c r="AB181" i="66" s="1"/>
  <c r="AO181" i="66" s="1"/>
  <c r="Z176" i="66"/>
  <c r="AB176" i="66" s="1"/>
  <c r="AO176" i="66" s="1"/>
  <c r="AA176" i="66"/>
  <c r="AC176" i="66" s="1"/>
  <c r="AP176" i="66" s="1"/>
  <c r="AA183" i="66"/>
  <c r="AC183" i="66" s="1"/>
  <c r="AP183" i="66" s="1"/>
  <c r="Z183" i="66"/>
  <c r="AB183" i="66" s="1"/>
  <c r="AO183" i="66" s="1"/>
  <c r="Z186" i="66"/>
  <c r="AB186" i="66" s="1"/>
  <c r="AO186" i="66" s="1"/>
  <c r="AA186" i="66"/>
  <c r="AC186" i="66" s="1"/>
  <c r="AP186" i="66" s="1"/>
  <c r="Z167" i="66"/>
  <c r="AB167" i="66" s="1"/>
  <c r="AO167" i="66" s="1"/>
  <c r="AA167" i="66"/>
  <c r="AC167" i="66" s="1"/>
  <c r="AP167" i="66" s="1"/>
  <c r="Z182" i="66"/>
  <c r="AB182" i="66" s="1"/>
  <c r="AO182" i="66" s="1"/>
  <c r="AA182" i="66"/>
  <c r="AC182" i="66" s="1"/>
  <c r="AP182" i="66" s="1"/>
  <c r="AA164" i="66"/>
  <c r="AC164" i="66" s="1"/>
  <c r="AP164" i="66" s="1"/>
  <c r="Z164" i="66"/>
  <c r="AB164" i="66" s="1"/>
  <c r="AO164" i="66" s="1"/>
  <c r="Z171" i="66"/>
  <c r="AB171" i="66" s="1"/>
  <c r="AO171" i="66" s="1"/>
  <c r="AA171" i="66"/>
  <c r="AC171" i="66" s="1"/>
  <c r="AP171" i="66" s="1"/>
  <c r="AA187" i="66"/>
  <c r="AC187" i="66" s="1"/>
  <c r="AP187" i="66" s="1"/>
  <c r="Z187" i="66"/>
  <c r="AB187" i="66" s="1"/>
  <c r="AO187" i="66" s="1"/>
  <c r="Z177" i="66"/>
  <c r="AB177" i="66" s="1"/>
  <c r="AO177" i="66" s="1"/>
  <c r="AA177" i="66"/>
  <c r="AC177" i="66" s="1"/>
  <c r="AP177" i="66" s="1"/>
  <c r="AA185" i="66"/>
  <c r="AC185" i="66" s="1"/>
  <c r="AP185" i="66" s="1"/>
  <c r="Z185" i="66"/>
  <c r="AB185" i="66" s="1"/>
  <c r="AO185" i="66" s="1"/>
  <c r="Z170" i="66"/>
  <c r="AB170" i="66" s="1"/>
  <c r="AO170" i="66" s="1"/>
  <c r="AA170" i="66"/>
  <c r="AC170" i="66" s="1"/>
  <c r="AP170" i="66" s="1"/>
  <c r="A16" i="66"/>
  <c r="AA175" i="66"/>
  <c r="AC175" i="66" s="1"/>
  <c r="AP175" i="66" s="1"/>
  <c r="Z175" i="66"/>
  <c r="AB175" i="66" s="1"/>
  <c r="AO175" i="66" s="1"/>
  <c r="Z180" i="66"/>
  <c r="AB180" i="66" s="1"/>
  <c r="AO180" i="66" s="1"/>
  <c r="AA180" i="66"/>
  <c r="AC180" i="66" s="1"/>
  <c r="AP180" i="66" s="1"/>
  <c r="Z184" i="66"/>
  <c r="AB184" i="66" s="1"/>
  <c r="AO184" i="66" s="1"/>
  <c r="AA184" i="66"/>
  <c r="AC184" i="66" s="1"/>
  <c r="AP184" i="66" s="1"/>
  <c r="Z166" i="66"/>
  <c r="AB166" i="66" s="1"/>
  <c r="AO166" i="66" s="1"/>
  <c r="AA166" i="66"/>
  <c r="AC166" i="66" s="1"/>
  <c r="AP166" i="66" s="1"/>
  <c r="Z169" i="66"/>
  <c r="AB169" i="66" s="1"/>
  <c r="AO169" i="66" s="1"/>
  <c r="AA169" i="66"/>
  <c r="AC169" i="66" s="1"/>
  <c r="AP169" i="66" s="1"/>
  <c r="A16" i="62"/>
  <c r="L62" i="67"/>
  <c r="AN23" i="13"/>
  <c r="AN196" i="15"/>
  <c r="T8" i="67"/>
  <c r="AN228" i="15"/>
  <c r="AN54" i="31"/>
  <c r="AN24" i="44"/>
  <c r="AN21" i="54"/>
  <c r="AN26" i="23"/>
  <c r="AN169" i="32"/>
  <c r="T14" i="67"/>
  <c r="AN220" i="15"/>
  <c r="AN136" i="15"/>
  <c r="AN20" i="39"/>
  <c r="T19" i="67"/>
  <c r="AN56" i="29"/>
  <c r="AN14" i="40"/>
  <c r="T18" i="68"/>
  <c r="E19" i="2" s="1"/>
  <c r="AN80" i="46"/>
  <c r="AN43" i="53"/>
  <c r="AN37" i="57"/>
  <c r="AN50" i="5"/>
  <c r="AN227" i="15"/>
  <c r="AN30" i="31"/>
  <c r="AN108" i="32"/>
  <c r="T20" i="68"/>
  <c r="E21" i="2" s="1"/>
  <c r="T9" i="68"/>
  <c r="E10" i="2" s="1"/>
  <c r="T18" i="67"/>
  <c r="Z119" i="60"/>
  <c r="AB119" i="60" s="1"/>
  <c r="AO119" i="60" s="1"/>
  <c r="AA119" i="60"/>
  <c r="AC119" i="60" s="1"/>
  <c r="AP119" i="60" s="1"/>
  <c r="Z107" i="60"/>
  <c r="AB107" i="60" s="1"/>
  <c r="AO107" i="60" s="1"/>
  <c r="AA107" i="60"/>
  <c r="AC107" i="60" s="1"/>
  <c r="AP107" i="60" s="1"/>
  <c r="AA106" i="60"/>
  <c r="AC106" i="60" s="1"/>
  <c r="AP106" i="60" s="1"/>
  <c r="Z106" i="60"/>
  <c r="AB106" i="60" s="1"/>
  <c r="AO106" i="60" s="1"/>
  <c r="Z99" i="60"/>
  <c r="AB99" i="60" s="1"/>
  <c r="AO99" i="60" s="1"/>
  <c r="AA99" i="60"/>
  <c r="AC99" i="60" s="1"/>
  <c r="AP99" i="60" s="1"/>
  <c r="Z125" i="60"/>
  <c r="AB125" i="60" s="1"/>
  <c r="AO125" i="60" s="1"/>
  <c r="AA125" i="60"/>
  <c r="AC125" i="60" s="1"/>
  <c r="AP125" i="60" s="1"/>
  <c r="Z30" i="60"/>
  <c r="AB30" i="60" s="1"/>
  <c r="AO30" i="60" s="1"/>
  <c r="AA30" i="60"/>
  <c r="AC30" i="60" s="1"/>
  <c r="AP30" i="60" s="1"/>
  <c r="Z66" i="60"/>
  <c r="AB66" i="60" s="1"/>
  <c r="AO66" i="60" s="1"/>
  <c r="AA66" i="60"/>
  <c r="AC66" i="60" s="1"/>
  <c r="AP66" i="60" s="1"/>
  <c r="Z69" i="60"/>
  <c r="AB69" i="60" s="1"/>
  <c r="AO69" i="60" s="1"/>
  <c r="AA69" i="60"/>
  <c r="AC69" i="60" s="1"/>
  <c r="AP69" i="60" s="1"/>
  <c r="Z46" i="60"/>
  <c r="AB46" i="60" s="1"/>
  <c r="AO46" i="60" s="1"/>
  <c r="AA46" i="60"/>
  <c r="AC46" i="60" s="1"/>
  <c r="AP46" i="60" s="1"/>
  <c r="Z35" i="60"/>
  <c r="AB35" i="60" s="1"/>
  <c r="AO35" i="60" s="1"/>
  <c r="AA35" i="60"/>
  <c r="AC35" i="60" s="1"/>
  <c r="AP35" i="60" s="1"/>
  <c r="Z37" i="60"/>
  <c r="AB37" i="60" s="1"/>
  <c r="AO37" i="60" s="1"/>
  <c r="AA37" i="60"/>
  <c r="AC37" i="60" s="1"/>
  <c r="AP37" i="60" s="1"/>
  <c r="Z26" i="60"/>
  <c r="AB26" i="60" s="1"/>
  <c r="AO26" i="60" s="1"/>
  <c r="AA26" i="60"/>
  <c r="AC26" i="60" s="1"/>
  <c r="AP26" i="60" s="1"/>
  <c r="Z64" i="60"/>
  <c r="AB64" i="60" s="1"/>
  <c r="AO64" i="60" s="1"/>
  <c r="AA64" i="60"/>
  <c r="AC64" i="60" s="1"/>
  <c r="AP64" i="60" s="1"/>
  <c r="Z97" i="60"/>
  <c r="AB97" i="60" s="1"/>
  <c r="AO97" i="60" s="1"/>
  <c r="AA97" i="60"/>
  <c r="AC97" i="60" s="1"/>
  <c r="AP97" i="60" s="1"/>
  <c r="Z102" i="60"/>
  <c r="AB102" i="60" s="1"/>
  <c r="AO102" i="60" s="1"/>
  <c r="AA102" i="60"/>
  <c r="AC102" i="60" s="1"/>
  <c r="AP102" i="60" s="1"/>
  <c r="Z87" i="60"/>
  <c r="AB87" i="60" s="1"/>
  <c r="AO87" i="60" s="1"/>
  <c r="AA87" i="60"/>
  <c r="AC87" i="60" s="1"/>
  <c r="AP87" i="60" s="1"/>
  <c r="Z113" i="60"/>
  <c r="AB113" i="60" s="1"/>
  <c r="AO113" i="60" s="1"/>
  <c r="AA113" i="60"/>
  <c r="AC113" i="60" s="1"/>
  <c r="AP113" i="60" s="1"/>
  <c r="Z54" i="60"/>
  <c r="AB54" i="60" s="1"/>
  <c r="AO54" i="60" s="1"/>
  <c r="AA54" i="60"/>
  <c r="AC54" i="60" s="1"/>
  <c r="AP54" i="60" s="1"/>
  <c r="Z79" i="60"/>
  <c r="AB79" i="60" s="1"/>
  <c r="AO79" i="60" s="1"/>
  <c r="AA79" i="60"/>
  <c r="AC79" i="60" s="1"/>
  <c r="AP79" i="60" s="1"/>
  <c r="AA57" i="60"/>
  <c r="AC57" i="60" s="1"/>
  <c r="AP57" i="60" s="1"/>
  <c r="Z57" i="60"/>
  <c r="AB57" i="60" s="1"/>
  <c r="AO57" i="60" s="1"/>
  <c r="Z34" i="60"/>
  <c r="AB34" i="60" s="1"/>
  <c r="AO34" i="60" s="1"/>
  <c r="AA34" i="60"/>
  <c r="AC34" i="60" s="1"/>
  <c r="AP34" i="60" s="1"/>
  <c r="Z60" i="60"/>
  <c r="AB60" i="60" s="1"/>
  <c r="AO60" i="60" s="1"/>
  <c r="AA60" i="60"/>
  <c r="AC60" i="60" s="1"/>
  <c r="AP60" i="60" s="1"/>
  <c r="Z25" i="60"/>
  <c r="AB25" i="60" s="1"/>
  <c r="AO25" i="60" s="1"/>
  <c r="AA25" i="60"/>
  <c r="AC25" i="60" s="1"/>
  <c r="AP25" i="60" s="1"/>
  <c r="Z63" i="60"/>
  <c r="AB63" i="60" s="1"/>
  <c r="AO63" i="60" s="1"/>
  <c r="AA63" i="60"/>
  <c r="AC63" i="60" s="1"/>
  <c r="AP63" i="60" s="1"/>
  <c r="Z52" i="60"/>
  <c r="AB52" i="60" s="1"/>
  <c r="AO52" i="60" s="1"/>
  <c r="AA52" i="60"/>
  <c r="AC52" i="60" s="1"/>
  <c r="AP52" i="60" s="1"/>
  <c r="Z108" i="60"/>
  <c r="AB108" i="60" s="1"/>
  <c r="AO108" i="60" s="1"/>
  <c r="AA108" i="60"/>
  <c r="AC108" i="60" s="1"/>
  <c r="AP108" i="60" s="1"/>
  <c r="AA111" i="60"/>
  <c r="AC111" i="60" s="1"/>
  <c r="AP111" i="60" s="1"/>
  <c r="Z111" i="60"/>
  <c r="AB111" i="60" s="1"/>
  <c r="AO111" i="60" s="1"/>
  <c r="Z95" i="60"/>
  <c r="AB95" i="60" s="1"/>
  <c r="AO95" i="60" s="1"/>
  <c r="AA95" i="60"/>
  <c r="AC95" i="60" s="1"/>
  <c r="AP95" i="60" s="1"/>
  <c r="Z96" i="60"/>
  <c r="AB96" i="60" s="1"/>
  <c r="AO96" i="60" s="1"/>
  <c r="AA96" i="60"/>
  <c r="AC96" i="60" s="1"/>
  <c r="AP96" i="60" s="1"/>
  <c r="Z85" i="60"/>
  <c r="AB85" i="60" s="1"/>
  <c r="AO85" i="60" s="1"/>
  <c r="AA85" i="60"/>
  <c r="AC85" i="60" s="1"/>
  <c r="AP85" i="60" s="1"/>
  <c r="Z90" i="60"/>
  <c r="AB90" i="60" s="1"/>
  <c r="AO90" i="60" s="1"/>
  <c r="AA90" i="60"/>
  <c r="AC90" i="60" s="1"/>
  <c r="AP90" i="60" s="1"/>
  <c r="Z128" i="60"/>
  <c r="AB128" i="60" s="1"/>
  <c r="AO128" i="60" s="1"/>
  <c r="AA128" i="60"/>
  <c r="AC128" i="60" s="1"/>
  <c r="AP128" i="60" s="1"/>
  <c r="AA117" i="60"/>
  <c r="AC117" i="60" s="1"/>
  <c r="AP117" i="60" s="1"/>
  <c r="Z117" i="60"/>
  <c r="AB117" i="60" s="1"/>
  <c r="AO117" i="60" s="1"/>
  <c r="Z53" i="60"/>
  <c r="AB53" i="60" s="1"/>
  <c r="AO53" i="60" s="1"/>
  <c r="AA53" i="60"/>
  <c r="AC53" i="60" s="1"/>
  <c r="AP53" i="60" s="1"/>
  <c r="AA68" i="60"/>
  <c r="AC68" i="60" s="1"/>
  <c r="AP68" i="60" s="1"/>
  <c r="Z68" i="60"/>
  <c r="AB68" i="60" s="1"/>
  <c r="AO68" i="60" s="1"/>
  <c r="Z67" i="60"/>
  <c r="AB67" i="60" s="1"/>
  <c r="AO67" i="60" s="1"/>
  <c r="AA67" i="60"/>
  <c r="AC67" i="60" s="1"/>
  <c r="AP67" i="60" s="1"/>
  <c r="Z103" i="60"/>
  <c r="AB103" i="60" s="1"/>
  <c r="AO103" i="60" s="1"/>
  <c r="AA103" i="60"/>
  <c r="AC103" i="60" s="1"/>
  <c r="AP103" i="60" s="1"/>
  <c r="Z73" i="60"/>
  <c r="AB73" i="60" s="1"/>
  <c r="AO73" i="60" s="1"/>
  <c r="AA73" i="60"/>
  <c r="AC73" i="60" s="1"/>
  <c r="AP73" i="60" s="1"/>
  <c r="Z123" i="60"/>
  <c r="AB123" i="60" s="1"/>
  <c r="AO123" i="60" s="1"/>
  <c r="AA123" i="60"/>
  <c r="AC123" i="60" s="1"/>
  <c r="AP123" i="60" s="1"/>
  <c r="AA75" i="60"/>
  <c r="AC75" i="60" s="1"/>
  <c r="AP75" i="60" s="1"/>
  <c r="Z75" i="60"/>
  <c r="AB75" i="60" s="1"/>
  <c r="AO75" i="60" s="1"/>
  <c r="AA101" i="60"/>
  <c r="AC101" i="60" s="1"/>
  <c r="AP101" i="60" s="1"/>
  <c r="Z101" i="60"/>
  <c r="AB101" i="60" s="1"/>
  <c r="AO101" i="60" s="1"/>
  <c r="AA45" i="60"/>
  <c r="AC45" i="60" s="1"/>
  <c r="AP45" i="60" s="1"/>
  <c r="Z45" i="60"/>
  <c r="AB45" i="60" s="1"/>
  <c r="AO45" i="60" s="1"/>
  <c r="Z83" i="60"/>
  <c r="AB83" i="60" s="1"/>
  <c r="AO83" i="60" s="1"/>
  <c r="AA83" i="60"/>
  <c r="AC83" i="60" s="1"/>
  <c r="AP83" i="60" s="1"/>
  <c r="Z48" i="60"/>
  <c r="AB48" i="60" s="1"/>
  <c r="AO48" i="60" s="1"/>
  <c r="AA48" i="60"/>
  <c r="AC48" i="60" s="1"/>
  <c r="AP48" i="60" s="1"/>
  <c r="Z74" i="60"/>
  <c r="AB74" i="60" s="1"/>
  <c r="AO74" i="60" s="1"/>
  <c r="AA74" i="60"/>
  <c r="AC74" i="60" s="1"/>
  <c r="AP74" i="60" s="1"/>
  <c r="Z51" i="60"/>
  <c r="AB51" i="60" s="1"/>
  <c r="AO51" i="60" s="1"/>
  <c r="AA51" i="60"/>
  <c r="AC51" i="60" s="1"/>
  <c r="AP51" i="60" s="1"/>
  <c r="Z40" i="60"/>
  <c r="AB40" i="60" s="1"/>
  <c r="AO40" i="60" s="1"/>
  <c r="AA40" i="60"/>
  <c r="AC40" i="60" s="1"/>
  <c r="AP40" i="60" s="1"/>
  <c r="Z129" i="60"/>
  <c r="AB129" i="60" s="1"/>
  <c r="AO129" i="60" s="1"/>
  <c r="AA129" i="60"/>
  <c r="AC129" i="60" s="1"/>
  <c r="AP129" i="60" s="1"/>
  <c r="Z42" i="60"/>
  <c r="AB42" i="60" s="1"/>
  <c r="AO42" i="60" s="1"/>
  <c r="AA42" i="60"/>
  <c r="AC42" i="60" s="1"/>
  <c r="AP42" i="60" s="1"/>
  <c r="Z112" i="60"/>
  <c r="AB112" i="60" s="1"/>
  <c r="AO112" i="60" s="1"/>
  <c r="AA112" i="60"/>
  <c r="AC112" i="60" s="1"/>
  <c r="AP112" i="60" s="1"/>
  <c r="Z65" i="60"/>
  <c r="AB65" i="60" s="1"/>
  <c r="AO65" i="60" s="1"/>
  <c r="AA65" i="60"/>
  <c r="AC65" i="60" s="1"/>
  <c r="AP65" i="60" s="1"/>
  <c r="Z116" i="60"/>
  <c r="AB116" i="60" s="1"/>
  <c r="AO116" i="60" s="1"/>
  <c r="AA116" i="60"/>
  <c r="AC116" i="60" s="1"/>
  <c r="AP116" i="60" s="1"/>
  <c r="Z105" i="60"/>
  <c r="AB105" i="60" s="1"/>
  <c r="AO105" i="60" s="1"/>
  <c r="AA105" i="60"/>
  <c r="AC105" i="60" s="1"/>
  <c r="AP105" i="60" s="1"/>
  <c r="Z41" i="60"/>
  <c r="AB41" i="60" s="1"/>
  <c r="AO41" i="60" s="1"/>
  <c r="AA41" i="60"/>
  <c r="AC41" i="60" s="1"/>
  <c r="AP41" i="60" s="1"/>
  <c r="AA56" i="60"/>
  <c r="AC56" i="60" s="1"/>
  <c r="AP56" i="60" s="1"/>
  <c r="Z56" i="60"/>
  <c r="AB56" i="60" s="1"/>
  <c r="AO56" i="60" s="1"/>
  <c r="Z126" i="60"/>
  <c r="AB126" i="60" s="1"/>
  <c r="AO126" i="60" s="1"/>
  <c r="AA126" i="60"/>
  <c r="AC126" i="60" s="1"/>
  <c r="AP126" i="60" s="1"/>
  <c r="Z124" i="60"/>
  <c r="AB124" i="60" s="1"/>
  <c r="AO124" i="60" s="1"/>
  <c r="AA124" i="60"/>
  <c r="AC124" i="60" s="1"/>
  <c r="AP124" i="60" s="1"/>
  <c r="Z89" i="60"/>
  <c r="AB89" i="60" s="1"/>
  <c r="AO89" i="60" s="1"/>
  <c r="AA89" i="60"/>
  <c r="AC89" i="60" s="1"/>
  <c r="AP89" i="60" s="1"/>
  <c r="AA33" i="60"/>
  <c r="AC33" i="60" s="1"/>
  <c r="AP33" i="60" s="1"/>
  <c r="Z33" i="60"/>
  <c r="AB33" i="60" s="1"/>
  <c r="AO33" i="60" s="1"/>
  <c r="Z71" i="60"/>
  <c r="AB71" i="60" s="1"/>
  <c r="AO71" i="60" s="1"/>
  <c r="AA71" i="60"/>
  <c r="AC71" i="60" s="1"/>
  <c r="AP71" i="60" s="1"/>
  <c r="Z36" i="60"/>
  <c r="AB36" i="60" s="1"/>
  <c r="AO36" i="60" s="1"/>
  <c r="AA36" i="60"/>
  <c r="AC36" i="60" s="1"/>
  <c r="AP36" i="60" s="1"/>
  <c r="Z62" i="60"/>
  <c r="AB62" i="60" s="1"/>
  <c r="AO62" i="60" s="1"/>
  <c r="AA62" i="60"/>
  <c r="AC62" i="60" s="1"/>
  <c r="AP62" i="60" s="1"/>
  <c r="Z39" i="60"/>
  <c r="AB39" i="60" s="1"/>
  <c r="AO39" i="60" s="1"/>
  <c r="AA39" i="60"/>
  <c r="AC39" i="60" s="1"/>
  <c r="AP39" i="60" s="1"/>
  <c r="Z28" i="60"/>
  <c r="AB28" i="60" s="1"/>
  <c r="AO28" i="60" s="1"/>
  <c r="AA28" i="60"/>
  <c r="AC28" i="60" s="1"/>
  <c r="AP28" i="60" s="1"/>
  <c r="Z31" i="60"/>
  <c r="AB31" i="60" s="1"/>
  <c r="AO31" i="60" s="1"/>
  <c r="AA31" i="60"/>
  <c r="AC31" i="60" s="1"/>
  <c r="AP31" i="60" s="1"/>
  <c r="Z122" i="60"/>
  <c r="AB122" i="60" s="1"/>
  <c r="AO122" i="60" s="1"/>
  <c r="AA122" i="60"/>
  <c r="AC122" i="60" s="1"/>
  <c r="AP122" i="60" s="1"/>
  <c r="Z118" i="60"/>
  <c r="AB118" i="60" s="1"/>
  <c r="AO118" i="60" s="1"/>
  <c r="AA118" i="60"/>
  <c r="AC118" i="60" s="1"/>
  <c r="AP118" i="60" s="1"/>
  <c r="AA121" i="60"/>
  <c r="AC121" i="60" s="1"/>
  <c r="AP121" i="60" s="1"/>
  <c r="Z121" i="60"/>
  <c r="AB121" i="60" s="1"/>
  <c r="AO121" i="60" s="1"/>
  <c r="AA86" i="60"/>
  <c r="AC86" i="60" s="1"/>
  <c r="AP86" i="60" s="1"/>
  <c r="Z86" i="60"/>
  <c r="AB86" i="60" s="1"/>
  <c r="AO86" i="60" s="1"/>
  <c r="Z100" i="60"/>
  <c r="AB100" i="60" s="1"/>
  <c r="AO100" i="60" s="1"/>
  <c r="AA100" i="60"/>
  <c r="AC100" i="60" s="1"/>
  <c r="AP100" i="60" s="1"/>
  <c r="Z91" i="60"/>
  <c r="AB91" i="60" s="1"/>
  <c r="AO91" i="60" s="1"/>
  <c r="AA91" i="60"/>
  <c r="AC91" i="60" s="1"/>
  <c r="AP91" i="60" s="1"/>
  <c r="Z104" i="60"/>
  <c r="AB104" i="60" s="1"/>
  <c r="AO104" i="60" s="1"/>
  <c r="AA104" i="60"/>
  <c r="AC104" i="60" s="1"/>
  <c r="AP104" i="60" s="1"/>
  <c r="Z93" i="60"/>
  <c r="AB93" i="60" s="1"/>
  <c r="AO93" i="60" s="1"/>
  <c r="AA93" i="60"/>
  <c r="AC93" i="60" s="1"/>
  <c r="AP93" i="60" s="1"/>
  <c r="Z29" i="60"/>
  <c r="AB29" i="60" s="1"/>
  <c r="AO29" i="60" s="1"/>
  <c r="AA29" i="60"/>
  <c r="AC29" i="60" s="1"/>
  <c r="AP29" i="60" s="1"/>
  <c r="AA44" i="60"/>
  <c r="AC44" i="60" s="1"/>
  <c r="AP44" i="60" s="1"/>
  <c r="Z44" i="60"/>
  <c r="AB44" i="60" s="1"/>
  <c r="AO44" i="60" s="1"/>
  <c r="Z115" i="60"/>
  <c r="AB115" i="60" s="1"/>
  <c r="AO115" i="60" s="1"/>
  <c r="AA115" i="60"/>
  <c r="AC115" i="60" s="1"/>
  <c r="AP115" i="60" s="1"/>
  <c r="Z114" i="60"/>
  <c r="AB114" i="60" s="1"/>
  <c r="AO114" i="60" s="1"/>
  <c r="AA114" i="60"/>
  <c r="AC114" i="60" s="1"/>
  <c r="AP114" i="60" s="1"/>
  <c r="AA82" i="60"/>
  <c r="AC82" i="60" s="1"/>
  <c r="AP82" i="60" s="1"/>
  <c r="Z82" i="60"/>
  <c r="AB82" i="60" s="1"/>
  <c r="AO82" i="60" s="1"/>
  <c r="AA80" i="60"/>
  <c r="AC80" i="60" s="1"/>
  <c r="AP80" i="60" s="1"/>
  <c r="Z80" i="60"/>
  <c r="AB80" i="60" s="1"/>
  <c r="AO80" i="60" s="1"/>
  <c r="Z70" i="60"/>
  <c r="AB70" i="60" s="1"/>
  <c r="AO70" i="60" s="1"/>
  <c r="AA70" i="60"/>
  <c r="AC70" i="60" s="1"/>
  <c r="AP70" i="60" s="1"/>
  <c r="Z59" i="60"/>
  <c r="AB59" i="60" s="1"/>
  <c r="AO59" i="60" s="1"/>
  <c r="AA59" i="60"/>
  <c r="AC59" i="60" s="1"/>
  <c r="AP59" i="60" s="1"/>
  <c r="Z61" i="60"/>
  <c r="AB61" i="60" s="1"/>
  <c r="AO61" i="60" s="1"/>
  <c r="AA61" i="60"/>
  <c r="AC61" i="60" s="1"/>
  <c r="AP61" i="60" s="1"/>
  <c r="Z50" i="60"/>
  <c r="AB50" i="60" s="1"/>
  <c r="AO50" i="60" s="1"/>
  <c r="AA50" i="60"/>
  <c r="AC50" i="60" s="1"/>
  <c r="AP50" i="60" s="1"/>
  <c r="Z27" i="60"/>
  <c r="AB27" i="60" s="1"/>
  <c r="AO27" i="60" s="1"/>
  <c r="AA27" i="60"/>
  <c r="AC27" i="60" s="1"/>
  <c r="AP27" i="60" s="1"/>
  <c r="Z130" i="60"/>
  <c r="AB130" i="60" s="1"/>
  <c r="AO130" i="60" s="1"/>
  <c r="AA130" i="60"/>
  <c r="AC130" i="60" s="1"/>
  <c r="AP130" i="60" s="1"/>
  <c r="Z110" i="60"/>
  <c r="AB110" i="60" s="1"/>
  <c r="AO110" i="60" s="1"/>
  <c r="AA110" i="60"/>
  <c r="AC110" i="60" s="1"/>
  <c r="AP110" i="60" s="1"/>
  <c r="Z88" i="60"/>
  <c r="AB88" i="60" s="1"/>
  <c r="AO88" i="60" s="1"/>
  <c r="AA88" i="60"/>
  <c r="AC88" i="60" s="1"/>
  <c r="AP88" i="60" s="1"/>
  <c r="AA78" i="60"/>
  <c r="AC78" i="60" s="1"/>
  <c r="AP78" i="60" s="1"/>
  <c r="Z78" i="60"/>
  <c r="AB78" i="60" s="1"/>
  <c r="AO78" i="60" s="1"/>
  <c r="Z92" i="60"/>
  <c r="AB92" i="60" s="1"/>
  <c r="AO92" i="60" s="1"/>
  <c r="AA92" i="60"/>
  <c r="AC92" i="60" s="1"/>
  <c r="AP92" i="60" s="1"/>
  <c r="Z84" i="60"/>
  <c r="AB84" i="60" s="1"/>
  <c r="AO84" i="60" s="1"/>
  <c r="AA84" i="60"/>
  <c r="AC84" i="60" s="1"/>
  <c r="AP84" i="60" s="1"/>
  <c r="Z55" i="60"/>
  <c r="AB55" i="60" s="1"/>
  <c r="AO55" i="60" s="1"/>
  <c r="AA55" i="60"/>
  <c r="AC55" i="60" s="1"/>
  <c r="AP55" i="60" s="1"/>
  <c r="AA32" i="60"/>
  <c r="AC32" i="60" s="1"/>
  <c r="AP32" i="60" s="1"/>
  <c r="Z32" i="60"/>
  <c r="AB32" i="60" s="1"/>
  <c r="AO32" i="60" s="1"/>
  <c r="Z81" i="60"/>
  <c r="AB81" i="60" s="1"/>
  <c r="AO81" i="60" s="1"/>
  <c r="AA81" i="60"/>
  <c r="AC81" i="60" s="1"/>
  <c r="AP81" i="60" s="1"/>
  <c r="A16" i="60"/>
  <c r="Z127" i="60"/>
  <c r="AB127" i="60" s="1"/>
  <c r="AO127" i="60" s="1"/>
  <c r="AA127" i="60"/>
  <c r="AC127" i="60" s="1"/>
  <c r="AP127" i="60" s="1"/>
  <c r="AA98" i="60"/>
  <c r="AC98" i="60" s="1"/>
  <c r="AP98" i="60" s="1"/>
  <c r="Z98" i="60"/>
  <c r="AB98" i="60" s="1"/>
  <c r="AO98" i="60" s="1"/>
  <c r="Z72" i="60"/>
  <c r="AB72" i="60" s="1"/>
  <c r="AO72" i="60" s="1"/>
  <c r="AA72" i="60"/>
  <c r="AC72" i="60" s="1"/>
  <c r="AP72" i="60" s="1"/>
  <c r="Z77" i="60"/>
  <c r="AB77" i="60" s="1"/>
  <c r="AO77" i="60" s="1"/>
  <c r="AA77" i="60"/>
  <c r="AC77" i="60" s="1"/>
  <c r="AP77" i="60" s="1"/>
  <c r="Z58" i="60"/>
  <c r="AB58" i="60" s="1"/>
  <c r="AO58" i="60" s="1"/>
  <c r="AA58" i="60"/>
  <c r="AC58" i="60" s="1"/>
  <c r="AP58" i="60" s="1"/>
  <c r="Z47" i="60"/>
  <c r="AB47" i="60" s="1"/>
  <c r="AO47" i="60" s="1"/>
  <c r="AA47" i="60"/>
  <c r="AC47" i="60" s="1"/>
  <c r="AP47" i="60" s="1"/>
  <c r="Z49" i="60"/>
  <c r="AB49" i="60" s="1"/>
  <c r="AO49" i="60" s="1"/>
  <c r="AA49" i="60"/>
  <c r="AC49" i="60" s="1"/>
  <c r="AP49" i="60" s="1"/>
  <c r="Z38" i="60"/>
  <c r="AB38" i="60" s="1"/>
  <c r="AO38" i="60" s="1"/>
  <c r="AA38" i="60"/>
  <c r="AC38" i="60" s="1"/>
  <c r="AP38" i="60" s="1"/>
  <c r="Z76" i="60"/>
  <c r="AB76" i="60" s="1"/>
  <c r="AO76" i="60" s="1"/>
  <c r="AA76" i="60"/>
  <c r="AC76" i="60" s="1"/>
  <c r="AP76" i="60" s="1"/>
  <c r="Z120" i="60"/>
  <c r="AB120" i="60" s="1"/>
  <c r="AO120" i="60" s="1"/>
  <c r="AA120" i="60"/>
  <c r="AC120" i="60" s="1"/>
  <c r="AP120" i="60" s="1"/>
  <c r="AA109" i="60"/>
  <c r="AC109" i="60" s="1"/>
  <c r="AP109" i="60" s="1"/>
  <c r="Z109" i="60"/>
  <c r="AB109" i="60" s="1"/>
  <c r="AO109" i="60" s="1"/>
  <c r="Z94" i="60"/>
  <c r="AB94" i="60" s="1"/>
  <c r="AO94" i="60" s="1"/>
  <c r="AA94" i="60"/>
  <c r="AC94" i="60" s="1"/>
  <c r="AP94" i="60" s="1"/>
  <c r="Z43" i="60"/>
  <c r="AB43" i="60" s="1"/>
  <c r="AO43" i="60" s="1"/>
  <c r="AA43" i="60"/>
  <c r="AC43" i="60" s="1"/>
  <c r="AP43" i="60" s="1"/>
  <c r="K29" i="2"/>
  <c r="H29" i="67"/>
  <c r="AN15" i="59"/>
  <c r="A16" i="59"/>
  <c r="T32" i="67"/>
  <c r="Z40" i="59"/>
  <c r="AB40" i="59" s="1"/>
  <c r="AO40" i="59" s="1"/>
  <c r="AA40" i="59"/>
  <c r="AC40" i="59" s="1"/>
  <c r="AP40" i="59" s="1"/>
  <c r="Z55" i="59"/>
  <c r="AB55" i="59" s="1"/>
  <c r="AO55" i="59" s="1"/>
  <c r="AA55" i="59"/>
  <c r="AC55" i="59" s="1"/>
  <c r="AP55" i="59" s="1"/>
  <c r="AA32" i="59"/>
  <c r="AC32" i="59" s="1"/>
  <c r="AP32" i="59" s="1"/>
  <c r="Z32" i="59"/>
  <c r="AB32" i="59" s="1"/>
  <c r="AO32" i="59" s="1"/>
  <c r="Z73" i="59"/>
  <c r="AB73" i="59" s="1"/>
  <c r="AO73" i="59" s="1"/>
  <c r="AA73" i="59"/>
  <c r="AC73" i="59" s="1"/>
  <c r="AP73" i="59" s="1"/>
  <c r="Z50" i="59"/>
  <c r="AB50" i="59" s="1"/>
  <c r="AO50" i="59" s="1"/>
  <c r="AA50" i="59"/>
  <c r="AC50" i="59" s="1"/>
  <c r="AP50" i="59" s="1"/>
  <c r="Z65" i="59"/>
  <c r="AB65" i="59" s="1"/>
  <c r="AO65" i="59" s="1"/>
  <c r="AA65" i="59"/>
  <c r="AC65" i="59" s="1"/>
  <c r="AP65" i="59" s="1"/>
  <c r="AA58" i="59"/>
  <c r="AC58" i="59" s="1"/>
  <c r="AP58" i="59" s="1"/>
  <c r="Z58" i="59"/>
  <c r="AB58" i="59" s="1"/>
  <c r="AO58" i="59" s="1"/>
  <c r="Z35" i="59"/>
  <c r="AB35" i="59" s="1"/>
  <c r="AO35" i="59" s="1"/>
  <c r="AA35" i="59"/>
  <c r="AC35" i="59" s="1"/>
  <c r="AP35" i="59" s="1"/>
  <c r="Z27" i="59"/>
  <c r="AB27" i="59" s="1"/>
  <c r="AO27" i="59" s="1"/>
  <c r="AA27" i="59"/>
  <c r="AC27" i="59" s="1"/>
  <c r="AP27" i="59" s="1"/>
  <c r="Z28" i="59"/>
  <c r="AB28" i="59" s="1"/>
  <c r="AO28" i="59" s="1"/>
  <c r="AA28" i="59"/>
  <c r="AC28" i="59" s="1"/>
  <c r="AP28" i="59" s="1"/>
  <c r="Z39" i="59"/>
  <c r="AB39" i="59" s="1"/>
  <c r="AO39" i="59" s="1"/>
  <c r="AA39" i="59"/>
  <c r="AC39" i="59" s="1"/>
  <c r="AP39" i="59" s="1"/>
  <c r="Z43" i="59"/>
  <c r="AB43" i="59" s="1"/>
  <c r="AO43" i="59" s="1"/>
  <c r="AA43" i="59"/>
  <c r="AC43" i="59" s="1"/>
  <c r="AP43" i="59" s="1"/>
  <c r="Z69" i="59"/>
  <c r="AB69" i="59" s="1"/>
  <c r="AO69" i="59" s="1"/>
  <c r="AA69" i="59"/>
  <c r="AC69" i="59" s="1"/>
  <c r="AP69" i="59" s="1"/>
  <c r="Z61" i="59"/>
  <c r="AB61" i="59" s="1"/>
  <c r="AO61" i="59" s="1"/>
  <c r="AA61" i="59"/>
  <c r="AC61" i="59" s="1"/>
  <c r="AP61" i="59" s="1"/>
  <c r="Z38" i="59"/>
  <c r="AB38" i="59" s="1"/>
  <c r="AO38" i="59" s="1"/>
  <c r="AA38" i="59"/>
  <c r="AC38" i="59" s="1"/>
  <c r="AP38" i="59" s="1"/>
  <c r="Z53" i="59"/>
  <c r="AB53" i="59" s="1"/>
  <c r="AO53" i="59" s="1"/>
  <c r="AA53" i="59"/>
  <c r="AC53" i="59" s="1"/>
  <c r="AP53" i="59" s="1"/>
  <c r="AA46" i="59"/>
  <c r="AC46" i="59" s="1"/>
  <c r="AP46" i="59" s="1"/>
  <c r="Z46" i="59"/>
  <c r="AB46" i="59" s="1"/>
  <c r="AO46" i="59" s="1"/>
  <c r="Z72" i="59"/>
  <c r="AB72" i="59" s="1"/>
  <c r="AO72" i="59" s="1"/>
  <c r="AA72" i="59"/>
  <c r="AC72" i="59" s="1"/>
  <c r="AP72" i="59" s="1"/>
  <c r="Z54" i="59"/>
  <c r="AB54" i="59" s="1"/>
  <c r="AO54" i="59" s="1"/>
  <c r="AA54" i="59"/>
  <c r="AC54" i="59" s="1"/>
  <c r="AP54" i="59" s="1"/>
  <c r="Z31" i="59"/>
  <c r="AB31" i="59" s="1"/>
  <c r="AO31" i="59" s="1"/>
  <c r="AA31" i="59"/>
  <c r="AC31" i="59" s="1"/>
  <c r="AP31" i="59" s="1"/>
  <c r="Z57" i="59"/>
  <c r="AB57" i="59" s="1"/>
  <c r="AO57" i="59" s="1"/>
  <c r="AA57" i="59"/>
  <c r="AC57" i="59" s="1"/>
  <c r="AP57" i="59" s="1"/>
  <c r="Z49" i="59"/>
  <c r="AB49" i="59" s="1"/>
  <c r="AO49" i="59" s="1"/>
  <c r="AA49" i="59"/>
  <c r="AC49" i="59" s="1"/>
  <c r="AP49" i="59" s="1"/>
  <c r="Z26" i="59"/>
  <c r="AB26" i="59" s="1"/>
  <c r="AO26" i="59" s="1"/>
  <c r="AA26" i="59"/>
  <c r="AC26" i="59" s="1"/>
  <c r="AP26" i="59" s="1"/>
  <c r="Z42" i="59"/>
  <c r="AB42" i="59" s="1"/>
  <c r="AO42" i="59" s="1"/>
  <c r="AA42" i="59"/>
  <c r="AC42" i="59" s="1"/>
  <c r="AP42" i="59" s="1"/>
  <c r="Z41" i="59"/>
  <c r="AB41" i="59" s="1"/>
  <c r="AO41" i="59" s="1"/>
  <c r="AA41" i="59"/>
  <c r="AC41" i="59" s="1"/>
  <c r="AP41" i="59" s="1"/>
  <c r="AA34" i="59"/>
  <c r="AC34" i="59" s="1"/>
  <c r="AP34" i="59" s="1"/>
  <c r="Z34" i="59"/>
  <c r="AB34" i="59" s="1"/>
  <c r="AO34" i="59" s="1"/>
  <c r="Z60" i="59"/>
  <c r="AB60" i="59" s="1"/>
  <c r="AO60" i="59" s="1"/>
  <c r="AA60" i="59"/>
  <c r="AC60" i="59" s="1"/>
  <c r="AP60" i="59" s="1"/>
  <c r="AA68" i="59"/>
  <c r="AC68" i="59" s="1"/>
  <c r="AP68" i="59" s="1"/>
  <c r="Z68" i="59"/>
  <c r="AB68" i="59" s="1"/>
  <c r="AO68" i="59" s="1"/>
  <c r="Z45" i="59"/>
  <c r="AB45" i="59" s="1"/>
  <c r="AO45" i="59" s="1"/>
  <c r="AA45" i="59"/>
  <c r="AC45" i="59" s="1"/>
  <c r="AP45" i="59" s="1"/>
  <c r="Z37" i="59"/>
  <c r="AB37" i="59" s="1"/>
  <c r="AO37" i="59" s="1"/>
  <c r="AA37" i="59"/>
  <c r="AC37" i="59" s="1"/>
  <c r="AP37" i="59" s="1"/>
  <c r="Z30" i="59"/>
  <c r="AB30" i="59" s="1"/>
  <c r="AO30" i="59" s="1"/>
  <c r="AA30" i="59"/>
  <c r="AC30" i="59" s="1"/>
  <c r="AP30" i="59" s="1"/>
  <c r="Z47" i="59"/>
  <c r="AB47" i="59" s="1"/>
  <c r="AO47" i="59" s="1"/>
  <c r="AA47" i="59"/>
  <c r="AC47" i="59" s="1"/>
  <c r="AP47" i="59" s="1"/>
  <c r="Z29" i="59"/>
  <c r="AB29" i="59" s="1"/>
  <c r="AO29" i="59" s="1"/>
  <c r="AA29" i="59"/>
  <c r="AC29" i="59" s="1"/>
  <c r="AP29" i="59" s="1"/>
  <c r="Z71" i="59"/>
  <c r="AB71" i="59" s="1"/>
  <c r="AO71" i="59" s="1"/>
  <c r="AA71" i="59"/>
  <c r="AC71" i="59" s="1"/>
  <c r="AP71" i="59" s="1"/>
  <c r="Z48" i="59"/>
  <c r="AB48" i="59" s="1"/>
  <c r="AO48" i="59" s="1"/>
  <c r="AA48" i="59"/>
  <c r="AC48" i="59" s="1"/>
  <c r="AP48" i="59" s="1"/>
  <c r="Z63" i="59"/>
  <c r="AB63" i="59" s="1"/>
  <c r="AO63" i="59" s="1"/>
  <c r="AA63" i="59"/>
  <c r="AC63" i="59" s="1"/>
  <c r="AP63" i="59" s="1"/>
  <c r="Z64" i="59"/>
  <c r="AB64" i="59" s="1"/>
  <c r="AO64" i="59" s="1"/>
  <c r="AA64" i="59"/>
  <c r="AC64" i="59" s="1"/>
  <c r="AP64" i="59" s="1"/>
  <c r="AA56" i="59"/>
  <c r="AC56" i="59" s="1"/>
  <c r="AP56" i="59" s="1"/>
  <c r="Z56" i="59"/>
  <c r="AB56" i="59" s="1"/>
  <c r="AO56" i="59" s="1"/>
  <c r="AA33" i="59"/>
  <c r="AC33" i="59" s="1"/>
  <c r="AP33" i="59" s="1"/>
  <c r="Z33" i="59"/>
  <c r="AB33" i="59" s="1"/>
  <c r="AO33" i="59" s="1"/>
  <c r="Z25" i="59"/>
  <c r="AB25" i="59" s="1"/>
  <c r="AO25" i="59" s="1"/>
  <c r="AA25" i="59"/>
  <c r="AC25" i="59" s="1"/>
  <c r="AP25" i="59" s="1"/>
  <c r="Z66" i="59"/>
  <c r="AB66" i="59" s="1"/>
  <c r="AO66" i="59" s="1"/>
  <c r="AA66" i="59"/>
  <c r="AC66" i="59" s="1"/>
  <c r="AP66" i="59" s="1"/>
  <c r="Z59" i="59"/>
  <c r="AB59" i="59" s="1"/>
  <c r="AO59" i="59" s="1"/>
  <c r="AA59" i="59"/>
  <c r="AC59" i="59" s="1"/>
  <c r="AP59" i="59" s="1"/>
  <c r="Z36" i="59"/>
  <c r="AB36" i="59" s="1"/>
  <c r="AO36" i="59" s="1"/>
  <c r="AA36" i="59"/>
  <c r="AC36" i="59" s="1"/>
  <c r="AP36" i="59" s="1"/>
  <c r="Z51" i="59"/>
  <c r="AB51" i="59" s="1"/>
  <c r="AO51" i="59" s="1"/>
  <c r="AA51" i="59"/>
  <c r="AC51" i="59" s="1"/>
  <c r="AP51" i="59" s="1"/>
  <c r="Z52" i="59"/>
  <c r="AB52" i="59" s="1"/>
  <c r="AO52" i="59" s="1"/>
  <c r="AA52" i="59"/>
  <c r="AC52" i="59" s="1"/>
  <c r="AP52" i="59" s="1"/>
  <c r="AA70" i="59"/>
  <c r="AC70" i="59" s="1"/>
  <c r="AP70" i="59" s="1"/>
  <c r="Z70" i="59"/>
  <c r="AB70" i="59" s="1"/>
  <c r="AO70" i="59" s="1"/>
  <c r="Z67" i="59"/>
  <c r="AB67" i="59" s="1"/>
  <c r="AO67" i="59" s="1"/>
  <c r="AA67" i="59"/>
  <c r="AC67" i="59" s="1"/>
  <c r="AP67" i="59" s="1"/>
  <c r="AA44" i="59"/>
  <c r="AC44" i="59" s="1"/>
  <c r="AP44" i="59" s="1"/>
  <c r="Z44" i="59"/>
  <c r="AB44" i="59" s="1"/>
  <c r="AO44" i="59" s="1"/>
  <c r="Z62" i="59"/>
  <c r="AB62" i="59" s="1"/>
  <c r="AO62" i="59" s="1"/>
  <c r="AA62" i="59"/>
  <c r="AC62" i="59" s="1"/>
  <c r="AP62" i="59" s="1"/>
  <c r="S29" i="67"/>
  <c r="AN13" i="58"/>
  <c r="P62" i="67"/>
  <c r="AJ43" i="57"/>
  <c r="Z63" i="57"/>
  <c r="AB63" i="57" s="1"/>
  <c r="AO63" i="57" s="1"/>
  <c r="AA63" i="57"/>
  <c r="AC63" i="57" s="1"/>
  <c r="AP63" i="57" s="1"/>
  <c r="Z67" i="57"/>
  <c r="AB67" i="57" s="1"/>
  <c r="AO67" i="57" s="1"/>
  <c r="AA67" i="57"/>
  <c r="AC67" i="57" s="1"/>
  <c r="AP67" i="57" s="1"/>
  <c r="AA82" i="57"/>
  <c r="AC82" i="57" s="1"/>
  <c r="AP82" i="57" s="1"/>
  <c r="Z82" i="57"/>
  <c r="AB82" i="57" s="1"/>
  <c r="AO82" i="57" s="1"/>
  <c r="Z59" i="57"/>
  <c r="AB59" i="57" s="1"/>
  <c r="AO59" i="57" s="1"/>
  <c r="AA59" i="57"/>
  <c r="AC59" i="57" s="1"/>
  <c r="AP59" i="57" s="1"/>
  <c r="Z97" i="57"/>
  <c r="AB97" i="57" s="1"/>
  <c r="AO97" i="57" s="1"/>
  <c r="AA97" i="57"/>
  <c r="AC97" i="57" s="1"/>
  <c r="AP97" i="57" s="1"/>
  <c r="Z52" i="57"/>
  <c r="AB52" i="57" s="1"/>
  <c r="AO52" i="57" s="1"/>
  <c r="AA52" i="57"/>
  <c r="AC52" i="57" s="1"/>
  <c r="AP52" i="57" s="1"/>
  <c r="Z54" i="57"/>
  <c r="AB54" i="57" s="1"/>
  <c r="AO54" i="57" s="1"/>
  <c r="AA54" i="57"/>
  <c r="AC54" i="57" s="1"/>
  <c r="AP54" i="57" s="1"/>
  <c r="Z77" i="57"/>
  <c r="AB77" i="57" s="1"/>
  <c r="AO77" i="57" s="1"/>
  <c r="AA77" i="57"/>
  <c r="AC77" i="57" s="1"/>
  <c r="AP77" i="57" s="1"/>
  <c r="Z93" i="57"/>
  <c r="AB93" i="57" s="1"/>
  <c r="AO93" i="57" s="1"/>
  <c r="AA93" i="57"/>
  <c r="AC93" i="57" s="1"/>
  <c r="AP93" i="57" s="1"/>
  <c r="Z74" i="57"/>
  <c r="AB74" i="57" s="1"/>
  <c r="AO74" i="57" s="1"/>
  <c r="AA74" i="57"/>
  <c r="AC74" i="57" s="1"/>
  <c r="AP74" i="57" s="1"/>
  <c r="Z51" i="57"/>
  <c r="AB51" i="57" s="1"/>
  <c r="AO51" i="57" s="1"/>
  <c r="AA51" i="57"/>
  <c r="AC51" i="57" s="1"/>
  <c r="AP51" i="57" s="1"/>
  <c r="Z55" i="57"/>
  <c r="AB55" i="57" s="1"/>
  <c r="AO55" i="57" s="1"/>
  <c r="AA55" i="57"/>
  <c r="AC55" i="57" s="1"/>
  <c r="AP55" i="57" s="1"/>
  <c r="AA70" i="57"/>
  <c r="AC70" i="57" s="1"/>
  <c r="AP70" i="57" s="1"/>
  <c r="Z70" i="57"/>
  <c r="AB70" i="57" s="1"/>
  <c r="AO70" i="57" s="1"/>
  <c r="Z85" i="57"/>
  <c r="AB85" i="57" s="1"/>
  <c r="AO85" i="57" s="1"/>
  <c r="AA85" i="57"/>
  <c r="AC85" i="57" s="1"/>
  <c r="AP85" i="57" s="1"/>
  <c r="Z65" i="57"/>
  <c r="AB65" i="57" s="1"/>
  <c r="AO65" i="57" s="1"/>
  <c r="AA65" i="57"/>
  <c r="AC65" i="57" s="1"/>
  <c r="AP65" i="57" s="1"/>
  <c r="Z81" i="57"/>
  <c r="AB81" i="57" s="1"/>
  <c r="AO81" i="57" s="1"/>
  <c r="AA81" i="57"/>
  <c r="AC81" i="57" s="1"/>
  <c r="AP81" i="57" s="1"/>
  <c r="Z96" i="57"/>
  <c r="AB96" i="57" s="1"/>
  <c r="AO96" i="57" s="1"/>
  <c r="AA96" i="57"/>
  <c r="AC96" i="57" s="1"/>
  <c r="AP96" i="57" s="1"/>
  <c r="Z62" i="57"/>
  <c r="AB62" i="57" s="1"/>
  <c r="AO62" i="57" s="1"/>
  <c r="AA62" i="57"/>
  <c r="AC62" i="57" s="1"/>
  <c r="AP62" i="57" s="1"/>
  <c r="Z90" i="57"/>
  <c r="AB90" i="57" s="1"/>
  <c r="AO90" i="57" s="1"/>
  <c r="AA90" i="57"/>
  <c r="AC90" i="57" s="1"/>
  <c r="AP90" i="57" s="1"/>
  <c r="Z86" i="57"/>
  <c r="AB86" i="57" s="1"/>
  <c r="AO86" i="57" s="1"/>
  <c r="AA86" i="57"/>
  <c r="AC86" i="57" s="1"/>
  <c r="AP86" i="57" s="1"/>
  <c r="AA92" i="57"/>
  <c r="AC92" i="57" s="1"/>
  <c r="AP92" i="57" s="1"/>
  <c r="Z92" i="57"/>
  <c r="AB92" i="57" s="1"/>
  <c r="AO92" i="57" s="1"/>
  <c r="AA58" i="57"/>
  <c r="AC58" i="57" s="1"/>
  <c r="AP58" i="57" s="1"/>
  <c r="Z58" i="57"/>
  <c r="AB58" i="57" s="1"/>
  <c r="AO58" i="57" s="1"/>
  <c r="Z73" i="57"/>
  <c r="AB73" i="57" s="1"/>
  <c r="AO73" i="57" s="1"/>
  <c r="AA73" i="57"/>
  <c r="AC73" i="57" s="1"/>
  <c r="AP73" i="57" s="1"/>
  <c r="Z66" i="57"/>
  <c r="AB66" i="57" s="1"/>
  <c r="AO66" i="57" s="1"/>
  <c r="AA66" i="57"/>
  <c r="AC66" i="57" s="1"/>
  <c r="AP66" i="57" s="1"/>
  <c r="Z53" i="57"/>
  <c r="AB53" i="57" s="1"/>
  <c r="AO53" i="57" s="1"/>
  <c r="AA53" i="57"/>
  <c r="AC53" i="57" s="1"/>
  <c r="AP53" i="57" s="1"/>
  <c r="Z69" i="57"/>
  <c r="AB69" i="57" s="1"/>
  <c r="AO69" i="57" s="1"/>
  <c r="AA69" i="57"/>
  <c r="AC69" i="57" s="1"/>
  <c r="AP69" i="57" s="1"/>
  <c r="Z84" i="57"/>
  <c r="AB84" i="57" s="1"/>
  <c r="AO84" i="57" s="1"/>
  <c r="AA84" i="57"/>
  <c r="AC84" i="57" s="1"/>
  <c r="AP84" i="57" s="1"/>
  <c r="Z50" i="57"/>
  <c r="AB50" i="57" s="1"/>
  <c r="AO50" i="57" s="1"/>
  <c r="AA50" i="57"/>
  <c r="AC50" i="57" s="1"/>
  <c r="AP50" i="57" s="1"/>
  <c r="Z89" i="57"/>
  <c r="AB89" i="57" s="1"/>
  <c r="AO89" i="57" s="1"/>
  <c r="AA89" i="57"/>
  <c r="AC89" i="57" s="1"/>
  <c r="AP89" i="57" s="1"/>
  <c r="AA80" i="57"/>
  <c r="AC80" i="57" s="1"/>
  <c r="AP80" i="57" s="1"/>
  <c r="Z80" i="57"/>
  <c r="AB80" i="57" s="1"/>
  <c r="AO80" i="57" s="1"/>
  <c r="Z95" i="57"/>
  <c r="AB95" i="57" s="1"/>
  <c r="AO95" i="57" s="1"/>
  <c r="AA95" i="57"/>
  <c r="AC95" i="57" s="1"/>
  <c r="AP95" i="57" s="1"/>
  <c r="Z61" i="57"/>
  <c r="AB61" i="57" s="1"/>
  <c r="AO61" i="57" s="1"/>
  <c r="AA61" i="57"/>
  <c r="AC61" i="57" s="1"/>
  <c r="AP61" i="57" s="1"/>
  <c r="Z88" i="57"/>
  <c r="AB88" i="57" s="1"/>
  <c r="AO88" i="57" s="1"/>
  <c r="AA88" i="57"/>
  <c r="AC88" i="57" s="1"/>
  <c r="AP88" i="57" s="1"/>
  <c r="Z57" i="57"/>
  <c r="AB57" i="57" s="1"/>
  <c r="AO57" i="57" s="1"/>
  <c r="AA57" i="57"/>
  <c r="AC57" i="57" s="1"/>
  <c r="AP57" i="57" s="1"/>
  <c r="Z72" i="57"/>
  <c r="AB72" i="57" s="1"/>
  <c r="AO72" i="57" s="1"/>
  <c r="AA72" i="57"/>
  <c r="AC72" i="57" s="1"/>
  <c r="AP72" i="57" s="1"/>
  <c r="Z87" i="57"/>
  <c r="AB87" i="57" s="1"/>
  <c r="AO87" i="57" s="1"/>
  <c r="AA87" i="57"/>
  <c r="AC87" i="57" s="1"/>
  <c r="AP87" i="57" s="1"/>
  <c r="A16" i="57"/>
  <c r="Z91" i="57"/>
  <c r="AB91" i="57" s="1"/>
  <c r="AO91" i="57" s="1"/>
  <c r="AA91" i="57"/>
  <c r="AC91" i="57" s="1"/>
  <c r="AP91" i="57" s="1"/>
  <c r="AA68" i="57"/>
  <c r="AC68" i="57" s="1"/>
  <c r="AP68" i="57" s="1"/>
  <c r="Z68" i="57"/>
  <c r="AB68" i="57" s="1"/>
  <c r="AO68" i="57" s="1"/>
  <c r="Z83" i="57"/>
  <c r="AB83" i="57" s="1"/>
  <c r="AO83" i="57" s="1"/>
  <c r="AA83" i="57"/>
  <c r="AC83" i="57" s="1"/>
  <c r="AP83" i="57" s="1"/>
  <c r="Z49" i="57"/>
  <c r="AB49" i="57" s="1"/>
  <c r="AO49" i="57" s="1"/>
  <c r="AA49" i="57"/>
  <c r="AC49" i="57" s="1"/>
  <c r="AP49" i="57" s="1"/>
  <c r="Z76" i="57"/>
  <c r="AB76" i="57" s="1"/>
  <c r="AO76" i="57" s="1"/>
  <c r="AA76" i="57"/>
  <c r="AC76" i="57" s="1"/>
  <c r="AP76" i="57" s="1"/>
  <c r="Z60" i="57"/>
  <c r="AB60" i="57" s="1"/>
  <c r="AO60" i="57" s="1"/>
  <c r="AA60" i="57"/>
  <c r="AC60" i="57" s="1"/>
  <c r="AP60" i="57" s="1"/>
  <c r="Z98" i="57"/>
  <c r="AB98" i="57" s="1"/>
  <c r="AO98" i="57" s="1"/>
  <c r="AA98" i="57"/>
  <c r="AC98" i="57" s="1"/>
  <c r="AP98" i="57" s="1"/>
  <c r="Z75" i="57"/>
  <c r="AB75" i="57" s="1"/>
  <c r="AO75" i="57" s="1"/>
  <c r="AA75" i="57"/>
  <c r="AC75" i="57" s="1"/>
  <c r="AP75" i="57" s="1"/>
  <c r="Z78" i="57"/>
  <c r="AB78" i="57" s="1"/>
  <c r="AO78" i="57" s="1"/>
  <c r="AA78" i="57"/>
  <c r="AC78" i="57" s="1"/>
  <c r="AP78" i="57" s="1"/>
  <c r="Z79" i="57"/>
  <c r="AB79" i="57" s="1"/>
  <c r="AO79" i="57" s="1"/>
  <c r="AA79" i="57"/>
  <c r="AC79" i="57" s="1"/>
  <c r="AP79" i="57" s="1"/>
  <c r="AA56" i="57"/>
  <c r="AC56" i="57" s="1"/>
  <c r="AP56" i="57" s="1"/>
  <c r="Z56" i="57"/>
  <c r="AB56" i="57" s="1"/>
  <c r="AO56" i="57" s="1"/>
  <c r="AA94" i="57"/>
  <c r="AC94" i="57" s="1"/>
  <c r="AP94" i="57" s="1"/>
  <c r="Z94" i="57"/>
  <c r="AB94" i="57" s="1"/>
  <c r="AO94" i="57" s="1"/>
  <c r="Z71" i="57"/>
  <c r="AB71" i="57" s="1"/>
  <c r="AO71" i="57" s="1"/>
  <c r="AA71" i="57"/>
  <c r="AC71" i="57" s="1"/>
  <c r="AP71" i="57" s="1"/>
  <c r="Z64" i="57"/>
  <c r="AB64" i="57" s="1"/>
  <c r="AO64" i="57" s="1"/>
  <c r="AA64" i="57"/>
  <c r="AC64" i="57" s="1"/>
  <c r="AP64" i="57" s="1"/>
  <c r="AJ24" i="55"/>
  <c r="AJ21" i="55"/>
  <c r="AL13" i="55"/>
  <c r="T27" i="67"/>
  <c r="AJ23" i="55"/>
  <c r="A16" i="55"/>
  <c r="Z41" i="55"/>
  <c r="AB41" i="55" s="1"/>
  <c r="AO41" i="55" s="1"/>
  <c r="AA41" i="55"/>
  <c r="AC41" i="55" s="1"/>
  <c r="AP41" i="55" s="1"/>
  <c r="Z37" i="55"/>
  <c r="AB37" i="55" s="1"/>
  <c r="AO37" i="55" s="1"/>
  <c r="AA37" i="55"/>
  <c r="AC37" i="55" s="1"/>
  <c r="AP37" i="55" s="1"/>
  <c r="Z27" i="55"/>
  <c r="AB27" i="55" s="1"/>
  <c r="AO27" i="55" s="1"/>
  <c r="AA27" i="55"/>
  <c r="AC27" i="55" s="1"/>
  <c r="AP27" i="55" s="1"/>
  <c r="AA32" i="55"/>
  <c r="AC32" i="55" s="1"/>
  <c r="AP32" i="55" s="1"/>
  <c r="Z32" i="55"/>
  <c r="AB32" i="55" s="1"/>
  <c r="AO32" i="55" s="1"/>
  <c r="Z47" i="55"/>
  <c r="AB47" i="55" s="1"/>
  <c r="AO47" i="55" s="1"/>
  <c r="AA47" i="55"/>
  <c r="AC47" i="55" s="1"/>
  <c r="AP47" i="55" s="1"/>
  <c r="Z42" i="55"/>
  <c r="AB42" i="55" s="1"/>
  <c r="AO42" i="55" s="1"/>
  <c r="AA42" i="55"/>
  <c r="AC42" i="55" s="1"/>
  <c r="AP42" i="55" s="1"/>
  <c r="Z25" i="55"/>
  <c r="AB25" i="55" s="1"/>
  <c r="AO25" i="55" s="1"/>
  <c r="AA25" i="55"/>
  <c r="AC25" i="55" s="1"/>
  <c r="AP25" i="55" s="1"/>
  <c r="AA45" i="55"/>
  <c r="AC45" i="55" s="1"/>
  <c r="AP45" i="55" s="1"/>
  <c r="Z45" i="55"/>
  <c r="AB45" i="55" s="1"/>
  <c r="AO45" i="55" s="1"/>
  <c r="Z35" i="55"/>
  <c r="AB35" i="55" s="1"/>
  <c r="AO35" i="55" s="1"/>
  <c r="AA35" i="55"/>
  <c r="AC35" i="55" s="1"/>
  <c r="AP35" i="55" s="1"/>
  <c r="Z50" i="55"/>
  <c r="AB50" i="55" s="1"/>
  <c r="AO50" i="55" s="1"/>
  <c r="AA50" i="55"/>
  <c r="AC50" i="55" s="1"/>
  <c r="AP50" i="55" s="1"/>
  <c r="Z29" i="55"/>
  <c r="AB29" i="55" s="1"/>
  <c r="AO29" i="55" s="1"/>
  <c r="AA29" i="55"/>
  <c r="AC29" i="55" s="1"/>
  <c r="AP29" i="55" s="1"/>
  <c r="Z30" i="55"/>
  <c r="AB30" i="55" s="1"/>
  <c r="AO30" i="55" s="1"/>
  <c r="AA30" i="55"/>
  <c r="AC30" i="55" s="1"/>
  <c r="AP30" i="55" s="1"/>
  <c r="Z52" i="55"/>
  <c r="AB52" i="55" s="1"/>
  <c r="AO52" i="55" s="1"/>
  <c r="AA52" i="55"/>
  <c r="AC52" i="55" s="1"/>
  <c r="AP52" i="55" s="1"/>
  <c r="AA44" i="55"/>
  <c r="AC44" i="55" s="1"/>
  <c r="AP44" i="55" s="1"/>
  <c r="Z44" i="55"/>
  <c r="AB44" i="55" s="1"/>
  <c r="AO44" i="55" s="1"/>
  <c r="AA33" i="55"/>
  <c r="AC33" i="55" s="1"/>
  <c r="AP33" i="55" s="1"/>
  <c r="Z33" i="55"/>
  <c r="AB33" i="55" s="1"/>
  <c r="AO33" i="55" s="1"/>
  <c r="Z48" i="55"/>
  <c r="AB48" i="55" s="1"/>
  <c r="AO48" i="55" s="1"/>
  <c r="AA48" i="55"/>
  <c r="AC48" i="55" s="1"/>
  <c r="AP48" i="55" s="1"/>
  <c r="Z38" i="55"/>
  <c r="AB38" i="55" s="1"/>
  <c r="AO38" i="55" s="1"/>
  <c r="AA38" i="55"/>
  <c r="AC38" i="55" s="1"/>
  <c r="AP38" i="55" s="1"/>
  <c r="Z43" i="55"/>
  <c r="AB43" i="55" s="1"/>
  <c r="AO43" i="55" s="1"/>
  <c r="AA43" i="55"/>
  <c r="AC43" i="55" s="1"/>
  <c r="AP43" i="55" s="1"/>
  <c r="Z40" i="55"/>
  <c r="AB40" i="55" s="1"/>
  <c r="AO40" i="55" s="1"/>
  <c r="AA40" i="55"/>
  <c r="AC40" i="55" s="1"/>
  <c r="AP40" i="55" s="1"/>
  <c r="Z36" i="55"/>
  <c r="AB36" i="55" s="1"/>
  <c r="AO36" i="55" s="1"/>
  <c r="AA36" i="55"/>
  <c r="AC36" i="55" s="1"/>
  <c r="AP36" i="55" s="1"/>
  <c r="Z26" i="55"/>
  <c r="AB26" i="55" s="1"/>
  <c r="AO26" i="55" s="1"/>
  <c r="AA26" i="55"/>
  <c r="AC26" i="55" s="1"/>
  <c r="AP26" i="55" s="1"/>
  <c r="Z31" i="55"/>
  <c r="AB31" i="55" s="1"/>
  <c r="AO31" i="55" s="1"/>
  <c r="AA31" i="55"/>
  <c r="AC31" i="55" s="1"/>
  <c r="AP31" i="55" s="1"/>
  <c r="AA46" i="55"/>
  <c r="AC46" i="55" s="1"/>
  <c r="AP46" i="55" s="1"/>
  <c r="Z46" i="55"/>
  <c r="AB46" i="55" s="1"/>
  <c r="AO46" i="55" s="1"/>
  <c r="Z51" i="55"/>
  <c r="AB51" i="55" s="1"/>
  <c r="AO51" i="55" s="1"/>
  <c r="AA51" i="55"/>
  <c r="AC51" i="55" s="1"/>
  <c r="AP51" i="55" s="1"/>
  <c r="Z28" i="55"/>
  <c r="AB28" i="55" s="1"/>
  <c r="AO28" i="55" s="1"/>
  <c r="AA28" i="55"/>
  <c r="AC28" i="55" s="1"/>
  <c r="AP28" i="55" s="1"/>
  <c r="Z34" i="55"/>
  <c r="AB34" i="55" s="1"/>
  <c r="AO34" i="55" s="1"/>
  <c r="AA34" i="55"/>
  <c r="AC34" i="55" s="1"/>
  <c r="AP34" i="55" s="1"/>
  <c r="Z49" i="55"/>
  <c r="AB49" i="55" s="1"/>
  <c r="AO49" i="55" s="1"/>
  <c r="AA49" i="55"/>
  <c r="AC49" i="55" s="1"/>
  <c r="AP49" i="55" s="1"/>
  <c r="Z39" i="55"/>
  <c r="AB39" i="55" s="1"/>
  <c r="AO39" i="55" s="1"/>
  <c r="AA39" i="55"/>
  <c r="AC39" i="55" s="1"/>
  <c r="AP39" i="55" s="1"/>
  <c r="AN9" i="54"/>
  <c r="T26" i="67"/>
  <c r="S26" i="67"/>
  <c r="AA32" i="54"/>
  <c r="AC32" i="54" s="1"/>
  <c r="AP32" i="54" s="1"/>
  <c r="Z32" i="54"/>
  <c r="AB32" i="54" s="1"/>
  <c r="AO32" i="54" s="1"/>
  <c r="Z36" i="54"/>
  <c r="AB36" i="54" s="1"/>
  <c r="AO36" i="54" s="1"/>
  <c r="AA36" i="54"/>
  <c r="AC36" i="54" s="1"/>
  <c r="AP36" i="54" s="1"/>
  <c r="Z30" i="54"/>
  <c r="AB30" i="54" s="1"/>
  <c r="AO30" i="54" s="1"/>
  <c r="AA30" i="54"/>
  <c r="AC30" i="54" s="1"/>
  <c r="AP30" i="54" s="1"/>
  <c r="A16" i="54"/>
  <c r="Z41" i="54"/>
  <c r="AB41" i="54" s="1"/>
  <c r="AO41" i="54" s="1"/>
  <c r="AA41" i="54"/>
  <c r="AC41" i="54" s="1"/>
  <c r="AP41" i="54" s="1"/>
  <c r="Z40" i="54"/>
  <c r="AB40" i="54" s="1"/>
  <c r="AO40" i="54" s="1"/>
  <c r="AA40" i="54"/>
  <c r="AC40" i="54" s="1"/>
  <c r="AP40" i="54" s="1"/>
  <c r="Z33" i="54"/>
  <c r="AB33" i="54" s="1"/>
  <c r="AO33" i="54" s="1"/>
  <c r="AA33" i="54"/>
  <c r="AC33" i="54" s="1"/>
  <c r="AP33" i="54" s="1"/>
  <c r="Z37" i="54"/>
  <c r="AB37" i="54" s="1"/>
  <c r="AO37" i="54" s="1"/>
  <c r="AA37" i="54"/>
  <c r="AC37" i="54" s="1"/>
  <c r="AP37" i="54" s="1"/>
  <c r="Z29" i="54"/>
  <c r="AB29" i="54" s="1"/>
  <c r="AO29" i="54" s="1"/>
  <c r="AA29" i="54"/>
  <c r="AC29" i="54" s="1"/>
  <c r="AP29" i="54" s="1"/>
  <c r="Z28" i="54"/>
  <c r="AB28" i="54" s="1"/>
  <c r="AO28" i="54" s="1"/>
  <c r="AA28" i="54"/>
  <c r="AC28" i="54" s="1"/>
  <c r="AP28" i="54" s="1"/>
  <c r="Z42" i="54"/>
  <c r="AB42" i="54" s="1"/>
  <c r="AO42" i="54" s="1"/>
  <c r="AA42" i="54"/>
  <c r="AC42" i="54" s="1"/>
  <c r="AP42" i="54" s="1"/>
  <c r="Z25" i="54"/>
  <c r="AB25" i="54" s="1"/>
  <c r="AO25" i="54" s="1"/>
  <c r="AA25" i="54"/>
  <c r="AC25" i="54" s="1"/>
  <c r="AP25" i="54" s="1"/>
  <c r="Z43" i="54"/>
  <c r="AB43" i="54" s="1"/>
  <c r="AO43" i="54" s="1"/>
  <c r="AA43" i="54"/>
  <c r="AC43" i="54" s="1"/>
  <c r="AP43" i="54" s="1"/>
  <c r="Z38" i="54"/>
  <c r="AB38" i="54" s="1"/>
  <c r="AO38" i="54" s="1"/>
  <c r="AA38" i="54"/>
  <c r="AC38" i="54" s="1"/>
  <c r="AP38" i="54" s="1"/>
  <c r="Z27" i="54"/>
  <c r="AB27" i="54" s="1"/>
  <c r="AO27" i="54" s="1"/>
  <c r="AA27" i="54"/>
  <c r="AC27" i="54" s="1"/>
  <c r="AP27" i="54" s="1"/>
  <c r="AA34" i="54"/>
  <c r="AC34" i="54" s="1"/>
  <c r="AP34" i="54" s="1"/>
  <c r="Z34" i="54"/>
  <c r="AB34" i="54" s="1"/>
  <c r="AO34" i="54" s="1"/>
  <c r="Z31" i="54"/>
  <c r="AB31" i="54" s="1"/>
  <c r="AO31" i="54" s="1"/>
  <c r="AA31" i="54"/>
  <c r="AC31" i="54" s="1"/>
  <c r="AP31" i="54" s="1"/>
  <c r="Z26" i="54"/>
  <c r="AB26" i="54" s="1"/>
  <c r="AO26" i="54" s="1"/>
  <c r="AA26" i="54"/>
  <c r="AC26" i="54" s="1"/>
  <c r="AP26" i="54" s="1"/>
  <c r="Z35" i="54"/>
  <c r="AB35" i="54" s="1"/>
  <c r="AO35" i="54" s="1"/>
  <c r="AA35" i="54"/>
  <c r="AC35" i="54" s="1"/>
  <c r="AP35" i="54" s="1"/>
  <c r="Z39" i="54"/>
  <c r="AB39" i="54" s="1"/>
  <c r="AO39" i="54" s="1"/>
  <c r="AA39" i="54"/>
  <c r="AC39" i="54" s="1"/>
  <c r="AP39" i="54" s="1"/>
  <c r="AA44" i="54"/>
  <c r="AC44" i="54" s="1"/>
  <c r="AP44" i="54" s="1"/>
  <c r="Z44" i="54"/>
  <c r="AB44" i="54" s="1"/>
  <c r="AO44" i="54" s="1"/>
  <c r="H34" i="67"/>
  <c r="AN49" i="53"/>
  <c r="AN37" i="53"/>
  <c r="AJ46" i="53"/>
  <c r="S22" i="67"/>
  <c r="Z73" i="53"/>
  <c r="AB73" i="53" s="1"/>
  <c r="AO73" i="53" s="1"/>
  <c r="AA73" i="53"/>
  <c r="AC73" i="53" s="1"/>
  <c r="AP73" i="53" s="1"/>
  <c r="Z89" i="53"/>
  <c r="AB89" i="53" s="1"/>
  <c r="AO89" i="53" s="1"/>
  <c r="AA89" i="53"/>
  <c r="AC89" i="53" s="1"/>
  <c r="AP89" i="53" s="1"/>
  <c r="Z66" i="53"/>
  <c r="AB66" i="53" s="1"/>
  <c r="AO66" i="53" s="1"/>
  <c r="AA66" i="53"/>
  <c r="AC66" i="53" s="1"/>
  <c r="AP66" i="53" s="1"/>
  <c r="Z68" i="53"/>
  <c r="AB68" i="53" s="1"/>
  <c r="AO68" i="53" s="1"/>
  <c r="AA68" i="53"/>
  <c r="AC68" i="53" s="1"/>
  <c r="AP68" i="53" s="1"/>
  <c r="Z82" i="53"/>
  <c r="AB82" i="53" s="1"/>
  <c r="AO82" i="53" s="1"/>
  <c r="AA82" i="53"/>
  <c r="AC82" i="53" s="1"/>
  <c r="AP82" i="53" s="1"/>
  <c r="Z59" i="53"/>
  <c r="AB59" i="53" s="1"/>
  <c r="AO59" i="53" s="1"/>
  <c r="AA59" i="53"/>
  <c r="AC59" i="53" s="1"/>
  <c r="AP59" i="53" s="1"/>
  <c r="Z77" i="53"/>
  <c r="AB77" i="53" s="1"/>
  <c r="AO77" i="53" s="1"/>
  <c r="AA77" i="53"/>
  <c r="AC77" i="53" s="1"/>
  <c r="AP77" i="53" s="1"/>
  <c r="Z91" i="53"/>
  <c r="AB91" i="53" s="1"/>
  <c r="AO91" i="53" s="1"/>
  <c r="AA91" i="53"/>
  <c r="AC91" i="53" s="1"/>
  <c r="AP91" i="53" s="1"/>
  <c r="Z56" i="53"/>
  <c r="AB56" i="53" s="1"/>
  <c r="AO56" i="53" s="1"/>
  <c r="AA56" i="53"/>
  <c r="AC56" i="53" s="1"/>
  <c r="AP56" i="53" s="1"/>
  <c r="Z70" i="53"/>
  <c r="AB70" i="53" s="1"/>
  <c r="AO70" i="53" s="1"/>
  <c r="AA70" i="53"/>
  <c r="AC70" i="53" s="1"/>
  <c r="AP70" i="53" s="1"/>
  <c r="Z61" i="53"/>
  <c r="AB61" i="53" s="1"/>
  <c r="AO61" i="53" s="1"/>
  <c r="AA61" i="53"/>
  <c r="AC61" i="53" s="1"/>
  <c r="AP61" i="53" s="1"/>
  <c r="AA63" i="53"/>
  <c r="AC63" i="53" s="1"/>
  <c r="AP63" i="53" s="1"/>
  <c r="Z63" i="53"/>
  <c r="AB63" i="53" s="1"/>
  <c r="AO63" i="53" s="1"/>
  <c r="Z65" i="53"/>
  <c r="AB65" i="53" s="1"/>
  <c r="AO65" i="53" s="1"/>
  <c r="AA65" i="53"/>
  <c r="AC65" i="53" s="1"/>
  <c r="AP65" i="53" s="1"/>
  <c r="Z79" i="53"/>
  <c r="AB79" i="53" s="1"/>
  <c r="AO79" i="53" s="1"/>
  <c r="AA79" i="53"/>
  <c r="AC79" i="53" s="1"/>
  <c r="AP79" i="53" s="1"/>
  <c r="Z93" i="53"/>
  <c r="AB93" i="53" s="1"/>
  <c r="AO93" i="53" s="1"/>
  <c r="AA93" i="53"/>
  <c r="AC93" i="53" s="1"/>
  <c r="AP93" i="53" s="1"/>
  <c r="Z58" i="53"/>
  <c r="AB58" i="53" s="1"/>
  <c r="AO58" i="53" s="1"/>
  <c r="AA58" i="53"/>
  <c r="AC58" i="53" s="1"/>
  <c r="AP58" i="53" s="1"/>
  <c r="Z86" i="53"/>
  <c r="AB86" i="53" s="1"/>
  <c r="AO86" i="53" s="1"/>
  <c r="AA86" i="53"/>
  <c r="AC86" i="53" s="1"/>
  <c r="AP86" i="53" s="1"/>
  <c r="AA75" i="53"/>
  <c r="AC75" i="53" s="1"/>
  <c r="AP75" i="53" s="1"/>
  <c r="Z75" i="53"/>
  <c r="AB75" i="53" s="1"/>
  <c r="AO75" i="53" s="1"/>
  <c r="AA88" i="53"/>
  <c r="AC88" i="53" s="1"/>
  <c r="AP88" i="53" s="1"/>
  <c r="Z88" i="53"/>
  <c r="AB88" i="53" s="1"/>
  <c r="AO88" i="53" s="1"/>
  <c r="Z67" i="53"/>
  <c r="AB67" i="53" s="1"/>
  <c r="AO67" i="53" s="1"/>
  <c r="AA67" i="53"/>
  <c r="AC67" i="53" s="1"/>
  <c r="AP67" i="53" s="1"/>
  <c r="Z81" i="53"/>
  <c r="AB81" i="53" s="1"/>
  <c r="AO81" i="53" s="1"/>
  <c r="AA81" i="53"/>
  <c r="AC81" i="53" s="1"/>
  <c r="AP81" i="53" s="1"/>
  <c r="Z72" i="53"/>
  <c r="AB72" i="53" s="1"/>
  <c r="AO72" i="53" s="1"/>
  <c r="AA72" i="53"/>
  <c r="AC72" i="53" s="1"/>
  <c r="AP72" i="53" s="1"/>
  <c r="A16" i="53"/>
  <c r="Z74" i="53"/>
  <c r="AB74" i="53" s="1"/>
  <c r="AO74" i="53" s="1"/>
  <c r="AA74" i="53"/>
  <c r="AC74" i="53" s="1"/>
  <c r="AP74" i="53" s="1"/>
  <c r="Z60" i="53"/>
  <c r="AB60" i="53" s="1"/>
  <c r="AO60" i="53" s="1"/>
  <c r="AA60" i="53"/>
  <c r="AC60" i="53" s="1"/>
  <c r="AP60" i="53" s="1"/>
  <c r="AA76" i="53"/>
  <c r="AC76" i="53" s="1"/>
  <c r="AP76" i="53" s="1"/>
  <c r="Z76" i="53"/>
  <c r="AB76" i="53" s="1"/>
  <c r="AO76" i="53" s="1"/>
  <c r="Z90" i="53"/>
  <c r="AB90" i="53" s="1"/>
  <c r="AO90" i="53" s="1"/>
  <c r="AA90" i="53"/>
  <c r="AC90" i="53" s="1"/>
  <c r="AP90" i="53" s="1"/>
  <c r="Z92" i="53"/>
  <c r="AB92" i="53" s="1"/>
  <c r="AO92" i="53" s="1"/>
  <c r="AA92" i="53"/>
  <c r="AC92" i="53" s="1"/>
  <c r="AP92" i="53" s="1"/>
  <c r="Z69" i="53"/>
  <c r="AB69" i="53" s="1"/>
  <c r="AO69" i="53" s="1"/>
  <c r="AA69" i="53"/>
  <c r="AC69" i="53" s="1"/>
  <c r="AP69" i="53" s="1"/>
  <c r="Z83" i="53"/>
  <c r="AB83" i="53" s="1"/>
  <c r="AO83" i="53" s="1"/>
  <c r="AA83" i="53"/>
  <c r="AC83" i="53" s="1"/>
  <c r="AP83" i="53" s="1"/>
  <c r="Z62" i="53"/>
  <c r="AB62" i="53" s="1"/>
  <c r="AO62" i="53" s="1"/>
  <c r="AA62" i="53"/>
  <c r="AC62" i="53" s="1"/>
  <c r="AP62" i="53" s="1"/>
  <c r="Z84" i="53"/>
  <c r="AB84" i="53" s="1"/>
  <c r="AO84" i="53" s="1"/>
  <c r="AA84" i="53"/>
  <c r="AC84" i="53" s="1"/>
  <c r="AP84" i="53" s="1"/>
  <c r="AA64" i="53"/>
  <c r="AC64" i="53" s="1"/>
  <c r="AP64" i="53" s="1"/>
  <c r="Z64" i="53"/>
  <c r="AB64" i="53" s="1"/>
  <c r="AO64" i="53" s="1"/>
  <c r="Z78" i="53"/>
  <c r="AB78" i="53" s="1"/>
  <c r="AO78" i="53" s="1"/>
  <c r="AA78" i="53"/>
  <c r="AC78" i="53" s="1"/>
  <c r="AP78" i="53" s="1"/>
  <c r="Z80" i="53"/>
  <c r="AB80" i="53" s="1"/>
  <c r="AO80" i="53" s="1"/>
  <c r="AA80" i="53"/>
  <c r="AC80" i="53" s="1"/>
  <c r="AP80" i="53" s="1"/>
  <c r="Z57" i="53"/>
  <c r="AB57" i="53" s="1"/>
  <c r="AO57" i="53" s="1"/>
  <c r="AA57" i="53"/>
  <c r="AC57" i="53" s="1"/>
  <c r="AP57" i="53" s="1"/>
  <c r="Z71" i="53"/>
  <c r="AB71" i="53" s="1"/>
  <c r="AO71" i="53" s="1"/>
  <c r="AA71" i="53"/>
  <c r="AC71" i="53" s="1"/>
  <c r="AP71" i="53" s="1"/>
  <c r="Z85" i="53"/>
  <c r="AB85" i="53" s="1"/>
  <c r="AO85" i="53" s="1"/>
  <c r="AA85" i="53"/>
  <c r="AC85" i="53" s="1"/>
  <c r="AP85" i="53" s="1"/>
  <c r="AA87" i="53"/>
  <c r="AC87" i="53" s="1"/>
  <c r="AP87" i="53" s="1"/>
  <c r="Z87" i="53"/>
  <c r="AB87" i="53" s="1"/>
  <c r="AO87" i="53" s="1"/>
  <c r="AN17" i="52"/>
  <c r="AN20" i="52"/>
  <c r="AJ22" i="51"/>
  <c r="AN21" i="51"/>
  <c r="S18" i="67"/>
  <c r="Z86" i="51"/>
  <c r="AB86" i="51" s="1"/>
  <c r="AO86" i="51" s="1"/>
  <c r="AA86" i="51"/>
  <c r="AC86" i="51" s="1"/>
  <c r="AP86" i="51" s="1"/>
  <c r="Z80" i="51"/>
  <c r="AB80" i="51" s="1"/>
  <c r="AO80" i="51" s="1"/>
  <c r="AA80" i="51"/>
  <c r="AC80" i="51" s="1"/>
  <c r="AP80" i="51" s="1"/>
  <c r="Z90" i="51"/>
  <c r="AB90" i="51" s="1"/>
  <c r="AO90" i="51" s="1"/>
  <c r="AA90" i="51"/>
  <c r="AC90" i="51" s="1"/>
  <c r="AP90" i="51" s="1"/>
  <c r="Z92" i="51"/>
  <c r="AB92" i="51" s="1"/>
  <c r="AO92" i="51" s="1"/>
  <c r="AA92" i="51"/>
  <c r="AC92" i="51" s="1"/>
  <c r="AP92" i="51" s="1"/>
  <c r="Z55" i="51"/>
  <c r="AB55" i="51" s="1"/>
  <c r="AO55" i="51" s="1"/>
  <c r="AA55" i="51"/>
  <c r="AC55" i="51" s="1"/>
  <c r="AP55" i="51" s="1"/>
  <c r="AA32" i="51"/>
  <c r="AC32" i="51" s="1"/>
  <c r="AP32" i="51" s="1"/>
  <c r="Z32" i="51"/>
  <c r="AB32" i="51" s="1"/>
  <c r="AO32" i="51" s="1"/>
  <c r="Z36" i="51"/>
  <c r="AB36" i="51" s="1"/>
  <c r="AO36" i="51" s="1"/>
  <c r="AA36" i="51"/>
  <c r="AC36" i="51" s="1"/>
  <c r="AP36" i="51" s="1"/>
  <c r="Z50" i="51"/>
  <c r="AB50" i="51" s="1"/>
  <c r="AO50" i="51" s="1"/>
  <c r="AA50" i="51"/>
  <c r="AC50" i="51" s="1"/>
  <c r="AP50" i="51" s="1"/>
  <c r="Z88" i="51"/>
  <c r="AB88" i="51" s="1"/>
  <c r="AO88" i="51" s="1"/>
  <c r="AA88" i="51"/>
  <c r="AC88" i="51" s="1"/>
  <c r="AP88" i="51" s="1"/>
  <c r="Z64" i="51"/>
  <c r="AB64" i="51" s="1"/>
  <c r="AO64" i="51" s="1"/>
  <c r="AA64" i="51"/>
  <c r="AC64" i="51" s="1"/>
  <c r="AP64" i="51" s="1"/>
  <c r="Z84" i="51"/>
  <c r="AB84" i="51" s="1"/>
  <c r="AO84" i="51" s="1"/>
  <c r="AA84" i="51"/>
  <c r="AC84" i="51" s="1"/>
  <c r="AP84" i="51" s="1"/>
  <c r="Z74" i="51"/>
  <c r="AB74" i="51" s="1"/>
  <c r="AO74" i="51" s="1"/>
  <c r="AA74" i="51"/>
  <c r="AC74" i="51" s="1"/>
  <c r="AP74" i="51" s="1"/>
  <c r="Z47" i="51"/>
  <c r="AB47" i="51" s="1"/>
  <c r="AO47" i="51" s="1"/>
  <c r="AA47" i="51"/>
  <c r="AC47" i="51" s="1"/>
  <c r="AP47" i="51" s="1"/>
  <c r="Z40" i="51"/>
  <c r="AB40" i="51" s="1"/>
  <c r="AO40" i="51" s="1"/>
  <c r="AA40" i="51"/>
  <c r="AC40" i="51" s="1"/>
  <c r="AP40" i="51" s="1"/>
  <c r="Z63" i="51"/>
  <c r="AB63" i="51" s="1"/>
  <c r="AO63" i="51" s="1"/>
  <c r="AA63" i="51"/>
  <c r="AC63" i="51" s="1"/>
  <c r="AP63" i="51" s="1"/>
  <c r="Z58" i="51"/>
  <c r="AB58" i="51" s="1"/>
  <c r="AO58" i="51" s="1"/>
  <c r="AA58" i="51"/>
  <c r="AC58" i="51" s="1"/>
  <c r="AP58" i="51" s="1"/>
  <c r="Z70" i="51"/>
  <c r="AB70" i="51" s="1"/>
  <c r="AO70" i="51" s="1"/>
  <c r="AA70" i="51"/>
  <c r="AC70" i="51" s="1"/>
  <c r="AP70" i="51" s="1"/>
  <c r="AA65" i="51"/>
  <c r="AC65" i="51" s="1"/>
  <c r="AP65" i="51" s="1"/>
  <c r="Z65" i="51"/>
  <c r="AB65" i="51" s="1"/>
  <c r="AO65" i="51" s="1"/>
  <c r="Z29" i="51"/>
  <c r="AB29" i="51" s="1"/>
  <c r="AO29" i="51" s="1"/>
  <c r="AA29" i="51"/>
  <c r="AC29" i="51" s="1"/>
  <c r="AP29" i="51" s="1"/>
  <c r="Z43" i="51"/>
  <c r="AB43" i="51" s="1"/>
  <c r="AO43" i="51" s="1"/>
  <c r="AA43" i="51"/>
  <c r="AC43" i="51" s="1"/>
  <c r="AP43" i="51" s="1"/>
  <c r="Z57" i="51"/>
  <c r="AB57" i="51" s="1"/>
  <c r="AO57" i="51" s="1"/>
  <c r="AA57" i="51"/>
  <c r="AC57" i="51" s="1"/>
  <c r="AP57" i="51" s="1"/>
  <c r="Z38" i="51"/>
  <c r="AB38" i="51" s="1"/>
  <c r="AO38" i="51" s="1"/>
  <c r="AA38" i="51"/>
  <c r="AC38" i="51" s="1"/>
  <c r="AP38" i="51" s="1"/>
  <c r="Z67" i="51"/>
  <c r="AB67" i="51" s="1"/>
  <c r="AO67" i="51" s="1"/>
  <c r="AA67" i="51"/>
  <c r="AC67" i="51" s="1"/>
  <c r="AP67" i="51" s="1"/>
  <c r="Z34" i="51"/>
  <c r="AB34" i="51" s="1"/>
  <c r="AO34" i="51" s="1"/>
  <c r="AA34" i="51"/>
  <c r="AC34" i="51" s="1"/>
  <c r="AP34" i="51" s="1"/>
  <c r="Z69" i="51"/>
  <c r="AB69" i="51" s="1"/>
  <c r="AO69" i="51" s="1"/>
  <c r="AA69" i="51"/>
  <c r="AC69" i="51" s="1"/>
  <c r="AP69" i="51" s="1"/>
  <c r="Z54" i="51"/>
  <c r="AB54" i="51" s="1"/>
  <c r="AO54" i="51" s="1"/>
  <c r="AA54" i="51"/>
  <c r="AC54" i="51" s="1"/>
  <c r="AP54" i="51" s="1"/>
  <c r="Z71" i="51"/>
  <c r="AB71" i="51" s="1"/>
  <c r="AO71" i="51" s="1"/>
  <c r="AA71" i="51"/>
  <c r="AC71" i="51" s="1"/>
  <c r="AP71" i="51" s="1"/>
  <c r="Z35" i="51"/>
  <c r="AB35" i="51" s="1"/>
  <c r="AO35" i="51" s="1"/>
  <c r="AA35" i="51"/>
  <c r="AC35" i="51" s="1"/>
  <c r="AP35" i="51" s="1"/>
  <c r="Z73" i="51"/>
  <c r="AB73" i="51" s="1"/>
  <c r="AO73" i="51" s="1"/>
  <c r="AA73" i="51"/>
  <c r="AC73" i="51" s="1"/>
  <c r="AP73" i="51" s="1"/>
  <c r="Z28" i="51"/>
  <c r="AB28" i="51" s="1"/>
  <c r="AO28" i="51" s="1"/>
  <c r="AA28" i="51"/>
  <c r="AC28" i="51" s="1"/>
  <c r="AP28" i="51" s="1"/>
  <c r="Z62" i="51"/>
  <c r="AB62" i="51" s="1"/>
  <c r="AO62" i="51" s="1"/>
  <c r="AA62" i="51"/>
  <c r="AC62" i="51" s="1"/>
  <c r="AP62" i="51" s="1"/>
  <c r="Z85" i="51"/>
  <c r="AB85" i="51" s="1"/>
  <c r="AO85" i="51" s="1"/>
  <c r="AA85" i="51"/>
  <c r="AC85" i="51" s="1"/>
  <c r="AP85" i="51" s="1"/>
  <c r="Z41" i="51"/>
  <c r="AB41" i="51" s="1"/>
  <c r="AO41" i="51" s="1"/>
  <c r="AA41" i="51"/>
  <c r="AC41" i="51" s="1"/>
  <c r="AP41" i="51" s="1"/>
  <c r="Z42" i="51"/>
  <c r="AB42" i="51" s="1"/>
  <c r="AO42" i="51" s="1"/>
  <c r="AA42" i="51"/>
  <c r="AC42" i="51" s="1"/>
  <c r="AP42" i="51" s="1"/>
  <c r="Z31" i="51"/>
  <c r="AB31" i="51" s="1"/>
  <c r="AO31" i="51" s="1"/>
  <c r="AA31" i="51"/>
  <c r="AC31" i="51" s="1"/>
  <c r="AP31" i="51" s="1"/>
  <c r="Z45" i="51"/>
  <c r="AB45" i="51" s="1"/>
  <c r="AO45" i="51" s="1"/>
  <c r="AA45" i="51"/>
  <c r="AC45" i="51" s="1"/>
  <c r="AP45" i="51" s="1"/>
  <c r="Z26" i="51"/>
  <c r="AB26" i="51" s="1"/>
  <c r="AO26" i="51" s="1"/>
  <c r="AA26" i="51"/>
  <c r="AC26" i="51" s="1"/>
  <c r="AP26" i="51" s="1"/>
  <c r="Z59" i="51"/>
  <c r="AB59" i="51" s="1"/>
  <c r="AO59" i="51" s="1"/>
  <c r="AA59" i="51"/>
  <c r="AC59" i="51" s="1"/>
  <c r="AP59" i="51" s="1"/>
  <c r="Z66" i="51"/>
  <c r="AB66" i="51" s="1"/>
  <c r="AO66" i="51" s="1"/>
  <c r="AA66" i="51"/>
  <c r="AC66" i="51" s="1"/>
  <c r="AP66" i="51" s="1"/>
  <c r="Z82" i="51"/>
  <c r="AB82" i="51" s="1"/>
  <c r="AO82" i="51" s="1"/>
  <c r="AA82" i="51"/>
  <c r="AC82" i="51" s="1"/>
  <c r="AP82" i="51" s="1"/>
  <c r="Z87" i="51"/>
  <c r="AB87" i="51" s="1"/>
  <c r="AO87" i="51" s="1"/>
  <c r="AA87" i="51"/>
  <c r="AC87" i="51" s="1"/>
  <c r="AP87" i="51" s="1"/>
  <c r="Z89" i="51"/>
  <c r="AB89" i="51" s="1"/>
  <c r="AO89" i="51" s="1"/>
  <c r="AA89" i="51"/>
  <c r="AC89" i="51" s="1"/>
  <c r="AP89" i="51" s="1"/>
  <c r="AA61" i="51"/>
  <c r="AC61" i="51" s="1"/>
  <c r="AP61" i="51" s="1"/>
  <c r="Z61" i="51"/>
  <c r="AB61" i="51" s="1"/>
  <c r="AO61" i="51" s="1"/>
  <c r="Z51" i="51"/>
  <c r="AB51" i="51" s="1"/>
  <c r="AO51" i="51" s="1"/>
  <c r="AA51" i="51"/>
  <c r="AC51" i="51" s="1"/>
  <c r="AP51" i="51" s="1"/>
  <c r="Z91" i="51"/>
  <c r="AB91" i="51" s="1"/>
  <c r="AO91" i="51" s="1"/>
  <c r="AA91" i="51"/>
  <c r="AC91" i="51" s="1"/>
  <c r="AP91" i="51" s="1"/>
  <c r="Z30" i="51"/>
  <c r="AB30" i="51" s="1"/>
  <c r="AO30" i="51" s="1"/>
  <c r="AA30" i="51"/>
  <c r="AC30" i="51" s="1"/>
  <c r="AP30" i="51" s="1"/>
  <c r="Z68" i="51"/>
  <c r="AB68" i="51" s="1"/>
  <c r="AO68" i="51" s="1"/>
  <c r="AA68" i="51"/>
  <c r="AC68" i="51" s="1"/>
  <c r="AP68" i="51" s="1"/>
  <c r="Z33" i="51"/>
  <c r="AB33" i="51" s="1"/>
  <c r="AO33" i="51" s="1"/>
  <c r="AA33" i="51"/>
  <c r="AC33" i="51" s="1"/>
  <c r="AP33" i="51" s="1"/>
  <c r="AA72" i="51"/>
  <c r="AC72" i="51" s="1"/>
  <c r="AP72" i="51" s="1"/>
  <c r="Z72" i="51"/>
  <c r="AB72" i="51" s="1"/>
  <c r="AO72" i="51" s="1"/>
  <c r="Z48" i="51"/>
  <c r="AB48" i="51" s="1"/>
  <c r="AO48" i="51" s="1"/>
  <c r="AA48" i="51"/>
  <c r="AC48" i="51" s="1"/>
  <c r="AP48" i="51" s="1"/>
  <c r="Z25" i="51"/>
  <c r="AB25" i="51" s="1"/>
  <c r="AO25" i="51" s="1"/>
  <c r="AA25" i="51"/>
  <c r="AC25" i="51" s="1"/>
  <c r="AP25" i="51" s="1"/>
  <c r="Z78" i="51"/>
  <c r="AB78" i="51" s="1"/>
  <c r="AO78" i="51" s="1"/>
  <c r="AA78" i="51"/>
  <c r="AC78" i="51" s="1"/>
  <c r="AP78" i="51" s="1"/>
  <c r="AA83" i="51"/>
  <c r="AC83" i="51" s="1"/>
  <c r="AP83" i="51" s="1"/>
  <c r="Z83" i="51"/>
  <c r="AB83" i="51" s="1"/>
  <c r="AO83" i="51" s="1"/>
  <c r="Z49" i="51"/>
  <c r="AB49" i="51" s="1"/>
  <c r="AO49" i="51" s="1"/>
  <c r="AA49" i="51"/>
  <c r="AC49" i="51" s="1"/>
  <c r="AP49" i="51" s="1"/>
  <c r="Z39" i="51"/>
  <c r="AB39" i="51" s="1"/>
  <c r="AO39" i="51" s="1"/>
  <c r="AA39" i="51"/>
  <c r="AC39" i="51" s="1"/>
  <c r="AP39" i="51" s="1"/>
  <c r="Z81" i="51"/>
  <c r="AB81" i="51" s="1"/>
  <c r="AO81" i="51" s="1"/>
  <c r="AA81" i="51"/>
  <c r="AC81" i="51" s="1"/>
  <c r="AP81" i="51" s="1"/>
  <c r="Z93" i="51"/>
  <c r="AB93" i="51" s="1"/>
  <c r="AO93" i="51" s="1"/>
  <c r="AA93" i="51"/>
  <c r="AC93" i="51" s="1"/>
  <c r="AP93" i="51" s="1"/>
  <c r="AA77" i="51"/>
  <c r="AC77" i="51" s="1"/>
  <c r="AP77" i="51" s="1"/>
  <c r="Z77" i="51"/>
  <c r="AB77" i="51" s="1"/>
  <c r="AO77" i="51" s="1"/>
  <c r="Z52" i="51"/>
  <c r="AB52" i="51" s="1"/>
  <c r="AO52" i="51" s="1"/>
  <c r="AA52" i="51"/>
  <c r="AC52" i="51" s="1"/>
  <c r="AP52" i="51" s="1"/>
  <c r="Z79" i="51"/>
  <c r="AB79" i="51" s="1"/>
  <c r="AO79" i="51" s="1"/>
  <c r="AA79" i="51"/>
  <c r="AC79" i="51" s="1"/>
  <c r="AP79" i="51" s="1"/>
  <c r="AA56" i="51"/>
  <c r="AC56" i="51" s="1"/>
  <c r="AP56" i="51" s="1"/>
  <c r="Z56" i="51"/>
  <c r="AB56" i="51" s="1"/>
  <c r="AO56" i="51" s="1"/>
  <c r="Z60" i="51"/>
  <c r="AB60" i="51" s="1"/>
  <c r="AO60" i="51" s="1"/>
  <c r="AA60" i="51"/>
  <c r="AC60" i="51" s="1"/>
  <c r="AP60" i="51" s="1"/>
  <c r="AA44" i="51"/>
  <c r="AC44" i="51" s="1"/>
  <c r="AP44" i="51" s="1"/>
  <c r="Z44" i="51"/>
  <c r="AB44" i="51" s="1"/>
  <c r="AO44" i="51" s="1"/>
  <c r="A16" i="51"/>
  <c r="Z75" i="51"/>
  <c r="AB75" i="51" s="1"/>
  <c r="AO75" i="51" s="1"/>
  <c r="AA75" i="51"/>
  <c r="AC75" i="51" s="1"/>
  <c r="AP75" i="51" s="1"/>
  <c r="Z53" i="51"/>
  <c r="AB53" i="51" s="1"/>
  <c r="AO53" i="51" s="1"/>
  <c r="AA53" i="51"/>
  <c r="AC53" i="51" s="1"/>
  <c r="AP53" i="51" s="1"/>
  <c r="Z76" i="51"/>
  <c r="AB76" i="51" s="1"/>
  <c r="AO76" i="51" s="1"/>
  <c r="AA76" i="51"/>
  <c r="AC76" i="51" s="1"/>
  <c r="AP76" i="51" s="1"/>
  <c r="Z46" i="51"/>
  <c r="AB46" i="51" s="1"/>
  <c r="AO46" i="51" s="1"/>
  <c r="AA46" i="51"/>
  <c r="AC46" i="51" s="1"/>
  <c r="AP46" i="51" s="1"/>
  <c r="Z37" i="51"/>
  <c r="AB37" i="51" s="1"/>
  <c r="AO37" i="51" s="1"/>
  <c r="AA37" i="51"/>
  <c r="AC37" i="51" s="1"/>
  <c r="AP37" i="51" s="1"/>
  <c r="Z27" i="51"/>
  <c r="AB27" i="51" s="1"/>
  <c r="AO27" i="51" s="1"/>
  <c r="AA27" i="51"/>
  <c r="AC27" i="51" s="1"/>
  <c r="AP27" i="51" s="1"/>
  <c r="AL10" i="49"/>
  <c r="AJ7" i="49"/>
  <c r="AL7" i="16"/>
  <c r="AN8" i="47"/>
  <c r="T15" i="67"/>
  <c r="A16" i="47"/>
  <c r="AJ75" i="46"/>
  <c r="AN64" i="46"/>
  <c r="AN74" i="46"/>
  <c r="Z209" i="46"/>
  <c r="AB209" i="46" s="1"/>
  <c r="AO209" i="46" s="1"/>
  <c r="AA209" i="46"/>
  <c r="AC209" i="46" s="1"/>
  <c r="AP209" i="46" s="1"/>
  <c r="Z210" i="46"/>
  <c r="AB210" i="46" s="1"/>
  <c r="AO210" i="46" s="1"/>
  <c r="AA210" i="46"/>
  <c r="AC210" i="46" s="1"/>
  <c r="AP210" i="46" s="1"/>
  <c r="Z214" i="46"/>
  <c r="AB214" i="46" s="1"/>
  <c r="AO214" i="46" s="1"/>
  <c r="AA214" i="46"/>
  <c r="AC214" i="46" s="1"/>
  <c r="AP214" i="46" s="1"/>
  <c r="Z211" i="46"/>
  <c r="AB211" i="46" s="1"/>
  <c r="AO211" i="46" s="1"/>
  <c r="AA211" i="46"/>
  <c r="AC211" i="46" s="1"/>
  <c r="AP211" i="46" s="1"/>
  <c r="Z213" i="46"/>
  <c r="AB213" i="46" s="1"/>
  <c r="AO213" i="46" s="1"/>
  <c r="AA213" i="46"/>
  <c r="AC213" i="46" s="1"/>
  <c r="AP213" i="46" s="1"/>
  <c r="Z212" i="46"/>
  <c r="AB212" i="46" s="1"/>
  <c r="AO212" i="46" s="1"/>
  <c r="AA212" i="46"/>
  <c r="AC212" i="46" s="1"/>
  <c r="AP212" i="46" s="1"/>
  <c r="Z215" i="46"/>
  <c r="AB215" i="46" s="1"/>
  <c r="AO215" i="46" s="1"/>
  <c r="AA215" i="46"/>
  <c r="AC215" i="46" s="1"/>
  <c r="AP215" i="46" s="1"/>
  <c r="S14" i="67"/>
  <c r="AN79" i="46"/>
  <c r="AN54" i="46"/>
  <c r="AN78" i="46"/>
  <c r="AN69" i="46"/>
  <c r="AL79" i="46"/>
  <c r="AL68" i="46"/>
  <c r="AJ78" i="46"/>
  <c r="AJ58" i="46"/>
  <c r="AN52" i="46"/>
  <c r="Z150" i="46"/>
  <c r="AB150" i="46" s="1"/>
  <c r="AO150" i="46" s="1"/>
  <c r="AA150" i="46"/>
  <c r="AC150" i="46" s="1"/>
  <c r="AP150" i="46" s="1"/>
  <c r="AA175" i="46"/>
  <c r="AC175" i="46" s="1"/>
  <c r="AP175" i="46" s="1"/>
  <c r="Z175" i="46"/>
  <c r="AB175" i="46" s="1"/>
  <c r="AO175" i="46" s="1"/>
  <c r="Z197" i="46"/>
  <c r="AB197" i="46" s="1"/>
  <c r="AO197" i="46" s="1"/>
  <c r="AA197" i="46"/>
  <c r="AC197" i="46" s="1"/>
  <c r="AP197" i="46" s="1"/>
  <c r="AA134" i="46"/>
  <c r="AC134" i="46" s="1"/>
  <c r="AP134" i="46" s="1"/>
  <c r="Z134" i="46"/>
  <c r="AB134" i="46" s="1"/>
  <c r="AO134" i="46" s="1"/>
  <c r="Z159" i="46"/>
  <c r="AB159" i="46" s="1"/>
  <c r="AO159" i="46" s="1"/>
  <c r="AA159" i="46"/>
  <c r="AC159" i="46" s="1"/>
  <c r="AP159" i="46" s="1"/>
  <c r="Z149" i="46"/>
  <c r="AB149" i="46" s="1"/>
  <c r="AO149" i="46" s="1"/>
  <c r="AA149" i="46"/>
  <c r="AC149" i="46" s="1"/>
  <c r="AP149" i="46" s="1"/>
  <c r="Z207" i="46"/>
  <c r="AB207" i="46" s="1"/>
  <c r="AO207" i="46" s="1"/>
  <c r="AA207" i="46"/>
  <c r="AC207" i="46" s="1"/>
  <c r="AP207" i="46" s="1"/>
  <c r="Z165" i="46"/>
  <c r="AB165" i="46" s="1"/>
  <c r="AO165" i="46" s="1"/>
  <c r="AA165" i="46"/>
  <c r="AC165" i="46" s="1"/>
  <c r="AP165" i="46" s="1"/>
  <c r="Z142" i="46"/>
  <c r="AB142" i="46" s="1"/>
  <c r="AO142" i="46" s="1"/>
  <c r="AA142" i="46"/>
  <c r="AC142" i="46" s="1"/>
  <c r="AP142" i="46" s="1"/>
  <c r="Z107" i="46"/>
  <c r="AB107" i="46" s="1"/>
  <c r="AO107" i="46" s="1"/>
  <c r="AA107" i="46"/>
  <c r="AC107" i="46" s="1"/>
  <c r="AP107" i="46" s="1"/>
  <c r="AA122" i="46"/>
  <c r="AC122" i="46" s="1"/>
  <c r="AP122" i="46" s="1"/>
  <c r="Z122" i="46"/>
  <c r="AB122" i="46" s="1"/>
  <c r="AO122" i="46" s="1"/>
  <c r="AA90" i="46"/>
  <c r="AC90" i="46" s="1"/>
  <c r="AP90" i="46" s="1"/>
  <c r="Z90" i="46"/>
  <c r="AB90" i="46" s="1"/>
  <c r="AO90" i="46" s="1"/>
  <c r="Z198" i="46"/>
  <c r="AB198" i="46" s="1"/>
  <c r="AO198" i="46" s="1"/>
  <c r="AA198" i="46"/>
  <c r="AC198" i="46" s="1"/>
  <c r="AP198" i="46" s="1"/>
  <c r="Z201" i="46"/>
  <c r="AB201" i="46" s="1"/>
  <c r="AO201" i="46" s="1"/>
  <c r="AA201" i="46"/>
  <c r="AC201" i="46" s="1"/>
  <c r="AP201" i="46" s="1"/>
  <c r="Z191" i="46"/>
  <c r="AB191" i="46" s="1"/>
  <c r="AO191" i="46" s="1"/>
  <c r="AA191" i="46"/>
  <c r="AC191" i="46" s="1"/>
  <c r="AP191" i="46" s="1"/>
  <c r="Z167" i="46"/>
  <c r="AB167" i="46" s="1"/>
  <c r="AO167" i="46" s="1"/>
  <c r="AA167" i="46"/>
  <c r="AC167" i="46" s="1"/>
  <c r="AP167" i="46" s="1"/>
  <c r="AA187" i="46"/>
  <c r="AC187" i="46" s="1"/>
  <c r="AP187" i="46" s="1"/>
  <c r="Z187" i="46"/>
  <c r="AB187" i="46" s="1"/>
  <c r="AO187" i="46" s="1"/>
  <c r="AA188" i="46"/>
  <c r="AC188" i="46" s="1"/>
  <c r="AP188" i="46" s="1"/>
  <c r="Z188" i="46"/>
  <c r="AB188" i="46" s="1"/>
  <c r="AO188" i="46" s="1"/>
  <c r="Z144" i="46"/>
  <c r="AB144" i="46" s="1"/>
  <c r="AO144" i="46" s="1"/>
  <c r="AA144" i="46"/>
  <c r="AC144" i="46" s="1"/>
  <c r="AP144" i="46" s="1"/>
  <c r="AA158" i="46"/>
  <c r="AC158" i="46" s="1"/>
  <c r="AP158" i="46" s="1"/>
  <c r="Z158" i="46"/>
  <c r="AB158" i="46" s="1"/>
  <c r="AO158" i="46" s="1"/>
  <c r="Z147" i="46"/>
  <c r="AB147" i="46" s="1"/>
  <c r="AO147" i="46" s="1"/>
  <c r="AA147" i="46"/>
  <c r="AC147" i="46" s="1"/>
  <c r="AP147" i="46" s="1"/>
  <c r="Z111" i="46"/>
  <c r="AB111" i="46" s="1"/>
  <c r="AO111" i="46" s="1"/>
  <c r="AA111" i="46"/>
  <c r="AC111" i="46" s="1"/>
  <c r="AP111" i="46" s="1"/>
  <c r="Z89" i="46"/>
  <c r="AB89" i="46" s="1"/>
  <c r="AO89" i="46" s="1"/>
  <c r="AA89" i="46"/>
  <c r="AC89" i="46" s="1"/>
  <c r="AP89" i="46" s="1"/>
  <c r="Z139" i="46"/>
  <c r="AB139" i="46" s="1"/>
  <c r="AO139" i="46" s="1"/>
  <c r="AA139" i="46"/>
  <c r="AC139" i="46" s="1"/>
  <c r="AP139" i="46" s="1"/>
  <c r="Z116" i="46"/>
  <c r="AB116" i="46" s="1"/>
  <c r="AO116" i="46" s="1"/>
  <c r="AA116" i="46"/>
  <c r="AC116" i="46" s="1"/>
  <c r="AP116" i="46" s="1"/>
  <c r="Z93" i="46"/>
  <c r="AB93" i="46" s="1"/>
  <c r="AO93" i="46" s="1"/>
  <c r="AA93" i="46"/>
  <c r="AC93" i="46" s="1"/>
  <c r="AP93" i="46" s="1"/>
  <c r="Z84" i="46"/>
  <c r="AB84" i="46" s="1"/>
  <c r="AO84" i="46" s="1"/>
  <c r="AA84" i="46"/>
  <c r="AC84" i="46" s="1"/>
  <c r="AP84" i="46" s="1"/>
  <c r="Z203" i="46"/>
  <c r="AB203" i="46" s="1"/>
  <c r="AO203" i="46" s="1"/>
  <c r="AA203" i="46"/>
  <c r="AC203" i="46" s="1"/>
  <c r="AP203" i="46" s="1"/>
  <c r="Z182" i="46"/>
  <c r="AB182" i="46" s="1"/>
  <c r="AO182" i="46" s="1"/>
  <c r="AA182" i="46"/>
  <c r="AC182" i="46" s="1"/>
  <c r="AP182" i="46" s="1"/>
  <c r="Z155" i="46"/>
  <c r="AB155" i="46" s="1"/>
  <c r="AO155" i="46" s="1"/>
  <c r="AA155" i="46"/>
  <c r="AC155" i="46" s="1"/>
  <c r="AP155" i="46" s="1"/>
  <c r="Z195" i="46"/>
  <c r="AB195" i="46" s="1"/>
  <c r="AO195" i="46" s="1"/>
  <c r="AA195" i="46"/>
  <c r="AC195" i="46" s="1"/>
  <c r="AP195" i="46" s="1"/>
  <c r="Z153" i="46"/>
  <c r="AB153" i="46" s="1"/>
  <c r="AO153" i="46" s="1"/>
  <c r="AA153" i="46"/>
  <c r="AC153" i="46" s="1"/>
  <c r="AP153" i="46" s="1"/>
  <c r="Z95" i="46"/>
  <c r="AB95" i="46" s="1"/>
  <c r="AO95" i="46" s="1"/>
  <c r="AA95" i="46"/>
  <c r="AC95" i="46" s="1"/>
  <c r="AP95" i="46" s="1"/>
  <c r="Z133" i="46"/>
  <c r="AB133" i="46" s="1"/>
  <c r="AO133" i="46" s="1"/>
  <c r="AA133" i="46"/>
  <c r="AC133" i="46" s="1"/>
  <c r="AP133" i="46" s="1"/>
  <c r="Z110" i="46"/>
  <c r="AB110" i="46" s="1"/>
  <c r="AO110" i="46" s="1"/>
  <c r="AA110" i="46"/>
  <c r="AC110" i="46" s="1"/>
  <c r="AP110" i="46" s="1"/>
  <c r="Z105" i="46"/>
  <c r="AB105" i="46" s="1"/>
  <c r="AO105" i="46" s="1"/>
  <c r="AA105" i="46"/>
  <c r="AC105" i="46" s="1"/>
  <c r="AP105" i="46" s="1"/>
  <c r="Z199" i="46"/>
  <c r="AB199" i="46" s="1"/>
  <c r="AO199" i="46" s="1"/>
  <c r="AA199" i="46"/>
  <c r="AC199" i="46" s="1"/>
  <c r="AP199" i="46" s="1"/>
  <c r="AA189" i="46"/>
  <c r="AC189" i="46" s="1"/>
  <c r="AP189" i="46" s="1"/>
  <c r="Z189" i="46"/>
  <c r="AB189" i="46" s="1"/>
  <c r="AO189" i="46" s="1"/>
  <c r="Z173" i="46"/>
  <c r="AB173" i="46" s="1"/>
  <c r="AO173" i="46" s="1"/>
  <c r="AA173" i="46"/>
  <c r="AC173" i="46" s="1"/>
  <c r="AP173" i="46" s="1"/>
  <c r="AA176" i="46"/>
  <c r="AC176" i="46" s="1"/>
  <c r="AP176" i="46" s="1"/>
  <c r="Z176" i="46"/>
  <c r="AB176" i="46" s="1"/>
  <c r="AO176" i="46" s="1"/>
  <c r="Z88" i="46"/>
  <c r="AB88" i="46" s="1"/>
  <c r="AO88" i="46" s="1"/>
  <c r="AA88" i="46"/>
  <c r="AC88" i="46" s="1"/>
  <c r="AP88" i="46" s="1"/>
  <c r="Z169" i="46"/>
  <c r="AB169" i="46" s="1"/>
  <c r="AO169" i="46" s="1"/>
  <c r="AA169" i="46"/>
  <c r="AC169" i="46" s="1"/>
  <c r="AP169" i="46" s="1"/>
  <c r="Z146" i="46"/>
  <c r="AB146" i="46" s="1"/>
  <c r="AO146" i="46" s="1"/>
  <c r="AA146" i="46"/>
  <c r="AC146" i="46" s="1"/>
  <c r="AP146" i="46" s="1"/>
  <c r="Z140" i="46"/>
  <c r="AB140" i="46" s="1"/>
  <c r="AO140" i="46" s="1"/>
  <c r="AA140" i="46"/>
  <c r="AC140" i="46" s="1"/>
  <c r="AP140" i="46" s="1"/>
  <c r="Z99" i="46"/>
  <c r="AB99" i="46" s="1"/>
  <c r="AO99" i="46" s="1"/>
  <c r="AA99" i="46"/>
  <c r="AC99" i="46" s="1"/>
  <c r="AP99" i="46" s="1"/>
  <c r="Z138" i="46"/>
  <c r="AB138" i="46" s="1"/>
  <c r="AO138" i="46" s="1"/>
  <c r="AA138" i="46"/>
  <c r="AC138" i="46" s="1"/>
  <c r="AP138" i="46" s="1"/>
  <c r="Z127" i="46"/>
  <c r="AB127" i="46" s="1"/>
  <c r="AO127" i="46" s="1"/>
  <c r="AA127" i="46"/>
  <c r="AC127" i="46" s="1"/>
  <c r="AP127" i="46" s="1"/>
  <c r="Z104" i="46"/>
  <c r="AB104" i="46" s="1"/>
  <c r="AO104" i="46" s="1"/>
  <c r="AA104" i="46"/>
  <c r="AC104" i="46" s="1"/>
  <c r="AP104" i="46" s="1"/>
  <c r="Z130" i="46"/>
  <c r="AB130" i="46" s="1"/>
  <c r="AO130" i="46" s="1"/>
  <c r="AA130" i="46"/>
  <c r="AC130" i="46" s="1"/>
  <c r="AP130" i="46" s="1"/>
  <c r="Z204" i="46"/>
  <c r="AB204" i="46" s="1"/>
  <c r="AO204" i="46" s="1"/>
  <c r="AA204" i="46"/>
  <c r="AC204" i="46" s="1"/>
  <c r="AP204" i="46" s="1"/>
  <c r="AA184" i="46"/>
  <c r="AC184" i="46" s="1"/>
  <c r="AP184" i="46" s="1"/>
  <c r="Z184" i="46"/>
  <c r="AB184" i="46" s="1"/>
  <c r="AO184" i="46" s="1"/>
  <c r="Z206" i="46"/>
  <c r="AB206" i="46" s="1"/>
  <c r="AO206" i="46" s="1"/>
  <c r="AA206" i="46"/>
  <c r="AC206" i="46" s="1"/>
  <c r="AP206" i="46" s="1"/>
  <c r="Z136" i="46"/>
  <c r="AB136" i="46" s="1"/>
  <c r="AO136" i="46" s="1"/>
  <c r="AA136" i="46"/>
  <c r="AC136" i="46" s="1"/>
  <c r="AP136" i="46" s="1"/>
  <c r="Z83" i="46"/>
  <c r="AB83" i="46" s="1"/>
  <c r="AO83" i="46" s="1"/>
  <c r="AA83" i="46"/>
  <c r="AC83" i="46" s="1"/>
  <c r="AP83" i="46" s="1"/>
  <c r="Z121" i="46"/>
  <c r="AB121" i="46" s="1"/>
  <c r="AO121" i="46" s="1"/>
  <c r="AA121" i="46"/>
  <c r="AC121" i="46" s="1"/>
  <c r="AP121" i="46" s="1"/>
  <c r="Z98" i="46"/>
  <c r="AB98" i="46" s="1"/>
  <c r="AO98" i="46" s="1"/>
  <c r="AA98" i="46"/>
  <c r="AC98" i="46" s="1"/>
  <c r="AP98" i="46" s="1"/>
  <c r="Z124" i="46"/>
  <c r="AB124" i="46" s="1"/>
  <c r="AO124" i="46" s="1"/>
  <c r="AA124" i="46"/>
  <c r="AC124" i="46" s="1"/>
  <c r="AP124" i="46" s="1"/>
  <c r="Z162" i="46"/>
  <c r="AB162" i="46" s="1"/>
  <c r="AO162" i="46" s="1"/>
  <c r="AA162" i="46"/>
  <c r="AC162" i="46" s="1"/>
  <c r="AP162" i="46" s="1"/>
  <c r="AA164" i="46"/>
  <c r="AC164" i="46" s="1"/>
  <c r="AP164" i="46" s="1"/>
  <c r="Z164" i="46"/>
  <c r="AB164" i="46" s="1"/>
  <c r="AO164" i="46" s="1"/>
  <c r="Z143" i="46"/>
  <c r="AB143" i="46" s="1"/>
  <c r="AO143" i="46" s="1"/>
  <c r="AA143" i="46"/>
  <c r="AC143" i="46" s="1"/>
  <c r="AP143" i="46" s="1"/>
  <c r="Z157" i="46"/>
  <c r="AB157" i="46" s="1"/>
  <c r="AO157" i="46" s="1"/>
  <c r="AA157" i="46"/>
  <c r="AC157" i="46" s="1"/>
  <c r="AP157" i="46" s="1"/>
  <c r="AA172" i="46"/>
  <c r="AC172" i="46" s="1"/>
  <c r="AP172" i="46" s="1"/>
  <c r="Z172" i="46"/>
  <c r="AB172" i="46" s="1"/>
  <c r="AO172" i="46" s="1"/>
  <c r="Z87" i="46"/>
  <c r="AB87" i="46" s="1"/>
  <c r="AO87" i="46" s="1"/>
  <c r="AA87" i="46"/>
  <c r="AC87" i="46" s="1"/>
  <c r="AP87" i="46" s="1"/>
  <c r="AA126" i="46"/>
  <c r="AC126" i="46" s="1"/>
  <c r="AP126" i="46" s="1"/>
  <c r="Z126" i="46"/>
  <c r="AB126" i="46" s="1"/>
  <c r="AO126" i="46" s="1"/>
  <c r="AA115" i="46"/>
  <c r="AC115" i="46" s="1"/>
  <c r="AP115" i="46" s="1"/>
  <c r="Z115" i="46"/>
  <c r="AB115" i="46" s="1"/>
  <c r="AO115" i="46" s="1"/>
  <c r="Z92" i="46"/>
  <c r="AB92" i="46" s="1"/>
  <c r="AO92" i="46" s="1"/>
  <c r="AA92" i="46"/>
  <c r="AC92" i="46" s="1"/>
  <c r="AP92" i="46" s="1"/>
  <c r="Z118" i="46"/>
  <c r="AB118" i="46" s="1"/>
  <c r="AO118" i="46" s="1"/>
  <c r="AA118" i="46"/>
  <c r="AC118" i="46" s="1"/>
  <c r="AP118" i="46" s="1"/>
  <c r="Z132" i="46"/>
  <c r="AB132" i="46" s="1"/>
  <c r="AO132" i="46" s="1"/>
  <c r="AA132" i="46"/>
  <c r="AC132" i="46" s="1"/>
  <c r="AP132" i="46" s="1"/>
  <c r="Z181" i="46"/>
  <c r="AB181" i="46" s="1"/>
  <c r="AO181" i="46" s="1"/>
  <c r="AA181" i="46"/>
  <c r="AC181" i="46" s="1"/>
  <c r="AP181" i="46" s="1"/>
  <c r="Z196" i="46"/>
  <c r="AB196" i="46" s="1"/>
  <c r="AO196" i="46" s="1"/>
  <c r="AA196" i="46"/>
  <c r="AC196" i="46" s="1"/>
  <c r="AP196" i="46" s="1"/>
  <c r="Z100" i="46"/>
  <c r="AB100" i="46" s="1"/>
  <c r="AO100" i="46" s="1"/>
  <c r="AA100" i="46"/>
  <c r="AC100" i="46" s="1"/>
  <c r="AP100" i="46" s="1"/>
  <c r="Z156" i="46"/>
  <c r="AB156" i="46" s="1"/>
  <c r="AO156" i="46" s="1"/>
  <c r="AA156" i="46"/>
  <c r="AC156" i="46" s="1"/>
  <c r="AP156" i="46" s="1"/>
  <c r="AA137" i="46"/>
  <c r="AC137" i="46" s="1"/>
  <c r="AP137" i="46" s="1"/>
  <c r="Z137" i="46"/>
  <c r="AB137" i="46" s="1"/>
  <c r="AO137" i="46" s="1"/>
  <c r="Z101" i="46"/>
  <c r="AB101" i="46" s="1"/>
  <c r="AO101" i="46" s="1"/>
  <c r="AA101" i="46"/>
  <c r="AC101" i="46" s="1"/>
  <c r="AP101" i="46" s="1"/>
  <c r="Z128" i="46"/>
  <c r="AB128" i="46" s="1"/>
  <c r="AO128" i="46" s="1"/>
  <c r="AA128" i="46"/>
  <c r="AC128" i="46" s="1"/>
  <c r="AP128" i="46" s="1"/>
  <c r="AA161" i="46"/>
  <c r="AC161" i="46" s="1"/>
  <c r="AP161" i="46" s="1"/>
  <c r="Z161" i="46"/>
  <c r="AB161" i="46" s="1"/>
  <c r="AO161" i="46" s="1"/>
  <c r="Z202" i="46"/>
  <c r="AB202" i="46" s="1"/>
  <c r="AO202" i="46" s="1"/>
  <c r="AA202" i="46"/>
  <c r="AC202" i="46" s="1"/>
  <c r="AP202" i="46" s="1"/>
  <c r="Z192" i="46"/>
  <c r="AB192" i="46" s="1"/>
  <c r="AO192" i="46" s="1"/>
  <c r="AA192" i="46"/>
  <c r="AC192" i="46" s="1"/>
  <c r="AP192" i="46" s="1"/>
  <c r="Z194" i="46"/>
  <c r="AB194" i="46" s="1"/>
  <c r="AO194" i="46" s="1"/>
  <c r="AA194" i="46"/>
  <c r="AC194" i="46" s="1"/>
  <c r="AP194" i="46" s="1"/>
  <c r="Z123" i="46"/>
  <c r="AB123" i="46" s="1"/>
  <c r="AO123" i="46" s="1"/>
  <c r="AA123" i="46"/>
  <c r="AC123" i="46" s="1"/>
  <c r="AP123" i="46" s="1"/>
  <c r="AA178" i="46"/>
  <c r="AC178" i="46" s="1"/>
  <c r="AP178" i="46" s="1"/>
  <c r="Z178" i="46"/>
  <c r="AB178" i="46" s="1"/>
  <c r="AO178" i="46" s="1"/>
  <c r="Z135" i="46"/>
  <c r="AB135" i="46" s="1"/>
  <c r="AO135" i="46" s="1"/>
  <c r="AA135" i="46"/>
  <c r="AC135" i="46" s="1"/>
  <c r="AP135" i="46" s="1"/>
  <c r="Z109" i="46"/>
  <c r="AB109" i="46" s="1"/>
  <c r="AO109" i="46" s="1"/>
  <c r="AA109" i="46"/>
  <c r="AC109" i="46" s="1"/>
  <c r="AP109" i="46" s="1"/>
  <c r="Z86" i="46"/>
  <c r="AB86" i="46" s="1"/>
  <c r="AO86" i="46" s="1"/>
  <c r="AA86" i="46"/>
  <c r="AC86" i="46" s="1"/>
  <c r="AP86" i="46" s="1"/>
  <c r="A16" i="46"/>
  <c r="Z205" i="46"/>
  <c r="AB205" i="46" s="1"/>
  <c r="AO205" i="46" s="1"/>
  <c r="AA205" i="46"/>
  <c r="AC205" i="46" s="1"/>
  <c r="AP205" i="46" s="1"/>
  <c r="Z112" i="46"/>
  <c r="AB112" i="46" s="1"/>
  <c r="AO112" i="46" s="1"/>
  <c r="AA112" i="46"/>
  <c r="AC112" i="46" s="1"/>
  <c r="AP112" i="46" s="1"/>
  <c r="Z163" i="46"/>
  <c r="AB163" i="46" s="1"/>
  <c r="AO163" i="46" s="1"/>
  <c r="AA163" i="46"/>
  <c r="AC163" i="46" s="1"/>
  <c r="AP163" i="46" s="1"/>
  <c r="AA152" i="46"/>
  <c r="AC152" i="46" s="1"/>
  <c r="AP152" i="46" s="1"/>
  <c r="Z152" i="46"/>
  <c r="AB152" i="46" s="1"/>
  <c r="AO152" i="46" s="1"/>
  <c r="AA180" i="46"/>
  <c r="AC180" i="46" s="1"/>
  <c r="AP180" i="46" s="1"/>
  <c r="Z180" i="46"/>
  <c r="AB180" i="46" s="1"/>
  <c r="AO180" i="46" s="1"/>
  <c r="Z145" i="46"/>
  <c r="AB145" i="46" s="1"/>
  <c r="AO145" i="46" s="1"/>
  <c r="AA145" i="46"/>
  <c r="AC145" i="46" s="1"/>
  <c r="AP145" i="46" s="1"/>
  <c r="Z183" i="46"/>
  <c r="AB183" i="46" s="1"/>
  <c r="AO183" i="46" s="1"/>
  <c r="AA183" i="46"/>
  <c r="AC183" i="46" s="1"/>
  <c r="AP183" i="46" s="1"/>
  <c r="Z160" i="46"/>
  <c r="AB160" i="46" s="1"/>
  <c r="AO160" i="46" s="1"/>
  <c r="AA160" i="46"/>
  <c r="AC160" i="46" s="1"/>
  <c r="AP160" i="46" s="1"/>
  <c r="Z125" i="46"/>
  <c r="AB125" i="46" s="1"/>
  <c r="AO125" i="46" s="1"/>
  <c r="AA125" i="46"/>
  <c r="AC125" i="46" s="1"/>
  <c r="AP125" i="46" s="1"/>
  <c r="AA114" i="46"/>
  <c r="AC114" i="46" s="1"/>
  <c r="AP114" i="46" s="1"/>
  <c r="Z114" i="46"/>
  <c r="AB114" i="46" s="1"/>
  <c r="AO114" i="46" s="1"/>
  <c r="AA103" i="46"/>
  <c r="AC103" i="46" s="1"/>
  <c r="AP103" i="46" s="1"/>
  <c r="Z103" i="46"/>
  <c r="AB103" i="46" s="1"/>
  <c r="AO103" i="46" s="1"/>
  <c r="Z129" i="46"/>
  <c r="AB129" i="46" s="1"/>
  <c r="AO129" i="46" s="1"/>
  <c r="AA129" i="46"/>
  <c r="AC129" i="46" s="1"/>
  <c r="AP129" i="46" s="1"/>
  <c r="Z106" i="46"/>
  <c r="AB106" i="46" s="1"/>
  <c r="AO106" i="46" s="1"/>
  <c r="AA106" i="46"/>
  <c r="AC106" i="46" s="1"/>
  <c r="AP106" i="46" s="1"/>
  <c r="Z120" i="46"/>
  <c r="AB120" i="46" s="1"/>
  <c r="AO120" i="46" s="1"/>
  <c r="AA120" i="46"/>
  <c r="AC120" i="46" s="1"/>
  <c r="AP120" i="46" s="1"/>
  <c r="Z96" i="46"/>
  <c r="AB96" i="46" s="1"/>
  <c r="AO96" i="46" s="1"/>
  <c r="AA96" i="46"/>
  <c r="AC96" i="46" s="1"/>
  <c r="AP96" i="46" s="1"/>
  <c r="AA200" i="46"/>
  <c r="AC200" i="46" s="1"/>
  <c r="AP200" i="46" s="1"/>
  <c r="Z200" i="46"/>
  <c r="AB200" i="46" s="1"/>
  <c r="AO200" i="46" s="1"/>
  <c r="AA190" i="46"/>
  <c r="AC190" i="46" s="1"/>
  <c r="AP190" i="46" s="1"/>
  <c r="Z190" i="46"/>
  <c r="AB190" i="46" s="1"/>
  <c r="AO190" i="46" s="1"/>
  <c r="Z186" i="46"/>
  <c r="AB186" i="46" s="1"/>
  <c r="AO186" i="46" s="1"/>
  <c r="AA186" i="46"/>
  <c r="AC186" i="46" s="1"/>
  <c r="AP186" i="46" s="1"/>
  <c r="Z179" i="46"/>
  <c r="AB179" i="46" s="1"/>
  <c r="AO179" i="46" s="1"/>
  <c r="AA179" i="46"/>
  <c r="AC179" i="46" s="1"/>
  <c r="AP179" i="46" s="1"/>
  <c r="Z166" i="46"/>
  <c r="AB166" i="46" s="1"/>
  <c r="AO166" i="46" s="1"/>
  <c r="AA166" i="46"/>
  <c r="AC166" i="46" s="1"/>
  <c r="AP166" i="46" s="1"/>
  <c r="Z97" i="46"/>
  <c r="AB97" i="46" s="1"/>
  <c r="AO97" i="46" s="1"/>
  <c r="AA97" i="46"/>
  <c r="AC97" i="46" s="1"/>
  <c r="AP97" i="46" s="1"/>
  <c r="Z174" i="46"/>
  <c r="AB174" i="46" s="1"/>
  <c r="AO174" i="46" s="1"/>
  <c r="AA174" i="46"/>
  <c r="AC174" i="46" s="1"/>
  <c r="AP174" i="46" s="1"/>
  <c r="Z185" i="46"/>
  <c r="AB185" i="46" s="1"/>
  <c r="AO185" i="46" s="1"/>
  <c r="AA185" i="46"/>
  <c r="AC185" i="46" s="1"/>
  <c r="AP185" i="46" s="1"/>
  <c r="Z193" i="46"/>
  <c r="AB193" i="46" s="1"/>
  <c r="AO193" i="46" s="1"/>
  <c r="AA193" i="46"/>
  <c r="AC193" i="46" s="1"/>
  <c r="AP193" i="46" s="1"/>
  <c r="Z177" i="46"/>
  <c r="AB177" i="46" s="1"/>
  <c r="AO177" i="46" s="1"/>
  <c r="AA177" i="46"/>
  <c r="AC177" i="46" s="1"/>
  <c r="AP177" i="46" s="1"/>
  <c r="Z208" i="46"/>
  <c r="AB208" i="46" s="1"/>
  <c r="AO208" i="46" s="1"/>
  <c r="AA208" i="46"/>
  <c r="AC208" i="46" s="1"/>
  <c r="AP208" i="46" s="1"/>
  <c r="Z151" i="46"/>
  <c r="AB151" i="46" s="1"/>
  <c r="AO151" i="46" s="1"/>
  <c r="AA151" i="46"/>
  <c r="AC151" i="46" s="1"/>
  <c r="AP151" i="46" s="1"/>
  <c r="AA141" i="46"/>
  <c r="AC141" i="46" s="1"/>
  <c r="AP141" i="46" s="1"/>
  <c r="Z141" i="46"/>
  <c r="AB141" i="46" s="1"/>
  <c r="AO141" i="46" s="1"/>
  <c r="Z168" i="46"/>
  <c r="AB168" i="46" s="1"/>
  <c r="AO168" i="46" s="1"/>
  <c r="AA168" i="46"/>
  <c r="AC168" i="46" s="1"/>
  <c r="AP168" i="46" s="1"/>
  <c r="Z171" i="46"/>
  <c r="AB171" i="46" s="1"/>
  <c r="AO171" i="46" s="1"/>
  <c r="AA171" i="46"/>
  <c r="AC171" i="46" s="1"/>
  <c r="AP171" i="46" s="1"/>
  <c r="Z148" i="46"/>
  <c r="AB148" i="46" s="1"/>
  <c r="AO148" i="46" s="1"/>
  <c r="AA148" i="46"/>
  <c r="AC148" i="46" s="1"/>
  <c r="AP148" i="46" s="1"/>
  <c r="Z113" i="46"/>
  <c r="AB113" i="46" s="1"/>
  <c r="AO113" i="46" s="1"/>
  <c r="AA113" i="46"/>
  <c r="AC113" i="46" s="1"/>
  <c r="AP113" i="46" s="1"/>
  <c r="AA102" i="46"/>
  <c r="AC102" i="46" s="1"/>
  <c r="AP102" i="46" s="1"/>
  <c r="Z102" i="46"/>
  <c r="AB102" i="46" s="1"/>
  <c r="AO102" i="46" s="1"/>
  <c r="AA91" i="46"/>
  <c r="AC91" i="46" s="1"/>
  <c r="AP91" i="46" s="1"/>
  <c r="Z91" i="46"/>
  <c r="AB91" i="46" s="1"/>
  <c r="AO91" i="46" s="1"/>
  <c r="Z117" i="46"/>
  <c r="AB117" i="46" s="1"/>
  <c r="AO117" i="46" s="1"/>
  <c r="AA117" i="46"/>
  <c r="AC117" i="46" s="1"/>
  <c r="AP117" i="46" s="1"/>
  <c r="Z94" i="46"/>
  <c r="AB94" i="46" s="1"/>
  <c r="AO94" i="46" s="1"/>
  <c r="AA94" i="46"/>
  <c r="AC94" i="46" s="1"/>
  <c r="AP94" i="46" s="1"/>
  <c r="Z108" i="46"/>
  <c r="AB108" i="46" s="1"/>
  <c r="AO108" i="46" s="1"/>
  <c r="AA108" i="46"/>
  <c r="AC108" i="46" s="1"/>
  <c r="AP108" i="46" s="1"/>
  <c r="AA170" i="46"/>
  <c r="AC170" i="46" s="1"/>
  <c r="AP170" i="46" s="1"/>
  <c r="Z170" i="46"/>
  <c r="AB170" i="46" s="1"/>
  <c r="AO170" i="46" s="1"/>
  <c r="Z119" i="46"/>
  <c r="AB119" i="46" s="1"/>
  <c r="AO119" i="46" s="1"/>
  <c r="AA119" i="46"/>
  <c r="AC119" i="46" s="1"/>
  <c r="AP119" i="46" s="1"/>
  <c r="Z154" i="46"/>
  <c r="AB154" i="46" s="1"/>
  <c r="AO154" i="46" s="1"/>
  <c r="AA154" i="46"/>
  <c r="AC154" i="46" s="1"/>
  <c r="AP154" i="46" s="1"/>
  <c r="AA131" i="46"/>
  <c r="AC131" i="46" s="1"/>
  <c r="AP131" i="46" s="1"/>
  <c r="Z131" i="46"/>
  <c r="AB131" i="46" s="1"/>
  <c r="AO131" i="46" s="1"/>
  <c r="Z85" i="46"/>
  <c r="AB85" i="46" s="1"/>
  <c r="AO85" i="46" s="1"/>
  <c r="AA85" i="46"/>
  <c r="AC85" i="46" s="1"/>
  <c r="AP85" i="46" s="1"/>
  <c r="AN22" i="45"/>
  <c r="AJ20" i="45"/>
  <c r="AN21" i="45"/>
  <c r="AN24" i="45"/>
  <c r="T13" i="67"/>
  <c r="Z42" i="45"/>
  <c r="AB42" i="45" s="1"/>
  <c r="AO42" i="45" s="1"/>
  <c r="AA42" i="45"/>
  <c r="AC42" i="45" s="1"/>
  <c r="AP42" i="45" s="1"/>
  <c r="Z31" i="45"/>
  <c r="AB31" i="45" s="1"/>
  <c r="AO31" i="45" s="1"/>
  <c r="AA31" i="45"/>
  <c r="AC31" i="45" s="1"/>
  <c r="AP31" i="45" s="1"/>
  <c r="Z33" i="45"/>
  <c r="AB33" i="45" s="1"/>
  <c r="AO33" i="45" s="1"/>
  <c r="AA33" i="45"/>
  <c r="AC33" i="45" s="1"/>
  <c r="AP33" i="45" s="1"/>
  <c r="Z47" i="45"/>
  <c r="AB47" i="45" s="1"/>
  <c r="AO47" i="45" s="1"/>
  <c r="AA47" i="45"/>
  <c r="AC47" i="45" s="1"/>
  <c r="AP47" i="45" s="1"/>
  <c r="Z49" i="45"/>
  <c r="AB49" i="45" s="1"/>
  <c r="AO49" i="45" s="1"/>
  <c r="AA49" i="45"/>
  <c r="AC49" i="45" s="1"/>
  <c r="AP49" i="45" s="1"/>
  <c r="Z28" i="45"/>
  <c r="AB28" i="45" s="1"/>
  <c r="AO28" i="45" s="1"/>
  <c r="AA28" i="45"/>
  <c r="AC28" i="45" s="1"/>
  <c r="AP28" i="45" s="1"/>
  <c r="Z53" i="45"/>
  <c r="AB53" i="45" s="1"/>
  <c r="AO53" i="45" s="1"/>
  <c r="AA53" i="45"/>
  <c r="AC53" i="45" s="1"/>
  <c r="AP53" i="45" s="1"/>
  <c r="Z51" i="45"/>
  <c r="AB51" i="45" s="1"/>
  <c r="AO51" i="45" s="1"/>
  <c r="AA51" i="45"/>
  <c r="AC51" i="45" s="1"/>
  <c r="AP51" i="45" s="1"/>
  <c r="AA56" i="45"/>
  <c r="AC56" i="45" s="1"/>
  <c r="AP56" i="45" s="1"/>
  <c r="Z56" i="45"/>
  <c r="AB56" i="45" s="1"/>
  <c r="AO56" i="45" s="1"/>
  <c r="Z35" i="45"/>
  <c r="AB35" i="45" s="1"/>
  <c r="AO35" i="45" s="1"/>
  <c r="AA35" i="45"/>
  <c r="AC35" i="45" s="1"/>
  <c r="AP35" i="45" s="1"/>
  <c r="Z37" i="45"/>
  <c r="AB37" i="45" s="1"/>
  <c r="AO37" i="45" s="1"/>
  <c r="AA37" i="45"/>
  <c r="AC37" i="45" s="1"/>
  <c r="AP37" i="45" s="1"/>
  <c r="Z41" i="45"/>
  <c r="AB41" i="45" s="1"/>
  <c r="AO41" i="45" s="1"/>
  <c r="AA41" i="45"/>
  <c r="AC41" i="45" s="1"/>
  <c r="AP41" i="45" s="1"/>
  <c r="AA58" i="45"/>
  <c r="AC58" i="45" s="1"/>
  <c r="AP58" i="45" s="1"/>
  <c r="Z58" i="45"/>
  <c r="AB58" i="45" s="1"/>
  <c r="AO58" i="45" s="1"/>
  <c r="Z39" i="45"/>
  <c r="AB39" i="45" s="1"/>
  <c r="AO39" i="45" s="1"/>
  <c r="AA39" i="45"/>
  <c r="AC39" i="45" s="1"/>
  <c r="AP39" i="45" s="1"/>
  <c r="Z26" i="45"/>
  <c r="AB26" i="45" s="1"/>
  <c r="AO26" i="45" s="1"/>
  <c r="AA26" i="45"/>
  <c r="AC26" i="45" s="1"/>
  <c r="AP26" i="45" s="1"/>
  <c r="AA44" i="45"/>
  <c r="AC44" i="45" s="1"/>
  <c r="AP44" i="45" s="1"/>
  <c r="Z44" i="45"/>
  <c r="AB44" i="45" s="1"/>
  <c r="AO44" i="45" s="1"/>
  <c r="Z60" i="45"/>
  <c r="AB60" i="45" s="1"/>
  <c r="AO60" i="45" s="1"/>
  <c r="AA60" i="45"/>
  <c r="AC60" i="45" s="1"/>
  <c r="AP60" i="45" s="1"/>
  <c r="Z25" i="45"/>
  <c r="AB25" i="45" s="1"/>
  <c r="AO25" i="45" s="1"/>
  <c r="AA25" i="45"/>
  <c r="AC25" i="45" s="1"/>
  <c r="AP25" i="45" s="1"/>
  <c r="Z29" i="45"/>
  <c r="AB29" i="45" s="1"/>
  <c r="AO29" i="45" s="1"/>
  <c r="AA29" i="45"/>
  <c r="AC29" i="45" s="1"/>
  <c r="AP29" i="45" s="1"/>
  <c r="AA46" i="45"/>
  <c r="AC46" i="45" s="1"/>
  <c r="AP46" i="45" s="1"/>
  <c r="Z46" i="45"/>
  <c r="AB46" i="45" s="1"/>
  <c r="AO46" i="45" s="1"/>
  <c r="Z27" i="45"/>
  <c r="AB27" i="45" s="1"/>
  <c r="AO27" i="45" s="1"/>
  <c r="AA27" i="45"/>
  <c r="AC27" i="45" s="1"/>
  <c r="AP27" i="45" s="1"/>
  <c r="AA32" i="45"/>
  <c r="AC32" i="45" s="1"/>
  <c r="AP32" i="45" s="1"/>
  <c r="Z32" i="45"/>
  <c r="AB32" i="45" s="1"/>
  <c r="AO32" i="45" s="1"/>
  <c r="Z48" i="45"/>
  <c r="AB48" i="45" s="1"/>
  <c r="AO48" i="45" s="1"/>
  <c r="AA48" i="45"/>
  <c r="AC48" i="45" s="1"/>
  <c r="AP48" i="45" s="1"/>
  <c r="Z54" i="45"/>
  <c r="AB54" i="45" s="1"/>
  <c r="AO54" i="45" s="1"/>
  <c r="AA54" i="45"/>
  <c r="AC54" i="45" s="1"/>
  <c r="AP54" i="45" s="1"/>
  <c r="Z34" i="45"/>
  <c r="AB34" i="45" s="1"/>
  <c r="AO34" i="45" s="1"/>
  <c r="AA34" i="45"/>
  <c r="AC34" i="45" s="1"/>
  <c r="AP34" i="45" s="1"/>
  <c r="Z50" i="45"/>
  <c r="AB50" i="45" s="1"/>
  <c r="AO50" i="45" s="1"/>
  <c r="AA50" i="45"/>
  <c r="AC50" i="45" s="1"/>
  <c r="AP50" i="45" s="1"/>
  <c r="Z30" i="45"/>
  <c r="AB30" i="45" s="1"/>
  <c r="AO30" i="45" s="1"/>
  <c r="AA30" i="45"/>
  <c r="AC30" i="45" s="1"/>
  <c r="AP30" i="45" s="1"/>
  <c r="Z55" i="45"/>
  <c r="AB55" i="45" s="1"/>
  <c r="AO55" i="45" s="1"/>
  <c r="AA55" i="45"/>
  <c r="AC55" i="45" s="1"/>
  <c r="AP55" i="45" s="1"/>
  <c r="Z57" i="45"/>
  <c r="AB57" i="45" s="1"/>
  <c r="AO57" i="45" s="1"/>
  <c r="AA57" i="45"/>
  <c r="AC57" i="45" s="1"/>
  <c r="AP57" i="45" s="1"/>
  <c r="Z36" i="45"/>
  <c r="AB36" i="45" s="1"/>
  <c r="AO36" i="45" s="1"/>
  <c r="AA36" i="45"/>
  <c r="AC36" i="45" s="1"/>
  <c r="AP36" i="45" s="1"/>
  <c r="Z52" i="45"/>
  <c r="AB52" i="45" s="1"/>
  <c r="AO52" i="45" s="1"/>
  <c r="AA52" i="45"/>
  <c r="AC52" i="45" s="1"/>
  <c r="AP52" i="45" s="1"/>
  <c r="Z38" i="45"/>
  <c r="AB38" i="45" s="1"/>
  <c r="AO38" i="45" s="1"/>
  <c r="AA38" i="45"/>
  <c r="AC38" i="45" s="1"/>
  <c r="AP38" i="45" s="1"/>
  <c r="A16" i="45"/>
  <c r="Z43" i="45"/>
  <c r="AB43" i="45" s="1"/>
  <c r="AO43" i="45" s="1"/>
  <c r="AA43" i="45"/>
  <c r="AC43" i="45" s="1"/>
  <c r="AP43" i="45" s="1"/>
  <c r="Z45" i="45"/>
  <c r="AB45" i="45" s="1"/>
  <c r="AO45" i="45" s="1"/>
  <c r="AA45" i="45"/>
  <c r="AC45" i="45" s="1"/>
  <c r="AP45" i="45" s="1"/>
  <c r="Z59" i="45"/>
  <c r="AB59" i="45" s="1"/>
  <c r="AO59" i="45" s="1"/>
  <c r="AA59" i="45"/>
  <c r="AC59" i="45" s="1"/>
  <c r="AP59" i="45" s="1"/>
  <c r="Z61" i="45"/>
  <c r="AB61" i="45" s="1"/>
  <c r="AO61" i="45" s="1"/>
  <c r="AA61" i="45"/>
  <c r="AC61" i="45" s="1"/>
  <c r="AP61" i="45" s="1"/>
  <c r="Z40" i="45"/>
  <c r="AB40" i="45" s="1"/>
  <c r="AO40" i="45" s="1"/>
  <c r="AA40" i="45"/>
  <c r="AC40" i="45" s="1"/>
  <c r="AP40" i="45" s="1"/>
  <c r="AL21" i="44"/>
  <c r="AJ19" i="44"/>
  <c r="AJ22" i="44"/>
  <c r="T12" i="67"/>
  <c r="AJ20" i="44"/>
  <c r="Z29" i="44"/>
  <c r="AB29" i="44" s="1"/>
  <c r="AO29" i="44" s="1"/>
  <c r="AA29" i="44"/>
  <c r="AC29" i="44" s="1"/>
  <c r="AP29" i="44" s="1"/>
  <c r="Z35" i="44"/>
  <c r="AB35" i="44" s="1"/>
  <c r="AO35" i="44" s="1"/>
  <c r="AA35" i="44"/>
  <c r="AC35" i="44" s="1"/>
  <c r="AP35" i="44" s="1"/>
  <c r="Z30" i="44"/>
  <c r="AB30" i="44" s="1"/>
  <c r="AO30" i="44" s="1"/>
  <c r="AA30" i="44"/>
  <c r="AC30" i="44" s="1"/>
  <c r="AP30" i="44" s="1"/>
  <c r="Z36" i="44"/>
  <c r="AB36" i="44" s="1"/>
  <c r="AO36" i="44" s="1"/>
  <c r="AA36" i="44"/>
  <c r="AC36" i="44" s="1"/>
  <c r="AP36" i="44" s="1"/>
  <c r="Z31" i="44"/>
  <c r="AB31" i="44" s="1"/>
  <c r="AO31" i="44" s="1"/>
  <c r="AA31" i="44"/>
  <c r="AC31" i="44" s="1"/>
  <c r="AP31" i="44" s="1"/>
  <c r="Z25" i="44"/>
  <c r="AB25" i="44" s="1"/>
  <c r="AO25" i="44" s="1"/>
  <c r="AA25" i="44"/>
  <c r="AC25" i="44" s="1"/>
  <c r="AP25" i="44" s="1"/>
  <c r="AA32" i="44"/>
  <c r="AC32" i="44" s="1"/>
  <c r="AP32" i="44" s="1"/>
  <c r="Z32" i="44"/>
  <c r="AB32" i="44" s="1"/>
  <c r="AO32" i="44" s="1"/>
  <c r="Z26" i="44"/>
  <c r="AB26" i="44" s="1"/>
  <c r="AO26" i="44" s="1"/>
  <c r="AA26" i="44"/>
  <c r="AC26" i="44" s="1"/>
  <c r="AP26" i="44" s="1"/>
  <c r="AA33" i="44"/>
  <c r="AC33" i="44" s="1"/>
  <c r="AP33" i="44" s="1"/>
  <c r="Z33" i="44"/>
  <c r="AB33" i="44" s="1"/>
  <c r="AO33" i="44" s="1"/>
  <c r="Z27" i="44"/>
  <c r="AB27" i="44" s="1"/>
  <c r="AO27" i="44" s="1"/>
  <c r="AA27" i="44"/>
  <c r="AC27" i="44" s="1"/>
  <c r="AP27" i="44" s="1"/>
  <c r="A16" i="44"/>
  <c r="Z34" i="44"/>
  <c r="AB34" i="44" s="1"/>
  <c r="AO34" i="44" s="1"/>
  <c r="AA34" i="44"/>
  <c r="AC34" i="44" s="1"/>
  <c r="AP34" i="44" s="1"/>
  <c r="Z28" i="44"/>
  <c r="AB28" i="44" s="1"/>
  <c r="AO28" i="44" s="1"/>
  <c r="AA28" i="44"/>
  <c r="AC28" i="44" s="1"/>
  <c r="AP28" i="44" s="1"/>
  <c r="AP20" i="43"/>
  <c r="T11" i="67"/>
  <c r="AN23" i="43"/>
  <c r="AP23" i="43" s="1"/>
  <c r="AA5" i="43"/>
  <c r="AC5" i="43" s="1"/>
  <c r="AP5" i="43" s="1"/>
  <c r="AJ23" i="43"/>
  <c r="Z20" i="43"/>
  <c r="AB20" i="43" s="1"/>
  <c r="AO20" i="43" s="1"/>
  <c r="AJ21" i="43"/>
  <c r="A16" i="43"/>
  <c r="AA9" i="43"/>
  <c r="AC9" i="43" s="1"/>
  <c r="AP9" i="43" s="1"/>
  <c r="Z9" i="43"/>
  <c r="AB9" i="43" s="1"/>
  <c r="AO9" i="43" s="1"/>
  <c r="AA44" i="43"/>
  <c r="AC44" i="43" s="1"/>
  <c r="AP44" i="43" s="1"/>
  <c r="Z44" i="43"/>
  <c r="AB44" i="43" s="1"/>
  <c r="AO44" i="43" s="1"/>
  <c r="Z47" i="43"/>
  <c r="AB47" i="43" s="1"/>
  <c r="AO47" i="43" s="1"/>
  <c r="AA47" i="43"/>
  <c r="AC47" i="43" s="1"/>
  <c r="AP47" i="43" s="1"/>
  <c r="Z27" i="43"/>
  <c r="AB27" i="43" s="1"/>
  <c r="AO27" i="43" s="1"/>
  <c r="AA27" i="43"/>
  <c r="AC27" i="43" s="1"/>
  <c r="AP27" i="43" s="1"/>
  <c r="AA10" i="43"/>
  <c r="AC10" i="43" s="1"/>
  <c r="AP10" i="43" s="1"/>
  <c r="Z10" i="43"/>
  <c r="AB10" i="43" s="1"/>
  <c r="AO10" i="43" s="1"/>
  <c r="AA11" i="43"/>
  <c r="AC11" i="43" s="1"/>
  <c r="AP11" i="43" s="1"/>
  <c r="Z11" i="43"/>
  <c r="AB11" i="43" s="1"/>
  <c r="AO11" i="43" s="1"/>
  <c r="Z25" i="43"/>
  <c r="AB25" i="43" s="1"/>
  <c r="AO25" i="43" s="1"/>
  <c r="AA25" i="43"/>
  <c r="AC25" i="43" s="1"/>
  <c r="AP25" i="43" s="1"/>
  <c r="AA12" i="43"/>
  <c r="AC12" i="43" s="1"/>
  <c r="AP12" i="43" s="1"/>
  <c r="Z12" i="43"/>
  <c r="AB12" i="43" s="1"/>
  <c r="AO12" i="43" s="1"/>
  <c r="Z14" i="43"/>
  <c r="AB14" i="43" s="1"/>
  <c r="AO14" i="43" s="1"/>
  <c r="AA14" i="43"/>
  <c r="AC14" i="43" s="1"/>
  <c r="AP14" i="43" s="1"/>
  <c r="AA32" i="43"/>
  <c r="AC32" i="43" s="1"/>
  <c r="AP32" i="43" s="1"/>
  <c r="Z32" i="43"/>
  <c r="AB32" i="43" s="1"/>
  <c r="AO32" i="43" s="1"/>
  <c r="Z35" i="43"/>
  <c r="AB35" i="43" s="1"/>
  <c r="AO35" i="43" s="1"/>
  <c r="AA35" i="43"/>
  <c r="AC35" i="43" s="1"/>
  <c r="AP35" i="43" s="1"/>
  <c r="Z50" i="43"/>
  <c r="AB50" i="43" s="1"/>
  <c r="AO50" i="43" s="1"/>
  <c r="AA50" i="43"/>
  <c r="AC50" i="43" s="1"/>
  <c r="AP50" i="43" s="1"/>
  <c r="Z42" i="43"/>
  <c r="AB42" i="43" s="1"/>
  <c r="AO42" i="43" s="1"/>
  <c r="AA42" i="43"/>
  <c r="AC42" i="43" s="1"/>
  <c r="AP42" i="43" s="1"/>
  <c r="AA6" i="43"/>
  <c r="AC6" i="43" s="1"/>
  <c r="Z6" i="43"/>
  <c r="AB6" i="43" s="1"/>
  <c r="Z41" i="43"/>
  <c r="AB41" i="43" s="1"/>
  <c r="AO41" i="43" s="1"/>
  <c r="AA41" i="43"/>
  <c r="AC41" i="43" s="1"/>
  <c r="AP41" i="43" s="1"/>
  <c r="AA19" i="43"/>
  <c r="AC19" i="43" s="1"/>
  <c r="AP19" i="43" s="1"/>
  <c r="Z19" i="43"/>
  <c r="AB19" i="43" s="1"/>
  <c r="AO19" i="43" s="1"/>
  <c r="Z37" i="43"/>
  <c r="AB37" i="43" s="1"/>
  <c r="AO37" i="43" s="1"/>
  <c r="AA37" i="43"/>
  <c r="AC37" i="43" s="1"/>
  <c r="AP37" i="43" s="1"/>
  <c r="Z24" i="43"/>
  <c r="AB24" i="43" s="1"/>
  <c r="AO24" i="43" s="1"/>
  <c r="AA24" i="43"/>
  <c r="AC24" i="43" s="1"/>
  <c r="AP24" i="43" s="1"/>
  <c r="Z45" i="43"/>
  <c r="AB45" i="43" s="1"/>
  <c r="AO45" i="43" s="1"/>
  <c r="AA45" i="43"/>
  <c r="AC45" i="43" s="1"/>
  <c r="AP45" i="43" s="1"/>
  <c r="Z38" i="43"/>
  <c r="AB38" i="43" s="1"/>
  <c r="AO38" i="43" s="1"/>
  <c r="AA38" i="43"/>
  <c r="AC38" i="43" s="1"/>
  <c r="AP38" i="43" s="1"/>
  <c r="Z40" i="43"/>
  <c r="AB40" i="43" s="1"/>
  <c r="AO40" i="43" s="1"/>
  <c r="AA40" i="43"/>
  <c r="AC40" i="43" s="1"/>
  <c r="AP40" i="43" s="1"/>
  <c r="Z21" i="43"/>
  <c r="AB21" i="43" s="1"/>
  <c r="AO21" i="43" s="1"/>
  <c r="AA21" i="43"/>
  <c r="AC21" i="43" s="1"/>
  <c r="AP21" i="43" s="1"/>
  <c r="Z29" i="43"/>
  <c r="AB29" i="43" s="1"/>
  <c r="AO29" i="43" s="1"/>
  <c r="AA29" i="43"/>
  <c r="AC29" i="43" s="1"/>
  <c r="AP29" i="43" s="1"/>
  <c r="Z48" i="43"/>
  <c r="AB48" i="43" s="1"/>
  <c r="AO48" i="43" s="1"/>
  <c r="AA48" i="43"/>
  <c r="AC48" i="43" s="1"/>
  <c r="AP48" i="43" s="1"/>
  <c r="AA17" i="43"/>
  <c r="AC17" i="43" s="1"/>
  <c r="AP17" i="43" s="1"/>
  <c r="Z17" i="43"/>
  <c r="AB17" i="43" s="1"/>
  <c r="AO17" i="43" s="1"/>
  <c r="Z33" i="43"/>
  <c r="AB33" i="43" s="1"/>
  <c r="AO33" i="43" s="1"/>
  <c r="AA33" i="43"/>
  <c r="AC33" i="43" s="1"/>
  <c r="AP33" i="43" s="1"/>
  <c r="Z26" i="43"/>
  <c r="AB26" i="43" s="1"/>
  <c r="AO26" i="43" s="1"/>
  <c r="AA26" i="43"/>
  <c r="AC26" i="43" s="1"/>
  <c r="AP26" i="43" s="1"/>
  <c r="Z28" i="43"/>
  <c r="AB28" i="43" s="1"/>
  <c r="AO28" i="43" s="1"/>
  <c r="AA28" i="43"/>
  <c r="AC28" i="43" s="1"/>
  <c r="AP28" i="43" s="1"/>
  <c r="AA7" i="43"/>
  <c r="AC7" i="43" s="1"/>
  <c r="AP7" i="43" s="1"/>
  <c r="Z7" i="43"/>
  <c r="AB7" i="43" s="1"/>
  <c r="AO7" i="43" s="1"/>
  <c r="Z36" i="43"/>
  <c r="AB36" i="43" s="1"/>
  <c r="AO36" i="43" s="1"/>
  <c r="AA36" i="43"/>
  <c r="AC36" i="43" s="1"/>
  <c r="AP36" i="43" s="1"/>
  <c r="Z30" i="43"/>
  <c r="AB30" i="43" s="1"/>
  <c r="AO30" i="43" s="1"/>
  <c r="AA30" i="43"/>
  <c r="AC30" i="43" s="1"/>
  <c r="AP30" i="43" s="1"/>
  <c r="AA16" i="43"/>
  <c r="AC16" i="43" s="1"/>
  <c r="AP16" i="43" s="1"/>
  <c r="Z16" i="43"/>
  <c r="AB16" i="43" s="1"/>
  <c r="AO16" i="43" s="1"/>
  <c r="AA18" i="43"/>
  <c r="AC18" i="43" s="1"/>
  <c r="AP18" i="43" s="1"/>
  <c r="Z18" i="43"/>
  <c r="AB18" i="43" s="1"/>
  <c r="AO18" i="43" s="1"/>
  <c r="Z43" i="43"/>
  <c r="AB43" i="43" s="1"/>
  <c r="AO43" i="43" s="1"/>
  <c r="AA43" i="43"/>
  <c r="AC43" i="43" s="1"/>
  <c r="AP43" i="43" s="1"/>
  <c r="Z46" i="43"/>
  <c r="AB46" i="43" s="1"/>
  <c r="AO46" i="43" s="1"/>
  <c r="AA46" i="43"/>
  <c r="AC46" i="43" s="1"/>
  <c r="AP46" i="43" s="1"/>
  <c r="Z51" i="43"/>
  <c r="AB51" i="43" s="1"/>
  <c r="AO51" i="43" s="1"/>
  <c r="AA51" i="43"/>
  <c r="AC51" i="43" s="1"/>
  <c r="AP51" i="43" s="1"/>
  <c r="Z49" i="43"/>
  <c r="AB49" i="43" s="1"/>
  <c r="AO49" i="43" s="1"/>
  <c r="AA49" i="43"/>
  <c r="AC49" i="43" s="1"/>
  <c r="AP49" i="43" s="1"/>
  <c r="AA15" i="43"/>
  <c r="AC15" i="43" s="1"/>
  <c r="AP15" i="43" s="1"/>
  <c r="Z15" i="43"/>
  <c r="AB15" i="43" s="1"/>
  <c r="AO15" i="43" s="1"/>
  <c r="Z31" i="43"/>
  <c r="AB31" i="43" s="1"/>
  <c r="AO31" i="43" s="1"/>
  <c r="AA31" i="43"/>
  <c r="AC31" i="43" s="1"/>
  <c r="AP31" i="43" s="1"/>
  <c r="AA34" i="43"/>
  <c r="AC34" i="43" s="1"/>
  <c r="AP34" i="43" s="1"/>
  <c r="Z34" i="43"/>
  <c r="AB34" i="43" s="1"/>
  <c r="AO34" i="43" s="1"/>
  <c r="Z39" i="43"/>
  <c r="AB39" i="43" s="1"/>
  <c r="AO39" i="43" s="1"/>
  <c r="AA39" i="43"/>
  <c r="AC39" i="43" s="1"/>
  <c r="AP39" i="43" s="1"/>
  <c r="AA22" i="43"/>
  <c r="AC22" i="43" s="1"/>
  <c r="AP22" i="43" s="1"/>
  <c r="Z22" i="43"/>
  <c r="AB22" i="43" s="1"/>
  <c r="AO22" i="43" s="1"/>
  <c r="AN13" i="40"/>
  <c r="AN19" i="40"/>
  <c r="H7" i="67"/>
  <c r="K10" i="2"/>
  <c r="K21" i="2" s="1"/>
  <c r="AJ18" i="40"/>
  <c r="Z26" i="40"/>
  <c r="AB26" i="40" s="1"/>
  <c r="AO26" i="40" s="1"/>
  <c r="AA26" i="40"/>
  <c r="AC26" i="40" s="1"/>
  <c r="AP26" i="40" s="1"/>
  <c r="Z27" i="40"/>
  <c r="AB27" i="40" s="1"/>
  <c r="AO27" i="40" s="1"/>
  <c r="AA27" i="40"/>
  <c r="AC27" i="40" s="1"/>
  <c r="AP27" i="40" s="1"/>
  <c r="Z28" i="40"/>
  <c r="AB28" i="40" s="1"/>
  <c r="AO28" i="40" s="1"/>
  <c r="AA28" i="40"/>
  <c r="AC28" i="40" s="1"/>
  <c r="AP28" i="40" s="1"/>
  <c r="Z25" i="40"/>
  <c r="AB25" i="40" s="1"/>
  <c r="AO25" i="40" s="1"/>
  <c r="AA25" i="40"/>
  <c r="AC25" i="40" s="1"/>
  <c r="AP25" i="40" s="1"/>
  <c r="AJ16" i="40"/>
  <c r="AJ22" i="40"/>
  <c r="AN16" i="40"/>
  <c r="A16" i="40"/>
  <c r="AJ15" i="40"/>
  <c r="AJ19" i="40"/>
  <c r="AN24" i="40"/>
  <c r="S9" i="67"/>
  <c r="AN12" i="40"/>
  <c r="T9" i="67"/>
  <c r="AN28" i="39"/>
  <c r="A16" i="39"/>
  <c r="AN16" i="39"/>
  <c r="S8" i="67"/>
  <c r="AN10" i="39"/>
  <c r="AN129" i="32"/>
  <c r="AN26" i="24"/>
  <c r="AN38" i="12"/>
  <c r="AN57" i="22"/>
  <c r="AN68" i="20"/>
  <c r="AN24" i="13"/>
  <c r="AN65" i="20"/>
  <c r="N66" i="68"/>
  <c r="H7" i="68"/>
  <c r="N53" i="68"/>
  <c r="AN49" i="5"/>
  <c r="AN41" i="12"/>
  <c r="AN36" i="12"/>
  <c r="AN20" i="21"/>
  <c r="T39" i="68"/>
  <c r="E35" i="2" s="1"/>
  <c r="AN19" i="3"/>
  <c r="T26" i="68"/>
  <c r="AN141" i="32"/>
  <c r="AN126" i="15"/>
  <c r="AN125" i="15"/>
  <c r="AN16" i="21"/>
  <c r="AN129" i="15"/>
  <c r="AN72" i="29"/>
  <c r="AP190" i="65"/>
  <c r="AN52" i="31"/>
  <c r="AN52" i="5"/>
  <c r="AN23" i="14"/>
  <c r="A24" i="50"/>
  <c r="T10" i="68"/>
  <c r="AN38" i="5"/>
  <c r="AN47" i="12"/>
  <c r="AN214" i="15"/>
  <c r="AN66" i="22"/>
  <c r="AN97" i="32"/>
  <c r="AN172" i="32"/>
  <c r="AN140" i="32"/>
  <c r="AN20" i="19"/>
  <c r="AN131" i="32"/>
  <c r="T11" i="68"/>
  <c r="E12" i="2" s="1"/>
  <c r="AN51" i="5"/>
  <c r="AN16" i="6"/>
  <c r="AN16" i="70"/>
  <c r="AN58" i="29"/>
  <c r="AN136" i="32"/>
  <c r="AN6" i="37"/>
  <c r="T45" i="68"/>
  <c r="AJ6" i="37"/>
  <c r="AJ136" i="32"/>
  <c r="S39" i="68"/>
  <c r="AL169" i="32"/>
  <c r="AJ127" i="32"/>
  <c r="AJ158" i="32"/>
  <c r="AJ130" i="32"/>
  <c r="AL130" i="32"/>
  <c r="AL161" i="32"/>
  <c r="AJ161" i="32"/>
  <c r="AJ171" i="32"/>
  <c r="AJ126" i="32"/>
  <c r="AN163" i="32"/>
  <c r="AJ116" i="32"/>
  <c r="AJ115" i="32"/>
  <c r="AJ138" i="32"/>
  <c r="AJ103" i="32"/>
  <c r="AL150" i="32"/>
  <c r="AJ150" i="32"/>
  <c r="AN120" i="32"/>
  <c r="AJ93" i="32"/>
  <c r="AL106" i="32"/>
  <c r="AJ106" i="32"/>
  <c r="AJ170" i="32"/>
  <c r="AJ104" i="32"/>
  <c r="AJ160" i="32"/>
  <c r="AJ105" i="32"/>
  <c r="AJ128" i="32"/>
  <c r="AN96" i="32"/>
  <c r="AJ148" i="32"/>
  <c r="AN130" i="32"/>
  <c r="AN118" i="32"/>
  <c r="AJ159" i="32"/>
  <c r="AJ91" i="32"/>
  <c r="AJ92" i="32"/>
  <c r="AJ139" i="32"/>
  <c r="AJ137" i="32"/>
  <c r="AJ117" i="32"/>
  <c r="AL94" i="32"/>
  <c r="AJ94" i="32"/>
  <c r="AN153" i="32"/>
  <c r="AN162" i="32"/>
  <c r="AJ149" i="32"/>
  <c r="AN119" i="32"/>
  <c r="AA204" i="32"/>
  <c r="AC204" i="32" s="1"/>
  <c r="AP204" i="32" s="1"/>
  <c r="Z204" i="32"/>
  <c r="AB204" i="32" s="1"/>
  <c r="AO204" i="32" s="1"/>
  <c r="AA181" i="32"/>
  <c r="AC181" i="32" s="1"/>
  <c r="AP181" i="32" s="1"/>
  <c r="Z181" i="32"/>
  <c r="AB181" i="32" s="1"/>
  <c r="AO181" i="32" s="1"/>
  <c r="Z200" i="32"/>
  <c r="AB200" i="32" s="1"/>
  <c r="AO200" i="32" s="1"/>
  <c r="AA200" i="32"/>
  <c r="AC200" i="32" s="1"/>
  <c r="AP200" i="32" s="1"/>
  <c r="AA192" i="32"/>
  <c r="AC192" i="32" s="1"/>
  <c r="AP192" i="32" s="1"/>
  <c r="Z192" i="32"/>
  <c r="AB192" i="32" s="1"/>
  <c r="AO192" i="32" s="1"/>
  <c r="Z211" i="32"/>
  <c r="AB211" i="32" s="1"/>
  <c r="AO211" i="32" s="1"/>
  <c r="AA211" i="32"/>
  <c r="AC211" i="32" s="1"/>
  <c r="AP211" i="32" s="1"/>
  <c r="Z188" i="32"/>
  <c r="AB188" i="32" s="1"/>
  <c r="AO188" i="32" s="1"/>
  <c r="AA188" i="32"/>
  <c r="AC188" i="32" s="1"/>
  <c r="AP188" i="32" s="1"/>
  <c r="Z190" i="32"/>
  <c r="AB190" i="32" s="1"/>
  <c r="AO190" i="32" s="1"/>
  <c r="AA190" i="32"/>
  <c r="AC190" i="32" s="1"/>
  <c r="AP190" i="32" s="1"/>
  <c r="Z197" i="32"/>
  <c r="AB197" i="32" s="1"/>
  <c r="AO197" i="32" s="1"/>
  <c r="AA197" i="32"/>
  <c r="AC197" i="32" s="1"/>
  <c r="AP197" i="32" s="1"/>
  <c r="Z178" i="32"/>
  <c r="AB178" i="32" s="1"/>
  <c r="AO178" i="32" s="1"/>
  <c r="AA178" i="32"/>
  <c r="AC178" i="32" s="1"/>
  <c r="AP178" i="32" s="1"/>
  <c r="Z206" i="32"/>
  <c r="AB206" i="32" s="1"/>
  <c r="AO206" i="32" s="1"/>
  <c r="AA206" i="32"/>
  <c r="AC206" i="32" s="1"/>
  <c r="AP206" i="32" s="1"/>
  <c r="Z183" i="32"/>
  <c r="AB183" i="32" s="1"/>
  <c r="AO183" i="32" s="1"/>
  <c r="AA183" i="32"/>
  <c r="AC183" i="32" s="1"/>
  <c r="AP183" i="32" s="1"/>
  <c r="Z185" i="32"/>
  <c r="AB185" i="32" s="1"/>
  <c r="AO185" i="32" s="1"/>
  <c r="AA185" i="32"/>
  <c r="AC185" i="32" s="1"/>
  <c r="AP185" i="32" s="1"/>
  <c r="AA180" i="32"/>
  <c r="AC180" i="32" s="1"/>
  <c r="AP180" i="32" s="1"/>
  <c r="Z180" i="32"/>
  <c r="AB180" i="32" s="1"/>
  <c r="AO180" i="32" s="1"/>
  <c r="Z199" i="32"/>
  <c r="AB199" i="32" s="1"/>
  <c r="AO199" i="32" s="1"/>
  <c r="AA199" i="32"/>
  <c r="AC199" i="32" s="1"/>
  <c r="AP199" i="32" s="1"/>
  <c r="Z176" i="32"/>
  <c r="AB176" i="32" s="1"/>
  <c r="AO176" i="32" s="1"/>
  <c r="AA176" i="32"/>
  <c r="AC176" i="32" s="1"/>
  <c r="AP176" i="32" s="1"/>
  <c r="Z203" i="32"/>
  <c r="AB203" i="32" s="1"/>
  <c r="AO203" i="32" s="1"/>
  <c r="AA203" i="32"/>
  <c r="AC203" i="32" s="1"/>
  <c r="AP203" i="32" s="1"/>
  <c r="Z194" i="32"/>
  <c r="AB194" i="32" s="1"/>
  <c r="AO194" i="32" s="1"/>
  <c r="AA194" i="32"/>
  <c r="AC194" i="32" s="1"/>
  <c r="AP194" i="32" s="1"/>
  <c r="Z208" i="32"/>
  <c r="AB208" i="32" s="1"/>
  <c r="AO208" i="32" s="1"/>
  <c r="AA208" i="32"/>
  <c r="AC208" i="32" s="1"/>
  <c r="AP208" i="32" s="1"/>
  <c r="Z173" i="32"/>
  <c r="AB173" i="32" s="1"/>
  <c r="AO173" i="32" s="1"/>
  <c r="AA173" i="32"/>
  <c r="AC173" i="32" s="1"/>
  <c r="AP173" i="32" s="1"/>
  <c r="Z189" i="32"/>
  <c r="AB189" i="32" s="1"/>
  <c r="AO189" i="32" s="1"/>
  <c r="AA189" i="32"/>
  <c r="AC189" i="32" s="1"/>
  <c r="AP189" i="32" s="1"/>
  <c r="Z187" i="32"/>
  <c r="AB187" i="32" s="1"/>
  <c r="AO187" i="32" s="1"/>
  <c r="AA187" i="32"/>
  <c r="AC187" i="32" s="1"/>
  <c r="AP187" i="32" s="1"/>
  <c r="Z191" i="32"/>
  <c r="AB191" i="32" s="1"/>
  <c r="AO191" i="32" s="1"/>
  <c r="AA191" i="32"/>
  <c r="AC191" i="32" s="1"/>
  <c r="AP191" i="32" s="1"/>
  <c r="Z182" i="32"/>
  <c r="AB182" i="32" s="1"/>
  <c r="AO182" i="32" s="1"/>
  <c r="AA182" i="32"/>
  <c r="AC182" i="32" s="1"/>
  <c r="AP182" i="32" s="1"/>
  <c r="Z196" i="32"/>
  <c r="AB196" i="32" s="1"/>
  <c r="AO196" i="32" s="1"/>
  <c r="AA196" i="32"/>
  <c r="AC196" i="32" s="1"/>
  <c r="AP196" i="32" s="1"/>
  <c r="Z210" i="32"/>
  <c r="AB210" i="32" s="1"/>
  <c r="AO210" i="32" s="1"/>
  <c r="AA210" i="32"/>
  <c r="AC210" i="32" s="1"/>
  <c r="AP210" i="32" s="1"/>
  <c r="AA205" i="32"/>
  <c r="AC205" i="32" s="1"/>
  <c r="AP205" i="32" s="1"/>
  <c r="Z205" i="32"/>
  <c r="AB205" i="32" s="1"/>
  <c r="AO205" i="32" s="1"/>
  <c r="Z175" i="32"/>
  <c r="AB175" i="32" s="1"/>
  <c r="AO175" i="32" s="1"/>
  <c r="AA175" i="32"/>
  <c r="AC175" i="32" s="1"/>
  <c r="AP175" i="32" s="1"/>
  <c r="Z195" i="32"/>
  <c r="AB195" i="32" s="1"/>
  <c r="AO195" i="32" s="1"/>
  <c r="AA195" i="32"/>
  <c r="AC195" i="32" s="1"/>
  <c r="AP195" i="32" s="1"/>
  <c r="Z174" i="32"/>
  <c r="AB174" i="32" s="1"/>
  <c r="AO174" i="32" s="1"/>
  <c r="AA174" i="32"/>
  <c r="AC174" i="32" s="1"/>
  <c r="AP174" i="32" s="1"/>
  <c r="Z179" i="32"/>
  <c r="AB179" i="32" s="1"/>
  <c r="AO179" i="32" s="1"/>
  <c r="AA179" i="32"/>
  <c r="AC179" i="32" s="1"/>
  <c r="AP179" i="32" s="1"/>
  <c r="Z184" i="32"/>
  <c r="AB184" i="32" s="1"/>
  <c r="AO184" i="32" s="1"/>
  <c r="AA184" i="32"/>
  <c r="AC184" i="32" s="1"/>
  <c r="AP184" i="32" s="1"/>
  <c r="Z198" i="32"/>
  <c r="AB198" i="32" s="1"/>
  <c r="AO198" i="32" s="1"/>
  <c r="AA198" i="32"/>
  <c r="AC198" i="32" s="1"/>
  <c r="AP198" i="32" s="1"/>
  <c r="AA193" i="32"/>
  <c r="AC193" i="32" s="1"/>
  <c r="AP193" i="32" s="1"/>
  <c r="Z193" i="32"/>
  <c r="AB193" i="32" s="1"/>
  <c r="AO193" i="32" s="1"/>
  <c r="Z177" i="32"/>
  <c r="AB177" i="32" s="1"/>
  <c r="AO177" i="32" s="1"/>
  <c r="AA177" i="32"/>
  <c r="AC177" i="32" s="1"/>
  <c r="AP177" i="32" s="1"/>
  <c r="Z212" i="32"/>
  <c r="AB212" i="32" s="1"/>
  <c r="AO212" i="32" s="1"/>
  <c r="AA212" i="32"/>
  <c r="AC212" i="32" s="1"/>
  <c r="AP212" i="32" s="1"/>
  <c r="Z202" i="32"/>
  <c r="AB202" i="32" s="1"/>
  <c r="AO202" i="32" s="1"/>
  <c r="AA202" i="32"/>
  <c r="AC202" i="32" s="1"/>
  <c r="AP202" i="32" s="1"/>
  <c r="Z201" i="32"/>
  <c r="AB201" i="32" s="1"/>
  <c r="AO201" i="32" s="1"/>
  <c r="AA201" i="32"/>
  <c r="AC201" i="32" s="1"/>
  <c r="AP201" i="32" s="1"/>
  <c r="Z207" i="32"/>
  <c r="AB207" i="32" s="1"/>
  <c r="AO207" i="32" s="1"/>
  <c r="AA207" i="32"/>
  <c r="AC207" i="32" s="1"/>
  <c r="AP207" i="32" s="1"/>
  <c r="Z209" i="32"/>
  <c r="AB209" i="32" s="1"/>
  <c r="AO209" i="32" s="1"/>
  <c r="AA209" i="32"/>
  <c r="AC209" i="32" s="1"/>
  <c r="AP209" i="32" s="1"/>
  <c r="Z186" i="32"/>
  <c r="AB186" i="32" s="1"/>
  <c r="AO186" i="32" s="1"/>
  <c r="AA186" i="32"/>
  <c r="AC186" i="32" s="1"/>
  <c r="AP186" i="32" s="1"/>
  <c r="A16" i="32"/>
  <c r="AJ51" i="31"/>
  <c r="AN32" i="31"/>
  <c r="AN42" i="31"/>
  <c r="AN40" i="31"/>
  <c r="AN41" i="31"/>
  <c r="AL55" i="31"/>
  <c r="AJ55" i="31"/>
  <c r="AN56" i="31"/>
  <c r="AN29" i="31"/>
  <c r="T38" i="68"/>
  <c r="E34" i="2" s="1"/>
  <c r="AN44" i="31"/>
  <c r="Z70" i="31"/>
  <c r="AB70" i="31" s="1"/>
  <c r="AO70" i="31" s="1"/>
  <c r="AA70" i="31"/>
  <c r="AC70" i="31" s="1"/>
  <c r="AP70" i="31" s="1"/>
  <c r="A16" i="31"/>
  <c r="Z73" i="31"/>
  <c r="AB73" i="31" s="1"/>
  <c r="AO73" i="31" s="1"/>
  <c r="AA81" i="31"/>
  <c r="AC81" i="31" s="1"/>
  <c r="AP81" i="31" s="1"/>
  <c r="T37" i="68"/>
  <c r="E33" i="2" s="1"/>
  <c r="S37" i="68"/>
  <c r="AN20" i="30"/>
  <c r="AN21" i="30"/>
  <c r="A16" i="30"/>
  <c r="Z25" i="30"/>
  <c r="AB25" i="30" s="1"/>
  <c r="AO25" i="30" s="1"/>
  <c r="AA25" i="30"/>
  <c r="AC25" i="30" s="1"/>
  <c r="AP25" i="30" s="1"/>
  <c r="Z26" i="30"/>
  <c r="AB26" i="30" s="1"/>
  <c r="AO26" i="30" s="1"/>
  <c r="AA26" i="30"/>
  <c r="AC26" i="30" s="1"/>
  <c r="AP26" i="30" s="1"/>
  <c r="A16" i="29"/>
  <c r="AN69" i="29"/>
  <c r="AL68" i="29"/>
  <c r="AN70" i="29"/>
  <c r="AL52" i="29"/>
  <c r="T36" i="68"/>
  <c r="E32" i="2" s="1"/>
  <c r="AJ64" i="29"/>
  <c r="AJ54" i="29"/>
  <c r="AJ53" i="29"/>
  <c r="S36" i="68"/>
  <c r="AJ77" i="29"/>
  <c r="AN81" i="29"/>
  <c r="AN82" i="29"/>
  <c r="Z23" i="29"/>
  <c r="AB23" i="29" s="1"/>
  <c r="AO23" i="29" s="1"/>
  <c r="AA23" i="29"/>
  <c r="AC23" i="29" s="1"/>
  <c r="AP23" i="29" s="1"/>
  <c r="Z89" i="29"/>
  <c r="AB89" i="29" s="1"/>
  <c r="AO89" i="29" s="1"/>
  <c r="AA89" i="29"/>
  <c r="AC89" i="29" s="1"/>
  <c r="AP89" i="29" s="1"/>
  <c r="Z99" i="29"/>
  <c r="AB99" i="29" s="1"/>
  <c r="AO99" i="29" s="1"/>
  <c r="AA99" i="29"/>
  <c r="AC99" i="29" s="1"/>
  <c r="AP99" i="29" s="1"/>
  <c r="Z96" i="29"/>
  <c r="AB96" i="29" s="1"/>
  <c r="AO96" i="29" s="1"/>
  <c r="AA96" i="29"/>
  <c r="AC96" i="29" s="1"/>
  <c r="AP96" i="29" s="1"/>
  <c r="Z90" i="29"/>
  <c r="AB90" i="29" s="1"/>
  <c r="AO90" i="29" s="1"/>
  <c r="AA90" i="29"/>
  <c r="AC90" i="29" s="1"/>
  <c r="AP90" i="29" s="1"/>
  <c r="Z87" i="29"/>
  <c r="AB87" i="29" s="1"/>
  <c r="AO87" i="29" s="1"/>
  <c r="AA87" i="29"/>
  <c r="AC87" i="29" s="1"/>
  <c r="AP87" i="29" s="1"/>
  <c r="Z84" i="29"/>
  <c r="AB84" i="29" s="1"/>
  <c r="AO84" i="29" s="1"/>
  <c r="AA84" i="29"/>
  <c r="AC84" i="29" s="1"/>
  <c r="AP84" i="29" s="1"/>
  <c r="AA91" i="29"/>
  <c r="AC91" i="29" s="1"/>
  <c r="AP91" i="29" s="1"/>
  <c r="Z91" i="29"/>
  <c r="AB91" i="29" s="1"/>
  <c r="AO91" i="29" s="1"/>
  <c r="Z92" i="29"/>
  <c r="AB92" i="29" s="1"/>
  <c r="AO92" i="29" s="1"/>
  <c r="AA92" i="29"/>
  <c r="AC92" i="29" s="1"/>
  <c r="AP92" i="29" s="1"/>
  <c r="Z97" i="29"/>
  <c r="AB97" i="29" s="1"/>
  <c r="AO97" i="29" s="1"/>
  <c r="AA97" i="29"/>
  <c r="AC97" i="29" s="1"/>
  <c r="AP97" i="29" s="1"/>
  <c r="Z100" i="29"/>
  <c r="AB100" i="29" s="1"/>
  <c r="AO100" i="29" s="1"/>
  <c r="AA100" i="29"/>
  <c r="AC100" i="29" s="1"/>
  <c r="AP100" i="29" s="1"/>
  <c r="AA95" i="29"/>
  <c r="AC95" i="29" s="1"/>
  <c r="AP95" i="29" s="1"/>
  <c r="Z95" i="29"/>
  <c r="AB95" i="29" s="1"/>
  <c r="AO95" i="29" s="1"/>
  <c r="Z93" i="29"/>
  <c r="AB93" i="29" s="1"/>
  <c r="AO93" i="29" s="1"/>
  <c r="AA93" i="29"/>
  <c r="AC93" i="29" s="1"/>
  <c r="AP93" i="29" s="1"/>
  <c r="Z85" i="29"/>
  <c r="AB85" i="29" s="1"/>
  <c r="AO85" i="29" s="1"/>
  <c r="AA85" i="29"/>
  <c r="AC85" i="29" s="1"/>
  <c r="AP85" i="29" s="1"/>
  <c r="Z88" i="29"/>
  <c r="AB88" i="29" s="1"/>
  <c r="AO88" i="29" s="1"/>
  <c r="AA88" i="29"/>
  <c r="AC88" i="29" s="1"/>
  <c r="AP88" i="29" s="1"/>
  <c r="Z98" i="29"/>
  <c r="AB98" i="29" s="1"/>
  <c r="AO98" i="29" s="1"/>
  <c r="AA98" i="29"/>
  <c r="AC98" i="29" s="1"/>
  <c r="AP98" i="29" s="1"/>
  <c r="Z94" i="29"/>
  <c r="AB94" i="29" s="1"/>
  <c r="AO94" i="29" s="1"/>
  <c r="AA94" i="29"/>
  <c r="AC94" i="29" s="1"/>
  <c r="AP94" i="29" s="1"/>
  <c r="Z101" i="29"/>
  <c r="AB101" i="29" s="1"/>
  <c r="AO101" i="29" s="1"/>
  <c r="AA101" i="29"/>
  <c r="AC101" i="29" s="1"/>
  <c r="AP101" i="29" s="1"/>
  <c r="Z86" i="29"/>
  <c r="AB86" i="29" s="1"/>
  <c r="AO86" i="29" s="1"/>
  <c r="AA86" i="29"/>
  <c r="AC86" i="29" s="1"/>
  <c r="AP86" i="29" s="1"/>
  <c r="AN37" i="28"/>
  <c r="S35" i="68"/>
  <c r="AN35" i="28"/>
  <c r="AN44" i="28"/>
  <c r="AJ48" i="28"/>
  <c r="AN36" i="28"/>
  <c r="AN41" i="28"/>
  <c r="AJ46" i="28"/>
  <c r="AJ39" i="28"/>
  <c r="AJ38" i="28"/>
  <c r="C37" i="2"/>
  <c r="C51" i="2" s="1"/>
  <c r="Z17" i="28"/>
  <c r="AB17" i="28" s="1"/>
  <c r="AO17" i="28" s="1"/>
  <c r="AA17" i="28"/>
  <c r="AC17" i="28" s="1"/>
  <c r="AP17" i="28" s="1"/>
  <c r="AA56" i="28"/>
  <c r="AC56" i="28" s="1"/>
  <c r="AP56" i="28" s="1"/>
  <c r="Z56" i="28"/>
  <c r="AB56" i="28" s="1"/>
  <c r="AO56" i="28" s="1"/>
  <c r="Z49" i="28"/>
  <c r="AB49" i="28" s="1"/>
  <c r="AO49" i="28" s="1"/>
  <c r="AA49" i="28"/>
  <c r="AC49" i="28" s="1"/>
  <c r="AP49" i="28" s="1"/>
  <c r="Z62" i="28"/>
  <c r="AB62" i="28" s="1"/>
  <c r="AO62" i="28" s="1"/>
  <c r="AA62" i="28"/>
  <c r="AC62" i="28" s="1"/>
  <c r="AP62" i="28" s="1"/>
  <c r="A16" i="28"/>
  <c r="AA57" i="28"/>
  <c r="AC57" i="28" s="1"/>
  <c r="AP57" i="28" s="1"/>
  <c r="Z57" i="28"/>
  <c r="AB57" i="28" s="1"/>
  <c r="AO57" i="28" s="1"/>
  <c r="Z61" i="28"/>
  <c r="AB61" i="28" s="1"/>
  <c r="AO61" i="28" s="1"/>
  <c r="AA61" i="28"/>
  <c r="AC61" i="28" s="1"/>
  <c r="AP61" i="28" s="1"/>
  <c r="Z50" i="28"/>
  <c r="AB50" i="28" s="1"/>
  <c r="AO50" i="28" s="1"/>
  <c r="AA50" i="28"/>
  <c r="AC50" i="28" s="1"/>
  <c r="AP50" i="28" s="1"/>
  <c r="Z58" i="28"/>
  <c r="AB58" i="28" s="1"/>
  <c r="AO58" i="28" s="1"/>
  <c r="AA58" i="28"/>
  <c r="AC58" i="28" s="1"/>
  <c r="AP58" i="28" s="1"/>
  <c r="Z53" i="28"/>
  <c r="AB53" i="28" s="1"/>
  <c r="AO53" i="28" s="1"/>
  <c r="AA53" i="28"/>
  <c r="AC53" i="28" s="1"/>
  <c r="AP53" i="28" s="1"/>
  <c r="Z59" i="28"/>
  <c r="AB59" i="28" s="1"/>
  <c r="AO59" i="28" s="1"/>
  <c r="AA59" i="28"/>
  <c r="AC59" i="28" s="1"/>
  <c r="AP59" i="28" s="1"/>
  <c r="Z51" i="28"/>
  <c r="AB51" i="28" s="1"/>
  <c r="AO51" i="28" s="1"/>
  <c r="AA51" i="28"/>
  <c r="AC51" i="28" s="1"/>
  <c r="AP51" i="28" s="1"/>
  <c r="Z54" i="28"/>
  <c r="AB54" i="28" s="1"/>
  <c r="AO54" i="28" s="1"/>
  <c r="AA54" i="28"/>
  <c r="AC54" i="28" s="1"/>
  <c r="AP54" i="28" s="1"/>
  <c r="Z60" i="28"/>
  <c r="AB60" i="28" s="1"/>
  <c r="AO60" i="28" s="1"/>
  <c r="AA60" i="28"/>
  <c r="AC60" i="28" s="1"/>
  <c r="AP60" i="28" s="1"/>
  <c r="Z55" i="28"/>
  <c r="AB55" i="28" s="1"/>
  <c r="AO55" i="28" s="1"/>
  <c r="AA55" i="28"/>
  <c r="AC55" i="28" s="1"/>
  <c r="AP55" i="28" s="1"/>
  <c r="Z52" i="28"/>
  <c r="AB52" i="28" s="1"/>
  <c r="AO52" i="28" s="1"/>
  <c r="AA52" i="28"/>
  <c r="AC52" i="28" s="1"/>
  <c r="AP52" i="28" s="1"/>
  <c r="AA17" i="27"/>
  <c r="AC17" i="27" s="1"/>
  <c r="AP17" i="27" s="1"/>
  <c r="Z17" i="27"/>
  <c r="AB17" i="27" s="1"/>
  <c r="AO17" i="27" s="1"/>
  <c r="T33" i="68"/>
  <c r="E30" i="2" s="1"/>
  <c r="AN15" i="27"/>
  <c r="AN14" i="27"/>
  <c r="AJ15" i="27"/>
  <c r="S32" i="68"/>
  <c r="AN15" i="26"/>
  <c r="AN14" i="26"/>
  <c r="T32" i="68"/>
  <c r="E29" i="2" s="1"/>
  <c r="AJ15" i="26"/>
  <c r="AN27" i="24"/>
  <c r="Z34" i="24"/>
  <c r="AB34" i="24" s="1"/>
  <c r="AO34" i="24" s="1"/>
  <c r="AA34" i="24"/>
  <c r="AC34" i="24" s="1"/>
  <c r="AP34" i="24" s="1"/>
  <c r="AA48" i="24"/>
  <c r="AC48" i="24" s="1"/>
  <c r="AP48" i="24" s="1"/>
  <c r="Z48" i="24"/>
  <c r="AB48" i="24" s="1"/>
  <c r="AO48" i="24" s="1"/>
  <c r="Z64" i="24"/>
  <c r="AB64" i="24" s="1"/>
  <c r="AO64" i="24" s="1"/>
  <c r="AA64" i="24"/>
  <c r="AC64" i="24" s="1"/>
  <c r="AP64" i="24" s="1"/>
  <c r="Z31" i="24"/>
  <c r="AB31" i="24" s="1"/>
  <c r="AO31" i="24" s="1"/>
  <c r="AA31" i="24"/>
  <c r="AC31" i="24" s="1"/>
  <c r="AP31" i="24" s="1"/>
  <c r="Z50" i="24"/>
  <c r="AB50" i="24" s="1"/>
  <c r="AO50" i="24" s="1"/>
  <c r="AA50" i="24"/>
  <c r="AC50" i="24" s="1"/>
  <c r="AP50" i="24" s="1"/>
  <c r="Z54" i="24"/>
  <c r="AB54" i="24" s="1"/>
  <c r="AO54" i="24" s="1"/>
  <c r="AA54" i="24"/>
  <c r="AC54" i="24" s="1"/>
  <c r="AP54" i="24" s="1"/>
  <c r="Z62" i="24"/>
  <c r="AB62" i="24" s="1"/>
  <c r="AO62" i="24" s="1"/>
  <c r="AA62" i="24"/>
  <c r="AC62" i="24" s="1"/>
  <c r="AP62" i="24" s="1"/>
  <c r="AA36" i="24"/>
  <c r="AC36" i="24" s="1"/>
  <c r="AP36" i="24" s="1"/>
  <c r="Z36" i="24"/>
  <c r="AB36" i="24" s="1"/>
  <c r="AO36" i="24" s="1"/>
  <c r="Z52" i="24"/>
  <c r="AB52" i="24" s="1"/>
  <c r="AO52" i="24" s="1"/>
  <c r="AA52" i="24"/>
  <c r="AC52" i="24" s="1"/>
  <c r="AP52" i="24" s="1"/>
  <c r="Z56" i="24"/>
  <c r="AB56" i="24" s="1"/>
  <c r="AO56" i="24" s="1"/>
  <c r="AA56" i="24"/>
  <c r="AC56" i="24" s="1"/>
  <c r="AP56" i="24" s="1"/>
  <c r="A16" i="24"/>
  <c r="Z59" i="24"/>
  <c r="AB59" i="24" s="1"/>
  <c r="AO59" i="24" s="1"/>
  <c r="AA59" i="24"/>
  <c r="AC59" i="24" s="1"/>
  <c r="AP59" i="24" s="1"/>
  <c r="Z38" i="24"/>
  <c r="AB38" i="24" s="1"/>
  <c r="AO38" i="24" s="1"/>
  <c r="AA38" i="24"/>
  <c r="AC38" i="24" s="1"/>
  <c r="AP38" i="24" s="1"/>
  <c r="Z42" i="24"/>
  <c r="AB42" i="24" s="1"/>
  <c r="AO42" i="24" s="1"/>
  <c r="AA42" i="24"/>
  <c r="AC42" i="24" s="1"/>
  <c r="AP42" i="24" s="1"/>
  <c r="Z40" i="24"/>
  <c r="AB40" i="24" s="1"/>
  <c r="AO40" i="24" s="1"/>
  <c r="AA40" i="24"/>
  <c r="AC40" i="24" s="1"/>
  <c r="AP40" i="24" s="1"/>
  <c r="Z44" i="24"/>
  <c r="AB44" i="24" s="1"/>
  <c r="AO44" i="24" s="1"/>
  <c r="AA44" i="24"/>
  <c r="AC44" i="24" s="1"/>
  <c r="AP44" i="24" s="1"/>
  <c r="Z47" i="24"/>
  <c r="AB47" i="24" s="1"/>
  <c r="AO47" i="24" s="1"/>
  <c r="AA47" i="24"/>
  <c r="AC47" i="24" s="1"/>
  <c r="AP47" i="24" s="1"/>
  <c r="AA61" i="24"/>
  <c r="AC61" i="24" s="1"/>
  <c r="AP61" i="24" s="1"/>
  <c r="Z61" i="24"/>
  <c r="AB61" i="24" s="1"/>
  <c r="AO61" i="24" s="1"/>
  <c r="Z33" i="24"/>
  <c r="AB33" i="24" s="1"/>
  <c r="AO33" i="24" s="1"/>
  <c r="AA33" i="24"/>
  <c r="AC33" i="24" s="1"/>
  <c r="AP33" i="24" s="1"/>
  <c r="Z30" i="24"/>
  <c r="AB30" i="24" s="1"/>
  <c r="AO30" i="24" s="1"/>
  <c r="AA30" i="24"/>
  <c r="AC30" i="24" s="1"/>
  <c r="AP30" i="24" s="1"/>
  <c r="Z63" i="24"/>
  <c r="AB63" i="24" s="1"/>
  <c r="AO63" i="24" s="1"/>
  <c r="AA63" i="24"/>
  <c r="AC63" i="24" s="1"/>
  <c r="AP63" i="24" s="1"/>
  <c r="Z32" i="24"/>
  <c r="AB32" i="24" s="1"/>
  <c r="AO32" i="24" s="1"/>
  <c r="AA32" i="24"/>
  <c r="AC32" i="24" s="1"/>
  <c r="AP32" i="24" s="1"/>
  <c r="Z29" i="24"/>
  <c r="AB29" i="24" s="1"/>
  <c r="AO29" i="24" s="1"/>
  <c r="AA29" i="24"/>
  <c r="AC29" i="24" s="1"/>
  <c r="AP29" i="24" s="1"/>
  <c r="Z35" i="24"/>
  <c r="AB35" i="24" s="1"/>
  <c r="AO35" i="24" s="1"/>
  <c r="AA35" i="24"/>
  <c r="AC35" i="24" s="1"/>
  <c r="AP35" i="24" s="1"/>
  <c r="AA49" i="24"/>
  <c r="AC49" i="24" s="1"/>
  <c r="AP49" i="24" s="1"/>
  <c r="Z49" i="24"/>
  <c r="AB49" i="24" s="1"/>
  <c r="AO49" i="24" s="1"/>
  <c r="Z53" i="24"/>
  <c r="AB53" i="24" s="1"/>
  <c r="AO53" i="24" s="1"/>
  <c r="AA53" i="24"/>
  <c r="AC53" i="24" s="1"/>
  <c r="AP53" i="24" s="1"/>
  <c r="Z45" i="24"/>
  <c r="AB45" i="24" s="1"/>
  <c r="AO45" i="24" s="1"/>
  <c r="AA45" i="24"/>
  <c r="AC45" i="24" s="1"/>
  <c r="AP45" i="24" s="1"/>
  <c r="Z58" i="24"/>
  <c r="AB58" i="24" s="1"/>
  <c r="AO58" i="24" s="1"/>
  <c r="AA58" i="24"/>
  <c r="AC58" i="24" s="1"/>
  <c r="AP58" i="24" s="1"/>
  <c r="Z51" i="24"/>
  <c r="AB51" i="24" s="1"/>
  <c r="AO51" i="24" s="1"/>
  <c r="AA51" i="24"/>
  <c r="AC51" i="24" s="1"/>
  <c r="AP51" i="24" s="1"/>
  <c r="Z55" i="24"/>
  <c r="AB55" i="24" s="1"/>
  <c r="AO55" i="24" s="1"/>
  <c r="AA55" i="24"/>
  <c r="AC55" i="24" s="1"/>
  <c r="AP55" i="24" s="1"/>
  <c r="Z57" i="24"/>
  <c r="AB57" i="24" s="1"/>
  <c r="AO57" i="24" s="1"/>
  <c r="AA57" i="24"/>
  <c r="AC57" i="24" s="1"/>
  <c r="AP57" i="24" s="1"/>
  <c r="AA37" i="24"/>
  <c r="AC37" i="24" s="1"/>
  <c r="AP37" i="24" s="1"/>
  <c r="Z37" i="24"/>
  <c r="AB37" i="24" s="1"/>
  <c r="AO37" i="24" s="1"/>
  <c r="Z41" i="24"/>
  <c r="AB41" i="24" s="1"/>
  <c r="AO41" i="24" s="1"/>
  <c r="AA41" i="24"/>
  <c r="AC41" i="24" s="1"/>
  <c r="AP41" i="24" s="1"/>
  <c r="Z46" i="24"/>
  <c r="AB46" i="24" s="1"/>
  <c r="AO46" i="24" s="1"/>
  <c r="AA46" i="24"/>
  <c r="AC46" i="24" s="1"/>
  <c r="AP46" i="24" s="1"/>
  <c r="AA60" i="24"/>
  <c r="AC60" i="24" s="1"/>
  <c r="AP60" i="24" s="1"/>
  <c r="Z60" i="24"/>
  <c r="AB60" i="24" s="1"/>
  <c r="AO60" i="24" s="1"/>
  <c r="Z39" i="24"/>
  <c r="AB39" i="24" s="1"/>
  <c r="AO39" i="24" s="1"/>
  <c r="AA39" i="24"/>
  <c r="AC39" i="24" s="1"/>
  <c r="AP39" i="24" s="1"/>
  <c r="Z43" i="24"/>
  <c r="AB43" i="24" s="1"/>
  <c r="AO43" i="24" s="1"/>
  <c r="AA43" i="24"/>
  <c r="AC43" i="24" s="1"/>
  <c r="AP43" i="24" s="1"/>
  <c r="T29" i="68"/>
  <c r="E26" i="2" s="1"/>
  <c r="A16" i="23"/>
  <c r="Z25" i="23"/>
  <c r="AB25" i="23" s="1"/>
  <c r="AO25" i="23" s="1"/>
  <c r="AA25" i="23"/>
  <c r="AC25" i="23" s="1"/>
  <c r="AP25" i="23" s="1"/>
  <c r="Z56" i="23"/>
  <c r="AB56" i="23" s="1"/>
  <c r="AO56" i="23" s="1"/>
  <c r="AA56" i="23"/>
  <c r="AC56" i="23" s="1"/>
  <c r="AP56" i="23" s="1"/>
  <c r="Z38" i="23"/>
  <c r="AB38" i="23" s="1"/>
  <c r="AO38" i="23" s="1"/>
  <c r="AA38" i="23"/>
  <c r="AC38" i="23" s="1"/>
  <c r="AP38" i="23" s="1"/>
  <c r="Z53" i="23"/>
  <c r="AB53" i="23" s="1"/>
  <c r="AO53" i="23" s="1"/>
  <c r="AA53" i="23"/>
  <c r="AC53" i="23" s="1"/>
  <c r="AP53" i="23" s="1"/>
  <c r="Z55" i="23"/>
  <c r="AB55" i="23" s="1"/>
  <c r="AO55" i="23" s="1"/>
  <c r="AA55" i="23"/>
  <c r="AC55" i="23" s="1"/>
  <c r="AP55" i="23" s="1"/>
  <c r="AA48" i="23"/>
  <c r="AC48" i="23" s="1"/>
  <c r="AP48" i="23" s="1"/>
  <c r="Z48" i="23"/>
  <c r="AB48" i="23" s="1"/>
  <c r="AO48" i="23" s="1"/>
  <c r="Z33" i="23"/>
  <c r="AB33" i="23" s="1"/>
  <c r="AO33" i="23" s="1"/>
  <c r="AA33" i="23"/>
  <c r="AC33" i="23" s="1"/>
  <c r="AP33" i="23" s="1"/>
  <c r="Z46" i="23"/>
  <c r="AB46" i="23" s="1"/>
  <c r="AO46" i="23" s="1"/>
  <c r="AA46" i="23"/>
  <c r="AC46" i="23" s="1"/>
  <c r="AP46" i="23" s="1"/>
  <c r="Z51" i="23"/>
  <c r="AB51" i="23" s="1"/>
  <c r="AO51" i="23" s="1"/>
  <c r="AA51" i="23"/>
  <c r="AC51" i="23" s="1"/>
  <c r="AP51" i="23" s="1"/>
  <c r="Z41" i="23"/>
  <c r="AB41" i="23" s="1"/>
  <c r="AO41" i="23" s="1"/>
  <c r="AA41" i="23"/>
  <c r="AC41" i="23" s="1"/>
  <c r="AP41" i="23" s="1"/>
  <c r="Z43" i="23"/>
  <c r="AB43" i="23" s="1"/>
  <c r="AO43" i="23" s="1"/>
  <c r="AA43" i="23"/>
  <c r="AC43" i="23" s="1"/>
  <c r="AP43" i="23" s="1"/>
  <c r="AA36" i="23"/>
  <c r="AC36" i="23" s="1"/>
  <c r="AP36" i="23" s="1"/>
  <c r="Z36" i="23"/>
  <c r="AB36" i="23" s="1"/>
  <c r="AO36" i="23" s="1"/>
  <c r="Z28" i="23"/>
  <c r="AB28" i="23" s="1"/>
  <c r="AO28" i="23" s="1"/>
  <c r="AA28" i="23"/>
  <c r="AC28" i="23" s="1"/>
  <c r="AP28" i="23" s="1"/>
  <c r="Z34" i="23"/>
  <c r="AB34" i="23" s="1"/>
  <c r="AO34" i="23" s="1"/>
  <c r="AA34" i="23"/>
  <c r="AC34" i="23" s="1"/>
  <c r="AP34" i="23" s="1"/>
  <c r="Z39" i="23"/>
  <c r="AB39" i="23" s="1"/>
  <c r="AO39" i="23" s="1"/>
  <c r="AA39" i="23"/>
  <c r="AC39" i="23" s="1"/>
  <c r="AP39" i="23" s="1"/>
  <c r="Z29" i="23"/>
  <c r="AB29" i="23" s="1"/>
  <c r="AO29" i="23" s="1"/>
  <c r="AA29" i="23"/>
  <c r="AC29" i="23" s="1"/>
  <c r="AP29" i="23" s="1"/>
  <c r="Z31" i="23"/>
  <c r="AB31" i="23" s="1"/>
  <c r="AO31" i="23" s="1"/>
  <c r="AA31" i="23"/>
  <c r="AC31" i="23" s="1"/>
  <c r="AP31" i="23" s="1"/>
  <c r="Z49" i="23"/>
  <c r="AB49" i="23" s="1"/>
  <c r="AO49" i="23" s="1"/>
  <c r="AA49" i="23"/>
  <c r="AC49" i="23" s="1"/>
  <c r="AP49" i="23" s="1"/>
  <c r="Z54" i="23"/>
  <c r="AB54" i="23" s="1"/>
  <c r="AO54" i="23" s="1"/>
  <c r="AA54" i="23"/>
  <c r="AC54" i="23" s="1"/>
  <c r="AP54" i="23" s="1"/>
  <c r="Z32" i="23"/>
  <c r="AB32" i="23" s="1"/>
  <c r="AO32" i="23" s="1"/>
  <c r="AA32" i="23"/>
  <c r="AC32" i="23" s="1"/>
  <c r="AP32" i="23" s="1"/>
  <c r="Z57" i="23"/>
  <c r="AB57" i="23" s="1"/>
  <c r="AO57" i="23" s="1"/>
  <c r="AA57" i="23"/>
  <c r="AC57" i="23" s="1"/>
  <c r="AP57" i="23" s="1"/>
  <c r="AA47" i="23"/>
  <c r="AC47" i="23" s="1"/>
  <c r="AP47" i="23" s="1"/>
  <c r="Z47" i="23"/>
  <c r="AB47" i="23" s="1"/>
  <c r="AO47" i="23" s="1"/>
  <c r="Z37" i="23"/>
  <c r="AB37" i="23" s="1"/>
  <c r="AO37" i="23" s="1"/>
  <c r="AA37" i="23"/>
  <c r="AC37" i="23" s="1"/>
  <c r="AP37" i="23" s="1"/>
  <c r="Z52" i="23"/>
  <c r="AB52" i="23" s="1"/>
  <c r="AO52" i="23" s="1"/>
  <c r="AA52" i="23"/>
  <c r="AC52" i="23" s="1"/>
  <c r="AP52" i="23" s="1"/>
  <c r="Z42" i="23"/>
  <c r="AB42" i="23" s="1"/>
  <c r="AO42" i="23" s="1"/>
  <c r="AA42" i="23"/>
  <c r="AC42" i="23" s="1"/>
  <c r="AP42" i="23" s="1"/>
  <c r="Z45" i="23"/>
  <c r="AB45" i="23" s="1"/>
  <c r="AO45" i="23" s="1"/>
  <c r="AA45" i="23"/>
  <c r="AC45" i="23" s="1"/>
  <c r="AP45" i="23" s="1"/>
  <c r="AA35" i="23"/>
  <c r="AC35" i="23" s="1"/>
  <c r="AP35" i="23" s="1"/>
  <c r="Z35" i="23"/>
  <c r="AB35" i="23" s="1"/>
  <c r="AO35" i="23" s="1"/>
  <c r="Z44" i="23"/>
  <c r="AB44" i="23" s="1"/>
  <c r="AO44" i="23" s="1"/>
  <c r="AA44" i="23"/>
  <c r="AC44" i="23" s="1"/>
  <c r="AP44" i="23" s="1"/>
  <c r="Z40" i="23"/>
  <c r="AB40" i="23" s="1"/>
  <c r="AO40" i="23" s="1"/>
  <c r="AA40" i="23"/>
  <c r="AC40" i="23" s="1"/>
  <c r="AP40" i="23" s="1"/>
  <c r="Z30" i="23"/>
  <c r="AB30" i="23" s="1"/>
  <c r="AO30" i="23" s="1"/>
  <c r="AA30" i="23"/>
  <c r="AC30" i="23" s="1"/>
  <c r="AP30" i="23" s="1"/>
  <c r="Z50" i="23"/>
  <c r="AB50" i="23" s="1"/>
  <c r="AO50" i="23" s="1"/>
  <c r="AA50" i="23"/>
  <c r="AC50" i="23" s="1"/>
  <c r="AP50" i="23" s="1"/>
  <c r="S27" i="68"/>
  <c r="T27" i="68"/>
  <c r="A16" i="70"/>
  <c r="AJ16" i="70"/>
  <c r="AJ15" i="70"/>
  <c r="S26" i="68"/>
  <c r="A16" i="69"/>
  <c r="T25" i="68"/>
  <c r="AN64" i="22"/>
  <c r="A16" i="22"/>
  <c r="AN55" i="22"/>
  <c r="AJ68" i="22"/>
  <c r="AJ66" i="22"/>
  <c r="AN60" i="22"/>
  <c r="AJ56" i="22"/>
  <c r="Z73" i="22"/>
  <c r="AB73" i="22" s="1"/>
  <c r="AO73" i="22" s="1"/>
  <c r="AA73" i="22"/>
  <c r="AC73" i="22" s="1"/>
  <c r="AP73" i="22" s="1"/>
  <c r="Z71" i="22"/>
  <c r="AB71" i="22" s="1"/>
  <c r="AO71" i="22" s="1"/>
  <c r="AA71" i="22"/>
  <c r="AC71" i="22" s="1"/>
  <c r="AP71" i="22" s="1"/>
  <c r="AA76" i="22"/>
  <c r="AC76" i="22" s="1"/>
  <c r="AP76" i="22" s="1"/>
  <c r="Z76" i="22"/>
  <c r="AB76" i="22" s="1"/>
  <c r="AO76" i="22" s="1"/>
  <c r="Z80" i="22"/>
  <c r="AB80" i="22" s="1"/>
  <c r="AO80" i="22" s="1"/>
  <c r="AA80" i="22"/>
  <c r="AC80" i="22" s="1"/>
  <c r="AP80" i="22" s="1"/>
  <c r="Z86" i="22"/>
  <c r="AB86" i="22" s="1"/>
  <c r="AO86" i="22" s="1"/>
  <c r="AA86" i="22"/>
  <c r="AC86" i="22" s="1"/>
  <c r="AP86" i="22" s="1"/>
  <c r="Z84" i="22"/>
  <c r="AB84" i="22" s="1"/>
  <c r="AO84" i="22" s="1"/>
  <c r="AA84" i="22"/>
  <c r="AC84" i="22" s="1"/>
  <c r="AP84" i="22" s="1"/>
  <c r="Z81" i="22"/>
  <c r="AB81" i="22" s="1"/>
  <c r="AO81" i="22" s="1"/>
  <c r="AA81" i="22"/>
  <c r="AC81" i="22" s="1"/>
  <c r="AP81" i="22" s="1"/>
  <c r="Z74" i="22"/>
  <c r="AB74" i="22" s="1"/>
  <c r="AO74" i="22" s="1"/>
  <c r="AA74" i="22"/>
  <c r="AC74" i="22" s="1"/>
  <c r="AP74" i="22" s="1"/>
  <c r="Z72" i="22"/>
  <c r="AB72" i="22" s="1"/>
  <c r="AO72" i="22" s="1"/>
  <c r="AA72" i="22"/>
  <c r="AC72" i="22" s="1"/>
  <c r="AP72" i="22" s="1"/>
  <c r="AA77" i="22"/>
  <c r="AC77" i="22" s="1"/>
  <c r="AP77" i="22" s="1"/>
  <c r="Z77" i="22"/>
  <c r="AB77" i="22" s="1"/>
  <c r="AO77" i="22" s="1"/>
  <c r="Z69" i="22"/>
  <c r="AB69" i="22" s="1"/>
  <c r="AO69" i="22" s="1"/>
  <c r="AA69" i="22"/>
  <c r="AC69" i="22" s="1"/>
  <c r="AP69" i="22" s="1"/>
  <c r="Z87" i="22"/>
  <c r="AB87" i="22" s="1"/>
  <c r="AO87" i="22" s="1"/>
  <c r="AA87" i="22"/>
  <c r="AC87" i="22" s="1"/>
  <c r="AP87" i="22" s="1"/>
  <c r="Z82" i="22"/>
  <c r="AB82" i="22" s="1"/>
  <c r="AO82" i="22" s="1"/>
  <c r="AA82" i="22"/>
  <c r="AC82" i="22" s="1"/>
  <c r="AP82" i="22" s="1"/>
  <c r="AA88" i="22"/>
  <c r="AC88" i="22" s="1"/>
  <c r="AP88" i="22" s="1"/>
  <c r="Z88" i="22"/>
  <c r="AB88" i="22" s="1"/>
  <c r="AO88" i="22" s="1"/>
  <c r="Z75" i="22"/>
  <c r="AB75" i="22" s="1"/>
  <c r="AO75" i="22" s="1"/>
  <c r="AA75" i="22"/>
  <c r="AC75" i="22" s="1"/>
  <c r="AP75" i="22" s="1"/>
  <c r="Z78" i="22"/>
  <c r="AB78" i="22" s="1"/>
  <c r="AO78" i="22" s="1"/>
  <c r="AA78" i="22"/>
  <c r="AC78" i="22" s="1"/>
  <c r="AP78" i="22" s="1"/>
  <c r="Z70" i="22"/>
  <c r="AB70" i="22" s="1"/>
  <c r="AO70" i="22" s="1"/>
  <c r="AA70" i="22"/>
  <c r="AC70" i="22" s="1"/>
  <c r="AP70" i="22" s="1"/>
  <c r="Z85" i="22"/>
  <c r="AB85" i="22" s="1"/>
  <c r="AO85" i="22" s="1"/>
  <c r="AA85" i="22"/>
  <c r="AC85" i="22" s="1"/>
  <c r="AP85" i="22" s="1"/>
  <c r="Z79" i="22"/>
  <c r="AB79" i="22" s="1"/>
  <c r="AO79" i="22" s="1"/>
  <c r="AA79" i="22"/>
  <c r="AC79" i="22" s="1"/>
  <c r="AP79" i="22" s="1"/>
  <c r="Z83" i="22"/>
  <c r="AB83" i="22" s="1"/>
  <c r="AO83" i="22" s="1"/>
  <c r="AA83" i="22"/>
  <c r="AC83" i="22" s="1"/>
  <c r="AP83" i="22" s="1"/>
  <c r="AJ14" i="21"/>
  <c r="AN12" i="21"/>
  <c r="AJ22" i="21"/>
  <c r="T21" i="68"/>
  <c r="E22" i="2" s="1"/>
  <c r="AN19" i="21"/>
  <c r="AN78" i="20"/>
  <c r="AJ64" i="20"/>
  <c r="AN66" i="20"/>
  <c r="AJ60" i="20"/>
  <c r="AN79" i="20"/>
  <c r="AN60" i="20"/>
  <c r="AJ75" i="20"/>
  <c r="Z10" i="20"/>
  <c r="AB10" i="20" s="1"/>
  <c r="AO10" i="20" s="1"/>
  <c r="AA10" i="20"/>
  <c r="AC10" i="20" s="1"/>
  <c r="AP10" i="20" s="1"/>
  <c r="Z130" i="20"/>
  <c r="AB130" i="20" s="1"/>
  <c r="AO130" i="20" s="1"/>
  <c r="AA130" i="20"/>
  <c r="AC130" i="20" s="1"/>
  <c r="AP130" i="20" s="1"/>
  <c r="Z99" i="20"/>
  <c r="AB99" i="20" s="1"/>
  <c r="AO99" i="20" s="1"/>
  <c r="AA99" i="20"/>
  <c r="AC99" i="20" s="1"/>
  <c r="AP99" i="20" s="1"/>
  <c r="AA125" i="20"/>
  <c r="AC125" i="20" s="1"/>
  <c r="AP125" i="20" s="1"/>
  <c r="Z125" i="20"/>
  <c r="AB125" i="20" s="1"/>
  <c r="AO125" i="20" s="1"/>
  <c r="Z102" i="20"/>
  <c r="AB102" i="20" s="1"/>
  <c r="AO102" i="20" s="1"/>
  <c r="AA102" i="20"/>
  <c r="AC102" i="20" s="1"/>
  <c r="AP102" i="20" s="1"/>
  <c r="Z91" i="20"/>
  <c r="AB91" i="20" s="1"/>
  <c r="AO91" i="20" s="1"/>
  <c r="AA91" i="20"/>
  <c r="AC91" i="20" s="1"/>
  <c r="AP91" i="20" s="1"/>
  <c r="Z120" i="20"/>
  <c r="AB120" i="20" s="1"/>
  <c r="AO120" i="20" s="1"/>
  <c r="AA120" i="20"/>
  <c r="AC120" i="20" s="1"/>
  <c r="AP120" i="20" s="1"/>
  <c r="Z98" i="20"/>
  <c r="AB98" i="20" s="1"/>
  <c r="AO98" i="20" s="1"/>
  <c r="AA98" i="20"/>
  <c r="AC98" i="20" s="1"/>
  <c r="AP98" i="20" s="1"/>
  <c r="Z117" i="20"/>
  <c r="AB117" i="20" s="1"/>
  <c r="AO117" i="20" s="1"/>
  <c r="AA117" i="20"/>
  <c r="AC117" i="20" s="1"/>
  <c r="AP117" i="20" s="1"/>
  <c r="Z118" i="20"/>
  <c r="AB118" i="20" s="1"/>
  <c r="AO118" i="20" s="1"/>
  <c r="AA118" i="20"/>
  <c r="AC118" i="20" s="1"/>
  <c r="AP118" i="20" s="1"/>
  <c r="Z107" i="20"/>
  <c r="AB107" i="20" s="1"/>
  <c r="AO107" i="20" s="1"/>
  <c r="AA107" i="20"/>
  <c r="AC107" i="20" s="1"/>
  <c r="AP107" i="20" s="1"/>
  <c r="Z108" i="20"/>
  <c r="AB108" i="20" s="1"/>
  <c r="AO108" i="20" s="1"/>
  <c r="AA108" i="20"/>
  <c r="AC108" i="20" s="1"/>
  <c r="AP108" i="20" s="1"/>
  <c r="Z87" i="20"/>
  <c r="AB87" i="20" s="1"/>
  <c r="AO87" i="20" s="1"/>
  <c r="AA87" i="20"/>
  <c r="AC87" i="20" s="1"/>
  <c r="AP87" i="20" s="1"/>
  <c r="AA113" i="20"/>
  <c r="AC113" i="20" s="1"/>
  <c r="AP113" i="20" s="1"/>
  <c r="Z113" i="20"/>
  <c r="AB113" i="20" s="1"/>
  <c r="AO113" i="20" s="1"/>
  <c r="Z90" i="20"/>
  <c r="AB90" i="20" s="1"/>
  <c r="AO90" i="20" s="1"/>
  <c r="AA90" i="20"/>
  <c r="AC90" i="20" s="1"/>
  <c r="AP90" i="20" s="1"/>
  <c r="Z119" i="20"/>
  <c r="AB119" i="20" s="1"/>
  <c r="AO119" i="20" s="1"/>
  <c r="AA119" i="20"/>
  <c r="AC119" i="20" s="1"/>
  <c r="AP119" i="20" s="1"/>
  <c r="A16" i="20"/>
  <c r="Z86" i="20"/>
  <c r="AB86" i="20" s="1"/>
  <c r="AO86" i="20" s="1"/>
  <c r="AA86" i="20"/>
  <c r="AC86" i="20" s="1"/>
  <c r="AP86" i="20" s="1"/>
  <c r="Z128" i="20"/>
  <c r="AB128" i="20" s="1"/>
  <c r="AO128" i="20" s="1"/>
  <c r="AA128" i="20"/>
  <c r="AC128" i="20" s="1"/>
  <c r="AP128" i="20" s="1"/>
  <c r="Z105" i="20"/>
  <c r="AB105" i="20" s="1"/>
  <c r="AO105" i="20" s="1"/>
  <c r="AA105" i="20"/>
  <c r="AC105" i="20" s="1"/>
  <c r="AP105" i="20" s="1"/>
  <c r="Z106" i="20"/>
  <c r="AB106" i="20" s="1"/>
  <c r="AO106" i="20" s="1"/>
  <c r="AA106" i="20"/>
  <c r="AC106" i="20" s="1"/>
  <c r="AP106" i="20" s="1"/>
  <c r="Z95" i="20"/>
  <c r="AB95" i="20" s="1"/>
  <c r="AO95" i="20" s="1"/>
  <c r="AA95" i="20"/>
  <c r="AC95" i="20" s="1"/>
  <c r="AP95" i="20" s="1"/>
  <c r="Z96" i="20"/>
  <c r="AB96" i="20" s="1"/>
  <c r="AO96" i="20" s="1"/>
  <c r="AA96" i="20"/>
  <c r="AC96" i="20" s="1"/>
  <c r="AP96" i="20" s="1"/>
  <c r="Z129" i="20"/>
  <c r="AB129" i="20" s="1"/>
  <c r="AO129" i="20" s="1"/>
  <c r="AA129" i="20"/>
  <c r="AC129" i="20" s="1"/>
  <c r="AP129" i="20" s="1"/>
  <c r="AA124" i="20"/>
  <c r="AC124" i="20" s="1"/>
  <c r="AP124" i="20" s="1"/>
  <c r="Z124" i="20"/>
  <c r="AB124" i="20" s="1"/>
  <c r="AO124" i="20" s="1"/>
  <c r="AA101" i="20"/>
  <c r="AC101" i="20" s="1"/>
  <c r="AP101" i="20" s="1"/>
  <c r="Z101" i="20"/>
  <c r="AB101" i="20" s="1"/>
  <c r="AO101" i="20" s="1"/>
  <c r="Z121" i="20"/>
  <c r="AB121" i="20" s="1"/>
  <c r="AO121" i="20" s="1"/>
  <c r="AA121" i="20"/>
  <c r="AC121" i="20" s="1"/>
  <c r="AP121" i="20" s="1"/>
  <c r="AA112" i="20"/>
  <c r="AC112" i="20" s="1"/>
  <c r="AP112" i="20" s="1"/>
  <c r="Z112" i="20"/>
  <c r="AB112" i="20" s="1"/>
  <c r="AO112" i="20" s="1"/>
  <c r="Z116" i="20"/>
  <c r="AB116" i="20" s="1"/>
  <c r="AO116" i="20" s="1"/>
  <c r="AA116" i="20"/>
  <c r="AC116" i="20" s="1"/>
  <c r="AP116" i="20" s="1"/>
  <c r="Z93" i="20"/>
  <c r="AB93" i="20" s="1"/>
  <c r="AO93" i="20" s="1"/>
  <c r="AA93" i="20"/>
  <c r="AC93" i="20" s="1"/>
  <c r="AP93" i="20" s="1"/>
  <c r="Z94" i="20"/>
  <c r="AB94" i="20" s="1"/>
  <c r="AO94" i="20" s="1"/>
  <c r="AA94" i="20"/>
  <c r="AC94" i="20" s="1"/>
  <c r="AP94" i="20" s="1"/>
  <c r="Z83" i="20"/>
  <c r="AB83" i="20" s="1"/>
  <c r="AO83" i="20" s="1"/>
  <c r="AA83" i="20"/>
  <c r="AC83" i="20" s="1"/>
  <c r="AP83" i="20" s="1"/>
  <c r="Z84" i="20"/>
  <c r="AB84" i="20" s="1"/>
  <c r="AO84" i="20" s="1"/>
  <c r="AA84" i="20"/>
  <c r="AC84" i="20" s="1"/>
  <c r="AP84" i="20" s="1"/>
  <c r="Z110" i="20"/>
  <c r="AB110" i="20" s="1"/>
  <c r="AO110" i="20" s="1"/>
  <c r="AA110" i="20"/>
  <c r="AC110" i="20" s="1"/>
  <c r="AP110" i="20" s="1"/>
  <c r="Z89" i="20"/>
  <c r="AB89" i="20" s="1"/>
  <c r="AO89" i="20" s="1"/>
  <c r="AA89" i="20"/>
  <c r="AC89" i="20" s="1"/>
  <c r="AP89" i="20" s="1"/>
  <c r="Z127" i="20"/>
  <c r="AB127" i="20" s="1"/>
  <c r="AO127" i="20" s="1"/>
  <c r="AA127" i="20"/>
  <c r="AC127" i="20" s="1"/>
  <c r="AP127" i="20" s="1"/>
  <c r="Z133" i="20"/>
  <c r="AB133" i="20" s="1"/>
  <c r="AO133" i="20" s="1"/>
  <c r="AA133" i="20"/>
  <c r="AC133" i="20" s="1"/>
  <c r="AP133" i="20" s="1"/>
  <c r="AA100" i="20"/>
  <c r="AC100" i="20" s="1"/>
  <c r="AP100" i="20" s="1"/>
  <c r="Z100" i="20"/>
  <c r="AB100" i="20" s="1"/>
  <c r="AO100" i="20" s="1"/>
  <c r="Z104" i="20"/>
  <c r="AB104" i="20" s="1"/>
  <c r="AO104" i="20" s="1"/>
  <c r="AA104" i="20"/>
  <c r="AC104" i="20" s="1"/>
  <c r="AP104" i="20" s="1"/>
  <c r="Z81" i="20"/>
  <c r="AB81" i="20" s="1"/>
  <c r="AO81" i="20" s="1"/>
  <c r="AA81" i="20"/>
  <c r="AC81" i="20" s="1"/>
  <c r="AP81" i="20" s="1"/>
  <c r="Z82" i="20"/>
  <c r="AB82" i="20" s="1"/>
  <c r="AO82" i="20" s="1"/>
  <c r="AA82" i="20"/>
  <c r="AC82" i="20" s="1"/>
  <c r="AP82" i="20" s="1"/>
  <c r="Z123" i="20"/>
  <c r="AB123" i="20" s="1"/>
  <c r="AO123" i="20" s="1"/>
  <c r="AA123" i="20"/>
  <c r="AC123" i="20" s="1"/>
  <c r="AP123" i="20" s="1"/>
  <c r="Z126" i="20"/>
  <c r="AB126" i="20" s="1"/>
  <c r="AO126" i="20" s="1"/>
  <c r="AA126" i="20"/>
  <c r="AC126" i="20" s="1"/>
  <c r="AP126" i="20" s="1"/>
  <c r="Z115" i="20"/>
  <c r="AB115" i="20" s="1"/>
  <c r="AO115" i="20" s="1"/>
  <c r="AA115" i="20"/>
  <c r="AC115" i="20" s="1"/>
  <c r="AP115" i="20" s="1"/>
  <c r="Z97" i="20"/>
  <c r="AB97" i="20" s="1"/>
  <c r="AO97" i="20" s="1"/>
  <c r="AA97" i="20"/>
  <c r="AC97" i="20" s="1"/>
  <c r="AP97" i="20" s="1"/>
  <c r="Z131" i="20"/>
  <c r="AB131" i="20" s="1"/>
  <c r="AO131" i="20" s="1"/>
  <c r="AA131" i="20"/>
  <c r="AC131" i="20" s="1"/>
  <c r="AP131" i="20" s="1"/>
  <c r="Z122" i="20"/>
  <c r="AB122" i="20" s="1"/>
  <c r="AO122" i="20" s="1"/>
  <c r="AA122" i="20"/>
  <c r="AC122" i="20" s="1"/>
  <c r="AP122" i="20" s="1"/>
  <c r="AA88" i="20"/>
  <c r="AC88" i="20" s="1"/>
  <c r="AP88" i="20" s="1"/>
  <c r="Z88" i="20"/>
  <c r="AB88" i="20" s="1"/>
  <c r="AO88" i="20" s="1"/>
  <c r="Z92" i="20"/>
  <c r="AB92" i="20" s="1"/>
  <c r="AO92" i="20" s="1"/>
  <c r="AA92" i="20"/>
  <c r="AC92" i="20" s="1"/>
  <c r="AP92" i="20" s="1"/>
  <c r="Z109" i="20"/>
  <c r="AB109" i="20" s="1"/>
  <c r="AO109" i="20" s="1"/>
  <c r="AA109" i="20"/>
  <c r="AC109" i="20" s="1"/>
  <c r="AP109" i="20" s="1"/>
  <c r="Z132" i="20"/>
  <c r="AB132" i="20" s="1"/>
  <c r="AO132" i="20" s="1"/>
  <c r="AA132" i="20"/>
  <c r="AC132" i="20" s="1"/>
  <c r="AP132" i="20" s="1"/>
  <c r="Z111" i="20"/>
  <c r="AB111" i="20" s="1"/>
  <c r="AO111" i="20" s="1"/>
  <c r="AA111" i="20"/>
  <c r="AC111" i="20" s="1"/>
  <c r="AP111" i="20" s="1"/>
  <c r="Z114" i="20"/>
  <c r="AB114" i="20" s="1"/>
  <c r="AO114" i="20" s="1"/>
  <c r="AA114" i="20"/>
  <c r="AC114" i="20" s="1"/>
  <c r="AP114" i="20" s="1"/>
  <c r="Z103" i="20"/>
  <c r="AB103" i="20" s="1"/>
  <c r="AO103" i="20" s="1"/>
  <c r="AA103" i="20"/>
  <c r="AC103" i="20" s="1"/>
  <c r="AP103" i="20" s="1"/>
  <c r="Z85" i="20"/>
  <c r="AB85" i="20" s="1"/>
  <c r="AO85" i="20" s="1"/>
  <c r="AA85" i="20"/>
  <c r="AC85" i="20" s="1"/>
  <c r="AP85" i="20" s="1"/>
  <c r="S19" i="68"/>
  <c r="AN17" i="19"/>
  <c r="T19" i="68"/>
  <c r="E20" i="2" s="1"/>
  <c r="A16" i="18"/>
  <c r="AJ13" i="18"/>
  <c r="A16" i="16"/>
  <c r="AN189" i="15"/>
  <c r="AL189" i="15"/>
  <c r="AL205" i="15"/>
  <c r="AN171" i="15"/>
  <c r="AJ193" i="15"/>
  <c r="AJ202" i="15"/>
  <c r="AJ198" i="15"/>
  <c r="AN127" i="15"/>
  <c r="AJ215" i="15"/>
  <c r="AJ229" i="15"/>
  <c r="AJ125" i="15"/>
  <c r="AN201" i="15"/>
  <c r="AN147" i="15"/>
  <c r="AN130" i="15"/>
  <c r="AL187" i="15"/>
  <c r="AN186" i="15"/>
  <c r="AN176" i="15"/>
  <c r="AN128" i="15"/>
  <c r="AJ219" i="15"/>
  <c r="AN223" i="15"/>
  <c r="AL207" i="15"/>
  <c r="AN199" i="15"/>
  <c r="AN202" i="15"/>
  <c r="AJ132" i="15"/>
  <c r="AJ209" i="15"/>
  <c r="AJ180" i="15"/>
  <c r="AL218" i="15"/>
  <c r="AN163" i="15"/>
  <c r="AJ131" i="15"/>
  <c r="AN139" i="15"/>
  <c r="AJ144" i="15"/>
  <c r="AJ225" i="15"/>
  <c r="AN183" i="15"/>
  <c r="A16" i="15"/>
  <c r="AJ159" i="15"/>
  <c r="AJ200" i="15"/>
  <c r="AN192" i="15"/>
  <c r="AL201" i="15"/>
  <c r="AN210" i="15"/>
  <c r="AN218" i="15"/>
  <c r="AN205" i="15"/>
  <c r="AJ136" i="15"/>
  <c r="AJ221" i="15"/>
  <c r="T14" i="68"/>
  <c r="E15" i="2" s="1"/>
  <c r="AN155" i="15"/>
  <c r="AJ127" i="15"/>
  <c r="AL188" i="15"/>
  <c r="AN151" i="15"/>
  <c r="AJ150" i="15"/>
  <c r="S14" i="68"/>
  <c r="AJ146" i="15"/>
  <c r="AJ176" i="15"/>
  <c r="AN191" i="15"/>
  <c r="AN172" i="15"/>
  <c r="AN200" i="15"/>
  <c r="AL168" i="15"/>
  <c r="AN217" i="15"/>
  <c r="AN134" i="15"/>
  <c r="AN143" i="15"/>
  <c r="AJ203" i="15"/>
  <c r="AN198" i="15"/>
  <c r="AJ172" i="15"/>
  <c r="AL140" i="15"/>
  <c r="AL194" i="15"/>
  <c r="AN206" i="15"/>
  <c r="AN167" i="15"/>
  <c r="AN229" i="15"/>
  <c r="AN195" i="15"/>
  <c r="A16" i="14"/>
  <c r="AN22" i="14"/>
  <c r="AN20" i="14"/>
  <c r="AL24" i="14"/>
  <c r="AN24" i="14"/>
  <c r="AN21" i="14"/>
  <c r="Z28" i="14"/>
  <c r="AB28" i="14" s="1"/>
  <c r="AO28" i="14" s="1"/>
  <c r="AA28" i="14"/>
  <c r="AC28" i="14" s="1"/>
  <c r="AP28" i="14" s="1"/>
  <c r="Z31" i="14"/>
  <c r="AB31" i="14" s="1"/>
  <c r="AO31" i="14" s="1"/>
  <c r="AA31" i="14"/>
  <c r="AC31" i="14" s="1"/>
  <c r="AP31" i="14" s="1"/>
  <c r="Z49" i="14"/>
  <c r="AB49" i="14" s="1"/>
  <c r="AO49" i="14" s="1"/>
  <c r="AA49" i="14"/>
  <c r="AC49" i="14" s="1"/>
  <c r="AP49" i="14" s="1"/>
  <c r="Z51" i="14"/>
  <c r="AB51" i="14" s="1"/>
  <c r="AO51" i="14" s="1"/>
  <c r="AA51" i="14"/>
  <c r="AC51" i="14" s="1"/>
  <c r="AP51" i="14" s="1"/>
  <c r="Z54" i="14"/>
  <c r="AB54" i="14" s="1"/>
  <c r="AO54" i="14" s="1"/>
  <c r="AA54" i="14"/>
  <c r="AC54" i="14" s="1"/>
  <c r="AP54" i="14" s="1"/>
  <c r="AA45" i="14"/>
  <c r="AC45" i="14" s="1"/>
  <c r="AP45" i="14" s="1"/>
  <c r="Z45" i="14"/>
  <c r="AB45" i="14" s="1"/>
  <c r="AO45" i="14" s="1"/>
  <c r="Z47" i="14"/>
  <c r="AB47" i="14" s="1"/>
  <c r="AO47" i="14" s="1"/>
  <c r="AA47" i="14"/>
  <c r="AC47" i="14" s="1"/>
  <c r="AP47" i="14" s="1"/>
  <c r="Z59" i="14"/>
  <c r="AB59" i="14" s="1"/>
  <c r="AO59" i="14" s="1"/>
  <c r="AA59" i="14"/>
  <c r="AC59" i="14" s="1"/>
  <c r="AP59" i="14" s="1"/>
  <c r="Z53" i="14"/>
  <c r="AB53" i="14" s="1"/>
  <c r="AO53" i="14" s="1"/>
  <c r="AA53" i="14"/>
  <c r="AC53" i="14" s="1"/>
  <c r="AP53" i="14" s="1"/>
  <c r="Z37" i="14"/>
  <c r="AB37" i="14" s="1"/>
  <c r="AO37" i="14" s="1"/>
  <c r="AA37" i="14"/>
  <c r="AC37" i="14" s="1"/>
  <c r="AP37" i="14" s="1"/>
  <c r="Z39" i="14"/>
  <c r="AB39" i="14" s="1"/>
  <c r="AO39" i="14" s="1"/>
  <c r="AA39" i="14"/>
  <c r="AC39" i="14" s="1"/>
  <c r="AP39" i="14" s="1"/>
  <c r="Z42" i="14"/>
  <c r="AB42" i="14" s="1"/>
  <c r="AO42" i="14" s="1"/>
  <c r="AA42" i="14"/>
  <c r="AC42" i="14" s="1"/>
  <c r="AP42" i="14" s="1"/>
  <c r="AA56" i="14"/>
  <c r="AC56" i="14" s="1"/>
  <c r="AP56" i="14" s="1"/>
  <c r="Z56" i="14"/>
  <c r="AB56" i="14" s="1"/>
  <c r="AO56" i="14" s="1"/>
  <c r="AA33" i="14"/>
  <c r="AC33" i="14" s="1"/>
  <c r="AP33" i="14" s="1"/>
  <c r="Z33" i="14"/>
  <c r="AB33" i="14" s="1"/>
  <c r="AO33" i="14" s="1"/>
  <c r="Z35" i="14"/>
  <c r="AB35" i="14" s="1"/>
  <c r="AO35" i="14" s="1"/>
  <c r="AA35" i="14"/>
  <c r="AC35" i="14" s="1"/>
  <c r="AP35" i="14" s="1"/>
  <c r="Z26" i="14"/>
  <c r="AB26" i="14" s="1"/>
  <c r="AO26" i="14" s="1"/>
  <c r="AA26" i="14"/>
  <c r="AC26" i="14" s="1"/>
  <c r="AP26" i="14" s="1"/>
  <c r="Z25" i="14"/>
  <c r="AB25" i="14" s="1"/>
  <c r="AO25" i="14" s="1"/>
  <c r="AA25" i="14"/>
  <c r="AC25" i="14" s="1"/>
  <c r="AP25" i="14" s="1"/>
  <c r="Z27" i="14"/>
  <c r="AB27" i="14" s="1"/>
  <c r="AO27" i="14" s="1"/>
  <c r="AA27" i="14"/>
  <c r="AC27" i="14" s="1"/>
  <c r="AP27" i="14" s="1"/>
  <c r="AA57" i="14"/>
  <c r="AC57" i="14" s="1"/>
  <c r="AP57" i="14" s="1"/>
  <c r="Z57" i="14"/>
  <c r="AB57" i="14" s="1"/>
  <c r="AO57" i="14" s="1"/>
  <c r="Z30" i="14"/>
  <c r="AB30" i="14" s="1"/>
  <c r="AO30" i="14" s="1"/>
  <c r="AA30" i="14"/>
  <c r="AC30" i="14" s="1"/>
  <c r="AP30" i="14" s="1"/>
  <c r="AA44" i="14"/>
  <c r="AC44" i="14" s="1"/>
  <c r="AP44" i="14" s="1"/>
  <c r="Z44" i="14"/>
  <c r="AB44" i="14" s="1"/>
  <c r="AO44" i="14" s="1"/>
  <c r="Z58" i="14"/>
  <c r="AB58" i="14" s="1"/>
  <c r="AO58" i="14" s="1"/>
  <c r="AA58" i="14"/>
  <c r="AC58" i="14" s="1"/>
  <c r="AP58" i="14" s="1"/>
  <c r="Z60" i="14"/>
  <c r="AB60" i="14" s="1"/>
  <c r="AO60" i="14" s="1"/>
  <c r="AA60" i="14"/>
  <c r="AC60" i="14" s="1"/>
  <c r="AP60" i="14" s="1"/>
  <c r="Z29" i="14"/>
  <c r="AB29" i="14" s="1"/>
  <c r="AO29" i="14" s="1"/>
  <c r="AA29" i="14"/>
  <c r="AC29" i="14" s="1"/>
  <c r="AP29" i="14" s="1"/>
  <c r="Z41" i="14"/>
  <c r="AB41" i="14" s="1"/>
  <c r="AO41" i="14" s="1"/>
  <c r="AA41" i="14"/>
  <c r="AC41" i="14" s="1"/>
  <c r="AP41" i="14" s="1"/>
  <c r="AA32" i="14"/>
  <c r="AC32" i="14" s="1"/>
  <c r="AP32" i="14" s="1"/>
  <c r="Z32" i="14"/>
  <c r="AB32" i="14" s="1"/>
  <c r="AO32" i="14" s="1"/>
  <c r="Z46" i="14"/>
  <c r="AB46" i="14" s="1"/>
  <c r="AO46" i="14" s="1"/>
  <c r="AA46" i="14"/>
  <c r="AC46" i="14" s="1"/>
  <c r="AP46" i="14" s="1"/>
  <c r="Z48" i="14"/>
  <c r="AB48" i="14" s="1"/>
  <c r="AO48" i="14" s="1"/>
  <c r="AA48" i="14"/>
  <c r="AC48" i="14" s="1"/>
  <c r="AP48" i="14" s="1"/>
  <c r="Z50" i="14"/>
  <c r="AB50" i="14" s="1"/>
  <c r="AO50" i="14" s="1"/>
  <c r="AA50" i="14"/>
  <c r="AC50" i="14" s="1"/>
  <c r="AP50" i="14" s="1"/>
  <c r="Z52" i="14"/>
  <c r="AB52" i="14" s="1"/>
  <c r="AO52" i="14" s="1"/>
  <c r="AA52" i="14"/>
  <c r="AC52" i="14" s="1"/>
  <c r="AP52" i="14" s="1"/>
  <c r="Z55" i="14"/>
  <c r="AB55" i="14" s="1"/>
  <c r="AO55" i="14" s="1"/>
  <c r="AA55" i="14"/>
  <c r="AC55" i="14" s="1"/>
  <c r="AP55" i="14" s="1"/>
  <c r="Z34" i="14"/>
  <c r="AB34" i="14" s="1"/>
  <c r="AO34" i="14" s="1"/>
  <c r="AA34" i="14"/>
  <c r="AC34" i="14" s="1"/>
  <c r="AP34" i="14" s="1"/>
  <c r="Z36" i="14"/>
  <c r="AB36" i="14" s="1"/>
  <c r="AO36" i="14" s="1"/>
  <c r="AA36" i="14"/>
  <c r="AC36" i="14" s="1"/>
  <c r="AP36" i="14" s="1"/>
  <c r="Z38" i="14"/>
  <c r="AB38" i="14" s="1"/>
  <c r="AO38" i="14" s="1"/>
  <c r="AA38" i="14"/>
  <c r="AC38" i="14" s="1"/>
  <c r="AP38" i="14" s="1"/>
  <c r="Z40" i="14"/>
  <c r="AB40" i="14" s="1"/>
  <c r="AO40" i="14" s="1"/>
  <c r="AA40" i="14"/>
  <c r="AC40" i="14" s="1"/>
  <c r="AP40" i="14" s="1"/>
  <c r="Z43" i="14"/>
  <c r="AB43" i="14" s="1"/>
  <c r="AO43" i="14" s="1"/>
  <c r="AA43" i="14"/>
  <c r="AC43" i="14" s="1"/>
  <c r="AP43" i="14" s="1"/>
  <c r="AJ22" i="13"/>
  <c r="T12" i="68"/>
  <c r="E13" i="2" s="1"/>
  <c r="AJ20" i="13"/>
  <c r="AA19" i="13"/>
  <c r="AC19" i="13" s="1"/>
  <c r="AP19" i="13" s="1"/>
  <c r="Z19" i="13"/>
  <c r="AB19" i="13" s="1"/>
  <c r="AO19" i="13" s="1"/>
  <c r="Z37" i="13"/>
  <c r="AB37" i="13" s="1"/>
  <c r="AO37" i="13" s="1"/>
  <c r="AA37" i="13"/>
  <c r="AC37" i="13" s="1"/>
  <c r="AP37" i="13" s="1"/>
  <c r="Z25" i="13"/>
  <c r="AB25" i="13" s="1"/>
  <c r="AO25" i="13" s="1"/>
  <c r="AA25" i="13"/>
  <c r="AC25" i="13" s="1"/>
  <c r="AP25" i="13" s="1"/>
  <c r="Z33" i="13"/>
  <c r="AB33" i="13" s="1"/>
  <c r="AO33" i="13" s="1"/>
  <c r="AA33" i="13"/>
  <c r="AC33" i="13" s="1"/>
  <c r="AP33" i="13" s="1"/>
  <c r="AA32" i="13"/>
  <c r="AC32" i="13" s="1"/>
  <c r="AP32" i="13" s="1"/>
  <c r="Z32" i="13"/>
  <c r="AB32" i="13" s="1"/>
  <c r="AO32" i="13" s="1"/>
  <c r="Z38" i="13"/>
  <c r="AB38" i="13" s="1"/>
  <c r="AO38" i="13" s="1"/>
  <c r="AA38" i="13"/>
  <c r="AC38" i="13" s="1"/>
  <c r="AP38" i="13" s="1"/>
  <c r="Z34" i="13"/>
  <c r="AB34" i="13" s="1"/>
  <c r="AO34" i="13" s="1"/>
  <c r="AA34" i="13"/>
  <c r="AC34" i="13" s="1"/>
  <c r="AP34" i="13" s="1"/>
  <c r="Z39" i="13"/>
  <c r="AB39" i="13" s="1"/>
  <c r="AO39" i="13" s="1"/>
  <c r="AA39" i="13"/>
  <c r="AC39" i="13" s="1"/>
  <c r="AP39" i="13" s="1"/>
  <c r="Z26" i="13"/>
  <c r="AB26" i="13" s="1"/>
  <c r="AO26" i="13" s="1"/>
  <c r="AA26" i="13"/>
  <c r="AC26" i="13" s="1"/>
  <c r="AP26" i="13" s="1"/>
  <c r="Z35" i="13"/>
  <c r="AB35" i="13" s="1"/>
  <c r="AO35" i="13" s="1"/>
  <c r="AA35" i="13"/>
  <c r="AC35" i="13" s="1"/>
  <c r="AP35" i="13" s="1"/>
  <c r="Z27" i="13"/>
  <c r="AB27" i="13" s="1"/>
  <c r="AO27" i="13" s="1"/>
  <c r="AA27" i="13"/>
  <c r="AC27" i="13" s="1"/>
  <c r="AP27" i="13" s="1"/>
  <c r="Z29" i="13"/>
  <c r="AB29" i="13" s="1"/>
  <c r="AO29" i="13" s="1"/>
  <c r="AA29" i="13"/>
  <c r="AC29" i="13" s="1"/>
  <c r="AP29" i="13" s="1"/>
  <c r="AA36" i="13"/>
  <c r="AC36" i="13" s="1"/>
  <c r="AP36" i="13" s="1"/>
  <c r="Z36" i="13"/>
  <c r="AB36" i="13" s="1"/>
  <c r="AO36" i="13" s="1"/>
  <c r="Z28" i="13"/>
  <c r="AB28" i="13" s="1"/>
  <c r="AO28" i="13" s="1"/>
  <c r="AA28" i="13"/>
  <c r="AC28" i="13" s="1"/>
  <c r="AP28" i="13" s="1"/>
  <c r="Z31" i="13"/>
  <c r="AB31" i="13" s="1"/>
  <c r="AO31" i="13" s="1"/>
  <c r="AA31" i="13"/>
  <c r="AC31" i="13" s="1"/>
  <c r="AP31" i="13" s="1"/>
  <c r="A16" i="13"/>
  <c r="AA30" i="13"/>
  <c r="AC30" i="13" s="1"/>
  <c r="AP30" i="13" s="1"/>
  <c r="Z30" i="13"/>
  <c r="AB30" i="13" s="1"/>
  <c r="AO30" i="13" s="1"/>
  <c r="AN32" i="12"/>
  <c r="AJ41" i="12"/>
  <c r="AN35" i="12"/>
  <c r="AJ48" i="12"/>
  <c r="AN33" i="12"/>
  <c r="AJ32" i="12"/>
  <c r="Z62" i="12"/>
  <c r="AB62" i="12" s="1"/>
  <c r="AO62" i="12" s="1"/>
  <c r="AA62" i="12"/>
  <c r="AC62" i="12" s="1"/>
  <c r="AP62" i="12" s="1"/>
  <c r="Z58" i="12"/>
  <c r="AB58" i="12" s="1"/>
  <c r="AO58" i="12" s="1"/>
  <c r="AA58" i="12"/>
  <c r="AC58" i="12" s="1"/>
  <c r="AP58" i="12" s="1"/>
  <c r="Z59" i="12"/>
  <c r="AB59" i="12" s="1"/>
  <c r="AO59" i="12" s="1"/>
  <c r="AA59" i="12"/>
  <c r="AC59" i="12" s="1"/>
  <c r="AP59" i="12" s="1"/>
  <c r="Z60" i="12"/>
  <c r="AB60" i="12" s="1"/>
  <c r="AO60" i="12" s="1"/>
  <c r="AA60" i="12"/>
  <c r="AC60" i="12" s="1"/>
  <c r="AP60" i="12" s="1"/>
  <c r="Z61" i="12"/>
  <c r="AB61" i="12" s="1"/>
  <c r="AO61" i="12" s="1"/>
  <c r="AA61" i="12"/>
  <c r="AC61" i="12" s="1"/>
  <c r="AP61" i="12" s="1"/>
  <c r="AN30" i="12"/>
  <c r="AL50" i="12"/>
  <c r="AN46" i="12"/>
  <c r="AJ37" i="12"/>
  <c r="AN45" i="12"/>
  <c r="AN43" i="12"/>
  <c r="AL31" i="12"/>
  <c r="AN48" i="12"/>
  <c r="AL34" i="12"/>
  <c r="AN39" i="12"/>
  <c r="AJ49" i="12"/>
  <c r="AN40" i="12"/>
  <c r="A16" i="12"/>
  <c r="Z51" i="12"/>
  <c r="AB51" i="12" s="1"/>
  <c r="AO51" i="12" s="1"/>
  <c r="AA51" i="12"/>
  <c r="AC51" i="12" s="1"/>
  <c r="AP51" i="12" s="1"/>
  <c r="Z55" i="12"/>
  <c r="AB55" i="12" s="1"/>
  <c r="AO55" i="12" s="1"/>
  <c r="AA55" i="12"/>
  <c r="AC55" i="12" s="1"/>
  <c r="AP55" i="12" s="1"/>
  <c r="Z52" i="12"/>
  <c r="AB52" i="12" s="1"/>
  <c r="AO52" i="12" s="1"/>
  <c r="AA52" i="12"/>
  <c r="AC52" i="12" s="1"/>
  <c r="AP52" i="12" s="1"/>
  <c r="Z53" i="12"/>
  <c r="AB53" i="12" s="1"/>
  <c r="AO53" i="12" s="1"/>
  <c r="AA53" i="12"/>
  <c r="AC53" i="12" s="1"/>
  <c r="AP53" i="12" s="1"/>
  <c r="Z56" i="12"/>
  <c r="AB56" i="12" s="1"/>
  <c r="AO56" i="12" s="1"/>
  <c r="AA56" i="12"/>
  <c r="AC56" i="12" s="1"/>
  <c r="AP56" i="12" s="1"/>
  <c r="Z54" i="12"/>
  <c r="AB54" i="12" s="1"/>
  <c r="AO54" i="12" s="1"/>
  <c r="AA54" i="12"/>
  <c r="AC54" i="12" s="1"/>
  <c r="AP54" i="12" s="1"/>
  <c r="Z57" i="12"/>
  <c r="AB57" i="12" s="1"/>
  <c r="AO57" i="12" s="1"/>
  <c r="AA57" i="12"/>
  <c r="AC57" i="12" s="1"/>
  <c r="AP57" i="12" s="1"/>
  <c r="AN17" i="6"/>
  <c r="AN22" i="6"/>
  <c r="A16" i="6"/>
  <c r="Z19" i="6"/>
  <c r="AB19" i="6" s="1"/>
  <c r="AO19" i="6" s="1"/>
  <c r="AA19" i="6"/>
  <c r="AC19" i="6" s="1"/>
  <c r="AP19" i="6" s="1"/>
  <c r="Z26" i="6"/>
  <c r="AB26" i="6" s="1"/>
  <c r="AO26" i="6" s="1"/>
  <c r="AA26" i="6"/>
  <c r="AC26" i="6" s="1"/>
  <c r="AP26" i="6" s="1"/>
  <c r="AA32" i="6"/>
  <c r="AC32" i="6" s="1"/>
  <c r="AP32" i="6" s="1"/>
  <c r="Z32" i="6"/>
  <c r="AB32" i="6" s="1"/>
  <c r="AO32" i="6" s="1"/>
  <c r="Z27" i="6"/>
  <c r="AB27" i="6" s="1"/>
  <c r="AO27" i="6" s="1"/>
  <c r="AA27" i="6"/>
  <c r="AC27" i="6" s="1"/>
  <c r="AP27" i="6" s="1"/>
  <c r="Z33" i="6"/>
  <c r="AB33" i="6" s="1"/>
  <c r="AO33" i="6" s="1"/>
  <c r="AA33" i="6"/>
  <c r="AC33" i="6" s="1"/>
  <c r="AP33" i="6" s="1"/>
  <c r="Z28" i="6"/>
  <c r="AB28" i="6" s="1"/>
  <c r="AO28" i="6" s="1"/>
  <c r="AA28" i="6"/>
  <c r="AC28" i="6" s="1"/>
  <c r="AP28" i="6" s="1"/>
  <c r="AA34" i="6"/>
  <c r="AC34" i="6" s="1"/>
  <c r="AP34" i="6" s="1"/>
  <c r="Z34" i="6"/>
  <c r="AB34" i="6" s="1"/>
  <c r="AO34" i="6" s="1"/>
  <c r="Z35" i="6"/>
  <c r="AB35" i="6" s="1"/>
  <c r="AO35" i="6" s="1"/>
  <c r="AA35" i="6"/>
  <c r="AC35" i="6" s="1"/>
  <c r="AP35" i="6" s="1"/>
  <c r="Z30" i="6"/>
  <c r="AB30" i="6" s="1"/>
  <c r="AO30" i="6" s="1"/>
  <c r="AA30" i="6"/>
  <c r="AC30" i="6" s="1"/>
  <c r="AP30" i="6" s="1"/>
  <c r="Z29" i="6"/>
  <c r="AB29" i="6" s="1"/>
  <c r="AO29" i="6" s="1"/>
  <c r="AA29" i="6"/>
  <c r="AC29" i="6" s="1"/>
  <c r="AP29" i="6" s="1"/>
  <c r="Z25" i="6"/>
  <c r="AB25" i="6" s="1"/>
  <c r="AO25" i="6" s="1"/>
  <c r="AA25" i="6"/>
  <c r="AC25" i="6" s="1"/>
  <c r="AP25" i="6" s="1"/>
  <c r="Z31" i="6"/>
  <c r="AB31" i="6" s="1"/>
  <c r="AO31" i="6" s="1"/>
  <c r="AA31" i="6"/>
  <c r="AC31" i="6" s="1"/>
  <c r="AP31" i="6" s="1"/>
  <c r="AJ48" i="5"/>
  <c r="A16" i="5"/>
  <c r="S9" i="68"/>
  <c r="AJ38" i="5"/>
  <c r="AL37" i="5"/>
  <c r="AJ47" i="5"/>
  <c r="AN39" i="5"/>
  <c r="AN48" i="5"/>
  <c r="Z69" i="5"/>
  <c r="AB69" i="5" s="1"/>
  <c r="AO69" i="5" s="1"/>
  <c r="AA69" i="5"/>
  <c r="AC69" i="5" s="1"/>
  <c r="AP69" i="5" s="1"/>
  <c r="Z76" i="5"/>
  <c r="AB76" i="5" s="1"/>
  <c r="AO76" i="5" s="1"/>
  <c r="AA76" i="5"/>
  <c r="AC76" i="5" s="1"/>
  <c r="AP76" i="5" s="1"/>
  <c r="Z66" i="5"/>
  <c r="AB66" i="5" s="1"/>
  <c r="AO66" i="5" s="1"/>
  <c r="AA66" i="5"/>
  <c r="AC66" i="5" s="1"/>
  <c r="AP66" i="5" s="1"/>
  <c r="AA72" i="5"/>
  <c r="AC72" i="5" s="1"/>
  <c r="AP72" i="5" s="1"/>
  <c r="Z72" i="5"/>
  <c r="AB72" i="5" s="1"/>
  <c r="AO72" i="5" s="1"/>
  <c r="AA74" i="5"/>
  <c r="AC74" i="5" s="1"/>
  <c r="AP74" i="5" s="1"/>
  <c r="Z74" i="5"/>
  <c r="AB74" i="5" s="1"/>
  <c r="AO74" i="5" s="1"/>
  <c r="Z56" i="5"/>
  <c r="AB56" i="5" s="1"/>
  <c r="AO56" i="5" s="1"/>
  <c r="AA56" i="5"/>
  <c r="AC56" i="5" s="1"/>
  <c r="AP56" i="5" s="1"/>
  <c r="Z57" i="5"/>
  <c r="AB57" i="5" s="1"/>
  <c r="AO57" i="5" s="1"/>
  <c r="AA57" i="5"/>
  <c r="AC57" i="5" s="1"/>
  <c r="AP57" i="5" s="1"/>
  <c r="Z64" i="5"/>
  <c r="AB64" i="5" s="1"/>
  <c r="AO64" i="5" s="1"/>
  <c r="AA64" i="5"/>
  <c r="AC64" i="5" s="1"/>
  <c r="AP64" i="5" s="1"/>
  <c r="Z54" i="5"/>
  <c r="AB54" i="5" s="1"/>
  <c r="AO54" i="5" s="1"/>
  <c r="AA54" i="5"/>
  <c r="AC54" i="5" s="1"/>
  <c r="AP54" i="5" s="1"/>
  <c r="Z68" i="5"/>
  <c r="AB68" i="5" s="1"/>
  <c r="AO68" i="5" s="1"/>
  <c r="AA68" i="5"/>
  <c r="AC68" i="5" s="1"/>
  <c r="AP68" i="5" s="1"/>
  <c r="AA60" i="5"/>
  <c r="AC60" i="5" s="1"/>
  <c r="AP60" i="5" s="1"/>
  <c r="Z60" i="5"/>
  <c r="AB60" i="5" s="1"/>
  <c r="AO60" i="5" s="1"/>
  <c r="AA62" i="5"/>
  <c r="AC62" i="5" s="1"/>
  <c r="AP62" i="5" s="1"/>
  <c r="Z62" i="5"/>
  <c r="AB62" i="5" s="1"/>
  <c r="AO62" i="5" s="1"/>
  <c r="AA79" i="5"/>
  <c r="AC79" i="5" s="1"/>
  <c r="AP79" i="5" s="1"/>
  <c r="Z79" i="5"/>
  <c r="AB79" i="5" s="1"/>
  <c r="AO79" i="5" s="1"/>
  <c r="Z78" i="5"/>
  <c r="AB78" i="5" s="1"/>
  <c r="AO78" i="5" s="1"/>
  <c r="AA78" i="5"/>
  <c r="AC78" i="5" s="1"/>
  <c r="AP78" i="5" s="1"/>
  <c r="Z82" i="5"/>
  <c r="AB82" i="5" s="1"/>
  <c r="AO82" i="5" s="1"/>
  <c r="AA82" i="5"/>
  <c r="AC82" i="5" s="1"/>
  <c r="AP82" i="5" s="1"/>
  <c r="Z77" i="5"/>
  <c r="AB77" i="5" s="1"/>
  <c r="AO77" i="5" s="1"/>
  <c r="AA77" i="5"/>
  <c r="AC77" i="5" s="1"/>
  <c r="AP77" i="5" s="1"/>
  <c r="Z75" i="5"/>
  <c r="AB75" i="5" s="1"/>
  <c r="AO75" i="5" s="1"/>
  <c r="AA75" i="5"/>
  <c r="AC75" i="5" s="1"/>
  <c r="AP75" i="5" s="1"/>
  <c r="Z67" i="5"/>
  <c r="AB67" i="5" s="1"/>
  <c r="AO67" i="5" s="1"/>
  <c r="AA67" i="5"/>
  <c r="AC67" i="5" s="1"/>
  <c r="AP67" i="5" s="1"/>
  <c r="Z58" i="5"/>
  <c r="AB58" i="5" s="1"/>
  <c r="AO58" i="5" s="1"/>
  <c r="AA58" i="5"/>
  <c r="AC58" i="5" s="1"/>
  <c r="AP58" i="5" s="1"/>
  <c r="Z71" i="5"/>
  <c r="AB71" i="5" s="1"/>
  <c r="AO71" i="5" s="1"/>
  <c r="AA71" i="5"/>
  <c r="AC71" i="5" s="1"/>
  <c r="AP71" i="5" s="1"/>
  <c r="Z73" i="5"/>
  <c r="AB73" i="5" s="1"/>
  <c r="AO73" i="5" s="1"/>
  <c r="AA73" i="5"/>
  <c r="AC73" i="5" s="1"/>
  <c r="AP73" i="5" s="1"/>
  <c r="Z65" i="5"/>
  <c r="AB65" i="5" s="1"/>
  <c r="AO65" i="5" s="1"/>
  <c r="AA65" i="5"/>
  <c r="AC65" i="5" s="1"/>
  <c r="AP65" i="5" s="1"/>
  <c r="Z63" i="5"/>
  <c r="AB63" i="5" s="1"/>
  <c r="AO63" i="5" s="1"/>
  <c r="AA63" i="5"/>
  <c r="AC63" i="5" s="1"/>
  <c r="AP63" i="5" s="1"/>
  <c r="Z55" i="5"/>
  <c r="AB55" i="5" s="1"/>
  <c r="AO55" i="5" s="1"/>
  <c r="AA55" i="5"/>
  <c r="AC55" i="5" s="1"/>
  <c r="AP55" i="5" s="1"/>
  <c r="Z59" i="5"/>
  <c r="AB59" i="5" s="1"/>
  <c r="AO59" i="5" s="1"/>
  <c r="AA59" i="5"/>
  <c r="AC59" i="5" s="1"/>
  <c r="AP59" i="5" s="1"/>
  <c r="Z61" i="5"/>
  <c r="AB61" i="5" s="1"/>
  <c r="AO61" i="5" s="1"/>
  <c r="AA61" i="5"/>
  <c r="AC61" i="5" s="1"/>
  <c r="AP61" i="5" s="1"/>
  <c r="Z53" i="5"/>
  <c r="AB53" i="5" s="1"/>
  <c r="AO53" i="5" s="1"/>
  <c r="AA53" i="5"/>
  <c r="AC53" i="5" s="1"/>
  <c r="AP53" i="5" s="1"/>
  <c r="Z83" i="5"/>
  <c r="AB83" i="5" s="1"/>
  <c r="AO83" i="5" s="1"/>
  <c r="AA83" i="5"/>
  <c r="AC83" i="5" s="1"/>
  <c r="AP83" i="5" s="1"/>
  <c r="AA84" i="5"/>
  <c r="AC84" i="5" s="1"/>
  <c r="AP84" i="5" s="1"/>
  <c r="Z84" i="5"/>
  <c r="AB84" i="5" s="1"/>
  <c r="AO84" i="5" s="1"/>
  <c r="Z81" i="5"/>
  <c r="AB81" i="5" s="1"/>
  <c r="AO81" i="5" s="1"/>
  <c r="AA81" i="5"/>
  <c r="AC81" i="5" s="1"/>
  <c r="AP81" i="5" s="1"/>
  <c r="Z70" i="5"/>
  <c r="AB70" i="5" s="1"/>
  <c r="AO70" i="5" s="1"/>
  <c r="AA70" i="5"/>
  <c r="AC70" i="5" s="1"/>
  <c r="AP70" i="5" s="1"/>
  <c r="Z80" i="5"/>
  <c r="AB80" i="5" s="1"/>
  <c r="AO80" i="5" s="1"/>
  <c r="AA80" i="5"/>
  <c r="AC80" i="5" s="1"/>
  <c r="AP80" i="5" s="1"/>
  <c r="T8" i="68"/>
  <c r="AN23" i="3"/>
  <c r="Z35" i="3"/>
  <c r="AB35" i="3" s="1"/>
  <c r="AO35" i="3" s="1"/>
  <c r="AA35" i="3"/>
  <c r="AC35" i="3" s="1"/>
  <c r="AP35" i="3" s="1"/>
  <c r="Z36" i="3"/>
  <c r="AB36" i="3" s="1"/>
  <c r="AO36" i="3" s="1"/>
  <c r="AA36" i="3"/>
  <c r="AC36" i="3" s="1"/>
  <c r="AP36" i="3" s="1"/>
  <c r="Z37" i="3"/>
  <c r="AB37" i="3" s="1"/>
  <c r="AO37" i="3" s="1"/>
  <c r="AA37" i="3"/>
  <c r="AC37" i="3" s="1"/>
  <c r="AP37" i="3" s="1"/>
  <c r="Z38" i="3"/>
  <c r="AB38" i="3" s="1"/>
  <c r="AO38" i="3" s="1"/>
  <c r="AA38" i="3"/>
  <c r="AC38" i="3" s="1"/>
  <c r="AP38" i="3" s="1"/>
  <c r="AJ23" i="3"/>
  <c r="AN18" i="3"/>
  <c r="AJ21" i="3"/>
  <c r="S8" i="68"/>
  <c r="AN17" i="3"/>
  <c r="AJ22" i="3"/>
  <c r="AA18" i="3"/>
  <c r="AC18" i="3" s="1"/>
  <c r="Z18" i="3"/>
  <c r="AB18" i="3" s="1"/>
  <c r="AO18" i="3" s="1"/>
  <c r="Z29" i="3"/>
  <c r="AB29" i="3" s="1"/>
  <c r="AO29" i="3" s="1"/>
  <c r="AA29" i="3"/>
  <c r="AC29" i="3" s="1"/>
  <c r="AP29" i="3" s="1"/>
  <c r="Z24" i="3"/>
  <c r="AB24" i="3" s="1"/>
  <c r="AO24" i="3" s="1"/>
  <c r="AA24" i="3"/>
  <c r="AC24" i="3" s="1"/>
  <c r="AP24" i="3" s="1"/>
  <c r="Z25" i="3"/>
  <c r="AB25" i="3" s="1"/>
  <c r="AO25" i="3" s="1"/>
  <c r="AA25" i="3"/>
  <c r="AC25" i="3" s="1"/>
  <c r="AP25" i="3" s="1"/>
  <c r="Z26" i="3"/>
  <c r="AB26" i="3" s="1"/>
  <c r="AO26" i="3" s="1"/>
  <c r="AA26" i="3"/>
  <c r="AC26" i="3" s="1"/>
  <c r="AP26" i="3" s="1"/>
  <c r="Z34" i="3"/>
  <c r="AB34" i="3" s="1"/>
  <c r="AO34" i="3" s="1"/>
  <c r="AA34" i="3"/>
  <c r="AC34" i="3" s="1"/>
  <c r="AP34" i="3" s="1"/>
  <c r="AA30" i="3"/>
  <c r="AC30" i="3" s="1"/>
  <c r="AP30" i="3" s="1"/>
  <c r="Z30" i="3"/>
  <c r="AB30" i="3" s="1"/>
  <c r="AO30" i="3" s="1"/>
  <c r="Z27" i="3"/>
  <c r="AB27" i="3" s="1"/>
  <c r="AO27" i="3" s="1"/>
  <c r="AA27" i="3"/>
  <c r="AC27" i="3" s="1"/>
  <c r="AP27" i="3" s="1"/>
  <c r="A16" i="3"/>
  <c r="Z31" i="3"/>
  <c r="AB31" i="3" s="1"/>
  <c r="AO31" i="3" s="1"/>
  <c r="AA31" i="3"/>
  <c r="AC31" i="3" s="1"/>
  <c r="AP31" i="3" s="1"/>
  <c r="Z28" i="3"/>
  <c r="AB28" i="3" s="1"/>
  <c r="AO28" i="3" s="1"/>
  <c r="AA28" i="3"/>
  <c r="AC28" i="3" s="1"/>
  <c r="AP28" i="3" s="1"/>
  <c r="Z32" i="3"/>
  <c r="AB32" i="3" s="1"/>
  <c r="AO32" i="3" s="1"/>
  <c r="AA32" i="3"/>
  <c r="AC32" i="3" s="1"/>
  <c r="AP32" i="3" s="1"/>
  <c r="Z33" i="3"/>
  <c r="AB33" i="3" s="1"/>
  <c r="AO33" i="3" s="1"/>
  <c r="AA33" i="3"/>
  <c r="AC33" i="3" s="1"/>
  <c r="AP33" i="3" s="1"/>
  <c r="Z11" i="50"/>
  <c r="AB11" i="50" s="1"/>
  <c r="AO11" i="50" s="1"/>
  <c r="O55" i="68"/>
  <c r="AA20" i="50"/>
  <c r="AC20" i="50" s="1"/>
  <c r="AP20" i="50" s="1"/>
  <c r="Z10" i="42"/>
  <c r="AB10" i="42" s="1"/>
  <c r="AO10" i="42" s="1"/>
  <c r="AA19" i="27"/>
  <c r="AC19" i="27" s="1"/>
  <c r="AP19" i="27" s="1"/>
  <c r="AA9" i="3"/>
  <c r="AC9" i="3" s="1"/>
  <c r="AP9" i="3" s="1"/>
  <c r="Z19" i="50"/>
  <c r="AB19" i="50" s="1"/>
  <c r="AO19" i="50" s="1"/>
  <c r="Z14" i="50"/>
  <c r="AB14" i="50" s="1"/>
  <c r="AO14" i="50" s="1"/>
  <c r="AA6" i="50"/>
  <c r="AC6" i="50" s="1"/>
  <c r="AP6" i="50" s="1"/>
  <c r="AC222" i="65"/>
  <c r="AP222" i="65" s="1"/>
  <c r="N61" i="68"/>
  <c r="Z20" i="42"/>
  <c r="AB20" i="42" s="1"/>
  <c r="AO20" i="42" s="1"/>
  <c r="AP9" i="27"/>
  <c r="AP14" i="50"/>
  <c r="AP15" i="42"/>
  <c r="E11" i="2"/>
  <c r="E31" i="2"/>
  <c r="T22" i="67"/>
  <c r="T34" i="67"/>
  <c r="Z22" i="27"/>
  <c r="AB22" i="27" s="1"/>
  <c r="AO22" i="27" s="1"/>
  <c r="AA16" i="62"/>
  <c r="AC16" i="62" s="1"/>
  <c r="AP16" i="62" s="1"/>
  <c r="L32" i="2"/>
  <c r="O72" i="68"/>
  <c r="Z18" i="50"/>
  <c r="AB18" i="50" s="1"/>
  <c r="AO18" i="50" s="1"/>
  <c r="N59" i="68"/>
  <c r="I34" i="67"/>
  <c r="N52" i="67"/>
  <c r="I29" i="67"/>
  <c r="AA16" i="16"/>
  <c r="AC16" i="16" s="1"/>
  <c r="AP16" i="16" s="1"/>
  <c r="N56" i="68"/>
  <c r="Z12" i="50"/>
  <c r="AB12" i="50" s="1"/>
  <c r="AO12" i="50" s="1"/>
  <c r="Z11" i="42"/>
  <c r="AB11" i="42" s="1"/>
  <c r="AO11" i="42" s="1"/>
  <c r="AA17" i="42"/>
  <c r="AC17" i="42" s="1"/>
  <c r="AP17" i="42" s="1"/>
  <c r="I60" i="67"/>
  <c r="AA14" i="18"/>
  <c r="AC14" i="18" s="1"/>
  <c r="AP14" i="18" s="1"/>
  <c r="Z7" i="42"/>
  <c r="AB7" i="42" s="1"/>
  <c r="AO7" i="42" s="1"/>
  <c r="N57" i="67"/>
  <c r="N44" i="67"/>
  <c r="I24" i="68"/>
  <c r="N43" i="67"/>
  <c r="AA6" i="16"/>
  <c r="AC6" i="16" s="1"/>
  <c r="AP6" i="16" s="1"/>
  <c r="O68" i="68"/>
  <c r="Z17" i="62"/>
  <c r="AB17" i="62" s="1"/>
  <c r="AO17" i="62" s="1"/>
  <c r="Z6" i="42"/>
  <c r="AB6" i="42" s="1"/>
  <c r="AO6" i="42" s="1"/>
  <c r="Z15" i="42"/>
  <c r="AB15" i="42" s="1"/>
  <c r="AO15" i="42" s="1"/>
  <c r="O51" i="67"/>
  <c r="N57" i="68"/>
  <c r="I74" i="68"/>
  <c r="O49" i="67"/>
  <c r="Z226" i="65"/>
  <c r="AB226" i="65" s="1"/>
  <c r="AO226" i="65" s="1"/>
  <c r="Z10" i="50"/>
  <c r="AB10" i="50" s="1"/>
  <c r="AO10" i="50" s="1"/>
  <c r="AA10" i="50"/>
  <c r="AC10" i="50" s="1"/>
  <c r="AP10" i="50" s="1"/>
  <c r="AA9" i="28"/>
  <c r="AC9" i="28" s="1"/>
  <c r="AP9" i="28" s="1"/>
  <c r="AA8" i="50"/>
  <c r="AC8" i="50" s="1"/>
  <c r="AP8" i="50" s="1"/>
  <c r="Z8" i="50"/>
  <c r="AB8" i="50" s="1"/>
  <c r="AO8" i="50" s="1"/>
  <c r="Z9" i="50"/>
  <c r="AB9" i="50" s="1"/>
  <c r="AO9" i="50" s="1"/>
  <c r="AA9" i="50"/>
  <c r="AC9" i="50" s="1"/>
  <c r="AP9" i="50" s="1"/>
  <c r="AA17" i="50"/>
  <c r="AC17" i="50" s="1"/>
  <c r="AP17" i="50" s="1"/>
  <c r="O65" i="68"/>
  <c r="N65" i="68"/>
  <c r="AA22" i="62"/>
  <c r="AC22" i="62" s="1"/>
  <c r="AP22" i="62" s="1"/>
  <c r="Z22" i="62"/>
  <c r="AB22" i="62" s="1"/>
  <c r="AO22" i="62" s="1"/>
  <c r="Z7" i="62"/>
  <c r="AB7" i="62" s="1"/>
  <c r="AO7" i="62" s="1"/>
  <c r="AA7" i="62"/>
  <c r="AC7" i="62" s="1"/>
  <c r="AP7" i="62" s="1"/>
  <c r="AA21" i="62"/>
  <c r="AC21" i="62" s="1"/>
  <c r="AP21" i="62" s="1"/>
  <c r="Z21" i="62"/>
  <c r="AB21" i="62" s="1"/>
  <c r="AO21" i="62" s="1"/>
  <c r="AA15" i="50"/>
  <c r="AC15" i="50" s="1"/>
  <c r="AP15" i="50" s="1"/>
  <c r="Z15" i="50"/>
  <c r="AB15" i="50" s="1"/>
  <c r="AO15" i="50" s="1"/>
  <c r="AA16" i="42"/>
  <c r="AC16" i="42" s="1"/>
  <c r="AP16" i="42" s="1"/>
  <c r="Z16" i="42"/>
  <c r="AB16" i="42" s="1"/>
  <c r="AO16" i="42" s="1"/>
  <c r="AA23" i="42"/>
  <c r="AC23" i="42" s="1"/>
  <c r="AP23" i="42" s="1"/>
  <c r="Z23" i="42"/>
  <c r="AB23" i="42" s="1"/>
  <c r="AO23" i="42" s="1"/>
  <c r="AA8" i="42"/>
  <c r="AC8" i="42" s="1"/>
  <c r="AP8" i="42" s="1"/>
  <c r="Z8" i="42"/>
  <c r="AB8" i="42" s="1"/>
  <c r="AO8" i="42" s="1"/>
  <c r="AA21" i="42"/>
  <c r="AC21" i="42" s="1"/>
  <c r="AP21" i="42" s="1"/>
  <c r="Z21" i="42"/>
  <c r="AB21" i="42" s="1"/>
  <c r="AO21" i="42" s="1"/>
  <c r="AA444" i="15"/>
  <c r="AC444" i="15" s="1"/>
  <c r="AP444" i="15" s="1"/>
  <c r="Z444" i="15"/>
  <c r="AB444" i="15" s="1"/>
  <c r="AO444" i="15" s="1"/>
  <c r="AA188" i="15"/>
  <c r="AC188" i="15" s="1"/>
  <c r="AP188" i="15" s="1"/>
  <c r="Z188" i="15"/>
  <c r="AB188" i="15" s="1"/>
  <c r="AO188" i="15" s="1"/>
  <c r="Z79" i="15"/>
  <c r="AB79" i="15" s="1"/>
  <c r="AO79" i="15" s="1"/>
  <c r="AA79" i="15"/>
  <c r="AC79" i="15" s="1"/>
  <c r="AP79" i="15" s="1"/>
  <c r="AC230" i="65"/>
  <c r="AP230" i="65" s="1"/>
  <c r="Z230" i="65"/>
  <c r="AB230" i="65" s="1"/>
  <c r="AO230" i="65" s="1"/>
  <c r="AA16" i="36"/>
  <c r="AC16" i="36" s="1"/>
  <c r="AP16" i="36" s="1"/>
  <c r="Z16" i="36"/>
  <c r="AB16" i="36" s="1"/>
  <c r="AO16" i="36" s="1"/>
  <c r="AA24" i="36"/>
  <c r="AC24" i="36" s="1"/>
  <c r="AP24" i="36" s="1"/>
  <c r="Z24" i="36"/>
  <c r="AB24" i="36" s="1"/>
  <c r="AO24" i="36" s="1"/>
  <c r="AA11" i="36"/>
  <c r="AC11" i="36" s="1"/>
  <c r="AP11" i="36" s="1"/>
  <c r="Z11" i="36"/>
  <c r="AB11" i="36" s="1"/>
  <c r="AO11" i="36" s="1"/>
  <c r="AA11" i="44"/>
  <c r="AC11" i="44" s="1"/>
  <c r="AP11" i="44" s="1"/>
  <c r="Z11" i="44"/>
  <c r="AB11" i="44" s="1"/>
  <c r="AO11" i="44" s="1"/>
  <c r="Z18" i="44"/>
  <c r="AB18" i="44" s="1"/>
  <c r="AO18" i="44" s="1"/>
  <c r="AA18" i="44"/>
  <c r="AC18" i="44" s="1"/>
  <c r="AP18" i="44" s="1"/>
  <c r="AA8" i="44"/>
  <c r="AC8" i="44" s="1"/>
  <c r="AP8" i="44" s="1"/>
  <c r="Z8" i="44"/>
  <c r="AB8" i="44" s="1"/>
  <c r="AO8" i="44" s="1"/>
  <c r="Z21" i="18"/>
  <c r="AB21" i="18" s="1"/>
  <c r="AO21" i="18" s="1"/>
  <c r="AA21" i="18"/>
  <c r="AC21" i="18" s="1"/>
  <c r="AP21" i="18" s="1"/>
  <c r="AA15" i="18"/>
  <c r="AC15" i="18" s="1"/>
  <c r="AP15" i="18" s="1"/>
  <c r="Z15" i="18"/>
  <c r="AB15" i="18" s="1"/>
  <c r="AO15" i="18" s="1"/>
  <c r="Z10" i="18"/>
  <c r="AB10" i="18" s="1"/>
  <c r="AO10" i="18" s="1"/>
  <c r="AA10" i="18"/>
  <c r="AC10" i="18" s="1"/>
  <c r="AP10" i="18" s="1"/>
  <c r="AA21" i="25"/>
  <c r="AC21" i="25" s="1"/>
  <c r="AP21" i="25" s="1"/>
  <c r="Z21" i="25"/>
  <c r="AB21" i="25" s="1"/>
  <c r="AO21" i="25" s="1"/>
  <c r="AA21" i="75"/>
  <c r="AC21" i="75" s="1"/>
  <c r="AP21" i="75" s="1"/>
  <c r="Z21" i="75"/>
  <c r="AB21" i="75" s="1"/>
  <c r="AO21" i="75" s="1"/>
  <c r="X20" i="35"/>
  <c r="X19" i="35"/>
  <c r="X12" i="35"/>
  <c r="X11" i="35"/>
  <c r="X7" i="35"/>
  <c r="X22" i="35"/>
  <c r="X21" i="35"/>
  <c r="A20" i="35"/>
  <c r="X14" i="35"/>
  <c r="X13" i="35"/>
  <c r="X8" i="35"/>
  <c r="X5" i="35"/>
  <c r="X24" i="35"/>
  <c r="X23" i="35"/>
  <c r="X15" i="35"/>
  <c r="X16" i="35"/>
  <c r="X10" i="35"/>
  <c r="X9" i="35"/>
  <c r="X6" i="35"/>
  <c r="X18" i="35"/>
  <c r="X17" i="35"/>
  <c r="I43" i="68"/>
  <c r="AA16" i="57"/>
  <c r="AC16" i="57" s="1"/>
  <c r="AP16" i="57" s="1"/>
  <c r="Z16" i="57"/>
  <c r="AB16" i="57" s="1"/>
  <c r="AO16" i="57" s="1"/>
  <c r="AA40" i="57"/>
  <c r="AC40" i="57" s="1"/>
  <c r="AP40" i="57" s="1"/>
  <c r="Z40" i="57"/>
  <c r="AB40" i="57" s="1"/>
  <c r="AO40" i="57" s="1"/>
  <c r="AA7" i="57"/>
  <c r="AC7" i="57" s="1"/>
  <c r="AP7" i="57" s="1"/>
  <c r="Z7" i="57"/>
  <c r="AB7" i="57" s="1"/>
  <c r="AO7" i="57" s="1"/>
  <c r="AA38" i="57"/>
  <c r="AC38" i="57" s="1"/>
  <c r="AP38" i="57" s="1"/>
  <c r="Z38" i="57"/>
  <c r="AB38" i="57" s="1"/>
  <c r="AO38" i="57" s="1"/>
  <c r="AA37" i="57"/>
  <c r="AC37" i="57" s="1"/>
  <c r="AP37" i="57" s="1"/>
  <c r="Z37" i="57"/>
  <c r="AB37" i="57" s="1"/>
  <c r="AO37" i="57" s="1"/>
  <c r="AA26" i="23"/>
  <c r="AC26" i="23" s="1"/>
  <c r="Z26" i="23"/>
  <c r="AB26" i="23" s="1"/>
  <c r="AO26" i="23" s="1"/>
  <c r="Z18" i="23"/>
  <c r="AB18" i="23" s="1"/>
  <c r="AO18" i="23" s="1"/>
  <c r="AA18" i="23"/>
  <c r="AC18" i="23" s="1"/>
  <c r="AP18" i="23" s="1"/>
  <c r="Z23" i="23"/>
  <c r="AB23" i="23" s="1"/>
  <c r="AO23" i="23" s="1"/>
  <c r="AA23" i="23"/>
  <c r="AC23" i="23" s="1"/>
  <c r="AP23" i="23" s="1"/>
  <c r="AA22" i="23"/>
  <c r="AC22" i="23" s="1"/>
  <c r="AP22" i="23" s="1"/>
  <c r="Z22" i="23"/>
  <c r="AB22" i="23" s="1"/>
  <c r="AO22" i="23" s="1"/>
  <c r="AA7" i="71"/>
  <c r="AC7" i="71" s="1"/>
  <c r="AP7" i="71" s="1"/>
  <c r="Z7" i="71"/>
  <c r="AB7" i="71" s="1"/>
  <c r="AO7" i="71" s="1"/>
  <c r="Z10" i="71"/>
  <c r="AB10" i="71" s="1"/>
  <c r="AO10" i="71" s="1"/>
  <c r="AA10" i="71"/>
  <c r="AC10" i="71" s="1"/>
  <c r="AP10" i="71" s="1"/>
  <c r="Z14" i="71"/>
  <c r="AB14" i="71" s="1"/>
  <c r="AO14" i="71" s="1"/>
  <c r="AA14" i="71"/>
  <c r="AC14" i="71" s="1"/>
  <c r="AP14" i="71" s="1"/>
  <c r="AA332" i="15"/>
  <c r="AC332" i="15" s="1"/>
  <c r="AP332" i="15" s="1"/>
  <c r="Z332" i="15"/>
  <c r="AB332" i="15" s="1"/>
  <c r="AO332" i="15" s="1"/>
  <c r="AA15" i="13"/>
  <c r="AC15" i="13" s="1"/>
  <c r="AP15" i="13" s="1"/>
  <c r="Z15" i="13"/>
  <c r="AB15" i="13" s="1"/>
  <c r="AO15" i="13" s="1"/>
  <c r="Z9" i="13"/>
  <c r="AB9" i="13" s="1"/>
  <c r="AO9" i="13" s="1"/>
  <c r="AA9" i="13"/>
  <c r="AC9" i="13" s="1"/>
  <c r="AP9" i="13" s="1"/>
  <c r="Z8" i="13"/>
  <c r="AB8" i="13" s="1"/>
  <c r="AO8" i="13" s="1"/>
  <c r="AA8" i="13"/>
  <c r="AC8" i="13" s="1"/>
  <c r="AP8" i="13" s="1"/>
  <c r="Z8" i="40"/>
  <c r="AB8" i="40" s="1"/>
  <c r="AO8" i="40" s="1"/>
  <c r="AA8" i="40"/>
  <c r="AC8" i="40" s="1"/>
  <c r="AP8" i="40" s="1"/>
  <c r="Z20" i="40"/>
  <c r="AB20" i="40" s="1"/>
  <c r="AO20" i="40" s="1"/>
  <c r="AA20" i="40"/>
  <c r="AC20" i="40" s="1"/>
  <c r="AP20" i="40" s="1"/>
  <c r="AA15" i="40"/>
  <c r="AC15" i="40" s="1"/>
  <c r="AP15" i="40" s="1"/>
  <c r="Z15" i="40"/>
  <c r="AB15" i="40" s="1"/>
  <c r="AO15" i="40" s="1"/>
  <c r="Z6" i="51"/>
  <c r="AB6" i="51" s="1"/>
  <c r="AO6" i="51" s="1"/>
  <c r="AA6" i="51"/>
  <c r="AC6" i="51" s="1"/>
  <c r="AP6" i="51" s="1"/>
  <c r="Z8" i="51"/>
  <c r="AB8" i="51" s="1"/>
  <c r="AO8" i="51" s="1"/>
  <c r="AA8" i="51"/>
  <c r="AC8" i="51" s="1"/>
  <c r="AP8" i="51" s="1"/>
  <c r="AA12" i="51"/>
  <c r="AC12" i="51" s="1"/>
  <c r="AP12" i="51" s="1"/>
  <c r="Z12" i="51"/>
  <c r="AB12" i="51" s="1"/>
  <c r="AO12" i="51" s="1"/>
  <c r="Z64" i="29"/>
  <c r="AB64" i="29" s="1"/>
  <c r="AO64" i="29" s="1"/>
  <c r="AA64" i="29"/>
  <c r="AC64" i="29" s="1"/>
  <c r="AP64" i="29" s="1"/>
  <c r="Z24" i="29"/>
  <c r="AB24" i="29" s="1"/>
  <c r="AO24" i="29" s="1"/>
  <c r="AA24" i="29"/>
  <c r="AC24" i="29" s="1"/>
  <c r="AP24" i="29" s="1"/>
  <c r="AA9" i="29"/>
  <c r="AC9" i="29" s="1"/>
  <c r="AP9" i="29" s="1"/>
  <c r="Z9" i="29"/>
  <c r="AB9" i="29" s="1"/>
  <c r="AO9" i="29" s="1"/>
  <c r="AA69" i="29"/>
  <c r="AC69" i="29" s="1"/>
  <c r="AP69" i="29" s="1"/>
  <c r="Z69" i="29"/>
  <c r="AB69" i="29" s="1"/>
  <c r="AO69" i="29" s="1"/>
  <c r="Z36" i="29"/>
  <c r="AB36" i="29" s="1"/>
  <c r="AO36" i="29" s="1"/>
  <c r="AA36" i="29"/>
  <c r="AC36" i="29" s="1"/>
  <c r="AP36" i="29" s="1"/>
  <c r="AA13" i="29"/>
  <c r="AC13" i="29" s="1"/>
  <c r="AP13" i="29" s="1"/>
  <c r="Z13" i="29"/>
  <c r="AB13" i="29" s="1"/>
  <c r="AO13" i="29" s="1"/>
  <c r="Z39" i="29"/>
  <c r="AB39" i="29" s="1"/>
  <c r="AO39" i="29" s="1"/>
  <c r="AA39" i="29"/>
  <c r="AC39" i="29" s="1"/>
  <c r="AP39" i="29" s="1"/>
  <c r="Z71" i="29"/>
  <c r="AB71" i="29" s="1"/>
  <c r="AO71" i="29" s="1"/>
  <c r="AA71" i="29"/>
  <c r="AC71" i="29" s="1"/>
  <c r="AP71" i="29" s="1"/>
  <c r="AA26" i="29"/>
  <c r="AC26" i="29" s="1"/>
  <c r="AP26" i="29" s="1"/>
  <c r="Z26" i="29"/>
  <c r="AB26" i="29" s="1"/>
  <c r="AO26" i="29" s="1"/>
  <c r="AA58" i="29"/>
  <c r="AC58" i="29" s="1"/>
  <c r="AP58" i="29" s="1"/>
  <c r="Z58" i="29"/>
  <c r="AB58" i="29" s="1"/>
  <c r="AO58" i="29" s="1"/>
  <c r="Z13" i="22"/>
  <c r="AB13" i="22" s="1"/>
  <c r="AO13" i="22" s="1"/>
  <c r="AA13" i="22"/>
  <c r="AC13" i="22" s="1"/>
  <c r="AP13" i="22" s="1"/>
  <c r="AA28" i="22"/>
  <c r="AC28" i="22" s="1"/>
  <c r="AP28" i="22" s="1"/>
  <c r="Z28" i="22"/>
  <c r="AB28" i="22" s="1"/>
  <c r="AO28" i="22" s="1"/>
  <c r="Z27" i="22"/>
  <c r="AB27" i="22" s="1"/>
  <c r="AO27" i="22" s="1"/>
  <c r="AA27" i="22"/>
  <c r="AC27" i="22" s="1"/>
  <c r="AP27" i="22" s="1"/>
  <c r="Z68" i="22"/>
  <c r="AB68" i="22" s="1"/>
  <c r="AO68" i="22" s="1"/>
  <c r="AA68" i="22"/>
  <c r="AC68" i="22" s="1"/>
  <c r="AP68" i="22" s="1"/>
  <c r="AA26" i="22"/>
  <c r="AC26" i="22" s="1"/>
  <c r="AP26" i="22" s="1"/>
  <c r="Z26" i="22"/>
  <c r="AB26" i="22" s="1"/>
  <c r="AO26" i="22" s="1"/>
  <c r="AA42" i="22"/>
  <c r="AC42" i="22" s="1"/>
  <c r="AP42" i="22" s="1"/>
  <c r="Z42" i="22"/>
  <c r="AB42" i="22" s="1"/>
  <c r="AO42" i="22" s="1"/>
  <c r="AA67" i="22"/>
  <c r="AC67" i="22" s="1"/>
  <c r="AP67" i="22" s="1"/>
  <c r="Z67" i="22"/>
  <c r="AB67" i="22" s="1"/>
  <c r="AO67" i="22" s="1"/>
  <c r="AA37" i="22"/>
  <c r="AC37" i="22" s="1"/>
  <c r="AP37" i="22" s="1"/>
  <c r="Z37" i="22"/>
  <c r="AB37" i="22" s="1"/>
  <c r="AO37" i="22" s="1"/>
  <c r="AA53" i="22"/>
  <c r="AC53" i="22" s="1"/>
  <c r="AP53" i="22" s="1"/>
  <c r="Z53" i="22"/>
  <c r="AB53" i="22" s="1"/>
  <c r="AO53" i="22" s="1"/>
  <c r="AA62" i="22"/>
  <c r="AC62" i="22" s="1"/>
  <c r="AP62" i="22" s="1"/>
  <c r="Z62" i="22"/>
  <c r="AB62" i="22" s="1"/>
  <c r="AO62" i="22" s="1"/>
  <c r="AA500" i="15"/>
  <c r="AC500" i="15" s="1"/>
  <c r="AP500" i="15" s="1"/>
  <c r="Z500" i="15"/>
  <c r="AB500" i="15" s="1"/>
  <c r="AO500" i="15" s="1"/>
  <c r="AA244" i="15"/>
  <c r="AC244" i="15" s="1"/>
  <c r="AP244" i="15" s="1"/>
  <c r="Z244" i="15"/>
  <c r="AB244" i="15" s="1"/>
  <c r="AO244" i="15" s="1"/>
  <c r="AA82" i="15"/>
  <c r="AC82" i="15" s="1"/>
  <c r="AP82" i="15" s="1"/>
  <c r="Z82" i="15"/>
  <c r="AB82" i="15" s="1"/>
  <c r="AO82" i="15" s="1"/>
  <c r="Z11" i="15"/>
  <c r="AB11" i="15" s="1"/>
  <c r="AO11" i="15" s="1"/>
  <c r="AA11" i="15"/>
  <c r="AC11" i="15" s="1"/>
  <c r="AP11" i="15" s="1"/>
  <c r="Z118" i="15"/>
  <c r="AB118" i="15" s="1"/>
  <c r="AO118" i="15" s="1"/>
  <c r="AA118" i="15"/>
  <c r="AC118" i="15" s="1"/>
  <c r="AP118" i="15" s="1"/>
  <c r="Z219" i="15"/>
  <c r="AB219" i="15" s="1"/>
  <c r="AO219" i="15" s="1"/>
  <c r="AA219" i="15"/>
  <c r="AC219" i="15" s="1"/>
  <c r="AP219" i="15" s="1"/>
  <c r="Z355" i="15"/>
  <c r="AB355" i="15" s="1"/>
  <c r="AO355" i="15" s="1"/>
  <c r="AA355" i="15"/>
  <c r="AC355" i="15" s="1"/>
  <c r="AP355" i="15" s="1"/>
  <c r="Z419" i="15"/>
  <c r="AB419" i="15" s="1"/>
  <c r="AO419" i="15" s="1"/>
  <c r="AA419" i="15"/>
  <c r="AC419" i="15" s="1"/>
  <c r="AP419" i="15" s="1"/>
  <c r="Z14" i="15"/>
  <c r="AB14" i="15" s="1"/>
  <c r="AO14" i="15" s="1"/>
  <c r="AA14" i="15"/>
  <c r="AC14" i="15" s="1"/>
  <c r="AP14" i="15" s="1"/>
  <c r="Z55" i="15"/>
  <c r="AB55" i="15" s="1"/>
  <c r="AO55" i="15" s="1"/>
  <c r="AA55" i="15"/>
  <c r="AC55" i="15" s="1"/>
  <c r="AP55" i="15" s="1"/>
  <c r="AA100" i="15"/>
  <c r="AC100" i="15" s="1"/>
  <c r="AP100" i="15" s="1"/>
  <c r="Z100" i="15"/>
  <c r="AB100" i="15" s="1"/>
  <c r="AO100" i="15" s="1"/>
  <c r="AA138" i="15"/>
  <c r="AC138" i="15" s="1"/>
  <c r="Z138" i="15"/>
  <c r="AB138" i="15" s="1"/>
  <c r="AO138" i="15" s="1"/>
  <c r="AA184" i="15"/>
  <c r="AC184" i="15" s="1"/>
  <c r="AP184" i="15" s="1"/>
  <c r="Z184" i="15"/>
  <c r="AB184" i="15" s="1"/>
  <c r="AO184" i="15" s="1"/>
  <c r="AA280" i="15"/>
  <c r="AC280" i="15" s="1"/>
  <c r="AP280" i="15" s="1"/>
  <c r="Z280" i="15"/>
  <c r="AB280" i="15" s="1"/>
  <c r="AO280" i="15" s="1"/>
  <c r="AA344" i="15"/>
  <c r="AC344" i="15" s="1"/>
  <c r="AP344" i="15" s="1"/>
  <c r="Z344" i="15"/>
  <c r="AB344" i="15" s="1"/>
  <c r="AO344" i="15" s="1"/>
  <c r="AA408" i="15"/>
  <c r="AC408" i="15" s="1"/>
  <c r="AP408" i="15" s="1"/>
  <c r="Z408" i="15"/>
  <c r="AB408" i="15" s="1"/>
  <c r="AO408" i="15" s="1"/>
  <c r="AA472" i="15"/>
  <c r="AC472" i="15" s="1"/>
  <c r="AP472" i="15" s="1"/>
  <c r="Z472" i="15"/>
  <c r="AB472" i="15" s="1"/>
  <c r="AO472" i="15" s="1"/>
  <c r="Z86" i="15"/>
  <c r="AB86" i="15" s="1"/>
  <c r="AO86" i="15" s="1"/>
  <c r="AA86" i="15"/>
  <c r="AC86" i="15" s="1"/>
  <c r="AP86" i="15" s="1"/>
  <c r="Z147" i="15"/>
  <c r="AB147" i="15" s="1"/>
  <c r="AO147" i="15" s="1"/>
  <c r="AA147" i="15"/>
  <c r="AC147" i="15" s="1"/>
  <c r="Z275" i="15"/>
  <c r="AB275" i="15" s="1"/>
  <c r="AO275" i="15" s="1"/>
  <c r="AA275" i="15"/>
  <c r="AC275" i="15" s="1"/>
  <c r="AP275" i="15" s="1"/>
  <c r="Z403" i="15"/>
  <c r="AB403" i="15" s="1"/>
  <c r="AO403" i="15" s="1"/>
  <c r="AA403" i="15"/>
  <c r="AC403" i="15" s="1"/>
  <c r="AP403" i="15" s="1"/>
  <c r="Z12" i="15"/>
  <c r="AB12" i="15" s="1"/>
  <c r="AO12" i="15" s="1"/>
  <c r="AA12" i="15"/>
  <c r="AC12" i="15" s="1"/>
  <c r="AP12" i="15" s="1"/>
  <c r="AA46" i="15"/>
  <c r="AC46" i="15" s="1"/>
  <c r="AP46" i="15" s="1"/>
  <c r="Z46" i="15"/>
  <c r="AB46" i="15" s="1"/>
  <c r="AO46" i="15" s="1"/>
  <c r="AA110" i="15"/>
  <c r="AC110" i="15" s="1"/>
  <c r="AP110" i="15" s="1"/>
  <c r="Z110" i="15"/>
  <c r="AB110" i="15" s="1"/>
  <c r="AO110" i="15" s="1"/>
  <c r="Z155" i="15"/>
  <c r="AB155" i="15" s="1"/>
  <c r="AO155" i="15" s="1"/>
  <c r="AA155" i="15"/>
  <c r="AC155" i="15" s="1"/>
  <c r="Z207" i="15"/>
  <c r="AB207" i="15" s="1"/>
  <c r="AO207" i="15" s="1"/>
  <c r="AA207" i="15"/>
  <c r="AC207" i="15" s="1"/>
  <c r="AP207" i="15" s="1"/>
  <c r="Z271" i="15"/>
  <c r="AB271" i="15" s="1"/>
  <c r="AO271" i="15" s="1"/>
  <c r="AA271" i="15"/>
  <c r="AC271" i="15" s="1"/>
  <c r="AP271" i="15" s="1"/>
  <c r="Z303" i="15"/>
  <c r="AB303" i="15" s="1"/>
  <c r="AO303" i="15" s="1"/>
  <c r="AA303" i="15"/>
  <c r="AC303" i="15" s="1"/>
  <c r="AP303" i="15" s="1"/>
  <c r="Z367" i="15"/>
  <c r="AB367" i="15" s="1"/>
  <c r="AO367" i="15" s="1"/>
  <c r="AA367" i="15"/>
  <c r="AC367" i="15" s="1"/>
  <c r="AP367" i="15" s="1"/>
  <c r="Z399" i="15"/>
  <c r="AB399" i="15" s="1"/>
  <c r="AO399" i="15" s="1"/>
  <c r="AA399" i="15"/>
  <c r="AC399" i="15" s="1"/>
  <c r="AP399" i="15" s="1"/>
  <c r="Z463" i="15"/>
  <c r="AB463" i="15" s="1"/>
  <c r="AO463" i="15" s="1"/>
  <c r="AA463" i="15"/>
  <c r="AC463" i="15" s="1"/>
  <c r="AP463" i="15" s="1"/>
  <c r="Z178" i="15"/>
  <c r="AB178" i="15" s="1"/>
  <c r="AO178" i="15" s="1"/>
  <c r="AA178" i="15"/>
  <c r="AC178" i="15" s="1"/>
  <c r="AP178" i="15" s="1"/>
  <c r="Z210" i="15"/>
  <c r="AB210" i="15" s="1"/>
  <c r="AO210" i="15" s="1"/>
  <c r="AA210" i="15"/>
  <c r="AC210" i="15" s="1"/>
  <c r="AP210" i="15" s="1"/>
  <c r="Z242" i="15"/>
  <c r="AB242" i="15" s="1"/>
  <c r="AO242" i="15" s="1"/>
  <c r="AA242" i="15"/>
  <c r="AC242" i="15" s="1"/>
  <c r="AP242" i="15" s="1"/>
  <c r="Z274" i="15"/>
  <c r="AB274" i="15" s="1"/>
  <c r="AO274" i="15" s="1"/>
  <c r="AA274" i="15"/>
  <c r="AC274" i="15" s="1"/>
  <c r="AP274" i="15" s="1"/>
  <c r="Z306" i="15"/>
  <c r="AB306" i="15" s="1"/>
  <c r="AO306" i="15" s="1"/>
  <c r="AA306" i="15"/>
  <c r="AC306" i="15" s="1"/>
  <c r="AP306" i="15" s="1"/>
  <c r="Z338" i="15"/>
  <c r="AB338" i="15" s="1"/>
  <c r="AO338" i="15" s="1"/>
  <c r="AA338" i="15"/>
  <c r="AC338" i="15" s="1"/>
  <c r="AP338" i="15" s="1"/>
  <c r="Z370" i="15"/>
  <c r="AB370" i="15" s="1"/>
  <c r="AO370" i="15" s="1"/>
  <c r="AA370" i="15"/>
  <c r="AC370" i="15" s="1"/>
  <c r="AP370" i="15" s="1"/>
  <c r="Z386" i="15"/>
  <c r="AB386" i="15" s="1"/>
  <c r="AO386" i="15" s="1"/>
  <c r="AA386" i="15"/>
  <c r="AC386" i="15" s="1"/>
  <c r="AP386" i="15" s="1"/>
  <c r="Z418" i="15"/>
  <c r="AB418" i="15" s="1"/>
  <c r="AO418" i="15" s="1"/>
  <c r="AA418" i="15"/>
  <c r="AC418" i="15" s="1"/>
  <c r="AP418" i="15" s="1"/>
  <c r="Z434" i="15"/>
  <c r="AB434" i="15" s="1"/>
  <c r="AO434" i="15" s="1"/>
  <c r="AA434" i="15"/>
  <c r="AC434" i="15" s="1"/>
  <c r="AP434" i="15" s="1"/>
  <c r="Z450" i="15"/>
  <c r="AB450" i="15" s="1"/>
  <c r="AO450" i="15" s="1"/>
  <c r="AA450" i="15"/>
  <c r="AC450" i="15" s="1"/>
  <c r="AP450" i="15" s="1"/>
  <c r="Z482" i="15"/>
  <c r="AB482" i="15" s="1"/>
  <c r="AO482" i="15" s="1"/>
  <c r="AA482" i="15"/>
  <c r="AC482" i="15" s="1"/>
  <c r="AP482" i="15" s="1"/>
  <c r="Z514" i="15"/>
  <c r="AB514" i="15" s="1"/>
  <c r="AO514" i="15" s="1"/>
  <c r="AA514" i="15"/>
  <c r="AC514" i="15" s="1"/>
  <c r="AP514" i="15" s="1"/>
  <c r="AA37" i="15"/>
  <c r="AC37" i="15" s="1"/>
  <c r="AP37" i="15" s="1"/>
  <c r="Z37" i="15"/>
  <c r="AB37" i="15" s="1"/>
  <c r="AO37" i="15" s="1"/>
  <c r="AA53" i="15"/>
  <c r="AC53" i="15" s="1"/>
  <c r="AP53" i="15" s="1"/>
  <c r="Z53" i="15"/>
  <c r="AB53" i="15" s="1"/>
  <c r="AO53" i="15" s="1"/>
  <c r="AA85" i="15"/>
  <c r="AC85" i="15" s="1"/>
  <c r="AP85" i="15" s="1"/>
  <c r="Z85" i="15"/>
  <c r="AB85" i="15" s="1"/>
  <c r="AO85" i="15" s="1"/>
  <c r="Z117" i="15"/>
  <c r="AB117" i="15" s="1"/>
  <c r="AO117" i="15" s="1"/>
  <c r="AA117" i="15"/>
  <c r="AC117" i="15" s="1"/>
  <c r="AP117" i="15" s="1"/>
  <c r="AA149" i="15"/>
  <c r="AC149" i="15" s="1"/>
  <c r="AP149" i="15" s="1"/>
  <c r="Z149" i="15"/>
  <c r="AB149" i="15" s="1"/>
  <c r="AO149" i="15" s="1"/>
  <c r="AA181" i="15"/>
  <c r="AC181" i="15" s="1"/>
  <c r="AP181" i="15" s="1"/>
  <c r="Z181" i="15"/>
  <c r="AB181" i="15" s="1"/>
  <c r="AO181" i="15" s="1"/>
  <c r="AA213" i="15"/>
  <c r="AC213" i="15" s="1"/>
  <c r="AP213" i="15" s="1"/>
  <c r="Z213" i="15"/>
  <c r="AB213" i="15" s="1"/>
  <c r="AO213" i="15" s="1"/>
  <c r="AA229" i="15"/>
  <c r="AC229" i="15" s="1"/>
  <c r="AP229" i="15" s="1"/>
  <c r="Z229" i="15"/>
  <c r="AB229" i="15" s="1"/>
  <c r="AO229" i="15" s="1"/>
  <c r="AA261" i="15"/>
  <c r="AC261" i="15" s="1"/>
  <c r="AP261" i="15" s="1"/>
  <c r="Z261" i="15"/>
  <c r="AB261" i="15" s="1"/>
  <c r="AO261" i="15" s="1"/>
  <c r="AA277" i="15"/>
  <c r="AC277" i="15" s="1"/>
  <c r="AP277" i="15" s="1"/>
  <c r="Z277" i="15"/>
  <c r="AB277" i="15" s="1"/>
  <c r="AO277" i="15" s="1"/>
  <c r="AA325" i="15"/>
  <c r="AC325" i="15" s="1"/>
  <c r="AP325" i="15" s="1"/>
  <c r="Z325" i="15"/>
  <c r="AB325" i="15" s="1"/>
  <c r="AO325" i="15" s="1"/>
  <c r="AA357" i="15"/>
  <c r="AC357" i="15" s="1"/>
  <c r="AP357" i="15" s="1"/>
  <c r="Z357" i="15"/>
  <c r="AB357" i="15" s="1"/>
  <c r="AO357" i="15" s="1"/>
  <c r="AA389" i="15"/>
  <c r="AC389" i="15" s="1"/>
  <c r="AP389" i="15" s="1"/>
  <c r="Z389" i="15"/>
  <c r="AB389" i="15" s="1"/>
  <c r="AO389" i="15" s="1"/>
  <c r="AA421" i="15"/>
  <c r="AC421" i="15" s="1"/>
  <c r="AP421" i="15" s="1"/>
  <c r="Z421" i="15"/>
  <c r="AB421" i="15" s="1"/>
  <c r="AO421" i="15" s="1"/>
  <c r="AA437" i="15"/>
  <c r="AC437" i="15" s="1"/>
  <c r="AP437" i="15" s="1"/>
  <c r="Z437" i="15"/>
  <c r="AB437" i="15" s="1"/>
  <c r="AO437" i="15" s="1"/>
  <c r="AA469" i="15"/>
  <c r="AC469" i="15" s="1"/>
  <c r="AP469" i="15" s="1"/>
  <c r="Z469" i="15"/>
  <c r="AB469" i="15" s="1"/>
  <c r="AO469" i="15" s="1"/>
  <c r="AA501" i="15"/>
  <c r="AC501" i="15" s="1"/>
  <c r="AP501" i="15" s="1"/>
  <c r="Z501" i="15"/>
  <c r="AB501" i="15" s="1"/>
  <c r="AO501" i="15" s="1"/>
  <c r="AA22" i="64"/>
  <c r="AC22" i="64" s="1"/>
  <c r="AP22" i="64" s="1"/>
  <c r="Z22" i="64"/>
  <c r="AB22" i="64" s="1"/>
  <c r="AO22" i="64" s="1"/>
  <c r="AA9" i="64"/>
  <c r="AC9" i="64" s="1"/>
  <c r="AP9" i="64" s="1"/>
  <c r="Z9" i="64"/>
  <c r="AB9" i="64" s="1"/>
  <c r="AO9" i="64" s="1"/>
  <c r="Z11" i="64"/>
  <c r="AB11" i="64" s="1"/>
  <c r="AO11" i="64" s="1"/>
  <c r="AA11" i="64"/>
  <c r="AC11" i="64" s="1"/>
  <c r="AP11" i="64" s="1"/>
  <c r="AA12" i="60"/>
  <c r="AC12" i="60" s="1"/>
  <c r="AP12" i="60" s="1"/>
  <c r="Z12" i="60"/>
  <c r="AB12" i="60" s="1"/>
  <c r="AO12" i="60" s="1"/>
  <c r="Z16" i="60"/>
  <c r="AB16" i="60" s="1"/>
  <c r="AO16" i="60" s="1"/>
  <c r="AA16" i="60"/>
  <c r="AC16" i="60" s="1"/>
  <c r="AP16" i="60" s="1"/>
  <c r="AA22" i="60"/>
  <c r="AC22" i="60" s="1"/>
  <c r="AP22" i="60" s="1"/>
  <c r="Z22" i="60"/>
  <c r="AB22" i="60" s="1"/>
  <c r="AO22" i="60" s="1"/>
  <c r="AA52" i="46"/>
  <c r="AC52" i="46" s="1"/>
  <c r="Z52" i="46"/>
  <c r="AB52" i="46" s="1"/>
  <c r="AO52" i="46" s="1"/>
  <c r="AA80" i="46"/>
  <c r="AC80" i="46" s="1"/>
  <c r="AP80" i="46" s="1"/>
  <c r="Z80" i="46"/>
  <c r="AB80" i="46" s="1"/>
  <c r="AO80" i="46" s="1"/>
  <c r="Z14" i="46"/>
  <c r="AB14" i="46" s="1"/>
  <c r="AO14" i="46" s="1"/>
  <c r="AA14" i="46"/>
  <c r="AC14" i="46" s="1"/>
  <c r="AP14" i="46" s="1"/>
  <c r="Z27" i="46"/>
  <c r="AB27" i="46" s="1"/>
  <c r="AO27" i="46" s="1"/>
  <c r="AA27" i="46"/>
  <c r="AC27" i="46" s="1"/>
  <c r="AP27" i="46" s="1"/>
  <c r="Z59" i="46"/>
  <c r="AB59" i="46" s="1"/>
  <c r="AO59" i="46" s="1"/>
  <c r="AA59" i="46"/>
  <c r="AC59" i="46" s="1"/>
  <c r="AP59" i="46" s="1"/>
  <c r="AA12" i="46"/>
  <c r="AC12" i="46" s="1"/>
  <c r="AP12" i="46" s="1"/>
  <c r="Z12" i="46"/>
  <c r="AB12" i="46" s="1"/>
  <c r="AO12" i="46" s="1"/>
  <c r="AA42" i="46"/>
  <c r="AC42" i="46" s="1"/>
  <c r="AP42" i="46" s="1"/>
  <c r="Z42" i="46"/>
  <c r="AB42" i="46" s="1"/>
  <c r="AO42" i="46" s="1"/>
  <c r="AA58" i="46"/>
  <c r="AC58" i="46" s="1"/>
  <c r="AP58" i="46" s="1"/>
  <c r="Z58" i="46"/>
  <c r="AB58" i="46" s="1"/>
  <c r="AO58" i="46" s="1"/>
  <c r="AA10" i="46"/>
  <c r="AC10" i="46" s="1"/>
  <c r="AP10" i="46" s="1"/>
  <c r="Z10" i="46"/>
  <c r="AB10" i="46" s="1"/>
  <c r="AO10" i="46" s="1"/>
  <c r="AA29" i="46"/>
  <c r="AC29" i="46" s="1"/>
  <c r="AP29" i="46" s="1"/>
  <c r="Z29" i="46"/>
  <c r="AB29" i="46" s="1"/>
  <c r="AO29" i="46" s="1"/>
  <c r="AA61" i="46"/>
  <c r="AC61" i="46" s="1"/>
  <c r="AP61" i="46" s="1"/>
  <c r="Z61" i="46"/>
  <c r="AB61" i="46" s="1"/>
  <c r="AO61" i="46" s="1"/>
  <c r="AA77" i="46"/>
  <c r="AC77" i="46" s="1"/>
  <c r="AP77" i="46" s="1"/>
  <c r="Z77" i="46"/>
  <c r="AB77" i="46" s="1"/>
  <c r="AO77" i="46" s="1"/>
  <c r="AA15" i="6"/>
  <c r="AC15" i="6" s="1"/>
  <c r="AP15" i="6" s="1"/>
  <c r="Z15" i="6"/>
  <c r="AB15" i="6" s="1"/>
  <c r="AO15" i="6" s="1"/>
  <c r="Z9" i="6"/>
  <c r="AB9" i="6" s="1"/>
  <c r="AO9" i="6" s="1"/>
  <c r="AA9" i="6"/>
  <c r="AC9" i="6" s="1"/>
  <c r="AP9" i="6" s="1"/>
  <c r="Z8" i="6"/>
  <c r="AB8" i="6" s="1"/>
  <c r="AO8" i="6" s="1"/>
  <c r="AA8" i="6"/>
  <c r="AC8" i="6" s="1"/>
  <c r="AP8" i="6" s="1"/>
  <c r="AA38" i="20"/>
  <c r="AC38" i="20" s="1"/>
  <c r="AP38" i="20" s="1"/>
  <c r="Z38" i="20"/>
  <c r="AB38" i="20" s="1"/>
  <c r="AO38" i="20" s="1"/>
  <c r="Z77" i="20"/>
  <c r="AB77" i="20" s="1"/>
  <c r="AO77" i="20" s="1"/>
  <c r="AA77" i="20"/>
  <c r="AC77" i="20" s="1"/>
  <c r="AP77" i="20" s="1"/>
  <c r="AA54" i="20"/>
  <c r="AC54" i="20" s="1"/>
  <c r="AP54" i="20" s="1"/>
  <c r="Z54" i="20"/>
  <c r="AB54" i="20" s="1"/>
  <c r="AO54" i="20" s="1"/>
  <c r="Z37" i="20"/>
  <c r="AB37" i="20" s="1"/>
  <c r="AO37" i="20" s="1"/>
  <c r="AA37" i="20"/>
  <c r="AC37" i="20" s="1"/>
  <c r="AP37" i="20" s="1"/>
  <c r="Z69" i="20"/>
  <c r="AB69" i="20" s="1"/>
  <c r="AO69" i="20" s="1"/>
  <c r="AA69" i="20"/>
  <c r="AC69" i="20" s="1"/>
  <c r="AP69" i="20" s="1"/>
  <c r="AA42" i="20"/>
  <c r="AC42" i="20" s="1"/>
  <c r="AP42" i="20" s="1"/>
  <c r="Z42" i="20"/>
  <c r="AB42" i="20" s="1"/>
  <c r="AO42" i="20" s="1"/>
  <c r="AA74" i="20"/>
  <c r="AC74" i="20" s="1"/>
  <c r="AP74" i="20" s="1"/>
  <c r="Z74" i="20"/>
  <c r="AB74" i="20" s="1"/>
  <c r="AO74" i="20" s="1"/>
  <c r="Z41" i="20"/>
  <c r="AB41" i="20" s="1"/>
  <c r="AO41" i="20" s="1"/>
  <c r="AA41" i="20"/>
  <c r="AC41" i="20" s="1"/>
  <c r="AP41" i="20" s="1"/>
  <c r="Z73" i="20"/>
  <c r="AB73" i="20" s="1"/>
  <c r="AO73" i="20" s="1"/>
  <c r="AA73" i="20"/>
  <c r="AC73" i="20" s="1"/>
  <c r="AP73" i="20" s="1"/>
  <c r="Z36" i="20"/>
  <c r="AB36" i="20" s="1"/>
  <c r="AO36" i="20" s="1"/>
  <c r="AA36" i="20"/>
  <c r="AC36" i="20" s="1"/>
  <c r="AP36" i="20" s="1"/>
  <c r="Z52" i="20"/>
  <c r="AB52" i="20" s="1"/>
  <c r="AO52" i="20" s="1"/>
  <c r="AA52" i="20"/>
  <c r="AC52" i="20" s="1"/>
  <c r="AP52" i="20" s="1"/>
  <c r="Z68" i="20"/>
  <c r="AB68" i="20" s="1"/>
  <c r="AO68" i="20" s="1"/>
  <c r="AA68" i="20"/>
  <c r="AC68" i="20" s="1"/>
  <c r="AP68" i="20" s="1"/>
  <c r="AA5" i="20"/>
  <c r="AC5" i="20" s="1"/>
  <c r="Z5" i="20"/>
  <c r="AB5" i="20" s="1"/>
  <c r="AA31" i="20"/>
  <c r="AC31" i="20" s="1"/>
  <c r="AP31" i="20" s="1"/>
  <c r="Z31" i="20"/>
  <c r="AB31" i="20" s="1"/>
  <c r="AO31" i="20" s="1"/>
  <c r="AA47" i="20"/>
  <c r="AC47" i="20" s="1"/>
  <c r="AP47" i="20" s="1"/>
  <c r="Z47" i="20"/>
  <c r="AB47" i="20" s="1"/>
  <c r="AO47" i="20" s="1"/>
  <c r="AA63" i="20"/>
  <c r="AC63" i="20" s="1"/>
  <c r="AP63" i="20" s="1"/>
  <c r="Z63" i="20"/>
  <c r="AB63" i="20" s="1"/>
  <c r="AO63" i="20" s="1"/>
  <c r="AA79" i="20"/>
  <c r="AC79" i="20" s="1"/>
  <c r="AP79" i="20" s="1"/>
  <c r="Z79" i="20"/>
  <c r="AB79" i="20" s="1"/>
  <c r="AO79" i="20" s="1"/>
  <c r="AA57" i="47"/>
  <c r="AC57" i="47" s="1"/>
  <c r="AP57" i="47" s="1"/>
  <c r="Z57" i="47"/>
  <c r="AB57" i="47" s="1"/>
  <c r="AO57" i="47" s="1"/>
  <c r="AA10" i="47"/>
  <c r="AC10" i="47" s="1"/>
  <c r="AP10" i="47" s="1"/>
  <c r="Z10" i="47"/>
  <c r="AB10" i="47" s="1"/>
  <c r="AO10" i="47" s="1"/>
  <c r="AA9" i="47"/>
  <c r="AC9" i="47" s="1"/>
  <c r="AP9" i="47" s="1"/>
  <c r="Z9" i="47"/>
  <c r="AB9" i="47" s="1"/>
  <c r="AO9" i="47" s="1"/>
  <c r="AA61" i="47"/>
  <c r="AC61" i="47" s="1"/>
  <c r="AP61" i="47" s="1"/>
  <c r="Z61" i="47"/>
  <c r="AB61" i="47" s="1"/>
  <c r="AO61" i="47" s="1"/>
  <c r="Z23" i="47"/>
  <c r="AB23" i="47" s="1"/>
  <c r="AO23" i="47" s="1"/>
  <c r="AA23" i="47"/>
  <c r="AC23" i="47" s="1"/>
  <c r="AP23" i="47" s="1"/>
  <c r="Z36" i="47"/>
  <c r="AB36" i="47" s="1"/>
  <c r="AO36" i="47" s="1"/>
  <c r="AA36" i="47"/>
  <c r="AC36" i="47" s="1"/>
  <c r="AP36" i="47" s="1"/>
  <c r="Z52" i="47"/>
  <c r="AB52" i="47" s="1"/>
  <c r="AO52" i="47" s="1"/>
  <c r="AA52" i="47"/>
  <c r="AC52" i="47" s="1"/>
  <c r="AP52" i="47" s="1"/>
  <c r="AA5" i="47"/>
  <c r="AC5" i="47" s="1"/>
  <c r="Z5" i="47"/>
  <c r="AB5" i="47" s="1"/>
  <c r="AA31" i="47"/>
  <c r="AC31" i="47" s="1"/>
  <c r="AP31" i="47" s="1"/>
  <c r="Z31" i="47"/>
  <c r="AB31" i="47" s="1"/>
  <c r="AO31" i="47" s="1"/>
  <c r="AA47" i="47"/>
  <c r="AC47" i="47" s="1"/>
  <c r="AP47" i="47" s="1"/>
  <c r="Z47" i="47"/>
  <c r="AB47" i="47" s="1"/>
  <c r="AO47" i="47" s="1"/>
  <c r="AA63" i="47"/>
  <c r="AC63" i="47" s="1"/>
  <c r="AP63" i="47" s="1"/>
  <c r="Z63" i="47"/>
  <c r="AB63" i="47" s="1"/>
  <c r="AO63" i="47" s="1"/>
  <c r="AA12" i="47"/>
  <c r="AC12" i="47" s="1"/>
  <c r="AP12" i="47" s="1"/>
  <c r="Z12" i="47"/>
  <c r="AB12" i="47" s="1"/>
  <c r="AO12" i="47" s="1"/>
  <c r="AA30" i="47"/>
  <c r="AC30" i="47" s="1"/>
  <c r="AP30" i="47" s="1"/>
  <c r="Z30" i="47"/>
  <c r="AB30" i="47" s="1"/>
  <c r="AO30" i="47" s="1"/>
  <c r="AA46" i="47"/>
  <c r="AC46" i="47" s="1"/>
  <c r="AP46" i="47" s="1"/>
  <c r="Z46" i="47"/>
  <c r="AB46" i="47" s="1"/>
  <c r="AO46" i="47" s="1"/>
  <c r="AA62" i="47"/>
  <c r="AC62" i="47" s="1"/>
  <c r="AP62" i="47" s="1"/>
  <c r="Z62" i="47"/>
  <c r="AB62" i="47" s="1"/>
  <c r="AO62" i="47" s="1"/>
  <c r="AA9" i="30"/>
  <c r="AC9" i="30" s="1"/>
  <c r="AP9" i="30" s="1"/>
  <c r="Z9" i="30"/>
  <c r="AB9" i="30" s="1"/>
  <c r="AO9" i="30" s="1"/>
  <c r="AA10" i="30"/>
  <c r="AC10" i="30" s="1"/>
  <c r="AP10" i="30" s="1"/>
  <c r="Z10" i="30"/>
  <c r="AB10" i="30" s="1"/>
  <c r="AO10" i="30" s="1"/>
  <c r="AA8" i="30"/>
  <c r="AC8" i="30" s="1"/>
  <c r="AP8" i="30" s="1"/>
  <c r="Z8" i="30"/>
  <c r="AB8" i="30" s="1"/>
  <c r="AO8" i="30" s="1"/>
  <c r="AA21" i="30"/>
  <c r="AC21" i="30" s="1"/>
  <c r="Z21" i="30"/>
  <c r="AB21" i="30" s="1"/>
  <c r="AO21" i="30" s="1"/>
  <c r="AA12" i="30"/>
  <c r="AC12" i="30" s="1"/>
  <c r="AP12" i="30" s="1"/>
  <c r="Z12" i="30"/>
  <c r="AB12" i="30" s="1"/>
  <c r="AO12" i="30" s="1"/>
  <c r="Z14" i="26"/>
  <c r="AB14" i="26" s="1"/>
  <c r="AO14" i="26" s="1"/>
  <c r="AA14" i="26"/>
  <c r="AC14" i="26" s="1"/>
  <c r="AP14" i="26" s="1"/>
  <c r="AA356" i="15"/>
  <c r="AC356" i="15" s="1"/>
  <c r="AP356" i="15" s="1"/>
  <c r="Z356" i="15"/>
  <c r="AB356" i="15" s="1"/>
  <c r="AO356" i="15" s="1"/>
  <c r="AA228" i="15"/>
  <c r="AC228" i="15" s="1"/>
  <c r="AP228" i="15" s="1"/>
  <c r="Z228" i="15"/>
  <c r="AB228" i="15" s="1"/>
  <c r="AO228" i="15" s="1"/>
  <c r="AA16" i="13"/>
  <c r="AC16" i="13" s="1"/>
  <c r="AP16" i="13" s="1"/>
  <c r="Z16" i="13"/>
  <c r="AB16" i="13" s="1"/>
  <c r="AO16" i="13" s="1"/>
  <c r="Z16" i="63"/>
  <c r="AB16" i="63" s="1"/>
  <c r="AO16" i="63" s="1"/>
  <c r="AA16" i="63"/>
  <c r="AC16" i="63" s="1"/>
  <c r="AP16" i="63" s="1"/>
  <c r="Z15" i="63"/>
  <c r="AB15" i="63" s="1"/>
  <c r="AO15" i="63" s="1"/>
  <c r="AA15" i="63"/>
  <c r="AC15" i="63" s="1"/>
  <c r="AP15" i="63" s="1"/>
  <c r="Z22" i="63"/>
  <c r="AB22" i="63" s="1"/>
  <c r="AO22" i="63" s="1"/>
  <c r="AA22" i="63"/>
  <c r="AC22" i="63" s="1"/>
  <c r="AP22" i="63" s="1"/>
  <c r="AA13" i="32"/>
  <c r="AC13" i="32" s="1"/>
  <c r="AP13" i="32" s="1"/>
  <c r="Z13" i="32"/>
  <c r="AB13" i="32" s="1"/>
  <c r="AO13" i="32" s="1"/>
  <c r="Z110" i="32"/>
  <c r="AB110" i="32" s="1"/>
  <c r="AO110" i="32" s="1"/>
  <c r="AA110" i="32"/>
  <c r="AC110" i="32" s="1"/>
  <c r="AP110" i="32" s="1"/>
  <c r="AA17" i="32"/>
  <c r="AC17" i="32" s="1"/>
  <c r="AP17" i="32" s="1"/>
  <c r="Z17" i="32"/>
  <c r="AB17" i="32" s="1"/>
  <c r="AO17" i="32" s="1"/>
  <c r="AA67" i="32"/>
  <c r="AC67" i="32" s="1"/>
  <c r="AP67" i="32" s="1"/>
  <c r="Z67" i="32"/>
  <c r="AB67" i="32" s="1"/>
  <c r="AO67" i="32" s="1"/>
  <c r="Z70" i="32"/>
  <c r="AB70" i="32" s="1"/>
  <c r="AO70" i="32" s="1"/>
  <c r="AA70" i="32"/>
  <c r="AC70" i="32" s="1"/>
  <c r="AP70" i="32" s="1"/>
  <c r="AA131" i="32"/>
  <c r="AC131" i="32" s="1"/>
  <c r="Z131" i="32"/>
  <c r="AB131" i="32" s="1"/>
  <c r="AO131" i="32" s="1"/>
  <c r="AA21" i="32"/>
  <c r="AC21" i="32" s="1"/>
  <c r="AP21" i="32" s="1"/>
  <c r="Z21" i="32"/>
  <c r="AB21" i="32" s="1"/>
  <c r="AO21" i="32" s="1"/>
  <c r="AA61" i="32"/>
  <c r="AC61" i="32" s="1"/>
  <c r="AP61" i="32" s="1"/>
  <c r="Z61" i="32"/>
  <c r="AB61" i="32" s="1"/>
  <c r="AO61" i="32" s="1"/>
  <c r="Z122" i="32"/>
  <c r="AB122" i="32" s="1"/>
  <c r="AO122" i="32" s="1"/>
  <c r="AA122" i="32"/>
  <c r="AC122" i="32" s="1"/>
  <c r="AP122" i="32" s="1"/>
  <c r="Z154" i="32"/>
  <c r="AB154" i="32" s="1"/>
  <c r="AO154" i="32" s="1"/>
  <c r="AA154" i="32"/>
  <c r="AC154" i="32" s="1"/>
  <c r="AP154" i="32" s="1"/>
  <c r="Z46" i="32"/>
  <c r="AB46" i="32" s="1"/>
  <c r="AO46" i="32" s="1"/>
  <c r="AA46" i="32"/>
  <c r="AC46" i="32" s="1"/>
  <c r="AP46" i="32" s="1"/>
  <c r="AA103" i="32"/>
  <c r="AC103" i="32" s="1"/>
  <c r="AP103" i="32" s="1"/>
  <c r="Z103" i="32"/>
  <c r="AB103" i="32" s="1"/>
  <c r="AO103" i="32" s="1"/>
  <c r="AA167" i="32"/>
  <c r="AC167" i="32" s="1"/>
  <c r="AP167" i="32" s="1"/>
  <c r="Z167" i="32"/>
  <c r="AB167" i="32" s="1"/>
  <c r="AO167" i="32" s="1"/>
  <c r="AA105" i="32"/>
  <c r="AC105" i="32" s="1"/>
  <c r="AP105" i="32" s="1"/>
  <c r="Z105" i="32"/>
  <c r="AB105" i="32" s="1"/>
  <c r="AO105" i="32" s="1"/>
  <c r="AA137" i="32"/>
  <c r="AC137" i="32" s="1"/>
  <c r="AP137" i="32" s="1"/>
  <c r="Z137" i="32"/>
  <c r="AB137" i="32" s="1"/>
  <c r="AO137" i="32" s="1"/>
  <c r="AA169" i="32"/>
  <c r="AC169" i="32" s="1"/>
  <c r="AP169" i="32" s="1"/>
  <c r="Z169" i="32"/>
  <c r="AB169" i="32" s="1"/>
  <c r="AO169" i="32" s="1"/>
  <c r="Z32" i="32"/>
  <c r="AB32" i="32" s="1"/>
  <c r="AO32" i="32" s="1"/>
  <c r="AA32" i="32"/>
  <c r="AC32" i="32" s="1"/>
  <c r="AP32" i="32" s="1"/>
  <c r="Z48" i="32"/>
  <c r="AB48" i="32" s="1"/>
  <c r="AO48" i="32" s="1"/>
  <c r="AA48" i="32"/>
  <c r="AC48" i="32" s="1"/>
  <c r="AP48" i="32" s="1"/>
  <c r="AA80" i="32"/>
  <c r="AC80" i="32" s="1"/>
  <c r="AP80" i="32" s="1"/>
  <c r="Z80" i="32"/>
  <c r="AB80" i="32" s="1"/>
  <c r="AO80" i="32" s="1"/>
  <c r="AA112" i="32"/>
  <c r="AC112" i="32" s="1"/>
  <c r="AP112" i="32" s="1"/>
  <c r="Z112" i="32"/>
  <c r="AB112" i="32" s="1"/>
  <c r="AO112" i="32" s="1"/>
  <c r="AA144" i="32"/>
  <c r="AC144" i="32" s="1"/>
  <c r="AP144" i="32" s="1"/>
  <c r="Z144" i="32"/>
  <c r="AB144" i="32" s="1"/>
  <c r="AO144" i="32" s="1"/>
  <c r="Z46" i="39"/>
  <c r="AB46" i="39" s="1"/>
  <c r="AO46" i="39" s="1"/>
  <c r="AA46" i="39"/>
  <c r="AC46" i="39" s="1"/>
  <c r="AP46" i="39" s="1"/>
  <c r="Z30" i="39"/>
  <c r="AB30" i="39" s="1"/>
  <c r="AO30" i="39" s="1"/>
  <c r="AA30" i="39"/>
  <c r="AC30" i="39" s="1"/>
  <c r="AP30" i="39" s="1"/>
  <c r="Z34" i="39"/>
  <c r="AB34" i="39" s="1"/>
  <c r="AO34" i="39" s="1"/>
  <c r="AA34" i="39"/>
  <c r="AC34" i="39" s="1"/>
  <c r="AP34" i="39" s="1"/>
  <c r="AA31" i="39"/>
  <c r="AC31" i="39" s="1"/>
  <c r="AP31" i="39" s="1"/>
  <c r="Z31" i="39"/>
  <c r="AB31" i="39" s="1"/>
  <c r="AO31" i="39" s="1"/>
  <c r="AA29" i="39"/>
  <c r="AC29" i="39" s="1"/>
  <c r="AP29" i="39" s="1"/>
  <c r="Z29" i="39"/>
  <c r="AB29" i="39" s="1"/>
  <c r="AO29" i="39" s="1"/>
  <c r="AA45" i="39"/>
  <c r="AC45" i="39" s="1"/>
  <c r="AP45" i="39" s="1"/>
  <c r="Z45" i="39"/>
  <c r="AB45" i="39" s="1"/>
  <c r="AO45" i="39" s="1"/>
  <c r="AA32" i="39"/>
  <c r="AC32" i="39" s="1"/>
  <c r="AP32" i="39" s="1"/>
  <c r="Z32" i="39"/>
  <c r="AB32" i="39" s="1"/>
  <c r="AO32" i="39" s="1"/>
  <c r="Z15" i="34"/>
  <c r="AB15" i="34" s="1"/>
  <c r="AO15" i="34" s="1"/>
  <c r="AA15" i="34"/>
  <c r="AC15" i="34" s="1"/>
  <c r="AP15" i="34" s="1"/>
  <c r="AA13" i="34"/>
  <c r="AC13" i="34" s="1"/>
  <c r="AP13" i="34" s="1"/>
  <c r="Z13" i="34"/>
  <c r="AB13" i="34" s="1"/>
  <c r="AO13" i="34" s="1"/>
  <c r="AA20" i="34"/>
  <c r="AC20" i="34" s="1"/>
  <c r="AP20" i="34" s="1"/>
  <c r="Z20" i="34"/>
  <c r="AB20" i="34" s="1"/>
  <c r="AO20" i="34" s="1"/>
  <c r="AA22" i="3"/>
  <c r="AC22" i="3" s="1"/>
  <c r="AP22" i="3" s="1"/>
  <c r="Z22" i="3"/>
  <c r="AB22" i="3" s="1"/>
  <c r="AO22" i="3" s="1"/>
  <c r="Z12" i="3"/>
  <c r="AB12" i="3" s="1"/>
  <c r="AO12" i="3" s="1"/>
  <c r="AA12" i="3"/>
  <c r="AC12" i="3" s="1"/>
  <c r="AP12" i="3" s="1"/>
  <c r="AA8" i="37"/>
  <c r="AC8" i="37" s="1"/>
  <c r="AP8" i="37" s="1"/>
  <c r="Z8" i="37"/>
  <c r="AB8" i="37" s="1"/>
  <c r="AO8" i="37" s="1"/>
  <c r="AA5" i="37"/>
  <c r="AC5" i="37" s="1"/>
  <c r="Z5" i="37"/>
  <c r="AB5" i="37" s="1"/>
  <c r="AA22" i="37"/>
  <c r="AC22" i="37" s="1"/>
  <c r="AP22" i="37" s="1"/>
  <c r="Z22" i="37"/>
  <c r="AB22" i="37" s="1"/>
  <c r="AO22" i="37" s="1"/>
  <c r="AA18" i="37"/>
  <c r="AC18" i="37" s="1"/>
  <c r="AP18" i="37" s="1"/>
  <c r="Z18" i="37"/>
  <c r="AB18" i="37" s="1"/>
  <c r="AO18" i="37" s="1"/>
  <c r="AA23" i="37"/>
  <c r="AC23" i="37" s="1"/>
  <c r="AP23" i="37" s="1"/>
  <c r="Z23" i="37"/>
  <c r="AB23" i="37" s="1"/>
  <c r="AO23" i="37" s="1"/>
  <c r="Z5" i="52"/>
  <c r="AB5" i="52" s="1"/>
  <c r="AA5" i="52"/>
  <c r="AC5" i="52" s="1"/>
  <c r="AA19" i="52"/>
  <c r="AC19" i="52" s="1"/>
  <c r="AP19" i="52" s="1"/>
  <c r="Z19" i="52"/>
  <c r="AB19" i="52" s="1"/>
  <c r="AO19" i="52" s="1"/>
  <c r="Z17" i="52"/>
  <c r="AB17" i="52" s="1"/>
  <c r="AO17" i="52" s="1"/>
  <c r="AA17" i="52"/>
  <c r="AC17" i="52" s="1"/>
  <c r="AP17" i="52" s="1"/>
  <c r="AA15" i="52"/>
  <c r="AC15" i="52" s="1"/>
  <c r="AP15" i="52" s="1"/>
  <c r="Z15" i="52"/>
  <c r="AB15" i="52" s="1"/>
  <c r="AO15" i="52" s="1"/>
  <c r="Z12" i="19"/>
  <c r="AB12" i="19" s="1"/>
  <c r="AO12" i="19" s="1"/>
  <c r="AA12" i="19"/>
  <c r="AC12" i="19" s="1"/>
  <c r="AP12" i="19" s="1"/>
  <c r="AA18" i="19"/>
  <c r="AC18" i="19" s="1"/>
  <c r="AP18" i="19" s="1"/>
  <c r="Z18" i="19"/>
  <c r="AB18" i="19" s="1"/>
  <c r="AO18" i="19" s="1"/>
  <c r="Z221" i="65"/>
  <c r="AB221" i="65" s="1"/>
  <c r="AO221" i="65" s="1"/>
  <c r="AC221" i="65"/>
  <c r="AP221" i="65" s="1"/>
  <c r="AC188" i="65"/>
  <c r="AP188" i="65" s="1"/>
  <c r="Z188" i="65"/>
  <c r="AB188" i="65" s="1"/>
  <c r="AO188" i="65" s="1"/>
  <c r="AC220" i="65"/>
  <c r="AP220" i="65" s="1"/>
  <c r="Z220" i="65"/>
  <c r="AB220" i="65" s="1"/>
  <c r="AO220" i="65" s="1"/>
  <c r="Z217" i="65"/>
  <c r="AB217" i="65" s="1"/>
  <c r="AO217" i="65" s="1"/>
  <c r="AC217" i="65"/>
  <c r="AP217" i="65" s="1"/>
  <c r="AC195" i="65"/>
  <c r="AP195" i="65" s="1"/>
  <c r="Z195" i="65"/>
  <c r="AB195" i="65" s="1"/>
  <c r="AO195" i="65" s="1"/>
  <c r="AC227" i="65"/>
  <c r="AP227" i="65" s="1"/>
  <c r="Z227" i="65"/>
  <c r="AB227" i="65" s="1"/>
  <c r="AO227" i="65" s="1"/>
  <c r="Z37" i="28"/>
  <c r="AB37" i="28" s="1"/>
  <c r="AO37" i="28" s="1"/>
  <c r="AA37" i="28"/>
  <c r="AC37" i="28" s="1"/>
  <c r="AP37" i="28" s="1"/>
  <c r="AA34" i="28"/>
  <c r="AC34" i="28" s="1"/>
  <c r="AP34" i="28" s="1"/>
  <c r="Z34" i="28"/>
  <c r="AB34" i="28" s="1"/>
  <c r="AO34" i="28" s="1"/>
  <c r="Z16" i="28"/>
  <c r="AB16" i="28" s="1"/>
  <c r="AO16" i="28" s="1"/>
  <c r="AA16" i="28"/>
  <c r="AC16" i="28" s="1"/>
  <c r="AP16" i="28" s="1"/>
  <c r="AA32" i="28"/>
  <c r="AC32" i="28" s="1"/>
  <c r="AP32" i="28" s="1"/>
  <c r="Z32" i="28"/>
  <c r="AB32" i="28" s="1"/>
  <c r="AO32" i="28" s="1"/>
  <c r="AA14" i="28"/>
  <c r="AC14" i="28" s="1"/>
  <c r="AP14" i="28" s="1"/>
  <c r="Z14" i="28"/>
  <c r="AB14" i="28" s="1"/>
  <c r="AO14" i="28" s="1"/>
  <c r="AA43" i="28"/>
  <c r="AC43" i="28" s="1"/>
  <c r="AP43" i="28" s="1"/>
  <c r="Z43" i="28"/>
  <c r="AB43" i="28" s="1"/>
  <c r="AO43" i="28" s="1"/>
  <c r="Z13" i="70"/>
  <c r="AB13" i="70" s="1"/>
  <c r="AO13" i="70" s="1"/>
  <c r="AA13" i="70"/>
  <c r="AC13" i="70" s="1"/>
  <c r="AP13" i="70" s="1"/>
  <c r="AA17" i="70"/>
  <c r="AC17" i="70" s="1"/>
  <c r="AP17" i="70" s="1"/>
  <c r="Z17" i="70"/>
  <c r="AB17" i="70" s="1"/>
  <c r="AO17" i="70" s="1"/>
  <c r="AA20" i="38"/>
  <c r="AC20" i="38" s="1"/>
  <c r="AP20" i="38" s="1"/>
  <c r="Z20" i="38"/>
  <c r="AB20" i="38" s="1"/>
  <c r="AO20" i="38" s="1"/>
  <c r="Z18" i="38"/>
  <c r="AB18" i="38" s="1"/>
  <c r="AO18" i="38" s="1"/>
  <c r="AA18" i="38"/>
  <c r="AC18" i="38" s="1"/>
  <c r="AP18" i="38" s="1"/>
  <c r="AA13" i="38"/>
  <c r="AC13" i="38" s="1"/>
  <c r="AP13" i="38" s="1"/>
  <c r="Z13" i="38"/>
  <c r="AB13" i="38" s="1"/>
  <c r="AO13" i="38" s="1"/>
  <c r="AA26" i="24"/>
  <c r="AC26" i="24" s="1"/>
  <c r="Z26" i="24"/>
  <c r="AB26" i="24" s="1"/>
  <c r="AO26" i="24" s="1"/>
  <c r="Z18" i="24"/>
  <c r="AB18" i="24" s="1"/>
  <c r="AO18" i="24" s="1"/>
  <c r="AA18" i="24"/>
  <c r="AC18" i="24" s="1"/>
  <c r="AP18" i="24" s="1"/>
  <c r="AA8" i="24"/>
  <c r="AC8" i="24" s="1"/>
  <c r="AP8" i="24" s="1"/>
  <c r="Z8" i="24"/>
  <c r="AB8" i="24" s="1"/>
  <c r="AO8" i="24" s="1"/>
  <c r="Z6" i="59"/>
  <c r="AB6" i="59" s="1"/>
  <c r="AO6" i="59" s="1"/>
  <c r="AA6" i="59"/>
  <c r="AC6" i="59" s="1"/>
  <c r="AP6" i="59" s="1"/>
  <c r="AA23" i="59"/>
  <c r="AC23" i="59" s="1"/>
  <c r="AP23" i="59" s="1"/>
  <c r="Z23" i="59"/>
  <c r="AB23" i="59" s="1"/>
  <c r="AO23" i="59" s="1"/>
  <c r="AA17" i="59"/>
  <c r="AC17" i="59" s="1"/>
  <c r="AP17" i="59" s="1"/>
  <c r="Z17" i="59"/>
  <c r="AB17" i="59" s="1"/>
  <c r="AO17" i="59" s="1"/>
  <c r="Z20" i="58"/>
  <c r="AB20" i="58" s="1"/>
  <c r="AO20" i="58" s="1"/>
  <c r="AA20" i="58"/>
  <c r="AC20" i="58" s="1"/>
  <c r="AP20" i="58" s="1"/>
  <c r="AA9" i="58"/>
  <c r="AC9" i="58" s="1"/>
  <c r="AP9" i="58" s="1"/>
  <c r="Z9" i="58"/>
  <c r="AB9" i="58" s="1"/>
  <c r="AO9" i="58" s="1"/>
  <c r="AA6" i="58"/>
  <c r="AC6" i="58" s="1"/>
  <c r="AP6" i="58" s="1"/>
  <c r="Z6" i="58"/>
  <c r="AB6" i="58" s="1"/>
  <c r="AO6" i="58" s="1"/>
  <c r="Z5" i="69"/>
  <c r="AB5" i="69" s="1"/>
  <c r="AA5" i="69"/>
  <c r="AC5" i="69" s="1"/>
  <c r="Z20" i="69"/>
  <c r="AB20" i="69" s="1"/>
  <c r="AO20" i="69" s="1"/>
  <c r="AA20" i="69"/>
  <c r="AC20" i="69" s="1"/>
  <c r="AP20" i="69" s="1"/>
  <c r="AA25" i="69"/>
  <c r="AC25" i="69" s="1"/>
  <c r="AP25" i="69" s="1"/>
  <c r="Z25" i="69"/>
  <c r="AB25" i="69" s="1"/>
  <c r="AO25" i="69" s="1"/>
  <c r="Z47" i="15"/>
  <c r="AB47" i="15" s="1"/>
  <c r="AO47" i="15" s="1"/>
  <c r="AA47" i="15"/>
  <c r="AC47" i="15" s="1"/>
  <c r="AP47" i="15" s="1"/>
  <c r="AA11" i="56"/>
  <c r="AC11" i="56" s="1"/>
  <c r="AP11" i="56" s="1"/>
  <c r="Z11" i="56"/>
  <c r="AB11" i="56" s="1"/>
  <c r="AO11" i="56" s="1"/>
  <c r="Z9" i="56"/>
  <c r="AB9" i="56" s="1"/>
  <c r="AO9" i="56" s="1"/>
  <c r="AA9" i="56"/>
  <c r="AC9" i="56" s="1"/>
  <c r="AP9" i="56" s="1"/>
  <c r="Z8" i="56"/>
  <c r="AB8" i="56" s="1"/>
  <c r="AO8" i="56" s="1"/>
  <c r="AA8" i="56"/>
  <c r="AC8" i="56" s="1"/>
  <c r="AP8" i="56" s="1"/>
  <c r="Z21" i="56"/>
  <c r="AB21" i="56" s="1"/>
  <c r="AO21" i="56" s="1"/>
  <c r="AA21" i="56"/>
  <c r="AC21" i="56" s="1"/>
  <c r="AP21" i="56" s="1"/>
  <c r="AA21" i="41"/>
  <c r="AC21" i="41" s="1"/>
  <c r="AP21" i="41" s="1"/>
  <c r="Z21" i="41"/>
  <c r="AB21" i="41" s="1"/>
  <c r="AO21" i="41" s="1"/>
  <c r="Z19" i="41"/>
  <c r="AB19" i="41" s="1"/>
  <c r="AO19" i="41" s="1"/>
  <c r="AA19" i="41"/>
  <c r="AC19" i="41" s="1"/>
  <c r="AP19" i="41" s="1"/>
  <c r="AA17" i="41"/>
  <c r="AC17" i="41" s="1"/>
  <c r="AP17" i="41" s="1"/>
  <c r="Z17" i="41"/>
  <c r="AB17" i="41" s="1"/>
  <c r="AO17" i="41" s="1"/>
  <c r="AA15" i="41"/>
  <c r="AC15" i="41" s="1"/>
  <c r="AP15" i="41" s="1"/>
  <c r="Z15" i="41"/>
  <c r="AB15" i="41" s="1"/>
  <c r="AO15" i="41" s="1"/>
  <c r="Z21" i="26"/>
  <c r="AB21" i="26" s="1"/>
  <c r="AO21" i="26" s="1"/>
  <c r="AA21" i="26"/>
  <c r="AC21" i="26" s="1"/>
  <c r="AP21" i="26" s="1"/>
  <c r="Z22" i="26"/>
  <c r="AB22" i="26" s="1"/>
  <c r="AO22" i="26" s="1"/>
  <c r="AA22" i="26"/>
  <c r="AC22" i="26" s="1"/>
  <c r="AP22" i="26" s="1"/>
  <c r="AA20" i="26"/>
  <c r="AC20" i="26" s="1"/>
  <c r="AP20" i="26" s="1"/>
  <c r="Z20" i="26"/>
  <c r="AB20" i="26" s="1"/>
  <c r="AO20" i="26" s="1"/>
  <c r="AA18" i="26"/>
  <c r="AC18" i="26" s="1"/>
  <c r="AP18" i="26" s="1"/>
  <c r="Z18" i="26"/>
  <c r="AB18" i="26" s="1"/>
  <c r="AO18" i="26" s="1"/>
  <c r="Z14" i="22"/>
  <c r="AB14" i="22" s="1"/>
  <c r="AO14" i="22" s="1"/>
  <c r="AA14" i="22"/>
  <c r="AC14" i="22" s="1"/>
  <c r="AP14" i="22" s="1"/>
  <c r="AA236" i="15"/>
  <c r="AC236" i="15" s="1"/>
  <c r="AP236" i="15" s="1"/>
  <c r="Z236" i="15"/>
  <c r="AB236" i="15" s="1"/>
  <c r="AO236" i="15" s="1"/>
  <c r="Z7" i="49"/>
  <c r="AB7" i="49" s="1"/>
  <c r="AO7" i="49" s="1"/>
  <c r="AA7" i="49"/>
  <c r="AC7" i="49" s="1"/>
  <c r="AP7" i="49" s="1"/>
  <c r="AA17" i="49"/>
  <c r="AC17" i="49" s="1"/>
  <c r="AP17" i="49" s="1"/>
  <c r="Z17" i="49"/>
  <c r="AB17" i="49" s="1"/>
  <c r="AO17" i="49" s="1"/>
  <c r="Z23" i="45"/>
  <c r="AB23" i="45" s="1"/>
  <c r="AO23" i="45" s="1"/>
  <c r="AA23" i="45"/>
  <c r="AC23" i="45" s="1"/>
  <c r="AP23" i="45" s="1"/>
  <c r="Z16" i="45"/>
  <c r="AB16" i="45" s="1"/>
  <c r="AO16" i="45" s="1"/>
  <c r="AA16" i="45"/>
  <c r="AC16" i="45" s="1"/>
  <c r="AP16" i="45" s="1"/>
  <c r="AA20" i="45"/>
  <c r="AC20" i="45" s="1"/>
  <c r="AP20" i="45" s="1"/>
  <c r="Z20" i="45"/>
  <c r="AB20" i="45" s="1"/>
  <c r="AO20" i="45" s="1"/>
  <c r="Z9" i="72"/>
  <c r="AB9" i="72" s="1"/>
  <c r="AO9" i="72" s="1"/>
  <c r="AA9" i="72"/>
  <c r="AC9" i="72" s="1"/>
  <c r="AP9" i="72" s="1"/>
  <c r="AA24" i="72"/>
  <c r="AC24" i="72" s="1"/>
  <c r="AP24" i="72" s="1"/>
  <c r="Z24" i="72"/>
  <c r="AB24" i="72" s="1"/>
  <c r="AO24" i="72" s="1"/>
  <c r="Z7" i="55"/>
  <c r="AB7" i="55" s="1"/>
  <c r="AO7" i="55" s="1"/>
  <c r="AA7" i="55"/>
  <c r="AC7" i="55" s="1"/>
  <c r="AP7" i="55" s="1"/>
  <c r="Z11" i="55"/>
  <c r="AB11" i="55" s="1"/>
  <c r="AO11" i="55" s="1"/>
  <c r="AA11" i="55"/>
  <c r="AC11" i="55" s="1"/>
  <c r="AP11" i="55" s="1"/>
  <c r="Z24" i="55"/>
  <c r="AB24" i="55" s="1"/>
  <c r="AO24" i="55" s="1"/>
  <c r="AA24" i="55"/>
  <c r="AC24" i="55" s="1"/>
  <c r="AP24" i="55" s="1"/>
  <c r="Z25" i="53"/>
  <c r="AB25" i="53" s="1"/>
  <c r="AO25" i="53" s="1"/>
  <c r="AA25" i="53"/>
  <c r="AC25" i="53" s="1"/>
  <c r="AP25" i="53" s="1"/>
  <c r="AA32" i="53"/>
  <c r="AC32" i="53" s="1"/>
  <c r="AP32" i="53" s="1"/>
  <c r="Z32" i="53"/>
  <c r="AB32" i="53" s="1"/>
  <c r="AO32" i="53" s="1"/>
  <c r="AA13" i="53"/>
  <c r="AC13" i="53" s="1"/>
  <c r="AP13" i="53" s="1"/>
  <c r="Z13" i="53"/>
  <c r="AB13" i="53" s="1"/>
  <c r="AO13" i="53" s="1"/>
  <c r="Z41" i="53"/>
  <c r="AB41" i="53" s="1"/>
  <c r="AO41" i="53" s="1"/>
  <c r="AA41" i="53"/>
  <c r="AC41" i="53" s="1"/>
  <c r="AP41" i="53" s="1"/>
  <c r="AA48" i="53"/>
  <c r="AC48" i="53" s="1"/>
  <c r="AP48" i="53" s="1"/>
  <c r="Z48" i="53"/>
  <c r="AB48" i="53" s="1"/>
  <c r="AO48" i="53" s="1"/>
  <c r="AA46" i="53"/>
  <c r="AC46" i="53" s="1"/>
  <c r="AP46" i="53" s="1"/>
  <c r="Z46" i="53"/>
  <c r="AB46" i="53" s="1"/>
  <c r="AO46" i="53" s="1"/>
  <c r="Z21" i="53"/>
  <c r="AB21" i="53" s="1"/>
  <c r="AO21" i="53" s="1"/>
  <c r="AA21" i="53"/>
  <c r="AC21" i="53" s="1"/>
  <c r="AP21" i="53" s="1"/>
  <c r="Z35" i="53"/>
  <c r="AB35" i="53" s="1"/>
  <c r="AO35" i="53" s="1"/>
  <c r="AA35" i="53"/>
  <c r="AC35" i="53" s="1"/>
  <c r="AP35" i="53" s="1"/>
  <c r="Z51" i="53"/>
  <c r="AB51" i="53" s="1"/>
  <c r="AO51" i="53" s="1"/>
  <c r="AA51" i="53"/>
  <c r="AC51" i="53" s="1"/>
  <c r="AP51" i="53" s="1"/>
  <c r="AA33" i="5"/>
  <c r="AC33" i="5" s="1"/>
  <c r="AP33" i="5" s="1"/>
  <c r="Z33" i="5"/>
  <c r="AB33" i="5" s="1"/>
  <c r="AO33" i="5" s="1"/>
  <c r="Z30" i="5"/>
  <c r="AB30" i="5" s="1"/>
  <c r="AO30" i="5" s="1"/>
  <c r="AA30" i="5"/>
  <c r="AC30" i="5" s="1"/>
  <c r="AP30" i="5" s="1"/>
  <c r="AA31" i="5"/>
  <c r="AC31" i="5" s="1"/>
  <c r="AP31" i="5" s="1"/>
  <c r="Z31" i="5"/>
  <c r="AB31" i="5" s="1"/>
  <c r="AO31" i="5" s="1"/>
  <c r="AA12" i="5"/>
  <c r="AC12" i="5" s="1"/>
  <c r="AP12" i="5" s="1"/>
  <c r="Z12" i="5"/>
  <c r="AB12" i="5" s="1"/>
  <c r="AO12" i="5" s="1"/>
  <c r="Z9" i="5"/>
  <c r="AB9" i="5" s="1"/>
  <c r="AO9" i="5" s="1"/>
  <c r="AA9" i="5"/>
  <c r="AC9" i="5" s="1"/>
  <c r="AP9" i="5" s="1"/>
  <c r="AA9" i="14"/>
  <c r="AC9" i="14" s="1"/>
  <c r="AP9" i="14" s="1"/>
  <c r="Z9" i="14"/>
  <c r="AB9" i="14" s="1"/>
  <c r="AO9" i="14" s="1"/>
  <c r="Z14" i="14"/>
  <c r="AB14" i="14" s="1"/>
  <c r="AO14" i="14" s="1"/>
  <c r="AA14" i="14"/>
  <c r="AC14" i="14" s="1"/>
  <c r="AP14" i="14" s="1"/>
  <c r="AA31" i="12"/>
  <c r="AC31" i="12" s="1"/>
  <c r="AP31" i="12" s="1"/>
  <c r="Z31" i="12"/>
  <c r="AB31" i="12" s="1"/>
  <c r="AO31" i="12" s="1"/>
  <c r="AA47" i="12"/>
  <c r="AC47" i="12" s="1"/>
  <c r="AP47" i="12" s="1"/>
  <c r="Z47" i="12"/>
  <c r="AB47" i="12" s="1"/>
  <c r="AO47" i="12" s="1"/>
  <c r="AA29" i="12"/>
  <c r="AC29" i="12" s="1"/>
  <c r="AP29" i="12" s="1"/>
  <c r="Z29" i="12"/>
  <c r="AB29" i="12" s="1"/>
  <c r="AO29" i="12" s="1"/>
  <c r="Z48" i="12"/>
  <c r="AB48" i="12" s="1"/>
  <c r="AO48" i="12" s="1"/>
  <c r="AA48" i="12"/>
  <c r="AC48" i="12" s="1"/>
  <c r="AA33" i="12"/>
  <c r="AC33" i="12" s="1"/>
  <c r="Z33" i="12"/>
  <c r="AB33" i="12" s="1"/>
  <c r="AO33" i="12" s="1"/>
  <c r="Z8" i="12"/>
  <c r="AB8" i="12" s="1"/>
  <c r="AO8" i="12" s="1"/>
  <c r="AA8" i="12"/>
  <c r="AC8" i="12" s="1"/>
  <c r="AP8" i="12" s="1"/>
  <c r="AA17" i="12"/>
  <c r="AC17" i="12" s="1"/>
  <c r="AP17" i="12" s="1"/>
  <c r="Z17" i="12"/>
  <c r="AB17" i="12" s="1"/>
  <c r="AO17" i="12" s="1"/>
  <c r="Z40" i="12"/>
  <c r="AB40" i="12" s="1"/>
  <c r="AO40" i="12" s="1"/>
  <c r="AA40" i="12"/>
  <c r="AC40" i="12" s="1"/>
  <c r="AA12" i="12"/>
  <c r="AC12" i="12" s="1"/>
  <c r="AP12" i="12" s="1"/>
  <c r="Z12" i="12"/>
  <c r="AB12" i="12" s="1"/>
  <c r="AO12" i="12" s="1"/>
  <c r="AA46" i="12"/>
  <c r="AC46" i="12" s="1"/>
  <c r="AP46" i="12" s="1"/>
  <c r="Z46" i="12"/>
  <c r="AB46" i="12" s="1"/>
  <c r="AO46" i="12" s="1"/>
  <c r="AA13" i="62"/>
  <c r="AC13" i="62" s="1"/>
  <c r="AP13" i="62" s="1"/>
  <c r="Z13" i="62"/>
  <c r="AB13" i="62" s="1"/>
  <c r="AO13" i="62" s="1"/>
  <c r="Z24" i="50"/>
  <c r="AB24" i="50" s="1"/>
  <c r="AO24" i="50" s="1"/>
  <c r="AA24" i="50"/>
  <c r="AC24" i="50" s="1"/>
  <c r="AP24" i="50" s="1"/>
  <c r="Z13" i="42"/>
  <c r="AB13" i="42" s="1"/>
  <c r="AO13" i="42" s="1"/>
  <c r="AA13" i="42"/>
  <c r="AC13" i="42" s="1"/>
  <c r="AP13" i="42" s="1"/>
  <c r="A18" i="35"/>
  <c r="N64" i="68"/>
  <c r="I69" i="68"/>
  <c r="O64" i="68"/>
  <c r="Z19" i="70"/>
  <c r="AB19" i="70" s="1"/>
  <c r="AO19" i="70" s="1"/>
  <c r="AA19" i="70"/>
  <c r="AC19" i="70" s="1"/>
  <c r="AP19" i="70" s="1"/>
  <c r="AA10" i="16"/>
  <c r="AC10" i="16" s="1"/>
  <c r="AP10" i="16" s="1"/>
  <c r="Z10" i="16"/>
  <c r="AB10" i="16" s="1"/>
  <c r="AO10" i="16" s="1"/>
  <c r="AA284" i="15"/>
  <c r="AC284" i="15" s="1"/>
  <c r="AP284" i="15" s="1"/>
  <c r="Z284" i="15"/>
  <c r="AB284" i="15" s="1"/>
  <c r="AO284" i="15" s="1"/>
  <c r="AC214" i="65"/>
  <c r="AP214" i="65" s="1"/>
  <c r="Z214" i="65"/>
  <c r="AB214" i="65" s="1"/>
  <c r="AO214" i="65" s="1"/>
  <c r="Z8" i="36"/>
  <c r="AB8" i="36" s="1"/>
  <c r="AO8" i="36" s="1"/>
  <c r="AA8" i="36"/>
  <c r="AC8" i="36" s="1"/>
  <c r="AP8" i="36" s="1"/>
  <c r="Z5" i="36"/>
  <c r="AB5" i="36" s="1"/>
  <c r="AA5" i="36"/>
  <c r="AC5" i="36" s="1"/>
  <c r="AA12" i="36"/>
  <c r="AC12" i="36" s="1"/>
  <c r="AP12" i="36" s="1"/>
  <c r="Z12" i="36"/>
  <c r="AB12" i="36" s="1"/>
  <c r="AO12" i="36" s="1"/>
  <c r="AA10" i="36"/>
  <c r="AC10" i="36" s="1"/>
  <c r="AP10" i="36" s="1"/>
  <c r="Z10" i="36"/>
  <c r="AB10" i="36" s="1"/>
  <c r="AO10" i="36" s="1"/>
  <c r="Z10" i="44"/>
  <c r="AB10" i="44" s="1"/>
  <c r="AO10" i="44" s="1"/>
  <c r="AA10" i="44"/>
  <c r="AC10" i="44" s="1"/>
  <c r="AP10" i="44" s="1"/>
  <c r="AA23" i="44"/>
  <c r="AC23" i="44" s="1"/>
  <c r="AP23" i="44" s="1"/>
  <c r="Z23" i="44"/>
  <c r="AB23" i="44" s="1"/>
  <c r="AO23" i="44" s="1"/>
  <c r="AA13" i="44"/>
  <c r="AC13" i="44" s="1"/>
  <c r="AP13" i="44" s="1"/>
  <c r="Z13" i="44"/>
  <c r="AB13" i="44" s="1"/>
  <c r="AO13" i="44" s="1"/>
  <c r="AA19" i="18"/>
  <c r="AC19" i="18" s="1"/>
  <c r="AP19" i="18" s="1"/>
  <c r="Z19" i="18"/>
  <c r="AB19" i="18" s="1"/>
  <c r="AO19" i="18" s="1"/>
  <c r="AA17" i="18"/>
  <c r="AC17" i="18" s="1"/>
  <c r="AP17" i="18" s="1"/>
  <c r="Z17" i="18"/>
  <c r="AB17" i="18" s="1"/>
  <c r="AO17" i="18" s="1"/>
  <c r="Z15" i="25"/>
  <c r="AB15" i="25" s="1"/>
  <c r="AO15" i="25" s="1"/>
  <c r="AA15" i="25"/>
  <c r="AC15" i="25" s="1"/>
  <c r="AP15" i="25" s="1"/>
  <c r="AA13" i="25"/>
  <c r="AC13" i="25" s="1"/>
  <c r="AP13" i="25" s="1"/>
  <c r="Z13" i="25"/>
  <c r="AB13" i="25" s="1"/>
  <c r="AO13" i="25" s="1"/>
  <c r="AA19" i="25"/>
  <c r="AC19" i="25" s="1"/>
  <c r="AP19" i="25" s="1"/>
  <c r="Z19" i="25"/>
  <c r="AB19" i="25" s="1"/>
  <c r="AO19" i="25" s="1"/>
  <c r="AA18" i="61"/>
  <c r="AC18" i="61" s="1"/>
  <c r="AP18" i="61" s="1"/>
  <c r="Z18" i="61"/>
  <c r="AB18" i="61" s="1"/>
  <c r="AO18" i="61" s="1"/>
  <c r="AA8" i="61"/>
  <c r="AC8" i="61" s="1"/>
  <c r="AP8" i="61" s="1"/>
  <c r="Z8" i="61"/>
  <c r="AB8" i="61" s="1"/>
  <c r="AO8" i="61" s="1"/>
  <c r="AA12" i="61"/>
  <c r="AC12" i="61" s="1"/>
  <c r="AP12" i="61" s="1"/>
  <c r="Z12" i="61"/>
  <c r="AB12" i="61" s="1"/>
  <c r="AO12" i="61" s="1"/>
  <c r="Z15" i="75"/>
  <c r="AB15" i="75" s="1"/>
  <c r="AO15" i="75" s="1"/>
  <c r="AA15" i="75"/>
  <c r="AC15" i="75" s="1"/>
  <c r="AP15" i="75" s="1"/>
  <c r="Z30" i="75"/>
  <c r="AB30" i="75" s="1"/>
  <c r="AO30" i="75" s="1"/>
  <c r="AA30" i="75"/>
  <c r="AC30" i="75" s="1"/>
  <c r="AP30" i="75" s="1"/>
  <c r="AA14" i="75"/>
  <c r="AC14" i="75" s="1"/>
  <c r="AP14" i="75" s="1"/>
  <c r="Z14" i="75"/>
  <c r="AB14" i="75" s="1"/>
  <c r="AO14" i="75" s="1"/>
  <c r="AA31" i="75"/>
  <c r="AC31" i="75" s="1"/>
  <c r="AP31" i="75" s="1"/>
  <c r="Z31" i="75"/>
  <c r="AB31" i="75" s="1"/>
  <c r="AO31" i="75" s="1"/>
  <c r="AA59" i="75"/>
  <c r="AC59" i="75" s="1"/>
  <c r="AP59" i="75" s="1"/>
  <c r="Z59" i="75"/>
  <c r="AB59" i="75" s="1"/>
  <c r="AO59" i="75" s="1"/>
  <c r="Z42" i="75"/>
  <c r="AB42" i="75" s="1"/>
  <c r="AO42" i="75" s="1"/>
  <c r="AA42" i="75"/>
  <c r="AC42" i="75" s="1"/>
  <c r="AP42" i="75" s="1"/>
  <c r="AA41" i="75"/>
  <c r="AC41" i="75" s="1"/>
  <c r="AP41" i="75" s="1"/>
  <c r="Z41" i="75"/>
  <c r="AB41" i="75" s="1"/>
  <c r="AO41" i="75" s="1"/>
  <c r="AA24" i="75"/>
  <c r="AC24" i="75" s="1"/>
  <c r="AP24" i="75" s="1"/>
  <c r="Z24" i="75"/>
  <c r="AB24" i="75" s="1"/>
  <c r="AO24" i="75" s="1"/>
  <c r="AA56" i="75"/>
  <c r="AC56" i="75" s="1"/>
  <c r="AP56" i="75" s="1"/>
  <c r="Z56" i="75"/>
  <c r="AB56" i="75" s="1"/>
  <c r="AO56" i="75" s="1"/>
  <c r="Z38" i="66"/>
  <c r="AB38" i="66" s="1"/>
  <c r="AO38" i="66" s="1"/>
  <c r="AA38" i="66"/>
  <c r="AC38" i="66" s="1"/>
  <c r="AP38" i="66" s="1"/>
  <c r="Z34" i="66"/>
  <c r="AB34" i="66" s="1"/>
  <c r="AO34" i="66" s="1"/>
  <c r="AA34" i="66"/>
  <c r="AC34" i="66" s="1"/>
  <c r="AP34" i="66" s="1"/>
  <c r="AA33" i="66"/>
  <c r="AC33" i="66" s="1"/>
  <c r="AP33" i="66" s="1"/>
  <c r="Z33" i="66"/>
  <c r="AB33" i="66" s="1"/>
  <c r="AO33" i="66" s="1"/>
  <c r="AA32" i="66"/>
  <c r="AC32" i="66" s="1"/>
  <c r="AP32" i="66" s="1"/>
  <c r="Z32" i="66"/>
  <c r="AB32" i="66" s="1"/>
  <c r="AO32" i="66" s="1"/>
  <c r="Z16" i="73"/>
  <c r="AB16" i="73" s="1"/>
  <c r="AO16" i="73" s="1"/>
  <c r="AA16" i="73"/>
  <c r="AC16" i="73" s="1"/>
  <c r="AP16" i="73" s="1"/>
  <c r="Z15" i="73"/>
  <c r="AB15" i="73" s="1"/>
  <c r="AO15" i="73" s="1"/>
  <c r="AA15" i="73"/>
  <c r="AC15" i="73" s="1"/>
  <c r="AP15" i="73" s="1"/>
  <c r="AA7" i="73"/>
  <c r="AC7" i="73" s="1"/>
  <c r="AP7" i="73" s="1"/>
  <c r="Z7" i="73"/>
  <c r="AB7" i="73" s="1"/>
  <c r="AO7" i="73" s="1"/>
  <c r="Z20" i="73"/>
  <c r="AB20" i="73" s="1"/>
  <c r="AO20" i="73" s="1"/>
  <c r="AA20" i="73"/>
  <c r="AC20" i="73" s="1"/>
  <c r="AP20" i="73" s="1"/>
  <c r="Z8" i="16"/>
  <c r="AB8" i="16" s="1"/>
  <c r="AO8" i="16" s="1"/>
  <c r="AA8" i="16"/>
  <c r="AC8" i="16" s="1"/>
  <c r="AP8" i="16" s="1"/>
  <c r="AA21" i="16"/>
  <c r="AC21" i="16" s="1"/>
  <c r="AP21" i="16" s="1"/>
  <c r="Z21" i="16"/>
  <c r="AB21" i="16" s="1"/>
  <c r="AO21" i="16" s="1"/>
  <c r="AA12" i="16"/>
  <c r="AC12" i="16" s="1"/>
  <c r="AP12" i="16" s="1"/>
  <c r="Z12" i="16"/>
  <c r="AB12" i="16" s="1"/>
  <c r="AO12" i="16" s="1"/>
  <c r="Z27" i="57"/>
  <c r="AB27" i="57" s="1"/>
  <c r="AO27" i="57" s="1"/>
  <c r="AA27" i="57"/>
  <c r="AC27" i="57" s="1"/>
  <c r="AP27" i="57" s="1"/>
  <c r="AA23" i="57"/>
  <c r="AC23" i="57" s="1"/>
  <c r="AP23" i="57" s="1"/>
  <c r="Z23" i="57"/>
  <c r="AB23" i="57" s="1"/>
  <c r="AO23" i="57" s="1"/>
  <c r="AA15" i="57"/>
  <c r="AC15" i="57" s="1"/>
  <c r="AP15" i="57" s="1"/>
  <c r="Z15" i="57"/>
  <c r="AB15" i="57" s="1"/>
  <c r="AO15" i="57" s="1"/>
  <c r="AA11" i="57"/>
  <c r="AC11" i="57" s="1"/>
  <c r="AP11" i="57" s="1"/>
  <c r="Z11" i="57"/>
  <c r="AB11" i="57" s="1"/>
  <c r="AO11" i="57" s="1"/>
  <c r="Z42" i="57"/>
  <c r="AB42" i="57" s="1"/>
  <c r="AO42" i="57" s="1"/>
  <c r="AA42" i="57"/>
  <c r="AC42" i="57" s="1"/>
  <c r="AP42" i="57" s="1"/>
  <c r="AA41" i="57"/>
  <c r="AC41" i="57" s="1"/>
  <c r="AP41" i="57" s="1"/>
  <c r="Z41" i="57"/>
  <c r="AB41" i="57" s="1"/>
  <c r="AO41" i="57" s="1"/>
  <c r="Z24" i="23"/>
  <c r="AB24" i="23" s="1"/>
  <c r="AO24" i="23" s="1"/>
  <c r="AA24" i="23"/>
  <c r="AC24" i="23" s="1"/>
  <c r="AP24" i="23" s="1"/>
  <c r="AA460" i="15"/>
  <c r="AC460" i="15" s="1"/>
  <c r="AP460" i="15" s="1"/>
  <c r="Z460" i="15"/>
  <c r="AB460" i="15" s="1"/>
  <c r="AO460" i="15" s="1"/>
  <c r="AA20" i="13"/>
  <c r="AC20" i="13" s="1"/>
  <c r="AP20" i="13" s="1"/>
  <c r="Z20" i="13"/>
  <c r="AB20" i="13" s="1"/>
  <c r="AO20" i="13" s="1"/>
  <c r="Z18" i="13"/>
  <c r="AB18" i="13" s="1"/>
  <c r="AO18" i="13" s="1"/>
  <c r="AA18" i="13"/>
  <c r="AC18" i="13" s="1"/>
  <c r="AP18" i="13" s="1"/>
  <c r="Z22" i="13"/>
  <c r="AB22" i="13" s="1"/>
  <c r="AO22" i="13" s="1"/>
  <c r="AA22" i="13"/>
  <c r="AC22" i="13" s="1"/>
  <c r="AP22" i="13" s="1"/>
  <c r="AA6" i="40"/>
  <c r="AC6" i="40" s="1"/>
  <c r="AP6" i="40" s="1"/>
  <c r="Z6" i="40"/>
  <c r="AB6" i="40" s="1"/>
  <c r="AO6" i="40" s="1"/>
  <c r="AA9" i="40"/>
  <c r="AC9" i="40" s="1"/>
  <c r="AP9" i="40" s="1"/>
  <c r="Z9" i="40"/>
  <c r="AB9" i="40" s="1"/>
  <c r="AO9" i="40" s="1"/>
  <c r="AA19" i="40"/>
  <c r="AC19" i="40" s="1"/>
  <c r="Z19" i="40"/>
  <c r="AB19" i="40" s="1"/>
  <c r="AO19" i="40" s="1"/>
  <c r="Z16" i="51"/>
  <c r="AB16" i="51" s="1"/>
  <c r="AO16" i="51" s="1"/>
  <c r="AA16" i="51"/>
  <c r="AC16" i="51" s="1"/>
  <c r="AP16" i="51" s="1"/>
  <c r="AA13" i="51"/>
  <c r="AC13" i="51" s="1"/>
  <c r="AP13" i="51" s="1"/>
  <c r="Z13" i="51"/>
  <c r="AB13" i="51" s="1"/>
  <c r="AO13" i="51" s="1"/>
  <c r="AA19" i="51"/>
  <c r="AC19" i="51" s="1"/>
  <c r="AP19" i="51" s="1"/>
  <c r="Z19" i="51"/>
  <c r="AB19" i="51" s="1"/>
  <c r="AO19" i="51" s="1"/>
  <c r="AA41" i="29"/>
  <c r="AC41" i="29" s="1"/>
  <c r="AP41" i="29" s="1"/>
  <c r="Z41" i="29"/>
  <c r="AB41" i="29" s="1"/>
  <c r="AO41" i="29" s="1"/>
  <c r="AA33" i="29"/>
  <c r="AC33" i="29" s="1"/>
  <c r="AP33" i="29" s="1"/>
  <c r="Z33" i="29"/>
  <c r="AB33" i="29" s="1"/>
  <c r="AO33" i="29" s="1"/>
  <c r="AA17" i="29"/>
  <c r="AC17" i="29" s="1"/>
  <c r="AP17" i="29" s="1"/>
  <c r="Z17" i="29"/>
  <c r="AB17" i="29" s="1"/>
  <c r="AO17" i="29" s="1"/>
  <c r="AA77" i="29"/>
  <c r="AC77" i="29" s="1"/>
  <c r="AP77" i="29" s="1"/>
  <c r="Z77" i="29"/>
  <c r="AB77" i="29" s="1"/>
  <c r="AO77" i="29" s="1"/>
  <c r="Z44" i="29"/>
  <c r="AB44" i="29" s="1"/>
  <c r="AO44" i="29" s="1"/>
  <c r="AA44" i="29"/>
  <c r="AC44" i="29" s="1"/>
  <c r="AP44" i="29" s="1"/>
  <c r="Z76" i="29"/>
  <c r="AB76" i="29" s="1"/>
  <c r="AO76" i="29" s="1"/>
  <c r="AA76" i="29"/>
  <c r="AC76" i="29" s="1"/>
  <c r="AP76" i="29" s="1"/>
  <c r="AA27" i="29"/>
  <c r="AC27" i="29" s="1"/>
  <c r="AP27" i="29" s="1"/>
  <c r="Z27" i="29"/>
  <c r="AB27" i="29" s="1"/>
  <c r="AO27" i="29" s="1"/>
  <c r="AA43" i="29"/>
  <c r="AC43" i="29" s="1"/>
  <c r="AP43" i="29" s="1"/>
  <c r="Z43" i="29"/>
  <c r="AB43" i="29" s="1"/>
  <c r="AO43" i="29" s="1"/>
  <c r="AA75" i="29"/>
  <c r="AC75" i="29" s="1"/>
  <c r="AP75" i="29" s="1"/>
  <c r="Z75" i="29"/>
  <c r="AB75" i="29" s="1"/>
  <c r="AO75" i="29" s="1"/>
  <c r="AA12" i="29"/>
  <c r="AC12" i="29" s="1"/>
  <c r="AP12" i="29" s="1"/>
  <c r="Z12" i="29"/>
  <c r="AB12" i="29" s="1"/>
  <c r="AO12" i="29" s="1"/>
  <c r="AA46" i="29"/>
  <c r="AC46" i="29" s="1"/>
  <c r="AP46" i="29" s="1"/>
  <c r="Z46" i="29"/>
  <c r="AB46" i="29" s="1"/>
  <c r="AO46" i="29" s="1"/>
  <c r="AA62" i="29"/>
  <c r="AC62" i="29" s="1"/>
  <c r="AP62" i="29" s="1"/>
  <c r="Z62" i="29"/>
  <c r="AB62" i="29" s="1"/>
  <c r="AO62" i="29" s="1"/>
  <c r="AA78" i="29"/>
  <c r="AC78" i="29" s="1"/>
  <c r="AP78" i="29" s="1"/>
  <c r="Z78" i="29"/>
  <c r="AB78" i="29" s="1"/>
  <c r="AO78" i="29" s="1"/>
  <c r="Z5" i="22"/>
  <c r="AB5" i="22" s="1"/>
  <c r="AA5" i="22"/>
  <c r="AC5" i="22" s="1"/>
  <c r="AA48" i="22"/>
  <c r="AC48" i="22" s="1"/>
  <c r="AP48" i="22" s="1"/>
  <c r="Z48" i="22"/>
  <c r="AB48" i="22" s="1"/>
  <c r="AO48" i="22" s="1"/>
  <c r="Z12" i="22"/>
  <c r="AB12" i="22" s="1"/>
  <c r="AO12" i="22" s="1"/>
  <c r="AA12" i="22"/>
  <c r="AC12" i="22" s="1"/>
  <c r="AP12" i="22" s="1"/>
  <c r="AA30" i="22"/>
  <c r="AC30" i="22" s="1"/>
  <c r="AP30" i="22" s="1"/>
  <c r="Z30" i="22"/>
  <c r="AB30" i="22" s="1"/>
  <c r="AO30" i="22" s="1"/>
  <c r="AA55" i="22"/>
  <c r="AC55" i="22" s="1"/>
  <c r="Z55" i="22"/>
  <c r="AB55" i="22" s="1"/>
  <c r="AO55" i="22" s="1"/>
  <c r="AA25" i="22"/>
  <c r="AC25" i="22" s="1"/>
  <c r="AP25" i="22" s="1"/>
  <c r="Z25" i="22"/>
  <c r="AB25" i="22" s="1"/>
  <c r="AO25" i="22" s="1"/>
  <c r="AA41" i="22"/>
  <c r="AC41" i="22" s="1"/>
  <c r="AP41" i="22" s="1"/>
  <c r="Z41" i="22"/>
  <c r="AB41" i="22" s="1"/>
  <c r="AO41" i="22" s="1"/>
  <c r="AA66" i="22"/>
  <c r="AC66" i="22" s="1"/>
  <c r="Z66" i="22"/>
  <c r="AB66" i="22" s="1"/>
  <c r="AO66" i="22" s="1"/>
  <c r="AA468" i="15"/>
  <c r="AC468" i="15" s="1"/>
  <c r="AP468" i="15" s="1"/>
  <c r="Z468" i="15"/>
  <c r="AB468" i="15" s="1"/>
  <c r="AO468" i="15" s="1"/>
  <c r="AA212" i="15"/>
  <c r="AC212" i="15" s="1"/>
  <c r="AP212" i="15" s="1"/>
  <c r="Z212" i="15"/>
  <c r="AB212" i="15" s="1"/>
  <c r="AO212" i="15" s="1"/>
  <c r="Z31" i="15"/>
  <c r="AB31" i="15" s="1"/>
  <c r="AO31" i="15" s="1"/>
  <c r="AA31" i="15"/>
  <c r="AC31" i="15" s="1"/>
  <c r="AP31" i="15" s="1"/>
  <c r="Z70" i="15"/>
  <c r="AB70" i="15" s="1"/>
  <c r="AO70" i="15" s="1"/>
  <c r="AA70" i="15"/>
  <c r="AC70" i="15" s="1"/>
  <c r="AP70" i="15" s="1"/>
  <c r="Z134" i="15"/>
  <c r="AB134" i="15" s="1"/>
  <c r="AO134" i="15" s="1"/>
  <c r="AA134" i="15"/>
  <c r="AC134" i="15" s="1"/>
  <c r="AP134" i="15" s="1"/>
  <c r="Z235" i="15"/>
  <c r="AB235" i="15" s="1"/>
  <c r="AO235" i="15" s="1"/>
  <c r="AA235" i="15"/>
  <c r="AC235" i="15" s="1"/>
  <c r="AP235" i="15" s="1"/>
  <c r="Z315" i="15"/>
  <c r="AB315" i="15" s="1"/>
  <c r="AO315" i="15" s="1"/>
  <c r="AA315" i="15"/>
  <c r="AC315" i="15" s="1"/>
  <c r="AP315" i="15" s="1"/>
  <c r="Z435" i="15"/>
  <c r="AB435" i="15" s="1"/>
  <c r="AO435" i="15" s="1"/>
  <c r="AA435" i="15"/>
  <c r="AC435" i="15" s="1"/>
  <c r="AP435" i="15" s="1"/>
  <c r="Z507" i="15"/>
  <c r="AB507" i="15" s="1"/>
  <c r="AO507" i="15" s="1"/>
  <c r="AA507" i="15"/>
  <c r="AC507" i="15" s="1"/>
  <c r="AP507" i="15" s="1"/>
  <c r="AA16" i="15"/>
  <c r="AC16" i="15" s="1"/>
  <c r="AP16" i="15" s="1"/>
  <c r="Z16" i="15"/>
  <c r="AB16" i="15" s="1"/>
  <c r="AO16" i="15" s="1"/>
  <c r="AA58" i="15"/>
  <c r="AC58" i="15" s="1"/>
  <c r="AP58" i="15" s="1"/>
  <c r="Z58" i="15"/>
  <c r="AB58" i="15" s="1"/>
  <c r="AO58" i="15" s="1"/>
  <c r="AA84" i="15"/>
  <c r="AC84" i="15" s="1"/>
  <c r="AP84" i="15" s="1"/>
  <c r="Z84" i="15"/>
  <c r="AB84" i="15" s="1"/>
  <c r="AO84" i="15" s="1"/>
  <c r="AA122" i="15"/>
  <c r="AC122" i="15" s="1"/>
  <c r="AP122" i="15" s="1"/>
  <c r="Z122" i="15"/>
  <c r="AB122" i="15" s="1"/>
  <c r="AO122" i="15" s="1"/>
  <c r="Z167" i="15"/>
  <c r="AB167" i="15" s="1"/>
  <c r="AO167" i="15" s="1"/>
  <c r="AA167" i="15"/>
  <c r="AC167" i="15" s="1"/>
  <c r="AA224" i="15"/>
  <c r="AC224" i="15" s="1"/>
  <c r="AP224" i="15" s="1"/>
  <c r="Z224" i="15"/>
  <c r="AB224" i="15" s="1"/>
  <c r="AO224" i="15" s="1"/>
  <c r="AA288" i="15"/>
  <c r="AC288" i="15" s="1"/>
  <c r="AP288" i="15" s="1"/>
  <c r="Z288" i="15"/>
  <c r="AB288" i="15" s="1"/>
  <c r="AO288" i="15" s="1"/>
  <c r="AA352" i="15"/>
  <c r="AC352" i="15" s="1"/>
  <c r="AP352" i="15" s="1"/>
  <c r="Z352" i="15"/>
  <c r="AB352" i="15" s="1"/>
  <c r="AO352" i="15" s="1"/>
  <c r="AA416" i="15"/>
  <c r="AC416" i="15" s="1"/>
  <c r="AP416" i="15" s="1"/>
  <c r="Z416" i="15"/>
  <c r="AB416" i="15" s="1"/>
  <c r="AO416" i="15" s="1"/>
  <c r="AA480" i="15"/>
  <c r="AC480" i="15" s="1"/>
  <c r="AP480" i="15" s="1"/>
  <c r="Z480" i="15"/>
  <c r="AB480" i="15" s="1"/>
  <c r="AO480" i="15" s="1"/>
  <c r="AA512" i="15"/>
  <c r="AC512" i="15" s="1"/>
  <c r="AP512" i="15" s="1"/>
  <c r="Z512" i="15"/>
  <c r="AB512" i="15" s="1"/>
  <c r="AO512" i="15" s="1"/>
  <c r="Z54" i="15"/>
  <c r="AB54" i="15" s="1"/>
  <c r="AO54" i="15" s="1"/>
  <c r="AA54" i="15"/>
  <c r="AC54" i="15" s="1"/>
  <c r="AP54" i="15" s="1"/>
  <c r="Z150" i="15"/>
  <c r="AB150" i="15" s="1"/>
  <c r="AO150" i="15" s="1"/>
  <c r="AA150" i="15"/>
  <c r="AC150" i="15" s="1"/>
  <c r="AP150" i="15" s="1"/>
  <c r="Z283" i="15"/>
  <c r="AB283" i="15" s="1"/>
  <c r="AO283" i="15" s="1"/>
  <c r="AA283" i="15"/>
  <c r="AC283" i="15" s="1"/>
  <c r="AP283" i="15" s="1"/>
  <c r="Z371" i="15"/>
  <c r="AB371" i="15" s="1"/>
  <c r="AO371" i="15" s="1"/>
  <c r="AA371" i="15"/>
  <c r="AC371" i="15" s="1"/>
  <c r="AP371" i="15" s="1"/>
  <c r="Z491" i="15"/>
  <c r="AB491" i="15" s="1"/>
  <c r="AO491" i="15" s="1"/>
  <c r="AA491" i="15"/>
  <c r="AC491" i="15" s="1"/>
  <c r="AP491" i="15" s="1"/>
  <c r="Z30" i="15"/>
  <c r="AB30" i="15" s="1"/>
  <c r="AO30" i="15" s="1"/>
  <c r="AA30" i="15"/>
  <c r="AC30" i="15" s="1"/>
  <c r="AP30" i="15" s="1"/>
  <c r="Z75" i="15"/>
  <c r="AB75" i="15" s="1"/>
  <c r="AO75" i="15" s="1"/>
  <c r="AA75" i="15"/>
  <c r="AC75" i="15" s="1"/>
  <c r="AP75" i="15" s="1"/>
  <c r="AA120" i="15"/>
  <c r="AC120" i="15" s="1"/>
  <c r="AP120" i="15" s="1"/>
  <c r="Z120" i="15"/>
  <c r="AB120" i="15" s="1"/>
  <c r="AO120" i="15" s="1"/>
  <c r="Z158" i="15"/>
  <c r="AB158" i="15" s="1"/>
  <c r="AO158" i="15" s="1"/>
  <c r="AA158" i="15"/>
  <c r="AC158" i="15" s="1"/>
  <c r="AP158" i="15" s="1"/>
  <c r="Z215" i="15"/>
  <c r="AB215" i="15" s="1"/>
  <c r="AO215" i="15" s="1"/>
  <c r="AA215" i="15"/>
  <c r="AC215" i="15" s="1"/>
  <c r="AP215" i="15" s="1"/>
  <c r="Z279" i="15"/>
  <c r="AB279" i="15" s="1"/>
  <c r="AO279" i="15" s="1"/>
  <c r="AA279" i="15"/>
  <c r="AC279" i="15" s="1"/>
  <c r="AP279" i="15" s="1"/>
  <c r="Z343" i="15"/>
  <c r="AB343" i="15" s="1"/>
  <c r="AO343" i="15" s="1"/>
  <c r="AA343" i="15"/>
  <c r="AC343" i="15" s="1"/>
  <c r="AP343" i="15" s="1"/>
  <c r="Z375" i="15"/>
  <c r="AB375" i="15" s="1"/>
  <c r="AO375" i="15" s="1"/>
  <c r="AA375" i="15"/>
  <c r="AC375" i="15" s="1"/>
  <c r="AP375" i="15" s="1"/>
  <c r="Z439" i="15"/>
  <c r="AB439" i="15" s="1"/>
  <c r="AO439" i="15" s="1"/>
  <c r="AA439" i="15"/>
  <c r="AC439" i="15" s="1"/>
  <c r="AP439" i="15" s="1"/>
  <c r="Z503" i="15"/>
  <c r="AB503" i="15" s="1"/>
  <c r="AO503" i="15" s="1"/>
  <c r="AA503" i="15"/>
  <c r="AC503" i="15" s="1"/>
  <c r="AP503" i="15" s="1"/>
  <c r="AA198" i="15"/>
  <c r="AC198" i="15" s="1"/>
  <c r="Z198" i="15"/>
  <c r="AB198" i="15" s="1"/>
  <c r="AO198" i="15" s="1"/>
  <c r="AA230" i="15"/>
  <c r="AC230" i="15" s="1"/>
  <c r="AP230" i="15" s="1"/>
  <c r="Z230" i="15"/>
  <c r="AB230" i="15" s="1"/>
  <c r="AO230" i="15" s="1"/>
  <c r="Z262" i="15"/>
  <c r="AB262" i="15" s="1"/>
  <c r="AO262" i="15" s="1"/>
  <c r="AA262" i="15"/>
  <c r="AC262" i="15" s="1"/>
  <c r="AP262" i="15" s="1"/>
  <c r="AA294" i="15"/>
  <c r="AC294" i="15" s="1"/>
  <c r="AP294" i="15" s="1"/>
  <c r="Z294" i="15"/>
  <c r="AB294" i="15" s="1"/>
  <c r="AO294" i="15" s="1"/>
  <c r="AA326" i="15"/>
  <c r="AC326" i="15" s="1"/>
  <c r="AP326" i="15" s="1"/>
  <c r="Z326" i="15"/>
  <c r="AB326" i="15" s="1"/>
  <c r="AO326" i="15" s="1"/>
  <c r="AA358" i="15"/>
  <c r="AC358" i="15" s="1"/>
  <c r="AP358" i="15" s="1"/>
  <c r="Z358" i="15"/>
  <c r="AB358" i="15" s="1"/>
  <c r="AO358" i="15" s="1"/>
  <c r="Z374" i="15"/>
  <c r="AB374" i="15" s="1"/>
  <c r="AO374" i="15" s="1"/>
  <c r="AA374" i="15"/>
  <c r="AC374" i="15" s="1"/>
  <c r="AP374" i="15" s="1"/>
  <c r="Z406" i="15"/>
  <c r="AB406" i="15" s="1"/>
  <c r="AO406" i="15" s="1"/>
  <c r="AA406" i="15"/>
  <c r="AC406" i="15" s="1"/>
  <c r="AP406" i="15" s="1"/>
  <c r="AA438" i="15"/>
  <c r="AC438" i="15" s="1"/>
  <c r="AP438" i="15" s="1"/>
  <c r="Z438" i="15"/>
  <c r="AB438" i="15" s="1"/>
  <c r="AO438" i="15" s="1"/>
  <c r="Z470" i="15"/>
  <c r="AB470" i="15" s="1"/>
  <c r="AO470" i="15" s="1"/>
  <c r="AA470" i="15"/>
  <c r="AC470" i="15" s="1"/>
  <c r="AP470" i="15" s="1"/>
  <c r="Z502" i="15"/>
  <c r="AB502" i="15" s="1"/>
  <c r="AO502" i="15" s="1"/>
  <c r="AA502" i="15"/>
  <c r="AC502" i="15" s="1"/>
  <c r="AP502" i="15" s="1"/>
  <c r="AA25" i="15"/>
  <c r="AC25" i="15" s="1"/>
  <c r="AP25" i="15" s="1"/>
  <c r="Z25" i="15"/>
  <c r="AB25" i="15" s="1"/>
  <c r="AO25" i="15" s="1"/>
  <c r="AA41" i="15"/>
  <c r="AC41" i="15" s="1"/>
  <c r="AP41" i="15" s="1"/>
  <c r="Z41" i="15"/>
  <c r="AB41" i="15" s="1"/>
  <c r="AO41" i="15" s="1"/>
  <c r="AA73" i="15"/>
  <c r="AC73" i="15" s="1"/>
  <c r="AP73" i="15" s="1"/>
  <c r="Z73" i="15"/>
  <c r="AB73" i="15" s="1"/>
  <c r="AO73" i="15" s="1"/>
  <c r="AA105" i="15"/>
  <c r="AC105" i="15" s="1"/>
  <c r="AP105" i="15" s="1"/>
  <c r="Z105" i="15"/>
  <c r="AB105" i="15" s="1"/>
  <c r="AO105" i="15" s="1"/>
  <c r="AA137" i="15"/>
  <c r="AC137" i="15" s="1"/>
  <c r="AP137" i="15" s="1"/>
  <c r="Z137" i="15"/>
  <c r="AB137" i="15" s="1"/>
  <c r="AO137" i="15" s="1"/>
  <c r="AA153" i="15"/>
  <c r="AC153" i="15" s="1"/>
  <c r="Z153" i="15"/>
  <c r="AB153" i="15" s="1"/>
  <c r="AO153" i="15" s="1"/>
  <c r="AA169" i="15"/>
  <c r="AC169" i="15" s="1"/>
  <c r="AP169" i="15" s="1"/>
  <c r="Z169" i="15"/>
  <c r="AB169" i="15" s="1"/>
  <c r="AO169" i="15" s="1"/>
  <c r="AA201" i="15"/>
  <c r="AC201" i="15" s="1"/>
  <c r="Z201" i="15"/>
  <c r="AB201" i="15" s="1"/>
  <c r="AO201" i="15" s="1"/>
  <c r="AA233" i="15"/>
  <c r="AC233" i="15" s="1"/>
  <c r="AP233" i="15" s="1"/>
  <c r="Z233" i="15"/>
  <c r="AB233" i="15" s="1"/>
  <c r="AO233" i="15" s="1"/>
  <c r="AA265" i="15"/>
  <c r="AC265" i="15" s="1"/>
  <c r="AP265" i="15" s="1"/>
  <c r="Z265" i="15"/>
  <c r="AB265" i="15" s="1"/>
  <c r="AO265" i="15" s="1"/>
  <c r="AA281" i="15"/>
  <c r="AC281" i="15" s="1"/>
  <c r="AP281" i="15" s="1"/>
  <c r="Z281" i="15"/>
  <c r="AB281" i="15" s="1"/>
  <c r="AO281" i="15" s="1"/>
  <c r="AA313" i="15"/>
  <c r="AC313" i="15" s="1"/>
  <c r="AP313" i="15" s="1"/>
  <c r="Z313" i="15"/>
  <c r="AB313" i="15" s="1"/>
  <c r="AO313" i="15" s="1"/>
  <c r="AA345" i="15"/>
  <c r="AC345" i="15" s="1"/>
  <c r="AP345" i="15" s="1"/>
  <c r="Z345" i="15"/>
  <c r="AB345" i="15" s="1"/>
  <c r="AO345" i="15" s="1"/>
  <c r="AA361" i="15"/>
  <c r="AC361" i="15" s="1"/>
  <c r="AP361" i="15" s="1"/>
  <c r="Z361" i="15"/>
  <c r="AB361" i="15" s="1"/>
  <c r="AO361" i="15" s="1"/>
  <c r="AA393" i="15"/>
  <c r="AC393" i="15" s="1"/>
  <c r="AP393" i="15" s="1"/>
  <c r="Z393" i="15"/>
  <c r="AB393" i="15" s="1"/>
  <c r="AO393" i="15" s="1"/>
  <c r="AA425" i="15"/>
  <c r="AC425" i="15" s="1"/>
  <c r="AP425" i="15" s="1"/>
  <c r="Z425" i="15"/>
  <c r="AB425" i="15" s="1"/>
  <c r="AO425" i="15" s="1"/>
  <c r="AA457" i="15"/>
  <c r="AC457" i="15" s="1"/>
  <c r="AP457" i="15" s="1"/>
  <c r="Z457" i="15"/>
  <c r="AB457" i="15" s="1"/>
  <c r="AO457" i="15" s="1"/>
  <c r="AA489" i="15"/>
  <c r="AC489" i="15" s="1"/>
  <c r="AP489" i="15" s="1"/>
  <c r="Z489" i="15"/>
  <c r="AB489" i="15" s="1"/>
  <c r="AO489" i="15" s="1"/>
  <c r="AA10" i="64"/>
  <c r="AC10" i="64" s="1"/>
  <c r="AP10" i="64" s="1"/>
  <c r="Z10" i="64"/>
  <c r="AB10" i="64" s="1"/>
  <c r="AO10" i="64" s="1"/>
  <c r="Z23" i="64"/>
  <c r="AB23" i="64" s="1"/>
  <c r="AO23" i="64" s="1"/>
  <c r="AA23" i="64"/>
  <c r="AC23" i="64" s="1"/>
  <c r="AP23" i="64" s="1"/>
  <c r="Z10" i="60"/>
  <c r="AB10" i="60" s="1"/>
  <c r="AO10" i="60" s="1"/>
  <c r="AA10" i="60"/>
  <c r="AC10" i="60" s="1"/>
  <c r="AP10" i="60" s="1"/>
  <c r="Z47" i="46"/>
  <c r="AB47" i="46" s="1"/>
  <c r="AO47" i="46" s="1"/>
  <c r="AA47" i="46"/>
  <c r="AC47" i="46" s="1"/>
  <c r="AP47" i="46" s="1"/>
  <c r="Z63" i="46"/>
  <c r="AB63" i="46" s="1"/>
  <c r="AO63" i="46" s="1"/>
  <c r="AA63" i="46"/>
  <c r="AC63" i="46" s="1"/>
  <c r="AP63" i="46" s="1"/>
  <c r="Z79" i="46"/>
  <c r="AB79" i="46" s="1"/>
  <c r="AO79" i="46" s="1"/>
  <c r="AA79" i="46"/>
  <c r="AC79" i="46" s="1"/>
  <c r="AP79" i="46" s="1"/>
  <c r="AA30" i="46"/>
  <c r="AC30" i="46" s="1"/>
  <c r="AP30" i="46" s="1"/>
  <c r="Z30" i="46"/>
  <c r="AB30" i="46" s="1"/>
  <c r="AO30" i="46" s="1"/>
  <c r="AA62" i="46"/>
  <c r="AC62" i="46" s="1"/>
  <c r="AP62" i="46" s="1"/>
  <c r="Z62" i="46"/>
  <c r="AB62" i="46" s="1"/>
  <c r="AO62" i="46" s="1"/>
  <c r="AA78" i="46"/>
  <c r="AC78" i="46" s="1"/>
  <c r="AP78" i="46" s="1"/>
  <c r="Z78" i="46"/>
  <c r="AB78" i="46" s="1"/>
  <c r="AO78" i="46" s="1"/>
  <c r="AA33" i="46"/>
  <c r="AC33" i="46" s="1"/>
  <c r="AP33" i="46" s="1"/>
  <c r="Z33" i="46"/>
  <c r="AB33" i="46" s="1"/>
  <c r="AO33" i="46" s="1"/>
  <c r="AA65" i="46"/>
  <c r="AC65" i="46" s="1"/>
  <c r="AP65" i="46" s="1"/>
  <c r="Z65" i="46"/>
  <c r="AB65" i="46" s="1"/>
  <c r="AO65" i="46" s="1"/>
  <c r="AA6" i="6"/>
  <c r="AC6" i="6" s="1"/>
  <c r="AP6" i="6" s="1"/>
  <c r="Z6" i="6"/>
  <c r="AB6" i="6" s="1"/>
  <c r="AO6" i="6" s="1"/>
  <c r="Z18" i="6"/>
  <c r="AB18" i="6" s="1"/>
  <c r="AO18" i="6" s="1"/>
  <c r="AA18" i="6"/>
  <c r="AC18" i="6" s="1"/>
  <c r="AP18" i="6" s="1"/>
  <c r="Z22" i="6"/>
  <c r="AB22" i="6" s="1"/>
  <c r="AO22" i="6" s="1"/>
  <c r="AA22" i="6"/>
  <c r="AC22" i="6" s="1"/>
  <c r="AP22" i="6" s="1"/>
  <c r="AA11" i="20"/>
  <c r="AC11" i="20" s="1"/>
  <c r="AP11" i="20" s="1"/>
  <c r="Z11" i="20"/>
  <c r="AB11" i="20" s="1"/>
  <c r="AO11" i="20" s="1"/>
  <c r="AA46" i="20"/>
  <c r="AC46" i="20" s="1"/>
  <c r="AP46" i="20" s="1"/>
  <c r="Z46" i="20"/>
  <c r="AB46" i="20" s="1"/>
  <c r="AO46" i="20" s="1"/>
  <c r="AA78" i="20"/>
  <c r="AC78" i="20" s="1"/>
  <c r="AP78" i="20" s="1"/>
  <c r="Z78" i="20"/>
  <c r="AB78" i="20" s="1"/>
  <c r="AO78" i="20" s="1"/>
  <c r="AA7" i="20"/>
  <c r="AC7" i="20" s="1"/>
  <c r="AP7" i="20" s="1"/>
  <c r="Z7" i="20"/>
  <c r="AB7" i="20" s="1"/>
  <c r="AO7" i="20" s="1"/>
  <c r="Z6" i="20"/>
  <c r="AB6" i="20" s="1"/>
  <c r="AO6" i="20" s="1"/>
  <c r="AA6" i="20"/>
  <c r="AC6" i="20" s="1"/>
  <c r="AP6" i="20" s="1"/>
  <c r="AA40" i="20"/>
  <c r="AC40" i="20" s="1"/>
  <c r="AP40" i="20" s="1"/>
  <c r="Z40" i="20"/>
  <c r="AB40" i="20" s="1"/>
  <c r="AO40" i="20" s="1"/>
  <c r="AA72" i="20"/>
  <c r="AC72" i="20" s="1"/>
  <c r="AP72" i="20" s="1"/>
  <c r="Z72" i="20"/>
  <c r="AB72" i="20" s="1"/>
  <c r="AO72" i="20" s="1"/>
  <c r="AA21" i="20"/>
  <c r="AC21" i="20" s="1"/>
  <c r="AP21" i="20" s="1"/>
  <c r="Z21" i="20"/>
  <c r="AB21" i="20" s="1"/>
  <c r="AO21" i="20" s="1"/>
  <c r="AA51" i="20"/>
  <c r="AC51" i="20" s="1"/>
  <c r="AP51" i="20" s="1"/>
  <c r="Z51" i="20"/>
  <c r="AB51" i="20" s="1"/>
  <c r="AO51" i="20" s="1"/>
  <c r="AA33" i="47"/>
  <c r="AC33" i="47" s="1"/>
  <c r="AP33" i="47" s="1"/>
  <c r="Z33" i="47"/>
  <c r="AB33" i="47" s="1"/>
  <c r="AO33" i="47" s="1"/>
  <c r="Z6" i="47"/>
  <c r="AB6" i="47" s="1"/>
  <c r="AO6" i="47" s="1"/>
  <c r="AA6" i="47"/>
  <c r="AC6" i="47" s="1"/>
  <c r="AP6" i="47" s="1"/>
  <c r="Z40" i="47"/>
  <c r="AB40" i="47" s="1"/>
  <c r="AO40" i="47" s="1"/>
  <c r="AA40" i="47"/>
  <c r="AC40" i="47" s="1"/>
  <c r="AP40" i="47" s="1"/>
  <c r="AA8" i="47"/>
  <c r="AC8" i="47" s="1"/>
  <c r="Z8" i="47"/>
  <c r="AB8" i="47" s="1"/>
  <c r="AO8" i="47" s="1"/>
  <c r="AA35" i="47"/>
  <c r="AC35" i="47" s="1"/>
  <c r="AP35" i="47" s="1"/>
  <c r="Z35" i="47"/>
  <c r="AB35" i="47" s="1"/>
  <c r="AO35" i="47" s="1"/>
  <c r="AA67" i="47"/>
  <c r="AC67" i="47" s="1"/>
  <c r="AP67" i="47" s="1"/>
  <c r="Z67" i="47"/>
  <c r="AB67" i="47" s="1"/>
  <c r="AO67" i="47" s="1"/>
  <c r="AA34" i="47"/>
  <c r="AC34" i="47" s="1"/>
  <c r="AP34" i="47" s="1"/>
  <c r="Z34" i="47"/>
  <c r="AB34" i="47" s="1"/>
  <c r="AO34" i="47" s="1"/>
  <c r="AA66" i="47"/>
  <c r="AC66" i="47" s="1"/>
  <c r="AP66" i="47" s="1"/>
  <c r="Z66" i="47"/>
  <c r="AB66" i="47" s="1"/>
  <c r="AO66" i="47" s="1"/>
  <c r="Z24" i="30"/>
  <c r="AB24" i="30" s="1"/>
  <c r="AO24" i="30" s="1"/>
  <c r="AA24" i="30"/>
  <c r="AC24" i="30" s="1"/>
  <c r="AP24" i="30" s="1"/>
  <c r="AA13" i="30"/>
  <c r="AC13" i="30" s="1"/>
  <c r="AP13" i="30" s="1"/>
  <c r="Z13" i="30"/>
  <c r="AB13" i="30" s="1"/>
  <c r="AO13" i="30" s="1"/>
  <c r="AA22" i="30"/>
  <c r="AC22" i="30" s="1"/>
  <c r="AP22" i="30" s="1"/>
  <c r="Z22" i="30"/>
  <c r="AB22" i="30" s="1"/>
  <c r="AO22" i="30" s="1"/>
  <c r="AA452" i="15"/>
  <c r="AC452" i="15" s="1"/>
  <c r="AP452" i="15" s="1"/>
  <c r="Z452" i="15"/>
  <c r="AB452" i="15" s="1"/>
  <c r="AO452" i="15" s="1"/>
  <c r="Z63" i="15"/>
  <c r="AB63" i="15" s="1"/>
  <c r="AO63" i="15" s="1"/>
  <c r="AA63" i="15"/>
  <c r="AC63" i="15" s="1"/>
  <c r="AP63" i="15" s="1"/>
  <c r="AA123" i="32"/>
  <c r="AC123" i="32" s="1"/>
  <c r="AP123" i="32" s="1"/>
  <c r="Z123" i="32"/>
  <c r="AB123" i="32" s="1"/>
  <c r="AO123" i="32" s="1"/>
  <c r="AA155" i="32"/>
  <c r="AC155" i="32" s="1"/>
  <c r="AP155" i="32" s="1"/>
  <c r="Z155" i="32"/>
  <c r="AB155" i="32" s="1"/>
  <c r="AO155" i="32" s="1"/>
  <c r="Z11" i="32"/>
  <c r="AB11" i="32" s="1"/>
  <c r="AO11" i="32" s="1"/>
  <c r="AA11" i="32"/>
  <c r="AC11" i="32" s="1"/>
  <c r="AP11" i="32" s="1"/>
  <c r="Z73" i="32"/>
  <c r="AB73" i="32" s="1"/>
  <c r="AO73" i="32" s="1"/>
  <c r="AA73" i="32"/>
  <c r="AC73" i="32" s="1"/>
  <c r="AP73" i="32" s="1"/>
  <c r="Z134" i="32"/>
  <c r="AB134" i="32" s="1"/>
  <c r="AO134" i="32" s="1"/>
  <c r="AA134" i="32"/>
  <c r="AC134" i="32" s="1"/>
  <c r="AP134" i="32" s="1"/>
  <c r="Z26" i="32"/>
  <c r="AB26" i="32" s="1"/>
  <c r="AO26" i="32" s="1"/>
  <c r="AA26" i="32"/>
  <c r="AC26" i="32" s="1"/>
  <c r="AP26" i="32" s="1"/>
  <c r="AA71" i="32"/>
  <c r="AC71" i="32" s="1"/>
  <c r="AP71" i="32" s="1"/>
  <c r="Z71" i="32"/>
  <c r="AB71" i="32" s="1"/>
  <c r="AO71" i="32" s="1"/>
  <c r="Z98" i="32"/>
  <c r="AB98" i="32" s="1"/>
  <c r="AO98" i="32" s="1"/>
  <c r="AA98" i="32"/>
  <c r="AC98" i="32" s="1"/>
  <c r="AP98" i="32" s="1"/>
  <c r="Z162" i="32"/>
  <c r="AB162" i="32" s="1"/>
  <c r="AO162" i="32" s="1"/>
  <c r="AA162" i="32"/>
  <c r="AC162" i="32" s="1"/>
  <c r="Z30" i="32"/>
  <c r="AB30" i="32" s="1"/>
  <c r="AO30" i="32" s="1"/>
  <c r="AA30" i="32"/>
  <c r="AC30" i="32" s="1"/>
  <c r="AP30" i="32" s="1"/>
  <c r="AA49" i="32"/>
  <c r="AC49" i="32" s="1"/>
  <c r="AP49" i="32" s="1"/>
  <c r="Z49" i="32"/>
  <c r="AB49" i="32" s="1"/>
  <c r="AO49" i="32" s="1"/>
  <c r="AA111" i="32"/>
  <c r="AC111" i="32" s="1"/>
  <c r="AP111" i="32" s="1"/>
  <c r="Z111" i="32"/>
  <c r="AB111" i="32" s="1"/>
  <c r="AO111" i="32" s="1"/>
  <c r="AA143" i="32"/>
  <c r="AC143" i="32" s="1"/>
  <c r="AP143" i="32" s="1"/>
  <c r="Z143" i="32"/>
  <c r="AB143" i="32" s="1"/>
  <c r="AO143" i="32" s="1"/>
  <c r="AA93" i="32"/>
  <c r="AC93" i="32" s="1"/>
  <c r="AP93" i="32" s="1"/>
  <c r="Z93" i="32"/>
  <c r="AB93" i="32" s="1"/>
  <c r="AO93" i="32" s="1"/>
  <c r="AA109" i="32"/>
  <c r="AC109" i="32" s="1"/>
  <c r="AP109" i="32" s="1"/>
  <c r="Z109" i="32"/>
  <c r="AB109" i="32" s="1"/>
  <c r="AO109" i="32" s="1"/>
  <c r="AA141" i="32"/>
  <c r="AC141" i="32" s="1"/>
  <c r="Z141" i="32"/>
  <c r="AB141" i="32" s="1"/>
  <c r="AO141" i="32" s="1"/>
  <c r="Z5" i="32"/>
  <c r="AB5" i="32" s="1"/>
  <c r="AA5" i="32"/>
  <c r="AC5" i="32" s="1"/>
  <c r="Z36" i="32"/>
  <c r="AB36" i="32" s="1"/>
  <c r="AO36" i="32" s="1"/>
  <c r="AA36" i="32"/>
  <c r="AC36" i="32" s="1"/>
  <c r="AP36" i="32" s="1"/>
  <c r="AA52" i="32"/>
  <c r="AC52" i="32" s="1"/>
  <c r="AP52" i="32" s="1"/>
  <c r="Z52" i="32"/>
  <c r="AB52" i="32" s="1"/>
  <c r="AO52" i="32" s="1"/>
  <c r="AA84" i="32"/>
  <c r="AC84" i="32" s="1"/>
  <c r="AP84" i="32" s="1"/>
  <c r="Z84" i="32"/>
  <c r="AB84" i="32" s="1"/>
  <c r="AO84" i="32" s="1"/>
  <c r="AA116" i="32"/>
  <c r="AC116" i="32" s="1"/>
  <c r="AP116" i="32" s="1"/>
  <c r="Z116" i="32"/>
  <c r="AB116" i="32" s="1"/>
  <c r="AO116" i="32" s="1"/>
  <c r="AA132" i="32"/>
  <c r="AC132" i="32" s="1"/>
  <c r="AP132" i="32" s="1"/>
  <c r="Z132" i="32"/>
  <c r="AB132" i="32" s="1"/>
  <c r="AO132" i="32" s="1"/>
  <c r="AA164" i="32"/>
  <c r="AC164" i="32" s="1"/>
  <c r="AP164" i="32" s="1"/>
  <c r="Z164" i="32"/>
  <c r="AB164" i="32" s="1"/>
  <c r="AO164" i="32" s="1"/>
  <c r="I7" i="67"/>
  <c r="I20" i="67"/>
  <c r="Z11" i="39"/>
  <c r="AB11" i="39" s="1"/>
  <c r="AO11" i="39" s="1"/>
  <c r="AA11" i="39"/>
  <c r="AC11" i="39" s="1"/>
  <c r="AP11" i="39" s="1"/>
  <c r="Z12" i="39"/>
  <c r="AB12" i="39" s="1"/>
  <c r="AO12" i="39" s="1"/>
  <c r="AA12" i="39"/>
  <c r="AC12" i="39" s="1"/>
  <c r="AP12" i="39" s="1"/>
  <c r="AA43" i="39"/>
  <c r="AC43" i="39" s="1"/>
  <c r="AP43" i="39" s="1"/>
  <c r="Z43" i="39"/>
  <c r="AB43" i="39" s="1"/>
  <c r="AO43" i="39" s="1"/>
  <c r="Z42" i="39"/>
  <c r="AB42" i="39" s="1"/>
  <c r="AO42" i="39" s="1"/>
  <c r="AA42" i="39"/>
  <c r="AC42" i="39" s="1"/>
  <c r="AP42" i="39" s="1"/>
  <c r="AA39" i="39"/>
  <c r="AC39" i="39" s="1"/>
  <c r="AP39" i="39" s="1"/>
  <c r="Z39" i="39"/>
  <c r="AB39" i="39" s="1"/>
  <c r="AO39" i="39" s="1"/>
  <c r="AA17" i="39"/>
  <c r="AC17" i="39" s="1"/>
  <c r="AP17" i="39" s="1"/>
  <c r="Z17" i="39"/>
  <c r="AB17" i="39" s="1"/>
  <c r="AO17" i="39" s="1"/>
  <c r="AA23" i="39"/>
  <c r="AC23" i="39" s="1"/>
  <c r="AP23" i="39" s="1"/>
  <c r="Z23" i="39"/>
  <c r="AB23" i="39" s="1"/>
  <c r="AO23" i="39" s="1"/>
  <c r="AA10" i="34"/>
  <c r="AC10" i="34" s="1"/>
  <c r="AP10" i="34" s="1"/>
  <c r="Z10" i="34"/>
  <c r="AB10" i="34" s="1"/>
  <c r="AO10" i="34" s="1"/>
  <c r="AA11" i="34"/>
  <c r="AC11" i="34" s="1"/>
  <c r="AP11" i="34" s="1"/>
  <c r="Z11" i="34"/>
  <c r="AB11" i="34" s="1"/>
  <c r="AO11" i="34" s="1"/>
  <c r="Z6" i="3"/>
  <c r="AB6" i="3" s="1"/>
  <c r="AO6" i="3" s="1"/>
  <c r="AA6" i="3"/>
  <c r="AC6" i="3" s="1"/>
  <c r="AP6" i="3" s="1"/>
  <c r="AA14" i="3"/>
  <c r="AC14" i="3" s="1"/>
  <c r="AP14" i="3" s="1"/>
  <c r="Z14" i="3"/>
  <c r="AB14" i="3" s="1"/>
  <c r="AO14" i="3" s="1"/>
  <c r="Z23" i="3"/>
  <c r="AB23" i="3" s="1"/>
  <c r="AO23" i="3" s="1"/>
  <c r="AA23" i="3"/>
  <c r="AC23" i="3" s="1"/>
  <c r="AP23" i="3" s="1"/>
  <c r="Z19" i="3"/>
  <c r="AB19" i="3" s="1"/>
  <c r="AO19" i="3" s="1"/>
  <c r="AA19" i="3"/>
  <c r="AC19" i="3" s="1"/>
  <c r="AP19" i="3" s="1"/>
  <c r="AA14" i="37"/>
  <c r="AC14" i="37" s="1"/>
  <c r="AP14" i="37" s="1"/>
  <c r="Z14" i="37"/>
  <c r="AB14" i="37" s="1"/>
  <c r="AO14" i="37" s="1"/>
  <c r="AA13" i="37"/>
  <c r="AC13" i="37" s="1"/>
  <c r="AP13" i="37" s="1"/>
  <c r="Z13" i="37"/>
  <c r="AB13" i="37" s="1"/>
  <c r="AO13" i="37" s="1"/>
  <c r="AA9" i="37"/>
  <c r="AC9" i="37" s="1"/>
  <c r="AP9" i="37" s="1"/>
  <c r="Z9" i="37"/>
  <c r="AB9" i="37" s="1"/>
  <c r="AO9" i="37" s="1"/>
  <c r="AA6" i="37"/>
  <c r="AC6" i="37" s="1"/>
  <c r="AP6" i="37" s="1"/>
  <c r="Z6" i="37"/>
  <c r="AB6" i="37" s="1"/>
  <c r="AO6" i="37" s="1"/>
  <c r="AA24" i="37"/>
  <c r="AC24" i="37" s="1"/>
  <c r="AP24" i="37" s="1"/>
  <c r="Z24" i="37"/>
  <c r="AB24" i="37" s="1"/>
  <c r="AO24" i="37" s="1"/>
  <c r="AA6" i="52"/>
  <c r="AC6" i="52" s="1"/>
  <c r="AP6" i="52" s="1"/>
  <c r="Z6" i="52"/>
  <c r="AB6" i="52" s="1"/>
  <c r="AO6" i="52" s="1"/>
  <c r="Z7" i="52"/>
  <c r="AB7" i="52" s="1"/>
  <c r="AO7" i="52" s="1"/>
  <c r="AA7" i="52"/>
  <c r="AC7" i="52" s="1"/>
  <c r="AP7" i="52" s="1"/>
  <c r="Z24" i="52"/>
  <c r="AB24" i="52" s="1"/>
  <c r="AO24" i="52" s="1"/>
  <c r="AA24" i="52"/>
  <c r="AC24" i="52" s="1"/>
  <c r="AP24" i="52" s="1"/>
  <c r="AA20" i="52"/>
  <c r="AC20" i="52" s="1"/>
  <c r="AP20" i="52" s="1"/>
  <c r="Z20" i="52"/>
  <c r="AB20" i="52" s="1"/>
  <c r="AO20" i="52" s="1"/>
  <c r="AA21" i="52"/>
  <c r="AC21" i="52" s="1"/>
  <c r="AP21" i="52" s="1"/>
  <c r="Z21" i="52"/>
  <c r="AB21" i="52" s="1"/>
  <c r="AO21" i="52" s="1"/>
  <c r="Z14" i="74"/>
  <c r="AB14" i="74" s="1"/>
  <c r="AO14" i="74" s="1"/>
  <c r="AA14" i="74"/>
  <c r="AC14" i="74" s="1"/>
  <c r="AP14" i="74" s="1"/>
  <c r="AA10" i="74"/>
  <c r="AC10" i="74" s="1"/>
  <c r="AP10" i="74" s="1"/>
  <c r="Z10" i="74"/>
  <c r="AB10" i="74" s="1"/>
  <c r="AO10" i="74" s="1"/>
  <c r="AA21" i="19"/>
  <c r="AC21" i="19" s="1"/>
  <c r="AP21" i="19" s="1"/>
  <c r="Z21" i="19"/>
  <c r="AB21" i="19" s="1"/>
  <c r="AO21" i="19" s="1"/>
  <c r="AA9" i="19"/>
  <c r="AC9" i="19" s="1"/>
  <c r="AP9" i="19" s="1"/>
  <c r="Z9" i="19"/>
  <c r="AB9" i="19" s="1"/>
  <c r="AO9" i="19" s="1"/>
  <c r="Z201" i="65"/>
  <c r="AB201" i="65" s="1"/>
  <c r="AO201" i="65" s="1"/>
  <c r="AC201" i="65"/>
  <c r="AP201" i="65" s="1"/>
  <c r="AC192" i="65"/>
  <c r="AP192" i="65" s="1"/>
  <c r="Z192" i="65"/>
  <c r="AB192" i="65" s="1"/>
  <c r="AO192" i="65" s="1"/>
  <c r="AC224" i="65"/>
  <c r="AP224" i="65" s="1"/>
  <c r="Z224" i="65"/>
  <c r="AB224" i="65" s="1"/>
  <c r="AO224" i="65" s="1"/>
  <c r="Z193" i="65"/>
  <c r="AB193" i="65" s="1"/>
  <c r="AO193" i="65" s="1"/>
  <c r="AC193" i="65"/>
  <c r="AP193" i="65" s="1"/>
  <c r="AC199" i="65"/>
  <c r="AP199" i="65" s="1"/>
  <c r="Z199" i="65"/>
  <c r="AB199" i="65" s="1"/>
  <c r="AO199" i="65" s="1"/>
  <c r="AC231" i="65"/>
  <c r="Z231" i="65"/>
  <c r="AB231" i="65" s="1"/>
  <c r="AO231" i="65" s="1"/>
  <c r="AA12" i="28"/>
  <c r="AC12" i="28" s="1"/>
  <c r="AP12" i="28" s="1"/>
  <c r="Z12" i="28"/>
  <c r="AB12" i="28" s="1"/>
  <c r="AO12" i="28" s="1"/>
  <c r="AA42" i="28"/>
  <c r="AC42" i="28" s="1"/>
  <c r="AP42" i="28" s="1"/>
  <c r="Z42" i="28"/>
  <c r="AB42" i="28" s="1"/>
  <c r="AO42" i="28" s="1"/>
  <c r="AA23" i="28"/>
  <c r="AC23" i="28" s="1"/>
  <c r="AP23" i="28" s="1"/>
  <c r="Z23" i="28"/>
  <c r="AB23" i="28" s="1"/>
  <c r="AO23" i="28" s="1"/>
  <c r="Z36" i="28"/>
  <c r="AB36" i="28" s="1"/>
  <c r="AO36" i="28" s="1"/>
  <c r="AA36" i="28"/>
  <c r="AC36" i="28" s="1"/>
  <c r="AP36" i="28" s="1"/>
  <c r="AA5" i="28"/>
  <c r="AC5" i="28" s="1"/>
  <c r="Z5" i="28"/>
  <c r="AB5" i="28" s="1"/>
  <c r="AA18" i="70"/>
  <c r="AC18" i="70" s="1"/>
  <c r="AP18" i="70" s="1"/>
  <c r="Z18" i="70"/>
  <c r="AB18" i="70" s="1"/>
  <c r="AO18" i="70" s="1"/>
  <c r="AA7" i="38"/>
  <c r="AC7" i="38" s="1"/>
  <c r="AP7" i="38" s="1"/>
  <c r="Z7" i="38"/>
  <c r="AB7" i="38" s="1"/>
  <c r="AO7" i="38" s="1"/>
  <c r="AA6" i="38"/>
  <c r="AC6" i="38" s="1"/>
  <c r="AP6" i="38" s="1"/>
  <c r="Z6" i="38"/>
  <c r="AB6" i="38" s="1"/>
  <c r="AO6" i="38" s="1"/>
  <c r="AA14" i="38"/>
  <c r="AC14" i="38" s="1"/>
  <c r="AP14" i="38" s="1"/>
  <c r="Z14" i="38"/>
  <c r="AB14" i="38" s="1"/>
  <c r="AO14" i="38" s="1"/>
  <c r="AA11" i="24"/>
  <c r="AC11" i="24" s="1"/>
  <c r="AP11" i="24" s="1"/>
  <c r="Z11" i="24"/>
  <c r="AB11" i="24" s="1"/>
  <c r="AO11" i="24" s="1"/>
  <c r="Z10" i="24"/>
  <c r="AB10" i="24" s="1"/>
  <c r="AO10" i="24" s="1"/>
  <c r="AA10" i="24"/>
  <c r="AC10" i="24" s="1"/>
  <c r="AP10" i="24" s="1"/>
  <c r="Z24" i="24"/>
  <c r="AB24" i="24" s="1"/>
  <c r="AO24" i="24" s="1"/>
  <c r="AA24" i="24"/>
  <c r="AC24" i="24" s="1"/>
  <c r="AP24" i="24" s="1"/>
  <c r="AA13" i="24"/>
  <c r="AC13" i="24" s="1"/>
  <c r="AP13" i="24" s="1"/>
  <c r="Z13" i="24"/>
  <c r="AB13" i="24" s="1"/>
  <c r="AO13" i="24" s="1"/>
  <c r="AA19" i="59"/>
  <c r="AC19" i="59" s="1"/>
  <c r="AP19" i="59" s="1"/>
  <c r="Z19" i="59"/>
  <c r="AB19" i="59" s="1"/>
  <c r="AO19" i="59" s="1"/>
  <c r="Z14" i="59"/>
  <c r="AB14" i="59" s="1"/>
  <c r="AO14" i="59" s="1"/>
  <c r="AA14" i="59"/>
  <c r="AC14" i="59" s="1"/>
  <c r="AP14" i="59" s="1"/>
  <c r="Z13" i="59"/>
  <c r="AB13" i="59" s="1"/>
  <c r="AO13" i="59" s="1"/>
  <c r="AA13" i="59"/>
  <c r="AC13" i="59" s="1"/>
  <c r="AP13" i="59" s="1"/>
  <c r="AA5" i="59"/>
  <c r="AC5" i="59" s="1"/>
  <c r="Z5" i="59"/>
  <c r="AB5" i="59" s="1"/>
  <c r="Z21" i="59"/>
  <c r="AB21" i="59" s="1"/>
  <c r="AO21" i="59" s="1"/>
  <c r="AA21" i="59"/>
  <c r="AC21" i="59" s="1"/>
  <c r="AP21" i="59" s="1"/>
  <c r="AA18" i="59"/>
  <c r="AC18" i="59" s="1"/>
  <c r="AP18" i="59" s="1"/>
  <c r="Z18" i="59"/>
  <c r="AB18" i="59" s="1"/>
  <c r="AO18" i="59" s="1"/>
  <c r="Z11" i="58"/>
  <c r="AB11" i="58" s="1"/>
  <c r="AO11" i="58" s="1"/>
  <c r="AA11" i="58"/>
  <c r="AC11" i="58" s="1"/>
  <c r="AP11" i="58" s="1"/>
  <c r="AA10" i="58"/>
  <c r="AC10" i="58" s="1"/>
  <c r="AP10" i="58" s="1"/>
  <c r="Z10" i="58"/>
  <c r="AB10" i="58" s="1"/>
  <c r="AO10" i="58" s="1"/>
  <c r="AA24" i="69"/>
  <c r="AC24" i="69" s="1"/>
  <c r="AP24" i="69" s="1"/>
  <c r="Z24" i="69"/>
  <c r="AB24" i="69" s="1"/>
  <c r="AO24" i="69" s="1"/>
  <c r="Z22" i="69"/>
  <c r="AB22" i="69" s="1"/>
  <c r="AO22" i="69" s="1"/>
  <c r="AA22" i="69"/>
  <c r="AC22" i="69" s="1"/>
  <c r="AP22" i="69" s="1"/>
  <c r="AA16" i="69"/>
  <c r="AC16" i="69" s="1"/>
  <c r="AP16" i="69" s="1"/>
  <c r="Z16" i="69"/>
  <c r="AB16" i="69" s="1"/>
  <c r="AO16" i="69" s="1"/>
  <c r="AA12" i="69"/>
  <c r="AC12" i="69" s="1"/>
  <c r="AP12" i="69" s="1"/>
  <c r="Z12" i="69"/>
  <c r="AB12" i="69" s="1"/>
  <c r="AO12" i="69" s="1"/>
  <c r="AA10" i="69"/>
  <c r="AC10" i="69" s="1"/>
  <c r="AP10" i="69" s="1"/>
  <c r="Z10" i="69"/>
  <c r="AB10" i="69" s="1"/>
  <c r="AO10" i="69" s="1"/>
  <c r="AA29" i="69"/>
  <c r="AC29" i="69" s="1"/>
  <c r="AP29" i="69" s="1"/>
  <c r="Z29" i="69"/>
  <c r="AB29" i="69" s="1"/>
  <c r="AO29" i="69" s="1"/>
  <c r="AA61" i="69"/>
  <c r="AC61" i="69" s="1"/>
  <c r="AP61" i="69" s="1"/>
  <c r="Z61" i="69"/>
  <c r="AB61" i="69" s="1"/>
  <c r="AO61" i="69" s="1"/>
  <c r="AA20" i="56"/>
  <c r="AC20" i="56" s="1"/>
  <c r="AP20" i="56" s="1"/>
  <c r="Z20" i="56"/>
  <c r="AB20" i="56" s="1"/>
  <c r="AO20" i="56" s="1"/>
  <c r="Z17" i="56"/>
  <c r="AB17" i="56" s="1"/>
  <c r="AO17" i="56" s="1"/>
  <c r="AA17" i="56"/>
  <c r="AC17" i="56" s="1"/>
  <c r="AP17" i="56" s="1"/>
  <c r="Z22" i="56"/>
  <c r="AB22" i="56" s="1"/>
  <c r="AO22" i="56" s="1"/>
  <c r="AA22" i="56"/>
  <c r="AC22" i="56" s="1"/>
  <c r="AP22" i="56" s="1"/>
  <c r="AA5" i="41"/>
  <c r="AC5" i="41" s="1"/>
  <c r="Z5" i="41"/>
  <c r="AB5" i="41" s="1"/>
  <c r="Z7" i="41"/>
  <c r="AB7" i="41" s="1"/>
  <c r="AO7" i="41" s="1"/>
  <c r="AA7" i="41"/>
  <c r="AC7" i="41" s="1"/>
  <c r="AP7" i="41" s="1"/>
  <c r="Z16" i="41"/>
  <c r="AB16" i="41" s="1"/>
  <c r="AO16" i="41" s="1"/>
  <c r="AA16" i="41"/>
  <c r="AC16" i="41" s="1"/>
  <c r="AP16" i="41" s="1"/>
  <c r="Z13" i="26"/>
  <c r="AB13" i="26" s="1"/>
  <c r="AO13" i="26" s="1"/>
  <c r="AA13" i="26"/>
  <c r="AC13" i="26" s="1"/>
  <c r="AP13" i="26" s="1"/>
  <c r="Z8" i="26"/>
  <c r="AB8" i="26" s="1"/>
  <c r="AO8" i="26" s="1"/>
  <c r="AA8" i="26"/>
  <c r="AC8" i="26" s="1"/>
  <c r="AP8" i="26" s="1"/>
  <c r="Z11" i="26"/>
  <c r="AB11" i="26" s="1"/>
  <c r="AO11" i="26" s="1"/>
  <c r="AA11" i="26"/>
  <c r="AC11" i="26" s="1"/>
  <c r="AP11" i="26" s="1"/>
  <c r="AA9" i="26"/>
  <c r="AC9" i="26" s="1"/>
  <c r="AP9" i="26" s="1"/>
  <c r="Z9" i="26"/>
  <c r="AB9" i="26" s="1"/>
  <c r="AO9" i="26" s="1"/>
  <c r="Z19" i="49"/>
  <c r="AB19" i="49" s="1"/>
  <c r="AO19" i="49" s="1"/>
  <c r="AA19" i="49"/>
  <c r="AC19" i="49" s="1"/>
  <c r="AP19" i="49" s="1"/>
  <c r="AA5" i="49"/>
  <c r="AC5" i="49" s="1"/>
  <c r="Z5" i="49"/>
  <c r="AB5" i="49" s="1"/>
  <c r="AA22" i="49"/>
  <c r="AC22" i="49" s="1"/>
  <c r="AP22" i="49" s="1"/>
  <c r="Z22" i="49"/>
  <c r="AB22" i="49" s="1"/>
  <c r="AO22" i="49" s="1"/>
  <c r="AA18" i="49"/>
  <c r="AC18" i="49" s="1"/>
  <c r="AP18" i="49" s="1"/>
  <c r="Z18" i="49"/>
  <c r="AB18" i="49" s="1"/>
  <c r="AO18" i="49" s="1"/>
  <c r="AA23" i="49"/>
  <c r="AC23" i="49" s="1"/>
  <c r="AP23" i="49" s="1"/>
  <c r="Z23" i="49"/>
  <c r="AB23" i="49" s="1"/>
  <c r="AO23" i="49" s="1"/>
  <c r="Z24" i="45"/>
  <c r="AB24" i="45" s="1"/>
  <c r="AO24" i="45" s="1"/>
  <c r="AA24" i="45"/>
  <c r="AC24" i="45" s="1"/>
  <c r="AP24" i="45" s="1"/>
  <c r="Z6" i="45"/>
  <c r="AB6" i="45" s="1"/>
  <c r="AO6" i="45" s="1"/>
  <c r="AA6" i="45"/>
  <c r="AC6" i="45" s="1"/>
  <c r="AP6" i="45" s="1"/>
  <c r="AA5" i="45"/>
  <c r="AC5" i="45" s="1"/>
  <c r="Z5" i="45"/>
  <c r="AB5" i="45" s="1"/>
  <c r="AA11" i="45"/>
  <c r="AC11" i="45" s="1"/>
  <c r="AP11" i="45" s="1"/>
  <c r="Z11" i="45"/>
  <c r="AB11" i="45" s="1"/>
  <c r="AO11" i="45" s="1"/>
  <c r="AA17" i="21"/>
  <c r="AC17" i="21" s="1"/>
  <c r="AP17" i="21" s="1"/>
  <c r="Z17" i="21"/>
  <c r="AB17" i="21" s="1"/>
  <c r="AO17" i="21" s="1"/>
  <c r="Z16" i="21"/>
  <c r="AB16" i="21" s="1"/>
  <c r="AO16" i="21" s="1"/>
  <c r="AA16" i="21"/>
  <c r="AC16" i="21" s="1"/>
  <c r="AP16" i="21" s="1"/>
  <c r="AA14" i="21"/>
  <c r="AC14" i="21" s="1"/>
  <c r="AP14" i="21" s="1"/>
  <c r="Z14" i="21"/>
  <c r="AB14" i="21" s="1"/>
  <c r="AO14" i="21" s="1"/>
  <c r="AA7" i="21"/>
  <c r="AC7" i="21" s="1"/>
  <c r="AP7" i="21" s="1"/>
  <c r="Z7" i="21"/>
  <c r="AB7" i="21" s="1"/>
  <c r="AO7" i="21" s="1"/>
  <c r="AA20" i="21"/>
  <c r="AC20" i="21" s="1"/>
  <c r="Z20" i="21"/>
  <c r="AB20" i="21" s="1"/>
  <c r="AO20" i="21" s="1"/>
  <c r="Z19" i="54"/>
  <c r="AB19" i="54" s="1"/>
  <c r="AO19" i="54" s="1"/>
  <c r="AA19" i="54"/>
  <c r="AC19" i="54" s="1"/>
  <c r="AP19" i="54" s="1"/>
  <c r="AA16" i="54"/>
  <c r="AC16" i="54" s="1"/>
  <c r="AP16" i="54" s="1"/>
  <c r="Z16" i="54"/>
  <c r="AB16" i="54" s="1"/>
  <c r="AO16" i="54" s="1"/>
  <c r="Z22" i="54"/>
  <c r="AB22" i="54" s="1"/>
  <c r="AO22" i="54" s="1"/>
  <c r="AA22" i="54"/>
  <c r="AC22" i="54" s="1"/>
  <c r="AP22" i="54" s="1"/>
  <c r="Z10" i="54"/>
  <c r="AB10" i="54" s="1"/>
  <c r="AO10" i="54" s="1"/>
  <c r="AA10" i="54"/>
  <c r="AC10" i="54" s="1"/>
  <c r="AP10" i="54" s="1"/>
  <c r="Z12" i="72"/>
  <c r="AB12" i="72" s="1"/>
  <c r="AO12" i="72" s="1"/>
  <c r="AA12" i="72"/>
  <c r="AC12" i="72" s="1"/>
  <c r="AP12" i="72" s="1"/>
  <c r="AA14" i="72"/>
  <c r="AC14" i="72" s="1"/>
  <c r="AP14" i="72" s="1"/>
  <c r="Z14" i="72"/>
  <c r="AB14" i="72" s="1"/>
  <c r="AO14" i="72" s="1"/>
  <c r="AA21" i="72"/>
  <c r="AC21" i="72" s="1"/>
  <c r="AP21" i="72" s="1"/>
  <c r="Z21" i="72"/>
  <c r="AB21" i="72" s="1"/>
  <c r="AO21" i="72" s="1"/>
  <c r="Z10" i="72"/>
  <c r="AB10" i="72" s="1"/>
  <c r="AO10" i="72" s="1"/>
  <c r="AA10" i="72"/>
  <c r="AC10" i="72" s="1"/>
  <c r="AP10" i="72" s="1"/>
  <c r="AA15" i="72"/>
  <c r="AC15" i="72" s="1"/>
  <c r="AP15" i="72" s="1"/>
  <c r="Z15" i="72"/>
  <c r="AB15" i="72" s="1"/>
  <c r="AO15" i="72" s="1"/>
  <c r="Z12" i="55"/>
  <c r="AB12" i="55" s="1"/>
  <c r="AO12" i="55" s="1"/>
  <c r="AA12" i="55"/>
  <c r="AC12" i="55" s="1"/>
  <c r="AP12" i="55" s="1"/>
  <c r="AA13" i="55"/>
  <c r="AC13" i="55" s="1"/>
  <c r="AP13" i="55" s="1"/>
  <c r="Z13" i="55"/>
  <c r="AB13" i="55" s="1"/>
  <c r="AO13" i="55" s="1"/>
  <c r="AA14" i="55"/>
  <c r="AC14" i="55" s="1"/>
  <c r="AP14" i="55" s="1"/>
  <c r="Z14" i="55"/>
  <c r="AB14" i="55" s="1"/>
  <c r="AO14" i="55" s="1"/>
  <c r="AA15" i="55"/>
  <c r="AC15" i="55" s="1"/>
  <c r="AP15" i="55" s="1"/>
  <c r="Z15" i="55"/>
  <c r="AB15" i="55" s="1"/>
  <c r="AO15" i="55" s="1"/>
  <c r="I22" i="67"/>
  <c r="AA5" i="53"/>
  <c r="AC5" i="53" s="1"/>
  <c r="Z5" i="53"/>
  <c r="AB5" i="53" s="1"/>
  <c r="Z28" i="53"/>
  <c r="AB28" i="53" s="1"/>
  <c r="AO28" i="53" s="1"/>
  <c r="AA28" i="53"/>
  <c r="AC28" i="53" s="1"/>
  <c r="AP28" i="53" s="1"/>
  <c r="Z6" i="53"/>
  <c r="AB6" i="53" s="1"/>
  <c r="AO6" i="53" s="1"/>
  <c r="AA6" i="53"/>
  <c r="AC6" i="53" s="1"/>
  <c r="AP6" i="53" s="1"/>
  <c r="AA54" i="53"/>
  <c r="AC54" i="53" s="1"/>
  <c r="AP54" i="53" s="1"/>
  <c r="Z54" i="53"/>
  <c r="AB54" i="53" s="1"/>
  <c r="AO54" i="53" s="1"/>
  <c r="Z37" i="53"/>
  <c r="AB37" i="53" s="1"/>
  <c r="AO37" i="53" s="1"/>
  <c r="AA37" i="53"/>
  <c r="AC37" i="53" s="1"/>
  <c r="AP37" i="53" s="1"/>
  <c r="AA23" i="53"/>
  <c r="AC23" i="53" s="1"/>
  <c r="AP23" i="53" s="1"/>
  <c r="Z23" i="53"/>
  <c r="AB23" i="53" s="1"/>
  <c r="AO23" i="53" s="1"/>
  <c r="AA42" i="53"/>
  <c r="AC42" i="53" s="1"/>
  <c r="AP42" i="53" s="1"/>
  <c r="Z42" i="53"/>
  <c r="AB42" i="53" s="1"/>
  <c r="AO42" i="53" s="1"/>
  <c r="Z7" i="53"/>
  <c r="AB7" i="53" s="1"/>
  <c r="AO7" i="53" s="1"/>
  <c r="AA7" i="53"/>
  <c r="AC7" i="53" s="1"/>
  <c r="AP7" i="53" s="1"/>
  <c r="AA30" i="53"/>
  <c r="AC30" i="53" s="1"/>
  <c r="AP30" i="53" s="1"/>
  <c r="Z30" i="53"/>
  <c r="AB30" i="53" s="1"/>
  <c r="AO30" i="53" s="1"/>
  <c r="Z49" i="53"/>
  <c r="AB49" i="53" s="1"/>
  <c r="AO49" i="53" s="1"/>
  <c r="AA49" i="53"/>
  <c r="AC49" i="53" s="1"/>
  <c r="AP49" i="53" s="1"/>
  <c r="AA22" i="53"/>
  <c r="AC22" i="53" s="1"/>
  <c r="AP22" i="53" s="1"/>
  <c r="Z22" i="53"/>
  <c r="AB22" i="53" s="1"/>
  <c r="AO22" i="53" s="1"/>
  <c r="Z39" i="53"/>
  <c r="AB39" i="53" s="1"/>
  <c r="AO39" i="53" s="1"/>
  <c r="AA39" i="53"/>
  <c r="AC39" i="53" s="1"/>
  <c r="AP39" i="53" s="1"/>
  <c r="Z55" i="53"/>
  <c r="AB55" i="53" s="1"/>
  <c r="AO55" i="53" s="1"/>
  <c r="AA55" i="53"/>
  <c r="AC55" i="53" s="1"/>
  <c r="AP55" i="53" s="1"/>
  <c r="AA43" i="5"/>
  <c r="AC43" i="5" s="1"/>
  <c r="AP43" i="5" s="1"/>
  <c r="Z43" i="5"/>
  <c r="AB43" i="5" s="1"/>
  <c r="AO43" i="5" s="1"/>
  <c r="AA6" i="5"/>
  <c r="AC6" i="5" s="1"/>
  <c r="AP6" i="5" s="1"/>
  <c r="Z6" i="5"/>
  <c r="AB6" i="5" s="1"/>
  <c r="AO6" i="5" s="1"/>
  <c r="Z13" i="5"/>
  <c r="AB13" i="5" s="1"/>
  <c r="AO13" i="5" s="1"/>
  <c r="AA13" i="5"/>
  <c r="AC13" i="5" s="1"/>
  <c r="AP13" i="5" s="1"/>
  <c r="Z34" i="5"/>
  <c r="AB34" i="5" s="1"/>
  <c r="AO34" i="5" s="1"/>
  <c r="AA34" i="5"/>
  <c r="AC34" i="5" s="1"/>
  <c r="AP34" i="5" s="1"/>
  <c r="AA19" i="5"/>
  <c r="AC19" i="5" s="1"/>
  <c r="AP19" i="5" s="1"/>
  <c r="Z19" i="5"/>
  <c r="AB19" i="5" s="1"/>
  <c r="AO19" i="5" s="1"/>
  <c r="Z38" i="5"/>
  <c r="AB38" i="5" s="1"/>
  <c r="AO38" i="5" s="1"/>
  <c r="AA38" i="5"/>
  <c r="AC38" i="5" s="1"/>
  <c r="AP38" i="5" s="1"/>
  <c r="Z8" i="5"/>
  <c r="AB8" i="5" s="1"/>
  <c r="AO8" i="5" s="1"/>
  <c r="AA8" i="5"/>
  <c r="AC8" i="5" s="1"/>
  <c r="AP8" i="5" s="1"/>
  <c r="Z10" i="5"/>
  <c r="AB10" i="5" s="1"/>
  <c r="AO10" i="5" s="1"/>
  <c r="AA10" i="5"/>
  <c r="AC10" i="5" s="1"/>
  <c r="AP10" i="5" s="1"/>
  <c r="AA29" i="5"/>
  <c r="AC29" i="5" s="1"/>
  <c r="AP29" i="5" s="1"/>
  <c r="Z29" i="5"/>
  <c r="AB29" i="5" s="1"/>
  <c r="AO29" i="5" s="1"/>
  <c r="Z28" i="5"/>
  <c r="AB28" i="5" s="1"/>
  <c r="AO28" i="5" s="1"/>
  <c r="AA28" i="5"/>
  <c r="AC28" i="5" s="1"/>
  <c r="AP28" i="5" s="1"/>
  <c r="Z44" i="5"/>
  <c r="AB44" i="5" s="1"/>
  <c r="AO44" i="5" s="1"/>
  <c r="AA44" i="5"/>
  <c r="AC44" i="5" s="1"/>
  <c r="AP44" i="5" s="1"/>
  <c r="Z13" i="14"/>
  <c r="AB13" i="14" s="1"/>
  <c r="AO13" i="14" s="1"/>
  <c r="AA13" i="14"/>
  <c r="AC13" i="14" s="1"/>
  <c r="AP13" i="14" s="1"/>
  <c r="AA18" i="14"/>
  <c r="AC18" i="14" s="1"/>
  <c r="AP18" i="14" s="1"/>
  <c r="Z18" i="14"/>
  <c r="AB18" i="14" s="1"/>
  <c r="AO18" i="14" s="1"/>
  <c r="AA17" i="14"/>
  <c r="AC17" i="14" s="1"/>
  <c r="AP17" i="14" s="1"/>
  <c r="Z17" i="14"/>
  <c r="AB17" i="14" s="1"/>
  <c r="AO17" i="14" s="1"/>
  <c r="Z12" i="14"/>
  <c r="AB12" i="14" s="1"/>
  <c r="AO12" i="14" s="1"/>
  <c r="AA12" i="14"/>
  <c r="AC12" i="14" s="1"/>
  <c r="AP12" i="14" s="1"/>
  <c r="AA22" i="12"/>
  <c r="AC22" i="12" s="1"/>
  <c r="AP22" i="12" s="1"/>
  <c r="Z22" i="12"/>
  <c r="AB22" i="12" s="1"/>
  <c r="AO22" i="12" s="1"/>
  <c r="AA41" i="12"/>
  <c r="AC41" i="12" s="1"/>
  <c r="AP41" i="12" s="1"/>
  <c r="Z41" i="12"/>
  <c r="AB41" i="12" s="1"/>
  <c r="AO41" i="12" s="1"/>
  <c r="Z13" i="12"/>
  <c r="AB13" i="12" s="1"/>
  <c r="AO13" i="12" s="1"/>
  <c r="AA13" i="12"/>
  <c r="AC13" i="12" s="1"/>
  <c r="AP13" i="12" s="1"/>
  <c r="Z32" i="12"/>
  <c r="AB32" i="12" s="1"/>
  <c r="AO32" i="12" s="1"/>
  <c r="AA32" i="12"/>
  <c r="AC32" i="12" s="1"/>
  <c r="AP32" i="12" s="1"/>
  <c r="Z36" i="12"/>
  <c r="AB36" i="12" s="1"/>
  <c r="AO36" i="12" s="1"/>
  <c r="AA36" i="12"/>
  <c r="AC36" i="12" s="1"/>
  <c r="AP36" i="12" s="1"/>
  <c r="AA9" i="12"/>
  <c r="AC9" i="12" s="1"/>
  <c r="AP9" i="12" s="1"/>
  <c r="Z9" i="12"/>
  <c r="AB9" i="12" s="1"/>
  <c r="AO9" i="12" s="1"/>
  <c r="Z24" i="12"/>
  <c r="AB24" i="12" s="1"/>
  <c r="AO24" i="12" s="1"/>
  <c r="AA24" i="12"/>
  <c r="AC24" i="12" s="1"/>
  <c r="AP24" i="12" s="1"/>
  <c r="AA43" i="12"/>
  <c r="AC43" i="12" s="1"/>
  <c r="AP43" i="12" s="1"/>
  <c r="Z43" i="12"/>
  <c r="AB43" i="12" s="1"/>
  <c r="AO43" i="12" s="1"/>
  <c r="AA19" i="12"/>
  <c r="AC19" i="12" s="1"/>
  <c r="AP19" i="12" s="1"/>
  <c r="Z19" i="12"/>
  <c r="AB19" i="12" s="1"/>
  <c r="AO19" i="12" s="1"/>
  <c r="AA50" i="12"/>
  <c r="AC50" i="12" s="1"/>
  <c r="AP50" i="12" s="1"/>
  <c r="Z50" i="12"/>
  <c r="AB50" i="12" s="1"/>
  <c r="AO50" i="12" s="1"/>
  <c r="Z9" i="27"/>
  <c r="AB9" i="27" s="1"/>
  <c r="AO9" i="27" s="1"/>
  <c r="AA9" i="62"/>
  <c r="AC9" i="62" s="1"/>
  <c r="AP9" i="62" s="1"/>
  <c r="Z9" i="62"/>
  <c r="AB9" i="62" s="1"/>
  <c r="AO9" i="62" s="1"/>
  <c r="Z15" i="62"/>
  <c r="AB15" i="62" s="1"/>
  <c r="AO15" i="62" s="1"/>
  <c r="AA15" i="62"/>
  <c r="AC15" i="62" s="1"/>
  <c r="AP15" i="62" s="1"/>
  <c r="Z12" i="62"/>
  <c r="AB12" i="62" s="1"/>
  <c r="AO12" i="62" s="1"/>
  <c r="AA12" i="62"/>
  <c r="AC12" i="62" s="1"/>
  <c r="AP12" i="62" s="1"/>
  <c r="AA24" i="62"/>
  <c r="AC24" i="62" s="1"/>
  <c r="AP24" i="62" s="1"/>
  <c r="Z24" i="62"/>
  <c r="AB24" i="62" s="1"/>
  <c r="AO24" i="62" s="1"/>
  <c r="Q33" i="67"/>
  <c r="L30" i="2"/>
  <c r="AO5" i="62"/>
  <c r="Z23" i="50"/>
  <c r="AB23" i="50" s="1"/>
  <c r="AO23" i="50" s="1"/>
  <c r="AA23" i="50"/>
  <c r="AC23" i="50" s="1"/>
  <c r="AP23" i="50" s="1"/>
  <c r="Z9" i="42"/>
  <c r="AB9" i="42" s="1"/>
  <c r="AO9" i="42" s="1"/>
  <c r="AA9" i="42"/>
  <c r="AC9" i="42" s="1"/>
  <c r="AP9" i="42" s="1"/>
  <c r="AA14" i="42"/>
  <c r="AC14" i="42" s="1"/>
  <c r="AP14" i="42" s="1"/>
  <c r="Z14" i="42"/>
  <c r="AB14" i="42" s="1"/>
  <c r="AO14" i="42" s="1"/>
  <c r="Q16" i="67"/>
  <c r="L16" i="2"/>
  <c r="R64" i="67"/>
  <c r="O66" i="67"/>
  <c r="Z23" i="21"/>
  <c r="AB23" i="21" s="1"/>
  <c r="AO23" i="21" s="1"/>
  <c r="AA23" i="21"/>
  <c r="AC23" i="21" s="1"/>
  <c r="AP23" i="21" s="1"/>
  <c r="AA508" i="15"/>
  <c r="AC508" i="15" s="1"/>
  <c r="AP508" i="15" s="1"/>
  <c r="Z508" i="15"/>
  <c r="AB508" i="15" s="1"/>
  <c r="AO508" i="15" s="1"/>
  <c r="AA380" i="15"/>
  <c r="AC380" i="15" s="1"/>
  <c r="AP380" i="15" s="1"/>
  <c r="Z380" i="15"/>
  <c r="AB380" i="15" s="1"/>
  <c r="AO380" i="15" s="1"/>
  <c r="AA252" i="15"/>
  <c r="AC252" i="15" s="1"/>
  <c r="AP252" i="15" s="1"/>
  <c r="Z252" i="15"/>
  <c r="AB252" i="15" s="1"/>
  <c r="AO252" i="15" s="1"/>
  <c r="AA140" i="15"/>
  <c r="AC140" i="15" s="1"/>
  <c r="AP140" i="15" s="1"/>
  <c r="Z140" i="15"/>
  <c r="AB140" i="15" s="1"/>
  <c r="AO140" i="15" s="1"/>
  <c r="AA66" i="15"/>
  <c r="AC66" i="15" s="1"/>
  <c r="AP66" i="15" s="1"/>
  <c r="Z66" i="15"/>
  <c r="AB66" i="15" s="1"/>
  <c r="AO66" i="15" s="1"/>
  <c r="AC198" i="65"/>
  <c r="AP198" i="65" s="1"/>
  <c r="Z198" i="65"/>
  <c r="AB198" i="65" s="1"/>
  <c r="AO198" i="65" s="1"/>
  <c r="Z13" i="36"/>
  <c r="AB13" i="36" s="1"/>
  <c r="AO13" i="36" s="1"/>
  <c r="AA13" i="36"/>
  <c r="AC13" i="36" s="1"/>
  <c r="AP13" i="36" s="1"/>
  <c r="AA6" i="36"/>
  <c r="AC6" i="36" s="1"/>
  <c r="AP6" i="36" s="1"/>
  <c r="Z6" i="36"/>
  <c r="AB6" i="36" s="1"/>
  <c r="AO6" i="36" s="1"/>
  <c r="Z22" i="36"/>
  <c r="AB22" i="36" s="1"/>
  <c r="AO22" i="36" s="1"/>
  <c r="AA22" i="36"/>
  <c r="AC22" i="36" s="1"/>
  <c r="AP22" i="36" s="1"/>
  <c r="AA19" i="36"/>
  <c r="AC19" i="36" s="1"/>
  <c r="AP19" i="36" s="1"/>
  <c r="Z19" i="36"/>
  <c r="AB19" i="36" s="1"/>
  <c r="AO19" i="36" s="1"/>
  <c r="AA17" i="36"/>
  <c r="AC17" i="36" s="1"/>
  <c r="AP17" i="36" s="1"/>
  <c r="Z17" i="36"/>
  <c r="AB17" i="36" s="1"/>
  <c r="AO17" i="36" s="1"/>
  <c r="AA19" i="44"/>
  <c r="AC19" i="44" s="1"/>
  <c r="AP19" i="44" s="1"/>
  <c r="Z19" i="44"/>
  <c r="AB19" i="44" s="1"/>
  <c r="AO19" i="44" s="1"/>
  <c r="AA12" i="44"/>
  <c r="AC12" i="44" s="1"/>
  <c r="AP12" i="44" s="1"/>
  <c r="Z12" i="44"/>
  <c r="AB12" i="44" s="1"/>
  <c r="AO12" i="44" s="1"/>
  <c r="AA7" i="44"/>
  <c r="AC7" i="44" s="1"/>
  <c r="AP7" i="44" s="1"/>
  <c r="Z7" i="44"/>
  <c r="AB7" i="44" s="1"/>
  <c r="AO7" i="44" s="1"/>
  <c r="AA24" i="44"/>
  <c r="AC24" i="44" s="1"/>
  <c r="AP24" i="44" s="1"/>
  <c r="Z24" i="44"/>
  <c r="AB24" i="44" s="1"/>
  <c r="AO24" i="44" s="1"/>
  <c r="AA14" i="44"/>
  <c r="AC14" i="44" s="1"/>
  <c r="AP14" i="44" s="1"/>
  <c r="Z14" i="44"/>
  <c r="AB14" i="44" s="1"/>
  <c r="AO14" i="44" s="1"/>
  <c r="AA9" i="18"/>
  <c r="AC9" i="18" s="1"/>
  <c r="AP9" i="18" s="1"/>
  <c r="Z9" i="18"/>
  <c r="AB9" i="18" s="1"/>
  <c r="AO9" i="18" s="1"/>
  <c r="Z5" i="18"/>
  <c r="AB5" i="18" s="1"/>
  <c r="AA5" i="18"/>
  <c r="AC5" i="18" s="1"/>
  <c r="AA23" i="18"/>
  <c r="AC23" i="18" s="1"/>
  <c r="AP23" i="18" s="1"/>
  <c r="Z23" i="18"/>
  <c r="AB23" i="18" s="1"/>
  <c r="AO23" i="18" s="1"/>
  <c r="AA24" i="18"/>
  <c r="AC24" i="18" s="1"/>
  <c r="AP24" i="18" s="1"/>
  <c r="Z24" i="18"/>
  <c r="AB24" i="18" s="1"/>
  <c r="AO24" i="18" s="1"/>
  <c r="AA18" i="18"/>
  <c r="AC18" i="18" s="1"/>
  <c r="AP18" i="18" s="1"/>
  <c r="Z18" i="18"/>
  <c r="AB18" i="18" s="1"/>
  <c r="AO18" i="18" s="1"/>
  <c r="AA17" i="25"/>
  <c r="AC17" i="25" s="1"/>
  <c r="AP17" i="25" s="1"/>
  <c r="Z17" i="25"/>
  <c r="AB17" i="25" s="1"/>
  <c r="AO17" i="25" s="1"/>
  <c r="Z16" i="25"/>
  <c r="AB16" i="25" s="1"/>
  <c r="AO16" i="25" s="1"/>
  <c r="AA16" i="25"/>
  <c r="AC16" i="25" s="1"/>
  <c r="AP16" i="25" s="1"/>
  <c r="AA14" i="25"/>
  <c r="AC14" i="25" s="1"/>
  <c r="AP14" i="25" s="1"/>
  <c r="Z14" i="25"/>
  <c r="AB14" i="25" s="1"/>
  <c r="AO14" i="25" s="1"/>
  <c r="AA7" i="25"/>
  <c r="AC7" i="25" s="1"/>
  <c r="AP7" i="25" s="1"/>
  <c r="Z7" i="25"/>
  <c r="AB7" i="25" s="1"/>
  <c r="AO7" i="25" s="1"/>
  <c r="AA20" i="25"/>
  <c r="AC20" i="25" s="1"/>
  <c r="AP20" i="25" s="1"/>
  <c r="Z20" i="25"/>
  <c r="AB20" i="25" s="1"/>
  <c r="AO20" i="25" s="1"/>
  <c r="AA10" i="61"/>
  <c r="AC10" i="61" s="1"/>
  <c r="AP10" i="61" s="1"/>
  <c r="Z10" i="61"/>
  <c r="AB10" i="61" s="1"/>
  <c r="AO10" i="61" s="1"/>
  <c r="Z24" i="61"/>
  <c r="AB24" i="61" s="1"/>
  <c r="AO24" i="61" s="1"/>
  <c r="AA24" i="61"/>
  <c r="AC24" i="61" s="1"/>
  <c r="AP24" i="61" s="1"/>
  <c r="AA13" i="61"/>
  <c r="AC13" i="61" s="1"/>
  <c r="AP13" i="61" s="1"/>
  <c r="Z13" i="61"/>
  <c r="AB13" i="61" s="1"/>
  <c r="AO13" i="61" s="1"/>
  <c r="AA22" i="61"/>
  <c r="AC22" i="61" s="1"/>
  <c r="AP22" i="61" s="1"/>
  <c r="Z22" i="61"/>
  <c r="AB22" i="61" s="1"/>
  <c r="AO22" i="61" s="1"/>
  <c r="AA19" i="61"/>
  <c r="AC19" i="61" s="1"/>
  <c r="AP19" i="61" s="1"/>
  <c r="Z19" i="61"/>
  <c r="AB19" i="61" s="1"/>
  <c r="AO19" i="61" s="1"/>
  <c r="AA10" i="75"/>
  <c r="AC10" i="75" s="1"/>
  <c r="AP10" i="75" s="1"/>
  <c r="Z10" i="75"/>
  <c r="AB10" i="75" s="1"/>
  <c r="AO10" i="75" s="1"/>
  <c r="Z16" i="75"/>
  <c r="AB16" i="75" s="1"/>
  <c r="AO16" i="75" s="1"/>
  <c r="AA16" i="75"/>
  <c r="AC16" i="75" s="1"/>
  <c r="AP16" i="75" s="1"/>
  <c r="AA39" i="75"/>
  <c r="AC39" i="75" s="1"/>
  <c r="AP39" i="75" s="1"/>
  <c r="Z39" i="75"/>
  <c r="AB39" i="75" s="1"/>
  <c r="AO39" i="75" s="1"/>
  <c r="AA5" i="75"/>
  <c r="AC5" i="75" s="1"/>
  <c r="Z5" i="75"/>
  <c r="AB5" i="75" s="1"/>
  <c r="Z19" i="75"/>
  <c r="AB19" i="75" s="1"/>
  <c r="AO19" i="75" s="1"/>
  <c r="AA19" i="75"/>
  <c r="AC19" i="75" s="1"/>
  <c r="AP19" i="75" s="1"/>
  <c r="AA17" i="75"/>
  <c r="AC17" i="75" s="1"/>
  <c r="AP17" i="75" s="1"/>
  <c r="Z17" i="75"/>
  <c r="AB17" i="75" s="1"/>
  <c r="AO17" i="75" s="1"/>
  <c r="Z38" i="75"/>
  <c r="AB38" i="75" s="1"/>
  <c r="AO38" i="75" s="1"/>
  <c r="AA38" i="75"/>
  <c r="AC38" i="75" s="1"/>
  <c r="AP38" i="75" s="1"/>
  <c r="AA35" i="75"/>
  <c r="AC35" i="75" s="1"/>
  <c r="AP35" i="75" s="1"/>
  <c r="Z35" i="75"/>
  <c r="AB35" i="75" s="1"/>
  <c r="AO35" i="75" s="1"/>
  <c r="AA67" i="75"/>
  <c r="AC67" i="75" s="1"/>
  <c r="AP67" i="75" s="1"/>
  <c r="Z67" i="75"/>
  <c r="AB67" i="75" s="1"/>
  <c r="AO67" i="75" s="1"/>
  <c r="Z50" i="75"/>
  <c r="AB50" i="75" s="1"/>
  <c r="AO50" i="75" s="1"/>
  <c r="AA50" i="75"/>
  <c r="AC50" i="75" s="1"/>
  <c r="AP50" i="75" s="1"/>
  <c r="Z29" i="75"/>
  <c r="AB29" i="75" s="1"/>
  <c r="AO29" i="75" s="1"/>
  <c r="AA29" i="75"/>
  <c r="AC29" i="75" s="1"/>
  <c r="AP29" i="75" s="1"/>
  <c r="Z45" i="75"/>
  <c r="AB45" i="75" s="1"/>
  <c r="AO45" i="75" s="1"/>
  <c r="AA45" i="75"/>
  <c r="AC45" i="75" s="1"/>
  <c r="AP45" i="75" s="1"/>
  <c r="Z61" i="75"/>
  <c r="AB61" i="75" s="1"/>
  <c r="AO61" i="75" s="1"/>
  <c r="AA61" i="75"/>
  <c r="AC61" i="75" s="1"/>
  <c r="AP61" i="75" s="1"/>
  <c r="AA28" i="75"/>
  <c r="AC28" i="75" s="1"/>
  <c r="AP28" i="75" s="1"/>
  <c r="Z28" i="75"/>
  <c r="AB28" i="75" s="1"/>
  <c r="AO28" i="75" s="1"/>
  <c r="AA44" i="75"/>
  <c r="AC44" i="75" s="1"/>
  <c r="AP44" i="75" s="1"/>
  <c r="Z44" i="75"/>
  <c r="AB44" i="75" s="1"/>
  <c r="AO44" i="75" s="1"/>
  <c r="AA60" i="75"/>
  <c r="AC60" i="75" s="1"/>
  <c r="AP60" i="75" s="1"/>
  <c r="Z60" i="75"/>
  <c r="AB60" i="75" s="1"/>
  <c r="AO60" i="75" s="1"/>
  <c r="AA13" i="66"/>
  <c r="AC13" i="66" s="1"/>
  <c r="AP13" i="66" s="1"/>
  <c r="Z13" i="66"/>
  <c r="AB13" i="66" s="1"/>
  <c r="AO13" i="66" s="1"/>
  <c r="Z11" i="66"/>
  <c r="AB11" i="66" s="1"/>
  <c r="AO11" i="66" s="1"/>
  <c r="AA11" i="66"/>
  <c r="AC11" i="66" s="1"/>
  <c r="AP11" i="66" s="1"/>
  <c r="Z19" i="66"/>
  <c r="AB19" i="66" s="1"/>
  <c r="AO19" i="66" s="1"/>
  <c r="AA19" i="66"/>
  <c r="AC19" i="66" s="1"/>
  <c r="AP19" i="66" s="1"/>
  <c r="AA35" i="66"/>
  <c r="AC35" i="66" s="1"/>
  <c r="AP35" i="66" s="1"/>
  <c r="Z35" i="66"/>
  <c r="AB35" i="66" s="1"/>
  <c r="AO35" i="66" s="1"/>
  <c r="AA5" i="66"/>
  <c r="AC5" i="66" s="1"/>
  <c r="AP5" i="66" s="1"/>
  <c r="Z5" i="66"/>
  <c r="AB5" i="66" s="1"/>
  <c r="AO5" i="66" s="1"/>
  <c r="Z18" i="66"/>
  <c r="AB18" i="66" s="1"/>
  <c r="AO18" i="66" s="1"/>
  <c r="AA18" i="66"/>
  <c r="AC18" i="66" s="1"/>
  <c r="AP18" i="66" s="1"/>
  <c r="Z37" i="66"/>
  <c r="AB37" i="66" s="1"/>
  <c r="AO37" i="66" s="1"/>
  <c r="AA37" i="66"/>
  <c r="AC37" i="66" s="1"/>
  <c r="AP37" i="66" s="1"/>
  <c r="AA7" i="66"/>
  <c r="AC7" i="66" s="1"/>
  <c r="AP7" i="66" s="1"/>
  <c r="Z7" i="66"/>
  <c r="AB7" i="66" s="1"/>
  <c r="AO7" i="66" s="1"/>
  <c r="AA23" i="66"/>
  <c r="AC23" i="66" s="1"/>
  <c r="AP23" i="66" s="1"/>
  <c r="Z23" i="66"/>
  <c r="AB23" i="66" s="1"/>
  <c r="AO23" i="66" s="1"/>
  <c r="AA36" i="66"/>
  <c r="AC36" i="66" s="1"/>
  <c r="AP36" i="66" s="1"/>
  <c r="Z36" i="66"/>
  <c r="AB36" i="66" s="1"/>
  <c r="AO36" i="66" s="1"/>
  <c r="Z10" i="33"/>
  <c r="AB10" i="33" s="1"/>
  <c r="AO10" i="33" s="1"/>
  <c r="AA10" i="33"/>
  <c r="AC10" i="33" s="1"/>
  <c r="AP10" i="33" s="1"/>
  <c r="AA19" i="33"/>
  <c r="AC19" i="33" s="1"/>
  <c r="AP19" i="33" s="1"/>
  <c r="Z19" i="33"/>
  <c r="AB19" i="33" s="1"/>
  <c r="AO19" i="33" s="1"/>
  <c r="AA16" i="33"/>
  <c r="AC16" i="33" s="1"/>
  <c r="AP16" i="33" s="1"/>
  <c r="Z16" i="33"/>
  <c r="AB16" i="33" s="1"/>
  <c r="AO16" i="33" s="1"/>
  <c r="AA8" i="33"/>
  <c r="AC8" i="33" s="1"/>
  <c r="AP8" i="33" s="1"/>
  <c r="Z8" i="33"/>
  <c r="AB8" i="33" s="1"/>
  <c r="AO8" i="33" s="1"/>
  <c r="AA21" i="33"/>
  <c r="AC21" i="33" s="1"/>
  <c r="AP21" i="33" s="1"/>
  <c r="Z21" i="33"/>
  <c r="AB21" i="33" s="1"/>
  <c r="AO21" i="33" s="1"/>
  <c r="AA21" i="73"/>
  <c r="AC21" i="73" s="1"/>
  <c r="AP21" i="73" s="1"/>
  <c r="Z21" i="73"/>
  <c r="AB21" i="73" s="1"/>
  <c r="AO21" i="73" s="1"/>
  <c r="Z14" i="73"/>
  <c r="AB14" i="73" s="1"/>
  <c r="AO14" i="73" s="1"/>
  <c r="AA14" i="73"/>
  <c r="AC14" i="73" s="1"/>
  <c r="AP14" i="73" s="1"/>
  <c r="AA13" i="73"/>
  <c r="AC13" i="73" s="1"/>
  <c r="AP13" i="73" s="1"/>
  <c r="Z13" i="73"/>
  <c r="AB13" i="73" s="1"/>
  <c r="AO13" i="73" s="1"/>
  <c r="AA11" i="73"/>
  <c r="AC11" i="73" s="1"/>
  <c r="AP11" i="73" s="1"/>
  <c r="Z11" i="73"/>
  <c r="AB11" i="73" s="1"/>
  <c r="AO11" i="73" s="1"/>
  <c r="AA17" i="16"/>
  <c r="AC17" i="16" s="1"/>
  <c r="AP17" i="16" s="1"/>
  <c r="Z17" i="16"/>
  <c r="AB17" i="16" s="1"/>
  <c r="AO17" i="16" s="1"/>
  <c r="AA13" i="16"/>
  <c r="AC13" i="16" s="1"/>
  <c r="AP13" i="16" s="1"/>
  <c r="Z13" i="16"/>
  <c r="AB13" i="16" s="1"/>
  <c r="AO13" i="16" s="1"/>
  <c r="AA22" i="16"/>
  <c r="AC22" i="16" s="1"/>
  <c r="AP22" i="16" s="1"/>
  <c r="Z22" i="16"/>
  <c r="AB22" i="16" s="1"/>
  <c r="AO22" i="16" s="1"/>
  <c r="AA19" i="16"/>
  <c r="AC19" i="16" s="1"/>
  <c r="AP19" i="16" s="1"/>
  <c r="Z19" i="16"/>
  <c r="AB19" i="16" s="1"/>
  <c r="AO19" i="16" s="1"/>
  <c r="Z14" i="57"/>
  <c r="AB14" i="57" s="1"/>
  <c r="AO14" i="57" s="1"/>
  <c r="AA14" i="57"/>
  <c r="AC14" i="57" s="1"/>
  <c r="AP14" i="57" s="1"/>
  <c r="AA36" i="57"/>
  <c r="AC36" i="57" s="1"/>
  <c r="AP36" i="57" s="1"/>
  <c r="Z36" i="57"/>
  <c r="AB36" i="57" s="1"/>
  <c r="AO36" i="57" s="1"/>
  <c r="Z35" i="57"/>
  <c r="AB35" i="57" s="1"/>
  <c r="AO35" i="57" s="1"/>
  <c r="AA35" i="57"/>
  <c r="AC35" i="57" s="1"/>
  <c r="AP35" i="57" s="1"/>
  <c r="AA24" i="57"/>
  <c r="AC24" i="57" s="1"/>
  <c r="AP24" i="57" s="1"/>
  <c r="Z24" i="57"/>
  <c r="AB24" i="57" s="1"/>
  <c r="AO24" i="57" s="1"/>
  <c r="AA8" i="57"/>
  <c r="AC8" i="57" s="1"/>
  <c r="AP8" i="57" s="1"/>
  <c r="Z8" i="57"/>
  <c r="AB8" i="57" s="1"/>
  <c r="AO8" i="57" s="1"/>
  <c r="Z39" i="57"/>
  <c r="AB39" i="57" s="1"/>
  <c r="AO39" i="57" s="1"/>
  <c r="AA39" i="57"/>
  <c r="AC39" i="57" s="1"/>
  <c r="AP39" i="57" s="1"/>
  <c r="Z12" i="57"/>
  <c r="AB12" i="57" s="1"/>
  <c r="AO12" i="57" s="1"/>
  <c r="AA12" i="57"/>
  <c r="AC12" i="57" s="1"/>
  <c r="AP12" i="57" s="1"/>
  <c r="AA30" i="57"/>
  <c r="AC30" i="57" s="1"/>
  <c r="AP30" i="57" s="1"/>
  <c r="Z30" i="57"/>
  <c r="AB30" i="57" s="1"/>
  <c r="AO30" i="57" s="1"/>
  <c r="AA46" i="57"/>
  <c r="AC46" i="57" s="1"/>
  <c r="AP46" i="57" s="1"/>
  <c r="Z46" i="57"/>
  <c r="AB46" i="57" s="1"/>
  <c r="AO46" i="57" s="1"/>
  <c r="AA29" i="57"/>
  <c r="AC29" i="57" s="1"/>
  <c r="AP29" i="57" s="1"/>
  <c r="Z29" i="57"/>
  <c r="AB29" i="57" s="1"/>
  <c r="AO29" i="57" s="1"/>
  <c r="AA45" i="57"/>
  <c r="AC45" i="57" s="1"/>
  <c r="AP45" i="57" s="1"/>
  <c r="Z45" i="57"/>
  <c r="AB45" i="57" s="1"/>
  <c r="AO45" i="57" s="1"/>
  <c r="AA19" i="23"/>
  <c r="AC19" i="23" s="1"/>
  <c r="AP19" i="23" s="1"/>
  <c r="Z19" i="23"/>
  <c r="AB19" i="23" s="1"/>
  <c r="AO19" i="23" s="1"/>
  <c r="AA12" i="23"/>
  <c r="AC12" i="23" s="1"/>
  <c r="AP12" i="23" s="1"/>
  <c r="Z12" i="23"/>
  <c r="AB12" i="23" s="1"/>
  <c r="AO12" i="23" s="1"/>
  <c r="AA15" i="23"/>
  <c r="AC15" i="23" s="1"/>
  <c r="AP15" i="23" s="1"/>
  <c r="Z15" i="23"/>
  <c r="AB15" i="23" s="1"/>
  <c r="AO15" i="23" s="1"/>
  <c r="AA5" i="23"/>
  <c r="AC5" i="23" s="1"/>
  <c r="Z5" i="23"/>
  <c r="AB5" i="23" s="1"/>
  <c r="Z17" i="71"/>
  <c r="AB17" i="71" s="1"/>
  <c r="AO17" i="71" s="1"/>
  <c r="AA17" i="71"/>
  <c r="AC17" i="71" s="1"/>
  <c r="AP17" i="71" s="1"/>
  <c r="Z9" i="71"/>
  <c r="AB9" i="71" s="1"/>
  <c r="AO9" i="71" s="1"/>
  <c r="AA9" i="71"/>
  <c r="AC9" i="71" s="1"/>
  <c r="AP9" i="71" s="1"/>
  <c r="Z16" i="71"/>
  <c r="AB16" i="71" s="1"/>
  <c r="AO16" i="71" s="1"/>
  <c r="AA16" i="71"/>
  <c r="AC16" i="71" s="1"/>
  <c r="AP16" i="71" s="1"/>
  <c r="AA8" i="71"/>
  <c r="AC8" i="71" s="1"/>
  <c r="AP8" i="71" s="1"/>
  <c r="Z8" i="71"/>
  <c r="AB8" i="71" s="1"/>
  <c r="AO8" i="71" s="1"/>
  <c r="Z21" i="71"/>
  <c r="AB21" i="71" s="1"/>
  <c r="AO21" i="71" s="1"/>
  <c r="AA21" i="71"/>
  <c r="AC21" i="71" s="1"/>
  <c r="AP21" i="71" s="1"/>
  <c r="AA396" i="15"/>
  <c r="AC396" i="15" s="1"/>
  <c r="AP396" i="15" s="1"/>
  <c r="Z396" i="15"/>
  <c r="AB396" i="15" s="1"/>
  <c r="AO396" i="15" s="1"/>
  <c r="AA204" i="15"/>
  <c r="AC204" i="15" s="1"/>
  <c r="AP204" i="15" s="1"/>
  <c r="Z204" i="15"/>
  <c r="AB204" i="15" s="1"/>
  <c r="AO204" i="15" s="1"/>
  <c r="AA12" i="13"/>
  <c r="AC12" i="13" s="1"/>
  <c r="AP12" i="13" s="1"/>
  <c r="Z12" i="13"/>
  <c r="AB12" i="13" s="1"/>
  <c r="AO12" i="13" s="1"/>
  <c r="AA7" i="13"/>
  <c r="AC7" i="13" s="1"/>
  <c r="AP7" i="13" s="1"/>
  <c r="Z7" i="13"/>
  <c r="AB7" i="13" s="1"/>
  <c r="AO7" i="13" s="1"/>
  <c r="Z10" i="13"/>
  <c r="AB10" i="13" s="1"/>
  <c r="AO10" i="13" s="1"/>
  <c r="AA10" i="13"/>
  <c r="AC10" i="13" s="1"/>
  <c r="AP10" i="13" s="1"/>
  <c r="Z23" i="13"/>
  <c r="AB23" i="13" s="1"/>
  <c r="AO23" i="13" s="1"/>
  <c r="AA23" i="13"/>
  <c r="AC23" i="13" s="1"/>
  <c r="AP23" i="13" s="1"/>
  <c r="AA14" i="13"/>
  <c r="AC14" i="13" s="1"/>
  <c r="AP14" i="13" s="1"/>
  <c r="Z14" i="13"/>
  <c r="AB14" i="13" s="1"/>
  <c r="AO14" i="13" s="1"/>
  <c r="Z13" i="40"/>
  <c r="AB13" i="40" s="1"/>
  <c r="AO13" i="40" s="1"/>
  <c r="AA13" i="40"/>
  <c r="AC13" i="40" s="1"/>
  <c r="AP13" i="40" s="1"/>
  <c r="Z11" i="40"/>
  <c r="AB11" i="40" s="1"/>
  <c r="AO11" i="40" s="1"/>
  <c r="AA11" i="40"/>
  <c r="AC11" i="40" s="1"/>
  <c r="AP11" i="40" s="1"/>
  <c r="Z14" i="40"/>
  <c r="AB14" i="40" s="1"/>
  <c r="AO14" i="40" s="1"/>
  <c r="AA14" i="40"/>
  <c r="AC14" i="40" s="1"/>
  <c r="AP14" i="40" s="1"/>
  <c r="AA10" i="40"/>
  <c r="AC10" i="40" s="1"/>
  <c r="AP10" i="40" s="1"/>
  <c r="Z10" i="40"/>
  <c r="AB10" i="40" s="1"/>
  <c r="AO10" i="40" s="1"/>
  <c r="AA24" i="40"/>
  <c r="AC24" i="40" s="1"/>
  <c r="Z24" i="40"/>
  <c r="AB24" i="40" s="1"/>
  <c r="AO24" i="40" s="1"/>
  <c r="AA10" i="51"/>
  <c r="AC10" i="51" s="1"/>
  <c r="AP10" i="51" s="1"/>
  <c r="Z10" i="51"/>
  <c r="AB10" i="51" s="1"/>
  <c r="AO10" i="51" s="1"/>
  <c r="Z23" i="51"/>
  <c r="AB23" i="51" s="1"/>
  <c r="AO23" i="51" s="1"/>
  <c r="AA23" i="51"/>
  <c r="AC23" i="51" s="1"/>
  <c r="AP23" i="51" s="1"/>
  <c r="AA18" i="51"/>
  <c r="AC18" i="51" s="1"/>
  <c r="AP18" i="51" s="1"/>
  <c r="Z18" i="51"/>
  <c r="AB18" i="51" s="1"/>
  <c r="AO18" i="51" s="1"/>
  <c r="AA14" i="51"/>
  <c r="AC14" i="51" s="1"/>
  <c r="AP14" i="51" s="1"/>
  <c r="Z14" i="51"/>
  <c r="AB14" i="51" s="1"/>
  <c r="AO14" i="51" s="1"/>
  <c r="AA7" i="51"/>
  <c r="AC7" i="51" s="1"/>
  <c r="AP7" i="51" s="1"/>
  <c r="Z7" i="51"/>
  <c r="AB7" i="51" s="1"/>
  <c r="AO7" i="51" s="1"/>
  <c r="AA20" i="51"/>
  <c r="AC20" i="51" s="1"/>
  <c r="AP20" i="51" s="1"/>
  <c r="Z20" i="51"/>
  <c r="AB20" i="51" s="1"/>
  <c r="AO20" i="51" s="1"/>
  <c r="Z48" i="29"/>
  <c r="AB48" i="29" s="1"/>
  <c r="AO48" i="29" s="1"/>
  <c r="AA48" i="29"/>
  <c r="AC48" i="29" s="1"/>
  <c r="AP48" i="29" s="1"/>
  <c r="Z80" i="29"/>
  <c r="AB80" i="29" s="1"/>
  <c r="AO80" i="29" s="1"/>
  <c r="AA80" i="29"/>
  <c r="AC80" i="29" s="1"/>
  <c r="AP80" i="29" s="1"/>
  <c r="Z40" i="29"/>
  <c r="AB40" i="29" s="1"/>
  <c r="AO40" i="29" s="1"/>
  <c r="AA40" i="29"/>
  <c r="AC40" i="29" s="1"/>
  <c r="AP40" i="29" s="1"/>
  <c r="Z72" i="29"/>
  <c r="AB72" i="29" s="1"/>
  <c r="AO72" i="29" s="1"/>
  <c r="AA72" i="29"/>
  <c r="AC72" i="29" s="1"/>
  <c r="AP72" i="29" s="1"/>
  <c r="AA18" i="29"/>
  <c r="AC18" i="29" s="1"/>
  <c r="AP18" i="29" s="1"/>
  <c r="Z18" i="29"/>
  <c r="AB18" i="29" s="1"/>
  <c r="AO18" i="29" s="1"/>
  <c r="AA53" i="29"/>
  <c r="AC53" i="29" s="1"/>
  <c r="AP53" i="29" s="1"/>
  <c r="Z53" i="29"/>
  <c r="AB53" i="29" s="1"/>
  <c r="AO53" i="29" s="1"/>
  <c r="Z7" i="29"/>
  <c r="AB7" i="29" s="1"/>
  <c r="AO7" i="29" s="1"/>
  <c r="AA7" i="29"/>
  <c r="AC7" i="29" s="1"/>
  <c r="AP7" i="29" s="1"/>
  <c r="Z16" i="29"/>
  <c r="AB16" i="29" s="1"/>
  <c r="AO16" i="29" s="1"/>
  <c r="AA16" i="29"/>
  <c r="AC16" i="29" s="1"/>
  <c r="AP16" i="29" s="1"/>
  <c r="Z52" i="29"/>
  <c r="AB52" i="29" s="1"/>
  <c r="AO52" i="29" s="1"/>
  <c r="AA52" i="29"/>
  <c r="AC52" i="29" s="1"/>
  <c r="AP52" i="29" s="1"/>
  <c r="AA5" i="29"/>
  <c r="AC5" i="29" s="1"/>
  <c r="Z5" i="29"/>
  <c r="AB5" i="29" s="1"/>
  <c r="Z31" i="29"/>
  <c r="AB31" i="29" s="1"/>
  <c r="AO31" i="29" s="1"/>
  <c r="AA31" i="29"/>
  <c r="AC31" i="29" s="1"/>
  <c r="AP31" i="29" s="1"/>
  <c r="Z47" i="29"/>
  <c r="AB47" i="29" s="1"/>
  <c r="AO47" i="29" s="1"/>
  <c r="AA47" i="29"/>
  <c r="AC47" i="29" s="1"/>
  <c r="AP47" i="29" s="1"/>
  <c r="Z63" i="29"/>
  <c r="AB63" i="29" s="1"/>
  <c r="AO63" i="29" s="1"/>
  <c r="AA63" i="29"/>
  <c r="AC63" i="29" s="1"/>
  <c r="AP63" i="29" s="1"/>
  <c r="Z79" i="29"/>
  <c r="AB79" i="29" s="1"/>
  <c r="AO79" i="29" s="1"/>
  <c r="AA79" i="29"/>
  <c r="AC79" i="29" s="1"/>
  <c r="AP79" i="29" s="1"/>
  <c r="AA19" i="29"/>
  <c r="AC19" i="29" s="1"/>
  <c r="AP19" i="29" s="1"/>
  <c r="Z19" i="29"/>
  <c r="AB19" i="29" s="1"/>
  <c r="AO19" i="29" s="1"/>
  <c r="AA34" i="29"/>
  <c r="AC34" i="29" s="1"/>
  <c r="AP34" i="29" s="1"/>
  <c r="Z34" i="29"/>
  <c r="AB34" i="29" s="1"/>
  <c r="AO34" i="29" s="1"/>
  <c r="AA50" i="29"/>
  <c r="AC50" i="29" s="1"/>
  <c r="AP50" i="29" s="1"/>
  <c r="Z50" i="29"/>
  <c r="AB50" i="29" s="1"/>
  <c r="AO50" i="29" s="1"/>
  <c r="AA66" i="29"/>
  <c r="AC66" i="29" s="1"/>
  <c r="AP66" i="29" s="1"/>
  <c r="Z66" i="29"/>
  <c r="AB66" i="29" s="1"/>
  <c r="AO66" i="29" s="1"/>
  <c r="AA82" i="29"/>
  <c r="AC82" i="29" s="1"/>
  <c r="AP82" i="29" s="1"/>
  <c r="Z82" i="29"/>
  <c r="AB82" i="29" s="1"/>
  <c r="AO82" i="29" s="1"/>
  <c r="Z64" i="22"/>
  <c r="AB64" i="22" s="1"/>
  <c r="AO64" i="22" s="1"/>
  <c r="AA64" i="22"/>
  <c r="AC64" i="22" s="1"/>
  <c r="AP64" i="22" s="1"/>
  <c r="AA15" i="22"/>
  <c r="AC15" i="22" s="1"/>
  <c r="AP15" i="22" s="1"/>
  <c r="Z15" i="22"/>
  <c r="AB15" i="22" s="1"/>
  <c r="AO15" i="22" s="1"/>
  <c r="AA44" i="22"/>
  <c r="AC44" i="22" s="1"/>
  <c r="AP44" i="22" s="1"/>
  <c r="Z44" i="22"/>
  <c r="AB44" i="22" s="1"/>
  <c r="AO44" i="22" s="1"/>
  <c r="Z22" i="22"/>
  <c r="AB22" i="22" s="1"/>
  <c r="AO22" i="22" s="1"/>
  <c r="AA22" i="22"/>
  <c r="AC22" i="22" s="1"/>
  <c r="AP22" i="22" s="1"/>
  <c r="Z43" i="22"/>
  <c r="AB43" i="22" s="1"/>
  <c r="AO43" i="22" s="1"/>
  <c r="AA43" i="22"/>
  <c r="AC43" i="22" s="1"/>
  <c r="AP43" i="22" s="1"/>
  <c r="AA24" i="22"/>
  <c r="AC24" i="22" s="1"/>
  <c r="AP24" i="22" s="1"/>
  <c r="Z24" i="22"/>
  <c r="AB24" i="22" s="1"/>
  <c r="AO24" i="22" s="1"/>
  <c r="AA65" i="22"/>
  <c r="AC65" i="22" s="1"/>
  <c r="AP65" i="22" s="1"/>
  <c r="Z65" i="22"/>
  <c r="AB65" i="22" s="1"/>
  <c r="AO65" i="22" s="1"/>
  <c r="AA19" i="22"/>
  <c r="AC19" i="22" s="1"/>
  <c r="AP19" i="22" s="1"/>
  <c r="Z19" i="22"/>
  <c r="AB19" i="22" s="1"/>
  <c r="AO19" i="22" s="1"/>
  <c r="AA34" i="22"/>
  <c r="AC34" i="22" s="1"/>
  <c r="AP34" i="22" s="1"/>
  <c r="Z34" i="22"/>
  <c r="AB34" i="22" s="1"/>
  <c r="AO34" i="22" s="1"/>
  <c r="AA50" i="22"/>
  <c r="AC50" i="22" s="1"/>
  <c r="AP50" i="22" s="1"/>
  <c r="Z50" i="22"/>
  <c r="AB50" i="22" s="1"/>
  <c r="AO50" i="22" s="1"/>
  <c r="AA59" i="22"/>
  <c r="AC59" i="22" s="1"/>
  <c r="AP59" i="22" s="1"/>
  <c r="Z59" i="22"/>
  <c r="AB59" i="22" s="1"/>
  <c r="AO59" i="22" s="1"/>
  <c r="AA10" i="22"/>
  <c r="AC10" i="22" s="1"/>
  <c r="Z10" i="22"/>
  <c r="AB10" i="22" s="1"/>
  <c r="AO10" i="22" s="1"/>
  <c r="AA29" i="22"/>
  <c r="AC29" i="22" s="1"/>
  <c r="AP29" i="22" s="1"/>
  <c r="Z29" i="22"/>
  <c r="AB29" i="22" s="1"/>
  <c r="AO29" i="22" s="1"/>
  <c r="AA45" i="22"/>
  <c r="AC45" i="22" s="1"/>
  <c r="AP45" i="22" s="1"/>
  <c r="Z45" i="22"/>
  <c r="AB45" i="22" s="1"/>
  <c r="AO45" i="22" s="1"/>
  <c r="AA54" i="22"/>
  <c r="AC54" i="22" s="1"/>
  <c r="AP54" i="22" s="1"/>
  <c r="Z54" i="22"/>
  <c r="AB54" i="22" s="1"/>
  <c r="AO54" i="22" s="1"/>
  <c r="Z18" i="20"/>
  <c r="AB18" i="20" s="1"/>
  <c r="AO18" i="20" s="1"/>
  <c r="AA18" i="20"/>
  <c r="AC18" i="20" s="1"/>
  <c r="AP18" i="20" s="1"/>
  <c r="AA436" i="15"/>
  <c r="AC436" i="15" s="1"/>
  <c r="AP436" i="15" s="1"/>
  <c r="Z436" i="15"/>
  <c r="AB436" i="15" s="1"/>
  <c r="AO436" i="15" s="1"/>
  <c r="AA308" i="15"/>
  <c r="AC308" i="15" s="1"/>
  <c r="AP308" i="15" s="1"/>
  <c r="Z308" i="15"/>
  <c r="AB308" i="15" s="1"/>
  <c r="AO308" i="15" s="1"/>
  <c r="AA180" i="15"/>
  <c r="AC180" i="15" s="1"/>
  <c r="AP180" i="15" s="1"/>
  <c r="Z180" i="15"/>
  <c r="AB180" i="15" s="1"/>
  <c r="AO180" i="15" s="1"/>
  <c r="Z95" i="15"/>
  <c r="AB95" i="15" s="1"/>
  <c r="AO95" i="15" s="1"/>
  <c r="AA95" i="15"/>
  <c r="AC95" i="15" s="1"/>
  <c r="AP95" i="15" s="1"/>
  <c r="AA28" i="15"/>
  <c r="AC28" i="15" s="1"/>
  <c r="AP28" i="15" s="1"/>
  <c r="Z28" i="15"/>
  <c r="AB28" i="15" s="1"/>
  <c r="AO28" i="15" s="1"/>
  <c r="AA32" i="15"/>
  <c r="AC32" i="15" s="1"/>
  <c r="AP32" i="15" s="1"/>
  <c r="Z32" i="15"/>
  <c r="AB32" i="15" s="1"/>
  <c r="AO32" i="15" s="1"/>
  <c r="Z83" i="15"/>
  <c r="AB83" i="15" s="1"/>
  <c r="AO83" i="15" s="1"/>
  <c r="AA83" i="15"/>
  <c r="AC83" i="15" s="1"/>
  <c r="AP83" i="15" s="1"/>
  <c r="Z163" i="15"/>
  <c r="AB163" i="15" s="1"/>
  <c r="AO163" i="15" s="1"/>
  <c r="AA163" i="15"/>
  <c r="AC163" i="15" s="1"/>
  <c r="AP163" i="15" s="1"/>
  <c r="Z203" i="15"/>
  <c r="AB203" i="15" s="1"/>
  <c r="AO203" i="15" s="1"/>
  <c r="AA203" i="15"/>
  <c r="AC203" i="15" s="1"/>
  <c r="AP203" i="15" s="1"/>
  <c r="Z259" i="15"/>
  <c r="AB259" i="15" s="1"/>
  <c r="AO259" i="15" s="1"/>
  <c r="AA259" i="15"/>
  <c r="AC259" i="15" s="1"/>
  <c r="AP259" i="15" s="1"/>
  <c r="Z331" i="15"/>
  <c r="AB331" i="15" s="1"/>
  <c r="AO331" i="15" s="1"/>
  <c r="AA331" i="15"/>
  <c r="AC331" i="15" s="1"/>
  <c r="AP331" i="15" s="1"/>
  <c r="Z387" i="15"/>
  <c r="AB387" i="15" s="1"/>
  <c r="AO387" i="15" s="1"/>
  <c r="AA387" i="15"/>
  <c r="AC387" i="15" s="1"/>
  <c r="AP387" i="15" s="1"/>
  <c r="Z443" i="15"/>
  <c r="AB443" i="15" s="1"/>
  <c r="AO443" i="15" s="1"/>
  <c r="AA443" i="15"/>
  <c r="AC443" i="15" s="1"/>
  <c r="AP443" i="15" s="1"/>
  <c r="Z515" i="15"/>
  <c r="AB515" i="15" s="1"/>
  <c r="AO515" i="15" s="1"/>
  <c r="AA515" i="15"/>
  <c r="AC515" i="15" s="1"/>
  <c r="AP515" i="15" s="1"/>
  <c r="Z21" i="15"/>
  <c r="AB21" i="15" s="1"/>
  <c r="AO21" i="15" s="1"/>
  <c r="AA21" i="15"/>
  <c r="AC21" i="15" s="1"/>
  <c r="AP21" i="15" s="1"/>
  <c r="AA42" i="15"/>
  <c r="AC42" i="15" s="1"/>
  <c r="AP42" i="15" s="1"/>
  <c r="Z42" i="15"/>
  <c r="AB42" i="15" s="1"/>
  <c r="AO42" i="15" s="1"/>
  <c r="AA68" i="15"/>
  <c r="AC68" i="15" s="1"/>
  <c r="AP68" i="15" s="1"/>
  <c r="Z68" i="15"/>
  <c r="AB68" i="15" s="1"/>
  <c r="AO68" i="15" s="1"/>
  <c r="Z87" i="15"/>
  <c r="AB87" i="15" s="1"/>
  <c r="AO87" i="15" s="1"/>
  <c r="AA87" i="15"/>
  <c r="AC87" i="15" s="1"/>
  <c r="AP87" i="15" s="1"/>
  <c r="AA106" i="15"/>
  <c r="AC106" i="15" s="1"/>
  <c r="AP106" i="15" s="1"/>
  <c r="Z106" i="15"/>
  <c r="AB106" i="15" s="1"/>
  <c r="AO106" i="15" s="1"/>
  <c r="AA132" i="15"/>
  <c r="AC132" i="15" s="1"/>
  <c r="AP132" i="15" s="1"/>
  <c r="Z132" i="15"/>
  <c r="AB132" i="15" s="1"/>
  <c r="AO132" i="15" s="1"/>
  <c r="Z151" i="15"/>
  <c r="AB151" i="15" s="1"/>
  <c r="AO151" i="15" s="1"/>
  <c r="AA151" i="15"/>
  <c r="AC151" i="15" s="1"/>
  <c r="AA170" i="15"/>
  <c r="AC170" i="15" s="1"/>
  <c r="AP170" i="15" s="1"/>
  <c r="Z170" i="15"/>
  <c r="AB170" i="15" s="1"/>
  <c r="AO170" i="15" s="1"/>
  <c r="AA200" i="15"/>
  <c r="AC200" i="15" s="1"/>
  <c r="AP200" i="15" s="1"/>
  <c r="Z200" i="15"/>
  <c r="AB200" i="15" s="1"/>
  <c r="AO200" i="15" s="1"/>
  <c r="AA232" i="15"/>
  <c r="AC232" i="15" s="1"/>
  <c r="AP232" i="15" s="1"/>
  <c r="Z232" i="15"/>
  <c r="AB232" i="15" s="1"/>
  <c r="AO232" i="15" s="1"/>
  <c r="AA264" i="15"/>
  <c r="AC264" i="15" s="1"/>
  <c r="AP264" i="15" s="1"/>
  <c r="Z264" i="15"/>
  <c r="AB264" i="15" s="1"/>
  <c r="AO264" i="15" s="1"/>
  <c r="AA296" i="15"/>
  <c r="AC296" i="15" s="1"/>
  <c r="AP296" i="15" s="1"/>
  <c r="Z296" i="15"/>
  <c r="AB296" i="15" s="1"/>
  <c r="AO296" i="15" s="1"/>
  <c r="AA328" i="15"/>
  <c r="AC328" i="15" s="1"/>
  <c r="AP328" i="15" s="1"/>
  <c r="Z328" i="15"/>
  <c r="AB328" i="15" s="1"/>
  <c r="AO328" i="15" s="1"/>
  <c r="AA360" i="15"/>
  <c r="AC360" i="15" s="1"/>
  <c r="AP360" i="15" s="1"/>
  <c r="Z360" i="15"/>
  <c r="AB360" i="15" s="1"/>
  <c r="AO360" i="15" s="1"/>
  <c r="AA392" i="15"/>
  <c r="AC392" i="15" s="1"/>
  <c r="AP392" i="15" s="1"/>
  <c r="Z392" i="15"/>
  <c r="AB392" i="15" s="1"/>
  <c r="AO392" i="15" s="1"/>
  <c r="AA424" i="15"/>
  <c r="AC424" i="15" s="1"/>
  <c r="AP424" i="15" s="1"/>
  <c r="Z424" i="15"/>
  <c r="AB424" i="15" s="1"/>
  <c r="AO424" i="15" s="1"/>
  <c r="AA456" i="15"/>
  <c r="AC456" i="15" s="1"/>
  <c r="AP456" i="15" s="1"/>
  <c r="Z456" i="15"/>
  <c r="AB456" i="15" s="1"/>
  <c r="AO456" i="15" s="1"/>
  <c r="AA488" i="15"/>
  <c r="AC488" i="15" s="1"/>
  <c r="AP488" i="15" s="1"/>
  <c r="Z488" i="15"/>
  <c r="AB488" i="15" s="1"/>
  <c r="AO488" i="15" s="1"/>
  <c r="Z5" i="15"/>
  <c r="AB5" i="15" s="1"/>
  <c r="AA5" i="15"/>
  <c r="AC5" i="15" s="1"/>
  <c r="Z35" i="15"/>
  <c r="AB35" i="15" s="1"/>
  <c r="AO35" i="15" s="1"/>
  <c r="AA35" i="15"/>
  <c r="AC35" i="15" s="1"/>
  <c r="AP35" i="15" s="1"/>
  <c r="AA64" i="15"/>
  <c r="AC64" i="15" s="1"/>
  <c r="AP64" i="15" s="1"/>
  <c r="Z64" i="15"/>
  <c r="AB64" i="15" s="1"/>
  <c r="AO64" i="15" s="1"/>
  <c r="Z102" i="15"/>
  <c r="AB102" i="15" s="1"/>
  <c r="AO102" i="15" s="1"/>
  <c r="AA102" i="15"/>
  <c r="AC102" i="15" s="1"/>
  <c r="AP102" i="15" s="1"/>
  <c r="Z131" i="15"/>
  <c r="AB131" i="15" s="1"/>
  <c r="AO131" i="15" s="1"/>
  <c r="AA131" i="15"/>
  <c r="AC131" i="15" s="1"/>
  <c r="AP131" i="15" s="1"/>
  <c r="AA160" i="15"/>
  <c r="AC160" i="15" s="1"/>
  <c r="Z160" i="15"/>
  <c r="AB160" i="15" s="1"/>
  <c r="AO160" i="15" s="1"/>
  <c r="Z251" i="15"/>
  <c r="AB251" i="15" s="1"/>
  <c r="AO251" i="15" s="1"/>
  <c r="AA251" i="15"/>
  <c r="AC251" i="15" s="1"/>
  <c r="AP251" i="15" s="1"/>
  <c r="Z307" i="15"/>
  <c r="AB307" i="15" s="1"/>
  <c r="AO307" i="15" s="1"/>
  <c r="AA307" i="15"/>
  <c r="AC307" i="15" s="1"/>
  <c r="AP307" i="15" s="1"/>
  <c r="Z379" i="15"/>
  <c r="AB379" i="15" s="1"/>
  <c r="AO379" i="15" s="1"/>
  <c r="AA379" i="15"/>
  <c r="AC379" i="15" s="1"/>
  <c r="AP379" i="15" s="1"/>
  <c r="Z451" i="15"/>
  <c r="AB451" i="15" s="1"/>
  <c r="AO451" i="15" s="1"/>
  <c r="AA451" i="15"/>
  <c r="AC451" i="15" s="1"/>
  <c r="AP451" i="15" s="1"/>
  <c r="Z499" i="15"/>
  <c r="AB499" i="15" s="1"/>
  <c r="AO499" i="15" s="1"/>
  <c r="AA499" i="15"/>
  <c r="AC499" i="15" s="1"/>
  <c r="AP499" i="15" s="1"/>
  <c r="AA19" i="15"/>
  <c r="AC19" i="15" s="1"/>
  <c r="AP19" i="15" s="1"/>
  <c r="Z19" i="15"/>
  <c r="AB19" i="15" s="1"/>
  <c r="AO19" i="15" s="1"/>
  <c r="AA40" i="15"/>
  <c r="AC40" i="15" s="1"/>
  <c r="AP40" i="15" s="1"/>
  <c r="Z40" i="15"/>
  <c r="AB40" i="15" s="1"/>
  <c r="AO40" i="15" s="1"/>
  <c r="Z59" i="15"/>
  <c r="AB59" i="15" s="1"/>
  <c r="AO59" i="15" s="1"/>
  <c r="AA59" i="15"/>
  <c r="AC59" i="15" s="1"/>
  <c r="AP59" i="15" s="1"/>
  <c r="Z78" i="15"/>
  <c r="AB78" i="15" s="1"/>
  <c r="AO78" i="15" s="1"/>
  <c r="AA78" i="15"/>
  <c r="AC78" i="15" s="1"/>
  <c r="AP78" i="15" s="1"/>
  <c r="AA104" i="15"/>
  <c r="AC104" i="15" s="1"/>
  <c r="AP104" i="15" s="1"/>
  <c r="Z104" i="15"/>
  <c r="AB104" i="15" s="1"/>
  <c r="AO104" i="15" s="1"/>
  <c r="Z123" i="15"/>
  <c r="AB123" i="15" s="1"/>
  <c r="AO123" i="15" s="1"/>
  <c r="AA123" i="15"/>
  <c r="AC123" i="15" s="1"/>
  <c r="AP123" i="15" s="1"/>
  <c r="Z142" i="15"/>
  <c r="AB142" i="15" s="1"/>
  <c r="AO142" i="15" s="1"/>
  <c r="AA142" i="15"/>
  <c r="AC142" i="15" s="1"/>
  <c r="AP142" i="15" s="1"/>
  <c r="AA168" i="15"/>
  <c r="AC168" i="15" s="1"/>
  <c r="AP168" i="15" s="1"/>
  <c r="Z168" i="15"/>
  <c r="AB168" i="15" s="1"/>
  <c r="AO168" i="15" s="1"/>
  <c r="Z191" i="15"/>
  <c r="AB191" i="15" s="1"/>
  <c r="AO191" i="15" s="1"/>
  <c r="AA191" i="15"/>
  <c r="AC191" i="15" s="1"/>
  <c r="AP191" i="15" s="1"/>
  <c r="Z223" i="15"/>
  <c r="AB223" i="15" s="1"/>
  <c r="AO223" i="15" s="1"/>
  <c r="AA223" i="15"/>
  <c r="AC223" i="15" s="1"/>
  <c r="AP223" i="15" s="1"/>
  <c r="Z255" i="15"/>
  <c r="AB255" i="15" s="1"/>
  <c r="AO255" i="15" s="1"/>
  <c r="AA255" i="15"/>
  <c r="AC255" i="15" s="1"/>
  <c r="AP255" i="15" s="1"/>
  <c r="Z287" i="15"/>
  <c r="AB287" i="15" s="1"/>
  <c r="AO287" i="15" s="1"/>
  <c r="AA287" i="15"/>
  <c r="AC287" i="15" s="1"/>
  <c r="AP287" i="15" s="1"/>
  <c r="Z319" i="15"/>
  <c r="AB319" i="15" s="1"/>
  <c r="AO319" i="15" s="1"/>
  <c r="AA319" i="15"/>
  <c r="AC319" i="15" s="1"/>
  <c r="AP319" i="15" s="1"/>
  <c r="Z351" i="15"/>
  <c r="AB351" i="15" s="1"/>
  <c r="AO351" i="15" s="1"/>
  <c r="AA351" i="15"/>
  <c r="AC351" i="15" s="1"/>
  <c r="AP351" i="15" s="1"/>
  <c r="Z383" i="15"/>
  <c r="AB383" i="15" s="1"/>
  <c r="AO383" i="15" s="1"/>
  <c r="AA383" i="15"/>
  <c r="AC383" i="15" s="1"/>
  <c r="AP383" i="15" s="1"/>
  <c r="Z415" i="15"/>
  <c r="AB415" i="15" s="1"/>
  <c r="AO415" i="15" s="1"/>
  <c r="AA415" i="15"/>
  <c r="AC415" i="15" s="1"/>
  <c r="AP415" i="15" s="1"/>
  <c r="Z447" i="15"/>
  <c r="AB447" i="15" s="1"/>
  <c r="AO447" i="15" s="1"/>
  <c r="AA447" i="15"/>
  <c r="AC447" i="15" s="1"/>
  <c r="AP447" i="15" s="1"/>
  <c r="Z479" i="15"/>
  <c r="AB479" i="15" s="1"/>
  <c r="AO479" i="15" s="1"/>
  <c r="AA479" i="15"/>
  <c r="AC479" i="15" s="1"/>
  <c r="AP479" i="15" s="1"/>
  <c r="Z511" i="15"/>
  <c r="AB511" i="15" s="1"/>
  <c r="AO511" i="15" s="1"/>
  <c r="AA511" i="15"/>
  <c r="AC511" i="15" s="1"/>
  <c r="AP511" i="15" s="1"/>
  <c r="Z186" i="15"/>
  <c r="AB186" i="15" s="1"/>
  <c r="AO186" i="15" s="1"/>
  <c r="AA186" i="15"/>
  <c r="AC186" i="15" s="1"/>
  <c r="AP186" i="15" s="1"/>
  <c r="Z202" i="15"/>
  <c r="AB202" i="15" s="1"/>
  <c r="AO202" i="15" s="1"/>
  <c r="AA202" i="15"/>
  <c r="AC202" i="15" s="1"/>
  <c r="Z218" i="15"/>
  <c r="AB218" i="15" s="1"/>
  <c r="AO218" i="15" s="1"/>
  <c r="AA218" i="15"/>
  <c r="AC218" i="15" s="1"/>
  <c r="AP218" i="15" s="1"/>
  <c r="Z234" i="15"/>
  <c r="AB234" i="15" s="1"/>
  <c r="AO234" i="15" s="1"/>
  <c r="AA234" i="15"/>
  <c r="AC234" i="15" s="1"/>
  <c r="AP234" i="15" s="1"/>
  <c r="Z250" i="15"/>
  <c r="AB250" i="15" s="1"/>
  <c r="AO250" i="15" s="1"/>
  <c r="AA250" i="15"/>
  <c r="AC250" i="15" s="1"/>
  <c r="AP250" i="15" s="1"/>
  <c r="Z266" i="15"/>
  <c r="AB266" i="15" s="1"/>
  <c r="AO266" i="15" s="1"/>
  <c r="AA266" i="15"/>
  <c r="AC266" i="15" s="1"/>
  <c r="AP266" i="15" s="1"/>
  <c r="Z282" i="15"/>
  <c r="AB282" i="15" s="1"/>
  <c r="AO282" i="15" s="1"/>
  <c r="AA282" i="15"/>
  <c r="AC282" i="15" s="1"/>
  <c r="AP282" i="15" s="1"/>
  <c r="Z298" i="15"/>
  <c r="AB298" i="15" s="1"/>
  <c r="AO298" i="15" s="1"/>
  <c r="AA298" i="15"/>
  <c r="AC298" i="15" s="1"/>
  <c r="AP298" i="15" s="1"/>
  <c r="Z314" i="15"/>
  <c r="AB314" i="15" s="1"/>
  <c r="AO314" i="15" s="1"/>
  <c r="AA314" i="15"/>
  <c r="AC314" i="15" s="1"/>
  <c r="AP314" i="15" s="1"/>
  <c r="Z330" i="15"/>
  <c r="AB330" i="15" s="1"/>
  <c r="AO330" i="15" s="1"/>
  <c r="AA330" i="15"/>
  <c r="AC330" i="15" s="1"/>
  <c r="AP330" i="15" s="1"/>
  <c r="Z346" i="15"/>
  <c r="AB346" i="15" s="1"/>
  <c r="AO346" i="15" s="1"/>
  <c r="AA346" i="15"/>
  <c r="AC346" i="15" s="1"/>
  <c r="AP346" i="15" s="1"/>
  <c r="Z362" i="15"/>
  <c r="AB362" i="15" s="1"/>
  <c r="AO362" i="15" s="1"/>
  <c r="AA362" i="15"/>
  <c r="AC362" i="15" s="1"/>
  <c r="AP362" i="15" s="1"/>
  <c r="Z378" i="15"/>
  <c r="AB378" i="15" s="1"/>
  <c r="AO378" i="15" s="1"/>
  <c r="AA378" i="15"/>
  <c r="AC378" i="15" s="1"/>
  <c r="AP378" i="15" s="1"/>
  <c r="Z394" i="15"/>
  <c r="AB394" i="15" s="1"/>
  <c r="AO394" i="15" s="1"/>
  <c r="AA394" i="15"/>
  <c r="AC394" i="15" s="1"/>
  <c r="AP394" i="15" s="1"/>
  <c r="Z410" i="15"/>
  <c r="AB410" i="15" s="1"/>
  <c r="AO410" i="15" s="1"/>
  <c r="AA410" i="15"/>
  <c r="AC410" i="15" s="1"/>
  <c r="AP410" i="15" s="1"/>
  <c r="Z426" i="15"/>
  <c r="AB426" i="15" s="1"/>
  <c r="AO426" i="15" s="1"/>
  <c r="AA426" i="15"/>
  <c r="AC426" i="15" s="1"/>
  <c r="AP426" i="15" s="1"/>
  <c r="Z442" i="15"/>
  <c r="AB442" i="15" s="1"/>
  <c r="AO442" i="15" s="1"/>
  <c r="AA442" i="15"/>
  <c r="AC442" i="15" s="1"/>
  <c r="AP442" i="15" s="1"/>
  <c r="Z458" i="15"/>
  <c r="AB458" i="15" s="1"/>
  <c r="AO458" i="15" s="1"/>
  <c r="AA458" i="15"/>
  <c r="AC458" i="15" s="1"/>
  <c r="AP458" i="15" s="1"/>
  <c r="Z474" i="15"/>
  <c r="AB474" i="15" s="1"/>
  <c r="AO474" i="15" s="1"/>
  <c r="AA474" i="15"/>
  <c r="AC474" i="15" s="1"/>
  <c r="AP474" i="15" s="1"/>
  <c r="Z490" i="15"/>
  <c r="AB490" i="15" s="1"/>
  <c r="AO490" i="15" s="1"/>
  <c r="AA490" i="15"/>
  <c r="AC490" i="15" s="1"/>
  <c r="AP490" i="15" s="1"/>
  <c r="Z506" i="15"/>
  <c r="AB506" i="15" s="1"/>
  <c r="AO506" i="15" s="1"/>
  <c r="AA506" i="15"/>
  <c r="AC506" i="15" s="1"/>
  <c r="AP506" i="15" s="1"/>
  <c r="Z10" i="15"/>
  <c r="AB10" i="15" s="1"/>
  <c r="AO10" i="15" s="1"/>
  <c r="AA10" i="15"/>
  <c r="AC10" i="15" s="1"/>
  <c r="AP10" i="15" s="1"/>
  <c r="Z29" i="15"/>
  <c r="AB29" i="15" s="1"/>
  <c r="AO29" i="15" s="1"/>
  <c r="AA29" i="15"/>
  <c r="AC29" i="15" s="1"/>
  <c r="AP29" i="15" s="1"/>
  <c r="Z45" i="15"/>
  <c r="AB45" i="15" s="1"/>
  <c r="AO45" i="15" s="1"/>
  <c r="AA45" i="15"/>
  <c r="AC45" i="15" s="1"/>
  <c r="AP45" i="15" s="1"/>
  <c r="Z61" i="15"/>
  <c r="AB61" i="15" s="1"/>
  <c r="AO61" i="15" s="1"/>
  <c r="AA61" i="15"/>
  <c r="AC61" i="15" s="1"/>
  <c r="AP61" i="15" s="1"/>
  <c r="Z77" i="15"/>
  <c r="AB77" i="15" s="1"/>
  <c r="AO77" i="15" s="1"/>
  <c r="AA77" i="15"/>
  <c r="AC77" i="15" s="1"/>
  <c r="AP77" i="15" s="1"/>
  <c r="Z93" i="15"/>
  <c r="AB93" i="15" s="1"/>
  <c r="AO93" i="15" s="1"/>
  <c r="AA93" i="15"/>
  <c r="AC93" i="15" s="1"/>
  <c r="AP93" i="15" s="1"/>
  <c r="Z109" i="15"/>
  <c r="AB109" i="15" s="1"/>
  <c r="AO109" i="15" s="1"/>
  <c r="AA109" i="15"/>
  <c r="AC109" i="15" s="1"/>
  <c r="AP109" i="15" s="1"/>
  <c r="Z125" i="15"/>
  <c r="AB125" i="15" s="1"/>
  <c r="AO125" i="15" s="1"/>
  <c r="AA125" i="15"/>
  <c r="AC125" i="15" s="1"/>
  <c r="AP125" i="15" s="1"/>
  <c r="Z141" i="15"/>
  <c r="AB141" i="15" s="1"/>
  <c r="AO141" i="15" s="1"/>
  <c r="AA141" i="15"/>
  <c r="AC141" i="15" s="1"/>
  <c r="AP141" i="15" s="1"/>
  <c r="Z157" i="15"/>
  <c r="AB157" i="15" s="1"/>
  <c r="AO157" i="15" s="1"/>
  <c r="AA157" i="15"/>
  <c r="AC157" i="15" s="1"/>
  <c r="AP157" i="15" s="1"/>
  <c r="AA173" i="15"/>
  <c r="AC173" i="15" s="1"/>
  <c r="AP173" i="15" s="1"/>
  <c r="Z173" i="15"/>
  <c r="AB173" i="15" s="1"/>
  <c r="AO173" i="15" s="1"/>
  <c r="AA189" i="15"/>
  <c r="AC189" i="15" s="1"/>
  <c r="AP189" i="15" s="1"/>
  <c r="Z189" i="15"/>
  <c r="AB189" i="15" s="1"/>
  <c r="AO189" i="15" s="1"/>
  <c r="AA205" i="15"/>
  <c r="AC205" i="15" s="1"/>
  <c r="AP205" i="15" s="1"/>
  <c r="Z205" i="15"/>
  <c r="AB205" i="15" s="1"/>
  <c r="AO205" i="15" s="1"/>
  <c r="AA221" i="15"/>
  <c r="AC221" i="15" s="1"/>
  <c r="AP221" i="15" s="1"/>
  <c r="Z221" i="15"/>
  <c r="AB221" i="15" s="1"/>
  <c r="AO221" i="15" s="1"/>
  <c r="AA237" i="15"/>
  <c r="AC237" i="15" s="1"/>
  <c r="AP237" i="15" s="1"/>
  <c r="Z237" i="15"/>
  <c r="AB237" i="15" s="1"/>
  <c r="AO237" i="15" s="1"/>
  <c r="AA253" i="15"/>
  <c r="AC253" i="15" s="1"/>
  <c r="AP253" i="15" s="1"/>
  <c r="Z253" i="15"/>
  <c r="AB253" i="15" s="1"/>
  <c r="AO253" i="15" s="1"/>
  <c r="AA269" i="15"/>
  <c r="AC269" i="15" s="1"/>
  <c r="AP269" i="15" s="1"/>
  <c r="Z269" i="15"/>
  <c r="AB269" i="15" s="1"/>
  <c r="AO269" i="15" s="1"/>
  <c r="AA285" i="15"/>
  <c r="AC285" i="15" s="1"/>
  <c r="AP285" i="15" s="1"/>
  <c r="Z285" i="15"/>
  <c r="AB285" i="15" s="1"/>
  <c r="AO285" i="15" s="1"/>
  <c r="AA301" i="15"/>
  <c r="AC301" i="15" s="1"/>
  <c r="AP301" i="15" s="1"/>
  <c r="Z301" i="15"/>
  <c r="AB301" i="15" s="1"/>
  <c r="AO301" i="15" s="1"/>
  <c r="AA317" i="15"/>
  <c r="AC317" i="15" s="1"/>
  <c r="AP317" i="15" s="1"/>
  <c r="Z317" i="15"/>
  <c r="AB317" i="15" s="1"/>
  <c r="AO317" i="15" s="1"/>
  <c r="AA333" i="15"/>
  <c r="AC333" i="15" s="1"/>
  <c r="AP333" i="15" s="1"/>
  <c r="Z333" i="15"/>
  <c r="AB333" i="15" s="1"/>
  <c r="AO333" i="15" s="1"/>
  <c r="AA349" i="15"/>
  <c r="AC349" i="15" s="1"/>
  <c r="AP349" i="15" s="1"/>
  <c r="Z349" i="15"/>
  <c r="AB349" i="15" s="1"/>
  <c r="AO349" i="15" s="1"/>
  <c r="AA365" i="15"/>
  <c r="AC365" i="15" s="1"/>
  <c r="AP365" i="15" s="1"/>
  <c r="Z365" i="15"/>
  <c r="AB365" i="15" s="1"/>
  <c r="AO365" i="15" s="1"/>
  <c r="AA381" i="15"/>
  <c r="AC381" i="15" s="1"/>
  <c r="AP381" i="15" s="1"/>
  <c r="Z381" i="15"/>
  <c r="AB381" i="15" s="1"/>
  <c r="AO381" i="15" s="1"/>
  <c r="AA397" i="15"/>
  <c r="AC397" i="15" s="1"/>
  <c r="AP397" i="15" s="1"/>
  <c r="Z397" i="15"/>
  <c r="AB397" i="15" s="1"/>
  <c r="AO397" i="15" s="1"/>
  <c r="AA413" i="15"/>
  <c r="AC413" i="15" s="1"/>
  <c r="AP413" i="15" s="1"/>
  <c r="Z413" i="15"/>
  <c r="AB413" i="15" s="1"/>
  <c r="AO413" i="15" s="1"/>
  <c r="AA429" i="15"/>
  <c r="AC429" i="15" s="1"/>
  <c r="AP429" i="15" s="1"/>
  <c r="Z429" i="15"/>
  <c r="AB429" i="15" s="1"/>
  <c r="AO429" i="15" s="1"/>
  <c r="AA445" i="15"/>
  <c r="AC445" i="15" s="1"/>
  <c r="AP445" i="15" s="1"/>
  <c r="Z445" i="15"/>
  <c r="AB445" i="15" s="1"/>
  <c r="AO445" i="15" s="1"/>
  <c r="AA461" i="15"/>
  <c r="AC461" i="15" s="1"/>
  <c r="AP461" i="15" s="1"/>
  <c r="Z461" i="15"/>
  <c r="AB461" i="15" s="1"/>
  <c r="AO461" i="15" s="1"/>
  <c r="AA477" i="15"/>
  <c r="AC477" i="15" s="1"/>
  <c r="AP477" i="15" s="1"/>
  <c r="Z477" i="15"/>
  <c r="AB477" i="15" s="1"/>
  <c r="AO477" i="15" s="1"/>
  <c r="AA493" i="15"/>
  <c r="AC493" i="15" s="1"/>
  <c r="AP493" i="15" s="1"/>
  <c r="Z493" i="15"/>
  <c r="AB493" i="15" s="1"/>
  <c r="AO493" i="15" s="1"/>
  <c r="AA509" i="15"/>
  <c r="AC509" i="15" s="1"/>
  <c r="AP509" i="15" s="1"/>
  <c r="Z509" i="15"/>
  <c r="AB509" i="15" s="1"/>
  <c r="AO509" i="15" s="1"/>
  <c r="Z6" i="64"/>
  <c r="AB6" i="64" s="1"/>
  <c r="AO6" i="64" s="1"/>
  <c r="AA6" i="64"/>
  <c r="AC6" i="64" s="1"/>
  <c r="AP6" i="64" s="1"/>
  <c r="Z13" i="64"/>
  <c r="AB13" i="64" s="1"/>
  <c r="AO13" i="64" s="1"/>
  <c r="AA13" i="64"/>
  <c r="AC13" i="64" s="1"/>
  <c r="AP13" i="64" s="1"/>
  <c r="Z16" i="64"/>
  <c r="AB16" i="64" s="1"/>
  <c r="AO16" i="64" s="1"/>
  <c r="AA16" i="64"/>
  <c r="AC16" i="64" s="1"/>
  <c r="AP16" i="64" s="1"/>
  <c r="Z24" i="64"/>
  <c r="AB24" i="64" s="1"/>
  <c r="AO24" i="64" s="1"/>
  <c r="AA24" i="64"/>
  <c r="AC24" i="64" s="1"/>
  <c r="AP24" i="64" s="1"/>
  <c r="AA19" i="64"/>
  <c r="AC19" i="64" s="1"/>
  <c r="AP19" i="64" s="1"/>
  <c r="Z19" i="64"/>
  <c r="AB19" i="64" s="1"/>
  <c r="AO19" i="64" s="1"/>
  <c r="AA19" i="60"/>
  <c r="AC19" i="60" s="1"/>
  <c r="AP19" i="60" s="1"/>
  <c r="Z19" i="60"/>
  <c r="AB19" i="60" s="1"/>
  <c r="AO19" i="60" s="1"/>
  <c r="Z18" i="60"/>
  <c r="AB18" i="60" s="1"/>
  <c r="AO18" i="60" s="1"/>
  <c r="AA18" i="60"/>
  <c r="AC18" i="60" s="1"/>
  <c r="AP18" i="60" s="1"/>
  <c r="AA6" i="60"/>
  <c r="AC6" i="60" s="1"/>
  <c r="AP6" i="60" s="1"/>
  <c r="Z6" i="60"/>
  <c r="AB6" i="60" s="1"/>
  <c r="AO6" i="60" s="1"/>
  <c r="Z24" i="60"/>
  <c r="AB24" i="60" s="1"/>
  <c r="AO24" i="60" s="1"/>
  <c r="AA24" i="60"/>
  <c r="AC24" i="60" s="1"/>
  <c r="AP24" i="60" s="1"/>
  <c r="AA40" i="46"/>
  <c r="AC40" i="46" s="1"/>
  <c r="AP40" i="46" s="1"/>
  <c r="Z40" i="46"/>
  <c r="AB40" i="46" s="1"/>
  <c r="AO40" i="46" s="1"/>
  <c r="AA16" i="46"/>
  <c r="AC16" i="46" s="1"/>
  <c r="AP16" i="46" s="1"/>
  <c r="Z16" i="46"/>
  <c r="AB16" i="46" s="1"/>
  <c r="AO16" i="46" s="1"/>
  <c r="AA6" i="46"/>
  <c r="AC6" i="46" s="1"/>
  <c r="AP6" i="46" s="1"/>
  <c r="Z6" i="46"/>
  <c r="AB6" i="46" s="1"/>
  <c r="AO6" i="46" s="1"/>
  <c r="AA48" i="46"/>
  <c r="AC48" i="46" s="1"/>
  <c r="AP48" i="46" s="1"/>
  <c r="Z48" i="46"/>
  <c r="AB48" i="46" s="1"/>
  <c r="AO48" i="46" s="1"/>
  <c r="AA44" i="46"/>
  <c r="AC44" i="46" s="1"/>
  <c r="AP44" i="46" s="1"/>
  <c r="Z44" i="46"/>
  <c r="AB44" i="46" s="1"/>
  <c r="AO44" i="46" s="1"/>
  <c r="Z8" i="46"/>
  <c r="AB8" i="46" s="1"/>
  <c r="AO8" i="46" s="1"/>
  <c r="AA8" i="46"/>
  <c r="AC8" i="46" s="1"/>
  <c r="AP8" i="46" s="1"/>
  <c r="Z21" i="46"/>
  <c r="AB21" i="46" s="1"/>
  <c r="AO21" i="46" s="1"/>
  <c r="AA21" i="46"/>
  <c r="AC21" i="46" s="1"/>
  <c r="AP21" i="46" s="1"/>
  <c r="Z35" i="46"/>
  <c r="AB35" i="46" s="1"/>
  <c r="AO35" i="46" s="1"/>
  <c r="AA35" i="46"/>
  <c r="AC35" i="46" s="1"/>
  <c r="AP35" i="46" s="1"/>
  <c r="Z51" i="46"/>
  <c r="AB51" i="46" s="1"/>
  <c r="AO51" i="46" s="1"/>
  <c r="AA51" i="46"/>
  <c r="AC51" i="46" s="1"/>
  <c r="AP51" i="46" s="1"/>
  <c r="Z67" i="46"/>
  <c r="AB67" i="46" s="1"/>
  <c r="AO67" i="46" s="1"/>
  <c r="AA67" i="46"/>
  <c r="AC67" i="46" s="1"/>
  <c r="AP67" i="46" s="1"/>
  <c r="AA7" i="46"/>
  <c r="AC7" i="46" s="1"/>
  <c r="AP7" i="46" s="1"/>
  <c r="Z7" i="46"/>
  <c r="AB7" i="46" s="1"/>
  <c r="AO7" i="46" s="1"/>
  <c r="AA19" i="46"/>
  <c r="AC19" i="46" s="1"/>
  <c r="AP19" i="46" s="1"/>
  <c r="Z19" i="46"/>
  <c r="AB19" i="46" s="1"/>
  <c r="AO19" i="46" s="1"/>
  <c r="AA34" i="46"/>
  <c r="AC34" i="46" s="1"/>
  <c r="AP34" i="46" s="1"/>
  <c r="Z34" i="46"/>
  <c r="AB34" i="46" s="1"/>
  <c r="AO34" i="46" s="1"/>
  <c r="AA50" i="46"/>
  <c r="AC50" i="46" s="1"/>
  <c r="AP50" i="46" s="1"/>
  <c r="Z50" i="46"/>
  <c r="AB50" i="46" s="1"/>
  <c r="AO50" i="46" s="1"/>
  <c r="AA66" i="46"/>
  <c r="AC66" i="46" s="1"/>
  <c r="AP66" i="46" s="1"/>
  <c r="Z66" i="46"/>
  <c r="AB66" i="46" s="1"/>
  <c r="AO66" i="46" s="1"/>
  <c r="AA82" i="46"/>
  <c r="AC82" i="46" s="1"/>
  <c r="AP82" i="46" s="1"/>
  <c r="Z82" i="46"/>
  <c r="AB82" i="46" s="1"/>
  <c r="AO82" i="46" s="1"/>
  <c r="AA18" i="46"/>
  <c r="AC18" i="46" s="1"/>
  <c r="AP18" i="46" s="1"/>
  <c r="Z18" i="46"/>
  <c r="AB18" i="46" s="1"/>
  <c r="AO18" i="46" s="1"/>
  <c r="AA37" i="46"/>
  <c r="AC37" i="46" s="1"/>
  <c r="AP37" i="46" s="1"/>
  <c r="Z37" i="46"/>
  <c r="AB37" i="46" s="1"/>
  <c r="AO37" i="46" s="1"/>
  <c r="AA53" i="46"/>
  <c r="AC53" i="46" s="1"/>
  <c r="AP53" i="46" s="1"/>
  <c r="Z53" i="46"/>
  <c r="AB53" i="46" s="1"/>
  <c r="AO53" i="46" s="1"/>
  <c r="AA69" i="46"/>
  <c r="AC69" i="46" s="1"/>
  <c r="AP69" i="46" s="1"/>
  <c r="Z69" i="46"/>
  <c r="AB69" i="46" s="1"/>
  <c r="AO69" i="46" s="1"/>
  <c r="Z17" i="6"/>
  <c r="AB17" i="6" s="1"/>
  <c r="AO17" i="6" s="1"/>
  <c r="AA17" i="6"/>
  <c r="AC17" i="6" s="1"/>
  <c r="AP17" i="6" s="1"/>
  <c r="AA7" i="6"/>
  <c r="AC7" i="6" s="1"/>
  <c r="AP7" i="6" s="1"/>
  <c r="Z7" i="6"/>
  <c r="AB7" i="6" s="1"/>
  <c r="AO7" i="6" s="1"/>
  <c r="Z10" i="6"/>
  <c r="AB10" i="6" s="1"/>
  <c r="AO10" i="6" s="1"/>
  <c r="AA10" i="6"/>
  <c r="AC10" i="6" s="1"/>
  <c r="AP10" i="6" s="1"/>
  <c r="Z23" i="6"/>
  <c r="AB23" i="6" s="1"/>
  <c r="AO23" i="6" s="1"/>
  <c r="AA23" i="6"/>
  <c r="AC23" i="6" s="1"/>
  <c r="AP23" i="6" s="1"/>
  <c r="AA14" i="6"/>
  <c r="AC14" i="6" s="1"/>
  <c r="AP14" i="6" s="1"/>
  <c r="Z14" i="6"/>
  <c r="AB14" i="6" s="1"/>
  <c r="AO14" i="6" s="1"/>
  <c r="Z9" i="20"/>
  <c r="AB9" i="20" s="1"/>
  <c r="AO9" i="20" s="1"/>
  <c r="AA9" i="20"/>
  <c r="AC9" i="20" s="1"/>
  <c r="AP9" i="20" s="1"/>
  <c r="Z61" i="20"/>
  <c r="AB61" i="20" s="1"/>
  <c r="AO61" i="20" s="1"/>
  <c r="AA61" i="20"/>
  <c r="AC61" i="20" s="1"/>
  <c r="AP61" i="20" s="1"/>
  <c r="AA19" i="20"/>
  <c r="AC19" i="20" s="1"/>
  <c r="AP19" i="20" s="1"/>
  <c r="Z19" i="20"/>
  <c r="AB19" i="20" s="1"/>
  <c r="AO19" i="20" s="1"/>
  <c r="AA20" i="20"/>
  <c r="AC20" i="20" s="1"/>
  <c r="AP20" i="20" s="1"/>
  <c r="Z20" i="20"/>
  <c r="AB20" i="20" s="1"/>
  <c r="AO20" i="20" s="1"/>
  <c r="Z53" i="20"/>
  <c r="AB53" i="20" s="1"/>
  <c r="AO53" i="20" s="1"/>
  <c r="AA53" i="20"/>
  <c r="AC53" i="20" s="1"/>
  <c r="AP53" i="20" s="1"/>
  <c r="AA26" i="20"/>
  <c r="AC26" i="20" s="1"/>
  <c r="AP26" i="20" s="1"/>
  <c r="Z26" i="20"/>
  <c r="AB26" i="20" s="1"/>
  <c r="AO26" i="20" s="1"/>
  <c r="AA58" i="20"/>
  <c r="AC58" i="20" s="1"/>
  <c r="AP58" i="20" s="1"/>
  <c r="Z58" i="20"/>
  <c r="AB58" i="20" s="1"/>
  <c r="AO58" i="20" s="1"/>
  <c r="Z25" i="20"/>
  <c r="AB25" i="20" s="1"/>
  <c r="AO25" i="20" s="1"/>
  <c r="AA25" i="20"/>
  <c r="AC25" i="20" s="1"/>
  <c r="AP25" i="20" s="1"/>
  <c r="Z57" i="20"/>
  <c r="AB57" i="20" s="1"/>
  <c r="AO57" i="20" s="1"/>
  <c r="AA57" i="20"/>
  <c r="AC57" i="20" s="1"/>
  <c r="AP57" i="20" s="1"/>
  <c r="Z15" i="20"/>
  <c r="AB15" i="20" s="1"/>
  <c r="AO15" i="20" s="1"/>
  <c r="AA15" i="20"/>
  <c r="AC15" i="20" s="1"/>
  <c r="AP15" i="20" s="1"/>
  <c r="Z28" i="20"/>
  <c r="AB28" i="20" s="1"/>
  <c r="AO28" i="20" s="1"/>
  <c r="AA28" i="20"/>
  <c r="AC28" i="20" s="1"/>
  <c r="AP28" i="20" s="1"/>
  <c r="Z44" i="20"/>
  <c r="AB44" i="20" s="1"/>
  <c r="AO44" i="20" s="1"/>
  <c r="AA44" i="20"/>
  <c r="AC44" i="20" s="1"/>
  <c r="AP44" i="20" s="1"/>
  <c r="Z60" i="20"/>
  <c r="AB60" i="20" s="1"/>
  <c r="AO60" i="20" s="1"/>
  <c r="AA60" i="20"/>
  <c r="AC60" i="20" s="1"/>
  <c r="AP60" i="20" s="1"/>
  <c r="Z76" i="20"/>
  <c r="AB76" i="20" s="1"/>
  <c r="AO76" i="20" s="1"/>
  <c r="AA76" i="20"/>
  <c r="AC76" i="20" s="1"/>
  <c r="AP76" i="20" s="1"/>
  <c r="AA13" i="20"/>
  <c r="AC13" i="20" s="1"/>
  <c r="AP13" i="20" s="1"/>
  <c r="Z13" i="20"/>
  <c r="AB13" i="20" s="1"/>
  <c r="AO13" i="20" s="1"/>
  <c r="AA22" i="20"/>
  <c r="AC22" i="20" s="1"/>
  <c r="AP22" i="20" s="1"/>
  <c r="Z22" i="20"/>
  <c r="AB22" i="20" s="1"/>
  <c r="AO22" i="20" s="1"/>
  <c r="AA39" i="20"/>
  <c r="AC39" i="20" s="1"/>
  <c r="AP39" i="20" s="1"/>
  <c r="Z39" i="20"/>
  <c r="AB39" i="20" s="1"/>
  <c r="AO39" i="20" s="1"/>
  <c r="AA55" i="20"/>
  <c r="AC55" i="20" s="1"/>
  <c r="AP55" i="20" s="1"/>
  <c r="Z55" i="20"/>
  <c r="AB55" i="20" s="1"/>
  <c r="AO55" i="20" s="1"/>
  <c r="AA71" i="20"/>
  <c r="AC71" i="20" s="1"/>
  <c r="AP71" i="20" s="1"/>
  <c r="Z71" i="20"/>
  <c r="AB71" i="20" s="1"/>
  <c r="AO71" i="20" s="1"/>
  <c r="AA41" i="47"/>
  <c r="AC41" i="47" s="1"/>
  <c r="AP41" i="47" s="1"/>
  <c r="Z41" i="47"/>
  <c r="AB41" i="47" s="1"/>
  <c r="AO41" i="47" s="1"/>
  <c r="AA37" i="47"/>
  <c r="AC37" i="47" s="1"/>
  <c r="AP37" i="47" s="1"/>
  <c r="Z37" i="47"/>
  <c r="AB37" i="47" s="1"/>
  <c r="AO37" i="47" s="1"/>
  <c r="AA49" i="47"/>
  <c r="AC49" i="47" s="1"/>
  <c r="AP49" i="47" s="1"/>
  <c r="Z49" i="47"/>
  <c r="AB49" i="47" s="1"/>
  <c r="AO49" i="47" s="1"/>
  <c r="AA29" i="47"/>
  <c r="AC29" i="47" s="1"/>
  <c r="AP29" i="47" s="1"/>
  <c r="Z29" i="47"/>
  <c r="AB29" i="47" s="1"/>
  <c r="AO29" i="47" s="1"/>
  <c r="Z15" i="47"/>
  <c r="AB15" i="47" s="1"/>
  <c r="AO15" i="47" s="1"/>
  <c r="AA15" i="47"/>
  <c r="AC15" i="47" s="1"/>
  <c r="AP15" i="47" s="1"/>
  <c r="Z28" i="47"/>
  <c r="AB28" i="47" s="1"/>
  <c r="AO28" i="47" s="1"/>
  <c r="AA28" i="47"/>
  <c r="AC28" i="47" s="1"/>
  <c r="AP28" i="47" s="1"/>
  <c r="Z44" i="47"/>
  <c r="AB44" i="47" s="1"/>
  <c r="AO44" i="47" s="1"/>
  <c r="AA44" i="47"/>
  <c r="AC44" i="47" s="1"/>
  <c r="AP44" i="47" s="1"/>
  <c r="Z60" i="47"/>
  <c r="AB60" i="47" s="1"/>
  <c r="AO60" i="47" s="1"/>
  <c r="AA60" i="47"/>
  <c r="AC60" i="47" s="1"/>
  <c r="AP60" i="47" s="1"/>
  <c r="AA13" i="47"/>
  <c r="AC13" i="47" s="1"/>
  <c r="AP13" i="47" s="1"/>
  <c r="Z13" i="47"/>
  <c r="AB13" i="47" s="1"/>
  <c r="AO13" i="47" s="1"/>
  <c r="AA22" i="47"/>
  <c r="AC22" i="47" s="1"/>
  <c r="AP22" i="47" s="1"/>
  <c r="Z22" i="47"/>
  <c r="AB22" i="47" s="1"/>
  <c r="AO22" i="47" s="1"/>
  <c r="AA39" i="47"/>
  <c r="AC39" i="47" s="1"/>
  <c r="AP39" i="47" s="1"/>
  <c r="Z39" i="47"/>
  <c r="AB39" i="47" s="1"/>
  <c r="AO39" i="47" s="1"/>
  <c r="AA55" i="47"/>
  <c r="AC55" i="47" s="1"/>
  <c r="AP55" i="47" s="1"/>
  <c r="Z55" i="47"/>
  <c r="AB55" i="47" s="1"/>
  <c r="AO55" i="47" s="1"/>
  <c r="AA7" i="47"/>
  <c r="AC7" i="47" s="1"/>
  <c r="AP7" i="47" s="1"/>
  <c r="Z7" i="47"/>
  <c r="AB7" i="47" s="1"/>
  <c r="AO7" i="47" s="1"/>
  <c r="AA20" i="47"/>
  <c r="AC20" i="47" s="1"/>
  <c r="AP20" i="47" s="1"/>
  <c r="Z20" i="47"/>
  <c r="AB20" i="47" s="1"/>
  <c r="AO20" i="47" s="1"/>
  <c r="AA38" i="47"/>
  <c r="AC38" i="47" s="1"/>
  <c r="AP38" i="47" s="1"/>
  <c r="Z38" i="47"/>
  <c r="AB38" i="47" s="1"/>
  <c r="AO38" i="47" s="1"/>
  <c r="AA54" i="47"/>
  <c r="AC54" i="47" s="1"/>
  <c r="AP54" i="47" s="1"/>
  <c r="Z54" i="47"/>
  <c r="AB54" i="47" s="1"/>
  <c r="AO54" i="47" s="1"/>
  <c r="AA17" i="30"/>
  <c r="AC17" i="30" s="1"/>
  <c r="AP17" i="30" s="1"/>
  <c r="Z17" i="30"/>
  <c r="AB17" i="30" s="1"/>
  <c r="AO17" i="30" s="1"/>
  <c r="Z16" i="30"/>
  <c r="AB16" i="30" s="1"/>
  <c r="AO16" i="30" s="1"/>
  <c r="AA16" i="30"/>
  <c r="AC16" i="30" s="1"/>
  <c r="AP16" i="30" s="1"/>
  <c r="AA14" i="30"/>
  <c r="AC14" i="30" s="1"/>
  <c r="AP14" i="30" s="1"/>
  <c r="Z14" i="30"/>
  <c r="AB14" i="30" s="1"/>
  <c r="AO14" i="30" s="1"/>
  <c r="AA7" i="30"/>
  <c r="AC7" i="30" s="1"/>
  <c r="AP7" i="30" s="1"/>
  <c r="Z7" i="30"/>
  <c r="AB7" i="30" s="1"/>
  <c r="AO7" i="30" s="1"/>
  <c r="AA20" i="30"/>
  <c r="AC20" i="30" s="1"/>
  <c r="AP20" i="30" s="1"/>
  <c r="Z20" i="30"/>
  <c r="AB20" i="30" s="1"/>
  <c r="AO20" i="30" s="1"/>
  <c r="AA9" i="34"/>
  <c r="AC9" i="34" s="1"/>
  <c r="AP9" i="34" s="1"/>
  <c r="Z9" i="34"/>
  <c r="AB9" i="34" s="1"/>
  <c r="AO9" i="34" s="1"/>
  <c r="AA38" i="28"/>
  <c r="AC38" i="28" s="1"/>
  <c r="AP38" i="28" s="1"/>
  <c r="Z38" i="28"/>
  <c r="AB38" i="28" s="1"/>
  <c r="AO38" i="28" s="1"/>
  <c r="Q30" i="68"/>
  <c r="AA420" i="15"/>
  <c r="AC420" i="15" s="1"/>
  <c r="AP420" i="15" s="1"/>
  <c r="Z420" i="15"/>
  <c r="AB420" i="15" s="1"/>
  <c r="AO420" i="15" s="1"/>
  <c r="AA292" i="15"/>
  <c r="AC292" i="15" s="1"/>
  <c r="AP292" i="15" s="1"/>
  <c r="Z292" i="15"/>
  <c r="AB292" i="15" s="1"/>
  <c r="AO292" i="15" s="1"/>
  <c r="Z127" i="15"/>
  <c r="AB127" i="15" s="1"/>
  <c r="AO127" i="15" s="1"/>
  <c r="AA127" i="15"/>
  <c r="AC127" i="15" s="1"/>
  <c r="AP127" i="15" s="1"/>
  <c r="AA60" i="15"/>
  <c r="AC60" i="15" s="1"/>
  <c r="AP60" i="15" s="1"/>
  <c r="Z60" i="15"/>
  <c r="AB60" i="15" s="1"/>
  <c r="AO60" i="15" s="1"/>
  <c r="AC202" i="65"/>
  <c r="AP202" i="65" s="1"/>
  <c r="Z202" i="65"/>
  <c r="AB202" i="65" s="1"/>
  <c r="AO202" i="65" s="1"/>
  <c r="Z10" i="63"/>
  <c r="AB10" i="63" s="1"/>
  <c r="AO10" i="63" s="1"/>
  <c r="AA10" i="63"/>
  <c r="AC10" i="63" s="1"/>
  <c r="AP10" i="63" s="1"/>
  <c r="AA19" i="63"/>
  <c r="AC19" i="63" s="1"/>
  <c r="AP19" i="63" s="1"/>
  <c r="Z19" i="63"/>
  <c r="AB19" i="63" s="1"/>
  <c r="AO19" i="63" s="1"/>
  <c r="AA7" i="63"/>
  <c r="AC7" i="63" s="1"/>
  <c r="AP7" i="63" s="1"/>
  <c r="Z7" i="63"/>
  <c r="AB7" i="63" s="1"/>
  <c r="AO7" i="63" s="1"/>
  <c r="AA5" i="63"/>
  <c r="AC5" i="63" s="1"/>
  <c r="Z5" i="63"/>
  <c r="AB5" i="63" s="1"/>
  <c r="AA22" i="32"/>
  <c r="AC22" i="32" s="1"/>
  <c r="AP22" i="32" s="1"/>
  <c r="Z22" i="32"/>
  <c r="AB22" i="32" s="1"/>
  <c r="AO22" i="32" s="1"/>
  <c r="AA91" i="32"/>
  <c r="AC91" i="32" s="1"/>
  <c r="AP91" i="32" s="1"/>
  <c r="Z91" i="32"/>
  <c r="AB91" i="32" s="1"/>
  <c r="AO91" i="32" s="1"/>
  <c r="AA69" i="32"/>
  <c r="AC69" i="32" s="1"/>
  <c r="AP69" i="32" s="1"/>
  <c r="Z69" i="32"/>
  <c r="AB69" i="32" s="1"/>
  <c r="AO69" i="32" s="1"/>
  <c r="Z54" i="32"/>
  <c r="AB54" i="32" s="1"/>
  <c r="AO54" i="32" s="1"/>
  <c r="AA54" i="32"/>
  <c r="AC54" i="32" s="1"/>
  <c r="AP54" i="32" s="1"/>
  <c r="Z126" i="32"/>
  <c r="AB126" i="32" s="1"/>
  <c r="AO126" i="32" s="1"/>
  <c r="AA126" i="32"/>
  <c r="AC126" i="32" s="1"/>
  <c r="AP126" i="32" s="1"/>
  <c r="Z158" i="32"/>
  <c r="AB158" i="32" s="1"/>
  <c r="AO158" i="32" s="1"/>
  <c r="AA158" i="32"/>
  <c r="AC158" i="32" s="1"/>
  <c r="AP158" i="32" s="1"/>
  <c r="AA35" i="32"/>
  <c r="AC35" i="32" s="1"/>
  <c r="AP35" i="32" s="1"/>
  <c r="Z35" i="32"/>
  <c r="AB35" i="32" s="1"/>
  <c r="AO35" i="32" s="1"/>
  <c r="AA31" i="32"/>
  <c r="AC31" i="32" s="1"/>
  <c r="AP31" i="32" s="1"/>
  <c r="Z31" i="32"/>
  <c r="AB31" i="32" s="1"/>
  <c r="AO31" i="32" s="1"/>
  <c r="AA63" i="32"/>
  <c r="AC63" i="32" s="1"/>
  <c r="AP63" i="32" s="1"/>
  <c r="Z63" i="32"/>
  <c r="AB63" i="32" s="1"/>
  <c r="AO63" i="32" s="1"/>
  <c r="AA83" i="32"/>
  <c r="AC83" i="32" s="1"/>
  <c r="AP83" i="32" s="1"/>
  <c r="Z83" i="32"/>
  <c r="AB83" i="32" s="1"/>
  <c r="AO83" i="32" s="1"/>
  <c r="AA115" i="32"/>
  <c r="AC115" i="32" s="1"/>
  <c r="AP115" i="32" s="1"/>
  <c r="Z115" i="32"/>
  <c r="AB115" i="32" s="1"/>
  <c r="AO115" i="32" s="1"/>
  <c r="AA147" i="32"/>
  <c r="AC147" i="32" s="1"/>
  <c r="AP147" i="32" s="1"/>
  <c r="Z147" i="32"/>
  <c r="AB147" i="32" s="1"/>
  <c r="AO147" i="32" s="1"/>
  <c r="AA9" i="32"/>
  <c r="AC9" i="32" s="1"/>
  <c r="AP9" i="32" s="1"/>
  <c r="Z9" i="32"/>
  <c r="AB9" i="32" s="1"/>
  <c r="AO9" i="32" s="1"/>
  <c r="AA29" i="32"/>
  <c r="AC29" i="32" s="1"/>
  <c r="AP29" i="32" s="1"/>
  <c r="Z29" i="32"/>
  <c r="AB29" i="32" s="1"/>
  <c r="AO29" i="32" s="1"/>
  <c r="AA55" i="32"/>
  <c r="AC55" i="32" s="1"/>
  <c r="AP55" i="32" s="1"/>
  <c r="Z55" i="32"/>
  <c r="AB55" i="32" s="1"/>
  <c r="AO55" i="32" s="1"/>
  <c r="Z74" i="32"/>
  <c r="AB74" i="32" s="1"/>
  <c r="AO74" i="32" s="1"/>
  <c r="AA74" i="32"/>
  <c r="AC74" i="32" s="1"/>
  <c r="AP74" i="32" s="1"/>
  <c r="Z106" i="32"/>
  <c r="AB106" i="32" s="1"/>
  <c r="AO106" i="32" s="1"/>
  <c r="AA106" i="32"/>
  <c r="AC106" i="32" s="1"/>
  <c r="AP106" i="32" s="1"/>
  <c r="Z138" i="32"/>
  <c r="AB138" i="32" s="1"/>
  <c r="AO138" i="32" s="1"/>
  <c r="AA138" i="32"/>
  <c r="AC138" i="32" s="1"/>
  <c r="AP138" i="32" s="1"/>
  <c r="Z170" i="32"/>
  <c r="AB170" i="32" s="1"/>
  <c r="AO170" i="32" s="1"/>
  <c r="AA170" i="32"/>
  <c r="AC170" i="32" s="1"/>
  <c r="AP170" i="32" s="1"/>
  <c r="AA14" i="32"/>
  <c r="AC14" i="32" s="1"/>
  <c r="AP14" i="32" s="1"/>
  <c r="Z14" i="32"/>
  <c r="AB14" i="32" s="1"/>
  <c r="AO14" i="32" s="1"/>
  <c r="AA33" i="32"/>
  <c r="AC33" i="32" s="1"/>
  <c r="AP33" i="32" s="1"/>
  <c r="Z33" i="32"/>
  <c r="AB33" i="32" s="1"/>
  <c r="AO33" i="32" s="1"/>
  <c r="AA59" i="32"/>
  <c r="AC59" i="32" s="1"/>
  <c r="AP59" i="32" s="1"/>
  <c r="Z59" i="32"/>
  <c r="AB59" i="32" s="1"/>
  <c r="AO59" i="32" s="1"/>
  <c r="AA87" i="32"/>
  <c r="AC87" i="32" s="1"/>
  <c r="AP87" i="32" s="1"/>
  <c r="Z87" i="32"/>
  <c r="AB87" i="32" s="1"/>
  <c r="AO87" i="32" s="1"/>
  <c r="AA119" i="32"/>
  <c r="AC119" i="32" s="1"/>
  <c r="AP119" i="32" s="1"/>
  <c r="Z119" i="32"/>
  <c r="AB119" i="32" s="1"/>
  <c r="AO119" i="32" s="1"/>
  <c r="AA151" i="32"/>
  <c r="AC151" i="32" s="1"/>
  <c r="AP151" i="32" s="1"/>
  <c r="Z151" i="32"/>
  <c r="AB151" i="32" s="1"/>
  <c r="AO151" i="32" s="1"/>
  <c r="Z81" i="32"/>
  <c r="AB81" i="32" s="1"/>
  <c r="AO81" i="32" s="1"/>
  <c r="AA81" i="32"/>
  <c r="AC81" i="32" s="1"/>
  <c r="AP81" i="32" s="1"/>
  <c r="Z97" i="32"/>
  <c r="AB97" i="32" s="1"/>
  <c r="AO97" i="32" s="1"/>
  <c r="AA97" i="32"/>
  <c r="AC97" i="32" s="1"/>
  <c r="AP97" i="32" s="1"/>
  <c r="Z113" i="32"/>
  <c r="AB113" i="32" s="1"/>
  <c r="AO113" i="32" s="1"/>
  <c r="AA113" i="32"/>
  <c r="AC113" i="32" s="1"/>
  <c r="AP113" i="32" s="1"/>
  <c r="Z129" i="32"/>
  <c r="AB129" i="32" s="1"/>
  <c r="AO129" i="32" s="1"/>
  <c r="AA129" i="32"/>
  <c r="AC129" i="32" s="1"/>
  <c r="AP129" i="32" s="1"/>
  <c r="Z145" i="32"/>
  <c r="AB145" i="32" s="1"/>
  <c r="AO145" i="32" s="1"/>
  <c r="AA145" i="32"/>
  <c r="AC145" i="32" s="1"/>
  <c r="AP145" i="32" s="1"/>
  <c r="Z161" i="32"/>
  <c r="AB161" i="32" s="1"/>
  <c r="AO161" i="32" s="1"/>
  <c r="AA161" i="32"/>
  <c r="AC161" i="32" s="1"/>
  <c r="AP161" i="32" s="1"/>
  <c r="AA8" i="32"/>
  <c r="AC8" i="32" s="1"/>
  <c r="AP8" i="32" s="1"/>
  <c r="Z8" i="32"/>
  <c r="AB8" i="32" s="1"/>
  <c r="AO8" i="32" s="1"/>
  <c r="AA24" i="32"/>
  <c r="AC24" i="32" s="1"/>
  <c r="AP24" i="32" s="1"/>
  <c r="Z24" i="32"/>
  <c r="AB24" i="32" s="1"/>
  <c r="AO24" i="32" s="1"/>
  <c r="AA40" i="32"/>
  <c r="AC40" i="32" s="1"/>
  <c r="AP40" i="32" s="1"/>
  <c r="Z40" i="32"/>
  <c r="AB40" i="32" s="1"/>
  <c r="AO40" i="32" s="1"/>
  <c r="AA56" i="32"/>
  <c r="AC56" i="32" s="1"/>
  <c r="AP56" i="32" s="1"/>
  <c r="Z56" i="32"/>
  <c r="AB56" i="32" s="1"/>
  <c r="AO56" i="32" s="1"/>
  <c r="AA72" i="32"/>
  <c r="AC72" i="32" s="1"/>
  <c r="AP72" i="32" s="1"/>
  <c r="Z72" i="32"/>
  <c r="AB72" i="32" s="1"/>
  <c r="AO72" i="32" s="1"/>
  <c r="AA88" i="32"/>
  <c r="AC88" i="32" s="1"/>
  <c r="AP88" i="32" s="1"/>
  <c r="Z88" i="32"/>
  <c r="AB88" i="32" s="1"/>
  <c r="AO88" i="32" s="1"/>
  <c r="AA104" i="32"/>
  <c r="AC104" i="32" s="1"/>
  <c r="AP104" i="32" s="1"/>
  <c r="Z104" i="32"/>
  <c r="AB104" i="32" s="1"/>
  <c r="AO104" i="32" s="1"/>
  <c r="AA120" i="32"/>
  <c r="AC120" i="32" s="1"/>
  <c r="AP120" i="32" s="1"/>
  <c r="Z120" i="32"/>
  <c r="AB120" i="32" s="1"/>
  <c r="AO120" i="32" s="1"/>
  <c r="AA136" i="32"/>
  <c r="AC136" i="32" s="1"/>
  <c r="AP136" i="32" s="1"/>
  <c r="Z136" i="32"/>
  <c r="AB136" i="32" s="1"/>
  <c r="AO136" i="32" s="1"/>
  <c r="AA152" i="32"/>
  <c r="AC152" i="32" s="1"/>
  <c r="AP152" i="32" s="1"/>
  <c r="Z152" i="32"/>
  <c r="AB152" i="32" s="1"/>
  <c r="AO152" i="32" s="1"/>
  <c r="AA168" i="32"/>
  <c r="AC168" i="32" s="1"/>
  <c r="AP168" i="32" s="1"/>
  <c r="Z168" i="32"/>
  <c r="AB168" i="32" s="1"/>
  <c r="AO168" i="32" s="1"/>
  <c r="Z19" i="39"/>
  <c r="AB19" i="39" s="1"/>
  <c r="AO19" i="39" s="1"/>
  <c r="AA19" i="39"/>
  <c r="AC19" i="39" s="1"/>
  <c r="AP19" i="39" s="1"/>
  <c r="AA8" i="39"/>
  <c r="AC8" i="39" s="1"/>
  <c r="AP8" i="39" s="1"/>
  <c r="Z8" i="39"/>
  <c r="AB8" i="39" s="1"/>
  <c r="AO8" i="39" s="1"/>
  <c r="Z7" i="39"/>
  <c r="AB7" i="39" s="1"/>
  <c r="AO7" i="39" s="1"/>
  <c r="AA7" i="39"/>
  <c r="AC7" i="39" s="1"/>
  <c r="AP7" i="39" s="1"/>
  <c r="Z50" i="39"/>
  <c r="AB50" i="39" s="1"/>
  <c r="AO50" i="39" s="1"/>
  <c r="AA50" i="39"/>
  <c r="AC50" i="39" s="1"/>
  <c r="AP50" i="39" s="1"/>
  <c r="AA21" i="39"/>
  <c r="AC21" i="39" s="1"/>
  <c r="AP21" i="39" s="1"/>
  <c r="Z21" i="39"/>
  <c r="AB21" i="39" s="1"/>
  <c r="AO21" i="39" s="1"/>
  <c r="AA47" i="39"/>
  <c r="AC47" i="39" s="1"/>
  <c r="AP47" i="39" s="1"/>
  <c r="Z47" i="39"/>
  <c r="AB47" i="39" s="1"/>
  <c r="AO47" i="39" s="1"/>
  <c r="AA18" i="39"/>
  <c r="AC18" i="39" s="1"/>
  <c r="AP18" i="39" s="1"/>
  <c r="Z18" i="39"/>
  <c r="AB18" i="39" s="1"/>
  <c r="AO18" i="39" s="1"/>
  <c r="AA37" i="39"/>
  <c r="AC37" i="39" s="1"/>
  <c r="AP37" i="39" s="1"/>
  <c r="Z37" i="39"/>
  <c r="AB37" i="39" s="1"/>
  <c r="AO37" i="39" s="1"/>
  <c r="AA6" i="39"/>
  <c r="AC6" i="39" s="1"/>
  <c r="AP6" i="39" s="1"/>
  <c r="Z6" i="39"/>
  <c r="AB6" i="39" s="1"/>
  <c r="AO6" i="39" s="1"/>
  <c r="AA24" i="39"/>
  <c r="AC24" i="39" s="1"/>
  <c r="AP24" i="39" s="1"/>
  <c r="Z24" i="39"/>
  <c r="AB24" i="39" s="1"/>
  <c r="AO24" i="39" s="1"/>
  <c r="AA40" i="39"/>
  <c r="AC40" i="39" s="1"/>
  <c r="AP40" i="39" s="1"/>
  <c r="Z40" i="39"/>
  <c r="AB40" i="39" s="1"/>
  <c r="AO40" i="39" s="1"/>
  <c r="AA6" i="34"/>
  <c r="AC6" i="34" s="1"/>
  <c r="AP6" i="34" s="1"/>
  <c r="Z6" i="34"/>
  <c r="AB6" i="34" s="1"/>
  <c r="AO6" i="34" s="1"/>
  <c r="AA7" i="34"/>
  <c r="AC7" i="34" s="1"/>
  <c r="AP7" i="34" s="1"/>
  <c r="Z7" i="34"/>
  <c r="AB7" i="34" s="1"/>
  <c r="AO7" i="34" s="1"/>
  <c r="AA17" i="34"/>
  <c r="AC17" i="34" s="1"/>
  <c r="AP17" i="34" s="1"/>
  <c r="Z17" i="34"/>
  <c r="AB17" i="34" s="1"/>
  <c r="AO17" i="34" s="1"/>
  <c r="AA12" i="34"/>
  <c r="AC12" i="34" s="1"/>
  <c r="AP12" i="34" s="1"/>
  <c r="Z12" i="34"/>
  <c r="AB12" i="34" s="1"/>
  <c r="AO12" i="34" s="1"/>
  <c r="Z15" i="3"/>
  <c r="AB15" i="3" s="1"/>
  <c r="AO15" i="3" s="1"/>
  <c r="AA15" i="3"/>
  <c r="AC15" i="3" s="1"/>
  <c r="AP15" i="3" s="1"/>
  <c r="AA5" i="3"/>
  <c r="AC5" i="3" s="1"/>
  <c r="Z5" i="3"/>
  <c r="AB5" i="3" s="1"/>
  <c r="AA7" i="3"/>
  <c r="AC7" i="3" s="1"/>
  <c r="AP7" i="3" s="1"/>
  <c r="Z7" i="3"/>
  <c r="AB7" i="3" s="1"/>
  <c r="AO7" i="3" s="1"/>
  <c r="Z20" i="3"/>
  <c r="AB20" i="3" s="1"/>
  <c r="AO20" i="3" s="1"/>
  <c r="AA20" i="3"/>
  <c r="AC20" i="3" s="1"/>
  <c r="AP20" i="3" s="1"/>
  <c r="Z19" i="37"/>
  <c r="AB19" i="37" s="1"/>
  <c r="AO19" i="37" s="1"/>
  <c r="AA19" i="37"/>
  <c r="AC19" i="37" s="1"/>
  <c r="AP19" i="37" s="1"/>
  <c r="AA10" i="37"/>
  <c r="AC10" i="37" s="1"/>
  <c r="AP10" i="37" s="1"/>
  <c r="Z10" i="37"/>
  <c r="AB10" i="37" s="1"/>
  <c r="AO10" i="37" s="1"/>
  <c r="AA15" i="37"/>
  <c r="AC15" i="37" s="1"/>
  <c r="AP15" i="37" s="1"/>
  <c r="Z15" i="37"/>
  <c r="AB15" i="37" s="1"/>
  <c r="AO15" i="37" s="1"/>
  <c r="Z8" i="52"/>
  <c r="AB8" i="52" s="1"/>
  <c r="AO8" i="52" s="1"/>
  <c r="AA8" i="52"/>
  <c r="AC8" i="52" s="1"/>
  <c r="AP8" i="52" s="1"/>
  <c r="Z16" i="52"/>
  <c r="AB16" i="52" s="1"/>
  <c r="AO16" i="52" s="1"/>
  <c r="AA16" i="52"/>
  <c r="AC16" i="52" s="1"/>
  <c r="AP16" i="52" s="1"/>
  <c r="Z10" i="52"/>
  <c r="AB10" i="52" s="1"/>
  <c r="AO10" i="52" s="1"/>
  <c r="AA10" i="52"/>
  <c r="AC10" i="52" s="1"/>
  <c r="AP10" i="52" s="1"/>
  <c r="AA9" i="52"/>
  <c r="AC9" i="52" s="1"/>
  <c r="AP9" i="52" s="1"/>
  <c r="Z9" i="52"/>
  <c r="AB9" i="52" s="1"/>
  <c r="AO9" i="52" s="1"/>
  <c r="AA13" i="52"/>
  <c r="AC13" i="52" s="1"/>
  <c r="AP13" i="52" s="1"/>
  <c r="Z13" i="52"/>
  <c r="AB13" i="52" s="1"/>
  <c r="AO13" i="52" s="1"/>
  <c r="AA22" i="52"/>
  <c r="AC22" i="52" s="1"/>
  <c r="AP22" i="52" s="1"/>
  <c r="Z22" i="52"/>
  <c r="AB22" i="52" s="1"/>
  <c r="AO22" i="52" s="1"/>
  <c r="Z5" i="74"/>
  <c r="AB5" i="74" s="1"/>
  <c r="AA5" i="74"/>
  <c r="AC5" i="74" s="1"/>
  <c r="Z21" i="74"/>
  <c r="AB21" i="74" s="1"/>
  <c r="AO21" i="74" s="1"/>
  <c r="AA21" i="74"/>
  <c r="AC21" i="74" s="1"/>
  <c r="AP21" i="74" s="1"/>
  <c r="AA16" i="74"/>
  <c r="AC16" i="74" s="1"/>
  <c r="AP16" i="74" s="1"/>
  <c r="Z16" i="74"/>
  <c r="AB16" i="74" s="1"/>
  <c r="AO16" i="74" s="1"/>
  <c r="AA19" i="74"/>
  <c r="AC19" i="74" s="1"/>
  <c r="AP19" i="74" s="1"/>
  <c r="Z19" i="74"/>
  <c r="AB19" i="74" s="1"/>
  <c r="AO19" i="74" s="1"/>
  <c r="AA17" i="74"/>
  <c r="AC17" i="74" s="1"/>
  <c r="AP17" i="74" s="1"/>
  <c r="Z17" i="74"/>
  <c r="AB17" i="74" s="1"/>
  <c r="AO17" i="74" s="1"/>
  <c r="AA8" i="19"/>
  <c r="AC8" i="19" s="1"/>
  <c r="AP8" i="19" s="1"/>
  <c r="Z8" i="19"/>
  <c r="AB8" i="19" s="1"/>
  <c r="AO8" i="19" s="1"/>
  <c r="AA22" i="19"/>
  <c r="AC22" i="19" s="1"/>
  <c r="AP22" i="19" s="1"/>
  <c r="Z22" i="19"/>
  <c r="AB22" i="19" s="1"/>
  <c r="AO22" i="19" s="1"/>
  <c r="AA10" i="19"/>
  <c r="AC10" i="19" s="1"/>
  <c r="AP10" i="19" s="1"/>
  <c r="Z10" i="19"/>
  <c r="AB10" i="19" s="1"/>
  <c r="AO10" i="19" s="1"/>
  <c r="AA15" i="19"/>
  <c r="AC15" i="19" s="1"/>
  <c r="AP15" i="19" s="1"/>
  <c r="Z15" i="19"/>
  <c r="AB15" i="19" s="1"/>
  <c r="AO15" i="19" s="1"/>
  <c r="Z209" i="65"/>
  <c r="AB209" i="65" s="1"/>
  <c r="AO209" i="65" s="1"/>
  <c r="AC209" i="65"/>
  <c r="Z229" i="65"/>
  <c r="AB229" i="65" s="1"/>
  <c r="AO229" i="65" s="1"/>
  <c r="AC229" i="65"/>
  <c r="AP229" i="65" s="1"/>
  <c r="AC196" i="65"/>
  <c r="AP196" i="65" s="1"/>
  <c r="Z196" i="65"/>
  <c r="AB196" i="65" s="1"/>
  <c r="AO196" i="65" s="1"/>
  <c r="AC212" i="65"/>
  <c r="AP212" i="65" s="1"/>
  <c r="Z212" i="65"/>
  <c r="AB212" i="65" s="1"/>
  <c r="AO212" i="65" s="1"/>
  <c r="AC228" i="65"/>
  <c r="Z228" i="65"/>
  <c r="AB228" i="65" s="1"/>
  <c r="AO228" i="65" s="1"/>
  <c r="Z197" i="65"/>
  <c r="AB197" i="65" s="1"/>
  <c r="AO197" i="65" s="1"/>
  <c r="AC197" i="65"/>
  <c r="AP197" i="65" s="1"/>
  <c r="Z187" i="65"/>
  <c r="AB187" i="65" s="1"/>
  <c r="AO187" i="65" s="1"/>
  <c r="AC187" i="65"/>
  <c r="AP187" i="65" s="1"/>
  <c r="Z203" i="65"/>
  <c r="AB203" i="65" s="1"/>
  <c r="AO203" i="65" s="1"/>
  <c r="AC203" i="65"/>
  <c r="AP203" i="65" s="1"/>
  <c r="AC219" i="65"/>
  <c r="AP219" i="65" s="1"/>
  <c r="Z219" i="65"/>
  <c r="AB219" i="65" s="1"/>
  <c r="AO219" i="65" s="1"/>
  <c r="AA20" i="28"/>
  <c r="AC20" i="28" s="1"/>
  <c r="AP20" i="28" s="1"/>
  <c r="Z20" i="28"/>
  <c r="AB20" i="28" s="1"/>
  <c r="AO20" i="28" s="1"/>
  <c r="AA11" i="28"/>
  <c r="AC11" i="28" s="1"/>
  <c r="AP11" i="28" s="1"/>
  <c r="Z11" i="28"/>
  <c r="AB11" i="28" s="1"/>
  <c r="AO11" i="28" s="1"/>
  <c r="Z18" i="28"/>
  <c r="AB18" i="28" s="1"/>
  <c r="AO18" i="28" s="1"/>
  <c r="AA18" i="28"/>
  <c r="AC18" i="28" s="1"/>
  <c r="AP18" i="28" s="1"/>
  <c r="AA7" i="28"/>
  <c r="AC7" i="28" s="1"/>
  <c r="AP7" i="28" s="1"/>
  <c r="Z7" i="28"/>
  <c r="AB7" i="28" s="1"/>
  <c r="AO7" i="28" s="1"/>
  <c r="Z6" i="28"/>
  <c r="AB6" i="28" s="1"/>
  <c r="AO6" i="28" s="1"/>
  <c r="AA6" i="28"/>
  <c r="AC6" i="28" s="1"/>
  <c r="AP6" i="28" s="1"/>
  <c r="AA24" i="28"/>
  <c r="AC24" i="28" s="1"/>
  <c r="AP24" i="28" s="1"/>
  <c r="Z24" i="28"/>
  <c r="AB24" i="28" s="1"/>
  <c r="AO24" i="28" s="1"/>
  <c r="AA40" i="28"/>
  <c r="AC40" i="28" s="1"/>
  <c r="AP40" i="28" s="1"/>
  <c r="Z40" i="28"/>
  <c r="AB40" i="28" s="1"/>
  <c r="AO40" i="28" s="1"/>
  <c r="AA8" i="28"/>
  <c r="AC8" i="28" s="1"/>
  <c r="AP8" i="28" s="1"/>
  <c r="Z8" i="28"/>
  <c r="AB8" i="28" s="1"/>
  <c r="AO8" i="28" s="1"/>
  <c r="AA21" i="28"/>
  <c r="AC21" i="28" s="1"/>
  <c r="AP21" i="28" s="1"/>
  <c r="Z21" i="28"/>
  <c r="AB21" i="28" s="1"/>
  <c r="AO21" i="28" s="1"/>
  <c r="AA35" i="28"/>
  <c r="AC35" i="28" s="1"/>
  <c r="AP35" i="28" s="1"/>
  <c r="Z35" i="28"/>
  <c r="AB35" i="28" s="1"/>
  <c r="AO35" i="28" s="1"/>
  <c r="Z5" i="70"/>
  <c r="AB5" i="70" s="1"/>
  <c r="AA5" i="70"/>
  <c r="AC5" i="70" s="1"/>
  <c r="Z8" i="70"/>
  <c r="AB8" i="70" s="1"/>
  <c r="AO8" i="70" s="1"/>
  <c r="AA8" i="70"/>
  <c r="AC8" i="70" s="1"/>
  <c r="AP8" i="70" s="1"/>
  <c r="Z11" i="70"/>
  <c r="AB11" i="70" s="1"/>
  <c r="AO11" i="70" s="1"/>
  <c r="AA11" i="70"/>
  <c r="AC11" i="70" s="1"/>
  <c r="AP11" i="70" s="1"/>
  <c r="AA9" i="70"/>
  <c r="AC9" i="70" s="1"/>
  <c r="AP9" i="70" s="1"/>
  <c r="Z9" i="70"/>
  <c r="AB9" i="70" s="1"/>
  <c r="AO9" i="70" s="1"/>
  <c r="AA19" i="38"/>
  <c r="AC19" i="38" s="1"/>
  <c r="AP19" i="38" s="1"/>
  <c r="Z19" i="38"/>
  <c r="AB19" i="38" s="1"/>
  <c r="AO19" i="38" s="1"/>
  <c r="AA12" i="38"/>
  <c r="AC12" i="38" s="1"/>
  <c r="AP12" i="38" s="1"/>
  <c r="Z12" i="38"/>
  <c r="AB12" i="38" s="1"/>
  <c r="AO12" i="38" s="1"/>
  <c r="Z15" i="38"/>
  <c r="AB15" i="38" s="1"/>
  <c r="AO15" i="38" s="1"/>
  <c r="AA15" i="38"/>
  <c r="AC15" i="38" s="1"/>
  <c r="AP15" i="38" s="1"/>
  <c r="AA5" i="38"/>
  <c r="AC5" i="38" s="1"/>
  <c r="Z5" i="38"/>
  <c r="AB5" i="38" s="1"/>
  <c r="AA7" i="24"/>
  <c r="AC7" i="24" s="1"/>
  <c r="AP7" i="24" s="1"/>
  <c r="Z7" i="24"/>
  <c r="AB7" i="24" s="1"/>
  <c r="AO7" i="24" s="1"/>
  <c r="AA19" i="24"/>
  <c r="AC19" i="24" s="1"/>
  <c r="AP19" i="24" s="1"/>
  <c r="Z19" i="24"/>
  <c r="AB19" i="24" s="1"/>
  <c r="AO19" i="24" s="1"/>
  <c r="AA12" i="24"/>
  <c r="AC12" i="24" s="1"/>
  <c r="AP12" i="24" s="1"/>
  <c r="Z12" i="24"/>
  <c r="AB12" i="24" s="1"/>
  <c r="AO12" i="24" s="1"/>
  <c r="AA15" i="24"/>
  <c r="AC15" i="24" s="1"/>
  <c r="AP15" i="24" s="1"/>
  <c r="Z15" i="24"/>
  <c r="AB15" i="24" s="1"/>
  <c r="AO15" i="24" s="1"/>
  <c r="AA28" i="24"/>
  <c r="AC28" i="24" s="1"/>
  <c r="AP28" i="24" s="1"/>
  <c r="Z28" i="24"/>
  <c r="AB28" i="24" s="1"/>
  <c r="AO28" i="24" s="1"/>
  <c r="AA14" i="24"/>
  <c r="AC14" i="24" s="1"/>
  <c r="AP14" i="24" s="1"/>
  <c r="Z14" i="24"/>
  <c r="AB14" i="24" s="1"/>
  <c r="AO14" i="24" s="1"/>
  <c r="AA27" i="24"/>
  <c r="AC27" i="24" s="1"/>
  <c r="AP27" i="24" s="1"/>
  <c r="Z27" i="24"/>
  <c r="AB27" i="24" s="1"/>
  <c r="AO27" i="24" s="1"/>
  <c r="Z12" i="59"/>
  <c r="AB12" i="59" s="1"/>
  <c r="AO12" i="59" s="1"/>
  <c r="AA12" i="59"/>
  <c r="AC12" i="59" s="1"/>
  <c r="AP12" i="59" s="1"/>
  <c r="AA16" i="59"/>
  <c r="AC16" i="59" s="1"/>
  <c r="AP16" i="59" s="1"/>
  <c r="Z16" i="59"/>
  <c r="AB16" i="59" s="1"/>
  <c r="AO16" i="59" s="1"/>
  <c r="AA20" i="59"/>
  <c r="AC20" i="59" s="1"/>
  <c r="AP20" i="59" s="1"/>
  <c r="Z20" i="59"/>
  <c r="AB20" i="59" s="1"/>
  <c r="AO20" i="59" s="1"/>
  <c r="Z8" i="59"/>
  <c r="AB8" i="59" s="1"/>
  <c r="AO8" i="59" s="1"/>
  <c r="AA8" i="59"/>
  <c r="AC8" i="59" s="1"/>
  <c r="AP8" i="59" s="1"/>
  <c r="AA9" i="59"/>
  <c r="AC9" i="59" s="1"/>
  <c r="AP9" i="59" s="1"/>
  <c r="Z9" i="59"/>
  <c r="AB9" i="59" s="1"/>
  <c r="AO9" i="59" s="1"/>
  <c r="Z12" i="58"/>
  <c r="AB12" i="58" s="1"/>
  <c r="AO12" i="58" s="1"/>
  <c r="AA12" i="58"/>
  <c r="AC12" i="58" s="1"/>
  <c r="AP12" i="58" s="1"/>
  <c r="Z7" i="58"/>
  <c r="AB7" i="58" s="1"/>
  <c r="AO7" i="58" s="1"/>
  <c r="AA7" i="58"/>
  <c r="AC7" i="58" s="1"/>
  <c r="AP7" i="58" s="1"/>
  <c r="AA21" i="58"/>
  <c r="AC21" i="58" s="1"/>
  <c r="AP21" i="58" s="1"/>
  <c r="Z21" i="58"/>
  <c r="AB21" i="58" s="1"/>
  <c r="AO21" i="58" s="1"/>
  <c r="AA17" i="58"/>
  <c r="AC17" i="58" s="1"/>
  <c r="AP17" i="58" s="1"/>
  <c r="Z17" i="58"/>
  <c r="AB17" i="58" s="1"/>
  <c r="AO17" i="58" s="1"/>
  <c r="AA16" i="58"/>
  <c r="AC16" i="58" s="1"/>
  <c r="AP16" i="58" s="1"/>
  <c r="Z16" i="58"/>
  <c r="AB16" i="58" s="1"/>
  <c r="AO16" i="58" s="1"/>
  <c r="Z27" i="69"/>
  <c r="AB27" i="69" s="1"/>
  <c r="AO27" i="69" s="1"/>
  <c r="AA27" i="69"/>
  <c r="AC27" i="69" s="1"/>
  <c r="AP27" i="69" s="1"/>
  <c r="AA23" i="69"/>
  <c r="AC23" i="69" s="1"/>
  <c r="AP23" i="69" s="1"/>
  <c r="Z23" i="69"/>
  <c r="AB23" i="69" s="1"/>
  <c r="AO23" i="69" s="1"/>
  <c r="AA32" i="69"/>
  <c r="AC32" i="69" s="1"/>
  <c r="AP32" i="69" s="1"/>
  <c r="Z32" i="69"/>
  <c r="AB32" i="69" s="1"/>
  <c r="AO32" i="69" s="1"/>
  <c r="AA64" i="69"/>
  <c r="AC64" i="69" s="1"/>
  <c r="AP64" i="69" s="1"/>
  <c r="Z64" i="69"/>
  <c r="AB64" i="69" s="1"/>
  <c r="AO64" i="69" s="1"/>
  <c r="AA15" i="69"/>
  <c r="AC15" i="69" s="1"/>
  <c r="AP15" i="69" s="1"/>
  <c r="Z15" i="69"/>
  <c r="AB15" i="69" s="1"/>
  <c r="AO15" i="69" s="1"/>
  <c r="Z31" i="69"/>
  <c r="AB31" i="69" s="1"/>
  <c r="AO31" i="69" s="1"/>
  <c r="AA31" i="69"/>
  <c r="AC31" i="69" s="1"/>
  <c r="AP31" i="69" s="1"/>
  <c r="Z63" i="69"/>
  <c r="AB63" i="69" s="1"/>
  <c r="AO63" i="69" s="1"/>
  <c r="AA63" i="69"/>
  <c r="AC63" i="69" s="1"/>
  <c r="AP63" i="69" s="1"/>
  <c r="AA28" i="69"/>
  <c r="AC28" i="69" s="1"/>
  <c r="AP28" i="69" s="1"/>
  <c r="Z28" i="69"/>
  <c r="AB28" i="69" s="1"/>
  <c r="AO28" i="69" s="1"/>
  <c r="AA60" i="69"/>
  <c r="AC60" i="69" s="1"/>
  <c r="AP60" i="69" s="1"/>
  <c r="Z60" i="69"/>
  <c r="AB60" i="69" s="1"/>
  <c r="AO60" i="69" s="1"/>
  <c r="Z30" i="69"/>
  <c r="AB30" i="69" s="1"/>
  <c r="AO30" i="69" s="1"/>
  <c r="AA30" i="69"/>
  <c r="AC30" i="69" s="1"/>
  <c r="AP30" i="69" s="1"/>
  <c r="Z62" i="69"/>
  <c r="AB62" i="69" s="1"/>
  <c r="AO62" i="69" s="1"/>
  <c r="AA62" i="69"/>
  <c r="AC62" i="69" s="1"/>
  <c r="AP62" i="69" s="1"/>
  <c r="AA17" i="69"/>
  <c r="AC17" i="69" s="1"/>
  <c r="AP17" i="69" s="1"/>
  <c r="Z17" i="69"/>
  <c r="AB17" i="69" s="1"/>
  <c r="AO17" i="69" s="1"/>
  <c r="AA33" i="69"/>
  <c r="AC33" i="69" s="1"/>
  <c r="AP33" i="69" s="1"/>
  <c r="Z33" i="69"/>
  <c r="AB33" i="69" s="1"/>
  <c r="AO33" i="69" s="1"/>
  <c r="AA65" i="69"/>
  <c r="AC65" i="69" s="1"/>
  <c r="AP65" i="69" s="1"/>
  <c r="Z65" i="69"/>
  <c r="AB65" i="69" s="1"/>
  <c r="AO65" i="69" s="1"/>
  <c r="AA172" i="15"/>
  <c r="AC172" i="15" s="1"/>
  <c r="Z172" i="15"/>
  <c r="AB172" i="15" s="1"/>
  <c r="AO172" i="15" s="1"/>
  <c r="AA16" i="56"/>
  <c r="AC16" i="56" s="1"/>
  <c r="AP16" i="56" s="1"/>
  <c r="Z16" i="56"/>
  <c r="AB16" i="56" s="1"/>
  <c r="AO16" i="56" s="1"/>
  <c r="Z23" i="56"/>
  <c r="AB23" i="56" s="1"/>
  <c r="AO23" i="56" s="1"/>
  <c r="AA23" i="56"/>
  <c r="AC23" i="56" s="1"/>
  <c r="AP23" i="56" s="1"/>
  <c r="Z24" i="56"/>
  <c r="AB24" i="56" s="1"/>
  <c r="AO24" i="56" s="1"/>
  <c r="AA24" i="56"/>
  <c r="AC24" i="56" s="1"/>
  <c r="AP24" i="56" s="1"/>
  <c r="AA14" i="56"/>
  <c r="AC14" i="56" s="1"/>
  <c r="AP14" i="56" s="1"/>
  <c r="Z14" i="56"/>
  <c r="AB14" i="56" s="1"/>
  <c r="AO14" i="56" s="1"/>
  <c r="Z11" i="41"/>
  <c r="AB11" i="41" s="1"/>
  <c r="AO11" i="41" s="1"/>
  <c r="AA11" i="41"/>
  <c r="AC11" i="41" s="1"/>
  <c r="AP11" i="41" s="1"/>
  <c r="Z12" i="41"/>
  <c r="AB12" i="41" s="1"/>
  <c r="AO12" i="41" s="1"/>
  <c r="AA12" i="41"/>
  <c r="AC12" i="41" s="1"/>
  <c r="AP12" i="41" s="1"/>
  <c r="AA10" i="41"/>
  <c r="AC10" i="41" s="1"/>
  <c r="AP10" i="41" s="1"/>
  <c r="Z10" i="41"/>
  <c r="AB10" i="41" s="1"/>
  <c r="AO10" i="41" s="1"/>
  <c r="AA22" i="41"/>
  <c r="AC22" i="41" s="1"/>
  <c r="AP22" i="41" s="1"/>
  <c r="Z22" i="41"/>
  <c r="AB22" i="41" s="1"/>
  <c r="AO22" i="41" s="1"/>
  <c r="AA23" i="41"/>
  <c r="AC23" i="41" s="1"/>
  <c r="AP23" i="41" s="1"/>
  <c r="Z23" i="41"/>
  <c r="AB23" i="41" s="1"/>
  <c r="AO23" i="41" s="1"/>
  <c r="AA23" i="26"/>
  <c r="AC23" i="26" s="1"/>
  <c r="AP23" i="26" s="1"/>
  <c r="Z23" i="26"/>
  <c r="AB23" i="26" s="1"/>
  <c r="AO23" i="26" s="1"/>
  <c r="Z12" i="26"/>
  <c r="AB12" i="26" s="1"/>
  <c r="AO12" i="26" s="1"/>
  <c r="AA12" i="26"/>
  <c r="AC12" i="26" s="1"/>
  <c r="AP12" i="26" s="1"/>
  <c r="AA10" i="26"/>
  <c r="AC10" i="26" s="1"/>
  <c r="AP10" i="26" s="1"/>
  <c r="Z10" i="26"/>
  <c r="AB10" i="26" s="1"/>
  <c r="AO10" i="26" s="1"/>
  <c r="AA52" i="22"/>
  <c r="AC52" i="22" s="1"/>
  <c r="AP52" i="22" s="1"/>
  <c r="Z52" i="22"/>
  <c r="AB52" i="22" s="1"/>
  <c r="AO52" i="22" s="1"/>
  <c r="AA108" i="15"/>
  <c r="AC108" i="15" s="1"/>
  <c r="AP108" i="15" s="1"/>
  <c r="Z108" i="15"/>
  <c r="AB108" i="15" s="1"/>
  <c r="AO108" i="15" s="1"/>
  <c r="Z20" i="49"/>
  <c r="AB20" i="49" s="1"/>
  <c r="AO20" i="49" s="1"/>
  <c r="AA20" i="49"/>
  <c r="AC20" i="49" s="1"/>
  <c r="AP20" i="49" s="1"/>
  <c r="AA13" i="49"/>
  <c r="AC13" i="49" s="1"/>
  <c r="AP13" i="49" s="1"/>
  <c r="Z13" i="49"/>
  <c r="AB13" i="49" s="1"/>
  <c r="AO13" i="49" s="1"/>
  <c r="AA9" i="49"/>
  <c r="AC9" i="49" s="1"/>
  <c r="AP9" i="49" s="1"/>
  <c r="Z9" i="49"/>
  <c r="AB9" i="49" s="1"/>
  <c r="AO9" i="49" s="1"/>
  <c r="AA6" i="49"/>
  <c r="AC6" i="49" s="1"/>
  <c r="AP6" i="49" s="1"/>
  <c r="Z6" i="49"/>
  <c r="AB6" i="49" s="1"/>
  <c r="AO6" i="49" s="1"/>
  <c r="AA24" i="49"/>
  <c r="AC24" i="49" s="1"/>
  <c r="AP24" i="49" s="1"/>
  <c r="Z24" i="49"/>
  <c r="AB24" i="49" s="1"/>
  <c r="AO24" i="49" s="1"/>
  <c r="AA9" i="45"/>
  <c r="AC9" i="45" s="1"/>
  <c r="AP9" i="45" s="1"/>
  <c r="Z9" i="45"/>
  <c r="AB9" i="45" s="1"/>
  <c r="AO9" i="45" s="1"/>
  <c r="AA10" i="45"/>
  <c r="AC10" i="45" s="1"/>
  <c r="AP10" i="45" s="1"/>
  <c r="Z10" i="45"/>
  <c r="AB10" i="45" s="1"/>
  <c r="AO10" i="45" s="1"/>
  <c r="AA8" i="45"/>
  <c r="AC8" i="45" s="1"/>
  <c r="AP8" i="45" s="1"/>
  <c r="Z8" i="45"/>
  <c r="AB8" i="45" s="1"/>
  <c r="AO8" i="45" s="1"/>
  <c r="Z21" i="45"/>
  <c r="AB21" i="45" s="1"/>
  <c r="AO21" i="45" s="1"/>
  <c r="AA21" i="45"/>
  <c r="AC21" i="45" s="1"/>
  <c r="AP21" i="45" s="1"/>
  <c r="AA12" i="45"/>
  <c r="AC12" i="45" s="1"/>
  <c r="AP12" i="45" s="1"/>
  <c r="Z12" i="45"/>
  <c r="AB12" i="45" s="1"/>
  <c r="AO12" i="45" s="1"/>
  <c r="AA18" i="21"/>
  <c r="AC18" i="21" s="1"/>
  <c r="AP18" i="21" s="1"/>
  <c r="Z18" i="21"/>
  <c r="AB18" i="21" s="1"/>
  <c r="AO18" i="21" s="1"/>
  <c r="Z6" i="21"/>
  <c r="AB6" i="21" s="1"/>
  <c r="AO6" i="21" s="1"/>
  <c r="AA6" i="21"/>
  <c r="AC6" i="21" s="1"/>
  <c r="AP6" i="21" s="1"/>
  <c r="AA5" i="21"/>
  <c r="AC5" i="21" s="1"/>
  <c r="Z5" i="21"/>
  <c r="AB5" i="21" s="1"/>
  <c r="AA11" i="21"/>
  <c r="AC11" i="21" s="1"/>
  <c r="AP11" i="21" s="1"/>
  <c r="Z11" i="21"/>
  <c r="AB11" i="21" s="1"/>
  <c r="AO11" i="21" s="1"/>
  <c r="Z21" i="54"/>
  <c r="AB21" i="54" s="1"/>
  <c r="AO21" i="54" s="1"/>
  <c r="AA21" i="54"/>
  <c r="AC21" i="54" s="1"/>
  <c r="AP21" i="54" s="1"/>
  <c r="AA6" i="54"/>
  <c r="AC6" i="54" s="1"/>
  <c r="AP6" i="54" s="1"/>
  <c r="Z6" i="54"/>
  <c r="AB6" i="54" s="1"/>
  <c r="AO6" i="54" s="1"/>
  <c r="Z7" i="54"/>
  <c r="AB7" i="54" s="1"/>
  <c r="AO7" i="54" s="1"/>
  <c r="AA7" i="54"/>
  <c r="AC7" i="54" s="1"/>
  <c r="AP7" i="54" s="1"/>
  <c r="Z5" i="54"/>
  <c r="AB5" i="54" s="1"/>
  <c r="AA5" i="54"/>
  <c r="AC5" i="54" s="1"/>
  <c r="AA20" i="54"/>
  <c r="AC20" i="54" s="1"/>
  <c r="AP20" i="54" s="1"/>
  <c r="Z20" i="54"/>
  <c r="AB20" i="54" s="1"/>
  <c r="AO20" i="54" s="1"/>
  <c r="Z17" i="54"/>
  <c r="AB17" i="54" s="1"/>
  <c r="AO17" i="54" s="1"/>
  <c r="AA17" i="54"/>
  <c r="AC17" i="54" s="1"/>
  <c r="AP17" i="54" s="1"/>
  <c r="Z20" i="72"/>
  <c r="AB20" i="72" s="1"/>
  <c r="AO20" i="72" s="1"/>
  <c r="AA20" i="72"/>
  <c r="AC20" i="72" s="1"/>
  <c r="AP20" i="72" s="1"/>
  <c r="AA8" i="72"/>
  <c r="AC8" i="72" s="1"/>
  <c r="AP8" i="72" s="1"/>
  <c r="Z8" i="72"/>
  <c r="AB8" i="72" s="1"/>
  <c r="AO8" i="72" s="1"/>
  <c r="Z17" i="72"/>
  <c r="AB17" i="72" s="1"/>
  <c r="AO17" i="72" s="1"/>
  <c r="AA17" i="72"/>
  <c r="AC17" i="72" s="1"/>
  <c r="AP17" i="72" s="1"/>
  <c r="AA16" i="72"/>
  <c r="AC16" i="72" s="1"/>
  <c r="AP16" i="72" s="1"/>
  <c r="Z16" i="72"/>
  <c r="AB16" i="72" s="1"/>
  <c r="AO16" i="72" s="1"/>
  <c r="AA17" i="55"/>
  <c r="AC17" i="55" s="1"/>
  <c r="AP17" i="55" s="1"/>
  <c r="Z17" i="55"/>
  <c r="AB17" i="55" s="1"/>
  <c r="AO17" i="55" s="1"/>
  <c r="Z10" i="55"/>
  <c r="AB10" i="55" s="1"/>
  <c r="AO10" i="55" s="1"/>
  <c r="AA10" i="55"/>
  <c r="AC10" i="55" s="1"/>
  <c r="AP10" i="55" s="1"/>
  <c r="AA22" i="55"/>
  <c r="AC22" i="55" s="1"/>
  <c r="AP22" i="55" s="1"/>
  <c r="Z22" i="55"/>
  <c r="AB22" i="55" s="1"/>
  <c r="AO22" i="55" s="1"/>
  <c r="AA9" i="55"/>
  <c r="AC9" i="55" s="1"/>
  <c r="AP9" i="55" s="1"/>
  <c r="Z9" i="55"/>
  <c r="AB9" i="55" s="1"/>
  <c r="AO9" i="55" s="1"/>
  <c r="AA16" i="55"/>
  <c r="AC16" i="55" s="1"/>
  <c r="AP16" i="55" s="1"/>
  <c r="Z16" i="55"/>
  <c r="AB16" i="55" s="1"/>
  <c r="AO16" i="55" s="1"/>
  <c r="AA24" i="53"/>
  <c r="AC24" i="53" s="1"/>
  <c r="AP24" i="53" s="1"/>
  <c r="Z24" i="53"/>
  <c r="AB24" i="53" s="1"/>
  <c r="AO24" i="53" s="1"/>
  <c r="Z17" i="53"/>
  <c r="AB17" i="53" s="1"/>
  <c r="AO17" i="53" s="1"/>
  <c r="AA17" i="53"/>
  <c r="AC17" i="53" s="1"/>
  <c r="AP17" i="53" s="1"/>
  <c r="AA26" i="53"/>
  <c r="AC26" i="53" s="1"/>
  <c r="AP26" i="53" s="1"/>
  <c r="Z26" i="53"/>
  <c r="AB26" i="53" s="1"/>
  <c r="AO26" i="53" s="1"/>
  <c r="AA10" i="53"/>
  <c r="AC10" i="53" s="1"/>
  <c r="AP10" i="53" s="1"/>
  <c r="Z10" i="53"/>
  <c r="AB10" i="53" s="1"/>
  <c r="AO10" i="53" s="1"/>
  <c r="Z8" i="53"/>
  <c r="AB8" i="53" s="1"/>
  <c r="AO8" i="53" s="1"/>
  <c r="AA8" i="53"/>
  <c r="AC8" i="53" s="1"/>
  <c r="AP8" i="53" s="1"/>
  <c r="AA38" i="53"/>
  <c r="AC38" i="53" s="1"/>
  <c r="AP38" i="53" s="1"/>
  <c r="Z38" i="53"/>
  <c r="AB38" i="53" s="1"/>
  <c r="AO38" i="53" s="1"/>
  <c r="AA34" i="53"/>
  <c r="AC34" i="53" s="1"/>
  <c r="AP34" i="53" s="1"/>
  <c r="Z34" i="53"/>
  <c r="AB34" i="53" s="1"/>
  <c r="AO34" i="53" s="1"/>
  <c r="Z44" i="53"/>
  <c r="AB44" i="53" s="1"/>
  <c r="AO44" i="53" s="1"/>
  <c r="AA44" i="53"/>
  <c r="AC44" i="53" s="1"/>
  <c r="AP44" i="53" s="1"/>
  <c r="AA11" i="53"/>
  <c r="AC11" i="53" s="1"/>
  <c r="AP11" i="53" s="1"/>
  <c r="Z11" i="53"/>
  <c r="AB11" i="53" s="1"/>
  <c r="AO11" i="53" s="1"/>
  <c r="Z33" i="53"/>
  <c r="AB33" i="53" s="1"/>
  <c r="AO33" i="53" s="1"/>
  <c r="AA33" i="53"/>
  <c r="AC33" i="53" s="1"/>
  <c r="AP33" i="53" s="1"/>
  <c r="Z52" i="53"/>
  <c r="AB52" i="53" s="1"/>
  <c r="AO52" i="53" s="1"/>
  <c r="AA52" i="53"/>
  <c r="AC52" i="53" s="1"/>
  <c r="AP52" i="53" s="1"/>
  <c r="AA27" i="53"/>
  <c r="AC27" i="53" s="1"/>
  <c r="AP27" i="53" s="1"/>
  <c r="Z27" i="53"/>
  <c r="AB27" i="53" s="1"/>
  <c r="AO27" i="53" s="1"/>
  <c r="AA43" i="53"/>
  <c r="AC43" i="53" s="1"/>
  <c r="AP43" i="53" s="1"/>
  <c r="Z43" i="53"/>
  <c r="AB43" i="53" s="1"/>
  <c r="AO43" i="53" s="1"/>
  <c r="AA27" i="5"/>
  <c r="AC27" i="5" s="1"/>
  <c r="AP27" i="5" s="1"/>
  <c r="Z27" i="5"/>
  <c r="AB27" i="5" s="1"/>
  <c r="AO27" i="5" s="1"/>
  <c r="Z46" i="5"/>
  <c r="AB46" i="5" s="1"/>
  <c r="AO46" i="5" s="1"/>
  <c r="AA46" i="5"/>
  <c r="AC46" i="5" s="1"/>
  <c r="AP46" i="5" s="1"/>
  <c r="AA15" i="5"/>
  <c r="AC15" i="5" s="1"/>
  <c r="AP15" i="5" s="1"/>
  <c r="Z15" i="5"/>
  <c r="AB15" i="5" s="1"/>
  <c r="AO15" i="5" s="1"/>
  <c r="Z14" i="5"/>
  <c r="AB14" i="5" s="1"/>
  <c r="AO14" i="5" s="1"/>
  <c r="AA14" i="5"/>
  <c r="AC14" i="5" s="1"/>
  <c r="AP14" i="5" s="1"/>
  <c r="Z37" i="5"/>
  <c r="AB37" i="5" s="1"/>
  <c r="AO37" i="5" s="1"/>
  <c r="AA37" i="5"/>
  <c r="AC37" i="5" s="1"/>
  <c r="AP37" i="5" s="1"/>
  <c r="AA7" i="5"/>
  <c r="AC7" i="5" s="1"/>
  <c r="AP7" i="5" s="1"/>
  <c r="Z7" i="5"/>
  <c r="AB7" i="5" s="1"/>
  <c r="AO7" i="5" s="1"/>
  <c r="AA20" i="5"/>
  <c r="AC20" i="5" s="1"/>
  <c r="AP20" i="5" s="1"/>
  <c r="Z20" i="5"/>
  <c r="AB20" i="5" s="1"/>
  <c r="AO20" i="5" s="1"/>
  <c r="AA41" i="5"/>
  <c r="AC41" i="5" s="1"/>
  <c r="AP41" i="5" s="1"/>
  <c r="Z41" i="5"/>
  <c r="AB41" i="5" s="1"/>
  <c r="AO41" i="5" s="1"/>
  <c r="Z21" i="5"/>
  <c r="AB21" i="5" s="1"/>
  <c r="AO21" i="5" s="1"/>
  <c r="AA21" i="5"/>
  <c r="AC21" i="5" s="1"/>
  <c r="AP21" i="5" s="1"/>
  <c r="AA17" i="5"/>
  <c r="AC17" i="5" s="1"/>
  <c r="AP17" i="5" s="1"/>
  <c r="Z17" i="5"/>
  <c r="AB17" i="5" s="1"/>
  <c r="AO17" i="5" s="1"/>
  <c r="AA39" i="5"/>
  <c r="AC39" i="5" s="1"/>
  <c r="AP39" i="5" s="1"/>
  <c r="Z39" i="5"/>
  <c r="AB39" i="5" s="1"/>
  <c r="AO39" i="5" s="1"/>
  <c r="AA32" i="5"/>
  <c r="AC32" i="5" s="1"/>
  <c r="AP32" i="5" s="1"/>
  <c r="Z32" i="5"/>
  <c r="AB32" i="5" s="1"/>
  <c r="AO32" i="5" s="1"/>
  <c r="AA48" i="5"/>
  <c r="AC48" i="5" s="1"/>
  <c r="AP48" i="5" s="1"/>
  <c r="Z48" i="5"/>
  <c r="AB48" i="5" s="1"/>
  <c r="AO48" i="5" s="1"/>
  <c r="AA10" i="14"/>
  <c r="AC10" i="14" s="1"/>
  <c r="AP10" i="14" s="1"/>
  <c r="Z10" i="14"/>
  <c r="AB10" i="14" s="1"/>
  <c r="AO10" i="14" s="1"/>
  <c r="Z6" i="14"/>
  <c r="AB6" i="14" s="1"/>
  <c r="AO6" i="14" s="1"/>
  <c r="AA6" i="14"/>
  <c r="AC6" i="14" s="1"/>
  <c r="AP6" i="14" s="1"/>
  <c r="Z23" i="14"/>
  <c r="AB23" i="14" s="1"/>
  <c r="AO23" i="14" s="1"/>
  <c r="AA23" i="14"/>
  <c r="AC23" i="14" s="1"/>
  <c r="AP23" i="14" s="1"/>
  <c r="Z24" i="14"/>
  <c r="AB24" i="14" s="1"/>
  <c r="AO24" i="14" s="1"/>
  <c r="AA24" i="14"/>
  <c r="AC24" i="14" s="1"/>
  <c r="AP24" i="14" s="1"/>
  <c r="AA19" i="14"/>
  <c r="AC19" i="14" s="1"/>
  <c r="AP19" i="14" s="1"/>
  <c r="Z19" i="14"/>
  <c r="AB19" i="14" s="1"/>
  <c r="AO19" i="14" s="1"/>
  <c r="AA10" i="12"/>
  <c r="AC10" i="12" s="1"/>
  <c r="AP10" i="12" s="1"/>
  <c r="Z10" i="12"/>
  <c r="AB10" i="12" s="1"/>
  <c r="AO10" i="12" s="1"/>
  <c r="AA25" i="12"/>
  <c r="AC25" i="12" s="1"/>
  <c r="AP25" i="12" s="1"/>
  <c r="Z25" i="12"/>
  <c r="AB25" i="12" s="1"/>
  <c r="AO25" i="12" s="1"/>
  <c r="Z44" i="12"/>
  <c r="AB44" i="12" s="1"/>
  <c r="AO44" i="12" s="1"/>
  <c r="AA44" i="12"/>
  <c r="AC44" i="12" s="1"/>
  <c r="AP44" i="12" s="1"/>
  <c r="AA18" i="12"/>
  <c r="AC18" i="12" s="1"/>
  <c r="AP18" i="12" s="1"/>
  <c r="Z18" i="12"/>
  <c r="AB18" i="12" s="1"/>
  <c r="AO18" i="12" s="1"/>
  <c r="Z35" i="12"/>
  <c r="AB35" i="12" s="1"/>
  <c r="AO35" i="12" s="1"/>
  <c r="AA35" i="12"/>
  <c r="AC35" i="12" s="1"/>
  <c r="AP35" i="12" s="1"/>
  <c r="Z16" i="12"/>
  <c r="AB16" i="12" s="1"/>
  <c r="AO16" i="12" s="1"/>
  <c r="AA16" i="12"/>
  <c r="AC16" i="12" s="1"/>
  <c r="AP16" i="12" s="1"/>
  <c r="AA39" i="12"/>
  <c r="AC39" i="12" s="1"/>
  <c r="AP39" i="12" s="1"/>
  <c r="Z39" i="12"/>
  <c r="AB39" i="12" s="1"/>
  <c r="AO39" i="12" s="1"/>
  <c r="Z5" i="12"/>
  <c r="AB5" i="12" s="1"/>
  <c r="AA5" i="12"/>
  <c r="AC5" i="12" s="1"/>
  <c r="AA27" i="12"/>
  <c r="AC27" i="12" s="1"/>
  <c r="AP27" i="12" s="1"/>
  <c r="Z27" i="12"/>
  <c r="AB27" i="12" s="1"/>
  <c r="AO27" i="12" s="1"/>
  <c r="AA7" i="12"/>
  <c r="AC7" i="12" s="1"/>
  <c r="AP7" i="12" s="1"/>
  <c r="Z7" i="12"/>
  <c r="AB7" i="12" s="1"/>
  <c r="AO7" i="12" s="1"/>
  <c r="AA20" i="12"/>
  <c r="AC20" i="12" s="1"/>
  <c r="AP20" i="12" s="1"/>
  <c r="Z20" i="12"/>
  <c r="AB20" i="12" s="1"/>
  <c r="AO20" i="12" s="1"/>
  <c r="AA38" i="12"/>
  <c r="AC38" i="12" s="1"/>
  <c r="AP38" i="12" s="1"/>
  <c r="Z38" i="12"/>
  <c r="AB38" i="12" s="1"/>
  <c r="AO38" i="12" s="1"/>
  <c r="AA18" i="62"/>
  <c r="AC18" i="62" s="1"/>
  <c r="AP18" i="62" s="1"/>
  <c r="Z18" i="62"/>
  <c r="AB18" i="62" s="1"/>
  <c r="AO18" i="62" s="1"/>
  <c r="N58" i="67"/>
  <c r="O58" i="67"/>
  <c r="AA7" i="23"/>
  <c r="AC7" i="23" s="1"/>
  <c r="AP7" i="23" s="1"/>
  <c r="Z7" i="23"/>
  <c r="AB7" i="23" s="1"/>
  <c r="AO7" i="23" s="1"/>
  <c r="Z15" i="16"/>
  <c r="AB15" i="16" s="1"/>
  <c r="AO15" i="16" s="1"/>
  <c r="AA15" i="16"/>
  <c r="AC15" i="16" s="1"/>
  <c r="AP15" i="16" s="1"/>
  <c r="AA316" i="15"/>
  <c r="AC316" i="15" s="1"/>
  <c r="AP316" i="15" s="1"/>
  <c r="Z316" i="15"/>
  <c r="AB316" i="15" s="1"/>
  <c r="AO316" i="15" s="1"/>
  <c r="AA7" i="15"/>
  <c r="AC7" i="15" s="1"/>
  <c r="AP7" i="15" s="1"/>
  <c r="Z7" i="15"/>
  <c r="AB7" i="15" s="1"/>
  <c r="AO7" i="15" s="1"/>
  <c r="AA9" i="36"/>
  <c r="AC9" i="36" s="1"/>
  <c r="AP9" i="36" s="1"/>
  <c r="Z9" i="36"/>
  <c r="AB9" i="36" s="1"/>
  <c r="AO9" i="36" s="1"/>
  <c r="Z9" i="44"/>
  <c r="AB9" i="44" s="1"/>
  <c r="AO9" i="44" s="1"/>
  <c r="AA9" i="44"/>
  <c r="AC9" i="44" s="1"/>
  <c r="AP9" i="44" s="1"/>
  <c r="AA16" i="44"/>
  <c r="AC16" i="44" s="1"/>
  <c r="AP16" i="44" s="1"/>
  <c r="Z16" i="44"/>
  <c r="AB16" i="44" s="1"/>
  <c r="AO16" i="44" s="1"/>
  <c r="AA21" i="44"/>
  <c r="AC21" i="44" s="1"/>
  <c r="AP21" i="44" s="1"/>
  <c r="Z21" i="44"/>
  <c r="AB21" i="44" s="1"/>
  <c r="AO21" i="44" s="1"/>
  <c r="AA16" i="18"/>
  <c r="AC16" i="18" s="1"/>
  <c r="AP16" i="18" s="1"/>
  <c r="Z16" i="18"/>
  <c r="AB16" i="18" s="1"/>
  <c r="AO16" i="18" s="1"/>
  <c r="AA8" i="18"/>
  <c r="AC8" i="18" s="1"/>
  <c r="AP8" i="18" s="1"/>
  <c r="Z8" i="18"/>
  <c r="AB8" i="18" s="1"/>
  <c r="AO8" i="18" s="1"/>
  <c r="AA9" i="25"/>
  <c r="AC9" i="25" s="1"/>
  <c r="AP9" i="25" s="1"/>
  <c r="Z9" i="25"/>
  <c r="AB9" i="25" s="1"/>
  <c r="AO9" i="25" s="1"/>
  <c r="AA10" i="25"/>
  <c r="AC10" i="25" s="1"/>
  <c r="AP10" i="25" s="1"/>
  <c r="Z10" i="25"/>
  <c r="AB10" i="25" s="1"/>
  <c r="AO10" i="25" s="1"/>
  <c r="AA8" i="25"/>
  <c r="AC8" i="25" s="1"/>
  <c r="AP8" i="25" s="1"/>
  <c r="Z8" i="25"/>
  <c r="AB8" i="25" s="1"/>
  <c r="AO8" i="25" s="1"/>
  <c r="AA12" i="25"/>
  <c r="AC12" i="25" s="1"/>
  <c r="AP12" i="25" s="1"/>
  <c r="Z12" i="25"/>
  <c r="AB12" i="25" s="1"/>
  <c r="AO12" i="25" s="1"/>
  <c r="Z15" i="61"/>
  <c r="AB15" i="61" s="1"/>
  <c r="AO15" i="61" s="1"/>
  <c r="AA15" i="61"/>
  <c r="AC15" i="61" s="1"/>
  <c r="AP15" i="61" s="1"/>
  <c r="Z23" i="61"/>
  <c r="AB23" i="61" s="1"/>
  <c r="AO23" i="61" s="1"/>
  <c r="AA23" i="61"/>
  <c r="AC23" i="61" s="1"/>
  <c r="AP23" i="61" s="1"/>
  <c r="Z5" i="61"/>
  <c r="AB5" i="61" s="1"/>
  <c r="AA5" i="61"/>
  <c r="AC5" i="61" s="1"/>
  <c r="AA11" i="61"/>
  <c r="AC11" i="61" s="1"/>
  <c r="AP11" i="61" s="1"/>
  <c r="Z11" i="61"/>
  <c r="AB11" i="61" s="1"/>
  <c r="AO11" i="61" s="1"/>
  <c r="Z20" i="75"/>
  <c r="AB20" i="75" s="1"/>
  <c r="AO20" i="75" s="1"/>
  <c r="AA20" i="75"/>
  <c r="AC20" i="75" s="1"/>
  <c r="AP20" i="75" s="1"/>
  <c r="Z6" i="75"/>
  <c r="AB6" i="75" s="1"/>
  <c r="AO6" i="75" s="1"/>
  <c r="AA6" i="75"/>
  <c r="AC6" i="75" s="1"/>
  <c r="AP6" i="75" s="1"/>
  <c r="AA55" i="75"/>
  <c r="AC55" i="75" s="1"/>
  <c r="AP55" i="75" s="1"/>
  <c r="Z55" i="75"/>
  <c r="AB55" i="75" s="1"/>
  <c r="AO55" i="75" s="1"/>
  <c r="AA13" i="75"/>
  <c r="AC13" i="75" s="1"/>
  <c r="AP13" i="75" s="1"/>
  <c r="Z13" i="75"/>
  <c r="AB13" i="75" s="1"/>
  <c r="AO13" i="75" s="1"/>
  <c r="AA11" i="75"/>
  <c r="AC11" i="75" s="1"/>
  <c r="AP11" i="75" s="1"/>
  <c r="Z11" i="75"/>
  <c r="AB11" i="75" s="1"/>
  <c r="AO11" i="75" s="1"/>
  <c r="AA22" i="75"/>
  <c r="AC22" i="75" s="1"/>
  <c r="AP22" i="75" s="1"/>
  <c r="Z22" i="75"/>
  <c r="AB22" i="75" s="1"/>
  <c r="AO22" i="75" s="1"/>
  <c r="Z54" i="75"/>
  <c r="AB54" i="75" s="1"/>
  <c r="AO54" i="75" s="1"/>
  <c r="AA54" i="75"/>
  <c r="AC54" i="75" s="1"/>
  <c r="AP54" i="75" s="1"/>
  <c r="AA51" i="75"/>
  <c r="AC51" i="75" s="1"/>
  <c r="AP51" i="75" s="1"/>
  <c r="Z51" i="75"/>
  <c r="AB51" i="75" s="1"/>
  <c r="AO51" i="75" s="1"/>
  <c r="Z34" i="75"/>
  <c r="AB34" i="75" s="1"/>
  <c r="AO34" i="75" s="1"/>
  <c r="AA34" i="75"/>
  <c r="AC34" i="75" s="1"/>
  <c r="AP34" i="75" s="1"/>
  <c r="Z66" i="75"/>
  <c r="AB66" i="75" s="1"/>
  <c r="AO66" i="75" s="1"/>
  <c r="AA66" i="75"/>
  <c r="AC66" i="75" s="1"/>
  <c r="AP66" i="75" s="1"/>
  <c r="Z37" i="75"/>
  <c r="AB37" i="75" s="1"/>
  <c r="AO37" i="75" s="1"/>
  <c r="AA37" i="75"/>
  <c r="AC37" i="75" s="1"/>
  <c r="AP37" i="75" s="1"/>
  <c r="Z53" i="75"/>
  <c r="AB53" i="75" s="1"/>
  <c r="AO53" i="75" s="1"/>
  <c r="AA53" i="75"/>
  <c r="AC53" i="75" s="1"/>
  <c r="AP53" i="75" s="1"/>
  <c r="AA23" i="75"/>
  <c r="AC23" i="75" s="1"/>
  <c r="AP23" i="75" s="1"/>
  <c r="Z23" i="75"/>
  <c r="AB23" i="75" s="1"/>
  <c r="AO23" i="75" s="1"/>
  <c r="AA36" i="75"/>
  <c r="AC36" i="75" s="1"/>
  <c r="AP36" i="75" s="1"/>
  <c r="Z36" i="75"/>
  <c r="AB36" i="75" s="1"/>
  <c r="AO36" i="75" s="1"/>
  <c r="AA52" i="75"/>
  <c r="AC52" i="75" s="1"/>
  <c r="AP52" i="75" s="1"/>
  <c r="Z52" i="75"/>
  <c r="AB52" i="75" s="1"/>
  <c r="AO52" i="75" s="1"/>
  <c r="AA31" i="66"/>
  <c r="AC31" i="66" s="1"/>
  <c r="AP31" i="66" s="1"/>
  <c r="Z31" i="66"/>
  <c r="AB31" i="66" s="1"/>
  <c r="AO31" i="66" s="1"/>
  <c r="AA14" i="66"/>
  <c r="AC14" i="66" s="1"/>
  <c r="AP14" i="66" s="1"/>
  <c r="Z14" i="66"/>
  <c r="AB14" i="66" s="1"/>
  <c r="AO14" i="66" s="1"/>
  <c r="Z30" i="66"/>
  <c r="AB30" i="66" s="1"/>
  <c r="AO30" i="66" s="1"/>
  <c r="AA30" i="66"/>
  <c r="AC30" i="66" s="1"/>
  <c r="AP30" i="66" s="1"/>
  <c r="Z26" i="66"/>
  <c r="AB26" i="66" s="1"/>
  <c r="AO26" i="66" s="1"/>
  <c r="AA26" i="66"/>
  <c r="AC26" i="66" s="1"/>
  <c r="AP26" i="66" s="1"/>
  <c r="Z10" i="66"/>
  <c r="AB10" i="66" s="1"/>
  <c r="AO10" i="66" s="1"/>
  <c r="AA10" i="66"/>
  <c r="AC10" i="66" s="1"/>
  <c r="AP10" i="66" s="1"/>
  <c r="Z29" i="66"/>
  <c r="AB29" i="66" s="1"/>
  <c r="AO29" i="66" s="1"/>
  <c r="AA29" i="66"/>
  <c r="AC29" i="66" s="1"/>
  <c r="AP29" i="66" s="1"/>
  <c r="AA15" i="66"/>
  <c r="AC15" i="66" s="1"/>
  <c r="AP15" i="66" s="1"/>
  <c r="Z15" i="66"/>
  <c r="AB15" i="66" s="1"/>
  <c r="AO15" i="66" s="1"/>
  <c r="AA28" i="66"/>
  <c r="AC28" i="66" s="1"/>
  <c r="AP28" i="66" s="1"/>
  <c r="Z28" i="66"/>
  <c r="AB28" i="66" s="1"/>
  <c r="AO28" i="66" s="1"/>
  <c r="Z9" i="33"/>
  <c r="AB9" i="33" s="1"/>
  <c r="AO9" i="33" s="1"/>
  <c r="AA9" i="33"/>
  <c r="AC9" i="33" s="1"/>
  <c r="AP9" i="33" s="1"/>
  <c r="AA7" i="33"/>
  <c r="AC7" i="33" s="1"/>
  <c r="AP7" i="33" s="1"/>
  <c r="Z7" i="33"/>
  <c r="AB7" i="33" s="1"/>
  <c r="AO7" i="33" s="1"/>
  <c r="AA6" i="33"/>
  <c r="AC6" i="33" s="1"/>
  <c r="AP6" i="33" s="1"/>
  <c r="Z6" i="33"/>
  <c r="AB6" i="33" s="1"/>
  <c r="AO6" i="33" s="1"/>
  <c r="AA24" i="33"/>
  <c r="AC24" i="33" s="1"/>
  <c r="AP24" i="33" s="1"/>
  <c r="Z24" i="33"/>
  <c r="AB24" i="33" s="1"/>
  <c r="AO24" i="33" s="1"/>
  <c r="AA14" i="33"/>
  <c r="AC14" i="33" s="1"/>
  <c r="AP14" i="33" s="1"/>
  <c r="Z14" i="33"/>
  <c r="AB14" i="33" s="1"/>
  <c r="AO14" i="33" s="1"/>
  <c r="Z5" i="73"/>
  <c r="AB5" i="73" s="1"/>
  <c r="AA5" i="73"/>
  <c r="AC5" i="73" s="1"/>
  <c r="AA10" i="73"/>
  <c r="AC10" i="73" s="1"/>
  <c r="AP10" i="73" s="1"/>
  <c r="Z10" i="73"/>
  <c r="AB10" i="73" s="1"/>
  <c r="AO10" i="73" s="1"/>
  <c r="AA8" i="73"/>
  <c r="AC8" i="73" s="1"/>
  <c r="AP8" i="73" s="1"/>
  <c r="Z8" i="73"/>
  <c r="AB8" i="73" s="1"/>
  <c r="AO8" i="73" s="1"/>
  <c r="Z23" i="73"/>
  <c r="AB23" i="73" s="1"/>
  <c r="AO23" i="73" s="1"/>
  <c r="AA23" i="73"/>
  <c r="AC23" i="73" s="1"/>
  <c r="AP23" i="73" s="1"/>
  <c r="AA19" i="73"/>
  <c r="AC19" i="73" s="1"/>
  <c r="AP19" i="73" s="1"/>
  <c r="Z19" i="73"/>
  <c r="AB19" i="73" s="1"/>
  <c r="AO19" i="73" s="1"/>
  <c r="Z24" i="16"/>
  <c r="AB24" i="16" s="1"/>
  <c r="AO24" i="16" s="1"/>
  <c r="AA24" i="16"/>
  <c r="AC24" i="16" s="1"/>
  <c r="AP24" i="16" s="1"/>
  <c r="Z5" i="16"/>
  <c r="AB5" i="16" s="1"/>
  <c r="AA5" i="16"/>
  <c r="AC5" i="16" s="1"/>
  <c r="AA11" i="16"/>
  <c r="AC11" i="16" s="1"/>
  <c r="AP11" i="16" s="1"/>
  <c r="Z11" i="16"/>
  <c r="AB11" i="16" s="1"/>
  <c r="AO11" i="16" s="1"/>
  <c r="Z6" i="57"/>
  <c r="AB6" i="57" s="1"/>
  <c r="AO6" i="57" s="1"/>
  <c r="AA6" i="57"/>
  <c r="AC6" i="57" s="1"/>
  <c r="AP6" i="57" s="1"/>
  <c r="AA10" i="57"/>
  <c r="AC10" i="57" s="1"/>
  <c r="AP10" i="57" s="1"/>
  <c r="Z10" i="57"/>
  <c r="AB10" i="57" s="1"/>
  <c r="AO10" i="57" s="1"/>
  <c r="AA13" i="57"/>
  <c r="AC13" i="57" s="1"/>
  <c r="AP13" i="57" s="1"/>
  <c r="Z13" i="57"/>
  <c r="AB13" i="57" s="1"/>
  <c r="AO13" i="57" s="1"/>
  <c r="Z22" i="57"/>
  <c r="AB22" i="57" s="1"/>
  <c r="AO22" i="57" s="1"/>
  <c r="AA22" i="57"/>
  <c r="AC22" i="57" s="1"/>
  <c r="AP22" i="57" s="1"/>
  <c r="AA20" i="57"/>
  <c r="AC20" i="57" s="1"/>
  <c r="AP20" i="57" s="1"/>
  <c r="Z20" i="57"/>
  <c r="AB20" i="57" s="1"/>
  <c r="AO20" i="57" s="1"/>
  <c r="AA18" i="57"/>
  <c r="AC18" i="57" s="1"/>
  <c r="AP18" i="57" s="1"/>
  <c r="Z18" i="57"/>
  <c r="AB18" i="57" s="1"/>
  <c r="AO18" i="57" s="1"/>
  <c r="Z9" i="23"/>
  <c r="AB9" i="23" s="1"/>
  <c r="AO9" i="23" s="1"/>
  <c r="AA9" i="23"/>
  <c r="AC9" i="23" s="1"/>
  <c r="AP9" i="23" s="1"/>
  <c r="AA13" i="23"/>
  <c r="AC13" i="23" s="1"/>
  <c r="AP13" i="23" s="1"/>
  <c r="Z13" i="23"/>
  <c r="AB13" i="23" s="1"/>
  <c r="AO13" i="23" s="1"/>
  <c r="Z23" i="71"/>
  <c r="AB23" i="71" s="1"/>
  <c r="AO23" i="71" s="1"/>
  <c r="AA23" i="71"/>
  <c r="AC23" i="71" s="1"/>
  <c r="AP23" i="71" s="1"/>
  <c r="AA24" i="71"/>
  <c r="AC24" i="71" s="1"/>
  <c r="AP24" i="71" s="1"/>
  <c r="Z24" i="71"/>
  <c r="AB24" i="71" s="1"/>
  <c r="AO24" i="71" s="1"/>
  <c r="AA492" i="15"/>
  <c r="AC492" i="15" s="1"/>
  <c r="AP492" i="15" s="1"/>
  <c r="Z492" i="15"/>
  <c r="AB492" i="15" s="1"/>
  <c r="AO492" i="15" s="1"/>
  <c r="AA44" i="15"/>
  <c r="AC44" i="15" s="1"/>
  <c r="AP44" i="15" s="1"/>
  <c r="Z44" i="15"/>
  <c r="AB44" i="15" s="1"/>
  <c r="AO44" i="15" s="1"/>
  <c r="Z21" i="13"/>
  <c r="AB21" i="13" s="1"/>
  <c r="AO21" i="13" s="1"/>
  <c r="AA21" i="13"/>
  <c r="AC21" i="13" s="1"/>
  <c r="AP21" i="13" s="1"/>
  <c r="Z5" i="40"/>
  <c r="AB5" i="40" s="1"/>
  <c r="AA5" i="40"/>
  <c r="AC5" i="40" s="1"/>
  <c r="Z21" i="40"/>
  <c r="AB21" i="40" s="1"/>
  <c r="AO21" i="40" s="1"/>
  <c r="AA21" i="40"/>
  <c r="AC21" i="40" s="1"/>
  <c r="AP21" i="40" s="1"/>
  <c r="Z18" i="40"/>
  <c r="AB18" i="40" s="1"/>
  <c r="AO18" i="40" s="1"/>
  <c r="AA18" i="40"/>
  <c r="AC18" i="40" s="1"/>
  <c r="AP18" i="40" s="1"/>
  <c r="AA9" i="51"/>
  <c r="AC9" i="51" s="1"/>
  <c r="AP9" i="51" s="1"/>
  <c r="Z9" i="51"/>
  <c r="AB9" i="51" s="1"/>
  <c r="AO9" i="51" s="1"/>
  <c r="AA21" i="51"/>
  <c r="AC21" i="51" s="1"/>
  <c r="AP21" i="51" s="1"/>
  <c r="Z21" i="51"/>
  <c r="AB21" i="51" s="1"/>
  <c r="AO21" i="51" s="1"/>
  <c r="Z32" i="29"/>
  <c r="AB32" i="29" s="1"/>
  <c r="AO32" i="29" s="1"/>
  <c r="AA32" i="29"/>
  <c r="AC32" i="29" s="1"/>
  <c r="AP32" i="29" s="1"/>
  <c r="Z56" i="29"/>
  <c r="AB56" i="29" s="1"/>
  <c r="AO56" i="29" s="1"/>
  <c r="AA56" i="29"/>
  <c r="AC56" i="29" s="1"/>
  <c r="AP56" i="29" s="1"/>
  <c r="AA37" i="29"/>
  <c r="AC37" i="29" s="1"/>
  <c r="AP37" i="29" s="1"/>
  <c r="Z37" i="29"/>
  <c r="AB37" i="29" s="1"/>
  <c r="AO37" i="29" s="1"/>
  <c r="AA10" i="29"/>
  <c r="AC10" i="29" s="1"/>
  <c r="AP10" i="29" s="1"/>
  <c r="Z10" i="29"/>
  <c r="AB10" i="29" s="1"/>
  <c r="AO10" i="29" s="1"/>
  <c r="Z68" i="29"/>
  <c r="AB68" i="29" s="1"/>
  <c r="AO68" i="29" s="1"/>
  <c r="AA68" i="29"/>
  <c r="AC68" i="29" s="1"/>
  <c r="AP68" i="29" s="1"/>
  <c r="Z22" i="29"/>
  <c r="AB22" i="29" s="1"/>
  <c r="AO22" i="29" s="1"/>
  <c r="AA22" i="29"/>
  <c r="AC22" i="29" s="1"/>
  <c r="AP22" i="29" s="1"/>
  <c r="Z55" i="29"/>
  <c r="AB55" i="29" s="1"/>
  <c r="AO55" i="29" s="1"/>
  <c r="AA55" i="29"/>
  <c r="AC55" i="29" s="1"/>
  <c r="AP55" i="29" s="1"/>
  <c r="AA11" i="29"/>
  <c r="AC11" i="29" s="1"/>
  <c r="AP11" i="29" s="1"/>
  <c r="Z11" i="29"/>
  <c r="AB11" i="29" s="1"/>
  <c r="AO11" i="29" s="1"/>
  <c r="AA42" i="29"/>
  <c r="AC42" i="29" s="1"/>
  <c r="AP42" i="29" s="1"/>
  <c r="Z42" i="29"/>
  <c r="AB42" i="29" s="1"/>
  <c r="AO42" i="29" s="1"/>
  <c r="AA74" i="29"/>
  <c r="AC74" i="29" s="1"/>
  <c r="AP74" i="29" s="1"/>
  <c r="Z74" i="29"/>
  <c r="AB74" i="29" s="1"/>
  <c r="AO74" i="29" s="1"/>
  <c r="AA40" i="22"/>
  <c r="AC40" i="22" s="1"/>
  <c r="AP40" i="22" s="1"/>
  <c r="Z40" i="22"/>
  <c r="AB40" i="22" s="1"/>
  <c r="AO40" i="22" s="1"/>
  <c r="Z11" i="22"/>
  <c r="AB11" i="22" s="1"/>
  <c r="AO11" i="22" s="1"/>
  <c r="AA11" i="22"/>
  <c r="AC11" i="22" s="1"/>
  <c r="AP11" i="22" s="1"/>
  <c r="AA18" i="22"/>
  <c r="AC18" i="22" s="1"/>
  <c r="AP18" i="22" s="1"/>
  <c r="Z18" i="22"/>
  <c r="AB18" i="22" s="1"/>
  <c r="AO18" i="22" s="1"/>
  <c r="AA372" i="15"/>
  <c r="AC372" i="15" s="1"/>
  <c r="AP372" i="15" s="1"/>
  <c r="Z372" i="15"/>
  <c r="AB372" i="15" s="1"/>
  <c r="AO372" i="15" s="1"/>
  <c r="AA156" i="15"/>
  <c r="AC156" i="15" s="1"/>
  <c r="AP156" i="15" s="1"/>
  <c r="Z156" i="15"/>
  <c r="AB156" i="15" s="1"/>
  <c r="AO156" i="15" s="1"/>
  <c r="Z67" i="15"/>
  <c r="AB67" i="15" s="1"/>
  <c r="AO67" i="15" s="1"/>
  <c r="AA67" i="15"/>
  <c r="AC67" i="15" s="1"/>
  <c r="AP67" i="15" s="1"/>
  <c r="Z179" i="15"/>
  <c r="AB179" i="15" s="1"/>
  <c r="AO179" i="15" s="1"/>
  <c r="AA179" i="15"/>
  <c r="AC179" i="15" s="1"/>
  <c r="AP179" i="15" s="1"/>
  <c r="Z299" i="15"/>
  <c r="AB299" i="15" s="1"/>
  <c r="AO299" i="15" s="1"/>
  <c r="AA299" i="15"/>
  <c r="AC299" i="15" s="1"/>
  <c r="AP299" i="15" s="1"/>
  <c r="Z475" i="15"/>
  <c r="AB475" i="15" s="1"/>
  <c r="AO475" i="15" s="1"/>
  <c r="AA475" i="15"/>
  <c r="AC475" i="15" s="1"/>
  <c r="AP475" i="15" s="1"/>
  <c r="AA36" i="15"/>
  <c r="AC36" i="15" s="1"/>
  <c r="AP36" i="15" s="1"/>
  <c r="Z36" i="15"/>
  <c r="AB36" i="15" s="1"/>
  <c r="AO36" i="15" s="1"/>
  <c r="AA74" i="15"/>
  <c r="AC74" i="15" s="1"/>
  <c r="AP74" i="15" s="1"/>
  <c r="Z74" i="15"/>
  <c r="AB74" i="15" s="1"/>
  <c r="AO74" i="15" s="1"/>
  <c r="Z119" i="15"/>
  <c r="AB119" i="15" s="1"/>
  <c r="AO119" i="15" s="1"/>
  <c r="AA119" i="15"/>
  <c r="AC119" i="15" s="1"/>
  <c r="AP119" i="15" s="1"/>
  <c r="AA164" i="15"/>
  <c r="AC164" i="15" s="1"/>
  <c r="AP164" i="15" s="1"/>
  <c r="Z164" i="15"/>
  <c r="AB164" i="15" s="1"/>
  <c r="AO164" i="15" s="1"/>
  <c r="AA216" i="15"/>
  <c r="AC216" i="15" s="1"/>
  <c r="AP216" i="15" s="1"/>
  <c r="Z216" i="15"/>
  <c r="AB216" i="15" s="1"/>
  <c r="AO216" i="15" s="1"/>
  <c r="AA248" i="15"/>
  <c r="AC248" i="15" s="1"/>
  <c r="AP248" i="15" s="1"/>
  <c r="Z248" i="15"/>
  <c r="AB248" i="15" s="1"/>
  <c r="AO248" i="15" s="1"/>
  <c r="AA312" i="15"/>
  <c r="AC312" i="15" s="1"/>
  <c r="AP312" i="15" s="1"/>
  <c r="Z312" i="15"/>
  <c r="AB312" i="15" s="1"/>
  <c r="AO312" i="15" s="1"/>
  <c r="AA376" i="15"/>
  <c r="AC376" i="15" s="1"/>
  <c r="AP376" i="15" s="1"/>
  <c r="Z376" i="15"/>
  <c r="AB376" i="15" s="1"/>
  <c r="AO376" i="15" s="1"/>
  <c r="AA440" i="15"/>
  <c r="AC440" i="15" s="1"/>
  <c r="AP440" i="15" s="1"/>
  <c r="Z440" i="15"/>
  <c r="AB440" i="15" s="1"/>
  <c r="AO440" i="15" s="1"/>
  <c r="AA504" i="15"/>
  <c r="AC504" i="15" s="1"/>
  <c r="AP504" i="15" s="1"/>
  <c r="Z504" i="15"/>
  <c r="AB504" i="15" s="1"/>
  <c r="AO504" i="15" s="1"/>
  <c r="AA48" i="15"/>
  <c r="AC48" i="15" s="1"/>
  <c r="AP48" i="15" s="1"/>
  <c r="Z48" i="15"/>
  <c r="AB48" i="15" s="1"/>
  <c r="AO48" i="15" s="1"/>
  <c r="Z115" i="15"/>
  <c r="AB115" i="15" s="1"/>
  <c r="AO115" i="15" s="1"/>
  <c r="AA115" i="15"/>
  <c r="AC115" i="15" s="1"/>
  <c r="AP115" i="15" s="1"/>
  <c r="Z227" i="15"/>
  <c r="AB227" i="15" s="1"/>
  <c r="AO227" i="15" s="1"/>
  <c r="AA227" i="15"/>
  <c r="AC227" i="15" s="1"/>
  <c r="AP227" i="15" s="1"/>
  <c r="Z347" i="15"/>
  <c r="AB347" i="15" s="1"/>
  <c r="AO347" i="15" s="1"/>
  <c r="AA347" i="15"/>
  <c r="AC347" i="15" s="1"/>
  <c r="AP347" i="15" s="1"/>
  <c r="Z483" i="15"/>
  <c r="AB483" i="15" s="1"/>
  <c r="AO483" i="15" s="1"/>
  <c r="AA483" i="15"/>
  <c r="AC483" i="15" s="1"/>
  <c r="AP483" i="15" s="1"/>
  <c r="Z27" i="15"/>
  <c r="AB27" i="15" s="1"/>
  <c r="AO27" i="15" s="1"/>
  <c r="AA27" i="15"/>
  <c r="AC27" i="15" s="1"/>
  <c r="AP27" i="15" s="1"/>
  <c r="AA72" i="15"/>
  <c r="AC72" i="15" s="1"/>
  <c r="AP72" i="15" s="1"/>
  <c r="Z72" i="15"/>
  <c r="AB72" i="15" s="1"/>
  <c r="AO72" i="15" s="1"/>
  <c r="Z91" i="15"/>
  <c r="AB91" i="15" s="1"/>
  <c r="AO91" i="15" s="1"/>
  <c r="AA91" i="15"/>
  <c r="AC91" i="15" s="1"/>
  <c r="AP91" i="15" s="1"/>
  <c r="AA136" i="15"/>
  <c r="AC136" i="15" s="1"/>
  <c r="Z136" i="15"/>
  <c r="AB136" i="15" s="1"/>
  <c r="AO136" i="15" s="1"/>
  <c r="Z175" i="15"/>
  <c r="AB175" i="15" s="1"/>
  <c r="AO175" i="15" s="1"/>
  <c r="AA175" i="15"/>
  <c r="AC175" i="15" s="1"/>
  <c r="AP175" i="15" s="1"/>
  <c r="Z239" i="15"/>
  <c r="AB239" i="15" s="1"/>
  <c r="AO239" i="15" s="1"/>
  <c r="AA239" i="15"/>
  <c r="AC239" i="15" s="1"/>
  <c r="AP239" i="15" s="1"/>
  <c r="Z335" i="15"/>
  <c r="AB335" i="15" s="1"/>
  <c r="AO335" i="15" s="1"/>
  <c r="AA335" i="15"/>
  <c r="AC335" i="15" s="1"/>
  <c r="AP335" i="15" s="1"/>
  <c r="Z431" i="15"/>
  <c r="AB431" i="15" s="1"/>
  <c r="AO431" i="15" s="1"/>
  <c r="AA431" i="15"/>
  <c r="AC431" i="15" s="1"/>
  <c r="AP431" i="15" s="1"/>
  <c r="Z495" i="15"/>
  <c r="AB495" i="15" s="1"/>
  <c r="AO495" i="15" s="1"/>
  <c r="AA495" i="15"/>
  <c r="AC495" i="15" s="1"/>
  <c r="AP495" i="15" s="1"/>
  <c r="Z194" i="15"/>
  <c r="AB194" i="15" s="1"/>
  <c r="AO194" i="15" s="1"/>
  <c r="AA194" i="15"/>
  <c r="AC194" i="15" s="1"/>
  <c r="AP194" i="15" s="1"/>
  <c r="Z226" i="15"/>
  <c r="AB226" i="15" s="1"/>
  <c r="AO226" i="15" s="1"/>
  <c r="AA226" i="15"/>
  <c r="AC226" i="15" s="1"/>
  <c r="AP226" i="15" s="1"/>
  <c r="Z258" i="15"/>
  <c r="AB258" i="15" s="1"/>
  <c r="AO258" i="15" s="1"/>
  <c r="AA258" i="15"/>
  <c r="AC258" i="15" s="1"/>
  <c r="AP258" i="15" s="1"/>
  <c r="Z290" i="15"/>
  <c r="AB290" i="15" s="1"/>
  <c r="AO290" i="15" s="1"/>
  <c r="AA290" i="15"/>
  <c r="AC290" i="15" s="1"/>
  <c r="AP290" i="15" s="1"/>
  <c r="Z322" i="15"/>
  <c r="AB322" i="15" s="1"/>
  <c r="AO322" i="15" s="1"/>
  <c r="AA322" i="15"/>
  <c r="AC322" i="15" s="1"/>
  <c r="AP322" i="15" s="1"/>
  <c r="Z354" i="15"/>
  <c r="AB354" i="15" s="1"/>
  <c r="AO354" i="15" s="1"/>
  <c r="AA354" i="15"/>
  <c r="AC354" i="15" s="1"/>
  <c r="AP354" i="15" s="1"/>
  <c r="Z402" i="15"/>
  <c r="AB402" i="15" s="1"/>
  <c r="AO402" i="15" s="1"/>
  <c r="AA402" i="15"/>
  <c r="AC402" i="15" s="1"/>
  <c r="AP402" i="15" s="1"/>
  <c r="Z466" i="15"/>
  <c r="AB466" i="15" s="1"/>
  <c r="AO466" i="15" s="1"/>
  <c r="AA466" i="15"/>
  <c r="AC466" i="15" s="1"/>
  <c r="AP466" i="15" s="1"/>
  <c r="Z498" i="15"/>
  <c r="AB498" i="15" s="1"/>
  <c r="AO498" i="15" s="1"/>
  <c r="AA498" i="15"/>
  <c r="AC498" i="15" s="1"/>
  <c r="AP498" i="15" s="1"/>
  <c r="Z18" i="15"/>
  <c r="AB18" i="15" s="1"/>
  <c r="AO18" i="15" s="1"/>
  <c r="AA18" i="15"/>
  <c r="AC18" i="15" s="1"/>
  <c r="AP18" i="15" s="1"/>
  <c r="AA69" i="15"/>
  <c r="AC69" i="15" s="1"/>
  <c r="AP69" i="15" s="1"/>
  <c r="Z69" i="15"/>
  <c r="AB69" i="15" s="1"/>
  <c r="AO69" i="15" s="1"/>
  <c r="AA101" i="15"/>
  <c r="AC101" i="15" s="1"/>
  <c r="AP101" i="15" s="1"/>
  <c r="Z101" i="15"/>
  <c r="AB101" i="15" s="1"/>
  <c r="AO101" i="15" s="1"/>
  <c r="Z133" i="15"/>
  <c r="AB133" i="15" s="1"/>
  <c r="AO133" i="15" s="1"/>
  <c r="AA133" i="15"/>
  <c r="AC133" i="15" s="1"/>
  <c r="AP133" i="15" s="1"/>
  <c r="Z165" i="15"/>
  <c r="AB165" i="15" s="1"/>
  <c r="AO165" i="15" s="1"/>
  <c r="AA165" i="15"/>
  <c r="AC165" i="15" s="1"/>
  <c r="AP165" i="15" s="1"/>
  <c r="AA197" i="15"/>
  <c r="AC197" i="15" s="1"/>
  <c r="AP197" i="15" s="1"/>
  <c r="Z197" i="15"/>
  <c r="AB197" i="15" s="1"/>
  <c r="AO197" i="15" s="1"/>
  <c r="AA245" i="15"/>
  <c r="AC245" i="15" s="1"/>
  <c r="AP245" i="15" s="1"/>
  <c r="Z245" i="15"/>
  <c r="AB245" i="15" s="1"/>
  <c r="AO245" i="15" s="1"/>
  <c r="AA293" i="15"/>
  <c r="AC293" i="15" s="1"/>
  <c r="AP293" i="15" s="1"/>
  <c r="Z293" i="15"/>
  <c r="AB293" i="15" s="1"/>
  <c r="AO293" i="15" s="1"/>
  <c r="AA309" i="15"/>
  <c r="AC309" i="15" s="1"/>
  <c r="AP309" i="15" s="1"/>
  <c r="Z309" i="15"/>
  <c r="AB309" i="15" s="1"/>
  <c r="AO309" i="15" s="1"/>
  <c r="AA341" i="15"/>
  <c r="AC341" i="15" s="1"/>
  <c r="AP341" i="15" s="1"/>
  <c r="Z341" i="15"/>
  <c r="AB341" i="15" s="1"/>
  <c r="AO341" i="15" s="1"/>
  <c r="AA373" i="15"/>
  <c r="AC373" i="15" s="1"/>
  <c r="AP373" i="15" s="1"/>
  <c r="Z373" i="15"/>
  <c r="AB373" i="15" s="1"/>
  <c r="AO373" i="15" s="1"/>
  <c r="AA405" i="15"/>
  <c r="AC405" i="15" s="1"/>
  <c r="AP405" i="15" s="1"/>
  <c r="Z405" i="15"/>
  <c r="AB405" i="15" s="1"/>
  <c r="AO405" i="15" s="1"/>
  <c r="AA453" i="15"/>
  <c r="AC453" i="15" s="1"/>
  <c r="AP453" i="15" s="1"/>
  <c r="Z453" i="15"/>
  <c r="AB453" i="15" s="1"/>
  <c r="AO453" i="15" s="1"/>
  <c r="AA485" i="15"/>
  <c r="AC485" i="15" s="1"/>
  <c r="AP485" i="15" s="1"/>
  <c r="Z485" i="15"/>
  <c r="AB485" i="15" s="1"/>
  <c r="AO485" i="15" s="1"/>
  <c r="Z15" i="64"/>
  <c r="AB15" i="64" s="1"/>
  <c r="AO15" i="64" s="1"/>
  <c r="AA15" i="64"/>
  <c r="AC15" i="64" s="1"/>
  <c r="AP15" i="64" s="1"/>
  <c r="AA14" i="64"/>
  <c r="AC14" i="64" s="1"/>
  <c r="AP14" i="64" s="1"/>
  <c r="Z14" i="64"/>
  <c r="AB14" i="64" s="1"/>
  <c r="AO14" i="64" s="1"/>
  <c r="Z17" i="60"/>
  <c r="AB17" i="60" s="1"/>
  <c r="AO17" i="60" s="1"/>
  <c r="AA17" i="60"/>
  <c r="AC17" i="60" s="1"/>
  <c r="AP17" i="60" s="1"/>
  <c r="AA5" i="60"/>
  <c r="AC5" i="60" s="1"/>
  <c r="Z5" i="60"/>
  <c r="AB5" i="60" s="1"/>
  <c r="AA13" i="60"/>
  <c r="AC13" i="60" s="1"/>
  <c r="AP13" i="60" s="1"/>
  <c r="Z13" i="60"/>
  <c r="AB13" i="60" s="1"/>
  <c r="AO13" i="60" s="1"/>
  <c r="AA72" i="46"/>
  <c r="AC72" i="46" s="1"/>
  <c r="AP72" i="46" s="1"/>
  <c r="Z72" i="46"/>
  <c r="AB72" i="46" s="1"/>
  <c r="AO72" i="46" s="1"/>
  <c r="AA23" i="46"/>
  <c r="AC23" i="46" s="1"/>
  <c r="AP23" i="46" s="1"/>
  <c r="Z23" i="46"/>
  <c r="AB23" i="46" s="1"/>
  <c r="AO23" i="46" s="1"/>
  <c r="AA76" i="46"/>
  <c r="AC76" i="46" s="1"/>
  <c r="AP76" i="46" s="1"/>
  <c r="Z76" i="46"/>
  <c r="AB76" i="46" s="1"/>
  <c r="AO76" i="46" s="1"/>
  <c r="Z43" i="46"/>
  <c r="AB43" i="46" s="1"/>
  <c r="AO43" i="46" s="1"/>
  <c r="AA43" i="46"/>
  <c r="AC43" i="46" s="1"/>
  <c r="AP43" i="46" s="1"/>
  <c r="Z75" i="46"/>
  <c r="AB75" i="46" s="1"/>
  <c r="AO75" i="46" s="1"/>
  <c r="AA75" i="46"/>
  <c r="AC75" i="46" s="1"/>
  <c r="AP75" i="46" s="1"/>
  <c r="AA26" i="46"/>
  <c r="AC26" i="46" s="1"/>
  <c r="AP26" i="46" s="1"/>
  <c r="Z26" i="46"/>
  <c r="AB26" i="46" s="1"/>
  <c r="AO26" i="46" s="1"/>
  <c r="AA74" i="46"/>
  <c r="AC74" i="46" s="1"/>
  <c r="AP74" i="46" s="1"/>
  <c r="Z74" i="46"/>
  <c r="AB74" i="46" s="1"/>
  <c r="AO74" i="46" s="1"/>
  <c r="AA45" i="46"/>
  <c r="AC45" i="46" s="1"/>
  <c r="AP45" i="46" s="1"/>
  <c r="Z45" i="46"/>
  <c r="AB45" i="46" s="1"/>
  <c r="AO45" i="46" s="1"/>
  <c r="AA21" i="6"/>
  <c r="AC21" i="6" s="1"/>
  <c r="AP21" i="6" s="1"/>
  <c r="Z21" i="6"/>
  <c r="AB21" i="6" s="1"/>
  <c r="AO21" i="6" s="1"/>
  <c r="AA23" i="20"/>
  <c r="AC23" i="20" s="1"/>
  <c r="AP23" i="20" s="1"/>
  <c r="Z23" i="20"/>
  <c r="AB23" i="20" s="1"/>
  <c r="AO23" i="20" s="1"/>
  <c r="X59" i="31"/>
  <c r="X55" i="31"/>
  <c r="X51" i="31"/>
  <c r="X47" i="31"/>
  <c r="X58" i="31"/>
  <c r="X48" i="31"/>
  <c r="X45" i="31"/>
  <c r="X41" i="31"/>
  <c r="X37" i="31"/>
  <c r="X33" i="31"/>
  <c r="X29" i="31"/>
  <c r="X25" i="31"/>
  <c r="X18" i="31"/>
  <c r="X17" i="31"/>
  <c r="X10" i="31"/>
  <c r="X9" i="31"/>
  <c r="X57" i="31"/>
  <c r="X54" i="31"/>
  <c r="X42" i="31"/>
  <c r="X38" i="31"/>
  <c r="X34" i="31"/>
  <c r="X30" i="31"/>
  <c r="X26" i="31"/>
  <c r="X20" i="31"/>
  <c r="X19" i="31"/>
  <c r="X12" i="31"/>
  <c r="X11" i="31"/>
  <c r="X7" i="31"/>
  <c r="X52" i="31"/>
  <c r="X40" i="31"/>
  <c r="X32" i="31"/>
  <c r="X24" i="31"/>
  <c r="X23" i="31"/>
  <c r="X56" i="31"/>
  <c r="X53" i="31"/>
  <c r="X49" i="31"/>
  <c r="X46" i="31"/>
  <c r="X43" i="31"/>
  <c r="X35" i="31"/>
  <c r="X27" i="31"/>
  <c r="X8" i="31"/>
  <c r="X22" i="31"/>
  <c r="X5" i="31"/>
  <c r="A20" i="31"/>
  <c r="X13" i="31"/>
  <c r="X44" i="31"/>
  <c r="X31" i="31"/>
  <c r="X28" i="31"/>
  <c r="X21" i="31"/>
  <c r="X15" i="31"/>
  <c r="I38" i="68"/>
  <c r="I34" i="68" s="1"/>
  <c r="X39" i="31"/>
  <c r="X14" i="31"/>
  <c r="X6" i="31"/>
  <c r="X50" i="31"/>
  <c r="X36" i="31"/>
  <c r="X16" i="31"/>
  <c r="AA114" i="15"/>
  <c r="AC114" i="15" s="1"/>
  <c r="AP114" i="15" s="1"/>
  <c r="Z114" i="15"/>
  <c r="AB114" i="15" s="1"/>
  <c r="AO114" i="15" s="1"/>
  <c r="Z17" i="63"/>
  <c r="AB17" i="63" s="1"/>
  <c r="AO17" i="63" s="1"/>
  <c r="AA17" i="63"/>
  <c r="AC17" i="63" s="1"/>
  <c r="AP17" i="63" s="1"/>
  <c r="AA23" i="63"/>
  <c r="AC23" i="63" s="1"/>
  <c r="AP23" i="63" s="1"/>
  <c r="Z23" i="63"/>
  <c r="AB23" i="63" s="1"/>
  <c r="AO23" i="63" s="1"/>
  <c r="Z13" i="63"/>
  <c r="AB13" i="63" s="1"/>
  <c r="AO13" i="63" s="1"/>
  <c r="AA13" i="63"/>
  <c r="AC13" i="63" s="1"/>
  <c r="AP13" i="63" s="1"/>
  <c r="Z50" i="32"/>
  <c r="AB50" i="32" s="1"/>
  <c r="AO50" i="32" s="1"/>
  <c r="AA50" i="32"/>
  <c r="AC50" i="32" s="1"/>
  <c r="AP50" i="32" s="1"/>
  <c r="AA47" i="32"/>
  <c r="AC47" i="32" s="1"/>
  <c r="AP47" i="32" s="1"/>
  <c r="Z47" i="32"/>
  <c r="AB47" i="32" s="1"/>
  <c r="AO47" i="32" s="1"/>
  <c r="Z142" i="32"/>
  <c r="AB142" i="32" s="1"/>
  <c r="AO142" i="32" s="1"/>
  <c r="AA142" i="32"/>
  <c r="AC142" i="32" s="1"/>
  <c r="AP142" i="32" s="1"/>
  <c r="Z38" i="32"/>
  <c r="AB38" i="32" s="1"/>
  <c r="AO38" i="32" s="1"/>
  <c r="AA38" i="32"/>
  <c r="AC38" i="32" s="1"/>
  <c r="AP38" i="32" s="1"/>
  <c r="AA99" i="32"/>
  <c r="AC99" i="32" s="1"/>
  <c r="AP99" i="32" s="1"/>
  <c r="Z99" i="32"/>
  <c r="AB99" i="32" s="1"/>
  <c r="AO99" i="32" s="1"/>
  <c r="AA163" i="32"/>
  <c r="AC163" i="32" s="1"/>
  <c r="AP163" i="32" s="1"/>
  <c r="Z163" i="32"/>
  <c r="AB163" i="32" s="1"/>
  <c r="AO163" i="32" s="1"/>
  <c r="Z42" i="32"/>
  <c r="AB42" i="32" s="1"/>
  <c r="AO42" i="32" s="1"/>
  <c r="AA42" i="32"/>
  <c r="AC42" i="32" s="1"/>
  <c r="AP42" i="32" s="1"/>
  <c r="Z90" i="32"/>
  <c r="AB90" i="32" s="1"/>
  <c r="AO90" i="32" s="1"/>
  <c r="AA90" i="32"/>
  <c r="AC90" i="32" s="1"/>
  <c r="AP90" i="32" s="1"/>
  <c r="AA7" i="32"/>
  <c r="AC7" i="32" s="1"/>
  <c r="AP7" i="32" s="1"/>
  <c r="Z7" i="32"/>
  <c r="AB7" i="32" s="1"/>
  <c r="AO7" i="32" s="1"/>
  <c r="AA27" i="32"/>
  <c r="AC27" i="32" s="1"/>
  <c r="AP27" i="32" s="1"/>
  <c r="Z27" i="32"/>
  <c r="AB27" i="32" s="1"/>
  <c r="AO27" i="32" s="1"/>
  <c r="AA65" i="32"/>
  <c r="AC65" i="32" s="1"/>
  <c r="AP65" i="32" s="1"/>
  <c r="Z65" i="32"/>
  <c r="AB65" i="32" s="1"/>
  <c r="AO65" i="32" s="1"/>
  <c r="AA135" i="32"/>
  <c r="AC135" i="32" s="1"/>
  <c r="AP135" i="32" s="1"/>
  <c r="Z135" i="32"/>
  <c r="AB135" i="32" s="1"/>
  <c r="AO135" i="32" s="1"/>
  <c r="AA89" i="32"/>
  <c r="AC89" i="32" s="1"/>
  <c r="AP89" i="32" s="1"/>
  <c r="Z89" i="32"/>
  <c r="AB89" i="32" s="1"/>
  <c r="AO89" i="32" s="1"/>
  <c r="AA121" i="32"/>
  <c r="AC121" i="32" s="1"/>
  <c r="AP121" i="32" s="1"/>
  <c r="Z121" i="32"/>
  <c r="AB121" i="32" s="1"/>
  <c r="AO121" i="32" s="1"/>
  <c r="AA153" i="32"/>
  <c r="AC153" i="32" s="1"/>
  <c r="AP153" i="32" s="1"/>
  <c r="Z153" i="32"/>
  <c r="AB153" i="32" s="1"/>
  <c r="AO153" i="32" s="1"/>
  <c r="AA16" i="32"/>
  <c r="AC16" i="32" s="1"/>
  <c r="AP16" i="32" s="1"/>
  <c r="Z16" i="32"/>
  <c r="AB16" i="32" s="1"/>
  <c r="AO16" i="32" s="1"/>
  <c r="Z64" i="32"/>
  <c r="AB64" i="32" s="1"/>
  <c r="AO64" i="32" s="1"/>
  <c r="AA64" i="32"/>
  <c r="AC64" i="32" s="1"/>
  <c r="AP64" i="32" s="1"/>
  <c r="AA96" i="32"/>
  <c r="AC96" i="32" s="1"/>
  <c r="AP96" i="32" s="1"/>
  <c r="Z96" i="32"/>
  <c r="AB96" i="32" s="1"/>
  <c r="AO96" i="32" s="1"/>
  <c r="AA128" i="32"/>
  <c r="AC128" i="32" s="1"/>
  <c r="AP128" i="32" s="1"/>
  <c r="Z128" i="32"/>
  <c r="AB128" i="32" s="1"/>
  <c r="AO128" i="32" s="1"/>
  <c r="AA160" i="32"/>
  <c r="AC160" i="32" s="1"/>
  <c r="AP160" i="32" s="1"/>
  <c r="Z160" i="32"/>
  <c r="AB160" i="32" s="1"/>
  <c r="AO160" i="32" s="1"/>
  <c r="Z38" i="39"/>
  <c r="AB38" i="39" s="1"/>
  <c r="AO38" i="39" s="1"/>
  <c r="AA38" i="39"/>
  <c r="AC38" i="39" s="1"/>
  <c r="AP38" i="39" s="1"/>
  <c r="AA35" i="39"/>
  <c r="AC35" i="39" s="1"/>
  <c r="AP35" i="39" s="1"/>
  <c r="Z35" i="39"/>
  <c r="AB35" i="39" s="1"/>
  <c r="AO35" i="39" s="1"/>
  <c r="AA13" i="39"/>
  <c r="AC13" i="39" s="1"/>
  <c r="AP13" i="39" s="1"/>
  <c r="Z13" i="39"/>
  <c r="AB13" i="39" s="1"/>
  <c r="AO13" i="39" s="1"/>
  <c r="AA10" i="39"/>
  <c r="AC10" i="39" s="1"/>
  <c r="AP10" i="39" s="1"/>
  <c r="Z10" i="39"/>
  <c r="AB10" i="39" s="1"/>
  <c r="AO10" i="39" s="1"/>
  <c r="AA16" i="39"/>
  <c r="AC16" i="39" s="1"/>
  <c r="Z16" i="39"/>
  <c r="AB16" i="39" s="1"/>
  <c r="AO16" i="39" s="1"/>
  <c r="AA48" i="39"/>
  <c r="AC48" i="39" s="1"/>
  <c r="AP48" i="39" s="1"/>
  <c r="Z48" i="39"/>
  <c r="AB48" i="39" s="1"/>
  <c r="AO48" i="39" s="1"/>
  <c r="Z8" i="34"/>
  <c r="AB8" i="34" s="1"/>
  <c r="AO8" i="34" s="1"/>
  <c r="AA8" i="34"/>
  <c r="AC8" i="34" s="1"/>
  <c r="AP8" i="34" s="1"/>
  <c r="AA22" i="34"/>
  <c r="AC22" i="34" s="1"/>
  <c r="AP22" i="34" s="1"/>
  <c r="Z22" i="34"/>
  <c r="AB22" i="34" s="1"/>
  <c r="AO22" i="34" s="1"/>
  <c r="AA13" i="3"/>
  <c r="AC13" i="3" s="1"/>
  <c r="AP13" i="3" s="1"/>
  <c r="Z13" i="3"/>
  <c r="AB13" i="3" s="1"/>
  <c r="AO13" i="3" s="1"/>
  <c r="I48" i="68"/>
  <c r="O45" i="68"/>
  <c r="AA24" i="74"/>
  <c r="AC24" i="74" s="1"/>
  <c r="AP24" i="74" s="1"/>
  <c r="Z24" i="74"/>
  <c r="AB24" i="74" s="1"/>
  <c r="AO24" i="74" s="1"/>
  <c r="AA15" i="74"/>
  <c r="AC15" i="74" s="1"/>
  <c r="AP15" i="74" s="1"/>
  <c r="Z15" i="74"/>
  <c r="AB15" i="74" s="1"/>
  <c r="AO15" i="74" s="1"/>
  <c r="Z13" i="74"/>
  <c r="AB13" i="74" s="1"/>
  <c r="AO13" i="74" s="1"/>
  <c r="AA13" i="74"/>
  <c r="AC13" i="74" s="1"/>
  <c r="AP13" i="74" s="1"/>
  <c r="AA11" i="74"/>
  <c r="AC11" i="74" s="1"/>
  <c r="AP11" i="74" s="1"/>
  <c r="Z11" i="74"/>
  <c r="AB11" i="74" s="1"/>
  <c r="AO11" i="74" s="1"/>
  <c r="AA9" i="74"/>
  <c r="AC9" i="74" s="1"/>
  <c r="AP9" i="74" s="1"/>
  <c r="Z9" i="74"/>
  <c r="AB9" i="74" s="1"/>
  <c r="AO9" i="74" s="1"/>
  <c r="Z7" i="19"/>
  <c r="AB7" i="19" s="1"/>
  <c r="AO7" i="19" s="1"/>
  <c r="AA7" i="19"/>
  <c r="AC7" i="19" s="1"/>
  <c r="AP7" i="19" s="1"/>
  <c r="Z20" i="19"/>
  <c r="AB20" i="19" s="1"/>
  <c r="AO20" i="19" s="1"/>
  <c r="AA20" i="19"/>
  <c r="AC20" i="19" s="1"/>
  <c r="AP20" i="19" s="1"/>
  <c r="AA23" i="19"/>
  <c r="AC23" i="19" s="1"/>
  <c r="AP23" i="19" s="1"/>
  <c r="Z23" i="19"/>
  <c r="AB23" i="19" s="1"/>
  <c r="AO23" i="19" s="1"/>
  <c r="Z185" i="65"/>
  <c r="AB185" i="65" s="1"/>
  <c r="AO185" i="65" s="1"/>
  <c r="AC185" i="65"/>
  <c r="AP185" i="65" s="1"/>
  <c r="AC204" i="65"/>
  <c r="AP204" i="65" s="1"/>
  <c r="Z204" i="65"/>
  <c r="AB204" i="65" s="1"/>
  <c r="AO204" i="65" s="1"/>
  <c r="Z189" i="65"/>
  <c r="AB189" i="65" s="1"/>
  <c r="AO189" i="65" s="1"/>
  <c r="AC189" i="65"/>
  <c r="AP189" i="65" s="1"/>
  <c r="Z211" i="65"/>
  <c r="AB211" i="65" s="1"/>
  <c r="AO211" i="65" s="1"/>
  <c r="AC211" i="65"/>
  <c r="AP211" i="65" s="1"/>
  <c r="Z10" i="28"/>
  <c r="AB10" i="28" s="1"/>
  <c r="AO10" i="28" s="1"/>
  <c r="AA10" i="28"/>
  <c r="AC10" i="28" s="1"/>
  <c r="AP10" i="28" s="1"/>
  <c r="Z33" i="28"/>
  <c r="AB33" i="28" s="1"/>
  <c r="AO33" i="28" s="1"/>
  <c r="AA33" i="28"/>
  <c r="AC33" i="28" s="1"/>
  <c r="AP33" i="28" s="1"/>
  <c r="AA48" i="28"/>
  <c r="AC48" i="28" s="1"/>
  <c r="AP48" i="28" s="1"/>
  <c r="Z48" i="28"/>
  <c r="AB48" i="28" s="1"/>
  <c r="AO48" i="28" s="1"/>
  <c r="AA27" i="28"/>
  <c r="AC27" i="28" s="1"/>
  <c r="AP27" i="28" s="1"/>
  <c r="Z27" i="28"/>
  <c r="AB27" i="28" s="1"/>
  <c r="AO27" i="28" s="1"/>
  <c r="Z14" i="70"/>
  <c r="AB14" i="70" s="1"/>
  <c r="AO14" i="70" s="1"/>
  <c r="AA14" i="70"/>
  <c r="AC14" i="70" s="1"/>
  <c r="AP14" i="70" s="1"/>
  <c r="AA22" i="70"/>
  <c r="AC22" i="70" s="1"/>
  <c r="AP22" i="70" s="1"/>
  <c r="Z22" i="70"/>
  <c r="AB22" i="70" s="1"/>
  <c r="AO22" i="70" s="1"/>
  <c r="AA15" i="70"/>
  <c r="AC15" i="70" s="1"/>
  <c r="AP15" i="70" s="1"/>
  <c r="Z15" i="70"/>
  <c r="AB15" i="70" s="1"/>
  <c r="AO15" i="70" s="1"/>
  <c r="Z9" i="38"/>
  <c r="AB9" i="38" s="1"/>
  <c r="AO9" i="38" s="1"/>
  <c r="AA9" i="38"/>
  <c r="AC9" i="38" s="1"/>
  <c r="AP9" i="38" s="1"/>
  <c r="AA23" i="38"/>
  <c r="AC23" i="38" s="1"/>
  <c r="AP23" i="38" s="1"/>
  <c r="Z23" i="38"/>
  <c r="AB23" i="38" s="1"/>
  <c r="AO23" i="38" s="1"/>
  <c r="AA22" i="38"/>
  <c r="AC22" i="38" s="1"/>
  <c r="AP22" i="38" s="1"/>
  <c r="Z22" i="38"/>
  <c r="AB22" i="38" s="1"/>
  <c r="AO22" i="38" s="1"/>
  <c r="Z9" i="24"/>
  <c r="AB9" i="24" s="1"/>
  <c r="AO9" i="24" s="1"/>
  <c r="AA9" i="24"/>
  <c r="AC9" i="24" s="1"/>
  <c r="AP9" i="24" s="1"/>
  <c r="Z23" i="24"/>
  <c r="AB23" i="24" s="1"/>
  <c r="AO23" i="24" s="1"/>
  <c r="AA23" i="24"/>
  <c r="AC23" i="24" s="1"/>
  <c r="AP23" i="24" s="1"/>
  <c r="AA21" i="24"/>
  <c r="AC21" i="24" s="1"/>
  <c r="AP21" i="24" s="1"/>
  <c r="Z21" i="24"/>
  <c r="AB21" i="24" s="1"/>
  <c r="AO21" i="24" s="1"/>
  <c r="AA15" i="59"/>
  <c r="AC15" i="59" s="1"/>
  <c r="AP15" i="59" s="1"/>
  <c r="Z15" i="59"/>
  <c r="AB15" i="59" s="1"/>
  <c r="AO15" i="59" s="1"/>
  <c r="AA24" i="59"/>
  <c r="AC24" i="59" s="1"/>
  <c r="AP24" i="59" s="1"/>
  <c r="Z24" i="59"/>
  <c r="AB24" i="59" s="1"/>
  <c r="AO24" i="59" s="1"/>
  <c r="AA8" i="58"/>
  <c r="AC8" i="58" s="1"/>
  <c r="AP8" i="58" s="1"/>
  <c r="Z8" i="58"/>
  <c r="AB8" i="58" s="1"/>
  <c r="AO8" i="58" s="1"/>
  <c r="AA13" i="58"/>
  <c r="AC13" i="58" s="1"/>
  <c r="AP13" i="58" s="1"/>
  <c r="Z13" i="58"/>
  <c r="AB13" i="58" s="1"/>
  <c r="AO13" i="58" s="1"/>
  <c r="AA24" i="58"/>
  <c r="AC24" i="58" s="1"/>
  <c r="AP24" i="58" s="1"/>
  <c r="Z24" i="58"/>
  <c r="AB24" i="58" s="1"/>
  <c r="AO24" i="58" s="1"/>
  <c r="Z21" i="69"/>
  <c r="AB21" i="69" s="1"/>
  <c r="AO21" i="69" s="1"/>
  <c r="AA21" i="69"/>
  <c r="AC21" i="69" s="1"/>
  <c r="AP21" i="69" s="1"/>
  <c r="Z14" i="69"/>
  <c r="AB14" i="69" s="1"/>
  <c r="AO14" i="69" s="1"/>
  <c r="AA14" i="69"/>
  <c r="AC14" i="69" s="1"/>
  <c r="AP14" i="69" s="1"/>
  <c r="AA11" i="69"/>
  <c r="AC11" i="69" s="1"/>
  <c r="AP11" i="69" s="1"/>
  <c r="Z11" i="69"/>
  <c r="AB11" i="69" s="1"/>
  <c r="AO11" i="69" s="1"/>
  <c r="AA9" i="69"/>
  <c r="AC9" i="69" s="1"/>
  <c r="AP9" i="69" s="1"/>
  <c r="Z9" i="69"/>
  <c r="AB9" i="69" s="1"/>
  <c r="AO9" i="69" s="1"/>
  <c r="AA428" i="15"/>
  <c r="AC428" i="15" s="1"/>
  <c r="AP428" i="15" s="1"/>
  <c r="Z428" i="15"/>
  <c r="AB428" i="15" s="1"/>
  <c r="AO428" i="15" s="1"/>
  <c r="AA7" i="56"/>
  <c r="AC7" i="56" s="1"/>
  <c r="AP7" i="56" s="1"/>
  <c r="Z7" i="56"/>
  <c r="AB7" i="56" s="1"/>
  <c r="AO7" i="56" s="1"/>
  <c r="AA12" i="56"/>
  <c r="AC12" i="56" s="1"/>
  <c r="AP12" i="56" s="1"/>
  <c r="Z12" i="56"/>
  <c r="AB12" i="56" s="1"/>
  <c r="AO12" i="56" s="1"/>
  <c r="Z18" i="41"/>
  <c r="AB18" i="41" s="1"/>
  <c r="AO18" i="41" s="1"/>
  <c r="AA18" i="41"/>
  <c r="AC18" i="41" s="1"/>
  <c r="AP18" i="41" s="1"/>
  <c r="AA7" i="26"/>
  <c r="AC7" i="26" s="1"/>
  <c r="AP7" i="26" s="1"/>
  <c r="Z7" i="26"/>
  <c r="AB7" i="26" s="1"/>
  <c r="AO7" i="26" s="1"/>
  <c r="Z12" i="49"/>
  <c r="AB12" i="49" s="1"/>
  <c r="AO12" i="49" s="1"/>
  <c r="AA12" i="49"/>
  <c r="AC12" i="49" s="1"/>
  <c r="AP12" i="49" s="1"/>
  <c r="AA21" i="49"/>
  <c r="AC21" i="49" s="1"/>
  <c r="AP21" i="49" s="1"/>
  <c r="Z21" i="49"/>
  <c r="AB21" i="49" s="1"/>
  <c r="AO21" i="49" s="1"/>
  <c r="AA16" i="49"/>
  <c r="AC16" i="49" s="1"/>
  <c r="AP16" i="49" s="1"/>
  <c r="Z16" i="49"/>
  <c r="AB16" i="49" s="1"/>
  <c r="AO16" i="49" s="1"/>
  <c r="AA18" i="45"/>
  <c r="AC18" i="45" s="1"/>
  <c r="AP18" i="45" s="1"/>
  <c r="Z18" i="45"/>
  <c r="AB18" i="45" s="1"/>
  <c r="AO18" i="45" s="1"/>
  <c r="AA14" i="45"/>
  <c r="AC14" i="45" s="1"/>
  <c r="AP14" i="45" s="1"/>
  <c r="Z14" i="45"/>
  <c r="AB14" i="45" s="1"/>
  <c r="AO14" i="45" s="1"/>
  <c r="AA7" i="45"/>
  <c r="AC7" i="45" s="1"/>
  <c r="AP7" i="45" s="1"/>
  <c r="Z7" i="45"/>
  <c r="AB7" i="45" s="1"/>
  <c r="AO7" i="45" s="1"/>
  <c r="Z24" i="21"/>
  <c r="AB24" i="21" s="1"/>
  <c r="AO24" i="21" s="1"/>
  <c r="AA24" i="21"/>
  <c r="AC24" i="21" s="1"/>
  <c r="AP24" i="21" s="1"/>
  <c r="Z15" i="21"/>
  <c r="AB15" i="21" s="1"/>
  <c r="AO15" i="21" s="1"/>
  <c r="AA15" i="21"/>
  <c r="AC15" i="21" s="1"/>
  <c r="AP15" i="21" s="1"/>
  <c r="AA13" i="21"/>
  <c r="AC13" i="21" s="1"/>
  <c r="AP13" i="21" s="1"/>
  <c r="Z13" i="21"/>
  <c r="AB13" i="21" s="1"/>
  <c r="AO13" i="21" s="1"/>
  <c r="AA22" i="21"/>
  <c r="AC22" i="21" s="1"/>
  <c r="AP22" i="21" s="1"/>
  <c r="Z22" i="21"/>
  <c r="AB22" i="21" s="1"/>
  <c r="AO22" i="21" s="1"/>
  <c r="AA19" i="21"/>
  <c r="AC19" i="21" s="1"/>
  <c r="AP19" i="21" s="1"/>
  <c r="Z19" i="21"/>
  <c r="AB19" i="21" s="1"/>
  <c r="AO19" i="21" s="1"/>
  <c r="AA24" i="54"/>
  <c r="AC24" i="54" s="1"/>
  <c r="AP24" i="54" s="1"/>
  <c r="Z24" i="54"/>
  <c r="AB24" i="54" s="1"/>
  <c r="AO24" i="54" s="1"/>
  <c r="Z14" i="54"/>
  <c r="AB14" i="54" s="1"/>
  <c r="AO14" i="54" s="1"/>
  <c r="AA14" i="54"/>
  <c r="AC14" i="54" s="1"/>
  <c r="AP14" i="54" s="1"/>
  <c r="AA11" i="54"/>
  <c r="AC11" i="54" s="1"/>
  <c r="AP11" i="54" s="1"/>
  <c r="Z11" i="54"/>
  <c r="AB11" i="54" s="1"/>
  <c r="AO11" i="54" s="1"/>
  <c r="AA9" i="54"/>
  <c r="AC9" i="54" s="1"/>
  <c r="AP9" i="54" s="1"/>
  <c r="Z9" i="54"/>
  <c r="AB9" i="54" s="1"/>
  <c r="AO9" i="54" s="1"/>
  <c r="AA5" i="72"/>
  <c r="AC5" i="72" s="1"/>
  <c r="Z5" i="72"/>
  <c r="AB5" i="72" s="1"/>
  <c r="Z19" i="72"/>
  <c r="AB19" i="72" s="1"/>
  <c r="AO19" i="72" s="1"/>
  <c r="AA19" i="72"/>
  <c r="AC19" i="72" s="1"/>
  <c r="AP19" i="72" s="1"/>
  <c r="AA6" i="72"/>
  <c r="AC6" i="72" s="1"/>
  <c r="AP6" i="72" s="1"/>
  <c r="Z6" i="72"/>
  <c r="AB6" i="72" s="1"/>
  <c r="AO6" i="72" s="1"/>
  <c r="AA5" i="55"/>
  <c r="AC5" i="55" s="1"/>
  <c r="Z5" i="55"/>
  <c r="AB5" i="55" s="1"/>
  <c r="Z19" i="55"/>
  <c r="AB19" i="55" s="1"/>
  <c r="AO19" i="55" s="1"/>
  <c r="AA19" i="55"/>
  <c r="AC19" i="55" s="1"/>
  <c r="AP19" i="55" s="1"/>
  <c r="Z20" i="55"/>
  <c r="AB20" i="55" s="1"/>
  <c r="AO20" i="55" s="1"/>
  <c r="AA20" i="55"/>
  <c r="AC20" i="55" s="1"/>
  <c r="AP20" i="55" s="1"/>
  <c r="Z53" i="53"/>
  <c r="AB53" i="53" s="1"/>
  <c r="AO53" i="53" s="1"/>
  <c r="AA53" i="53"/>
  <c r="AC53" i="53" s="1"/>
  <c r="AP53" i="53" s="1"/>
  <c r="Z18" i="53"/>
  <c r="AB18" i="53" s="1"/>
  <c r="AO18" i="53" s="1"/>
  <c r="AA18" i="53"/>
  <c r="AC18" i="53" s="1"/>
  <c r="AP18" i="53" s="1"/>
  <c r="Z16" i="53"/>
  <c r="AB16" i="53" s="1"/>
  <c r="AO16" i="53" s="1"/>
  <c r="AA16" i="53"/>
  <c r="AC16" i="53" s="1"/>
  <c r="AP16" i="53" s="1"/>
  <c r="AA19" i="53"/>
  <c r="AC19" i="53" s="1"/>
  <c r="AP19" i="53" s="1"/>
  <c r="Z19" i="53"/>
  <c r="AB19" i="53" s="1"/>
  <c r="AO19" i="53" s="1"/>
  <c r="AA49" i="5"/>
  <c r="AC49" i="5" s="1"/>
  <c r="AP49" i="5" s="1"/>
  <c r="Z49" i="5"/>
  <c r="AB49" i="5" s="1"/>
  <c r="AO49" i="5" s="1"/>
  <c r="Z50" i="5"/>
  <c r="AB50" i="5" s="1"/>
  <c r="AO50" i="5" s="1"/>
  <c r="AA50" i="5"/>
  <c r="AC50" i="5" s="1"/>
  <c r="AP50" i="5" s="1"/>
  <c r="AA35" i="5"/>
  <c r="AC35" i="5" s="1"/>
  <c r="AP35" i="5" s="1"/>
  <c r="Z35" i="5"/>
  <c r="AB35" i="5" s="1"/>
  <c r="AO35" i="5" s="1"/>
  <c r="Z5" i="5"/>
  <c r="AB5" i="5" s="1"/>
  <c r="AA5" i="5"/>
  <c r="AC5" i="5" s="1"/>
  <c r="Z26" i="5"/>
  <c r="AB26" i="5" s="1"/>
  <c r="AO26" i="5" s="1"/>
  <c r="AA26" i="5"/>
  <c r="AC26" i="5" s="1"/>
  <c r="AP26" i="5" s="1"/>
  <c r="AA45" i="5"/>
  <c r="AC45" i="5" s="1"/>
  <c r="AP45" i="5" s="1"/>
  <c r="Z45" i="5"/>
  <c r="AB45" i="5" s="1"/>
  <c r="AO45" i="5" s="1"/>
  <c r="AA40" i="5"/>
  <c r="AC40" i="5" s="1"/>
  <c r="AP40" i="5" s="1"/>
  <c r="Z40" i="5"/>
  <c r="AB40" i="5" s="1"/>
  <c r="AO40" i="5" s="1"/>
  <c r="Z15" i="14"/>
  <c r="AB15" i="14" s="1"/>
  <c r="AO15" i="14" s="1"/>
  <c r="AA15" i="14"/>
  <c r="AC15" i="14" s="1"/>
  <c r="AP15" i="14" s="1"/>
  <c r="AA21" i="14"/>
  <c r="AC21" i="14" s="1"/>
  <c r="AP21" i="14" s="1"/>
  <c r="Z21" i="14"/>
  <c r="AB21" i="14" s="1"/>
  <c r="AO21" i="14" s="1"/>
  <c r="Z11" i="14"/>
  <c r="AB11" i="14" s="1"/>
  <c r="AO11" i="14" s="1"/>
  <c r="AA11" i="14"/>
  <c r="AC11" i="14" s="1"/>
  <c r="AP11" i="14" s="1"/>
  <c r="AA30" i="12"/>
  <c r="AC30" i="12" s="1"/>
  <c r="AP30" i="12" s="1"/>
  <c r="Z30" i="12"/>
  <c r="AB30" i="12" s="1"/>
  <c r="AO30" i="12" s="1"/>
  <c r="Z20" i="62"/>
  <c r="AB20" i="62" s="1"/>
  <c r="AO20" i="62" s="1"/>
  <c r="AA20" i="62"/>
  <c r="AC20" i="62" s="1"/>
  <c r="AP20" i="62" s="1"/>
  <c r="AA11" i="62"/>
  <c r="AC11" i="62" s="1"/>
  <c r="AP11" i="62" s="1"/>
  <c r="Z11" i="62"/>
  <c r="AB11" i="62" s="1"/>
  <c r="AO11" i="62" s="1"/>
  <c r="Z23" i="62"/>
  <c r="AB23" i="62" s="1"/>
  <c r="AO23" i="62" s="1"/>
  <c r="AA23" i="62"/>
  <c r="AC23" i="62" s="1"/>
  <c r="AP23" i="62" s="1"/>
  <c r="AP5" i="62"/>
  <c r="Z18" i="42"/>
  <c r="AB18" i="42" s="1"/>
  <c r="AO18" i="42" s="1"/>
  <c r="AA18" i="42"/>
  <c r="AC18" i="42" s="1"/>
  <c r="AP18" i="42" s="1"/>
  <c r="AA22" i="42"/>
  <c r="AC22" i="42" s="1"/>
  <c r="AP22" i="42" s="1"/>
  <c r="Z22" i="42"/>
  <c r="AB22" i="42" s="1"/>
  <c r="AO22" i="42" s="1"/>
  <c r="N51" i="68"/>
  <c r="O51" i="68"/>
  <c r="AA16" i="22"/>
  <c r="AC16" i="22" s="1"/>
  <c r="AP16" i="22" s="1"/>
  <c r="Z16" i="22"/>
  <c r="AB16" i="22" s="1"/>
  <c r="AO16" i="22" s="1"/>
  <c r="AA412" i="15"/>
  <c r="AC412" i="15" s="1"/>
  <c r="AP412" i="15" s="1"/>
  <c r="Z412" i="15"/>
  <c r="AB412" i="15" s="1"/>
  <c r="AO412" i="15" s="1"/>
  <c r="Z143" i="15"/>
  <c r="AB143" i="15" s="1"/>
  <c r="AO143" i="15" s="1"/>
  <c r="AA143" i="15"/>
  <c r="AC143" i="15" s="1"/>
  <c r="AA76" i="15"/>
  <c r="AC76" i="15" s="1"/>
  <c r="AP76" i="15" s="1"/>
  <c r="Z76" i="15"/>
  <c r="AB76" i="15" s="1"/>
  <c r="AO76" i="15" s="1"/>
  <c r="Z21" i="36"/>
  <c r="AB21" i="36" s="1"/>
  <c r="AO21" i="36" s="1"/>
  <c r="AA21" i="36"/>
  <c r="AC21" i="36" s="1"/>
  <c r="AP21" i="36" s="1"/>
  <c r="AA6" i="44"/>
  <c r="AC6" i="44" s="1"/>
  <c r="AP6" i="44" s="1"/>
  <c r="Z6" i="44"/>
  <c r="AB6" i="44" s="1"/>
  <c r="AO6" i="44" s="1"/>
  <c r="AA22" i="44"/>
  <c r="AC22" i="44" s="1"/>
  <c r="AP22" i="44" s="1"/>
  <c r="Z22" i="44"/>
  <c r="AB22" i="44" s="1"/>
  <c r="AO22" i="44" s="1"/>
  <c r="AA20" i="18"/>
  <c r="AC20" i="18" s="1"/>
  <c r="AP20" i="18" s="1"/>
  <c r="Z20" i="18"/>
  <c r="AB20" i="18" s="1"/>
  <c r="AO20" i="18" s="1"/>
  <c r="Z13" i="18"/>
  <c r="AB13" i="18" s="1"/>
  <c r="AO13" i="18" s="1"/>
  <c r="AA13" i="18"/>
  <c r="AC13" i="18" s="1"/>
  <c r="AP13" i="18" s="1"/>
  <c r="Z24" i="25"/>
  <c r="AB24" i="25" s="1"/>
  <c r="AO24" i="25" s="1"/>
  <c r="AA24" i="25"/>
  <c r="AC24" i="25" s="1"/>
  <c r="AP24" i="25" s="1"/>
  <c r="AA22" i="25"/>
  <c r="AC22" i="25" s="1"/>
  <c r="AP22" i="25" s="1"/>
  <c r="Z22" i="25"/>
  <c r="AB22" i="25" s="1"/>
  <c r="AO22" i="25" s="1"/>
  <c r="AA9" i="61"/>
  <c r="AC9" i="61" s="1"/>
  <c r="AP9" i="61" s="1"/>
  <c r="Z9" i="61"/>
  <c r="AB9" i="61" s="1"/>
  <c r="AO9" i="61" s="1"/>
  <c r="AA21" i="61"/>
  <c r="AC21" i="61" s="1"/>
  <c r="AP21" i="61" s="1"/>
  <c r="Z21" i="61"/>
  <c r="AB21" i="61" s="1"/>
  <c r="AO21" i="61" s="1"/>
  <c r="AA27" i="75"/>
  <c r="AC27" i="75" s="1"/>
  <c r="AP27" i="75" s="1"/>
  <c r="Z27" i="75"/>
  <c r="AB27" i="75" s="1"/>
  <c r="AO27" i="75" s="1"/>
  <c r="Z62" i="75"/>
  <c r="AB62" i="75" s="1"/>
  <c r="AO62" i="75" s="1"/>
  <c r="AA62" i="75"/>
  <c r="AC62" i="75" s="1"/>
  <c r="AP62" i="75" s="1"/>
  <c r="AA12" i="75"/>
  <c r="AC12" i="75" s="1"/>
  <c r="AP12" i="75" s="1"/>
  <c r="Z12" i="75"/>
  <c r="AB12" i="75" s="1"/>
  <c r="AO12" i="75" s="1"/>
  <c r="AA63" i="75"/>
  <c r="AC63" i="75" s="1"/>
  <c r="AP63" i="75" s="1"/>
  <c r="Z63" i="75"/>
  <c r="AB63" i="75" s="1"/>
  <c r="AO63" i="75" s="1"/>
  <c r="AA25" i="75"/>
  <c r="AC25" i="75" s="1"/>
  <c r="AP25" i="75" s="1"/>
  <c r="Z25" i="75"/>
  <c r="AB25" i="75" s="1"/>
  <c r="AO25" i="75" s="1"/>
  <c r="AA57" i="75"/>
  <c r="AC57" i="75" s="1"/>
  <c r="AP57" i="75" s="1"/>
  <c r="Z57" i="75"/>
  <c r="AB57" i="75" s="1"/>
  <c r="AO57" i="75" s="1"/>
  <c r="AA40" i="75"/>
  <c r="AC40" i="75" s="1"/>
  <c r="AP40" i="75" s="1"/>
  <c r="Z40" i="75"/>
  <c r="AB40" i="75" s="1"/>
  <c r="AO40" i="75" s="1"/>
  <c r="AA21" i="66"/>
  <c r="AC21" i="66" s="1"/>
  <c r="AP21" i="66" s="1"/>
  <c r="Z21" i="66"/>
  <c r="AB21" i="66" s="1"/>
  <c r="AO21" i="66" s="1"/>
  <c r="AA27" i="66"/>
  <c r="AC27" i="66" s="1"/>
  <c r="AP27" i="66" s="1"/>
  <c r="Z27" i="66"/>
  <c r="AB27" i="66" s="1"/>
  <c r="AO27" i="66" s="1"/>
  <c r="Z17" i="66"/>
  <c r="AB17" i="66" s="1"/>
  <c r="AO17" i="66" s="1"/>
  <c r="AA17" i="66"/>
  <c r="AC17" i="66" s="1"/>
  <c r="AP17" i="66" s="1"/>
  <c r="AA16" i="66"/>
  <c r="AC16" i="66" s="1"/>
  <c r="AP16" i="66" s="1"/>
  <c r="Z16" i="66"/>
  <c r="AB16" i="66" s="1"/>
  <c r="AO16" i="66" s="1"/>
  <c r="AA12" i="33"/>
  <c r="AC12" i="33" s="1"/>
  <c r="AP12" i="33" s="1"/>
  <c r="Z12" i="33"/>
  <c r="AB12" i="33" s="1"/>
  <c r="AO12" i="33" s="1"/>
  <c r="AA11" i="33"/>
  <c r="AC11" i="33" s="1"/>
  <c r="AP11" i="33" s="1"/>
  <c r="Z11" i="33"/>
  <c r="AB11" i="33" s="1"/>
  <c r="AO11" i="33" s="1"/>
  <c r="AA15" i="33"/>
  <c r="AC15" i="33" s="1"/>
  <c r="AP15" i="33" s="1"/>
  <c r="Z15" i="33"/>
  <c r="AB15" i="33" s="1"/>
  <c r="AO15" i="33" s="1"/>
  <c r="AA5" i="33"/>
  <c r="AC5" i="33" s="1"/>
  <c r="Z5" i="33"/>
  <c r="AB5" i="33" s="1"/>
  <c r="Z24" i="73"/>
  <c r="AB24" i="73" s="1"/>
  <c r="AO24" i="73" s="1"/>
  <c r="AA24" i="73"/>
  <c r="AC24" i="73" s="1"/>
  <c r="AP24" i="73" s="1"/>
  <c r="AA9" i="73"/>
  <c r="AC9" i="73" s="1"/>
  <c r="AP9" i="73" s="1"/>
  <c r="Z9" i="73"/>
  <c r="AB9" i="73" s="1"/>
  <c r="AO9" i="73" s="1"/>
  <c r="AA9" i="16"/>
  <c r="AC9" i="16" s="1"/>
  <c r="AP9" i="16" s="1"/>
  <c r="Z9" i="16"/>
  <c r="AB9" i="16" s="1"/>
  <c r="AO9" i="16" s="1"/>
  <c r="AA28" i="57"/>
  <c r="AC28" i="57" s="1"/>
  <c r="AP28" i="57" s="1"/>
  <c r="Z28" i="57"/>
  <c r="AB28" i="57" s="1"/>
  <c r="AO28" i="57" s="1"/>
  <c r="AA48" i="57"/>
  <c r="AC48" i="57" s="1"/>
  <c r="AP48" i="57" s="1"/>
  <c r="Z48" i="57"/>
  <c r="AB48" i="57" s="1"/>
  <c r="AO48" i="57" s="1"/>
  <c r="Z31" i="57"/>
  <c r="AB31" i="57" s="1"/>
  <c r="AO31" i="57" s="1"/>
  <c r="AA31" i="57"/>
  <c r="AC31" i="57" s="1"/>
  <c r="AP31" i="57" s="1"/>
  <c r="Z26" i="57"/>
  <c r="AB26" i="57" s="1"/>
  <c r="AO26" i="57" s="1"/>
  <c r="AA26" i="57"/>
  <c r="AC26" i="57" s="1"/>
  <c r="AP26" i="57" s="1"/>
  <c r="AA25" i="57"/>
  <c r="AC25" i="57" s="1"/>
  <c r="AP25" i="57" s="1"/>
  <c r="Z25" i="57"/>
  <c r="AB25" i="57" s="1"/>
  <c r="AO25" i="57" s="1"/>
  <c r="AA11" i="23"/>
  <c r="AC11" i="23" s="1"/>
  <c r="AP11" i="23" s="1"/>
  <c r="Z11" i="23"/>
  <c r="AB11" i="23" s="1"/>
  <c r="AO11" i="23" s="1"/>
  <c r="Z10" i="23"/>
  <c r="AB10" i="23" s="1"/>
  <c r="AO10" i="23" s="1"/>
  <c r="AA10" i="23"/>
  <c r="AC10" i="23" s="1"/>
  <c r="AP10" i="23" s="1"/>
  <c r="AA6" i="23"/>
  <c r="AC6" i="23" s="1"/>
  <c r="AP6" i="23" s="1"/>
  <c r="Z6" i="23"/>
  <c r="AB6" i="23" s="1"/>
  <c r="AO6" i="23" s="1"/>
  <c r="AA14" i="23"/>
  <c r="AC14" i="23" s="1"/>
  <c r="AP14" i="23" s="1"/>
  <c r="Z14" i="23"/>
  <c r="AB14" i="23" s="1"/>
  <c r="AO14" i="23" s="1"/>
  <c r="AA27" i="23"/>
  <c r="AC27" i="23" s="1"/>
  <c r="AP27" i="23" s="1"/>
  <c r="Z27" i="23"/>
  <c r="AB27" i="23" s="1"/>
  <c r="AO27" i="23" s="1"/>
  <c r="Z6" i="71"/>
  <c r="AB6" i="71" s="1"/>
  <c r="AO6" i="71" s="1"/>
  <c r="AA6" i="71"/>
  <c r="AC6" i="71" s="1"/>
  <c r="AP6" i="71" s="1"/>
  <c r="AA12" i="71"/>
  <c r="AC12" i="71" s="1"/>
  <c r="AP12" i="71" s="1"/>
  <c r="Z12" i="71"/>
  <c r="AB12" i="71" s="1"/>
  <c r="AO12" i="71" s="1"/>
  <c r="AA11" i="71"/>
  <c r="AC11" i="71" s="1"/>
  <c r="AP11" i="71" s="1"/>
  <c r="Z11" i="71"/>
  <c r="AB11" i="71" s="1"/>
  <c r="AO11" i="71" s="1"/>
  <c r="AA5" i="71"/>
  <c r="AC5" i="71" s="1"/>
  <c r="Z5" i="71"/>
  <c r="AB5" i="71" s="1"/>
  <c r="AA300" i="15"/>
  <c r="AC300" i="15" s="1"/>
  <c r="AP300" i="15" s="1"/>
  <c r="Z300" i="15"/>
  <c r="AB300" i="15" s="1"/>
  <c r="AO300" i="15" s="1"/>
  <c r="AA34" i="15"/>
  <c r="AC34" i="15" s="1"/>
  <c r="AP34" i="15" s="1"/>
  <c r="Z34" i="15"/>
  <c r="AB34" i="15" s="1"/>
  <c r="AO34" i="15" s="1"/>
  <c r="AA6" i="13"/>
  <c r="AC6" i="13" s="1"/>
  <c r="AP6" i="13" s="1"/>
  <c r="Z6" i="13"/>
  <c r="AB6" i="13" s="1"/>
  <c r="AO6" i="13" s="1"/>
  <c r="AA13" i="13"/>
  <c r="AC13" i="13" s="1"/>
  <c r="AP13" i="13" s="1"/>
  <c r="Z13" i="13"/>
  <c r="AB13" i="13" s="1"/>
  <c r="AO13" i="13" s="1"/>
  <c r="AA23" i="40"/>
  <c r="AC23" i="40" s="1"/>
  <c r="AP23" i="40" s="1"/>
  <c r="Z23" i="40"/>
  <c r="AB23" i="40" s="1"/>
  <c r="AO23" i="40" s="1"/>
  <c r="Z7" i="40"/>
  <c r="AB7" i="40" s="1"/>
  <c r="AO7" i="40" s="1"/>
  <c r="AA7" i="40"/>
  <c r="AC7" i="40" s="1"/>
  <c r="AP7" i="40" s="1"/>
  <c r="AA17" i="51"/>
  <c r="AC17" i="51" s="1"/>
  <c r="AP17" i="51" s="1"/>
  <c r="Z17" i="51"/>
  <c r="AB17" i="51" s="1"/>
  <c r="AO17" i="51" s="1"/>
  <c r="AA22" i="51"/>
  <c r="AC22" i="51" s="1"/>
  <c r="AP22" i="51" s="1"/>
  <c r="Z22" i="51"/>
  <c r="AB22" i="51" s="1"/>
  <c r="AO22" i="51" s="1"/>
  <c r="AA73" i="29"/>
  <c r="AC73" i="29" s="1"/>
  <c r="AP73" i="29" s="1"/>
  <c r="Z73" i="29"/>
  <c r="AB73" i="29" s="1"/>
  <c r="AO73" i="29" s="1"/>
  <c r="AA65" i="29"/>
  <c r="AC65" i="29" s="1"/>
  <c r="AP65" i="29" s="1"/>
  <c r="Z65" i="29"/>
  <c r="AB65" i="29" s="1"/>
  <c r="AO65" i="29" s="1"/>
  <c r="AA45" i="29"/>
  <c r="AC45" i="29" s="1"/>
  <c r="AP45" i="29" s="1"/>
  <c r="Z45" i="29"/>
  <c r="AB45" i="29" s="1"/>
  <c r="AO45" i="29" s="1"/>
  <c r="Z15" i="29"/>
  <c r="AB15" i="29" s="1"/>
  <c r="AO15" i="29" s="1"/>
  <c r="AA15" i="29"/>
  <c r="AC15" i="29" s="1"/>
  <c r="AP15" i="29" s="1"/>
  <c r="AA14" i="29"/>
  <c r="AC14" i="29" s="1"/>
  <c r="AP14" i="29" s="1"/>
  <c r="Z14" i="29"/>
  <c r="AB14" i="29" s="1"/>
  <c r="AO14" i="29" s="1"/>
  <c r="AA59" i="29"/>
  <c r="AC59" i="29" s="1"/>
  <c r="AP59" i="29" s="1"/>
  <c r="Z59" i="29"/>
  <c r="AB59" i="29" s="1"/>
  <c r="AO59" i="29" s="1"/>
  <c r="AA30" i="29"/>
  <c r="AC30" i="29" s="1"/>
  <c r="AP30" i="29" s="1"/>
  <c r="Z30" i="29"/>
  <c r="AB30" i="29" s="1"/>
  <c r="AO30" i="29" s="1"/>
  <c r="Z31" i="22"/>
  <c r="AB31" i="22" s="1"/>
  <c r="AO31" i="22" s="1"/>
  <c r="AA31" i="22"/>
  <c r="AC31" i="22" s="1"/>
  <c r="AP31" i="22" s="1"/>
  <c r="Z35" i="22"/>
  <c r="AB35" i="22" s="1"/>
  <c r="AO35" i="22" s="1"/>
  <c r="AA35" i="22"/>
  <c r="AC35" i="22" s="1"/>
  <c r="AP35" i="22" s="1"/>
  <c r="AA23" i="22"/>
  <c r="AC23" i="22" s="1"/>
  <c r="AP23" i="22" s="1"/>
  <c r="Z23" i="22"/>
  <c r="AB23" i="22" s="1"/>
  <c r="AO23" i="22" s="1"/>
  <c r="AA57" i="22"/>
  <c r="AC57" i="22" s="1"/>
  <c r="AP57" i="22" s="1"/>
  <c r="Z57" i="22"/>
  <c r="AB57" i="22" s="1"/>
  <c r="AO57" i="22" s="1"/>
  <c r="AA46" i="22"/>
  <c r="AC46" i="22" s="1"/>
  <c r="AP46" i="22" s="1"/>
  <c r="Z46" i="22"/>
  <c r="AB46" i="22" s="1"/>
  <c r="AO46" i="22" s="1"/>
  <c r="AA9" i="22"/>
  <c r="AC9" i="22" s="1"/>
  <c r="AP9" i="22" s="1"/>
  <c r="Z9" i="22"/>
  <c r="AB9" i="22" s="1"/>
  <c r="AO9" i="22" s="1"/>
  <c r="AA340" i="15"/>
  <c r="AC340" i="15" s="1"/>
  <c r="AP340" i="15" s="1"/>
  <c r="Z340" i="15"/>
  <c r="AB340" i="15" s="1"/>
  <c r="AO340" i="15" s="1"/>
  <c r="AA146" i="15"/>
  <c r="AC146" i="15" s="1"/>
  <c r="AP146" i="15" s="1"/>
  <c r="Z146" i="15"/>
  <c r="AB146" i="15" s="1"/>
  <c r="AO146" i="15" s="1"/>
  <c r="Z20" i="15"/>
  <c r="AB20" i="15" s="1"/>
  <c r="AO20" i="15" s="1"/>
  <c r="AA20" i="15"/>
  <c r="AC20" i="15" s="1"/>
  <c r="AP20" i="15" s="1"/>
  <c r="Z195" i="15"/>
  <c r="AB195" i="15" s="1"/>
  <c r="AO195" i="15" s="1"/>
  <c r="AA195" i="15"/>
  <c r="AC195" i="15" s="1"/>
  <c r="AP195" i="15" s="1"/>
  <c r="Z363" i="15"/>
  <c r="AB363" i="15" s="1"/>
  <c r="AO363" i="15" s="1"/>
  <c r="AA363" i="15"/>
  <c r="AC363" i="15" s="1"/>
  <c r="AP363" i="15" s="1"/>
  <c r="Z39" i="15"/>
  <c r="AB39" i="15" s="1"/>
  <c r="AO39" i="15" s="1"/>
  <c r="AA39" i="15"/>
  <c r="AC39" i="15" s="1"/>
  <c r="AP39" i="15" s="1"/>
  <c r="Z103" i="15"/>
  <c r="AB103" i="15" s="1"/>
  <c r="AO103" i="15" s="1"/>
  <c r="AA103" i="15"/>
  <c r="AC103" i="15" s="1"/>
  <c r="AP103" i="15" s="1"/>
  <c r="AA148" i="15"/>
  <c r="AC148" i="15" s="1"/>
  <c r="AP148" i="15" s="1"/>
  <c r="Z148" i="15"/>
  <c r="AB148" i="15" s="1"/>
  <c r="AO148" i="15" s="1"/>
  <c r="AA192" i="15"/>
  <c r="AC192" i="15" s="1"/>
  <c r="AP192" i="15" s="1"/>
  <c r="Z192" i="15"/>
  <c r="AB192" i="15" s="1"/>
  <c r="AO192" i="15" s="1"/>
  <c r="AA256" i="15"/>
  <c r="AC256" i="15" s="1"/>
  <c r="AP256" i="15" s="1"/>
  <c r="Z256" i="15"/>
  <c r="AB256" i="15" s="1"/>
  <c r="AO256" i="15" s="1"/>
  <c r="AA320" i="15"/>
  <c r="AC320" i="15" s="1"/>
  <c r="AP320" i="15" s="1"/>
  <c r="Z320" i="15"/>
  <c r="AB320" i="15" s="1"/>
  <c r="AO320" i="15" s="1"/>
  <c r="AA384" i="15"/>
  <c r="AC384" i="15" s="1"/>
  <c r="AP384" i="15" s="1"/>
  <c r="Z384" i="15"/>
  <c r="AB384" i="15" s="1"/>
  <c r="AO384" i="15" s="1"/>
  <c r="AA448" i="15"/>
  <c r="AC448" i="15" s="1"/>
  <c r="AP448" i="15" s="1"/>
  <c r="Z448" i="15"/>
  <c r="AB448" i="15" s="1"/>
  <c r="AO448" i="15" s="1"/>
  <c r="AA23" i="15"/>
  <c r="AC23" i="15" s="1"/>
  <c r="AP23" i="15" s="1"/>
  <c r="Z23" i="15"/>
  <c r="AB23" i="15" s="1"/>
  <c r="AO23" i="15" s="1"/>
  <c r="Z99" i="15"/>
  <c r="AB99" i="15" s="1"/>
  <c r="AO99" i="15" s="1"/>
  <c r="AA99" i="15"/>
  <c r="AC99" i="15" s="1"/>
  <c r="AP99" i="15" s="1"/>
  <c r="AA128" i="15"/>
  <c r="AC128" i="15" s="1"/>
  <c r="AP128" i="15" s="1"/>
  <c r="Z128" i="15"/>
  <c r="AB128" i="15" s="1"/>
  <c r="AO128" i="15" s="1"/>
  <c r="Z243" i="15"/>
  <c r="AB243" i="15" s="1"/>
  <c r="AO243" i="15" s="1"/>
  <c r="AA243" i="15"/>
  <c r="AC243" i="15" s="1"/>
  <c r="AP243" i="15" s="1"/>
  <c r="Z427" i="15"/>
  <c r="AB427" i="15" s="1"/>
  <c r="AO427" i="15" s="1"/>
  <c r="AA427" i="15"/>
  <c r="AC427" i="15" s="1"/>
  <c r="AP427" i="15" s="1"/>
  <c r="AA15" i="15"/>
  <c r="AC15" i="15" s="1"/>
  <c r="AP15" i="15" s="1"/>
  <c r="Z15" i="15"/>
  <c r="AB15" i="15" s="1"/>
  <c r="AO15" i="15" s="1"/>
  <c r="AA56" i="15"/>
  <c r="AC56" i="15" s="1"/>
  <c r="AP56" i="15" s="1"/>
  <c r="Z56" i="15"/>
  <c r="AB56" i="15" s="1"/>
  <c r="AO56" i="15" s="1"/>
  <c r="AA94" i="15"/>
  <c r="AC94" i="15" s="1"/>
  <c r="AP94" i="15" s="1"/>
  <c r="Z94" i="15"/>
  <c r="AB94" i="15" s="1"/>
  <c r="AO94" i="15" s="1"/>
  <c r="Z139" i="15"/>
  <c r="AB139" i="15" s="1"/>
  <c r="AO139" i="15" s="1"/>
  <c r="AA139" i="15"/>
  <c r="AC139" i="15" s="1"/>
  <c r="AP139" i="15" s="1"/>
  <c r="Z183" i="15"/>
  <c r="AB183" i="15" s="1"/>
  <c r="AO183" i="15" s="1"/>
  <c r="AA183" i="15"/>
  <c r="AC183" i="15" s="1"/>
  <c r="Z247" i="15"/>
  <c r="AB247" i="15" s="1"/>
  <c r="AO247" i="15" s="1"/>
  <c r="AA247" i="15"/>
  <c r="AC247" i="15" s="1"/>
  <c r="AP247" i="15" s="1"/>
  <c r="Z311" i="15"/>
  <c r="AB311" i="15" s="1"/>
  <c r="AO311" i="15" s="1"/>
  <c r="AA311" i="15"/>
  <c r="AC311" i="15" s="1"/>
  <c r="AP311" i="15" s="1"/>
  <c r="Z407" i="15"/>
  <c r="AB407" i="15" s="1"/>
  <c r="AO407" i="15" s="1"/>
  <c r="AA407" i="15"/>
  <c r="AC407" i="15" s="1"/>
  <c r="AP407" i="15" s="1"/>
  <c r="Z471" i="15"/>
  <c r="AB471" i="15" s="1"/>
  <c r="AO471" i="15" s="1"/>
  <c r="AA471" i="15"/>
  <c r="AC471" i="15" s="1"/>
  <c r="AP471" i="15" s="1"/>
  <c r="Z182" i="15"/>
  <c r="AB182" i="15" s="1"/>
  <c r="AO182" i="15" s="1"/>
  <c r="AA182" i="15"/>
  <c r="AC182" i="15" s="1"/>
  <c r="AP182" i="15" s="1"/>
  <c r="Z214" i="15"/>
  <c r="AB214" i="15" s="1"/>
  <c r="AO214" i="15" s="1"/>
  <c r="AA214" i="15"/>
  <c r="AC214" i="15" s="1"/>
  <c r="Z246" i="15"/>
  <c r="AB246" i="15" s="1"/>
  <c r="AO246" i="15" s="1"/>
  <c r="AA246" i="15"/>
  <c r="AC246" i="15" s="1"/>
  <c r="AP246" i="15" s="1"/>
  <c r="Z278" i="15"/>
  <c r="AB278" i="15" s="1"/>
  <c r="AO278" i="15" s="1"/>
  <c r="AA278" i="15"/>
  <c r="AC278" i="15" s="1"/>
  <c r="AP278" i="15" s="1"/>
  <c r="AA310" i="15"/>
  <c r="AC310" i="15" s="1"/>
  <c r="AP310" i="15" s="1"/>
  <c r="Z310" i="15"/>
  <c r="AB310" i="15" s="1"/>
  <c r="AO310" i="15" s="1"/>
  <c r="Z342" i="15"/>
  <c r="AB342" i="15" s="1"/>
  <c r="AO342" i="15" s="1"/>
  <c r="AA342" i="15"/>
  <c r="AC342" i="15" s="1"/>
  <c r="AP342" i="15" s="1"/>
  <c r="Z390" i="15"/>
  <c r="AB390" i="15" s="1"/>
  <c r="AO390" i="15" s="1"/>
  <c r="AA390" i="15"/>
  <c r="AC390" i="15" s="1"/>
  <c r="AP390" i="15" s="1"/>
  <c r="AA422" i="15"/>
  <c r="AC422" i="15" s="1"/>
  <c r="AP422" i="15" s="1"/>
  <c r="Z422" i="15"/>
  <c r="AB422" i="15" s="1"/>
  <c r="AO422" i="15" s="1"/>
  <c r="AA454" i="15"/>
  <c r="AC454" i="15" s="1"/>
  <c r="AP454" i="15" s="1"/>
  <c r="Z454" i="15"/>
  <c r="AB454" i="15" s="1"/>
  <c r="AO454" i="15" s="1"/>
  <c r="AA486" i="15"/>
  <c r="AC486" i="15" s="1"/>
  <c r="AP486" i="15" s="1"/>
  <c r="Z486" i="15"/>
  <c r="AB486" i="15" s="1"/>
  <c r="AO486" i="15" s="1"/>
  <c r="Z9" i="15"/>
  <c r="AB9" i="15" s="1"/>
  <c r="AO9" i="15" s="1"/>
  <c r="AA9" i="15"/>
  <c r="AC9" i="15" s="1"/>
  <c r="AP9" i="15" s="1"/>
  <c r="AA57" i="15"/>
  <c r="AC57" i="15" s="1"/>
  <c r="AP57" i="15" s="1"/>
  <c r="Z57" i="15"/>
  <c r="AB57" i="15" s="1"/>
  <c r="AO57" i="15" s="1"/>
  <c r="AA89" i="15"/>
  <c r="AC89" i="15" s="1"/>
  <c r="AP89" i="15" s="1"/>
  <c r="Z89" i="15"/>
  <c r="AB89" i="15" s="1"/>
  <c r="AO89" i="15" s="1"/>
  <c r="AA121" i="15"/>
  <c r="AC121" i="15" s="1"/>
  <c r="AP121" i="15" s="1"/>
  <c r="Z121" i="15"/>
  <c r="AB121" i="15" s="1"/>
  <c r="AO121" i="15" s="1"/>
  <c r="AA185" i="15"/>
  <c r="AC185" i="15" s="1"/>
  <c r="AP185" i="15" s="1"/>
  <c r="Z185" i="15"/>
  <c r="AB185" i="15" s="1"/>
  <c r="AO185" i="15" s="1"/>
  <c r="AA217" i="15"/>
  <c r="AC217" i="15" s="1"/>
  <c r="Z217" i="15"/>
  <c r="AB217" i="15" s="1"/>
  <c r="AO217" i="15" s="1"/>
  <c r="AA249" i="15"/>
  <c r="AC249" i="15" s="1"/>
  <c r="AP249" i="15" s="1"/>
  <c r="Z249" i="15"/>
  <c r="AB249" i="15" s="1"/>
  <c r="AO249" i="15" s="1"/>
  <c r="AA297" i="15"/>
  <c r="AC297" i="15" s="1"/>
  <c r="AP297" i="15" s="1"/>
  <c r="Z297" i="15"/>
  <c r="AB297" i="15" s="1"/>
  <c r="AO297" i="15" s="1"/>
  <c r="AA329" i="15"/>
  <c r="AC329" i="15" s="1"/>
  <c r="AP329" i="15" s="1"/>
  <c r="Z329" i="15"/>
  <c r="AB329" i="15" s="1"/>
  <c r="AO329" i="15" s="1"/>
  <c r="AA377" i="15"/>
  <c r="AC377" i="15" s="1"/>
  <c r="AP377" i="15" s="1"/>
  <c r="Z377" i="15"/>
  <c r="AB377" i="15" s="1"/>
  <c r="AO377" i="15" s="1"/>
  <c r="AA409" i="15"/>
  <c r="AC409" i="15" s="1"/>
  <c r="AP409" i="15" s="1"/>
  <c r="Z409" i="15"/>
  <c r="AB409" i="15" s="1"/>
  <c r="AO409" i="15" s="1"/>
  <c r="AA441" i="15"/>
  <c r="AC441" i="15" s="1"/>
  <c r="AP441" i="15" s="1"/>
  <c r="Z441" i="15"/>
  <c r="AB441" i="15" s="1"/>
  <c r="AO441" i="15" s="1"/>
  <c r="AA473" i="15"/>
  <c r="AC473" i="15" s="1"/>
  <c r="AP473" i="15" s="1"/>
  <c r="Z473" i="15"/>
  <c r="AB473" i="15" s="1"/>
  <c r="AO473" i="15" s="1"/>
  <c r="AA505" i="15"/>
  <c r="AC505" i="15" s="1"/>
  <c r="AP505" i="15" s="1"/>
  <c r="Z505" i="15"/>
  <c r="AB505" i="15" s="1"/>
  <c r="AO505" i="15" s="1"/>
  <c r="AA5" i="64"/>
  <c r="AC5" i="64" s="1"/>
  <c r="Z5" i="64"/>
  <c r="AB5" i="64" s="1"/>
  <c r="AA17" i="64"/>
  <c r="AC17" i="64" s="1"/>
  <c r="AP17" i="64" s="1"/>
  <c r="Z17" i="64"/>
  <c r="AB17" i="64" s="1"/>
  <c r="AO17" i="64" s="1"/>
  <c r="AA12" i="64"/>
  <c r="AC12" i="64" s="1"/>
  <c r="AP12" i="64" s="1"/>
  <c r="Z12" i="64"/>
  <c r="AB12" i="64" s="1"/>
  <c r="AO12" i="64" s="1"/>
  <c r="AA11" i="60"/>
  <c r="AC11" i="60" s="1"/>
  <c r="AP11" i="60" s="1"/>
  <c r="Z11" i="60"/>
  <c r="AB11" i="60" s="1"/>
  <c r="AO11" i="60" s="1"/>
  <c r="AA7" i="60"/>
  <c r="AC7" i="60" s="1"/>
  <c r="AP7" i="60" s="1"/>
  <c r="Z7" i="60"/>
  <c r="AB7" i="60" s="1"/>
  <c r="AO7" i="60" s="1"/>
  <c r="Z23" i="60"/>
  <c r="AB23" i="60" s="1"/>
  <c r="AO23" i="60" s="1"/>
  <c r="AA23" i="60"/>
  <c r="AC23" i="60" s="1"/>
  <c r="AP23" i="60" s="1"/>
  <c r="AA14" i="60"/>
  <c r="AC14" i="60" s="1"/>
  <c r="AP14" i="60" s="1"/>
  <c r="Z14" i="60"/>
  <c r="AB14" i="60" s="1"/>
  <c r="AO14" i="60" s="1"/>
  <c r="AA56" i="46"/>
  <c r="AC56" i="46" s="1"/>
  <c r="AP56" i="46" s="1"/>
  <c r="Z56" i="46"/>
  <c r="AB56" i="46" s="1"/>
  <c r="AO56" i="46" s="1"/>
  <c r="AA68" i="46"/>
  <c r="AC68" i="46" s="1"/>
  <c r="AP68" i="46" s="1"/>
  <c r="Z68" i="46"/>
  <c r="AB68" i="46" s="1"/>
  <c r="AO68" i="46" s="1"/>
  <c r="AA32" i="46"/>
  <c r="AC32" i="46" s="1"/>
  <c r="AP32" i="46" s="1"/>
  <c r="Z32" i="46"/>
  <c r="AB32" i="46" s="1"/>
  <c r="AO32" i="46" s="1"/>
  <c r="AA28" i="46"/>
  <c r="AC28" i="46" s="1"/>
  <c r="AP28" i="46" s="1"/>
  <c r="Z28" i="46"/>
  <c r="AB28" i="46" s="1"/>
  <c r="AO28" i="46" s="1"/>
  <c r="Z5" i="46"/>
  <c r="AB5" i="46" s="1"/>
  <c r="AA5" i="46"/>
  <c r="AC5" i="46" s="1"/>
  <c r="Z31" i="46"/>
  <c r="AB31" i="46" s="1"/>
  <c r="AO31" i="46" s="1"/>
  <c r="AA31" i="46"/>
  <c r="AC31" i="46" s="1"/>
  <c r="AP31" i="46" s="1"/>
  <c r="AA46" i="46"/>
  <c r="AC46" i="46" s="1"/>
  <c r="AP46" i="46" s="1"/>
  <c r="Z46" i="46"/>
  <c r="AB46" i="46" s="1"/>
  <c r="AO46" i="46" s="1"/>
  <c r="AA17" i="46"/>
  <c r="AC17" i="46" s="1"/>
  <c r="AP17" i="46" s="1"/>
  <c r="Z17" i="46"/>
  <c r="AB17" i="46" s="1"/>
  <c r="AO17" i="46" s="1"/>
  <c r="AA49" i="46"/>
  <c r="AC49" i="46" s="1"/>
  <c r="AP49" i="46" s="1"/>
  <c r="Z49" i="46"/>
  <c r="AB49" i="46" s="1"/>
  <c r="AO49" i="46" s="1"/>
  <c r="AA81" i="46"/>
  <c r="AC81" i="46" s="1"/>
  <c r="AP81" i="46" s="1"/>
  <c r="Z81" i="46"/>
  <c r="AB81" i="46" s="1"/>
  <c r="AO81" i="46" s="1"/>
  <c r="AA20" i="6"/>
  <c r="AC20" i="6" s="1"/>
  <c r="AP20" i="6" s="1"/>
  <c r="Z20" i="6"/>
  <c r="AB20" i="6" s="1"/>
  <c r="AO20" i="6" s="1"/>
  <c r="AA13" i="6"/>
  <c r="AC13" i="6" s="1"/>
  <c r="AP13" i="6" s="1"/>
  <c r="Z13" i="6"/>
  <c r="AB13" i="6" s="1"/>
  <c r="AO13" i="6" s="1"/>
  <c r="Z45" i="20"/>
  <c r="AB45" i="20" s="1"/>
  <c r="AO45" i="20" s="1"/>
  <c r="AA45" i="20"/>
  <c r="AC45" i="20" s="1"/>
  <c r="AP45" i="20" s="1"/>
  <c r="AA50" i="20"/>
  <c r="AC50" i="20" s="1"/>
  <c r="AP50" i="20" s="1"/>
  <c r="Z50" i="20"/>
  <c r="AB50" i="20" s="1"/>
  <c r="AO50" i="20" s="1"/>
  <c r="Z49" i="20"/>
  <c r="AB49" i="20" s="1"/>
  <c r="AO49" i="20" s="1"/>
  <c r="AA49" i="20"/>
  <c r="AC49" i="20" s="1"/>
  <c r="AP49" i="20" s="1"/>
  <c r="AA24" i="20"/>
  <c r="AC24" i="20" s="1"/>
  <c r="AP24" i="20" s="1"/>
  <c r="Z24" i="20"/>
  <c r="AB24" i="20" s="1"/>
  <c r="AO24" i="20" s="1"/>
  <c r="AA56" i="20"/>
  <c r="AC56" i="20" s="1"/>
  <c r="AP56" i="20" s="1"/>
  <c r="Z56" i="20"/>
  <c r="AB56" i="20" s="1"/>
  <c r="AO56" i="20" s="1"/>
  <c r="AA8" i="20"/>
  <c r="AC8" i="20" s="1"/>
  <c r="AP8" i="20" s="1"/>
  <c r="Z8" i="20"/>
  <c r="AB8" i="20" s="1"/>
  <c r="AO8" i="20" s="1"/>
  <c r="AA35" i="20"/>
  <c r="AC35" i="20" s="1"/>
  <c r="AP35" i="20" s="1"/>
  <c r="Z35" i="20"/>
  <c r="AB35" i="20" s="1"/>
  <c r="AO35" i="20" s="1"/>
  <c r="AA67" i="20"/>
  <c r="AC67" i="20" s="1"/>
  <c r="AP67" i="20" s="1"/>
  <c r="Z67" i="20"/>
  <c r="AB67" i="20" s="1"/>
  <c r="AO67" i="20" s="1"/>
  <c r="AA17" i="47"/>
  <c r="AC17" i="47" s="1"/>
  <c r="AP17" i="47" s="1"/>
  <c r="Z17" i="47"/>
  <c r="AB17" i="47" s="1"/>
  <c r="AO17" i="47" s="1"/>
  <c r="AA18" i="47"/>
  <c r="AC18" i="47" s="1"/>
  <c r="AP18" i="47" s="1"/>
  <c r="Z18" i="47"/>
  <c r="AB18" i="47" s="1"/>
  <c r="AO18" i="47" s="1"/>
  <c r="Z24" i="47"/>
  <c r="AB24" i="47" s="1"/>
  <c r="AO24" i="47" s="1"/>
  <c r="AA24" i="47"/>
  <c r="AC24" i="47" s="1"/>
  <c r="AP24" i="47" s="1"/>
  <c r="Z56" i="47"/>
  <c r="AB56" i="47" s="1"/>
  <c r="AO56" i="47" s="1"/>
  <c r="AA56" i="47"/>
  <c r="AC56" i="47" s="1"/>
  <c r="AP56" i="47" s="1"/>
  <c r="AA21" i="47"/>
  <c r="AC21" i="47" s="1"/>
  <c r="AP21" i="47" s="1"/>
  <c r="Z21" i="47"/>
  <c r="AB21" i="47" s="1"/>
  <c r="AO21" i="47" s="1"/>
  <c r="AA51" i="47"/>
  <c r="AC51" i="47" s="1"/>
  <c r="AP51" i="47" s="1"/>
  <c r="Z51" i="47"/>
  <c r="AB51" i="47" s="1"/>
  <c r="AO51" i="47" s="1"/>
  <c r="AA19" i="47"/>
  <c r="AC19" i="47" s="1"/>
  <c r="AP19" i="47" s="1"/>
  <c r="Z19" i="47"/>
  <c r="AB19" i="47" s="1"/>
  <c r="AO19" i="47" s="1"/>
  <c r="AA50" i="47"/>
  <c r="AC50" i="47" s="1"/>
  <c r="AP50" i="47" s="1"/>
  <c r="Z50" i="47"/>
  <c r="AB50" i="47" s="1"/>
  <c r="AO50" i="47" s="1"/>
  <c r="Z15" i="30"/>
  <c r="AB15" i="30" s="1"/>
  <c r="AO15" i="30" s="1"/>
  <c r="AA15" i="30"/>
  <c r="AC15" i="30" s="1"/>
  <c r="AP15" i="30" s="1"/>
  <c r="AA19" i="30"/>
  <c r="AC19" i="30" s="1"/>
  <c r="AP19" i="30" s="1"/>
  <c r="Z19" i="30"/>
  <c r="AB19" i="30" s="1"/>
  <c r="AO19" i="30" s="1"/>
  <c r="Z45" i="28"/>
  <c r="AB45" i="28" s="1"/>
  <c r="AO45" i="28" s="1"/>
  <c r="AA45" i="28"/>
  <c r="AC45" i="28" s="1"/>
  <c r="AP45" i="28" s="1"/>
  <c r="AA6" i="26"/>
  <c r="AC6" i="26" s="1"/>
  <c r="AP6" i="26" s="1"/>
  <c r="Z6" i="26"/>
  <c r="AB6" i="26" s="1"/>
  <c r="AO6" i="26" s="1"/>
  <c r="AA324" i="15"/>
  <c r="AC324" i="15" s="1"/>
  <c r="AP324" i="15" s="1"/>
  <c r="Z324" i="15"/>
  <c r="AB324" i="15" s="1"/>
  <c r="AO324" i="15" s="1"/>
  <c r="AA196" i="15"/>
  <c r="AC196" i="15" s="1"/>
  <c r="AP196" i="15" s="1"/>
  <c r="Z196" i="15"/>
  <c r="AB196" i="15" s="1"/>
  <c r="AO196" i="15" s="1"/>
  <c r="AA16" i="6"/>
  <c r="AC16" i="6" s="1"/>
  <c r="AP16" i="6" s="1"/>
  <c r="Z16" i="6"/>
  <c r="AB16" i="6" s="1"/>
  <c r="AO16" i="6" s="1"/>
  <c r="AC218" i="65"/>
  <c r="AP218" i="65" s="1"/>
  <c r="Z218" i="65"/>
  <c r="AB218" i="65" s="1"/>
  <c r="AO218" i="65" s="1"/>
  <c r="AA24" i="63"/>
  <c r="AC24" i="63" s="1"/>
  <c r="AP24" i="63" s="1"/>
  <c r="Z24" i="63"/>
  <c r="AB24" i="63" s="1"/>
  <c r="AO24" i="63" s="1"/>
  <c r="Z18" i="63"/>
  <c r="AB18" i="63" s="1"/>
  <c r="AO18" i="63" s="1"/>
  <c r="AA18" i="63"/>
  <c r="AC18" i="63" s="1"/>
  <c r="AP18" i="63" s="1"/>
  <c r="AA6" i="63"/>
  <c r="AC6" i="63" s="1"/>
  <c r="AP6" i="63" s="1"/>
  <c r="Z6" i="63"/>
  <c r="AB6" i="63" s="1"/>
  <c r="AO6" i="63" s="1"/>
  <c r="AA20" i="63"/>
  <c r="AC20" i="63" s="1"/>
  <c r="AP20" i="63" s="1"/>
  <c r="Z20" i="63"/>
  <c r="AB20" i="63" s="1"/>
  <c r="AO20" i="63" s="1"/>
  <c r="Z14" i="63"/>
  <c r="AB14" i="63" s="1"/>
  <c r="AO14" i="63" s="1"/>
  <c r="AA14" i="63"/>
  <c r="AC14" i="63" s="1"/>
  <c r="AP14" i="63" s="1"/>
  <c r="Z78" i="32"/>
  <c r="AB78" i="32" s="1"/>
  <c r="AO78" i="32" s="1"/>
  <c r="AA78" i="32"/>
  <c r="AC78" i="32" s="1"/>
  <c r="AP78" i="32" s="1"/>
  <c r="AA51" i="32"/>
  <c r="AC51" i="32" s="1"/>
  <c r="AP51" i="32" s="1"/>
  <c r="Z51" i="32"/>
  <c r="AB51" i="32" s="1"/>
  <c r="AO51" i="32" s="1"/>
  <c r="Z20" i="32"/>
  <c r="AB20" i="32" s="1"/>
  <c r="AO20" i="32" s="1"/>
  <c r="AA20" i="32"/>
  <c r="AC20" i="32" s="1"/>
  <c r="AP20" i="32" s="1"/>
  <c r="Z41" i="32"/>
  <c r="AB41" i="32" s="1"/>
  <c r="AO41" i="32" s="1"/>
  <c r="AA41" i="32"/>
  <c r="AC41" i="32" s="1"/>
  <c r="AP41" i="32" s="1"/>
  <c r="Z102" i="32"/>
  <c r="AB102" i="32" s="1"/>
  <c r="AO102" i="32" s="1"/>
  <c r="AA102" i="32"/>
  <c r="AC102" i="32" s="1"/>
  <c r="AP102" i="32" s="1"/>
  <c r="Z166" i="32"/>
  <c r="AB166" i="32" s="1"/>
  <c r="AO166" i="32" s="1"/>
  <c r="AA166" i="32"/>
  <c r="AC166" i="32" s="1"/>
  <c r="AP166" i="32" s="1"/>
  <c r="Z45" i="32"/>
  <c r="AB45" i="32" s="1"/>
  <c r="AO45" i="32" s="1"/>
  <c r="AA45" i="32"/>
  <c r="AC45" i="32" s="1"/>
  <c r="AP45" i="32" s="1"/>
  <c r="Z130" i="32"/>
  <c r="AB130" i="32" s="1"/>
  <c r="AO130" i="32" s="1"/>
  <c r="AA130" i="32"/>
  <c r="AC130" i="32" s="1"/>
  <c r="AP130" i="32" s="1"/>
  <c r="Z12" i="32"/>
  <c r="AB12" i="32" s="1"/>
  <c r="AO12" i="32" s="1"/>
  <c r="AA12" i="32"/>
  <c r="AC12" i="32" s="1"/>
  <c r="AP12" i="32" s="1"/>
  <c r="AA79" i="32"/>
  <c r="AC79" i="32" s="1"/>
  <c r="AP79" i="32" s="1"/>
  <c r="Z79" i="32"/>
  <c r="AB79" i="32" s="1"/>
  <c r="AO79" i="32" s="1"/>
  <c r="AA77" i="32"/>
  <c r="AC77" i="32" s="1"/>
  <c r="AP77" i="32" s="1"/>
  <c r="Z77" i="32"/>
  <c r="AB77" i="32" s="1"/>
  <c r="AO77" i="32" s="1"/>
  <c r="AA125" i="32"/>
  <c r="AC125" i="32" s="1"/>
  <c r="AP125" i="32" s="1"/>
  <c r="Z125" i="32"/>
  <c r="AB125" i="32" s="1"/>
  <c r="AO125" i="32" s="1"/>
  <c r="AA157" i="32"/>
  <c r="AC157" i="32" s="1"/>
  <c r="AP157" i="32" s="1"/>
  <c r="Z157" i="32"/>
  <c r="AB157" i="32" s="1"/>
  <c r="AO157" i="32" s="1"/>
  <c r="Z23" i="32"/>
  <c r="AB23" i="32" s="1"/>
  <c r="AO23" i="32" s="1"/>
  <c r="AA23" i="32"/>
  <c r="AC23" i="32" s="1"/>
  <c r="AP23" i="32" s="1"/>
  <c r="Z68" i="32"/>
  <c r="AB68" i="32" s="1"/>
  <c r="AO68" i="32" s="1"/>
  <c r="AA68" i="32"/>
  <c r="AC68" i="32" s="1"/>
  <c r="AP68" i="32" s="1"/>
  <c r="AA100" i="32"/>
  <c r="AC100" i="32" s="1"/>
  <c r="AP100" i="32" s="1"/>
  <c r="Z100" i="32"/>
  <c r="AB100" i="32" s="1"/>
  <c r="AO100" i="32" s="1"/>
  <c r="AA148" i="32"/>
  <c r="AC148" i="32" s="1"/>
  <c r="AP148" i="32" s="1"/>
  <c r="Z148" i="32"/>
  <c r="AB148" i="32" s="1"/>
  <c r="AO148" i="32" s="1"/>
  <c r="AA33" i="39"/>
  <c r="AC33" i="39" s="1"/>
  <c r="AP33" i="39" s="1"/>
  <c r="Z33" i="39"/>
  <c r="AB33" i="39" s="1"/>
  <c r="AO33" i="39" s="1"/>
  <c r="AA49" i="39"/>
  <c r="AC49" i="39" s="1"/>
  <c r="AP49" i="39" s="1"/>
  <c r="Z49" i="39"/>
  <c r="AB49" i="39" s="1"/>
  <c r="AO49" i="39" s="1"/>
  <c r="AA36" i="39"/>
  <c r="AC36" i="39" s="1"/>
  <c r="AP36" i="39" s="1"/>
  <c r="Z36" i="39"/>
  <c r="AB36" i="39" s="1"/>
  <c r="AO36" i="39" s="1"/>
  <c r="AA14" i="34"/>
  <c r="AC14" i="34" s="1"/>
  <c r="AP14" i="34" s="1"/>
  <c r="Z14" i="34"/>
  <c r="AB14" i="34" s="1"/>
  <c r="AO14" i="34" s="1"/>
  <c r="I7" i="68"/>
  <c r="I22" i="68"/>
  <c r="Z12" i="37"/>
  <c r="AB12" i="37" s="1"/>
  <c r="AO12" i="37" s="1"/>
  <c r="AA12" i="37"/>
  <c r="AC12" i="37" s="1"/>
  <c r="AP12" i="37" s="1"/>
  <c r="AA12" i="74"/>
  <c r="AC12" i="74" s="1"/>
  <c r="AP12" i="74" s="1"/>
  <c r="Z12" i="74"/>
  <c r="AB12" i="74" s="1"/>
  <c r="AO12" i="74" s="1"/>
  <c r="AA5" i="19"/>
  <c r="AC5" i="19" s="1"/>
  <c r="Z5" i="19"/>
  <c r="AB5" i="19" s="1"/>
  <c r="AA14" i="19"/>
  <c r="AC14" i="19" s="1"/>
  <c r="AP14" i="19" s="1"/>
  <c r="Z14" i="19"/>
  <c r="AB14" i="19" s="1"/>
  <c r="AO14" i="19" s="1"/>
  <c r="AA6" i="19"/>
  <c r="AC6" i="19" s="1"/>
  <c r="AP6" i="19" s="1"/>
  <c r="Z6" i="19"/>
  <c r="AB6" i="19" s="1"/>
  <c r="AO6" i="19" s="1"/>
  <c r="AA24" i="19"/>
  <c r="AC24" i="19" s="1"/>
  <c r="AP24" i="19" s="1"/>
  <c r="Z24" i="19"/>
  <c r="AB24" i="19" s="1"/>
  <c r="AO24" i="19" s="1"/>
  <c r="Z225" i="65"/>
  <c r="AB225" i="65" s="1"/>
  <c r="AO225" i="65" s="1"/>
  <c r="AC225" i="65"/>
  <c r="AP225" i="65" s="1"/>
  <c r="AC208" i="65"/>
  <c r="AP208" i="65" s="1"/>
  <c r="Z208" i="65"/>
  <c r="AB208" i="65" s="1"/>
  <c r="AO208" i="65" s="1"/>
  <c r="AC183" i="65"/>
  <c r="AP183" i="65" s="1"/>
  <c r="Z183" i="65"/>
  <c r="AB183" i="65" s="1"/>
  <c r="AO183" i="65" s="1"/>
  <c r="AC215" i="65"/>
  <c r="AP215" i="65" s="1"/>
  <c r="Z215" i="65"/>
  <c r="AB215" i="65" s="1"/>
  <c r="AO215" i="65" s="1"/>
  <c r="AA46" i="28"/>
  <c r="AC46" i="28" s="1"/>
  <c r="AP46" i="28" s="1"/>
  <c r="Z46" i="28"/>
  <c r="AB46" i="28" s="1"/>
  <c r="AO46" i="28" s="1"/>
  <c r="Z41" i="28"/>
  <c r="AB41" i="28" s="1"/>
  <c r="AO41" i="28" s="1"/>
  <c r="AA41" i="28"/>
  <c r="AC41" i="28" s="1"/>
  <c r="AP41" i="28" s="1"/>
  <c r="AA31" i="28"/>
  <c r="AC31" i="28" s="1"/>
  <c r="AP31" i="28" s="1"/>
  <c r="Z31" i="28"/>
  <c r="AB31" i="28" s="1"/>
  <c r="AO31" i="28" s="1"/>
  <c r="AA47" i="28"/>
  <c r="AC47" i="28" s="1"/>
  <c r="AP47" i="28" s="1"/>
  <c r="Z47" i="28"/>
  <c r="AB47" i="28" s="1"/>
  <c r="AO47" i="28" s="1"/>
  <c r="AA7" i="70"/>
  <c r="AC7" i="70" s="1"/>
  <c r="AP7" i="70" s="1"/>
  <c r="Z7" i="70"/>
  <c r="AB7" i="70" s="1"/>
  <c r="AO7" i="70" s="1"/>
  <c r="AA16" i="70"/>
  <c r="AC16" i="70" s="1"/>
  <c r="AP16" i="70" s="1"/>
  <c r="Z16" i="70"/>
  <c r="AB16" i="70" s="1"/>
  <c r="AO16" i="70" s="1"/>
  <c r="Z10" i="38"/>
  <c r="AB10" i="38" s="1"/>
  <c r="AO10" i="38" s="1"/>
  <c r="AA10" i="38"/>
  <c r="AC10" i="38" s="1"/>
  <c r="AP10" i="38" s="1"/>
  <c r="AA24" i="38"/>
  <c r="AC24" i="38" s="1"/>
  <c r="AP24" i="38" s="1"/>
  <c r="Z24" i="38"/>
  <c r="AB24" i="38" s="1"/>
  <c r="AO24" i="38" s="1"/>
  <c r="AA6" i="24"/>
  <c r="AC6" i="24" s="1"/>
  <c r="AP6" i="24" s="1"/>
  <c r="Z6" i="24"/>
  <c r="AB6" i="24" s="1"/>
  <c r="AO6" i="24" s="1"/>
  <c r="AA22" i="24"/>
  <c r="AC22" i="24" s="1"/>
  <c r="AP22" i="24" s="1"/>
  <c r="Z22" i="24"/>
  <c r="AB22" i="24" s="1"/>
  <c r="AO22" i="24" s="1"/>
  <c r="AA15" i="58"/>
  <c r="AC15" i="58" s="1"/>
  <c r="AP15" i="58" s="1"/>
  <c r="Z15" i="58"/>
  <c r="AB15" i="58" s="1"/>
  <c r="AO15" i="58" s="1"/>
  <c r="AA6" i="69"/>
  <c r="AC6" i="69" s="1"/>
  <c r="AP6" i="69" s="1"/>
  <c r="Z6" i="69"/>
  <c r="AB6" i="69" s="1"/>
  <c r="AO6" i="69" s="1"/>
  <c r="AA26" i="69"/>
  <c r="AC26" i="69" s="1"/>
  <c r="AP26" i="69" s="1"/>
  <c r="Z26" i="69"/>
  <c r="AB26" i="69" s="1"/>
  <c r="AO26" i="69" s="1"/>
  <c r="AA268" i="15"/>
  <c r="AC268" i="15" s="1"/>
  <c r="AP268" i="15" s="1"/>
  <c r="Z268" i="15"/>
  <c r="AB268" i="15" s="1"/>
  <c r="AO268" i="15" s="1"/>
  <c r="Z18" i="56"/>
  <c r="AB18" i="56" s="1"/>
  <c r="AO18" i="56" s="1"/>
  <c r="AA18" i="56"/>
  <c r="AC18" i="56" s="1"/>
  <c r="AP18" i="56" s="1"/>
  <c r="AA15" i="56"/>
  <c r="AC15" i="56" s="1"/>
  <c r="AP15" i="56" s="1"/>
  <c r="Z15" i="56"/>
  <c r="AB15" i="56" s="1"/>
  <c r="AO15" i="56" s="1"/>
  <c r="AA13" i="56"/>
  <c r="AC13" i="56" s="1"/>
  <c r="AP13" i="56" s="1"/>
  <c r="Z13" i="56"/>
  <c r="AB13" i="56" s="1"/>
  <c r="AO13" i="56" s="1"/>
  <c r="AA8" i="41"/>
  <c r="AC8" i="41" s="1"/>
  <c r="AP8" i="41" s="1"/>
  <c r="Z8" i="41"/>
  <c r="AB8" i="41" s="1"/>
  <c r="AO8" i="41" s="1"/>
  <c r="R56" i="67"/>
  <c r="AA6" i="22"/>
  <c r="AC6" i="22" s="1"/>
  <c r="AP6" i="22" s="1"/>
  <c r="Z6" i="22"/>
  <c r="AB6" i="22" s="1"/>
  <c r="AO6" i="22" s="1"/>
  <c r="Z111" i="15"/>
  <c r="AB111" i="15" s="1"/>
  <c r="AO111" i="15" s="1"/>
  <c r="AA111" i="15"/>
  <c r="AC111" i="15" s="1"/>
  <c r="AP111" i="15" s="1"/>
  <c r="AA8" i="49"/>
  <c r="AC8" i="49" s="1"/>
  <c r="AP8" i="49" s="1"/>
  <c r="Z8" i="49"/>
  <c r="AB8" i="49" s="1"/>
  <c r="AO8" i="49" s="1"/>
  <c r="AA34" i="12"/>
  <c r="AC34" i="12" s="1"/>
  <c r="AP34" i="12" s="1"/>
  <c r="Z34" i="12"/>
  <c r="AB34" i="12" s="1"/>
  <c r="AO34" i="12" s="1"/>
  <c r="AA8" i="62"/>
  <c r="AC8" i="62" s="1"/>
  <c r="AP8" i="62" s="1"/>
  <c r="Z8" i="62"/>
  <c r="AB8" i="62" s="1"/>
  <c r="AO8" i="62" s="1"/>
  <c r="AA10" i="62"/>
  <c r="AC10" i="62" s="1"/>
  <c r="AP10" i="62" s="1"/>
  <c r="Z10" i="62"/>
  <c r="AB10" i="62" s="1"/>
  <c r="AO10" i="62" s="1"/>
  <c r="AA19" i="62"/>
  <c r="AC19" i="62" s="1"/>
  <c r="AP19" i="62" s="1"/>
  <c r="Z19" i="62"/>
  <c r="AB19" i="62" s="1"/>
  <c r="AO19" i="62" s="1"/>
  <c r="AA21" i="50"/>
  <c r="AC21" i="50" s="1"/>
  <c r="AP21" i="50" s="1"/>
  <c r="Z21" i="50"/>
  <c r="AB21" i="50" s="1"/>
  <c r="AO21" i="50" s="1"/>
  <c r="AA16" i="50"/>
  <c r="AC16" i="50" s="1"/>
  <c r="AP16" i="50" s="1"/>
  <c r="Z16" i="50"/>
  <c r="AB16" i="50" s="1"/>
  <c r="AO16" i="50" s="1"/>
  <c r="AA19" i="42"/>
  <c r="AC19" i="42" s="1"/>
  <c r="AP19" i="42" s="1"/>
  <c r="Z19" i="42"/>
  <c r="AB19" i="42" s="1"/>
  <c r="AO19" i="42" s="1"/>
  <c r="AA5" i="42"/>
  <c r="AC5" i="42" s="1"/>
  <c r="Z5" i="42"/>
  <c r="AB5" i="42" s="1"/>
  <c r="N66" i="67"/>
  <c r="Q64" i="67"/>
  <c r="N53" i="67"/>
  <c r="O53" i="67"/>
  <c r="AA75" i="32"/>
  <c r="AC75" i="32" s="1"/>
  <c r="AP75" i="32" s="1"/>
  <c r="Z75" i="32"/>
  <c r="AB75" i="32" s="1"/>
  <c r="AO75" i="32" s="1"/>
  <c r="AA61" i="22"/>
  <c r="AC61" i="22" s="1"/>
  <c r="AP61" i="22" s="1"/>
  <c r="Z61" i="22"/>
  <c r="AB61" i="22" s="1"/>
  <c r="AO61" i="22" s="1"/>
  <c r="AA12" i="20"/>
  <c r="AC12" i="20" s="1"/>
  <c r="AP12" i="20" s="1"/>
  <c r="Z12" i="20"/>
  <c r="AB12" i="20" s="1"/>
  <c r="AO12" i="20" s="1"/>
  <c r="AA476" i="15"/>
  <c r="AC476" i="15" s="1"/>
  <c r="AP476" i="15" s="1"/>
  <c r="Z476" i="15"/>
  <c r="AB476" i="15" s="1"/>
  <c r="AO476" i="15" s="1"/>
  <c r="AA348" i="15"/>
  <c r="AC348" i="15" s="1"/>
  <c r="AP348" i="15" s="1"/>
  <c r="Z348" i="15"/>
  <c r="AB348" i="15" s="1"/>
  <c r="AO348" i="15" s="1"/>
  <c r="AA220" i="15"/>
  <c r="AC220" i="15" s="1"/>
  <c r="Z220" i="15"/>
  <c r="AB220" i="15" s="1"/>
  <c r="AO220" i="15" s="1"/>
  <c r="AA130" i="15"/>
  <c r="AC130" i="15" s="1"/>
  <c r="Z130" i="15"/>
  <c r="AB130" i="15" s="1"/>
  <c r="AO130" i="15" s="1"/>
  <c r="Z13" i="15"/>
  <c r="AB13" i="15" s="1"/>
  <c r="AO13" i="15" s="1"/>
  <c r="AA13" i="15"/>
  <c r="AC13" i="15" s="1"/>
  <c r="AP13" i="15" s="1"/>
  <c r="AA10" i="3"/>
  <c r="AC10" i="3" s="1"/>
  <c r="AP10" i="3" s="1"/>
  <c r="Z10" i="3"/>
  <c r="AB10" i="3" s="1"/>
  <c r="AO10" i="3" s="1"/>
  <c r="AC182" i="65"/>
  <c r="AP182" i="65" s="1"/>
  <c r="Z182" i="65"/>
  <c r="AB182" i="65" s="1"/>
  <c r="AO182" i="65" s="1"/>
  <c r="Z14" i="36"/>
  <c r="AB14" i="36" s="1"/>
  <c r="AO14" i="36" s="1"/>
  <c r="AA14" i="36"/>
  <c r="AC14" i="36" s="1"/>
  <c r="AP14" i="36" s="1"/>
  <c r="AA23" i="36"/>
  <c r="AC23" i="36" s="1"/>
  <c r="AP23" i="36" s="1"/>
  <c r="Z23" i="36"/>
  <c r="AB23" i="36" s="1"/>
  <c r="AO23" i="36" s="1"/>
  <c r="AA15" i="36"/>
  <c r="AC15" i="36" s="1"/>
  <c r="AP15" i="36" s="1"/>
  <c r="Z15" i="36"/>
  <c r="AB15" i="36" s="1"/>
  <c r="AO15" i="36" s="1"/>
  <c r="AA7" i="36"/>
  <c r="AC7" i="36" s="1"/>
  <c r="AP7" i="36" s="1"/>
  <c r="Z7" i="36"/>
  <c r="AB7" i="36" s="1"/>
  <c r="AO7" i="36" s="1"/>
  <c r="AA20" i="36"/>
  <c r="AC20" i="36" s="1"/>
  <c r="AP20" i="36" s="1"/>
  <c r="Z20" i="36"/>
  <c r="AB20" i="36" s="1"/>
  <c r="AO20" i="36" s="1"/>
  <c r="AA18" i="36"/>
  <c r="AC18" i="36" s="1"/>
  <c r="AP18" i="36" s="1"/>
  <c r="Z18" i="36"/>
  <c r="AB18" i="36" s="1"/>
  <c r="AO18" i="36" s="1"/>
  <c r="AA20" i="44"/>
  <c r="AC20" i="44" s="1"/>
  <c r="AP20" i="44" s="1"/>
  <c r="Z20" i="44"/>
  <c r="AB20" i="44" s="1"/>
  <c r="AO20" i="44" s="1"/>
  <c r="Z17" i="44"/>
  <c r="AB17" i="44" s="1"/>
  <c r="AO17" i="44" s="1"/>
  <c r="AA17" i="44"/>
  <c r="AC17" i="44" s="1"/>
  <c r="AP17" i="44" s="1"/>
  <c r="AA15" i="44"/>
  <c r="AC15" i="44" s="1"/>
  <c r="AP15" i="44" s="1"/>
  <c r="Z15" i="44"/>
  <c r="AB15" i="44" s="1"/>
  <c r="AO15" i="44" s="1"/>
  <c r="AA5" i="44"/>
  <c r="AC5" i="44" s="1"/>
  <c r="Z5" i="44"/>
  <c r="AB5" i="44" s="1"/>
  <c r="AA6" i="18"/>
  <c r="AC6" i="18" s="1"/>
  <c r="AP6" i="18" s="1"/>
  <c r="Z6" i="18"/>
  <c r="AB6" i="18" s="1"/>
  <c r="AO6" i="18" s="1"/>
  <c r="AA12" i="18"/>
  <c r="AC12" i="18" s="1"/>
  <c r="AP12" i="18" s="1"/>
  <c r="Z12" i="18"/>
  <c r="AB12" i="18" s="1"/>
  <c r="AO12" i="18" s="1"/>
  <c r="AA7" i="18"/>
  <c r="AC7" i="18" s="1"/>
  <c r="AP7" i="18" s="1"/>
  <c r="Z7" i="18"/>
  <c r="AB7" i="18" s="1"/>
  <c r="AO7" i="18" s="1"/>
  <c r="Z22" i="18"/>
  <c r="AB22" i="18" s="1"/>
  <c r="AO22" i="18" s="1"/>
  <c r="AA22" i="18"/>
  <c r="AC22" i="18" s="1"/>
  <c r="AP22" i="18" s="1"/>
  <c r="AA18" i="25"/>
  <c r="AC18" i="25" s="1"/>
  <c r="AP18" i="25" s="1"/>
  <c r="Z18" i="25"/>
  <c r="AB18" i="25" s="1"/>
  <c r="AO18" i="25" s="1"/>
  <c r="Z6" i="25"/>
  <c r="AB6" i="25" s="1"/>
  <c r="AO6" i="25" s="1"/>
  <c r="AA6" i="25"/>
  <c r="AC6" i="25" s="1"/>
  <c r="AP6" i="25" s="1"/>
  <c r="AA5" i="25"/>
  <c r="AC5" i="25" s="1"/>
  <c r="Z5" i="25"/>
  <c r="AB5" i="25" s="1"/>
  <c r="AA11" i="25"/>
  <c r="AC11" i="25" s="1"/>
  <c r="AP11" i="25" s="1"/>
  <c r="Z11" i="25"/>
  <c r="AB11" i="25" s="1"/>
  <c r="AO11" i="25" s="1"/>
  <c r="Z6" i="61"/>
  <c r="AB6" i="61" s="1"/>
  <c r="AO6" i="61" s="1"/>
  <c r="AA6" i="61"/>
  <c r="AC6" i="61" s="1"/>
  <c r="AP6" i="61" s="1"/>
  <c r="Z16" i="61"/>
  <c r="AB16" i="61" s="1"/>
  <c r="AO16" i="61" s="1"/>
  <c r="AA16" i="61"/>
  <c r="AC16" i="61" s="1"/>
  <c r="AP16" i="61" s="1"/>
  <c r="AA17" i="61"/>
  <c r="AC17" i="61" s="1"/>
  <c r="AP17" i="61" s="1"/>
  <c r="Z17" i="61"/>
  <c r="AB17" i="61" s="1"/>
  <c r="AO17" i="61" s="1"/>
  <c r="AA14" i="61"/>
  <c r="AC14" i="61" s="1"/>
  <c r="AP14" i="61" s="1"/>
  <c r="Z14" i="61"/>
  <c r="AB14" i="61" s="1"/>
  <c r="AO14" i="61" s="1"/>
  <c r="AA7" i="61"/>
  <c r="AC7" i="61" s="1"/>
  <c r="AP7" i="61" s="1"/>
  <c r="Z7" i="61"/>
  <c r="AB7" i="61" s="1"/>
  <c r="AO7" i="61" s="1"/>
  <c r="AA20" i="61"/>
  <c r="AC20" i="61" s="1"/>
  <c r="AP20" i="61" s="1"/>
  <c r="Z20" i="61"/>
  <c r="AB20" i="61" s="1"/>
  <c r="AO20" i="61" s="1"/>
  <c r="AA9" i="75"/>
  <c r="AC9" i="75" s="1"/>
  <c r="AP9" i="75" s="1"/>
  <c r="Z9" i="75"/>
  <c r="AB9" i="75" s="1"/>
  <c r="AO9" i="75" s="1"/>
  <c r="Z18" i="75"/>
  <c r="AB18" i="75" s="1"/>
  <c r="AO18" i="75" s="1"/>
  <c r="AA18" i="75"/>
  <c r="AC18" i="75" s="1"/>
  <c r="AP18" i="75" s="1"/>
  <c r="Z46" i="75"/>
  <c r="AB46" i="75" s="1"/>
  <c r="AO46" i="75" s="1"/>
  <c r="AA46" i="75"/>
  <c r="AC46" i="75" s="1"/>
  <c r="AP46" i="75" s="1"/>
  <c r="AA8" i="75"/>
  <c r="AC8" i="75" s="1"/>
  <c r="AP8" i="75" s="1"/>
  <c r="Z8" i="75"/>
  <c r="AB8" i="75" s="1"/>
  <c r="AO8" i="75" s="1"/>
  <c r="AA7" i="75"/>
  <c r="AC7" i="75" s="1"/>
  <c r="AP7" i="75" s="1"/>
  <c r="Z7" i="75"/>
  <c r="AB7" i="75" s="1"/>
  <c r="AO7" i="75" s="1"/>
  <c r="AA47" i="75"/>
  <c r="AC47" i="75" s="1"/>
  <c r="AP47" i="75" s="1"/>
  <c r="Z47" i="75"/>
  <c r="AB47" i="75" s="1"/>
  <c r="AO47" i="75" s="1"/>
  <c r="AA43" i="75"/>
  <c r="AC43" i="75" s="1"/>
  <c r="AP43" i="75" s="1"/>
  <c r="Z43" i="75"/>
  <c r="AB43" i="75" s="1"/>
  <c r="AO43" i="75" s="1"/>
  <c r="Z26" i="75"/>
  <c r="AB26" i="75" s="1"/>
  <c r="AO26" i="75" s="1"/>
  <c r="AA26" i="75"/>
  <c r="AC26" i="75" s="1"/>
  <c r="AP26" i="75" s="1"/>
  <c r="Z58" i="75"/>
  <c r="AB58" i="75" s="1"/>
  <c r="AO58" i="75" s="1"/>
  <c r="AA58" i="75"/>
  <c r="AC58" i="75" s="1"/>
  <c r="AP58" i="75" s="1"/>
  <c r="AA33" i="75"/>
  <c r="AC33" i="75" s="1"/>
  <c r="AP33" i="75" s="1"/>
  <c r="Z33" i="75"/>
  <c r="AB33" i="75" s="1"/>
  <c r="AO33" i="75" s="1"/>
  <c r="AA49" i="75"/>
  <c r="AC49" i="75" s="1"/>
  <c r="AP49" i="75" s="1"/>
  <c r="Z49" i="75"/>
  <c r="AB49" i="75" s="1"/>
  <c r="AO49" i="75" s="1"/>
  <c r="AA65" i="75"/>
  <c r="AC65" i="75" s="1"/>
  <c r="AP65" i="75" s="1"/>
  <c r="Z65" i="75"/>
  <c r="AB65" i="75" s="1"/>
  <c r="AO65" i="75" s="1"/>
  <c r="AA32" i="75"/>
  <c r="AC32" i="75" s="1"/>
  <c r="AP32" i="75" s="1"/>
  <c r="Z32" i="75"/>
  <c r="AB32" i="75" s="1"/>
  <c r="AO32" i="75" s="1"/>
  <c r="AA48" i="75"/>
  <c r="AC48" i="75" s="1"/>
  <c r="AP48" i="75" s="1"/>
  <c r="Z48" i="75"/>
  <c r="AB48" i="75" s="1"/>
  <c r="AO48" i="75" s="1"/>
  <c r="AA64" i="75"/>
  <c r="AC64" i="75" s="1"/>
  <c r="AP64" i="75" s="1"/>
  <c r="Z64" i="75"/>
  <c r="AB64" i="75" s="1"/>
  <c r="AO64" i="75" s="1"/>
  <c r="AA22" i="66"/>
  <c r="AC22" i="66" s="1"/>
  <c r="AP22" i="66" s="1"/>
  <c r="Z22" i="66"/>
  <c r="AB22" i="66" s="1"/>
  <c r="AO22" i="66" s="1"/>
  <c r="AA39" i="66"/>
  <c r="AC39" i="66" s="1"/>
  <c r="AP39" i="66" s="1"/>
  <c r="Z39" i="66"/>
  <c r="AB39" i="66" s="1"/>
  <c r="AO39" i="66" s="1"/>
  <c r="Z12" i="66"/>
  <c r="AB12" i="66" s="1"/>
  <c r="AO12" i="66" s="1"/>
  <c r="AA12" i="66"/>
  <c r="AC12" i="66" s="1"/>
  <c r="AP12" i="66" s="1"/>
  <c r="Z20" i="66"/>
  <c r="AB20" i="66" s="1"/>
  <c r="AO20" i="66" s="1"/>
  <c r="AA20" i="66"/>
  <c r="AC20" i="66" s="1"/>
  <c r="AP20" i="66" s="1"/>
  <c r="Z6" i="66"/>
  <c r="AB6" i="66" s="1"/>
  <c r="AA6" i="66"/>
  <c r="AC6" i="66" s="1"/>
  <c r="Z9" i="66"/>
  <c r="AB9" i="66" s="1"/>
  <c r="AO9" i="66" s="1"/>
  <c r="AA9" i="66"/>
  <c r="AC9" i="66" s="1"/>
  <c r="AP9" i="66" s="1"/>
  <c r="AA25" i="66"/>
  <c r="AC25" i="66" s="1"/>
  <c r="AP25" i="66" s="1"/>
  <c r="Z25" i="66"/>
  <c r="AB25" i="66" s="1"/>
  <c r="AO25" i="66" s="1"/>
  <c r="AA41" i="66"/>
  <c r="AC41" i="66" s="1"/>
  <c r="AP41" i="66" s="1"/>
  <c r="Z41" i="66"/>
  <c r="AB41" i="66" s="1"/>
  <c r="AO41" i="66" s="1"/>
  <c r="AA8" i="66"/>
  <c r="AC8" i="66" s="1"/>
  <c r="AP8" i="66" s="1"/>
  <c r="Z8" i="66"/>
  <c r="AB8" i="66" s="1"/>
  <c r="AO8" i="66" s="1"/>
  <c r="AA24" i="66"/>
  <c r="AC24" i="66" s="1"/>
  <c r="AP24" i="66" s="1"/>
  <c r="Z24" i="66"/>
  <c r="AB24" i="66" s="1"/>
  <c r="AO24" i="66" s="1"/>
  <c r="AA40" i="66"/>
  <c r="AC40" i="66" s="1"/>
  <c r="AP40" i="66" s="1"/>
  <c r="Z40" i="66"/>
  <c r="AB40" i="66" s="1"/>
  <c r="AO40" i="66" s="1"/>
  <c r="Z18" i="33"/>
  <c r="AB18" i="33" s="1"/>
  <c r="AO18" i="33" s="1"/>
  <c r="AA18" i="33"/>
  <c r="AC18" i="33" s="1"/>
  <c r="AP18" i="33" s="1"/>
  <c r="Z17" i="33"/>
  <c r="AB17" i="33" s="1"/>
  <c r="AO17" i="33" s="1"/>
  <c r="AA17" i="33"/>
  <c r="AC17" i="33" s="1"/>
  <c r="AP17" i="33" s="1"/>
  <c r="AA20" i="33"/>
  <c r="AC20" i="33" s="1"/>
  <c r="AP20" i="33" s="1"/>
  <c r="Z20" i="33"/>
  <c r="AB20" i="33" s="1"/>
  <c r="AO20" i="33" s="1"/>
  <c r="AA23" i="33"/>
  <c r="AC23" i="33" s="1"/>
  <c r="AP23" i="33" s="1"/>
  <c r="Z23" i="33"/>
  <c r="AB23" i="33" s="1"/>
  <c r="AO23" i="33" s="1"/>
  <c r="AA13" i="33"/>
  <c r="AC13" i="33" s="1"/>
  <c r="AP13" i="33" s="1"/>
  <c r="Z13" i="33"/>
  <c r="AB13" i="33" s="1"/>
  <c r="AO13" i="33" s="1"/>
  <c r="AA22" i="33"/>
  <c r="AC22" i="33" s="1"/>
  <c r="AP22" i="33" s="1"/>
  <c r="Z22" i="33"/>
  <c r="AB22" i="33" s="1"/>
  <c r="AO22" i="33" s="1"/>
  <c r="AA17" i="73"/>
  <c r="AC17" i="73" s="1"/>
  <c r="AP17" i="73" s="1"/>
  <c r="Z17" i="73"/>
  <c r="AB17" i="73" s="1"/>
  <c r="AO17" i="73" s="1"/>
  <c r="Z6" i="73"/>
  <c r="AB6" i="73" s="1"/>
  <c r="AO6" i="73" s="1"/>
  <c r="AA6" i="73"/>
  <c r="AC6" i="73" s="1"/>
  <c r="AP6" i="73" s="1"/>
  <c r="AA22" i="73"/>
  <c r="AC22" i="73" s="1"/>
  <c r="AP22" i="73" s="1"/>
  <c r="Z22" i="73"/>
  <c r="AB22" i="73" s="1"/>
  <c r="AO22" i="73" s="1"/>
  <c r="AA18" i="73"/>
  <c r="AC18" i="73" s="1"/>
  <c r="AP18" i="73" s="1"/>
  <c r="Z18" i="73"/>
  <c r="AB18" i="73" s="1"/>
  <c r="AO18" i="73" s="1"/>
  <c r="Z12" i="73"/>
  <c r="AB12" i="73" s="1"/>
  <c r="AO12" i="73" s="1"/>
  <c r="AA12" i="73"/>
  <c r="AC12" i="73" s="1"/>
  <c r="AP12" i="73" s="1"/>
  <c r="Z23" i="16"/>
  <c r="AB23" i="16" s="1"/>
  <c r="AO23" i="16" s="1"/>
  <c r="AA23" i="16"/>
  <c r="AC23" i="16" s="1"/>
  <c r="AP23" i="16" s="1"/>
  <c r="AA18" i="16"/>
  <c r="AC18" i="16" s="1"/>
  <c r="AP18" i="16" s="1"/>
  <c r="Z18" i="16"/>
  <c r="AB18" i="16" s="1"/>
  <c r="AO18" i="16" s="1"/>
  <c r="AA14" i="16"/>
  <c r="AC14" i="16" s="1"/>
  <c r="AP14" i="16" s="1"/>
  <c r="Z14" i="16"/>
  <c r="AB14" i="16" s="1"/>
  <c r="AO14" i="16" s="1"/>
  <c r="AA7" i="16"/>
  <c r="AC7" i="16" s="1"/>
  <c r="AP7" i="16" s="1"/>
  <c r="Z7" i="16"/>
  <c r="AB7" i="16" s="1"/>
  <c r="AO7" i="16" s="1"/>
  <c r="AA20" i="16"/>
  <c r="AC20" i="16" s="1"/>
  <c r="AP20" i="16" s="1"/>
  <c r="Z20" i="16"/>
  <c r="AB20" i="16" s="1"/>
  <c r="AO20" i="16" s="1"/>
  <c r="Z5" i="57"/>
  <c r="AB5" i="57" s="1"/>
  <c r="AA5" i="57"/>
  <c r="AC5" i="57" s="1"/>
  <c r="Z43" i="57"/>
  <c r="AB43" i="57" s="1"/>
  <c r="AO43" i="57" s="1"/>
  <c r="AA43" i="57"/>
  <c r="AC43" i="57" s="1"/>
  <c r="AP43" i="57" s="1"/>
  <c r="AA44" i="57"/>
  <c r="AC44" i="57" s="1"/>
  <c r="AP44" i="57" s="1"/>
  <c r="Z44" i="57"/>
  <c r="AB44" i="57" s="1"/>
  <c r="AO44" i="57" s="1"/>
  <c r="AA32" i="57"/>
  <c r="AC32" i="57" s="1"/>
  <c r="AP32" i="57" s="1"/>
  <c r="Z32" i="57"/>
  <c r="AB32" i="57" s="1"/>
  <c r="AO32" i="57" s="1"/>
  <c r="AA9" i="57"/>
  <c r="AC9" i="57" s="1"/>
  <c r="AP9" i="57" s="1"/>
  <c r="Z9" i="57"/>
  <c r="AB9" i="57" s="1"/>
  <c r="AO9" i="57" s="1"/>
  <c r="Z21" i="57"/>
  <c r="AB21" i="57" s="1"/>
  <c r="AO21" i="57" s="1"/>
  <c r="AA21" i="57"/>
  <c r="AC21" i="57" s="1"/>
  <c r="AP21" i="57" s="1"/>
  <c r="Z47" i="57"/>
  <c r="AB47" i="57" s="1"/>
  <c r="AO47" i="57" s="1"/>
  <c r="AA47" i="57"/>
  <c r="AC47" i="57" s="1"/>
  <c r="AP47" i="57" s="1"/>
  <c r="AA19" i="57"/>
  <c r="AC19" i="57" s="1"/>
  <c r="AP19" i="57" s="1"/>
  <c r="Z19" i="57"/>
  <c r="AB19" i="57" s="1"/>
  <c r="AO19" i="57" s="1"/>
  <c r="Z34" i="57"/>
  <c r="AB34" i="57" s="1"/>
  <c r="AO34" i="57" s="1"/>
  <c r="AA34" i="57"/>
  <c r="AC34" i="57" s="1"/>
  <c r="AP34" i="57" s="1"/>
  <c r="AA17" i="57"/>
  <c r="AC17" i="57" s="1"/>
  <c r="AP17" i="57" s="1"/>
  <c r="Z17" i="57"/>
  <c r="AB17" i="57" s="1"/>
  <c r="AO17" i="57" s="1"/>
  <c r="AA33" i="57"/>
  <c r="AC33" i="57" s="1"/>
  <c r="AP33" i="57" s="1"/>
  <c r="Z33" i="57"/>
  <c r="AB33" i="57" s="1"/>
  <c r="AO33" i="57" s="1"/>
  <c r="AA20" i="23"/>
  <c r="AC20" i="23" s="1"/>
  <c r="AP20" i="23" s="1"/>
  <c r="Z20" i="23"/>
  <c r="AB20" i="23" s="1"/>
  <c r="AO20" i="23" s="1"/>
  <c r="Z17" i="23"/>
  <c r="AB17" i="23" s="1"/>
  <c r="AO17" i="23" s="1"/>
  <c r="AA17" i="23"/>
  <c r="AC17" i="23" s="1"/>
  <c r="AP17" i="23" s="1"/>
  <c r="AA16" i="23"/>
  <c r="AC16" i="23" s="1"/>
  <c r="AP16" i="23" s="1"/>
  <c r="Z16" i="23"/>
  <c r="AB16" i="23" s="1"/>
  <c r="AO16" i="23" s="1"/>
  <c r="AA8" i="23"/>
  <c r="AC8" i="23" s="1"/>
  <c r="AP8" i="23" s="1"/>
  <c r="Z8" i="23"/>
  <c r="AB8" i="23" s="1"/>
  <c r="AO8" i="23" s="1"/>
  <c r="AA21" i="23"/>
  <c r="AC21" i="23" s="1"/>
  <c r="AP21" i="23" s="1"/>
  <c r="Z21" i="23"/>
  <c r="AB21" i="23" s="1"/>
  <c r="AO21" i="23" s="1"/>
  <c r="Z15" i="71"/>
  <c r="AB15" i="71" s="1"/>
  <c r="AO15" i="71" s="1"/>
  <c r="AA15" i="71"/>
  <c r="AC15" i="71" s="1"/>
  <c r="AP15" i="71" s="1"/>
  <c r="AA20" i="71"/>
  <c r="AC20" i="71" s="1"/>
  <c r="AP20" i="71" s="1"/>
  <c r="Z20" i="71"/>
  <c r="AB20" i="71" s="1"/>
  <c r="AO20" i="71" s="1"/>
  <c r="Z18" i="71"/>
  <c r="AB18" i="71" s="1"/>
  <c r="AO18" i="71" s="1"/>
  <c r="AA18" i="71"/>
  <c r="AC18" i="71" s="1"/>
  <c r="AP18" i="71" s="1"/>
  <c r="AA19" i="71"/>
  <c r="AC19" i="71" s="1"/>
  <c r="AP19" i="71" s="1"/>
  <c r="Z19" i="71"/>
  <c r="AB19" i="71" s="1"/>
  <c r="AO19" i="71" s="1"/>
  <c r="Z13" i="71"/>
  <c r="AB13" i="71" s="1"/>
  <c r="AO13" i="71" s="1"/>
  <c r="AA13" i="71"/>
  <c r="AC13" i="71" s="1"/>
  <c r="AP13" i="71" s="1"/>
  <c r="AA22" i="71"/>
  <c r="AC22" i="71" s="1"/>
  <c r="AP22" i="71" s="1"/>
  <c r="Z22" i="71"/>
  <c r="AB22" i="71" s="1"/>
  <c r="AO22" i="71" s="1"/>
  <c r="AA364" i="15"/>
  <c r="AC364" i="15" s="1"/>
  <c r="AP364" i="15" s="1"/>
  <c r="Z364" i="15"/>
  <c r="AB364" i="15" s="1"/>
  <c r="AO364" i="15" s="1"/>
  <c r="AA98" i="15"/>
  <c r="AC98" i="15" s="1"/>
  <c r="AP98" i="15" s="1"/>
  <c r="Z98" i="15"/>
  <c r="AB98" i="15" s="1"/>
  <c r="AO98" i="15" s="1"/>
  <c r="Z24" i="13"/>
  <c r="AB24" i="13" s="1"/>
  <c r="AO24" i="13" s="1"/>
  <c r="AA24" i="13"/>
  <c r="AC24" i="13" s="1"/>
  <c r="AP24" i="13" s="1"/>
  <c r="AA11" i="13"/>
  <c r="AC11" i="13" s="1"/>
  <c r="AP11" i="13" s="1"/>
  <c r="Z11" i="13"/>
  <c r="AB11" i="13" s="1"/>
  <c r="AO11" i="13" s="1"/>
  <c r="Z17" i="13"/>
  <c r="AB17" i="13" s="1"/>
  <c r="AO17" i="13" s="1"/>
  <c r="AA17" i="13"/>
  <c r="AC17" i="13" s="1"/>
  <c r="AP17" i="13" s="1"/>
  <c r="Z5" i="13"/>
  <c r="AB5" i="13" s="1"/>
  <c r="AA5" i="13"/>
  <c r="AC5" i="13" s="1"/>
  <c r="Z22" i="40"/>
  <c r="AB22" i="40" s="1"/>
  <c r="AO22" i="40" s="1"/>
  <c r="AA22" i="40"/>
  <c r="AC22" i="40" s="1"/>
  <c r="AP22" i="40" s="1"/>
  <c r="AA16" i="40"/>
  <c r="AC16" i="40" s="1"/>
  <c r="AP16" i="40" s="1"/>
  <c r="Z16" i="40"/>
  <c r="AB16" i="40" s="1"/>
  <c r="AO16" i="40" s="1"/>
  <c r="AA12" i="40"/>
  <c r="AC12" i="40" s="1"/>
  <c r="AP12" i="40" s="1"/>
  <c r="Z12" i="40"/>
  <c r="AB12" i="40" s="1"/>
  <c r="AO12" i="40" s="1"/>
  <c r="AA17" i="40"/>
  <c r="AC17" i="40" s="1"/>
  <c r="AP17" i="40" s="1"/>
  <c r="Z17" i="40"/>
  <c r="AB17" i="40" s="1"/>
  <c r="AO17" i="40" s="1"/>
  <c r="Z15" i="51"/>
  <c r="AB15" i="51" s="1"/>
  <c r="AO15" i="51" s="1"/>
  <c r="AA15" i="51"/>
  <c r="AC15" i="51" s="1"/>
  <c r="AP15" i="51" s="1"/>
  <c r="Z24" i="51"/>
  <c r="AB24" i="51" s="1"/>
  <c r="AO24" i="51" s="1"/>
  <c r="AA24" i="51"/>
  <c r="AC24" i="51" s="1"/>
  <c r="AP24" i="51" s="1"/>
  <c r="Z5" i="51"/>
  <c r="AB5" i="51" s="1"/>
  <c r="AA5" i="51"/>
  <c r="AC5" i="51" s="1"/>
  <c r="AA11" i="51"/>
  <c r="AC11" i="51" s="1"/>
  <c r="AP11" i="51" s="1"/>
  <c r="Z11" i="51"/>
  <c r="AB11" i="51" s="1"/>
  <c r="AO11" i="51" s="1"/>
  <c r="AA25" i="29"/>
  <c r="AC25" i="29" s="1"/>
  <c r="AP25" i="29" s="1"/>
  <c r="Z25" i="29"/>
  <c r="AB25" i="29" s="1"/>
  <c r="AO25" i="29" s="1"/>
  <c r="AA57" i="29"/>
  <c r="AC57" i="29" s="1"/>
  <c r="AP57" i="29" s="1"/>
  <c r="Z57" i="29"/>
  <c r="AB57" i="29" s="1"/>
  <c r="AO57" i="29" s="1"/>
  <c r="AA49" i="29"/>
  <c r="AC49" i="29" s="1"/>
  <c r="AP49" i="29" s="1"/>
  <c r="Z49" i="29"/>
  <c r="AB49" i="29" s="1"/>
  <c r="AO49" i="29" s="1"/>
  <c r="AA81" i="29"/>
  <c r="AC81" i="29" s="1"/>
  <c r="AP81" i="29" s="1"/>
  <c r="Z81" i="29"/>
  <c r="AB81" i="29" s="1"/>
  <c r="AO81" i="29" s="1"/>
  <c r="AA29" i="29"/>
  <c r="AC29" i="29" s="1"/>
  <c r="AP29" i="29" s="1"/>
  <c r="Z29" i="29"/>
  <c r="AB29" i="29" s="1"/>
  <c r="AO29" i="29" s="1"/>
  <c r="AA61" i="29"/>
  <c r="AC61" i="29" s="1"/>
  <c r="AP61" i="29" s="1"/>
  <c r="Z61" i="29"/>
  <c r="AB61" i="29" s="1"/>
  <c r="AO61" i="29" s="1"/>
  <c r="Z8" i="29"/>
  <c r="AB8" i="29" s="1"/>
  <c r="AO8" i="29" s="1"/>
  <c r="AA8" i="29"/>
  <c r="AC8" i="29" s="1"/>
  <c r="AP8" i="29" s="1"/>
  <c r="Z28" i="29"/>
  <c r="AB28" i="29" s="1"/>
  <c r="AO28" i="29" s="1"/>
  <c r="AA28" i="29"/>
  <c r="AC28" i="29" s="1"/>
  <c r="AP28" i="29" s="1"/>
  <c r="Z60" i="29"/>
  <c r="AB60" i="29" s="1"/>
  <c r="AO60" i="29" s="1"/>
  <c r="AA60" i="29"/>
  <c r="AC60" i="29" s="1"/>
  <c r="AP60" i="29" s="1"/>
  <c r="AA6" i="29"/>
  <c r="AC6" i="29" s="1"/>
  <c r="AP6" i="29" s="1"/>
  <c r="Z6" i="29"/>
  <c r="AB6" i="29" s="1"/>
  <c r="AO6" i="29" s="1"/>
  <c r="Z21" i="29"/>
  <c r="AB21" i="29" s="1"/>
  <c r="AO21" i="29" s="1"/>
  <c r="AA21" i="29"/>
  <c r="AC21" i="29" s="1"/>
  <c r="AP21" i="29" s="1"/>
  <c r="AA35" i="29"/>
  <c r="AC35" i="29" s="1"/>
  <c r="AP35" i="29" s="1"/>
  <c r="Z35" i="29"/>
  <c r="AB35" i="29" s="1"/>
  <c r="AO35" i="29" s="1"/>
  <c r="AA51" i="29"/>
  <c r="AC51" i="29" s="1"/>
  <c r="AP51" i="29" s="1"/>
  <c r="Z51" i="29"/>
  <c r="AB51" i="29" s="1"/>
  <c r="AO51" i="29" s="1"/>
  <c r="AA67" i="29"/>
  <c r="AC67" i="29" s="1"/>
  <c r="AP67" i="29" s="1"/>
  <c r="Z67" i="29"/>
  <c r="AB67" i="29" s="1"/>
  <c r="AO67" i="29" s="1"/>
  <c r="AA83" i="29"/>
  <c r="AC83" i="29" s="1"/>
  <c r="AP83" i="29" s="1"/>
  <c r="Z83" i="29"/>
  <c r="AB83" i="29" s="1"/>
  <c r="AO83" i="29" s="1"/>
  <c r="AA20" i="29"/>
  <c r="AC20" i="29" s="1"/>
  <c r="AP20" i="29" s="1"/>
  <c r="Z20" i="29"/>
  <c r="AB20" i="29" s="1"/>
  <c r="AO20" i="29" s="1"/>
  <c r="AA38" i="29"/>
  <c r="AC38" i="29" s="1"/>
  <c r="AP38" i="29" s="1"/>
  <c r="Z38" i="29"/>
  <c r="AB38" i="29" s="1"/>
  <c r="AO38" i="29" s="1"/>
  <c r="AA54" i="29"/>
  <c r="AC54" i="29" s="1"/>
  <c r="AP54" i="29" s="1"/>
  <c r="Z54" i="29"/>
  <c r="AB54" i="29" s="1"/>
  <c r="AO54" i="29" s="1"/>
  <c r="AA70" i="29"/>
  <c r="AC70" i="29" s="1"/>
  <c r="AP70" i="29" s="1"/>
  <c r="Z70" i="29"/>
  <c r="AB70" i="29" s="1"/>
  <c r="AO70" i="29" s="1"/>
  <c r="AA36" i="22"/>
  <c r="AC36" i="22" s="1"/>
  <c r="AP36" i="22" s="1"/>
  <c r="Z36" i="22"/>
  <c r="AB36" i="22" s="1"/>
  <c r="AO36" i="22" s="1"/>
  <c r="Z21" i="22"/>
  <c r="AB21" i="22" s="1"/>
  <c r="AO21" i="22" s="1"/>
  <c r="AA21" i="22"/>
  <c r="AC21" i="22" s="1"/>
  <c r="AP21" i="22" s="1"/>
  <c r="Z47" i="22"/>
  <c r="AB47" i="22" s="1"/>
  <c r="AO47" i="22" s="1"/>
  <c r="AA47" i="22"/>
  <c r="AC47" i="22" s="1"/>
  <c r="AP47" i="22" s="1"/>
  <c r="Z56" i="22"/>
  <c r="AB56" i="22" s="1"/>
  <c r="AO56" i="22" s="1"/>
  <c r="AA56" i="22"/>
  <c r="AC56" i="22" s="1"/>
  <c r="AP56" i="22" s="1"/>
  <c r="Z8" i="22"/>
  <c r="AB8" i="22" s="1"/>
  <c r="AO8" i="22" s="1"/>
  <c r="AA8" i="22"/>
  <c r="AC8" i="22" s="1"/>
  <c r="AP8" i="22" s="1"/>
  <c r="Z51" i="22"/>
  <c r="AB51" i="22" s="1"/>
  <c r="AO51" i="22" s="1"/>
  <c r="AA51" i="22"/>
  <c r="AC51" i="22" s="1"/>
  <c r="AP51" i="22" s="1"/>
  <c r="Z60" i="22"/>
  <c r="AB60" i="22" s="1"/>
  <c r="AO60" i="22" s="1"/>
  <c r="AA60" i="22"/>
  <c r="AC60" i="22" s="1"/>
  <c r="AP60" i="22" s="1"/>
  <c r="AA32" i="22"/>
  <c r="AC32" i="22" s="1"/>
  <c r="AP32" i="22" s="1"/>
  <c r="Z32" i="22"/>
  <c r="AB32" i="22" s="1"/>
  <c r="AO32" i="22" s="1"/>
  <c r="AA7" i="22"/>
  <c r="AC7" i="22" s="1"/>
  <c r="AP7" i="22" s="1"/>
  <c r="Z7" i="22"/>
  <c r="AB7" i="22" s="1"/>
  <c r="AO7" i="22" s="1"/>
  <c r="AA20" i="22"/>
  <c r="AC20" i="22" s="1"/>
  <c r="AP20" i="22" s="1"/>
  <c r="Z20" i="22"/>
  <c r="AB20" i="22" s="1"/>
  <c r="AO20" i="22" s="1"/>
  <c r="AA38" i="22"/>
  <c r="AC38" i="22" s="1"/>
  <c r="AP38" i="22" s="1"/>
  <c r="Z38" i="22"/>
  <c r="AB38" i="22" s="1"/>
  <c r="AO38" i="22" s="1"/>
  <c r="AA63" i="22"/>
  <c r="AC63" i="22" s="1"/>
  <c r="AP63" i="22" s="1"/>
  <c r="Z63" i="22"/>
  <c r="AB63" i="22" s="1"/>
  <c r="AO63" i="22" s="1"/>
  <c r="AA17" i="22"/>
  <c r="AC17" i="22" s="1"/>
  <c r="AP17" i="22" s="1"/>
  <c r="Z17" i="22"/>
  <c r="AB17" i="22" s="1"/>
  <c r="AO17" i="22" s="1"/>
  <c r="AA33" i="22"/>
  <c r="AC33" i="22" s="1"/>
  <c r="AP33" i="22" s="1"/>
  <c r="Z33" i="22"/>
  <c r="AB33" i="22" s="1"/>
  <c r="AO33" i="22" s="1"/>
  <c r="AA49" i="22"/>
  <c r="AC49" i="22" s="1"/>
  <c r="AP49" i="22" s="1"/>
  <c r="Z49" i="22"/>
  <c r="AB49" i="22" s="1"/>
  <c r="AO49" i="22" s="1"/>
  <c r="AA58" i="22"/>
  <c r="AC58" i="22" s="1"/>
  <c r="AP58" i="22" s="1"/>
  <c r="Z58" i="22"/>
  <c r="AB58" i="22" s="1"/>
  <c r="AO58" i="22" s="1"/>
  <c r="AA404" i="15"/>
  <c r="AC404" i="15" s="1"/>
  <c r="AP404" i="15" s="1"/>
  <c r="Z404" i="15"/>
  <c r="AB404" i="15" s="1"/>
  <c r="AO404" i="15" s="1"/>
  <c r="AA276" i="15"/>
  <c r="AC276" i="15" s="1"/>
  <c r="AP276" i="15" s="1"/>
  <c r="Z276" i="15"/>
  <c r="AB276" i="15" s="1"/>
  <c r="AO276" i="15" s="1"/>
  <c r="Z159" i="15"/>
  <c r="AB159" i="15" s="1"/>
  <c r="AO159" i="15" s="1"/>
  <c r="AA159" i="15"/>
  <c r="AC159" i="15" s="1"/>
  <c r="AP159" i="15" s="1"/>
  <c r="AA92" i="15"/>
  <c r="AC92" i="15" s="1"/>
  <c r="AP92" i="15" s="1"/>
  <c r="Z92" i="15"/>
  <c r="AB92" i="15" s="1"/>
  <c r="AO92" i="15" s="1"/>
  <c r="Z22" i="15"/>
  <c r="AB22" i="15" s="1"/>
  <c r="AO22" i="15" s="1"/>
  <c r="AA22" i="15"/>
  <c r="AC22" i="15" s="1"/>
  <c r="AP22" i="15" s="1"/>
  <c r="Z51" i="15"/>
  <c r="AB51" i="15" s="1"/>
  <c r="AO51" i="15" s="1"/>
  <c r="AA51" i="15"/>
  <c r="AC51" i="15" s="1"/>
  <c r="AP51" i="15" s="1"/>
  <c r="AA96" i="15"/>
  <c r="AC96" i="15" s="1"/>
  <c r="AP96" i="15" s="1"/>
  <c r="Z96" i="15"/>
  <c r="AB96" i="15" s="1"/>
  <c r="AO96" i="15" s="1"/>
  <c r="Z166" i="15"/>
  <c r="AB166" i="15" s="1"/>
  <c r="AO166" i="15" s="1"/>
  <c r="AA166" i="15"/>
  <c r="AC166" i="15" s="1"/>
  <c r="AP166" i="15" s="1"/>
  <c r="Z211" i="15"/>
  <c r="AB211" i="15" s="1"/>
  <c r="AO211" i="15" s="1"/>
  <c r="AA211" i="15"/>
  <c r="AC211" i="15" s="1"/>
  <c r="AP211" i="15" s="1"/>
  <c r="Z291" i="15"/>
  <c r="AB291" i="15" s="1"/>
  <c r="AO291" i="15" s="1"/>
  <c r="AA291" i="15"/>
  <c r="AC291" i="15" s="1"/>
  <c r="AP291" i="15" s="1"/>
  <c r="Z339" i="15"/>
  <c r="AB339" i="15" s="1"/>
  <c r="AO339" i="15" s="1"/>
  <c r="AA339" i="15"/>
  <c r="AC339" i="15" s="1"/>
  <c r="AP339" i="15" s="1"/>
  <c r="Z411" i="15"/>
  <c r="AB411" i="15" s="1"/>
  <c r="AO411" i="15" s="1"/>
  <c r="AA411" i="15"/>
  <c r="AC411" i="15" s="1"/>
  <c r="AP411" i="15" s="1"/>
  <c r="Z467" i="15"/>
  <c r="AB467" i="15" s="1"/>
  <c r="AO467" i="15" s="1"/>
  <c r="AA467" i="15"/>
  <c r="AC467" i="15" s="1"/>
  <c r="AP467" i="15" s="1"/>
  <c r="AA26" i="15"/>
  <c r="AC26" i="15" s="1"/>
  <c r="AP26" i="15" s="1"/>
  <c r="Z26" i="15"/>
  <c r="AB26" i="15" s="1"/>
  <c r="AO26" i="15" s="1"/>
  <c r="AA52" i="15"/>
  <c r="AC52" i="15" s="1"/>
  <c r="AP52" i="15" s="1"/>
  <c r="Z52" i="15"/>
  <c r="AB52" i="15" s="1"/>
  <c r="AO52" i="15" s="1"/>
  <c r="Z71" i="15"/>
  <c r="AB71" i="15" s="1"/>
  <c r="AO71" i="15" s="1"/>
  <c r="AA71" i="15"/>
  <c r="AC71" i="15" s="1"/>
  <c r="AP71" i="15" s="1"/>
  <c r="AA90" i="15"/>
  <c r="AC90" i="15" s="1"/>
  <c r="AP90" i="15" s="1"/>
  <c r="Z90" i="15"/>
  <c r="AB90" i="15" s="1"/>
  <c r="AO90" i="15" s="1"/>
  <c r="AA116" i="15"/>
  <c r="AC116" i="15" s="1"/>
  <c r="AP116" i="15" s="1"/>
  <c r="Z116" i="15"/>
  <c r="AB116" i="15" s="1"/>
  <c r="AO116" i="15" s="1"/>
  <c r="Z135" i="15"/>
  <c r="AB135" i="15" s="1"/>
  <c r="AO135" i="15" s="1"/>
  <c r="AA135" i="15"/>
  <c r="AC135" i="15" s="1"/>
  <c r="AP135" i="15" s="1"/>
  <c r="AA154" i="15"/>
  <c r="AC154" i="15" s="1"/>
  <c r="AP154" i="15" s="1"/>
  <c r="Z154" i="15"/>
  <c r="AB154" i="15" s="1"/>
  <c r="AO154" i="15" s="1"/>
  <c r="AA176" i="15"/>
  <c r="AC176" i="15" s="1"/>
  <c r="AP176" i="15" s="1"/>
  <c r="Z176" i="15"/>
  <c r="AB176" i="15" s="1"/>
  <c r="AO176" i="15" s="1"/>
  <c r="AA208" i="15"/>
  <c r="AC208" i="15" s="1"/>
  <c r="AP208" i="15" s="1"/>
  <c r="Z208" i="15"/>
  <c r="AB208" i="15" s="1"/>
  <c r="AO208" i="15" s="1"/>
  <c r="AA240" i="15"/>
  <c r="AC240" i="15" s="1"/>
  <c r="AP240" i="15" s="1"/>
  <c r="Z240" i="15"/>
  <c r="AB240" i="15" s="1"/>
  <c r="AO240" i="15" s="1"/>
  <c r="AA272" i="15"/>
  <c r="AC272" i="15" s="1"/>
  <c r="AP272" i="15" s="1"/>
  <c r="Z272" i="15"/>
  <c r="AB272" i="15" s="1"/>
  <c r="AO272" i="15" s="1"/>
  <c r="AA304" i="15"/>
  <c r="AC304" i="15" s="1"/>
  <c r="AP304" i="15" s="1"/>
  <c r="Z304" i="15"/>
  <c r="AB304" i="15" s="1"/>
  <c r="AO304" i="15" s="1"/>
  <c r="AA336" i="15"/>
  <c r="AC336" i="15" s="1"/>
  <c r="AP336" i="15" s="1"/>
  <c r="Z336" i="15"/>
  <c r="AB336" i="15" s="1"/>
  <c r="AO336" i="15" s="1"/>
  <c r="AA368" i="15"/>
  <c r="AC368" i="15" s="1"/>
  <c r="AP368" i="15" s="1"/>
  <c r="Z368" i="15"/>
  <c r="AB368" i="15" s="1"/>
  <c r="AO368" i="15" s="1"/>
  <c r="AA400" i="15"/>
  <c r="AC400" i="15" s="1"/>
  <c r="AP400" i="15" s="1"/>
  <c r="Z400" i="15"/>
  <c r="AB400" i="15" s="1"/>
  <c r="AO400" i="15" s="1"/>
  <c r="AA432" i="15"/>
  <c r="AC432" i="15" s="1"/>
  <c r="AP432" i="15" s="1"/>
  <c r="Z432" i="15"/>
  <c r="AB432" i="15" s="1"/>
  <c r="AO432" i="15" s="1"/>
  <c r="AA464" i="15"/>
  <c r="AC464" i="15" s="1"/>
  <c r="AP464" i="15" s="1"/>
  <c r="Z464" i="15"/>
  <c r="AB464" i="15" s="1"/>
  <c r="AO464" i="15" s="1"/>
  <c r="AA496" i="15"/>
  <c r="AC496" i="15" s="1"/>
  <c r="AP496" i="15" s="1"/>
  <c r="Z496" i="15"/>
  <c r="AB496" i="15" s="1"/>
  <c r="AO496" i="15" s="1"/>
  <c r="Z8" i="15"/>
  <c r="AB8" i="15" s="1"/>
  <c r="AO8" i="15" s="1"/>
  <c r="AA8" i="15"/>
  <c r="AC8" i="15" s="1"/>
  <c r="AP8" i="15" s="1"/>
  <c r="Z38" i="15"/>
  <c r="AB38" i="15" s="1"/>
  <c r="AO38" i="15" s="1"/>
  <c r="AA38" i="15"/>
  <c r="AC38" i="15" s="1"/>
  <c r="AP38" i="15" s="1"/>
  <c r="AA80" i="15"/>
  <c r="AC80" i="15" s="1"/>
  <c r="AP80" i="15" s="1"/>
  <c r="Z80" i="15"/>
  <c r="AB80" i="15" s="1"/>
  <c r="AO80" i="15" s="1"/>
  <c r="AA112" i="15"/>
  <c r="AC112" i="15" s="1"/>
  <c r="AP112" i="15" s="1"/>
  <c r="Z112" i="15"/>
  <c r="AB112" i="15" s="1"/>
  <c r="AO112" i="15" s="1"/>
  <c r="AA144" i="15"/>
  <c r="AC144" i="15" s="1"/>
  <c r="AP144" i="15" s="1"/>
  <c r="Z144" i="15"/>
  <c r="AB144" i="15" s="1"/>
  <c r="AO144" i="15" s="1"/>
  <c r="Z187" i="15"/>
  <c r="AB187" i="15" s="1"/>
  <c r="AO187" i="15" s="1"/>
  <c r="AA187" i="15"/>
  <c r="AC187" i="15" s="1"/>
  <c r="AP187" i="15" s="1"/>
  <c r="Z267" i="15"/>
  <c r="AB267" i="15" s="1"/>
  <c r="AO267" i="15" s="1"/>
  <c r="AA267" i="15"/>
  <c r="AC267" i="15" s="1"/>
  <c r="AP267" i="15" s="1"/>
  <c r="Z323" i="15"/>
  <c r="AB323" i="15" s="1"/>
  <c r="AO323" i="15" s="1"/>
  <c r="AA323" i="15"/>
  <c r="AC323" i="15" s="1"/>
  <c r="AP323" i="15" s="1"/>
  <c r="Z395" i="15"/>
  <c r="AB395" i="15" s="1"/>
  <c r="AO395" i="15" s="1"/>
  <c r="AA395" i="15"/>
  <c r="AC395" i="15" s="1"/>
  <c r="AP395" i="15" s="1"/>
  <c r="Z459" i="15"/>
  <c r="AB459" i="15" s="1"/>
  <c r="AO459" i="15" s="1"/>
  <c r="AA459" i="15"/>
  <c r="AC459" i="15" s="1"/>
  <c r="AP459" i="15" s="1"/>
  <c r="AA6" i="15"/>
  <c r="AC6" i="15" s="1"/>
  <c r="AP6" i="15" s="1"/>
  <c r="Z6" i="15"/>
  <c r="AB6" i="15" s="1"/>
  <c r="AO6" i="15" s="1"/>
  <c r="AA24" i="15"/>
  <c r="AC24" i="15" s="1"/>
  <c r="AP24" i="15" s="1"/>
  <c r="Z24" i="15"/>
  <c r="AB24" i="15" s="1"/>
  <c r="AO24" i="15" s="1"/>
  <c r="Z43" i="15"/>
  <c r="AB43" i="15" s="1"/>
  <c r="AO43" i="15" s="1"/>
  <c r="AA43" i="15"/>
  <c r="AC43" i="15" s="1"/>
  <c r="AP43" i="15" s="1"/>
  <c r="Z62" i="15"/>
  <c r="AB62" i="15" s="1"/>
  <c r="AO62" i="15" s="1"/>
  <c r="AA62" i="15"/>
  <c r="AC62" i="15" s="1"/>
  <c r="AP62" i="15" s="1"/>
  <c r="AA88" i="15"/>
  <c r="AC88" i="15" s="1"/>
  <c r="AP88" i="15" s="1"/>
  <c r="Z88" i="15"/>
  <c r="AB88" i="15" s="1"/>
  <c r="AO88" i="15" s="1"/>
  <c r="Z107" i="15"/>
  <c r="AB107" i="15" s="1"/>
  <c r="AO107" i="15" s="1"/>
  <c r="AA107" i="15"/>
  <c r="AC107" i="15" s="1"/>
  <c r="AP107" i="15" s="1"/>
  <c r="AA126" i="15"/>
  <c r="AC126" i="15" s="1"/>
  <c r="AP126" i="15" s="1"/>
  <c r="Z126" i="15"/>
  <c r="AB126" i="15" s="1"/>
  <c r="AO126" i="15" s="1"/>
  <c r="AA152" i="15"/>
  <c r="AC152" i="15" s="1"/>
  <c r="AP152" i="15" s="1"/>
  <c r="Z152" i="15"/>
  <c r="AB152" i="15" s="1"/>
  <c r="AO152" i="15" s="1"/>
  <c r="Z171" i="15"/>
  <c r="AB171" i="15" s="1"/>
  <c r="AO171" i="15" s="1"/>
  <c r="AA171" i="15"/>
  <c r="AC171" i="15" s="1"/>
  <c r="AP171" i="15" s="1"/>
  <c r="Z199" i="15"/>
  <c r="AB199" i="15" s="1"/>
  <c r="AO199" i="15" s="1"/>
  <c r="AA199" i="15"/>
  <c r="AC199" i="15" s="1"/>
  <c r="AP199" i="15" s="1"/>
  <c r="Z231" i="15"/>
  <c r="AB231" i="15" s="1"/>
  <c r="AO231" i="15" s="1"/>
  <c r="AA231" i="15"/>
  <c r="AC231" i="15" s="1"/>
  <c r="AP231" i="15" s="1"/>
  <c r="Z263" i="15"/>
  <c r="AB263" i="15" s="1"/>
  <c r="AO263" i="15" s="1"/>
  <c r="AA263" i="15"/>
  <c r="AC263" i="15" s="1"/>
  <c r="AP263" i="15" s="1"/>
  <c r="Z295" i="15"/>
  <c r="AB295" i="15" s="1"/>
  <c r="AO295" i="15" s="1"/>
  <c r="AA295" i="15"/>
  <c r="AC295" i="15" s="1"/>
  <c r="AP295" i="15" s="1"/>
  <c r="Z327" i="15"/>
  <c r="AB327" i="15" s="1"/>
  <c r="AO327" i="15" s="1"/>
  <c r="AA327" i="15"/>
  <c r="AC327" i="15" s="1"/>
  <c r="AP327" i="15" s="1"/>
  <c r="Z359" i="15"/>
  <c r="AB359" i="15" s="1"/>
  <c r="AO359" i="15" s="1"/>
  <c r="AA359" i="15"/>
  <c r="AC359" i="15" s="1"/>
  <c r="AP359" i="15" s="1"/>
  <c r="Z391" i="15"/>
  <c r="AB391" i="15" s="1"/>
  <c r="AO391" i="15" s="1"/>
  <c r="AA391" i="15"/>
  <c r="AC391" i="15" s="1"/>
  <c r="AP391" i="15" s="1"/>
  <c r="Z423" i="15"/>
  <c r="AB423" i="15" s="1"/>
  <c r="AO423" i="15" s="1"/>
  <c r="AA423" i="15"/>
  <c r="AC423" i="15" s="1"/>
  <c r="AP423" i="15" s="1"/>
  <c r="Z455" i="15"/>
  <c r="AB455" i="15" s="1"/>
  <c r="AO455" i="15" s="1"/>
  <c r="AA455" i="15"/>
  <c r="AC455" i="15" s="1"/>
  <c r="AP455" i="15" s="1"/>
  <c r="Z487" i="15"/>
  <c r="AB487" i="15" s="1"/>
  <c r="AO487" i="15" s="1"/>
  <c r="AA487" i="15"/>
  <c r="AC487" i="15" s="1"/>
  <c r="AP487" i="15" s="1"/>
  <c r="Z174" i="15"/>
  <c r="AB174" i="15" s="1"/>
  <c r="AO174" i="15" s="1"/>
  <c r="AA174" i="15"/>
  <c r="AC174" i="15" s="1"/>
  <c r="AP174" i="15" s="1"/>
  <c r="AA190" i="15"/>
  <c r="AC190" i="15" s="1"/>
  <c r="AP190" i="15" s="1"/>
  <c r="Z190" i="15"/>
  <c r="AB190" i="15" s="1"/>
  <c r="AO190" i="15" s="1"/>
  <c r="Z206" i="15"/>
  <c r="AB206" i="15" s="1"/>
  <c r="AO206" i="15" s="1"/>
  <c r="AA206" i="15"/>
  <c r="AC206" i="15" s="1"/>
  <c r="AP206" i="15" s="1"/>
  <c r="Z222" i="15"/>
  <c r="AB222" i="15" s="1"/>
  <c r="AO222" i="15" s="1"/>
  <c r="AA222" i="15"/>
  <c r="AC222" i="15" s="1"/>
  <c r="AP222" i="15" s="1"/>
  <c r="AA238" i="15"/>
  <c r="AC238" i="15" s="1"/>
  <c r="AP238" i="15" s="1"/>
  <c r="Z238" i="15"/>
  <c r="AB238" i="15" s="1"/>
  <c r="AO238" i="15" s="1"/>
  <c r="Z254" i="15"/>
  <c r="AB254" i="15" s="1"/>
  <c r="AO254" i="15" s="1"/>
  <c r="AA254" i="15"/>
  <c r="AC254" i="15" s="1"/>
  <c r="AP254" i="15" s="1"/>
  <c r="AA270" i="15"/>
  <c r="AC270" i="15" s="1"/>
  <c r="AP270" i="15" s="1"/>
  <c r="Z270" i="15"/>
  <c r="AB270" i="15" s="1"/>
  <c r="AO270" i="15" s="1"/>
  <c r="AA286" i="15"/>
  <c r="AC286" i="15" s="1"/>
  <c r="AP286" i="15" s="1"/>
  <c r="Z286" i="15"/>
  <c r="AB286" i="15" s="1"/>
  <c r="AO286" i="15" s="1"/>
  <c r="Z302" i="15"/>
  <c r="AB302" i="15" s="1"/>
  <c r="AO302" i="15" s="1"/>
  <c r="AA302" i="15"/>
  <c r="AC302" i="15" s="1"/>
  <c r="AP302" i="15" s="1"/>
  <c r="Z318" i="15"/>
  <c r="AB318" i="15" s="1"/>
  <c r="AO318" i="15" s="1"/>
  <c r="AA318" i="15"/>
  <c r="AC318" i="15" s="1"/>
  <c r="AP318" i="15" s="1"/>
  <c r="Z334" i="15"/>
  <c r="AB334" i="15" s="1"/>
  <c r="AO334" i="15" s="1"/>
  <c r="AA334" i="15"/>
  <c r="AC334" i="15" s="1"/>
  <c r="AP334" i="15" s="1"/>
  <c r="AA350" i="15"/>
  <c r="AC350" i="15" s="1"/>
  <c r="AP350" i="15" s="1"/>
  <c r="Z350" i="15"/>
  <c r="AB350" i="15" s="1"/>
  <c r="AO350" i="15" s="1"/>
  <c r="AA366" i="15"/>
  <c r="AC366" i="15" s="1"/>
  <c r="AP366" i="15" s="1"/>
  <c r="Z366" i="15"/>
  <c r="AB366" i="15" s="1"/>
  <c r="AO366" i="15" s="1"/>
  <c r="AA382" i="15"/>
  <c r="AC382" i="15" s="1"/>
  <c r="AP382" i="15" s="1"/>
  <c r="Z382" i="15"/>
  <c r="AB382" i="15" s="1"/>
  <c r="AO382" i="15" s="1"/>
  <c r="AA398" i="15"/>
  <c r="AC398" i="15" s="1"/>
  <c r="AP398" i="15" s="1"/>
  <c r="Z398" i="15"/>
  <c r="AB398" i="15" s="1"/>
  <c r="AO398" i="15" s="1"/>
  <c r="Z414" i="15"/>
  <c r="AB414" i="15" s="1"/>
  <c r="AO414" i="15" s="1"/>
  <c r="AA414" i="15"/>
  <c r="AC414" i="15" s="1"/>
  <c r="AP414" i="15" s="1"/>
  <c r="AA430" i="15"/>
  <c r="AC430" i="15" s="1"/>
  <c r="AP430" i="15" s="1"/>
  <c r="Z430" i="15"/>
  <c r="AB430" i="15" s="1"/>
  <c r="AO430" i="15" s="1"/>
  <c r="Z446" i="15"/>
  <c r="AB446" i="15" s="1"/>
  <c r="AO446" i="15" s="1"/>
  <c r="AA446" i="15"/>
  <c r="AC446" i="15" s="1"/>
  <c r="AP446" i="15" s="1"/>
  <c r="AA462" i="15"/>
  <c r="AC462" i="15" s="1"/>
  <c r="AP462" i="15" s="1"/>
  <c r="Z462" i="15"/>
  <c r="AB462" i="15" s="1"/>
  <c r="AO462" i="15" s="1"/>
  <c r="Z478" i="15"/>
  <c r="AB478" i="15" s="1"/>
  <c r="AO478" i="15" s="1"/>
  <c r="AA478" i="15"/>
  <c r="AC478" i="15" s="1"/>
  <c r="AP478" i="15" s="1"/>
  <c r="Z494" i="15"/>
  <c r="AB494" i="15" s="1"/>
  <c r="AO494" i="15" s="1"/>
  <c r="AA494" i="15"/>
  <c r="AC494" i="15" s="1"/>
  <c r="AP494" i="15" s="1"/>
  <c r="Z510" i="15"/>
  <c r="AB510" i="15" s="1"/>
  <c r="AO510" i="15" s="1"/>
  <c r="AA510" i="15"/>
  <c r="AC510" i="15" s="1"/>
  <c r="AP510" i="15" s="1"/>
  <c r="AA17" i="15"/>
  <c r="AC17" i="15" s="1"/>
  <c r="AP17" i="15" s="1"/>
  <c r="Z17" i="15"/>
  <c r="AB17" i="15" s="1"/>
  <c r="AO17" i="15" s="1"/>
  <c r="AA33" i="15"/>
  <c r="AC33" i="15" s="1"/>
  <c r="AP33" i="15" s="1"/>
  <c r="Z33" i="15"/>
  <c r="AB33" i="15" s="1"/>
  <c r="AO33" i="15" s="1"/>
  <c r="AA49" i="15"/>
  <c r="AC49" i="15" s="1"/>
  <c r="AP49" i="15" s="1"/>
  <c r="Z49" i="15"/>
  <c r="AB49" i="15" s="1"/>
  <c r="AO49" i="15" s="1"/>
  <c r="AA65" i="15"/>
  <c r="AC65" i="15" s="1"/>
  <c r="AP65" i="15" s="1"/>
  <c r="Z65" i="15"/>
  <c r="AB65" i="15" s="1"/>
  <c r="AO65" i="15" s="1"/>
  <c r="AA81" i="15"/>
  <c r="AC81" i="15" s="1"/>
  <c r="AP81" i="15" s="1"/>
  <c r="Z81" i="15"/>
  <c r="AB81" i="15" s="1"/>
  <c r="AO81" i="15" s="1"/>
  <c r="AA97" i="15"/>
  <c r="AC97" i="15" s="1"/>
  <c r="AP97" i="15" s="1"/>
  <c r="Z97" i="15"/>
  <c r="AB97" i="15" s="1"/>
  <c r="AO97" i="15" s="1"/>
  <c r="AA113" i="15"/>
  <c r="AC113" i="15" s="1"/>
  <c r="AP113" i="15" s="1"/>
  <c r="Z113" i="15"/>
  <c r="AB113" i="15" s="1"/>
  <c r="AO113" i="15" s="1"/>
  <c r="AA129" i="15"/>
  <c r="AC129" i="15" s="1"/>
  <c r="AP129" i="15" s="1"/>
  <c r="Z129" i="15"/>
  <c r="AB129" i="15" s="1"/>
  <c r="AO129" i="15" s="1"/>
  <c r="AA145" i="15"/>
  <c r="AC145" i="15" s="1"/>
  <c r="AP145" i="15" s="1"/>
  <c r="Z145" i="15"/>
  <c r="AB145" i="15" s="1"/>
  <c r="AO145" i="15" s="1"/>
  <c r="AA161" i="15"/>
  <c r="AC161" i="15" s="1"/>
  <c r="AP161" i="15" s="1"/>
  <c r="Z161" i="15"/>
  <c r="AB161" i="15" s="1"/>
  <c r="AO161" i="15" s="1"/>
  <c r="AA177" i="15"/>
  <c r="AC177" i="15" s="1"/>
  <c r="AP177" i="15" s="1"/>
  <c r="Z177" i="15"/>
  <c r="AB177" i="15" s="1"/>
  <c r="AO177" i="15" s="1"/>
  <c r="AA193" i="15"/>
  <c r="AC193" i="15" s="1"/>
  <c r="AP193" i="15" s="1"/>
  <c r="Z193" i="15"/>
  <c r="AB193" i="15" s="1"/>
  <c r="AO193" i="15" s="1"/>
  <c r="AA209" i="15"/>
  <c r="AC209" i="15" s="1"/>
  <c r="AP209" i="15" s="1"/>
  <c r="Z209" i="15"/>
  <c r="AB209" i="15" s="1"/>
  <c r="AO209" i="15" s="1"/>
  <c r="AA225" i="15"/>
  <c r="AC225" i="15" s="1"/>
  <c r="AP225" i="15" s="1"/>
  <c r="Z225" i="15"/>
  <c r="AB225" i="15" s="1"/>
  <c r="AO225" i="15" s="1"/>
  <c r="AA241" i="15"/>
  <c r="AC241" i="15" s="1"/>
  <c r="AP241" i="15" s="1"/>
  <c r="Z241" i="15"/>
  <c r="AB241" i="15" s="1"/>
  <c r="AO241" i="15" s="1"/>
  <c r="AA257" i="15"/>
  <c r="AC257" i="15" s="1"/>
  <c r="AP257" i="15" s="1"/>
  <c r="Z257" i="15"/>
  <c r="AB257" i="15" s="1"/>
  <c r="AO257" i="15" s="1"/>
  <c r="AA273" i="15"/>
  <c r="AC273" i="15" s="1"/>
  <c r="AP273" i="15" s="1"/>
  <c r="Z273" i="15"/>
  <c r="AB273" i="15" s="1"/>
  <c r="AO273" i="15" s="1"/>
  <c r="AA289" i="15"/>
  <c r="AC289" i="15" s="1"/>
  <c r="AP289" i="15" s="1"/>
  <c r="Z289" i="15"/>
  <c r="AB289" i="15" s="1"/>
  <c r="AO289" i="15" s="1"/>
  <c r="AA305" i="15"/>
  <c r="AC305" i="15" s="1"/>
  <c r="AP305" i="15" s="1"/>
  <c r="Z305" i="15"/>
  <c r="AB305" i="15" s="1"/>
  <c r="AO305" i="15" s="1"/>
  <c r="AA321" i="15"/>
  <c r="AC321" i="15" s="1"/>
  <c r="AP321" i="15" s="1"/>
  <c r="Z321" i="15"/>
  <c r="AB321" i="15" s="1"/>
  <c r="AO321" i="15" s="1"/>
  <c r="AA337" i="15"/>
  <c r="AC337" i="15" s="1"/>
  <c r="AP337" i="15" s="1"/>
  <c r="Z337" i="15"/>
  <c r="AB337" i="15" s="1"/>
  <c r="AO337" i="15" s="1"/>
  <c r="AA353" i="15"/>
  <c r="AC353" i="15" s="1"/>
  <c r="AP353" i="15" s="1"/>
  <c r="Z353" i="15"/>
  <c r="AB353" i="15" s="1"/>
  <c r="AO353" i="15" s="1"/>
  <c r="AA369" i="15"/>
  <c r="AC369" i="15" s="1"/>
  <c r="AP369" i="15" s="1"/>
  <c r="Z369" i="15"/>
  <c r="AB369" i="15" s="1"/>
  <c r="AO369" i="15" s="1"/>
  <c r="AA385" i="15"/>
  <c r="AC385" i="15" s="1"/>
  <c r="AP385" i="15" s="1"/>
  <c r="Z385" i="15"/>
  <c r="AB385" i="15" s="1"/>
  <c r="AO385" i="15" s="1"/>
  <c r="AA401" i="15"/>
  <c r="AC401" i="15" s="1"/>
  <c r="AP401" i="15" s="1"/>
  <c r="Z401" i="15"/>
  <c r="AB401" i="15" s="1"/>
  <c r="AO401" i="15" s="1"/>
  <c r="AA417" i="15"/>
  <c r="AC417" i="15" s="1"/>
  <c r="AP417" i="15" s="1"/>
  <c r="Z417" i="15"/>
  <c r="AB417" i="15" s="1"/>
  <c r="AO417" i="15" s="1"/>
  <c r="AA433" i="15"/>
  <c r="AC433" i="15" s="1"/>
  <c r="AP433" i="15" s="1"/>
  <c r="Z433" i="15"/>
  <c r="AB433" i="15" s="1"/>
  <c r="AO433" i="15" s="1"/>
  <c r="AA449" i="15"/>
  <c r="AC449" i="15" s="1"/>
  <c r="AP449" i="15" s="1"/>
  <c r="Z449" i="15"/>
  <c r="AB449" i="15" s="1"/>
  <c r="AO449" i="15" s="1"/>
  <c r="AA465" i="15"/>
  <c r="AC465" i="15" s="1"/>
  <c r="AP465" i="15" s="1"/>
  <c r="Z465" i="15"/>
  <c r="AB465" i="15" s="1"/>
  <c r="AO465" i="15" s="1"/>
  <c r="AA481" i="15"/>
  <c r="AC481" i="15" s="1"/>
  <c r="AP481" i="15" s="1"/>
  <c r="Z481" i="15"/>
  <c r="AB481" i="15" s="1"/>
  <c r="AO481" i="15" s="1"/>
  <c r="AA497" i="15"/>
  <c r="AC497" i="15" s="1"/>
  <c r="AP497" i="15" s="1"/>
  <c r="Z497" i="15"/>
  <c r="AB497" i="15" s="1"/>
  <c r="AO497" i="15" s="1"/>
  <c r="AA513" i="15"/>
  <c r="AC513" i="15" s="1"/>
  <c r="AP513" i="15" s="1"/>
  <c r="Z513" i="15"/>
  <c r="AB513" i="15" s="1"/>
  <c r="AO513" i="15" s="1"/>
  <c r="AA18" i="64"/>
  <c r="AC18" i="64" s="1"/>
  <c r="AP18" i="64" s="1"/>
  <c r="Z18" i="64"/>
  <c r="AB18" i="64" s="1"/>
  <c r="AO18" i="64" s="1"/>
  <c r="Z8" i="64"/>
  <c r="AB8" i="64" s="1"/>
  <c r="AO8" i="64" s="1"/>
  <c r="AA8" i="64"/>
  <c r="AC8" i="64" s="1"/>
  <c r="AP8" i="64" s="1"/>
  <c r="Z21" i="64"/>
  <c r="AB21" i="64" s="1"/>
  <c r="AO21" i="64" s="1"/>
  <c r="AA21" i="64"/>
  <c r="AC21" i="64" s="1"/>
  <c r="AP21" i="64" s="1"/>
  <c r="AA7" i="64"/>
  <c r="AC7" i="64" s="1"/>
  <c r="AP7" i="64" s="1"/>
  <c r="Z7" i="64"/>
  <c r="AB7" i="64" s="1"/>
  <c r="AO7" i="64" s="1"/>
  <c r="AA20" i="64"/>
  <c r="AC20" i="64" s="1"/>
  <c r="AP20" i="64" s="1"/>
  <c r="Z20" i="64"/>
  <c r="AB20" i="64" s="1"/>
  <c r="AO20" i="64" s="1"/>
  <c r="Z9" i="60"/>
  <c r="AB9" i="60" s="1"/>
  <c r="AO9" i="60" s="1"/>
  <c r="AA9" i="60"/>
  <c r="AC9" i="60" s="1"/>
  <c r="AP9" i="60" s="1"/>
  <c r="AA20" i="60"/>
  <c r="AC20" i="60" s="1"/>
  <c r="AP20" i="60" s="1"/>
  <c r="Z20" i="60"/>
  <c r="AB20" i="60" s="1"/>
  <c r="AO20" i="60" s="1"/>
  <c r="Z15" i="60"/>
  <c r="AB15" i="60" s="1"/>
  <c r="AO15" i="60" s="1"/>
  <c r="AA15" i="60"/>
  <c r="AC15" i="60" s="1"/>
  <c r="AP15" i="60" s="1"/>
  <c r="AA8" i="60"/>
  <c r="AC8" i="60" s="1"/>
  <c r="AP8" i="60" s="1"/>
  <c r="Z8" i="60"/>
  <c r="AB8" i="60" s="1"/>
  <c r="AO8" i="60" s="1"/>
  <c r="AA21" i="60"/>
  <c r="AC21" i="60" s="1"/>
  <c r="AP21" i="60" s="1"/>
  <c r="Z21" i="60"/>
  <c r="AB21" i="60" s="1"/>
  <c r="AO21" i="60" s="1"/>
  <c r="AA24" i="46"/>
  <c r="AC24" i="46" s="1"/>
  <c r="AP24" i="46" s="1"/>
  <c r="Z24" i="46"/>
  <c r="AB24" i="46" s="1"/>
  <c r="AO24" i="46" s="1"/>
  <c r="AA36" i="46"/>
  <c r="AC36" i="46" s="1"/>
  <c r="AP36" i="46" s="1"/>
  <c r="Z36" i="46"/>
  <c r="AB36" i="46" s="1"/>
  <c r="AO36" i="46" s="1"/>
  <c r="AA15" i="46"/>
  <c r="AC15" i="46" s="1"/>
  <c r="AP15" i="46" s="1"/>
  <c r="Z15" i="46"/>
  <c r="AB15" i="46" s="1"/>
  <c r="AO15" i="46" s="1"/>
  <c r="AA64" i="46"/>
  <c r="AC64" i="46" s="1"/>
  <c r="AP64" i="46" s="1"/>
  <c r="Z64" i="46"/>
  <c r="AB64" i="46" s="1"/>
  <c r="AO64" i="46" s="1"/>
  <c r="AA60" i="46"/>
  <c r="AC60" i="46" s="1"/>
  <c r="AP60" i="46" s="1"/>
  <c r="Z60" i="46"/>
  <c r="AB60" i="46" s="1"/>
  <c r="AO60" i="46" s="1"/>
  <c r="Z13" i="46"/>
  <c r="AB13" i="46" s="1"/>
  <c r="AO13" i="46" s="1"/>
  <c r="AA13" i="46"/>
  <c r="AC13" i="46" s="1"/>
  <c r="AP13" i="46" s="1"/>
  <c r="Z22" i="46"/>
  <c r="AB22" i="46" s="1"/>
  <c r="AO22" i="46" s="1"/>
  <c r="AA22" i="46"/>
  <c r="AC22" i="46" s="1"/>
  <c r="AP22" i="46" s="1"/>
  <c r="Z39" i="46"/>
  <c r="AB39" i="46" s="1"/>
  <c r="AO39" i="46" s="1"/>
  <c r="AA39" i="46"/>
  <c r="AC39" i="46" s="1"/>
  <c r="AP39" i="46" s="1"/>
  <c r="Z55" i="46"/>
  <c r="AB55" i="46" s="1"/>
  <c r="AO55" i="46" s="1"/>
  <c r="AA55" i="46"/>
  <c r="AC55" i="46" s="1"/>
  <c r="AP55" i="46" s="1"/>
  <c r="Z71" i="46"/>
  <c r="AB71" i="46" s="1"/>
  <c r="AO71" i="46" s="1"/>
  <c r="AA71" i="46"/>
  <c r="AC71" i="46" s="1"/>
  <c r="AP71" i="46" s="1"/>
  <c r="AA11" i="46"/>
  <c r="AC11" i="46" s="1"/>
  <c r="AP11" i="46" s="1"/>
  <c r="Z11" i="46"/>
  <c r="AB11" i="46" s="1"/>
  <c r="AO11" i="46" s="1"/>
  <c r="AA20" i="46"/>
  <c r="AC20" i="46" s="1"/>
  <c r="AP20" i="46" s="1"/>
  <c r="Z20" i="46"/>
  <c r="AB20" i="46" s="1"/>
  <c r="AO20" i="46" s="1"/>
  <c r="AA38" i="46"/>
  <c r="AC38" i="46" s="1"/>
  <c r="AP38" i="46" s="1"/>
  <c r="Z38" i="46"/>
  <c r="AB38" i="46" s="1"/>
  <c r="AO38" i="46" s="1"/>
  <c r="AA54" i="46"/>
  <c r="AC54" i="46" s="1"/>
  <c r="AP54" i="46" s="1"/>
  <c r="Z54" i="46"/>
  <c r="AB54" i="46" s="1"/>
  <c r="AO54" i="46" s="1"/>
  <c r="AA70" i="46"/>
  <c r="AC70" i="46" s="1"/>
  <c r="AP70" i="46" s="1"/>
  <c r="Z70" i="46"/>
  <c r="AB70" i="46" s="1"/>
  <c r="AO70" i="46" s="1"/>
  <c r="AA9" i="46"/>
  <c r="AC9" i="46" s="1"/>
  <c r="AP9" i="46" s="1"/>
  <c r="Z9" i="46"/>
  <c r="AB9" i="46" s="1"/>
  <c r="AO9" i="46" s="1"/>
  <c r="AA25" i="46"/>
  <c r="AC25" i="46" s="1"/>
  <c r="AP25" i="46" s="1"/>
  <c r="Z25" i="46"/>
  <c r="AB25" i="46" s="1"/>
  <c r="AO25" i="46" s="1"/>
  <c r="AA41" i="46"/>
  <c r="AC41" i="46" s="1"/>
  <c r="AP41" i="46" s="1"/>
  <c r="Z41" i="46"/>
  <c r="AB41" i="46" s="1"/>
  <c r="AO41" i="46" s="1"/>
  <c r="AA57" i="46"/>
  <c r="AC57" i="46" s="1"/>
  <c r="AP57" i="46" s="1"/>
  <c r="Z57" i="46"/>
  <c r="AB57" i="46" s="1"/>
  <c r="AO57" i="46" s="1"/>
  <c r="AA73" i="46"/>
  <c r="AC73" i="46" s="1"/>
  <c r="AP73" i="46" s="1"/>
  <c r="Z73" i="46"/>
  <c r="AB73" i="46" s="1"/>
  <c r="AO73" i="46" s="1"/>
  <c r="Z24" i="6"/>
  <c r="AB24" i="6" s="1"/>
  <c r="AO24" i="6" s="1"/>
  <c r="AA24" i="6"/>
  <c r="AC24" i="6" s="1"/>
  <c r="AP24" i="6" s="1"/>
  <c r="AA11" i="6"/>
  <c r="AC11" i="6" s="1"/>
  <c r="AP11" i="6" s="1"/>
  <c r="Z11" i="6"/>
  <c r="AB11" i="6" s="1"/>
  <c r="AO11" i="6" s="1"/>
  <c r="AA12" i="6"/>
  <c r="AC12" i="6" s="1"/>
  <c r="AP12" i="6" s="1"/>
  <c r="Z12" i="6"/>
  <c r="AB12" i="6" s="1"/>
  <c r="AO12" i="6" s="1"/>
  <c r="Z5" i="6"/>
  <c r="AB5" i="6" s="1"/>
  <c r="AA5" i="6"/>
  <c r="AC5" i="6" s="1"/>
  <c r="Z29" i="20"/>
  <c r="AB29" i="20" s="1"/>
  <c r="AO29" i="20" s="1"/>
  <c r="AA29" i="20"/>
  <c r="AC29" i="20" s="1"/>
  <c r="AP29" i="20" s="1"/>
  <c r="AA70" i="20"/>
  <c r="AC70" i="20" s="1"/>
  <c r="AP70" i="20" s="1"/>
  <c r="Z70" i="20"/>
  <c r="AB70" i="20" s="1"/>
  <c r="AO70" i="20" s="1"/>
  <c r="Z17" i="20"/>
  <c r="AB17" i="20" s="1"/>
  <c r="AO17" i="20" s="1"/>
  <c r="AA17" i="20"/>
  <c r="AC17" i="20" s="1"/>
  <c r="AP17" i="20" s="1"/>
  <c r="AA30" i="20"/>
  <c r="AC30" i="20" s="1"/>
  <c r="AP30" i="20" s="1"/>
  <c r="Z30" i="20"/>
  <c r="AB30" i="20" s="1"/>
  <c r="AO30" i="20" s="1"/>
  <c r="AA62" i="20"/>
  <c r="AC62" i="20" s="1"/>
  <c r="AP62" i="20" s="1"/>
  <c r="Z62" i="20"/>
  <c r="AB62" i="20" s="1"/>
  <c r="AO62" i="20" s="1"/>
  <c r="AA34" i="20"/>
  <c r="AC34" i="20" s="1"/>
  <c r="AP34" i="20" s="1"/>
  <c r="Z34" i="20"/>
  <c r="AB34" i="20" s="1"/>
  <c r="AO34" i="20" s="1"/>
  <c r="AA66" i="20"/>
  <c r="AC66" i="20" s="1"/>
  <c r="AP66" i="20" s="1"/>
  <c r="Z66" i="20"/>
  <c r="AB66" i="20" s="1"/>
  <c r="AO66" i="20" s="1"/>
  <c r="Z33" i="20"/>
  <c r="AB33" i="20" s="1"/>
  <c r="AO33" i="20" s="1"/>
  <c r="AA33" i="20"/>
  <c r="AC33" i="20" s="1"/>
  <c r="AP33" i="20" s="1"/>
  <c r="Z65" i="20"/>
  <c r="AB65" i="20" s="1"/>
  <c r="AO65" i="20" s="1"/>
  <c r="AA65" i="20"/>
  <c r="AC65" i="20" s="1"/>
  <c r="AP65" i="20" s="1"/>
  <c r="Z16" i="20"/>
  <c r="AB16" i="20" s="1"/>
  <c r="AO16" i="20" s="1"/>
  <c r="AA16" i="20"/>
  <c r="AC16" i="20" s="1"/>
  <c r="AP16" i="20" s="1"/>
  <c r="AA32" i="20"/>
  <c r="AC32" i="20" s="1"/>
  <c r="AP32" i="20" s="1"/>
  <c r="Z32" i="20"/>
  <c r="AB32" i="20" s="1"/>
  <c r="AO32" i="20" s="1"/>
  <c r="AA48" i="20"/>
  <c r="AC48" i="20" s="1"/>
  <c r="AP48" i="20" s="1"/>
  <c r="Z48" i="20"/>
  <c r="AB48" i="20" s="1"/>
  <c r="AO48" i="20" s="1"/>
  <c r="AA64" i="20"/>
  <c r="AC64" i="20" s="1"/>
  <c r="AP64" i="20" s="1"/>
  <c r="Z64" i="20"/>
  <c r="AB64" i="20" s="1"/>
  <c r="AO64" i="20" s="1"/>
  <c r="AA80" i="20"/>
  <c r="AC80" i="20" s="1"/>
  <c r="AP80" i="20" s="1"/>
  <c r="Z80" i="20"/>
  <c r="AB80" i="20" s="1"/>
  <c r="AO80" i="20" s="1"/>
  <c r="AA14" i="20"/>
  <c r="AC14" i="20" s="1"/>
  <c r="AP14" i="20" s="1"/>
  <c r="Z14" i="20"/>
  <c r="AB14" i="20" s="1"/>
  <c r="AO14" i="20" s="1"/>
  <c r="AA27" i="20"/>
  <c r="AC27" i="20" s="1"/>
  <c r="AP27" i="20" s="1"/>
  <c r="Z27" i="20"/>
  <c r="AB27" i="20" s="1"/>
  <c r="AO27" i="20" s="1"/>
  <c r="AA43" i="20"/>
  <c r="AC43" i="20" s="1"/>
  <c r="AP43" i="20" s="1"/>
  <c r="Z43" i="20"/>
  <c r="AB43" i="20" s="1"/>
  <c r="AO43" i="20" s="1"/>
  <c r="AA59" i="20"/>
  <c r="AC59" i="20" s="1"/>
  <c r="AP59" i="20" s="1"/>
  <c r="Z59" i="20"/>
  <c r="AB59" i="20" s="1"/>
  <c r="AO59" i="20" s="1"/>
  <c r="AA75" i="20"/>
  <c r="AC75" i="20" s="1"/>
  <c r="AP75" i="20" s="1"/>
  <c r="Z75" i="20"/>
  <c r="AB75" i="20" s="1"/>
  <c r="AO75" i="20" s="1"/>
  <c r="AA25" i="47"/>
  <c r="AC25" i="47" s="1"/>
  <c r="AP25" i="47" s="1"/>
  <c r="Z25" i="47"/>
  <c r="AB25" i="47" s="1"/>
  <c r="AO25" i="47" s="1"/>
  <c r="AA53" i="47"/>
  <c r="AC53" i="47" s="1"/>
  <c r="AP53" i="47" s="1"/>
  <c r="Z53" i="47"/>
  <c r="AB53" i="47" s="1"/>
  <c r="AO53" i="47" s="1"/>
  <c r="AA65" i="47"/>
  <c r="AC65" i="47" s="1"/>
  <c r="AP65" i="47" s="1"/>
  <c r="Z65" i="47"/>
  <c r="AB65" i="47" s="1"/>
  <c r="AO65" i="47" s="1"/>
  <c r="AA45" i="47"/>
  <c r="AC45" i="47" s="1"/>
  <c r="AP45" i="47" s="1"/>
  <c r="Z45" i="47"/>
  <c r="AB45" i="47" s="1"/>
  <c r="AO45" i="47" s="1"/>
  <c r="Z16" i="47"/>
  <c r="AB16" i="47" s="1"/>
  <c r="AO16" i="47" s="1"/>
  <c r="AA16" i="47"/>
  <c r="AC16" i="47" s="1"/>
  <c r="AP16" i="47" s="1"/>
  <c r="Z32" i="47"/>
  <c r="AB32" i="47" s="1"/>
  <c r="AO32" i="47" s="1"/>
  <c r="AA32" i="47"/>
  <c r="AC32" i="47" s="1"/>
  <c r="AP32" i="47" s="1"/>
  <c r="Z48" i="47"/>
  <c r="AB48" i="47" s="1"/>
  <c r="AO48" i="47" s="1"/>
  <c r="AA48" i="47"/>
  <c r="AC48" i="47" s="1"/>
  <c r="AP48" i="47" s="1"/>
  <c r="Z64" i="47"/>
  <c r="AB64" i="47" s="1"/>
  <c r="AO64" i="47" s="1"/>
  <c r="AA64" i="47"/>
  <c r="AC64" i="47" s="1"/>
  <c r="AP64" i="47" s="1"/>
  <c r="AA14" i="47"/>
  <c r="AC14" i="47" s="1"/>
  <c r="AP14" i="47" s="1"/>
  <c r="Z14" i="47"/>
  <c r="AB14" i="47" s="1"/>
  <c r="AO14" i="47" s="1"/>
  <c r="AA27" i="47"/>
  <c r="AC27" i="47" s="1"/>
  <c r="AP27" i="47" s="1"/>
  <c r="Z27" i="47"/>
  <c r="AB27" i="47" s="1"/>
  <c r="AO27" i="47" s="1"/>
  <c r="AA43" i="47"/>
  <c r="AC43" i="47" s="1"/>
  <c r="AP43" i="47" s="1"/>
  <c r="Z43" i="47"/>
  <c r="AB43" i="47" s="1"/>
  <c r="AO43" i="47" s="1"/>
  <c r="AA59" i="47"/>
  <c r="AC59" i="47" s="1"/>
  <c r="AP59" i="47" s="1"/>
  <c r="Z59" i="47"/>
  <c r="AB59" i="47" s="1"/>
  <c r="AO59" i="47" s="1"/>
  <c r="AA11" i="47"/>
  <c r="AC11" i="47" s="1"/>
  <c r="AP11" i="47" s="1"/>
  <c r="Z11" i="47"/>
  <c r="AB11" i="47" s="1"/>
  <c r="AO11" i="47" s="1"/>
  <c r="AA26" i="47"/>
  <c r="AC26" i="47" s="1"/>
  <c r="AP26" i="47" s="1"/>
  <c r="Z26" i="47"/>
  <c r="AB26" i="47" s="1"/>
  <c r="AO26" i="47" s="1"/>
  <c r="AA42" i="47"/>
  <c r="AC42" i="47" s="1"/>
  <c r="AP42" i="47" s="1"/>
  <c r="Z42" i="47"/>
  <c r="AB42" i="47" s="1"/>
  <c r="AO42" i="47" s="1"/>
  <c r="AA58" i="47"/>
  <c r="AC58" i="47" s="1"/>
  <c r="AP58" i="47" s="1"/>
  <c r="Z58" i="47"/>
  <c r="AB58" i="47" s="1"/>
  <c r="AO58" i="47" s="1"/>
  <c r="AA18" i="30"/>
  <c r="AC18" i="30" s="1"/>
  <c r="AP18" i="30" s="1"/>
  <c r="Z18" i="30"/>
  <c r="AB18" i="30" s="1"/>
  <c r="AO18" i="30" s="1"/>
  <c r="Z6" i="30"/>
  <c r="AB6" i="30" s="1"/>
  <c r="AO6" i="30" s="1"/>
  <c r="AA6" i="30"/>
  <c r="AC6" i="30" s="1"/>
  <c r="AP6" i="30" s="1"/>
  <c r="AA5" i="30"/>
  <c r="AC5" i="30" s="1"/>
  <c r="Z5" i="30"/>
  <c r="AB5" i="30" s="1"/>
  <c r="AA11" i="30"/>
  <c r="AC11" i="30" s="1"/>
  <c r="AP11" i="30" s="1"/>
  <c r="Z11" i="30"/>
  <c r="AB11" i="30" s="1"/>
  <c r="AO11" i="30" s="1"/>
  <c r="Z94" i="32"/>
  <c r="AB94" i="32" s="1"/>
  <c r="AO94" i="32" s="1"/>
  <c r="AA94" i="32"/>
  <c r="AC94" i="32" s="1"/>
  <c r="AP94" i="32" s="1"/>
  <c r="AA22" i="72"/>
  <c r="AC22" i="72" s="1"/>
  <c r="AP22" i="72" s="1"/>
  <c r="Z22" i="72"/>
  <c r="AB22" i="72" s="1"/>
  <c r="AO22" i="72" s="1"/>
  <c r="AA388" i="15"/>
  <c r="AC388" i="15" s="1"/>
  <c r="AP388" i="15" s="1"/>
  <c r="Z388" i="15"/>
  <c r="AB388" i="15" s="1"/>
  <c r="AO388" i="15" s="1"/>
  <c r="AA260" i="15"/>
  <c r="AC260" i="15" s="1"/>
  <c r="AP260" i="15" s="1"/>
  <c r="Z260" i="15"/>
  <c r="AB260" i="15" s="1"/>
  <c r="AO260" i="15" s="1"/>
  <c r="AA124" i="15"/>
  <c r="AC124" i="15" s="1"/>
  <c r="AP124" i="15" s="1"/>
  <c r="Z124" i="15"/>
  <c r="AB124" i="15" s="1"/>
  <c r="AO124" i="15" s="1"/>
  <c r="AA50" i="15"/>
  <c r="AC50" i="15" s="1"/>
  <c r="AP50" i="15" s="1"/>
  <c r="Z50" i="15"/>
  <c r="AB50" i="15" s="1"/>
  <c r="AO50" i="15" s="1"/>
  <c r="AA17" i="3"/>
  <c r="AC17" i="3" s="1"/>
  <c r="AP17" i="3" s="1"/>
  <c r="Z17" i="3"/>
  <c r="AB17" i="3" s="1"/>
  <c r="AO17" i="3" s="1"/>
  <c r="AC186" i="65"/>
  <c r="AP186" i="65" s="1"/>
  <c r="Z186" i="65"/>
  <c r="AB186" i="65" s="1"/>
  <c r="AO186" i="65" s="1"/>
  <c r="I40" i="67"/>
  <c r="AA12" i="63"/>
  <c r="AC12" i="63" s="1"/>
  <c r="AP12" i="63" s="1"/>
  <c r="Z12" i="63"/>
  <c r="AB12" i="63" s="1"/>
  <c r="AO12" i="63" s="1"/>
  <c r="Z9" i="63"/>
  <c r="AB9" i="63" s="1"/>
  <c r="AO9" i="63" s="1"/>
  <c r="AA9" i="63"/>
  <c r="AC9" i="63" s="1"/>
  <c r="AP9" i="63" s="1"/>
  <c r="AA11" i="63"/>
  <c r="AC11" i="63" s="1"/>
  <c r="AP11" i="63" s="1"/>
  <c r="Z11" i="63"/>
  <c r="AB11" i="63" s="1"/>
  <c r="AO11" i="63" s="1"/>
  <c r="AA8" i="63"/>
  <c r="AC8" i="63" s="1"/>
  <c r="AP8" i="63" s="1"/>
  <c r="Z8" i="63"/>
  <c r="AB8" i="63" s="1"/>
  <c r="AO8" i="63" s="1"/>
  <c r="AA21" i="63"/>
  <c r="AC21" i="63" s="1"/>
  <c r="AP21" i="63" s="1"/>
  <c r="Z21" i="63"/>
  <c r="AB21" i="63" s="1"/>
  <c r="AO21" i="63" s="1"/>
  <c r="Z25" i="32"/>
  <c r="AB25" i="32" s="1"/>
  <c r="AO25" i="32" s="1"/>
  <c r="AA25" i="32"/>
  <c r="AC25" i="32" s="1"/>
  <c r="AP25" i="32" s="1"/>
  <c r="AA10" i="32"/>
  <c r="AC10" i="32" s="1"/>
  <c r="AP10" i="32" s="1"/>
  <c r="Z10" i="32"/>
  <c r="AB10" i="32" s="1"/>
  <c r="AO10" i="32" s="1"/>
  <c r="AA37" i="32"/>
  <c r="AC37" i="32" s="1"/>
  <c r="AP37" i="32" s="1"/>
  <c r="Z37" i="32"/>
  <c r="AB37" i="32" s="1"/>
  <c r="AO37" i="32" s="1"/>
  <c r="AA107" i="32"/>
  <c r="AC107" i="32" s="1"/>
  <c r="AP107" i="32" s="1"/>
  <c r="Z107" i="32"/>
  <c r="AB107" i="32" s="1"/>
  <c r="AO107" i="32" s="1"/>
  <c r="AA139" i="32"/>
  <c r="AC139" i="32" s="1"/>
  <c r="AP139" i="32" s="1"/>
  <c r="Z139" i="32"/>
  <c r="AB139" i="32" s="1"/>
  <c r="AO139" i="32" s="1"/>
  <c r="AA171" i="32"/>
  <c r="AC171" i="32" s="1"/>
  <c r="AP171" i="32" s="1"/>
  <c r="Z171" i="32"/>
  <c r="AB171" i="32" s="1"/>
  <c r="AO171" i="32" s="1"/>
  <c r="AA53" i="32"/>
  <c r="AC53" i="32" s="1"/>
  <c r="AP53" i="32" s="1"/>
  <c r="Z53" i="32"/>
  <c r="AB53" i="32" s="1"/>
  <c r="AO53" i="32" s="1"/>
  <c r="Z34" i="32"/>
  <c r="AB34" i="32" s="1"/>
  <c r="AO34" i="32" s="1"/>
  <c r="AA34" i="32"/>
  <c r="AC34" i="32" s="1"/>
  <c r="AP34" i="32" s="1"/>
  <c r="Z66" i="32"/>
  <c r="AB66" i="32" s="1"/>
  <c r="AO66" i="32" s="1"/>
  <c r="AA66" i="32"/>
  <c r="AC66" i="32" s="1"/>
  <c r="AP66" i="32" s="1"/>
  <c r="Z86" i="32"/>
  <c r="AB86" i="32" s="1"/>
  <c r="AO86" i="32" s="1"/>
  <c r="AA86" i="32"/>
  <c r="AC86" i="32" s="1"/>
  <c r="AP86" i="32" s="1"/>
  <c r="Z118" i="32"/>
  <c r="AB118" i="32" s="1"/>
  <c r="AO118" i="32" s="1"/>
  <c r="AA118" i="32"/>
  <c r="AC118" i="32" s="1"/>
  <c r="AP118" i="32" s="1"/>
  <c r="Z150" i="32"/>
  <c r="AB150" i="32" s="1"/>
  <c r="AO150" i="32" s="1"/>
  <c r="AA150" i="32"/>
  <c r="AC150" i="32" s="1"/>
  <c r="AP150" i="32" s="1"/>
  <c r="Z18" i="32"/>
  <c r="AB18" i="32" s="1"/>
  <c r="AO18" i="32" s="1"/>
  <c r="AA18" i="32"/>
  <c r="AC18" i="32" s="1"/>
  <c r="AP18" i="32" s="1"/>
  <c r="AA39" i="32"/>
  <c r="AC39" i="32" s="1"/>
  <c r="AP39" i="32" s="1"/>
  <c r="Z39" i="32"/>
  <c r="AB39" i="32" s="1"/>
  <c r="AO39" i="32" s="1"/>
  <c r="Z58" i="32"/>
  <c r="AB58" i="32" s="1"/>
  <c r="AO58" i="32" s="1"/>
  <c r="AA58" i="32"/>
  <c r="AC58" i="32" s="1"/>
  <c r="AP58" i="32" s="1"/>
  <c r="Z82" i="32"/>
  <c r="AB82" i="32" s="1"/>
  <c r="AO82" i="32" s="1"/>
  <c r="AA82" i="32"/>
  <c r="AC82" i="32" s="1"/>
  <c r="AP82" i="32" s="1"/>
  <c r="Z114" i="32"/>
  <c r="AB114" i="32" s="1"/>
  <c r="AO114" i="32" s="1"/>
  <c r="AA114" i="32"/>
  <c r="AC114" i="32" s="1"/>
  <c r="AP114" i="32" s="1"/>
  <c r="Z146" i="32"/>
  <c r="AB146" i="32" s="1"/>
  <c r="AO146" i="32" s="1"/>
  <c r="AA146" i="32"/>
  <c r="AC146" i="32" s="1"/>
  <c r="AP146" i="32" s="1"/>
  <c r="AA6" i="32"/>
  <c r="AC6" i="32" s="1"/>
  <c r="AP6" i="32" s="1"/>
  <c r="Z6" i="32"/>
  <c r="AB6" i="32" s="1"/>
  <c r="AO6" i="32" s="1"/>
  <c r="Z19" i="32"/>
  <c r="AB19" i="32" s="1"/>
  <c r="AO19" i="32" s="1"/>
  <c r="AA19" i="32"/>
  <c r="AC19" i="32" s="1"/>
  <c r="AP19" i="32" s="1"/>
  <c r="AA43" i="32"/>
  <c r="AC43" i="32" s="1"/>
  <c r="AP43" i="32" s="1"/>
  <c r="Z43" i="32"/>
  <c r="AB43" i="32" s="1"/>
  <c r="AO43" i="32" s="1"/>
  <c r="Z62" i="32"/>
  <c r="AB62" i="32" s="1"/>
  <c r="AO62" i="32" s="1"/>
  <c r="AA62" i="32"/>
  <c r="AC62" i="32" s="1"/>
  <c r="AP62" i="32" s="1"/>
  <c r="AA95" i="32"/>
  <c r="AC95" i="32" s="1"/>
  <c r="AP95" i="32" s="1"/>
  <c r="Z95" i="32"/>
  <c r="AB95" i="32" s="1"/>
  <c r="AO95" i="32" s="1"/>
  <c r="AA127" i="32"/>
  <c r="AC127" i="32" s="1"/>
  <c r="AP127" i="32" s="1"/>
  <c r="Z127" i="32"/>
  <c r="AB127" i="32" s="1"/>
  <c r="AO127" i="32" s="1"/>
  <c r="AA159" i="32"/>
  <c r="AC159" i="32" s="1"/>
  <c r="AP159" i="32" s="1"/>
  <c r="Z159" i="32"/>
  <c r="AB159" i="32" s="1"/>
  <c r="AO159" i="32" s="1"/>
  <c r="AA85" i="32"/>
  <c r="AC85" i="32" s="1"/>
  <c r="AP85" i="32" s="1"/>
  <c r="Z85" i="32"/>
  <c r="AB85" i="32" s="1"/>
  <c r="AO85" i="32" s="1"/>
  <c r="AA101" i="32"/>
  <c r="AC101" i="32" s="1"/>
  <c r="AP101" i="32" s="1"/>
  <c r="Z101" i="32"/>
  <c r="AB101" i="32" s="1"/>
  <c r="AO101" i="32" s="1"/>
  <c r="AA117" i="32"/>
  <c r="AC117" i="32" s="1"/>
  <c r="AP117" i="32" s="1"/>
  <c r="Z117" i="32"/>
  <c r="AB117" i="32" s="1"/>
  <c r="AO117" i="32" s="1"/>
  <c r="AA133" i="32"/>
  <c r="AC133" i="32" s="1"/>
  <c r="AP133" i="32" s="1"/>
  <c r="Z133" i="32"/>
  <c r="AB133" i="32" s="1"/>
  <c r="AO133" i="32" s="1"/>
  <c r="AA149" i="32"/>
  <c r="AC149" i="32" s="1"/>
  <c r="AP149" i="32" s="1"/>
  <c r="Z149" i="32"/>
  <c r="AB149" i="32" s="1"/>
  <c r="AO149" i="32" s="1"/>
  <c r="AA165" i="32"/>
  <c r="AC165" i="32" s="1"/>
  <c r="AP165" i="32" s="1"/>
  <c r="Z165" i="32"/>
  <c r="AB165" i="32" s="1"/>
  <c r="AO165" i="32" s="1"/>
  <c r="AA15" i="32"/>
  <c r="AC15" i="32" s="1"/>
  <c r="AP15" i="32" s="1"/>
  <c r="Z15" i="32"/>
  <c r="AB15" i="32" s="1"/>
  <c r="AO15" i="32" s="1"/>
  <c r="AA28" i="32"/>
  <c r="AC28" i="32" s="1"/>
  <c r="AP28" i="32" s="1"/>
  <c r="Z28" i="32"/>
  <c r="AB28" i="32" s="1"/>
  <c r="AO28" i="32" s="1"/>
  <c r="AA44" i="32"/>
  <c r="AC44" i="32" s="1"/>
  <c r="AP44" i="32" s="1"/>
  <c r="Z44" i="32"/>
  <c r="AB44" i="32" s="1"/>
  <c r="AO44" i="32" s="1"/>
  <c r="AA60" i="32"/>
  <c r="AC60" i="32" s="1"/>
  <c r="AP60" i="32" s="1"/>
  <c r="Z60" i="32"/>
  <c r="AB60" i="32" s="1"/>
  <c r="AO60" i="32" s="1"/>
  <c r="AA76" i="32"/>
  <c r="AC76" i="32" s="1"/>
  <c r="AP76" i="32" s="1"/>
  <c r="Z76" i="32"/>
  <c r="AB76" i="32" s="1"/>
  <c r="AO76" i="32" s="1"/>
  <c r="AA92" i="32"/>
  <c r="AC92" i="32" s="1"/>
  <c r="AP92" i="32" s="1"/>
  <c r="Z92" i="32"/>
  <c r="AB92" i="32" s="1"/>
  <c r="AO92" i="32" s="1"/>
  <c r="AA108" i="32"/>
  <c r="AC108" i="32" s="1"/>
  <c r="AP108" i="32" s="1"/>
  <c r="Z108" i="32"/>
  <c r="AB108" i="32" s="1"/>
  <c r="AO108" i="32" s="1"/>
  <c r="AA124" i="32"/>
  <c r="AC124" i="32" s="1"/>
  <c r="AP124" i="32" s="1"/>
  <c r="Z124" i="32"/>
  <c r="AB124" i="32" s="1"/>
  <c r="AO124" i="32" s="1"/>
  <c r="AA140" i="32"/>
  <c r="AC140" i="32" s="1"/>
  <c r="AP140" i="32" s="1"/>
  <c r="Z140" i="32"/>
  <c r="AB140" i="32" s="1"/>
  <c r="AO140" i="32" s="1"/>
  <c r="AA156" i="32"/>
  <c r="AC156" i="32" s="1"/>
  <c r="AP156" i="32" s="1"/>
  <c r="Z156" i="32"/>
  <c r="AB156" i="32" s="1"/>
  <c r="AO156" i="32" s="1"/>
  <c r="AA172" i="32"/>
  <c r="AC172" i="32" s="1"/>
  <c r="AP172" i="32" s="1"/>
  <c r="Z172" i="32"/>
  <c r="AB172" i="32" s="1"/>
  <c r="AO172" i="32" s="1"/>
  <c r="AA14" i="39"/>
  <c r="AC14" i="39" s="1"/>
  <c r="AP14" i="39" s="1"/>
  <c r="Z14" i="39"/>
  <c r="AB14" i="39" s="1"/>
  <c r="AO14" i="39" s="1"/>
  <c r="Z20" i="39"/>
  <c r="AB20" i="39" s="1"/>
  <c r="AO20" i="39" s="1"/>
  <c r="AA20" i="39"/>
  <c r="AC20" i="39" s="1"/>
  <c r="AP20" i="39" s="1"/>
  <c r="AA27" i="39"/>
  <c r="AC27" i="39" s="1"/>
  <c r="AP27" i="39" s="1"/>
  <c r="Z27" i="39"/>
  <c r="AB27" i="39" s="1"/>
  <c r="AO27" i="39" s="1"/>
  <c r="Z26" i="39"/>
  <c r="AB26" i="39" s="1"/>
  <c r="AO26" i="39" s="1"/>
  <c r="AA26" i="39"/>
  <c r="AC26" i="39" s="1"/>
  <c r="AP26" i="39" s="1"/>
  <c r="AA5" i="39"/>
  <c r="AC5" i="39" s="1"/>
  <c r="Z5" i="39"/>
  <c r="AB5" i="39" s="1"/>
  <c r="AA22" i="39"/>
  <c r="AC22" i="39" s="1"/>
  <c r="AP22" i="39" s="1"/>
  <c r="Z22" i="39"/>
  <c r="AB22" i="39" s="1"/>
  <c r="AO22" i="39" s="1"/>
  <c r="AA9" i="39"/>
  <c r="AC9" i="39" s="1"/>
  <c r="AP9" i="39" s="1"/>
  <c r="Z9" i="39"/>
  <c r="AB9" i="39" s="1"/>
  <c r="AO9" i="39" s="1"/>
  <c r="AA25" i="39"/>
  <c r="AC25" i="39" s="1"/>
  <c r="AP25" i="39" s="1"/>
  <c r="Z25" i="39"/>
  <c r="AB25" i="39" s="1"/>
  <c r="AO25" i="39" s="1"/>
  <c r="AA41" i="39"/>
  <c r="AC41" i="39" s="1"/>
  <c r="AP41" i="39" s="1"/>
  <c r="Z41" i="39"/>
  <c r="AB41" i="39" s="1"/>
  <c r="AO41" i="39" s="1"/>
  <c r="AA15" i="39"/>
  <c r="AC15" i="39" s="1"/>
  <c r="AP15" i="39" s="1"/>
  <c r="Z15" i="39"/>
  <c r="AB15" i="39" s="1"/>
  <c r="AO15" i="39" s="1"/>
  <c r="AA28" i="39"/>
  <c r="AC28" i="39" s="1"/>
  <c r="AP28" i="39" s="1"/>
  <c r="Z28" i="39"/>
  <c r="AB28" i="39" s="1"/>
  <c r="AO28" i="39" s="1"/>
  <c r="AA44" i="39"/>
  <c r="AC44" i="39" s="1"/>
  <c r="AP44" i="39" s="1"/>
  <c r="Z44" i="39"/>
  <c r="AB44" i="39" s="1"/>
  <c r="AO44" i="39" s="1"/>
  <c r="Z16" i="34"/>
  <c r="AB16" i="34" s="1"/>
  <c r="AO16" i="34" s="1"/>
  <c r="AA16" i="34"/>
  <c r="AC16" i="34" s="1"/>
  <c r="AP16" i="34" s="1"/>
  <c r="Z23" i="34"/>
  <c r="AB23" i="34" s="1"/>
  <c r="AO23" i="34" s="1"/>
  <c r="AA23" i="34"/>
  <c r="AC23" i="34" s="1"/>
  <c r="AP23" i="34" s="1"/>
  <c r="AA18" i="34"/>
  <c r="AC18" i="34" s="1"/>
  <c r="AP18" i="34" s="1"/>
  <c r="Z18" i="34"/>
  <c r="AB18" i="34" s="1"/>
  <c r="AO18" i="34" s="1"/>
  <c r="AA21" i="34"/>
  <c r="AC21" i="34" s="1"/>
  <c r="AP21" i="34" s="1"/>
  <c r="Z21" i="34"/>
  <c r="AB21" i="34" s="1"/>
  <c r="AO21" i="34" s="1"/>
  <c r="AA19" i="34"/>
  <c r="AC19" i="34" s="1"/>
  <c r="AP19" i="34" s="1"/>
  <c r="Z19" i="34"/>
  <c r="AB19" i="34" s="1"/>
  <c r="AO19" i="34" s="1"/>
  <c r="Z16" i="3"/>
  <c r="AB16" i="3" s="1"/>
  <c r="AO16" i="3" s="1"/>
  <c r="AA16" i="3"/>
  <c r="AC16" i="3" s="1"/>
  <c r="AP16" i="3" s="1"/>
  <c r="AA8" i="3"/>
  <c r="AC8" i="3" s="1"/>
  <c r="AP8" i="3" s="1"/>
  <c r="Z8" i="3"/>
  <c r="AB8" i="3" s="1"/>
  <c r="AO8" i="3" s="1"/>
  <c r="AA21" i="3"/>
  <c r="AC21" i="3" s="1"/>
  <c r="AP21" i="3" s="1"/>
  <c r="Z21" i="3"/>
  <c r="AB21" i="3" s="1"/>
  <c r="AO21" i="3" s="1"/>
  <c r="AA11" i="3"/>
  <c r="AC11" i="3" s="1"/>
  <c r="AP11" i="3" s="1"/>
  <c r="Z11" i="3"/>
  <c r="AB11" i="3" s="1"/>
  <c r="AO11" i="3" s="1"/>
  <c r="Z20" i="37"/>
  <c r="AB20" i="37" s="1"/>
  <c r="AO20" i="37" s="1"/>
  <c r="AA20" i="37"/>
  <c r="AC20" i="37" s="1"/>
  <c r="AP20" i="37" s="1"/>
  <c r="Z11" i="37"/>
  <c r="AB11" i="37" s="1"/>
  <c r="AO11" i="37" s="1"/>
  <c r="AA11" i="37"/>
  <c r="AC11" i="37" s="1"/>
  <c r="AP11" i="37" s="1"/>
  <c r="Z7" i="37"/>
  <c r="AB7" i="37" s="1"/>
  <c r="AO7" i="37" s="1"/>
  <c r="AA7" i="37"/>
  <c r="AC7" i="37" s="1"/>
  <c r="AP7" i="37" s="1"/>
  <c r="AA21" i="37"/>
  <c r="AC21" i="37" s="1"/>
  <c r="AP21" i="37" s="1"/>
  <c r="Z21" i="37"/>
  <c r="AB21" i="37" s="1"/>
  <c r="AO21" i="37" s="1"/>
  <c r="AA17" i="37"/>
  <c r="AC17" i="37" s="1"/>
  <c r="AP17" i="37" s="1"/>
  <c r="Z17" i="37"/>
  <c r="AB17" i="37" s="1"/>
  <c r="AO17" i="37" s="1"/>
  <c r="AA16" i="37"/>
  <c r="AC16" i="37" s="1"/>
  <c r="AP16" i="37" s="1"/>
  <c r="Z16" i="37"/>
  <c r="AB16" i="37" s="1"/>
  <c r="AO16" i="37" s="1"/>
  <c r="Z18" i="52"/>
  <c r="AB18" i="52" s="1"/>
  <c r="AO18" i="52" s="1"/>
  <c r="AA18" i="52"/>
  <c r="AC18" i="52" s="1"/>
  <c r="AP18" i="52" s="1"/>
  <c r="AA23" i="52"/>
  <c r="AC23" i="52" s="1"/>
  <c r="AP23" i="52" s="1"/>
  <c r="Z23" i="52"/>
  <c r="AB23" i="52" s="1"/>
  <c r="AO23" i="52" s="1"/>
  <c r="AA12" i="52"/>
  <c r="AC12" i="52" s="1"/>
  <c r="AP12" i="52" s="1"/>
  <c r="Z12" i="52"/>
  <c r="AB12" i="52" s="1"/>
  <c r="AO12" i="52" s="1"/>
  <c r="AA11" i="52"/>
  <c r="AC11" i="52" s="1"/>
  <c r="AP11" i="52" s="1"/>
  <c r="Z11" i="52"/>
  <c r="AB11" i="52" s="1"/>
  <c r="AO11" i="52" s="1"/>
  <c r="Z14" i="52"/>
  <c r="AB14" i="52" s="1"/>
  <c r="AO14" i="52" s="1"/>
  <c r="AA14" i="52"/>
  <c r="AC14" i="52" s="1"/>
  <c r="AP14" i="52" s="1"/>
  <c r="AA23" i="74"/>
  <c r="AC23" i="74" s="1"/>
  <c r="AP23" i="74" s="1"/>
  <c r="Z23" i="74"/>
  <c r="AB23" i="74" s="1"/>
  <c r="AO23" i="74" s="1"/>
  <c r="AA6" i="74"/>
  <c r="AC6" i="74" s="1"/>
  <c r="AP6" i="74" s="1"/>
  <c r="Z6" i="74"/>
  <c r="AB6" i="74" s="1"/>
  <c r="AO6" i="74" s="1"/>
  <c r="Z22" i="74"/>
  <c r="AB22" i="74" s="1"/>
  <c r="AO22" i="74" s="1"/>
  <c r="AA22" i="74"/>
  <c r="AC22" i="74" s="1"/>
  <c r="AP22" i="74" s="1"/>
  <c r="Z7" i="74"/>
  <c r="AB7" i="74" s="1"/>
  <c r="AO7" i="74" s="1"/>
  <c r="AA7" i="74"/>
  <c r="AC7" i="74" s="1"/>
  <c r="AP7" i="74" s="1"/>
  <c r="AA20" i="74"/>
  <c r="AC20" i="74" s="1"/>
  <c r="AP20" i="74" s="1"/>
  <c r="Z20" i="74"/>
  <c r="AB20" i="74" s="1"/>
  <c r="AO20" i="74" s="1"/>
  <c r="AA18" i="74"/>
  <c r="AC18" i="74" s="1"/>
  <c r="AP18" i="74" s="1"/>
  <c r="Z18" i="74"/>
  <c r="AB18" i="74" s="1"/>
  <c r="AO18" i="74" s="1"/>
  <c r="AA13" i="19"/>
  <c r="AC13" i="19" s="1"/>
  <c r="AP13" i="19" s="1"/>
  <c r="Z13" i="19"/>
  <c r="AB13" i="19" s="1"/>
  <c r="AO13" i="19" s="1"/>
  <c r="Z11" i="19"/>
  <c r="AB11" i="19" s="1"/>
  <c r="AO11" i="19" s="1"/>
  <c r="AA11" i="19"/>
  <c r="AC11" i="19" s="1"/>
  <c r="AP11" i="19" s="1"/>
  <c r="Z19" i="19"/>
  <c r="AB19" i="19" s="1"/>
  <c r="AO19" i="19" s="1"/>
  <c r="AA19" i="19"/>
  <c r="AC19" i="19" s="1"/>
  <c r="AP19" i="19" s="1"/>
  <c r="AA17" i="19"/>
  <c r="AC17" i="19" s="1"/>
  <c r="AP17" i="19" s="1"/>
  <c r="Z17" i="19"/>
  <c r="AB17" i="19" s="1"/>
  <c r="AO17" i="19" s="1"/>
  <c r="AA16" i="19"/>
  <c r="AC16" i="19" s="1"/>
  <c r="AP16" i="19" s="1"/>
  <c r="Z16" i="19"/>
  <c r="AB16" i="19" s="1"/>
  <c r="AO16" i="19" s="1"/>
  <c r="Z213" i="65"/>
  <c r="AB213" i="65" s="1"/>
  <c r="AO213" i="65" s="1"/>
  <c r="AC213" i="65"/>
  <c r="AP213" i="65" s="1"/>
  <c r="AC184" i="65"/>
  <c r="AP184" i="65" s="1"/>
  <c r="Z184" i="65"/>
  <c r="AB184" i="65" s="1"/>
  <c r="AO184" i="65" s="1"/>
  <c r="AC200" i="65"/>
  <c r="AP200" i="65" s="1"/>
  <c r="Z200" i="65"/>
  <c r="AB200" i="65" s="1"/>
  <c r="AO200" i="65" s="1"/>
  <c r="AC216" i="65"/>
  <c r="AP216" i="65" s="1"/>
  <c r="Z216" i="65"/>
  <c r="AB216" i="65" s="1"/>
  <c r="AO216" i="65" s="1"/>
  <c r="AC232" i="65"/>
  <c r="AP232" i="65" s="1"/>
  <c r="Z232" i="65"/>
  <c r="AB232" i="65" s="1"/>
  <c r="AO232" i="65" s="1"/>
  <c r="Z205" i="65"/>
  <c r="AB205" i="65" s="1"/>
  <c r="AO205" i="65" s="1"/>
  <c r="AC205" i="65"/>
  <c r="AP205" i="65" s="1"/>
  <c r="AC191" i="65"/>
  <c r="AP191" i="65" s="1"/>
  <c r="Z191" i="65"/>
  <c r="AB191" i="65" s="1"/>
  <c r="AO191" i="65" s="1"/>
  <c r="Z207" i="65"/>
  <c r="AB207" i="65" s="1"/>
  <c r="AO207" i="65" s="1"/>
  <c r="AC207" i="65"/>
  <c r="AP207" i="65" s="1"/>
  <c r="AC223" i="65"/>
  <c r="AP223" i="65" s="1"/>
  <c r="Z223" i="65"/>
  <c r="AB223" i="65" s="1"/>
  <c r="AO223" i="65" s="1"/>
  <c r="AA30" i="28"/>
  <c r="AC30" i="28" s="1"/>
  <c r="AP30" i="28" s="1"/>
  <c r="Z30" i="28"/>
  <c r="AB30" i="28" s="1"/>
  <c r="AO30" i="28" s="1"/>
  <c r="AA19" i="28"/>
  <c r="AC19" i="28" s="1"/>
  <c r="AP19" i="28" s="1"/>
  <c r="Z19" i="28"/>
  <c r="AB19" i="28" s="1"/>
  <c r="AO19" i="28" s="1"/>
  <c r="AA26" i="28"/>
  <c r="AC26" i="28" s="1"/>
  <c r="AP26" i="28" s="1"/>
  <c r="Z26" i="28"/>
  <c r="AB26" i="28" s="1"/>
  <c r="AO26" i="28" s="1"/>
  <c r="Z25" i="28"/>
  <c r="AB25" i="28" s="1"/>
  <c r="AO25" i="28" s="1"/>
  <c r="AA25" i="28"/>
  <c r="AC25" i="28" s="1"/>
  <c r="AP25" i="28" s="1"/>
  <c r="Z15" i="28"/>
  <c r="AB15" i="28" s="1"/>
  <c r="AO15" i="28" s="1"/>
  <c r="AA15" i="28"/>
  <c r="AC15" i="28" s="1"/>
  <c r="AP15" i="28" s="1"/>
  <c r="Z28" i="28"/>
  <c r="AB28" i="28" s="1"/>
  <c r="AO28" i="28" s="1"/>
  <c r="AA28" i="28"/>
  <c r="AC28" i="28" s="1"/>
  <c r="AP28" i="28" s="1"/>
  <c r="Z44" i="28"/>
  <c r="AB44" i="28" s="1"/>
  <c r="AO44" i="28" s="1"/>
  <c r="AA44" i="28"/>
  <c r="AC44" i="28" s="1"/>
  <c r="AP44" i="28" s="1"/>
  <c r="AA13" i="28"/>
  <c r="AC13" i="28" s="1"/>
  <c r="AP13" i="28" s="1"/>
  <c r="Z13" i="28"/>
  <c r="AB13" i="28" s="1"/>
  <c r="AO13" i="28" s="1"/>
  <c r="AA22" i="28"/>
  <c r="AC22" i="28" s="1"/>
  <c r="AP22" i="28" s="1"/>
  <c r="Z22" i="28"/>
  <c r="AB22" i="28" s="1"/>
  <c r="AO22" i="28" s="1"/>
  <c r="AA39" i="28"/>
  <c r="AC39" i="28" s="1"/>
  <c r="AP39" i="28" s="1"/>
  <c r="Z39" i="28"/>
  <c r="AB39" i="28" s="1"/>
  <c r="AO39" i="28" s="1"/>
  <c r="AA6" i="70"/>
  <c r="AC6" i="70" s="1"/>
  <c r="AP6" i="70" s="1"/>
  <c r="Z6" i="70"/>
  <c r="AB6" i="70" s="1"/>
  <c r="AO6" i="70" s="1"/>
  <c r="Z20" i="70"/>
  <c r="AB20" i="70" s="1"/>
  <c r="AO20" i="70" s="1"/>
  <c r="AA20" i="70"/>
  <c r="AC20" i="70" s="1"/>
  <c r="AP20" i="70" s="1"/>
  <c r="AA21" i="70"/>
  <c r="AC21" i="70" s="1"/>
  <c r="AP21" i="70" s="1"/>
  <c r="Z21" i="70"/>
  <c r="AB21" i="70" s="1"/>
  <c r="AO21" i="70" s="1"/>
  <c r="Z12" i="70"/>
  <c r="AB12" i="70" s="1"/>
  <c r="AO12" i="70" s="1"/>
  <c r="AA12" i="70"/>
  <c r="AC12" i="70" s="1"/>
  <c r="AP12" i="70" s="1"/>
  <c r="AA10" i="70"/>
  <c r="AC10" i="70" s="1"/>
  <c r="AP10" i="70" s="1"/>
  <c r="Z10" i="70"/>
  <c r="AB10" i="70" s="1"/>
  <c r="AO10" i="70" s="1"/>
  <c r="AA11" i="38"/>
  <c r="AC11" i="38" s="1"/>
  <c r="AP11" i="38" s="1"/>
  <c r="Z11" i="38"/>
  <c r="AB11" i="38" s="1"/>
  <c r="AO11" i="38" s="1"/>
  <c r="Z17" i="38"/>
  <c r="AB17" i="38" s="1"/>
  <c r="AO17" i="38" s="1"/>
  <c r="AA17" i="38"/>
  <c r="AC17" i="38" s="1"/>
  <c r="AP17" i="38" s="1"/>
  <c r="Z16" i="38"/>
  <c r="AB16" i="38" s="1"/>
  <c r="AO16" i="38" s="1"/>
  <c r="AA16" i="38"/>
  <c r="AC16" i="38" s="1"/>
  <c r="AP16" i="38" s="1"/>
  <c r="AA8" i="38"/>
  <c r="AC8" i="38" s="1"/>
  <c r="AP8" i="38" s="1"/>
  <c r="Z8" i="38"/>
  <c r="AB8" i="38" s="1"/>
  <c r="AO8" i="38" s="1"/>
  <c r="AA21" i="38"/>
  <c r="AC21" i="38" s="1"/>
  <c r="AP21" i="38" s="1"/>
  <c r="Z21" i="38"/>
  <c r="AB21" i="38" s="1"/>
  <c r="AO21" i="38" s="1"/>
  <c r="Z25" i="24"/>
  <c r="AB25" i="24" s="1"/>
  <c r="AO25" i="24" s="1"/>
  <c r="AA25" i="24"/>
  <c r="AC25" i="24" s="1"/>
  <c r="AP25" i="24" s="1"/>
  <c r="AA20" i="24"/>
  <c r="AC20" i="24" s="1"/>
  <c r="AP20" i="24" s="1"/>
  <c r="Z20" i="24"/>
  <c r="AB20" i="24" s="1"/>
  <c r="AO20" i="24" s="1"/>
  <c r="Z17" i="24"/>
  <c r="AB17" i="24" s="1"/>
  <c r="AO17" i="24" s="1"/>
  <c r="AA17" i="24"/>
  <c r="AC17" i="24" s="1"/>
  <c r="AA16" i="24"/>
  <c r="AC16" i="24" s="1"/>
  <c r="AP16" i="24" s="1"/>
  <c r="Z16" i="24"/>
  <c r="AB16" i="24" s="1"/>
  <c r="AO16" i="24" s="1"/>
  <c r="AA5" i="24"/>
  <c r="AC5" i="24" s="1"/>
  <c r="Z5" i="24"/>
  <c r="AB5" i="24" s="1"/>
  <c r="AA7" i="59"/>
  <c r="AC7" i="59" s="1"/>
  <c r="AP7" i="59" s="1"/>
  <c r="Z7" i="59"/>
  <c r="AB7" i="59" s="1"/>
  <c r="AO7" i="59" s="1"/>
  <c r="Z22" i="59"/>
  <c r="AB22" i="59" s="1"/>
  <c r="AO22" i="59" s="1"/>
  <c r="AA22" i="59"/>
  <c r="AC22" i="59" s="1"/>
  <c r="AP22" i="59" s="1"/>
  <c r="AA11" i="59"/>
  <c r="AC11" i="59" s="1"/>
  <c r="AP11" i="59" s="1"/>
  <c r="Z11" i="59"/>
  <c r="AB11" i="59" s="1"/>
  <c r="AO11" i="59" s="1"/>
  <c r="Z10" i="59"/>
  <c r="AB10" i="59" s="1"/>
  <c r="AO10" i="59" s="1"/>
  <c r="AA10" i="59"/>
  <c r="AC10" i="59" s="1"/>
  <c r="AP10" i="59" s="1"/>
  <c r="AA14" i="58"/>
  <c r="AC14" i="58" s="1"/>
  <c r="AP14" i="58" s="1"/>
  <c r="Z14" i="58"/>
  <c r="AB14" i="58" s="1"/>
  <c r="AO14" i="58" s="1"/>
  <c r="Z19" i="58"/>
  <c r="AB19" i="58" s="1"/>
  <c r="AO19" i="58" s="1"/>
  <c r="AA19" i="58"/>
  <c r="AC19" i="58" s="1"/>
  <c r="AP19" i="58" s="1"/>
  <c r="AA5" i="58"/>
  <c r="AC5" i="58" s="1"/>
  <c r="Z5" i="58"/>
  <c r="AB5" i="58" s="1"/>
  <c r="AA22" i="58"/>
  <c r="AC22" i="58" s="1"/>
  <c r="AP22" i="58" s="1"/>
  <c r="Z22" i="58"/>
  <c r="AB22" i="58" s="1"/>
  <c r="AO22" i="58" s="1"/>
  <c r="AA18" i="58"/>
  <c r="AC18" i="58" s="1"/>
  <c r="AP18" i="58" s="1"/>
  <c r="Z18" i="58"/>
  <c r="AB18" i="58" s="1"/>
  <c r="AO18" i="58" s="1"/>
  <c r="AA23" i="58"/>
  <c r="AC23" i="58" s="1"/>
  <c r="AP23" i="58" s="1"/>
  <c r="Z23" i="58"/>
  <c r="AB23" i="58" s="1"/>
  <c r="AO23" i="58" s="1"/>
  <c r="Z8" i="69"/>
  <c r="AB8" i="69" s="1"/>
  <c r="AO8" i="69" s="1"/>
  <c r="AA8" i="69"/>
  <c r="AC8" i="69" s="1"/>
  <c r="AP8" i="69" s="1"/>
  <c r="Z35" i="69"/>
  <c r="AB35" i="69" s="1"/>
  <c r="AO35" i="69" s="1"/>
  <c r="AA35" i="69"/>
  <c r="AC35" i="69" s="1"/>
  <c r="AP35" i="69" s="1"/>
  <c r="Z67" i="69"/>
  <c r="AB67" i="69" s="1"/>
  <c r="AO67" i="69" s="1"/>
  <c r="AA67" i="69"/>
  <c r="AC67" i="69" s="1"/>
  <c r="AP67" i="69" s="1"/>
  <c r="Z13" i="69"/>
  <c r="AB13" i="69" s="1"/>
  <c r="AO13" i="69" s="1"/>
  <c r="AA13" i="69"/>
  <c r="AC13" i="69" s="1"/>
  <c r="AP13" i="69" s="1"/>
  <c r="AA36" i="69"/>
  <c r="AC36" i="69" s="1"/>
  <c r="AP36" i="69" s="1"/>
  <c r="Z36" i="69"/>
  <c r="AB36" i="69" s="1"/>
  <c r="AO36" i="69" s="1"/>
  <c r="Z7" i="69"/>
  <c r="AB7" i="69" s="1"/>
  <c r="AO7" i="69" s="1"/>
  <c r="AA7" i="69"/>
  <c r="AC7" i="69" s="1"/>
  <c r="AP7" i="69" s="1"/>
  <c r="AA19" i="69"/>
  <c r="AC19" i="69" s="1"/>
  <c r="AP19" i="69" s="1"/>
  <c r="Z19" i="69"/>
  <c r="AB19" i="69" s="1"/>
  <c r="AO19" i="69" s="1"/>
  <c r="AA34" i="69"/>
  <c r="AC34" i="69" s="1"/>
  <c r="AP34" i="69" s="1"/>
  <c r="Z34" i="69"/>
  <c r="AB34" i="69" s="1"/>
  <c r="AO34" i="69" s="1"/>
  <c r="AA66" i="69"/>
  <c r="AC66" i="69" s="1"/>
  <c r="AP66" i="69" s="1"/>
  <c r="Z66" i="69"/>
  <c r="AB66" i="69" s="1"/>
  <c r="AO66" i="69" s="1"/>
  <c r="AA18" i="69"/>
  <c r="AC18" i="69" s="1"/>
  <c r="AP18" i="69" s="1"/>
  <c r="Z18" i="69"/>
  <c r="AB18" i="69" s="1"/>
  <c r="AO18" i="69" s="1"/>
  <c r="AA162" i="15"/>
  <c r="AC162" i="15" s="1"/>
  <c r="AP162" i="15" s="1"/>
  <c r="Z162" i="15"/>
  <c r="AB162" i="15" s="1"/>
  <c r="AO162" i="15" s="1"/>
  <c r="AA19" i="56"/>
  <c r="AC19" i="56" s="1"/>
  <c r="AP19" i="56" s="1"/>
  <c r="Z19" i="56"/>
  <c r="AB19" i="56" s="1"/>
  <c r="AO19" i="56" s="1"/>
  <c r="AA6" i="56"/>
  <c r="AC6" i="56" s="1"/>
  <c r="AP6" i="56" s="1"/>
  <c r="Z6" i="56"/>
  <c r="AB6" i="56" s="1"/>
  <c r="AO6" i="56" s="1"/>
  <c r="Z10" i="56"/>
  <c r="AB10" i="56" s="1"/>
  <c r="AO10" i="56" s="1"/>
  <c r="AA10" i="56"/>
  <c r="AC10" i="56" s="1"/>
  <c r="AP10" i="56" s="1"/>
  <c r="AA5" i="56"/>
  <c r="AC5" i="56" s="1"/>
  <c r="Z5" i="56"/>
  <c r="AB5" i="56" s="1"/>
  <c r="Z9" i="41"/>
  <c r="AB9" i="41" s="1"/>
  <c r="AO9" i="41" s="1"/>
  <c r="AA9" i="41"/>
  <c r="AC9" i="41" s="1"/>
  <c r="AP9" i="41" s="1"/>
  <c r="Z20" i="41"/>
  <c r="AB20" i="41" s="1"/>
  <c r="AO20" i="41" s="1"/>
  <c r="AA20" i="41"/>
  <c r="AC20" i="41" s="1"/>
  <c r="AP20" i="41" s="1"/>
  <c r="AA14" i="41"/>
  <c r="AC14" i="41" s="1"/>
  <c r="AP14" i="41" s="1"/>
  <c r="Z14" i="41"/>
  <c r="AB14" i="41" s="1"/>
  <c r="AO14" i="41" s="1"/>
  <c r="AA13" i="41"/>
  <c r="AC13" i="41" s="1"/>
  <c r="AP13" i="41" s="1"/>
  <c r="Z13" i="41"/>
  <c r="AB13" i="41" s="1"/>
  <c r="AO13" i="41" s="1"/>
  <c r="AA6" i="41"/>
  <c r="AC6" i="41" s="1"/>
  <c r="AP6" i="41" s="1"/>
  <c r="Z6" i="41"/>
  <c r="AB6" i="41" s="1"/>
  <c r="AO6" i="41" s="1"/>
  <c r="AA24" i="41"/>
  <c r="AC24" i="41" s="1"/>
  <c r="AP24" i="41" s="1"/>
  <c r="Z24" i="41"/>
  <c r="AB24" i="41" s="1"/>
  <c r="AO24" i="41" s="1"/>
  <c r="AA15" i="26"/>
  <c r="AC15" i="26" s="1"/>
  <c r="AP15" i="26" s="1"/>
  <c r="Z15" i="26"/>
  <c r="AB15" i="26" s="1"/>
  <c r="AO15" i="26" s="1"/>
  <c r="Z5" i="26"/>
  <c r="AB5" i="26" s="1"/>
  <c r="AA5" i="26"/>
  <c r="AC5" i="26" s="1"/>
  <c r="AA24" i="26"/>
  <c r="AC24" i="26" s="1"/>
  <c r="AP24" i="26" s="1"/>
  <c r="Z24" i="26"/>
  <c r="AB24" i="26" s="1"/>
  <c r="AO24" i="26" s="1"/>
  <c r="AA19" i="26"/>
  <c r="AC19" i="26" s="1"/>
  <c r="AP19" i="26" s="1"/>
  <c r="Z19" i="26"/>
  <c r="AB19" i="26" s="1"/>
  <c r="AO19" i="26" s="1"/>
  <c r="AA17" i="26"/>
  <c r="AC17" i="26" s="1"/>
  <c r="AP17" i="26" s="1"/>
  <c r="Z17" i="26"/>
  <c r="AB17" i="26" s="1"/>
  <c r="AO17" i="26" s="1"/>
  <c r="Z39" i="22"/>
  <c r="AB39" i="22" s="1"/>
  <c r="AO39" i="22" s="1"/>
  <c r="AA39" i="22"/>
  <c r="AC39" i="22" s="1"/>
  <c r="AP39" i="22" s="1"/>
  <c r="AA14" i="49"/>
  <c r="AC14" i="49" s="1"/>
  <c r="AP14" i="49" s="1"/>
  <c r="Z14" i="49"/>
  <c r="AB14" i="49" s="1"/>
  <c r="AO14" i="49" s="1"/>
  <c r="Z11" i="49"/>
  <c r="AB11" i="49" s="1"/>
  <c r="AO11" i="49" s="1"/>
  <c r="AA11" i="49"/>
  <c r="AC11" i="49" s="1"/>
  <c r="AP11" i="49" s="1"/>
  <c r="AA10" i="49"/>
  <c r="AC10" i="49" s="1"/>
  <c r="AP10" i="49" s="1"/>
  <c r="Z10" i="49"/>
  <c r="AB10" i="49" s="1"/>
  <c r="AO10" i="49" s="1"/>
  <c r="AA15" i="49"/>
  <c r="AC15" i="49" s="1"/>
  <c r="AP15" i="49" s="1"/>
  <c r="Z15" i="49"/>
  <c r="AB15" i="49" s="1"/>
  <c r="AO15" i="49" s="1"/>
  <c r="AA17" i="45"/>
  <c r="AC17" i="45" s="1"/>
  <c r="AP17" i="45" s="1"/>
  <c r="Z17" i="45"/>
  <c r="AB17" i="45" s="1"/>
  <c r="AO17" i="45" s="1"/>
  <c r="Z15" i="45"/>
  <c r="AB15" i="45" s="1"/>
  <c r="AO15" i="45" s="1"/>
  <c r="AA15" i="45"/>
  <c r="AC15" i="45" s="1"/>
  <c r="AP15" i="45" s="1"/>
  <c r="AA13" i="45"/>
  <c r="AC13" i="45" s="1"/>
  <c r="AP13" i="45" s="1"/>
  <c r="Z13" i="45"/>
  <c r="AB13" i="45" s="1"/>
  <c r="AO13" i="45" s="1"/>
  <c r="Z22" i="45"/>
  <c r="AB22" i="45" s="1"/>
  <c r="AO22" i="45" s="1"/>
  <c r="AA22" i="45"/>
  <c r="AC22" i="45" s="1"/>
  <c r="AP22" i="45" s="1"/>
  <c r="AA19" i="45"/>
  <c r="AC19" i="45" s="1"/>
  <c r="AP19" i="45" s="1"/>
  <c r="Z19" i="45"/>
  <c r="AB19" i="45" s="1"/>
  <c r="AO19" i="45" s="1"/>
  <c r="AA9" i="21"/>
  <c r="AC9" i="21" s="1"/>
  <c r="AP9" i="21" s="1"/>
  <c r="Z9" i="21"/>
  <c r="AB9" i="21" s="1"/>
  <c r="AO9" i="21" s="1"/>
  <c r="AA10" i="21"/>
  <c r="AC10" i="21" s="1"/>
  <c r="AP10" i="21" s="1"/>
  <c r="Z10" i="21"/>
  <c r="AB10" i="21" s="1"/>
  <c r="AO10" i="21" s="1"/>
  <c r="AA8" i="21"/>
  <c r="AC8" i="21" s="1"/>
  <c r="AP8" i="21" s="1"/>
  <c r="Z8" i="21"/>
  <c r="AB8" i="21" s="1"/>
  <c r="AO8" i="21" s="1"/>
  <c r="AA21" i="21"/>
  <c r="AC21" i="21" s="1"/>
  <c r="AP21" i="21" s="1"/>
  <c r="Z21" i="21"/>
  <c r="AB21" i="21" s="1"/>
  <c r="AO21" i="21" s="1"/>
  <c r="AA12" i="21"/>
  <c r="AC12" i="21" s="1"/>
  <c r="AP12" i="21" s="1"/>
  <c r="Z12" i="21"/>
  <c r="AB12" i="21" s="1"/>
  <c r="AO12" i="21" s="1"/>
  <c r="Z12" i="54"/>
  <c r="AB12" i="54" s="1"/>
  <c r="AO12" i="54" s="1"/>
  <c r="AA12" i="54"/>
  <c r="AC12" i="54" s="1"/>
  <c r="AP12" i="54" s="1"/>
  <c r="AA15" i="54"/>
  <c r="AC15" i="54" s="1"/>
  <c r="AP15" i="54" s="1"/>
  <c r="Z15" i="54"/>
  <c r="AB15" i="54" s="1"/>
  <c r="AO15" i="54" s="1"/>
  <c r="Z13" i="54"/>
  <c r="AB13" i="54" s="1"/>
  <c r="AO13" i="54" s="1"/>
  <c r="AA13" i="54"/>
  <c r="AC13" i="54" s="1"/>
  <c r="AP13" i="54" s="1"/>
  <c r="Z8" i="54"/>
  <c r="AB8" i="54" s="1"/>
  <c r="AO8" i="54" s="1"/>
  <c r="AA8" i="54"/>
  <c r="AC8" i="54" s="1"/>
  <c r="AP8" i="54" s="1"/>
  <c r="AA23" i="54"/>
  <c r="AC23" i="54" s="1"/>
  <c r="AP23" i="54" s="1"/>
  <c r="Z23" i="54"/>
  <c r="AB23" i="54" s="1"/>
  <c r="AO23" i="54" s="1"/>
  <c r="AA18" i="54"/>
  <c r="AC18" i="54" s="1"/>
  <c r="AP18" i="54" s="1"/>
  <c r="Z18" i="54"/>
  <c r="AB18" i="54" s="1"/>
  <c r="AO18" i="54" s="1"/>
  <c r="Z11" i="72"/>
  <c r="AB11" i="72" s="1"/>
  <c r="AO11" i="72" s="1"/>
  <c r="AA11" i="72"/>
  <c r="AC11" i="72" s="1"/>
  <c r="AP11" i="72" s="1"/>
  <c r="AA13" i="72"/>
  <c r="AC13" i="72" s="1"/>
  <c r="AP13" i="72" s="1"/>
  <c r="Z13" i="72"/>
  <c r="AB13" i="72" s="1"/>
  <c r="AO13" i="72" s="1"/>
  <c r="Z7" i="72"/>
  <c r="AB7" i="72" s="1"/>
  <c r="AO7" i="72" s="1"/>
  <c r="AA7" i="72"/>
  <c r="AC7" i="72" s="1"/>
  <c r="AP7" i="72" s="1"/>
  <c r="Z18" i="72"/>
  <c r="AB18" i="72" s="1"/>
  <c r="AO18" i="72" s="1"/>
  <c r="AA18" i="72"/>
  <c r="AC18" i="72" s="1"/>
  <c r="AP18" i="72" s="1"/>
  <c r="AA23" i="72"/>
  <c r="AC23" i="72" s="1"/>
  <c r="AP23" i="72" s="1"/>
  <c r="Z23" i="72"/>
  <c r="AB23" i="72" s="1"/>
  <c r="AO23" i="72" s="1"/>
  <c r="AA21" i="55"/>
  <c r="AC21" i="55" s="1"/>
  <c r="AP21" i="55" s="1"/>
  <c r="Z21" i="55"/>
  <c r="AB21" i="55" s="1"/>
  <c r="AO21" i="55" s="1"/>
  <c r="AA18" i="55"/>
  <c r="AC18" i="55" s="1"/>
  <c r="AP18" i="55" s="1"/>
  <c r="Z18" i="55"/>
  <c r="AB18" i="55" s="1"/>
  <c r="AO18" i="55" s="1"/>
  <c r="AA8" i="55"/>
  <c r="AC8" i="55" s="1"/>
  <c r="AP8" i="55" s="1"/>
  <c r="Z8" i="55"/>
  <c r="AB8" i="55" s="1"/>
  <c r="AO8" i="55" s="1"/>
  <c r="Z6" i="55"/>
  <c r="AB6" i="55" s="1"/>
  <c r="AO6" i="55" s="1"/>
  <c r="AA6" i="55"/>
  <c r="AC6" i="55" s="1"/>
  <c r="AP6" i="55" s="1"/>
  <c r="Z23" i="55"/>
  <c r="AB23" i="55" s="1"/>
  <c r="AO23" i="55" s="1"/>
  <c r="AA23" i="55"/>
  <c r="AC23" i="55" s="1"/>
  <c r="AP23" i="55" s="1"/>
  <c r="AA14" i="53"/>
  <c r="AC14" i="53" s="1"/>
  <c r="AP14" i="53" s="1"/>
  <c r="Z14" i="53"/>
  <c r="AB14" i="53" s="1"/>
  <c r="AO14" i="53" s="1"/>
  <c r="AA20" i="53"/>
  <c r="AC20" i="53" s="1"/>
  <c r="AP20" i="53" s="1"/>
  <c r="Z20" i="53"/>
  <c r="AB20" i="53" s="1"/>
  <c r="AO20" i="53" s="1"/>
  <c r="Z29" i="53"/>
  <c r="AB29" i="53" s="1"/>
  <c r="AO29" i="53" s="1"/>
  <c r="AA29" i="53"/>
  <c r="AC29" i="53" s="1"/>
  <c r="AP29" i="53" s="1"/>
  <c r="Z15" i="53"/>
  <c r="AB15" i="53" s="1"/>
  <c r="AO15" i="53" s="1"/>
  <c r="AA15" i="53"/>
  <c r="AC15" i="53" s="1"/>
  <c r="AP15" i="53" s="1"/>
  <c r="AA9" i="53"/>
  <c r="AC9" i="53" s="1"/>
  <c r="AP9" i="53" s="1"/>
  <c r="Z9" i="53"/>
  <c r="AB9" i="53" s="1"/>
  <c r="AO9" i="53" s="1"/>
  <c r="AA50" i="53"/>
  <c r="AC50" i="53" s="1"/>
  <c r="AP50" i="53" s="1"/>
  <c r="Z50" i="53"/>
  <c r="AB50" i="53" s="1"/>
  <c r="AO50" i="53" s="1"/>
  <c r="AA40" i="53"/>
  <c r="AC40" i="53" s="1"/>
  <c r="AP40" i="53" s="1"/>
  <c r="Z40" i="53"/>
  <c r="AB40" i="53" s="1"/>
  <c r="AO40" i="53" s="1"/>
  <c r="Z45" i="53"/>
  <c r="AB45" i="53" s="1"/>
  <c r="AO45" i="53" s="1"/>
  <c r="AA45" i="53"/>
  <c r="AC45" i="53" s="1"/>
  <c r="AP45" i="53" s="1"/>
  <c r="AA12" i="53"/>
  <c r="AC12" i="53" s="1"/>
  <c r="AP12" i="53" s="1"/>
  <c r="Z12" i="53"/>
  <c r="AB12" i="53" s="1"/>
  <c r="AO12" i="53" s="1"/>
  <c r="AA36" i="53"/>
  <c r="AC36" i="53" s="1"/>
  <c r="AP36" i="53" s="1"/>
  <c r="Z36" i="53"/>
  <c r="AB36" i="53" s="1"/>
  <c r="AO36" i="53" s="1"/>
  <c r="AA31" i="53"/>
  <c r="AC31" i="53" s="1"/>
  <c r="AP31" i="53" s="1"/>
  <c r="Z31" i="53"/>
  <c r="AB31" i="53" s="1"/>
  <c r="AO31" i="53" s="1"/>
  <c r="AA47" i="53"/>
  <c r="AC47" i="53" s="1"/>
  <c r="AP47" i="53" s="1"/>
  <c r="Z47" i="53"/>
  <c r="AB47" i="53" s="1"/>
  <c r="AO47" i="53" s="1"/>
  <c r="R72" i="68"/>
  <c r="AA16" i="5"/>
  <c r="AC16" i="5" s="1"/>
  <c r="AP16" i="5" s="1"/>
  <c r="Z16" i="5"/>
  <c r="AB16" i="5" s="1"/>
  <c r="AO16" i="5" s="1"/>
  <c r="AA24" i="5"/>
  <c r="AC24" i="5" s="1"/>
  <c r="AP24" i="5" s="1"/>
  <c r="Z24" i="5"/>
  <c r="AB24" i="5" s="1"/>
  <c r="AO24" i="5" s="1"/>
  <c r="AA23" i="5"/>
  <c r="AC23" i="5" s="1"/>
  <c r="AP23" i="5" s="1"/>
  <c r="Z23" i="5"/>
  <c r="AB23" i="5" s="1"/>
  <c r="AO23" i="5" s="1"/>
  <c r="AA47" i="5"/>
  <c r="AC47" i="5" s="1"/>
  <c r="AP47" i="5" s="1"/>
  <c r="Z47" i="5"/>
  <c r="AB47" i="5" s="1"/>
  <c r="AO47" i="5" s="1"/>
  <c r="AA11" i="5"/>
  <c r="AC11" i="5" s="1"/>
  <c r="AP11" i="5" s="1"/>
  <c r="Z11" i="5"/>
  <c r="AB11" i="5" s="1"/>
  <c r="AO11" i="5" s="1"/>
  <c r="AA25" i="5"/>
  <c r="AC25" i="5" s="1"/>
  <c r="AP25" i="5" s="1"/>
  <c r="Z25" i="5"/>
  <c r="AB25" i="5" s="1"/>
  <c r="AO25" i="5" s="1"/>
  <c r="AA51" i="5"/>
  <c r="AC51" i="5" s="1"/>
  <c r="Z51" i="5"/>
  <c r="AB51" i="5" s="1"/>
  <c r="AO51" i="5" s="1"/>
  <c r="Z22" i="5"/>
  <c r="AB22" i="5" s="1"/>
  <c r="AO22" i="5" s="1"/>
  <c r="AA22" i="5"/>
  <c r="AC22" i="5" s="1"/>
  <c r="AP22" i="5" s="1"/>
  <c r="AA18" i="5"/>
  <c r="AC18" i="5" s="1"/>
  <c r="AP18" i="5" s="1"/>
  <c r="Z18" i="5"/>
  <c r="AB18" i="5" s="1"/>
  <c r="AO18" i="5" s="1"/>
  <c r="Z42" i="5"/>
  <c r="AB42" i="5" s="1"/>
  <c r="AO42" i="5" s="1"/>
  <c r="AA42" i="5"/>
  <c r="AC42" i="5" s="1"/>
  <c r="AP42" i="5" s="1"/>
  <c r="AA36" i="5"/>
  <c r="AC36" i="5" s="1"/>
  <c r="AP36" i="5" s="1"/>
  <c r="Z36" i="5"/>
  <c r="AB36" i="5" s="1"/>
  <c r="AO36" i="5" s="1"/>
  <c r="AA52" i="5"/>
  <c r="AC52" i="5" s="1"/>
  <c r="AP52" i="5" s="1"/>
  <c r="Z52" i="5"/>
  <c r="AB52" i="5" s="1"/>
  <c r="AO52" i="5" s="1"/>
  <c r="AA22" i="14"/>
  <c r="AC22" i="14" s="1"/>
  <c r="AP22" i="14" s="1"/>
  <c r="Z22" i="14"/>
  <c r="AB22" i="14" s="1"/>
  <c r="AO22" i="14" s="1"/>
  <c r="Z8" i="14"/>
  <c r="AB8" i="14" s="1"/>
  <c r="AO8" i="14" s="1"/>
  <c r="AA8" i="14"/>
  <c r="AC8" i="14" s="1"/>
  <c r="AP8" i="14" s="1"/>
  <c r="Z16" i="14"/>
  <c r="AB16" i="14" s="1"/>
  <c r="AO16" i="14" s="1"/>
  <c r="AA16" i="14"/>
  <c r="AC16" i="14" s="1"/>
  <c r="AP16" i="14" s="1"/>
  <c r="AA5" i="14"/>
  <c r="AC5" i="14" s="1"/>
  <c r="Z5" i="14"/>
  <c r="AB5" i="14" s="1"/>
  <c r="AA7" i="14"/>
  <c r="AC7" i="14" s="1"/>
  <c r="AP7" i="14" s="1"/>
  <c r="Z7" i="14"/>
  <c r="AB7" i="14" s="1"/>
  <c r="AO7" i="14" s="1"/>
  <c r="AA20" i="14"/>
  <c r="AC20" i="14" s="1"/>
  <c r="AP20" i="14" s="1"/>
  <c r="Z20" i="14"/>
  <c r="AB20" i="14" s="1"/>
  <c r="AO20" i="14" s="1"/>
  <c r="Z15" i="12"/>
  <c r="AB15" i="12" s="1"/>
  <c r="AO15" i="12" s="1"/>
  <c r="AA15" i="12"/>
  <c r="AC15" i="12" s="1"/>
  <c r="AP15" i="12" s="1"/>
  <c r="Z28" i="12"/>
  <c r="AB28" i="12" s="1"/>
  <c r="AO28" i="12" s="1"/>
  <c r="AA28" i="12"/>
  <c r="AC28" i="12" s="1"/>
  <c r="AP28" i="12" s="1"/>
  <c r="Z6" i="12"/>
  <c r="AB6" i="12" s="1"/>
  <c r="AO6" i="12" s="1"/>
  <c r="AA6" i="12"/>
  <c r="AC6" i="12" s="1"/>
  <c r="AP6" i="12" s="1"/>
  <c r="Z23" i="12"/>
  <c r="AB23" i="12" s="1"/>
  <c r="AO23" i="12" s="1"/>
  <c r="AA23" i="12"/>
  <c r="AC23" i="12" s="1"/>
  <c r="AP23" i="12" s="1"/>
  <c r="AA45" i="12"/>
  <c r="AC45" i="12" s="1"/>
  <c r="AP45" i="12" s="1"/>
  <c r="Z45" i="12"/>
  <c r="AB45" i="12" s="1"/>
  <c r="AO45" i="12" s="1"/>
  <c r="AA21" i="12"/>
  <c r="AC21" i="12" s="1"/>
  <c r="AP21" i="12" s="1"/>
  <c r="Z21" i="12"/>
  <c r="AB21" i="12" s="1"/>
  <c r="AO21" i="12" s="1"/>
  <c r="AA49" i="12"/>
  <c r="AC49" i="12" s="1"/>
  <c r="AP49" i="12" s="1"/>
  <c r="Z49" i="12"/>
  <c r="AB49" i="12" s="1"/>
  <c r="AO49" i="12" s="1"/>
  <c r="AA14" i="12"/>
  <c r="AC14" i="12" s="1"/>
  <c r="AP14" i="12" s="1"/>
  <c r="Z14" i="12"/>
  <c r="AB14" i="12" s="1"/>
  <c r="AO14" i="12" s="1"/>
  <c r="AA37" i="12"/>
  <c r="AC37" i="12" s="1"/>
  <c r="AP37" i="12" s="1"/>
  <c r="Z37" i="12"/>
  <c r="AB37" i="12" s="1"/>
  <c r="AO37" i="12" s="1"/>
  <c r="Z11" i="12"/>
  <c r="AB11" i="12" s="1"/>
  <c r="AO11" i="12" s="1"/>
  <c r="AA11" i="12"/>
  <c r="AC11" i="12" s="1"/>
  <c r="AP11" i="12" s="1"/>
  <c r="Z26" i="12"/>
  <c r="AB26" i="12" s="1"/>
  <c r="AO26" i="12" s="1"/>
  <c r="AA26" i="12"/>
  <c r="AC26" i="12" s="1"/>
  <c r="AP26" i="12" s="1"/>
  <c r="Z42" i="12"/>
  <c r="AB42" i="12" s="1"/>
  <c r="AO42" i="12" s="1"/>
  <c r="AA42" i="12"/>
  <c r="AC42" i="12" s="1"/>
  <c r="AP42" i="12" s="1"/>
  <c r="Z14" i="27"/>
  <c r="AB14" i="27" s="1"/>
  <c r="AO14" i="27" s="1"/>
  <c r="AA14" i="27"/>
  <c r="AC14" i="27" s="1"/>
  <c r="AP14" i="27" s="1"/>
  <c r="AA15" i="27"/>
  <c r="AC15" i="27" s="1"/>
  <c r="AP15" i="27" s="1"/>
  <c r="Z15" i="27"/>
  <c r="AB15" i="27" s="1"/>
  <c r="AO15" i="27" s="1"/>
  <c r="AA16" i="27"/>
  <c r="AC16" i="27" s="1"/>
  <c r="AP16" i="27" s="1"/>
  <c r="Z16" i="27"/>
  <c r="AB16" i="27" s="1"/>
  <c r="AO16" i="27" s="1"/>
  <c r="AA11" i="27"/>
  <c r="AC11" i="27" s="1"/>
  <c r="AP11" i="27" s="1"/>
  <c r="Z11" i="27"/>
  <c r="AB11" i="27" s="1"/>
  <c r="AO11" i="27" s="1"/>
  <c r="Z24" i="27"/>
  <c r="AB24" i="27" s="1"/>
  <c r="AO24" i="27" s="1"/>
  <c r="AA24" i="27"/>
  <c r="AC24" i="27" s="1"/>
  <c r="AP24" i="27" s="1"/>
  <c r="Z12" i="27"/>
  <c r="AB12" i="27" s="1"/>
  <c r="AO12" i="27" s="1"/>
  <c r="AA12" i="27"/>
  <c r="AC12" i="27" s="1"/>
  <c r="AP12" i="27" s="1"/>
  <c r="Z21" i="27"/>
  <c r="AB21" i="27" s="1"/>
  <c r="AO21" i="27" s="1"/>
  <c r="AA21" i="27"/>
  <c r="AC21" i="27" s="1"/>
  <c r="AP21" i="27" s="1"/>
  <c r="AA8" i="27"/>
  <c r="AC8" i="27" s="1"/>
  <c r="AP8" i="27" s="1"/>
  <c r="Z8" i="27"/>
  <c r="AB8" i="27" s="1"/>
  <c r="AO8" i="27" s="1"/>
  <c r="Z18" i="27"/>
  <c r="AB18" i="27" s="1"/>
  <c r="AO18" i="27" s="1"/>
  <c r="AA18" i="27"/>
  <c r="AC18" i="27" s="1"/>
  <c r="AP18" i="27" s="1"/>
  <c r="Z10" i="27"/>
  <c r="AB10" i="27" s="1"/>
  <c r="AO10" i="27" s="1"/>
  <c r="AA10" i="27"/>
  <c r="AC10" i="27" s="1"/>
  <c r="AP10" i="27" s="1"/>
  <c r="Z20" i="27"/>
  <c r="AB20" i="27" s="1"/>
  <c r="AO20" i="27" s="1"/>
  <c r="AA20" i="27"/>
  <c r="AC20" i="27" s="1"/>
  <c r="AP20" i="27" s="1"/>
  <c r="Z6" i="27"/>
  <c r="AB6" i="27" s="1"/>
  <c r="AO6" i="27" s="1"/>
  <c r="AA6" i="27"/>
  <c r="AC6" i="27" s="1"/>
  <c r="AP6" i="27" s="1"/>
  <c r="AA13" i="27"/>
  <c r="AC13" i="27" s="1"/>
  <c r="AP13" i="27" s="1"/>
  <c r="Z13" i="27"/>
  <c r="AB13" i="27" s="1"/>
  <c r="AO13" i="27" s="1"/>
  <c r="AA23" i="27"/>
  <c r="AC23" i="27" s="1"/>
  <c r="AP23" i="27" s="1"/>
  <c r="Z23" i="27"/>
  <c r="AB23" i="27" s="1"/>
  <c r="AO23" i="27" s="1"/>
  <c r="Z5" i="27"/>
  <c r="AB5" i="27" s="1"/>
  <c r="AA5" i="27"/>
  <c r="AC5" i="27" s="1"/>
  <c r="AP8" i="47" l="1"/>
  <c r="D41" i="2"/>
  <c r="N22" i="67"/>
  <c r="Q45" i="68"/>
  <c r="Q50" i="68"/>
  <c r="O74" i="68"/>
  <c r="Z78" i="31"/>
  <c r="AB78" i="31" s="1"/>
  <c r="AO78" i="31" s="1"/>
  <c r="Q72" i="68"/>
  <c r="N74" i="68"/>
  <c r="D50" i="2" s="1"/>
  <c r="M6" i="2"/>
  <c r="R30" i="67"/>
  <c r="R31" i="67"/>
  <c r="R12" i="67"/>
  <c r="Q18" i="67"/>
  <c r="R49" i="67"/>
  <c r="Q57" i="67"/>
  <c r="M15" i="2"/>
  <c r="R23" i="67"/>
  <c r="R6" i="67"/>
  <c r="Q36" i="67"/>
  <c r="Q56" i="67"/>
  <c r="R48" i="67"/>
  <c r="R33" i="67"/>
  <c r="R14" i="67"/>
  <c r="R18" i="67"/>
  <c r="U38" i="67"/>
  <c r="M13" i="2"/>
  <c r="K23" i="2"/>
  <c r="K31" i="2" s="1"/>
  <c r="K42" i="2" s="1"/>
  <c r="L27" i="2"/>
  <c r="R13" i="67"/>
  <c r="R16" i="67"/>
  <c r="Q51" i="67"/>
  <c r="R58" i="67"/>
  <c r="R51" i="67"/>
  <c r="L39" i="2"/>
  <c r="Q35" i="67"/>
  <c r="Q17" i="67"/>
  <c r="L26" i="2"/>
  <c r="Q19" i="67"/>
  <c r="J21" i="67"/>
  <c r="R57" i="67"/>
  <c r="Q49" i="67"/>
  <c r="R53" i="67"/>
  <c r="R8" i="67"/>
  <c r="Q58" i="67"/>
  <c r="M19" i="2"/>
  <c r="M9" i="2"/>
  <c r="Q6" i="67"/>
  <c r="R32" i="67"/>
  <c r="R26" i="67"/>
  <c r="R28" i="67"/>
  <c r="Q53" i="67"/>
  <c r="I21" i="67"/>
  <c r="M20" i="2"/>
  <c r="R17" i="67"/>
  <c r="Q12" i="67"/>
  <c r="Q48" i="67"/>
  <c r="R44" i="67"/>
  <c r="U16" i="67"/>
  <c r="L29" i="2"/>
  <c r="Q66" i="67"/>
  <c r="K8" i="2"/>
  <c r="R24" i="67"/>
  <c r="R19" i="67"/>
  <c r="L9" i="2"/>
  <c r="R27" i="67"/>
  <c r="L41" i="2"/>
  <c r="M23" i="2"/>
  <c r="M12" i="2"/>
  <c r="R15" i="67"/>
  <c r="Q25" i="67"/>
  <c r="H21" i="67"/>
  <c r="K29" i="67"/>
  <c r="R52" i="67"/>
  <c r="Q44" i="67"/>
  <c r="U33" i="67"/>
  <c r="L14" i="2"/>
  <c r="R36" i="67"/>
  <c r="R66" i="67"/>
  <c r="Q43" i="67"/>
  <c r="S34" i="67"/>
  <c r="M14" i="2"/>
  <c r="Q26" i="67"/>
  <c r="L15" i="2"/>
  <c r="Q23" i="67"/>
  <c r="Q24" i="67"/>
  <c r="R25" i="67"/>
  <c r="R35" i="67"/>
  <c r="U13" i="67"/>
  <c r="Q52" i="67"/>
  <c r="M10" i="2"/>
  <c r="M24" i="2"/>
  <c r="M25" i="2"/>
  <c r="R9" i="67"/>
  <c r="L13" i="2"/>
  <c r="Q27" i="67"/>
  <c r="Q31" i="67"/>
  <c r="R43" i="67"/>
  <c r="D32" i="2"/>
  <c r="D14" i="2"/>
  <c r="L36" i="2"/>
  <c r="Q13" i="68"/>
  <c r="U6" i="67"/>
  <c r="Q30" i="67"/>
  <c r="K20" i="67"/>
  <c r="D27" i="2"/>
  <c r="L24" i="2"/>
  <c r="S44" i="68"/>
  <c r="Q36" i="68"/>
  <c r="Z67" i="31"/>
  <c r="AB67" i="31" s="1"/>
  <c r="AO67" i="31" s="1"/>
  <c r="AA82" i="31"/>
  <c r="AC82" i="31" s="1"/>
  <c r="AP82" i="31" s="1"/>
  <c r="Q6" i="68"/>
  <c r="U6" i="68" s="1"/>
  <c r="AA88" i="31"/>
  <c r="AC88" i="31" s="1"/>
  <c r="AP88" i="31" s="1"/>
  <c r="Z79" i="31"/>
  <c r="AB79" i="31" s="1"/>
  <c r="AO79" i="31" s="1"/>
  <c r="Q35" i="68"/>
  <c r="AA85" i="31"/>
  <c r="AC85" i="31" s="1"/>
  <c r="AP85" i="31" s="1"/>
  <c r="D26" i="2"/>
  <c r="Q29" i="68"/>
  <c r="U29" i="68" s="1"/>
  <c r="O37" i="67"/>
  <c r="AA63" i="31"/>
  <c r="AC63" i="31" s="1"/>
  <c r="AP63" i="31" s="1"/>
  <c r="Z76" i="31"/>
  <c r="AB76" i="31" s="1"/>
  <c r="AO76" i="31" s="1"/>
  <c r="O22" i="67"/>
  <c r="AO5" i="50"/>
  <c r="AA87" i="31"/>
  <c r="AC87" i="31" s="1"/>
  <c r="AP87" i="31" s="1"/>
  <c r="AA64" i="31"/>
  <c r="AC64" i="31" s="1"/>
  <c r="AP64" i="31" s="1"/>
  <c r="L12" i="2"/>
  <c r="Q12" i="68"/>
  <c r="D13" i="2"/>
  <c r="N7" i="68"/>
  <c r="Q7" i="68" s="1"/>
  <c r="D31" i="2"/>
  <c r="D6" i="2"/>
  <c r="AP10" i="22"/>
  <c r="AP66" i="22"/>
  <c r="L70" i="68"/>
  <c r="C8" i="2"/>
  <c r="E9" i="2"/>
  <c r="AP228" i="65"/>
  <c r="AP231" i="65"/>
  <c r="AP209" i="65"/>
  <c r="E6" i="2"/>
  <c r="J23" i="68"/>
  <c r="D42" i="2"/>
  <c r="R56" i="68"/>
  <c r="R35" i="68"/>
  <c r="D15" i="2"/>
  <c r="D9" i="2"/>
  <c r="R6" i="68"/>
  <c r="R9" i="68"/>
  <c r="R11" i="68"/>
  <c r="Q39" i="68"/>
  <c r="R31" i="68"/>
  <c r="R46" i="68"/>
  <c r="I23" i="68"/>
  <c r="R13" i="68"/>
  <c r="R14" i="68"/>
  <c r="R18" i="68"/>
  <c r="R37" i="68"/>
  <c r="R26" i="68"/>
  <c r="Q68" i="68"/>
  <c r="U13" i="68"/>
  <c r="R68" i="68"/>
  <c r="R27" i="68"/>
  <c r="R32" i="68"/>
  <c r="R40" i="68"/>
  <c r="D16" i="2"/>
  <c r="R66" i="68"/>
  <c r="Q53" i="68"/>
  <c r="Q40" i="68"/>
  <c r="Q18" i="68"/>
  <c r="R39" i="68"/>
  <c r="Q28" i="68"/>
  <c r="R58" i="68"/>
  <c r="Q55" i="68"/>
  <c r="R65" i="68"/>
  <c r="Q57" i="68"/>
  <c r="Q56" i="68"/>
  <c r="R29" i="68"/>
  <c r="Q32" i="68"/>
  <c r="Q33" i="68"/>
  <c r="R28" i="68"/>
  <c r="R61" i="68"/>
  <c r="R53" i="68"/>
  <c r="Q19" i="68"/>
  <c r="D22" i="2"/>
  <c r="I44" i="68"/>
  <c r="Q66" i="68"/>
  <c r="R19" i="68"/>
  <c r="R21" i="68"/>
  <c r="Q26" i="68"/>
  <c r="Q20" i="68"/>
  <c r="R47" i="68"/>
  <c r="Q59" i="68"/>
  <c r="Q74" i="68"/>
  <c r="Q61" i="68"/>
  <c r="R15" i="68"/>
  <c r="Q42" i="68"/>
  <c r="D28" i="2"/>
  <c r="U46" i="68"/>
  <c r="Q51" i="68"/>
  <c r="R55" i="68"/>
  <c r="R12" i="68"/>
  <c r="R20" i="68"/>
  <c r="Q37" i="68"/>
  <c r="R42" i="68"/>
  <c r="Q11" i="68"/>
  <c r="Q27" i="68"/>
  <c r="R10" i="68"/>
  <c r="R17" i="68"/>
  <c r="R30" i="68"/>
  <c r="R33" i="68"/>
  <c r="R36" i="68"/>
  <c r="R57" i="68"/>
  <c r="R74" i="68"/>
  <c r="I41" i="68"/>
  <c r="Q65" i="68"/>
  <c r="R8" i="68"/>
  <c r="R25" i="68"/>
  <c r="D18" i="2"/>
  <c r="D43" i="2"/>
  <c r="R59" i="68"/>
  <c r="Q8" i="68"/>
  <c r="Q14" i="68"/>
  <c r="L20" i="2"/>
  <c r="L6" i="2"/>
  <c r="AA89" i="31"/>
  <c r="AC89" i="31" s="1"/>
  <c r="AP89" i="31" s="1"/>
  <c r="AA86" i="31"/>
  <c r="AC86" i="31" s="1"/>
  <c r="AP86" i="31" s="1"/>
  <c r="N63" i="68"/>
  <c r="AA66" i="31"/>
  <c r="AC66" i="31" s="1"/>
  <c r="AP66" i="31" s="1"/>
  <c r="N48" i="68"/>
  <c r="L17" i="2"/>
  <c r="N37" i="67"/>
  <c r="L35" i="2"/>
  <c r="R50" i="68"/>
  <c r="O63" i="68"/>
  <c r="T48" i="68"/>
  <c r="E44" i="2" s="1"/>
  <c r="E41" i="2"/>
  <c r="Q17" i="68"/>
  <c r="D20" i="2"/>
  <c r="Q21" i="68"/>
  <c r="K7" i="68"/>
  <c r="U30" i="68"/>
  <c r="O29" i="67"/>
  <c r="Q31" i="68"/>
  <c r="L19" i="2"/>
  <c r="AA72" i="31"/>
  <c r="AC72" i="31" s="1"/>
  <c r="AP72" i="31" s="1"/>
  <c r="Q32" i="67"/>
  <c r="D33" i="2"/>
  <c r="D12" i="2"/>
  <c r="O34" i="67"/>
  <c r="N29" i="67"/>
  <c r="Z62" i="31"/>
  <c r="AB62" i="31" s="1"/>
  <c r="AO62" i="31" s="1"/>
  <c r="D38" i="2"/>
  <c r="L28" i="2"/>
  <c r="AA69" i="31"/>
  <c r="AC69" i="31" s="1"/>
  <c r="AP69" i="31" s="1"/>
  <c r="L25" i="2"/>
  <c r="O7" i="68"/>
  <c r="AA61" i="31"/>
  <c r="AC61" i="31" s="1"/>
  <c r="AP61" i="31" s="1"/>
  <c r="I61" i="67"/>
  <c r="N20" i="67"/>
  <c r="N24" i="68"/>
  <c r="D19" i="2"/>
  <c r="D10" i="2"/>
  <c r="Q15" i="67"/>
  <c r="Q9" i="68"/>
  <c r="D36" i="2"/>
  <c r="N7" i="67"/>
  <c r="Q9" i="67"/>
  <c r="L10" i="2"/>
  <c r="D29" i="2"/>
  <c r="Q14" i="67"/>
  <c r="Q25" i="68"/>
  <c r="D30" i="2"/>
  <c r="N34" i="67"/>
  <c r="AA65" i="31"/>
  <c r="AC65" i="31" s="1"/>
  <c r="AP65" i="31" s="1"/>
  <c r="S40" i="67"/>
  <c r="V38" i="67"/>
  <c r="F33" i="67"/>
  <c r="F32" i="67"/>
  <c r="F31" i="67"/>
  <c r="F30" i="67"/>
  <c r="F27" i="67"/>
  <c r="F26" i="67"/>
  <c r="Q28" i="67"/>
  <c r="K7" i="67"/>
  <c r="F23" i="67"/>
  <c r="K34" i="67"/>
  <c r="K22" i="67"/>
  <c r="F19" i="67"/>
  <c r="F18" i="67"/>
  <c r="F17" i="67"/>
  <c r="O7" i="67"/>
  <c r="O20" i="67"/>
  <c r="F15" i="67"/>
  <c r="F14" i="67"/>
  <c r="F13" i="67"/>
  <c r="F12" i="67"/>
  <c r="F11" i="67"/>
  <c r="AP19" i="40"/>
  <c r="F9" i="67"/>
  <c r="T7" i="67"/>
  <c r="AP16" i="39"/>
  <c r="F8" i="67"/>
  <c r="F6" i="67"/>
  <c r="F46" i="68"/>
  <c r="E38" i="2"/>
  <c r="T44" i="68"/>
  <c r="AA77" i="31"/>
  <c r="AC77" i="31" s="1"/>
  <c r="AP77" i="31" s="1"/>
  <c r="N22" i="68"/>
  <c r="O24" i="68"/>
  <c r="F26" i="68"/>
  <c r="D21" i="2"/>
  <c r="Q10" i="68"/>
  <c r="K22" i="68"/>
  <c r="Q15" i="68"/>
  <c r="D11" i="2"/>
  <c r="D35" i="2"/>
  <c r="AP141" i="32"/>
  <c r="AP162" i="32"/>
  <c r="F39" i="68"/>
  <c r="AP131" i="32"/>
  <c r="AA75" i="31"/>
  <c r="AC75" i="31" s="1"/>
  <c r="AP75" i="31" s="1"/>
  <c r="Z68" i="31"/>
  <c r="AB68" i="31" s="1"/>
  <c r="AO68" i="31" s="1"/>
  <c r="AA80" i="31"/>
  <c r="AC80" i="31" s="1"/>
  <c r="AP80" i="31" s="1"/>
  <c r="AA74" i="31"/>
  <c r="AC74" i="31" s="1"/>
  <c r="AP74" i="31" s="1"/>
  <c r="AA83" i="31"/>
  <c r="AC83" i="31" s="1"/>
  <c r="AP83" i="31" s="1"/>
  <c r="AA60" i="31"/>
  <c r="AC60" i="31" s="1"/>
  <c r="AP60" i="31" s="1"/>
  <c r="AA84" i="31"/>
  <c r="AC84" i="31" s="1"/>
  <c r="AP84" i="31" s="1"/>
  <c r="AA71" i="31"/>
  <c r="AC71" i="31" s="1"/>
  <c r="AP71" i="31" s="1"/>
  <c r="F38" i="68"/>
  <c r="F37" i="68"/>
  <c r="AP21" i="30"/>
  <c r="O38" i="68"/>
  <c r="O34" i="68" s="1"/>
  <c r="N43" i="68"/>
  <c r="N38" i="68"/>
  <c r="O43" i="68"/>
  <c r="F36" i="68"/>
  <c r="F35" i="68"/>
  <c r="F33" i="68"/>
  <c r="F32" i="68"/>
  <c r="AP17" i="24"/>
  <c r="F30" i="68"/>
  <c r="AP26" i="24"/>
  <c r="F29" i="68"/>
  <c r="AP26" i="23"/>
  <c r="T41" i="68"/>
  <c r="F27" i="68"/>
  <c r="K41" i="68"/>
  <c r="K24" i="68"/>
  <c r="F25" i="68"/>
  <c r="AP20" i="21"/>
  <c r="F21" i="68"/>
  <c r="F20" i="68"/>
  <c r="F19" i="68"/>
  <c r="F18" i="68"/>
  <c r="AP11" i="18"/>
  <c r="F15" i="68"/>
  <c r="AP153" i="15"/>
  <c r="AP138" i="15"/>
  <c r="AP160" i="15"/>
  <c r="AP130" i="15"/>
  <c r="AP147" i="15"/>
  <c r="AP136" i="15"/>
  <c r="AP151" i="15"/>
  <c r="F14" i="68"/>
  <c r="AP214" i="15"/>
  <c r="AP143" i="15"/>
  <c r="AP201" i="15"/>
  <c r="AP220" i="15"/>
  <c r="F13" i="68"/>
  <c r="O22" i="68"/>
  <c r="F12" i="68"/>
  <c r="F11" i="68"/>
  <c r="AP33" i="12"/>
  <c r="F10" i="68"/>
  <c r="AP51" i="5"/>
  <c r="F9" i="68"/>
  <c r="F6" i="68"/>
  <c r="A24" i="62"/>
  <c r="A22" i="62"/>
  <c r="T20" i="67"/>
  <c r="M29" i="2"/>
  <c r="T29" i="67"/>
  <c r="AP52" i="46"/>
  <c r="M11" i="2"/>
  <c r="M21" i="2" s="1"/>
  <c r="V11" i="67"/>
  <c r="O11" i="2" s="1"/>
  <c r="AO6" i="43"/>
  <c r="A22" i="43"/>
  <c r="AP6" i="43"/>
  <c r="A24" i="43"/>
  <c r="AP24" i="40"/>
  <c r="S7" i="67"/>
  <c r="S20" i="67"/>
  <c r="S41" i="68"/>
  <c r="S24" i="68"/>
  <c r="V37" i="68"/>
  <c r="U36" i="68"/>
  <c r="T24" i="68"/>
  <c r="AP55" i="22"/>
  <c r="AP202" i="15"/>
  <c r="AP167" i="15"/>
  <c r="AP172" i="15"/>
  <c r="AP217" i="15"/>
  <c r="AP155" i="15"/>
  <c r="T22" i="68"/>
  <c r="T7" i="68"/>
  <c r="AP183" i="15"/>
  <c r="AP198" i="15"/>
  <c r="E23" i="2"/>
  <c r="AP48" i="12"/>
  <c r="AP40" i="12"/>
  <c r="AP18" i="3"/>
  <c r="S7" i="68"/>
  <c r="S22" i="68"/>
  <c r="F45" i="68"/>
  <c r="F8" i="68"/>
  <c r="N60" i="67"/>
  <c r="AP5" i="24"/>
  <c r="A24" i="24"/>
  <c r="AO5" i="13"/>
  <c r="A22" i="13"/>
  <c r="A24" i="42"/>
  <c r="AP5" i="42"/>
  <c r="A22" i="19"/>
  <c r="AO5" i="19"/>
  <c r="AP5" i="64"/>
  <c r="A24" i="64"/>
  <c r="AP5" i="33"/>
  <c r="A24" i="33"/>
  <c r="A24" i="72"/>
  <c r="AP5" i="72"/>
  <c r="AA6" i="31"/>
  <c r="AC6" i="31" s="1"/>
  <c r="AP6" i="31" s="1"/>
  <c r="Z6" i="31"/>
  <c r="AB6" i="31" s="1"/>
  <c r="AO6" i="31" s="1"/>
  <c r="Z22" i="31"/>
  <c r="AB22" i="31" s="1"/>
  <c r="AO22" i="31" s="1"/>
  <c r="AA22" i="31"/>
  <c r="AC22" i="31" s="1"/>
  <c r="AP22" i="31" s="1"/>
  <c r="AA40" i="31"/>
  <c r="AC40" i="31" s="1"/>
  <c r="AP40" i="31" s="1"/>
  <c r="Z40" i="31"/>
  <c r="AB40" i="31" s="1"/>
  <c r="AO40" i="31" s="1"/>
  <c r="AA30" i="31"/>
  <c r="AC30" i="31" s="1"/>
  <c r="AP30" i="31" s="1"/>
  <c r="Z30" i="31"/>
  <c r="AB30" i="31" s="1"/>
  <c r="AO30" i="31" s="1"/>
  <c r="AA33" i="31"/>
  <c r="AC33" i="31" s="1"/>
  <c r="AP33" i="31" s="1"/>
  <c r="Z33" i="31"/>
  <c r="AB33" i="31" s="1"/>
  <c r="AO33" i="31" s="1"/>
  <c r="AP5" i="12"/>
  <c r="A24" i="12"/>
  <c r="A22" i="70"/>
  <c r="AO5" i="70"/>
  <c r="A24" i="63"/>
  <c r="AP5" i="63"/>
  <c r="A22" i="15"/>
  <c r="AO5" i="15"/>
  <c r="AO5" i="47"/>
  <c r="A22" i="47"/>
  <c r="Z6" i="35"/>
  <c r="AB6" i="35" s="1"/>
  <c r="AO6" i="35" s="1"/>
  <c r="AA6" i="35"/>
  <c r="AC6" i="35" s="1"/>
  <c r="AP6" i="35" s="1"/>
  <c r="Z8" i="35"/>
  <c r="AB8" i="35" s="1"/>
  <c r="AO8" i="35" s="1"/>
  <c r="AA8" i="35"/>
  <c r="AC8" i="35" s="1"/>
  <c r="AP8" i="35" s="1"/>
  <c r="AO5" i="44"/>
  <c r="A22" i="44"/>
  <c r="AO5" i="71"/>
  <c r="A22" i="71"/>
  <c r="A22" i="55"/>
  <c r="AO5" i="55"/>
  <c r="R45" i="68"/>
  <c r="O48" i="68"/>
  <c r="Z14" i="31"/>
  <c r="AB14" i="31" s="1"/>
  <c r="AO14" i="31" s="1"/>
  <c r="AA14" i="31"/>
  <c r="AC14" i="31" s="1"/>
  <c r="AP14" i="31" s="1"/>
  <c r="Z13" i="31"/>
  <c r="AB13" i="31" s="1"/>
  <c r="AO13" i="31" s="1"/>
  <c r="AA13" i="31"/>
  <c r="AC13" i="31" s="1"/>
  <c r="AP13" i="31" s="1"/>
  <c r="AA46" i="31"/>
  <c r="AC46" i="31" s="1"/>
  <c r="AP46" i="31" s="1"/>
  <c r="Z46" i="31"/>
  <c r="AB46" i="31" s="1"/>
  <c r="AO46" i="31" s="1"/>
  <c r="AA52" i="31"/>
  <c r="AC52" i="31" s="1"/>
  <c r="AP52" i="31" s="1"/>
  <c r="Z52" i="31"/>
  <c r="AB52" i="31" s="1"/>
  <c r="AO52" i="31" s="1"/>
  <c r="AA34" i="31"/>
  <c r="AC34" i="31" s="1"/>
  <c r="AP34" i="31" s="1"/>
  <c r="Z34" i="31"/>
  <c r="AB34" i="31" s="1"/>
  <c r="AO34" i="31" s="1"/>
  <c r="AA18" i="31"/>
  <c r="AC18" i="31" s="1"/>
  <c r="AP18" i="31" s="1"/>
  <c r="Z18" i="31"/>
  <c r="AB18" i="31" s="1"/>
  <c r="AO18" i="31" s="1"/>
  <c r="AA58" i="31"/>
  <c r="AC58" i="31" s="1"/>
  <c r="AP58" i="31" s="1"/>
  <c r="Z58" i="31"/>
  <c r="AB58" i="31" s="1"/>
  <c r="AO58" i="31" s="1"/>
  <c r="AA59" i="31"/>
  <c r="AC59" i="31" s="1"/>
  <c r="AP59" i="31" s="1"/>
  <c r="Z59" i="31"/>
  <c r="AB59" i="31" s="1"/>
  <c r="AO59" i="31" s="1"/>
  <c r="A24" i="60"/>
  <c r="AP5" i="60"/>
  <c r="A22" i="73"/>
  <c r="AO5" i="73"/>
  <c r="AO5" i="38"/>
  <c r="A22" i="38"/>
  <c r="A24" i="74"/>
  <c r="AP5" i="74"/>
  <c r="AO5" i="29"/>
  <c r="A22" i="29"/>
  <c r="A24" i="75"/>
  <c r="AP5" i="75"/>
  <c r="A24" i="36"/>
  <c r="AP5" i="36"/>
  <c r="O69" i="68"/>
  <c r="R64" i="68"/>
  <c r="AP5" i="47"/>
  <c r="A24" i="47"/>
  <c r="A24" i="20"/>
  <c r="AP5" i="20"/>
  <c r="AA9" i="35"/>
  <c r="AC9" i="35" s="1"/>
  <c r="AP9" i="35" s="1"/>
  <c r="Z9" i="35"/>
  <c r="AB9" i="35" s="1"/>
  <c r="AO9" i="35" s="1"/>
  <c r="Z23" i="35"/>
  <c r="AB23" i="35" s="1"/>
  <c r="AO23" i="35" s="1"/>
  <c r="AA23" i="35"/>
  <c r="AC23" i="35" s="1"/>
  <c r="AP23" i="35" s="1"/>
  <c r="Z13" i="35"/>
  <c r="AB13" i="35" s="1"/>
  <c r="AO13" i="35" s="1"/>
  <c r="AA13" i="35"/>
  <c r="AC13" i="35" s="1"/>
  <c r="AP13" i="35" s="1"/>
  <c r="AA22" i="35"/>
  <c r="AC22" i="35" s="1"/>
  <c r="AP22" i="35" s="1"/>
  <c r="Z22" i="35"/>
  <c r="AB22" i="35" s="1"/>
  <c r="AO22" i="35" s="1"/>
  <c r="AA19" i="35"/>
  <c r="AC19" i="35" s="1"/>
  <c r="AP19" i="35" s="1"/>
  <c r="Z19" i="35"/>
  <c r="AB19" i="35" s="1"/>
  <c r="AO19" i="35" s="1"/>
  <c r="AA15" i="31"/>
  <c r="AC15" i="31" s="1"/>
  <c r="AP15" i="31" s="1"/>
  <c r="Z15" i="31"/>
  <c r="AB15" i="31" s="1"/>
  <c r="AO15" i="31" s="1"/>
  <c r="Z43" i="31"/>
  <c r="AB43" i="31" s="1"/>
  <c r="AO43" i="31" s="1"/>
  <c r="AA43" i="31"/>
  <c r="AC43" i="31" s="1"/>
  <c r="AP43" i="31" s="1"/>
  <c r="Z12" i="31"/>
  <c r="AB12" i="31" s="1"/>
  <c r="AO12" i="31" s="1"/>
  <c r="AA12" i="31"/>
  <c r="AC12" i="31" s="1"/>
  <c r="AP12" i="31" s="1"/>
  <c r="AA17" i="31"/>
  <c r="AC17" i="31" s="1"/>
  <c r="AP17" i="31" s="1"/>
  <c r="Z17" i="31"/>
  <c r="AB17" i="31" s="1"/>
  <c r="AO17" i="31" s="1"/>
  <c r="AA48" i="31"/>
  <c r="AC48" i="31" s="1"/>
  <c r="AP48" i="31" s="1"/>
  <c r="Z48" i="31"/>
  <c r="AB48" i="31" s="1"/>
  <c r="AO48" i="31" s="1"/>
  <c r="A22" i="60"/>
  <c r="AO5" i="60"/>
  <c r="AP5" i="16"/>
  <c r="A24" i="16"/>
  <c r="AP5" i="73"/>
  <c r="A24" i="73"/>
  <c r="A24" i="54"/>
  <c r="AP5" i="54"/>
  <c r="Q48" i="68"/>
  <c r="U45" i="68"/>
  <c r="AP5" i="3"/>
  <c r="A24" i="3"/>
  <c r="A22" i="75"/>
  <c r="AO5" i="75"/>
  <c r="A22" i="32"/>
  <c r="AO5" i="32"/>
  <c r="AO5" i="20"/>
  <c r="A22" i="20"/>
  <c r="Z15" i="35"/>
  <c r="AB15" i="35" s="1"/>
  <c r="AO15" i="35" s="1"/>
  <c r="AA15" i="35"/>
  <c r="AC15" i="35" s="1"/>
  <c r="AP15" i="35" s="1"/>
  <c r="AA21" i="35"/>
  <c r="AC21" i="35" s="1"/>
  <c r="AP21" i="35" s="1"/>
  <c r="Z21" i="35"/>
  <c r="AB21" i="35" s="1"/>
  <c r="AO21" i="35" s="1"/>
  <c r="AA12" i="35"/>
  <c r="AC12" i="35" s="1"/>
  <c r="AP12" i="35" s="1"/>
  <c r="Z12" i="35"/>
  <c r="AB12" i="35" s="1"/>
  <c r="AO12" i="35" s="1"/>
  <c r="R39" i="67"/>
  <c r="O40" i="67"/>
  <c r="AP5" i="51"/>
  <c r="A24" i="51"/>
  <c r="AO5" i="25"/>
  <c r="A22" i="25"/>
  <c r="A24" i="19"/>
  <c r="AP5" i="19"/>
  <c r="A24" i="46"/>
  <c r="AP5" i="46"/>
  <c r="R51" i="68"/>
  <c r="A24" i="5"/>
  <c r="AP5" i="5"/>
  <c r="AA16" i="31"/>
  <c r="AC16" i="31" s="1"/>
  <c r="AP16" i="31" s="1"/>
  <c r="Z16" i="31"/>
  <c r="AB16" i="31" s="1"/>
  <c r="AO16" i="31" s="1"/>
  <c r="Z21" i="31"/>
  <c r="AB21" i="31" s="1"/>
  <c r="AO21" i="31" s="1"/>
  <c r="AA21" i="31"/>
  <c r="AC21" i="31" s="1"/>
  <c r="AP21" i="31" s="1"/>
  <c r="Z8" i="31"/>
  <c r="AB8" i="31" s="1"/>
  <c r="AO8" i="31" s="1"/>
  <c r="AA8" i="31"/>
  <c r="AC8" i="31" s="1"/>
  <c r="AP8" i="31" s="1"/>
  <c r="AA23" i="31"/>
  <c r="AC23" i="31" s="1"/>
  <c r="AP23" i="31" s="1"/>
  <c r="Z23" i="31"/>
  <c r="AB23" i="31" s="1"/>
  <c r="AO23" i="31" s="1"/>
  <c r="AA19" i="31"/>
  <c r="AC19" i="31" s="1"/>
  <c r="AP19" i="31" s="1"/>
  <c r="Z19" i="31"/>
  <c r="AB19" i="31" s="1"/>
  <c r="AO19" i="31" s="1"/>
  <c r="Z57" i="31"/>
  <c r="AB57" i="31" s="1"/>
  <c r="AO57" i="31" s="1"/>
  <c r="AA57" i="31"/>
  <c r="AC57" i="31" s="1"/>
  <c r="AP57" i="31" s="1"/>
  <c r="AA37" i="31"/>
  <c r="AC37" i="31" s="1"/>
  <c r="AP37" i="31" s="1"/>
  <c r="Z37" i="31"/>
  <c r="AB37" i="31" s="1"/>
  <c r="AO37" i="31" s="1"/>
  <c r="AO5" i="16"/>
  <c r="A22" i="16"/>
  <c r="A22" i="12"/>
  <c r="AO5" i="12"/>
  <c r="AO5" i="54"/>
  <c r="A22" i="54"/>
  <c r="AP5" i="14"/>
  <c r="A24" i="14"/>
  <c r="A24" i="26"/>
  <c r="AP5" i="26"/>
  <c r="AO5" i="56"/>
  <c r="A22" i="56"/>
  <c r="A24" i="58"/>
  <c r="AP5" i="58"/>
  <c r="A24" i="39"/>
  <c r="AP5" i="39"/>
  <c r="AO5" i="30"/>
  <c r="A22" i="30"/>
  <c r="A24" i="6"/>
  <c r="AP5" i="6"/>
  <c r="AO5" i="51"/>
  <c r="A22" i="51"/>
  <c r="A22" i="57"/>
  <c r="AO5" i="57"/>
  <c r="A22" i="66"/>
  <c r="AO6" i="66"/>
  <c r="AP5" i="25"/>
  <c r="A24" i="25"/>
  <c r="AP5" i="44"/>
  <c r="A24" i="44"/>
  <c r="A22" i="65"/>
  <c r="A22" i="34"/>
  <c r="AO5" i="46"/>
  <c r="A22" i="46"/>
  <c r="A24" i="71"/>
  <c r="AP5" i="71"/>
  <c r="AO5" i="5"/>
  <c r="A22" i="5"/>
  <c r="A24" i="55"/>
  <c r="AP5" i="55"/>
  <c r="AA36" i="31"/>
  <c r="AC36" i="31" s="1"/>
  <c r="AP36" i="31" s="1"/>
  <c r="Z36" i="31"/>
  <c r="AB36" i="31" s="1"/>
  <c r="AO36" i="31" s="1"/>
  <c r="Z39" i="31"/>
  <c r="AB39" i="31" s="1"/>
  <c r="AO39" i="31" s="1"/>
  <c r="AA39" i="31"/>
  <c r="AC39" i="31" s="1"/>
  <c r="AP39" i="31" s="1"/>
  <c r="AA28" i="31"/>
  <c r="AC28" i="31" s="1"/>
  <c r="AP28" i="31" s="1"/>
  <c r="Z28" i="31"/>
  <c r="AB28" i="31" s="1"/>
  <c r="AO28" i="31" s="1"/>
  <c r="Z27" i="31"/>
  <c r="AB27" i="31" s="1"/>
  <c r="AO27" i="31" s="1"/>
  <c r="AA27" i="31"/>
  <c r="AC27" i="31" s="1"/>
  <c r="AP27" i="31" s="1"/>
  <c r="Z49" i="31"/>
  <c r="AB49" i="31" s="1"/>
  <c r="AO49" i="31" s="1"/>
  <c r="AA49" i="31"/>
  <c r="AC49" i="31" s="1"/>
  <c r="AP49" i="31" s="1"/>
  <c r="AA24" i="31"/>
  <c r="AC24" i="31" s="1"/>
  <c r="AP24" i="31" s="1"/>
  <c r="Z24" i="31"/>
  <c r="AB24" i="31" s="1"/>
  <c r="AO24" i="31" s="1"/>
  <c r="AA7" i="31"/>
  <c r="AC7" i="31" s="1"/>
  <c r="AP7" i="31" s="1"/>
  <c r="Z7" i="31"/>
  <c r="AB7" i="31" s="1"/>
  <c r="AO7" i="31" s="1"/>
  <c r="AA20" i="31"/>
  <c r="AC20" i="31" s="1"/>
  <c r="AP20" i="31" s="1"/>
  <c r="Z20" i="31"/>
  <c r="AB20" i="31" s="1"/>
  <c r="AO20" i="31" s="1"/>
  <c r="AA38" i="31"/>
  <c r="AC38" i="31" s="1"/>
  <c r="AP38" i="31" s="1"/>
  <c r="Z38" i="31"/>
  <c r="AB38" i="31" s="1"/>
  <c r="AO38" i="31" s="1"/>
  <c r="AA9" i="31"/>
  <c r="AC9" i="31" s="1"/>
  <c r="AP9" i="31" s="1"/>
  <c r="Z9" i="31"/>
  <c r="AB9" i="31" s="1"/>
  <c r="AO9" i="31" s="1"/>
  <c r="AA25" i="31"/>
  <c r="AC25" i="31" s="1"/>
  <c r="AP25" i="31" s="1"/>
  <c r="Z25" i="31"/>
  <c r="AB25" i="31" s="1"/>
  <c r="AO25" i="31" s="1"/>
  <c r="AA41" i="31"/>
  <c r="AC41" i="31" s="1"/>
  <c r="AP41" i="31" s="1"/>
  <c r="Z41" i="31"/>
  <c r="AB41" i="31" s="1"/>
  <c r="AO41" i="31" s="1"/>
  <c r="Z47" i="31"/>
  <c r="AB47" i="31" s="1"/>
  <c r="AO47" i="31" s="1"/>
  <c r="AA47" i="31"/>
  <c r="AC47" i="31" s="1"/>
  <c r="AP47" i="31" s="1"/>
  <c r="A24" i="40"/>
  <c r="AP5" i="40"/>
  <c r="AP5" i="61"/>
  <c r="A24" i="61"/>
  <c r="AO5" i="21"/>
  <c r="A22" i="21"/>
  <c r="AP5" i="38"/>
  <c r="A24" i="38"/>
  <c r="A22" i="74"/>
  <c r="AO5" i="74"/>
  <c r="AP5" i="29"/>
  <c r="A24" i="29"/>
  <c r="AO5" i="23"/>
  <c r="A22" i="23"/>
  <c r="A24" i="18"/>
  <c r="AP5" i="18"/>
  <c r="AO5" i="53"/>
  <c r="A22" i="53"/>
  <c r="AO5" i="45"/>
  <c r="A22" i="45"/>
  <c r="A22" i="49"/>
  <c r="AO5" i="49"/>
  <c r="A22" i="41"/>
  <c r="AO5" i="41"/>
  <c r="AO5" i="59"/>
  <c r="A22" i="59"/>
  <c r="AO5" i="28"/>
  <c r="A22" i="28"/>
  <c r="A22" i="36"/>
  <c r="AO5" i="36"/>
  <c r="A24" i="69"/>
  <c r="AP5" i="69"/>
  <c r="AP5" i="52"/>
  <c r="A24" i="52"/>
  <c r="A22" i="37"/>
  <c r="AO5" i="37"/>
  <c r="AA17" i="35"/>
  <c r="AC17" i="35" s="1"/>
  <c r="AP17" i="35" s="1"/>
  <c r="Z17" i="35"/>
  <c r="AB17" i="35" s="1"/>
  <c r="AO17" i="35" s="1"/>
  <c r="AA10" i="35"/>
  <c r="AC10" i="35" s="1"/>
  <c r="AP10" i="35" s="1"/>
  <c r="Z10" i="35"/>
  <c r="AB10" i="35" s="1"/>
  <c r="AO10" i="35" s="1"/>
  <c r="Z24" i="35"/>
  <c r="AB24" i="35" s="1"/>
  <c r="AO24" i="35" s="1"/>
  <c r="AA24" i="35"/>
  <c r="AC24" i="35" s="1"/>
  <c r="AP24" i="35" s="1"/>
  <c r="Z14" i="35"/>
  <c r="AB14" i="35" s="1"/>
  <c r="AO14" i="35" s="1"/>
  <c r="AA14" i="35"/>
  <c r="AC14" i="35" s="1"/>
  <c r="AP14" i="35" s="1"/>
  <c r="AA7" i="35"/>
  <c r="AC7" i="35" s="1"/>
  <c r="AP7" i="35" s="1"/>
  <c r="Z7" i="35"/>
  <c r="AB7" i="35" s="1"/>
  <c r="AO7" i="35" s="1"/>
  <c r="AA20" i="35"/>
  <c r="AC20" i="35" s="1"/>
  <c r="AP20" i="35" s="1"/>
  <c r="Z20" i="35"/>
  <c r="AB20" i="35" s="1"/>
  <c r="AO20" i="35" s="1"/>
  <c r="AA44" i="31"/>
  <c r="AC44" i="31" s="1"/>
  <c r="AP44" i="31" s="1"/>
  <c r="Z44" i="31"/>
  <c r="AB44" i="31" s="1"/>
  <c r="AO44" i="31" s="1"/>
  <c r="Z56" i="31"/>
  <c r="AB56" i="31" s="1"/>
  <c r="AO56" i="31" s="1"/>
  <c r="AA56" i="31"/>
  <c r="AC56" i="31" s="1"/>
  <c r="AP56" i="31" s="1"/>
  <c r="AA54" i="31"/>
  <c r="AC54" i="31" s="1"/>
  <c r="AP54" i="31" s="1"/>
  <c r="Z54" i="31"/>
  <c r="AB54" i="31" s="1"/>
  <c r="AO54" i="31" s="1"/>
  <c r="AA55" i="31"/>
  <c r="AC55" i="31" s="1"/>
  <c r="AP55" i="31" s="1"/>
  <c r="Z55" i="31"/>
  <c r="AB55" i="31" s="1"/>
  <c r="AO55" i="31" s="1"/>
  <c r="A22" i="22"/>
  <c r="AO5" i="22"/>
  <c r="A22" i="14"/>
  <c r="AO5" i="14"/>
  <c r="A22" i="58"/>
  <c r="AO5" i="58"/>
  <c r="A22" i="39"/>
  <c r="AO5" i="39"/>
  <c r="A24" i="57"/>
  <c r="AP5" i="57"/>
  <c r="A24" i="66"/>
  <c r="AP6" i="66"/>
  <c r="A22" i="26"/>
  <c r="AO5" i="26"/>
  <c r="A24" i="56"/>
  <c r="AP5" i="56"/>
  <c r="AO5" i="24"/>
  <c r="A22" i="24"/>
  <c r="L33" i="2"/>
  <c r="Q39" i="67"/>
  <c r="N40" i="67"/>
  <c r="AP5" i="30"/>
  <c r="A24" i="30"/>
  <c r="AO5" i="6"/>
  <c r="A22" i="6"/>
  <c r="A24" i="13"/>
  <c r="AP5" i="13"/>
  <c r="AO5" i="42"/>
  <c r="A22" i="42"/>
  <c r="U35" i="67"/>
  <c r="O60" i="67"/>
  <c r="A24" i="65"/>
  <c r="A24" i="34"/>
  <c r="A22" i="64"/>
  <c r="AO5" i="64"/>
  <c r="AO5" i="33"/>
  <c r="A22" i="33"/>
  <c r="A22" i="72"/>
  <c r="AO5" i="72"/>
  <c r="AA50" i="31"/>
  <c r="AC50" i="31" s="1"/>
  <c r="AP50" i="31" s="1"/>
  <c r="Z50" i="31"/>
  <c r="AB50" i="31" s="1"/>
  <c r="AO50" i="31" s="1"/>
  <c r="Z31" i="31"/>
  <c r="AB31" i="31" s="1"/>
  <c r="AO31" i="31" s="1"/>
  <c r="AA31" i="31"/>
  <c r="AC31" i="31" s="1"/>
  <c r="AP31" i="31" s="1"/>
  <c r="Z5" i="31"/>
  <c r="AB5" i="31" s="1"/>
  <c r="AA5" i="31"/>
  <c r="AC5" i="31" s="1"/>
  <c r="Z35" i="31"/>
  <c r="AB35" i="31" s="1"/>
  <c r="AO35" i="31" s="1"/>
  <c r="AA35" i="31"/>
  <c r="AC35" i="31" s="1"/>
  <c r="AP35" i="31" s="1"/>
  <c r="Z53" i="31"/>
  <c r="AB53" i="31" s="1"/>
  <c r="AO53" i="31" s="1"/>
  <c r="AA53" i="31"/>
  <c r="AC53" i="31" s="1"/>
  <c r="AP53" i="31" s="1"/>
  <c r="AA32" i="31"/>
  <c r="AC32" i="31" s="1"/>
  <c r="AP32" i="31" s="1"/>
  <c r="Z32" i="31"/>
  <c r="AB32" i="31" s="1"/>
  <c r="AO32" i="31" s="1"/>
  <c r="Z11" i="31"/>
  <c r="AB11" i="31" s="1"/>
  <c r="AO11" i="31" s="1"/>
  <c r="AA11" i="31"/>
  <c r="AC11" i="31" s="1"/>
  <c r="AP11" i="31" s="1"/>
  <c r="AA26" i="31"/>
  <c r="AC26" i="31" s="1"/>
  <c r="AP26" i="31" s="1"/>
  <c r="Z26" i="31"/>
  <c r="AB26" i="31" s="1"/>
  <c r="AO26" i="31" s="1"/>
  <c r="AA42" i="31"/>
  <c r="AC42" i="31" s="1"/>
  <c r="AP42" i="31" s="1"/>
  <c r="Z42" i="31"/>
  <c r="AB42" i="31" s="1"/>
  <c r="AO42" i="31" s="1"/>
  <c r="AA10" i="31"/>
  <c r="AC10" i="31" s="1"/>
  <c r="AP10" i="31" s="1"/>
  <c r="Z10" i="31"/>
  <c r="AB10" i="31" s="1"/>
  <c r="AO10" i="31" s="1"/>
  <c r="AA29" i="31"/>
  <c r="AC29" i="31" s="1"/>
  <c r="AP29" i="31" s="1"/>
  <c r="Z29" i="31"/>
  <c r="AB29" i="31" s="1"/>
  <c r="AO29" i="31" s="1"/>
  <c r="Z45" i="31"/>
  <c r="AB45" i="31" s="1"/>
  <c r="AO45" i="31" s="1"/>
  <c r="AA45" i="31"/>
  <c r="AC45" i="31" s="1"/>
  <c r="AP45" i="31" s="1"/>
  <c r="AA51" i="31"/>
  <c r="AC51" i="31" s="1"/>
  <c r="AP51" i="31" s="1"/>
  <c r="Z51" i="31"/>
  <c r="AB51" i="31" s="1"/>
  <c r="AO51" i="31" s="1"/>
  <c r="A22" i="40"/>
  <c r="AO5" i="40"/>
  <c r="AO5" i="61"/>
  <c r="A22" i="61"/>
  <c r="AP5" i="21"/>
  <c r="A24" i="21"/>
  <c r="A24" i="70"/>
  <c r="AP5" i="70"/>
  <c r="AO5" i="3"/>
  <c r="A22" i="3"/>
  <c r="U8" i="67"/>
  <c r="AO5" i="63"/>
  <c r="A22" i="63"/>
  <c r="A24" i="15"/>
  <c r="AP5" i="15"/>
  <c r="AP5" i="23"/>
  <c r="A24" i="23"/>
  <c r="A22" i="18"/>
  <c r="AO5" i="18"/>
  <c r="A24" i="53"/>
  <c r="AP5" i="53"/>
  <c r="AP5" i="45"/>
  <c r="A24" i="45"/>
  <c r="A24" i="49"/>
  <c r="AP5" i="49"/>
  <c r="A24" i="41"/>
  <c r="AP5" i="41"/>
  <c r="A24" i="59"/>
  <c r="AP5" i="59"/>
  <c r="A24" i="28"/>
  <c r="AP5" i="28"/>
  <c r="A24" i="32"/>
  <c r="AP5" i="32"/>
  <c r="A24" i="22"/>
  <c r="AP5" i="22"/>
  <c r="N69" i="68"/>
  <c r="Q64" i="68"/>
  <c r="A22" i="69"/>
  <c r="AO5" i="69"/>
  <c r="A22" i="52"/>
  <c r="AO5" i="52"/>
  <c r="A24" i="37"/>
  <c r="AP5" i="37"/>
  <c r="AA18" i="35"/>
  <c r="AC18" i="35" s="1"/>
  <c r="AP18" i="35" s="1"/>
  <c r="Z18" i="35"/>
  <c r="AB18" i="35" s="1"/>
  <c r="AO18" i="35" s="1"/>
  <c r="Z16" i="35"/>
  <c r="AB16" i="35" s="1"/>
  <c r="AO16" i="35" s="1"/>
  <c r="AA16" i="35"/>
  <c r="AC16" i="35" s="1"/>
  <c r="AP16" i="35" s="1"/>
  <c r="AA5" i="35"/>
  <c r="AC5" i="35" s="1"/>
  <c r="Z5" i="35"/>
  <c r="AB5" i="35" s="1"/>
  <c r="AA11" i="35"/>
  <c r="AC11" i="35" s="1"/>
  <c r="AP11" i="35" s="1"/>
  <c r="Z11" i="35"/>
  <c r="AB11" i="35" s="1"/>
  <c r="AO11" i="35" s="1"/>
  <c r="AP5" i="27"/>
  <c r="A24" i="27"/>
  <c r="A22" i="27"/>
  <c r="AO5" i="27"/>
  <c r="V30" i="67" l="1"/>
  <c r="V13" i="67"/>
  <c r="V29" i="68"/>
  <c r="V15" i="67"/>
  <c r="V18" i="67"/>
  <c r="V9" i="67"/>
  <c r="O10" i="2" s="1"/>
  <c r="O15" i="2"/>
  <c r="N30" i="2"/>
  <c r="N32" i="2"/>
  <c r="L34" i="2"/>
  <c r="V19" i="67"/>
  <c r="O32" i="2"/>
  <c r="N13" i="2"/>
  <c r="N35" i="2"/>
  <c r="N9" i="2"/>
  <c r="V25" i="67"/>
  <c r="O19" i="2"/>
  <c r="O27" i="2"/>
  <c r="O13" i="2"/>
  <c r="N6" i="2"/>
  <c r="V8" i="67"/>
  <c r="L37" i="2"/>
  <c r="N16" i="2"/>
  <c r="Q37" i="67"/>
  <c r="R29" i="67"/>
  <c r="V6" i="67"/>
  <c r="R22" i="67"/>
  <c r="V22" i="67" s="1"/>
  <c r="U30" i="67"/>
  <c r="Q22" i="67"/>
  <c r="U23" i="67"/>
  <c r="V32" i="67"/>
  <c r="V26" i="67"/>
  <c r="V33" i="67"/>
  <c r="U18" i="67"/>
  <c r="M8" i="2"/>
  <c r="V36" i="67"/>
  <c r="K22" i="2"/>
  <c r="J62" i="67"/>
  <c r="Q60" i="67"/>
  <c r="U12" i="67"/>
  <c r="V12" i="67"/>
  <c r="K62" i="67"/>
  <c r="U26" i="67"/>
  <c r="U31" i="67"/>
  <c r="V17" i="67"/>
  <c r="V31" i="67"/>
  <c r="Q7" i="67"/>
  <c r="S21" i="67"/>
  <c r="U15" i="67"/>
  <c r="V14" i="67"/>
  <c r="R34" i="67"/>
  <c r="U27" i="67"/>
  <c r="U24" i="67"/>
  <c r="U17" i="67"/>
  <c r="U19" i="67"/>
  <c r="O21" i="67"/>
  <c r="U28" i="67"/>
  <c r="T21" i="67"/>
  <c r="M22" i="2" s="1"/>
  <c r="K21" i="67"/>
  <c r="U25" i="67"/>
  <c r="R60" i="67"/>
  <c r="V35" i="67"/>
  <c r="V27" i="67"/>
  <c r="R7" i="67"/>
  <c r="V24" i="67"/>
  <c r="V16" i="67"/>
  <c r="U36" i="67"/>
  <c r="V23" i="67"/>
  <c r="U37" i="67"/>
  <c r="R37" i="67"/>
  <c r="L23" i="2"/>
  <c r="N21" i="67"/>
  <c r="V28" i="67"/>
  <c r="R20" i="67"/>
  <c r="M31" i="2"/>
  <c r="U14" i="67"/>
  <c r="I62" i="67"/>
  <c r="U32" i="67"/>
  <c r="H62" i="67"/>
  <c r="I70" i="68"/>
  <c r="U19" i="68"/>
  <c r="V36" i="68"/>
  <c r="U39" i="68"/>
  <c r="V27" i="68"/>
  <c r="E40" i="2"/>
  <c r="V42" i="68"/>
  <c r="U14" i="68"/>
  <c r="F15" i="2" s="1"/>
  <c r="V19" i="68"/>
  <c r="V8" i="68"/>
  <c r="U35" i="68"/>
  <c r="V35" i="68"/>
  <c r="V32" i="68"/>
  <c r="D45" i="2"/>
  <c r="V14" i="68"/>
  <c r="V33" i="68"/>
  <c r="D44" i="2"/>
  <c r="N34" i="68"/>
  <c r="U12" i="68"/>
  <c r="Q29" i="67"/>
  <c r="L21" i="2"/>
  <c r="Q34" i="67"/>
  <c r="U33" i="68"/>
  <c r="V20" i="68"/>
  <c r="V25" i="68"/>
  <c r="V13" i="68"/>
  <c r="L8" i="2"/>
  <c r="V9" i="68"/>
  <c r="U20" i="68"/>
  <c r="U32" i="68"/>
  <c r="V12" i="68"/>
  <c r="U42" i="68"/>
  <c r="U27" i="68"/>
  <c r="E25" i="2"/>
  <c r="E37" i="2" s="1"/>
  <c r="U26" i="68"/>
  <c r="R22" i="68"/>
  <c r="V6" i="68"/>
  <c r="E8" i="2"/>
  <c r="K23" i="68"/>
  <c r="T23" i="68"/>
  <c r="T70" i="68" s="1"/>
  <c r="C24" i="2"/>
  <c r="C48" i="2" s="1"/>
  <c r="S23" i="68"/>
  <c r="J70" i="68"/>
  <c r="F35" i="2"/>
  <c r="D8" i="2"/>
  <c r="V46" i="68"/>
  <c r="V40" i="68"/>
  <c r="U8" i="68"/>
  <c r="U21" i="68"/>
  <c r="Q63" i="68"/>
  <c r="U18" i="68"/>
  <c r="R7" i="68"/>
  <c r="V31" i="68"/>
  <c r="V21" i="68"/>
  <c r="G33" i="2"/>
  <c r="N23" i="68"/>
  <c r="F26" i="2"/>
  <c r="V17" i="68"/>
  <c r="F43" i="2"/>
  <c r="V28" i="68"/>
  <c r="U40" i="68"/>
  <c r="V18" i="68"/>
  <c r="U31" i="68"/>
  <c r="U17" i="68"/>
  <c r="V10" i="68"/>
  <c r="V47" i="68"/>
  <c r="U10" i="68"/>
  <c r="R24" i="68"/>
  <c r="G15" i="2"/>
  <c r="V26" i="68"/>
  <c r="O23" i="68"/>
  <c r="V39" i="68"/>
  <c r="U9" i="68"/>
  <c r="U11" i="68"/>
  <c r="V11" i="68"/>
  <c r="G26" i="2"/>
  <c r="U37" i="68"/>
  <c r="F6" i="2"/>
  <c r="F14" i="2"/>
  <c r="F41" i="2"/>
  <c r="F32" i="2"/>
  <c r="U48" i="68"/>
  <c r="N44" i="68"/>
  <c r="U15" i="68"/>
  <c r="U25" i="68"/>
  <c r="F27" i="2"/>
  <c r="V15" i="68"/>
  <c r="U28" i="68"/>
  <c r="G32" i="2"/>
  <c r="R38" i="68"/>
  <c r="D25" i="2"/>
  <c r="V30" i="68"/>
  <c r="R63" i="68"/>
  <c r="E29" i="68"/>
  <c r="E9" i="68"/>
  <c r="E12" i="68"/>
  <c r="K70" i="68"/>
  <c r="Q24" i="68"/>
  <c r="D23" i="2"/>
  <c r="Q20" i="67"/>
  <c r="U9" i="67"/>
  <c r="D39" i="2"/>
  <c r="Q43" i="68"/>
  <c r="V29" i="67"/>
  <c r="E11" i="68"/>
  <c r="E45" i="68"/>
  <c r="E32" i="68"/>
  <c r="E10" i="68"/>
  <c r="E15" i="68"/>
  <c r="E27" i="68"/>
  <c r="E14" i="68"/>
  <c r="E42" i="68"/>
  <c r="E6" i="68"/>
  <c r="Q22" i="68"/>
  <c r="E13" i="68"/>
  <c r="E17" i="68"/>
  <c r="E26" i="68"/>
  <c r="E46" i="68"/>
  <c r="E28" i="68"/>
  <c r="E25" i="68"/>
  <c r="E34" i="68"/>
  <c r="O41" i="68"/>
  <c r="R43" i="68"/>
  <c r="O44" i="68"/>
  <c r="D34" i="2"/>
  <c r="Q38" i="68"/>
  <c r="N41" i="68"/>
  <c r="M42" i="2"/>
  <c r="U7" i="68"/>
  <c r="AP5" i="35"/>
  <c r="A24" i="35"/>
  <c r="R69" i="68"/>
  <c r="U39" i="67"/>
  <c r="Q40" i="67"/>
  <c r="O61" i="67"/>
  <c r="D46" i="2"/>
  <c r="Q69" i="68"/>
  <c r="A24" i="31"/>
  <c r="AP5" i="31"/>
  <c r="N61" i="67"/>
  <c r="L38" i="2"/>
  <c r="V45" i="68"/>
  <c r="R48" i="68"/>
  <c r="AO5" i="35"/>
  <c r="A22" i="35"/>
  <c r="A22" i="31"/>
  <c r="AO5" i="31"/>
  <c r="V20" i="67"/>
  <c r="R21" i="67"/>
  <c r="V39" i="67"/>
  <c r="R40" i="67"/>
  <c r="M40" i="2" l="1"/>
  <c r="K40" i="2"/>
  <c r="G29" i="2"/>
  <c r="O36" i="2"/>
  <c r="F31" i="2"/>
  <c r="N25" i="2"/>
  <c r="O29" i="2"/>
  <c r="N29" i="2"/>
  <c r="N26" i="2"/>
  <c r="O14" i="2"/>
  <c r="O28" i="2"/>
  <c r="N19" i="2"/>
  <c r="N27" i="2"/>
  <c r="G31" i="2"/>
  <c r="O33" i="2"/>
  <c r="O34" i="2" s="1"/>
  <c r="N10" i="2"/>
  <c r="F29" i="2"/>
  <c r="O25" i="2"/>
  <c r="O17" i="2"/>
  <c r="N12" i="2"/>
  <c r="O30" i="2"/>
  <c r="O12" i="2"/>
  <c r="D40" i="2"/>
  <c r="G13" i="2"/>
  <c r="F21" i="2"/>
  <c r="N14" i="2"/>
  <c r="O23" i="2"/>
  <c r="O35" i="2"/>
  <c r="G21" i="2"/>
  <c r="L31" i="2"/>
  <c r="G10" i="2"/>
  <c r="G30" i="2"/>
  <c r="N20" i="2"/>
  <c r="N28" i="2"/>
  <c r="O6" i="2"/>
  <c r="O20" i="2"/>
  <c r="F30" i="2"/>
  <c r="N24" i="2"/>
  <c r="F20" i="2"/>
  <c r="O16" i="2"/>
  <c r="G6" i="2"/>
  <c r="G14" i="2"/>
  <c r="N17" i="2"/>
  <c r="N15" i="2"/>
  <c r="F13" i="2"/>
  <c r="O9" i="2"/>
  <c r="N33" i="2"/>
  <c r="N34" i="2" s="1"/>
  <c r="O26" i="2"/>
  <c r="N36" i="2"/>
  <c r="N37" i="2" s="1"/>
  <c r="O24" i="2"/>
  <c r="O37" i="2"/>
  <c r="U22" i="67"/>
  <c r="V7" i="67"/>
  <c r="Q61" i="67"/>
  <c r="U29" i="67"/>
  <c r="L22" i="2"/>
  <c r="O62" i="67"/>
  <c r="N62" i="67"/>
  <c r="R61" i="67"/>
  <c r="U34" i="67"/>
  <c r="U20" i="67"/>
  <c r="V40" i="67"/>
  <c r="V37" i="67"/>
  <c r="T62" i="67"/>
  <c r="S62" i="67"/>
  <c r="U40" i="67"/>
  <c r="U7" i="67"/>
  <c r="V34" i="67"/>
  <c r="G20" i="2"/>
  <c r="G9" i="2"/>
  <c r="G38" i="2"/>
  <c r="R23" i="68"/>
  <c r="V22" i="68"/>
  <c r="F38" i="2"/>
  <c r="D37" i="2"/>
  <c r="V7" i="68"/>
  <c r="S70" i="68"/>
  <c r="E24" i="2"/>
  <c r="E48" i="2" s="1"/>
  <c r="E51" i="2" s="1"/>
  <c r="Q34" i="68"/>
  <c r="F11" i="2"/>
  <c r="F18" i="2"/>
  <c r="F22" i="2"/>
  <c r="G41" i="2"/>
  <c r="V23" i="68"/>
  <c r="G35" i="2"/>
  <c r="G42" i="2"/>
  <c r="F28" i="2"/>
  <c r="G18" i="2"/>
  <c r="Q41" i="68"/>
  <c r="U38" i="68"/>
  <c r="Q23" i="68"/>
  <c r="G27" i="2"/>
  <c r="G16" i="2"/>
  <c r="G11" i="2"/>
  <c r="G28" i="2"/>
  <c r="F9" i="2"/>
  <c r="U43" i="68"/>
  <c r="F33" i="2"/>
  <c r="F12" i="2"/>
  <c r="G19" i="2"/>
  <c r="G36" i="2"/>
  <c r="R34" i="68"/>
  <c r="V24" i="68"/>
  <c r="R41" i="68"/>
  <c r="D24" i="2"/>
  <c r="F10" i="2"/>
  <c r="F8" i="2"/>
  <c r="V38" i="68"/>
  <c r="F44" i="2"/>
  <c r="F36" i="2"/>
  <c r="V48" i="68"/>
  <c r="U24" i="68"/>
  <c r="F16" i="2"/>
  <c r="G12" i="2"/>
  <c r="G22" i="2"/>
  <c r="F19" i="2"/>
  <c r="G43" i="2"/>
  <c r="Q21" i="67"/>
  <c r="Q44" i="68"/>
  <c r="U22" i="68"/>
  <c r="O70" i="68"/>
  <c r="V43" i="68"/>
  <c r="R44" i="68"/>
  <c r="N70" i="68"/>
  <c r="V21" i="67"/>
  <c r="V69" i="68"/>
  <c r="L40" i="2" l="1"/>
  <c r="L42" i="2"/>
  <c r="N8" i="2"/>
  <c r="O31" i="2"/>
  <c r="N31" i="2"/>
  <c r="O8" i="2"/>
  <c r="N23" i="2"/>
  <c r="D51" i="2"/>
  <c r="G8" i="2"/>
  <c r="O22" i="2"/>
  <c r="Q62" i="67"/>
  <c r="R62" i="67"/>
  <c r="D48" i="2"/>
  <c r="G39" i="2"/>
  <c r="F25" i="2"/>
  <c r="G34" i="2"/>
  <c r="U44" i="68"/>
  <c r="G44" i="2"/>
  <c r="F34" i="2"/>
  <c r="U41" i="68"/>
  <c r="G24" i="2"/>
  <c r="V41" i="68"/>
  <c r="U21" i="67"/>
  <c r="F39" i="2"/>
  <c r="Q70" i="68"/>
  <c r="G25" i="2"/>
  <c r="U23" i="68"/>
  <c r="V44" i="68"/>
  <c r="V34" i="68"/>
  <c r="U34" i="68"/>
  <c r="R70" i="68"/>
  <c r="N22" i="2" l="1"/>
  <c r="V62" i="67"/>
  <c r="U62" i="67"/>
  <c r="V70" i="68"/>
  <c r="F40" i="2"/>
  <c r="G37" i="2"/>
  <c r="U70" i="68"/>
  <c r="G40" i="2"/>
  <c r="F24" i="2"/>
  <c r="F37" i="2"/>
  <c r="N40" i="2" l="1"/>
  <c r="O40" i="2"/>
  <c r="F48" i="2"/>
  <c r="G48" i="2"/>
</calcChain>
</file>

<file path=xl/comments1.xml><?xml version="1.0" encoding="utf-8"?>
<comments xmlns="http://schemas.openxmlformats.org/spreadsheetml/2006/main">
  <authors>
    <author>Curtis, Kasey</author>
  </authors>
  <commentList>
    <comment ref="I11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$10.03 was added to this, per a notice by Lance that this amount was mis-charged to the wrong account code and should be added to 2021. 
</t>
        </r>
      </text>
    </comment>
  </commentList>
</comments>
</file>

<file path=xl/comments1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Evaluated Savings in 2020 came to 904,454 therms.  The difference between reported and evaluated savings in 2020 is reported as the decrement in 2021.</t>
        </r>
      </text>
    </comment>
    <comment ref="O8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The evaluated savings in 2022 came to 1,220,951 therms.  Because this is higher than the reported savings, this number "trues up" the biennium number to the actual evaluated savings number.
</t>
        </r>
      </text>
    </comment>
  </commentList>
</comments>
</file>

<file path=xl/comments1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.xml><?xml version="1.0" encoding="utf-8"?>
<comments xmlns="http://schemas.openxmlformats.org/spreadsheetml/2006/main">
  <authors>
    <author>Wildie, Michelle</author>
  </authors>
  <commentList>
    <comment ref="B6" authorId="0" shapeId="0">
      <text>
        <r>
          <rPr>
            <b/>
            <sz val="9"/>
            <color indexed="81"/>
            <rFont val="Tahoma"/>
            <charset val="1"/>
          </rPr>
          <t>Wildie, Michelle:</t>
        </r>
        <r>
          <rPr>
            <sz val="9"/>
            <color indexed="81"/>
            <rFont val="Tahoma"/>
            <charset val="1"/>
          </rPr>
          <t xml:space="preserve">
Corrected existing 2021 data in sheet</t>
        </r>
      </text>
    </comment>
    <comment ref="C6" authorId="0" shapeId="0">
      <text>
        <r>
          <rPr>
            <b/>
            <sz val="9"/>
            <color indexed="81"/>
            <rFont val="Tahoma"/>
            <charset val="1"/>
          </rPr>
          <t>Wildie, Michelle:</t>
        </r>
        <r>
          <rPr>
            <sz val="9"/>
            <color indexed="81"/>
            <rFont val="Tahoma"/>
            <charset val="1"/>
          </rPr>
          <t xml:space="preserve">
Corrected order numbers for 2021 data in sheet</t>
        </r>
      </text>
    </comment>
  </commentList>
</comments>
</file>

<file path=xl/comments2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8.xml><?xml version="1.0" encoding="utf-8"?>
<comments xmlns="http://schemas.openxmlformats.org/spreadsheetml/2006/main">
  <authors>
    <author>Curtis, Kasey</author>
    <author>Wildie, Michelle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  <comment ref="A6" authorId="1" shapeId="0">
      <text>
        <r>
          <rPr>
            <b/>
            <sz val="9"/>
            <color indexed="81"/>
            <rFont val="Tahoma"/>
            <charset val="1"/>
          </rPr>
          <t>Wildie, Michelle:</t>
        </r>
        <r>
          <rPr>
            <sz val="9"/>
            <color indexed="81"/>
            <rFont val="Tahoma"/>
            <charset val="1"/>
          </rPr>
          <t xml:space="preserve">
Not applicable for gas version; legacy reasons.</t>
        </r>
      </text>
    </comment>
    <comment ref="A8" authorId="1" shapeId="0">
      <text>
        <r>
          <rPr>
            <b/>
            <sz val="9"/>
            <color indexed="81"/>
            <rFont val="Tahoma"/>
            <family val="2"/>
          </rPr>
          <t>Wildie, Michelle:</t>
        </r>
        <r>
          <rPr>
            <sz val="9"/>
            <color indexed="81"/>
            <rFont val="Tahoma"/>
            <family val="2"/>
          </rPr>
          <t xml:space="preserve">
Not applicable for gas version; legacy reasons.</t>
        </r>
      </text>
    </comment>
  </commentList>
</comments>
</file>

<file path=xl/comments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sharedStrings.xml><?xml version="1.0" encoding="utf-8"?>
<sst xmlns="http://schemas.openxmlformats.org/spreadsheetml/2006/main" count="17745" uniqueCount="2582">
  <si>
    <t>Entered</t>
  </si>
  <si>
    <t>TARIFFID</t>
  </si>
  <si>
    <t>ORDERNAME</t>
  </si>
  <si>
    <t>ORDERNUM</t>
  </si>
  <si>
    <t>Labor</t>
  </si>
  <si>
    <t>Overhead</t>
  </si>
  <si>
    <t>Marketing</t>
  </si>
  <si>
    <t>Employee Expense</t>
  </si>
  <si>
    <t>Outside Services</t>
  </si>
  <si>
    <t>Materials</t>
  </si>
  <si>
    <t>Miscellaneous</t>
  </si>
  <si>
    <t>DBtC</t>
  </si>
  <si>
    <t>Revenue</t>
  </si>
  <si>
    <t>Total</t>
  </si>
  <si>
    <t>Total -DBTC</t>
  </si>
  <si>
    <t>E214</t>
  </si>
  <si>
    <t>Smart Thermostats {E}</t>
  </si>
  <si>
    <t>E215</t>
  </si>
  <si>
    <t>Manufactured Home New Construction {E}</t>
  </si>
  <si>
    <t>n/a E507</t>
  </si>
  <si>
    <t>Automated Benchmarking System {E}</t>
  </si>
  <si>
    <t>E249A</t>
  </si>
  <si>
    <t>Targeted Demand Response {E}</t>
  </si>
  <si>
    <t>n/a G507</t>
  </si>
  <si>
    <t>Automated Benchmarking System {G}</t>
  </si>
  <si>
    <t>E249C</t>
  </si>
  <si>
    <t>Commercial Pay for Performance Pilot {E}</t>
  </si>
  <si>
    <t>G249A</t>
  </si>
  <si>
    <t>Targeted Demand Response {G}</t>
  </si>
  <si>
    <t>n/a E65</t>
  </si>
  <si>
    <t>Biennial Conservation Acquisition Review {E}</t>
  </si>
  <si>
    <t>G262</t>
  </si>
  <si>
    <t>Commercial Midstream {G}</t>
  </si>
  <si>
    <t>G214</t>
  </si>
  <si>
    <t>SF Existing Water Heat {G}</t>
  </si>
  <si>
    <t>Moderate Income Residences {G}</t>
  </si>
  <si>
    <t>G249R</t>
  </si>
  <si>
    <t>Retail Choice {G}</t>
  </si>
  <si>
    <t>Single Family New Construction {E}</t>
  </si>
  <si>
    <t>E217</t>
  </si>
  <si>
    <t>Multi Family Retrofit {E}</t>
  </si>
  <si>
    <t>OandM</t>
  </si>
  <si>
    <t>Carbon Offset</t>
  </si>
  <si>
    <t>n/a E61</t>
  </si>
  <si>
    <t>Conservation Supply Curves {E}</t>
  </si>
  <si>
    <t>n/a G61</t>
  </si>
  <si>
    <t>Conservation Supply Curves {G}</t>
  </si>
  <si>
    <t>n/a E510</t>
  </si>
  <si>
    <t>Customer Awareness Tools {E}</t>
  </si>
  <si>
    <t>E254</t>
  </si>
  <si>
    <t>NW Energy Efficiency Alliance {E}</t>
  </si>
  <si>
    <t>Home Appliances {E}</t>
  </si>
  <si>
    <t>Residential Showerheads {E}</t>
  </si>
  <si>
    <t>Residential Lighting {E}</t>
  </si>
  <si>
    <t>Home Energy Reports {E}</t>
  </si>
  <si>
    <t>n/a G510</t>
  </si>
  <si>
    <t>Customer Awareness Tools {G}</t>
  </si>
  <si>
    <t>Customer Digital Experience {E}</t>
  </si>
  <si>
    <t>Customer Digital Experience {G}</t>
  </si>
  <si>
    <t>E218</t>
  </si>
  <si>
    <t>Multi Family New Construction {E}</t>
  </si>
  <si>
    <t>n/a E501</t>
  </si>
  <si>
    <t>Data and Systems Services {E}</t>
  </si>
  <si>
    <t>n/a G501</t>
  </si>
  <si>
    <t>Data and Systems Services {G}</t>
  </si>
  <si>
    <t>E250</t>
  </si>
  <si>
    <t>Digital Experience {E}</t>
  </si>
  <si>
    <t>Digital Experience {G}</t>
  </si>
  <si>
    <t>n/a E503</t>
  </si>
  <si>
    <t>EES Verification {E}</t>
  </si>
  <si>
    <t>E262</t>
  </si>
  <si>
    <t>Commercial Midstream {E}</t>
  </si>
  <si>
    <t>n/a G503</t>
  </si>
  <si>
    <t>EES Verification {G}</t>
  </si>
  <si>
    <t>E201</t>
  </si>
  <si>
    <t>Low Income Weatherization {E}</t>
  </si>
  <si>
    <t>n/a E508</t>
  </si>
  <si>
    <t>Energy Advisors {E}</t>
  </si>
  <si>
    <t>Home Energy Assessments {E}</t>
  </si>
  <si>
    <t>SF Existing Water Heat {E}</t>
  </si>
  <si>
    <t>SF Existing Weatherization {E}</t>
  </si>
  <si>
    <t>SF Existing Space Heat {E}</t>
  </si>
  <si>
    <t>SF Existing Weatherization {G}</t>
  </si>
  <si>
    <t>SF Existing Space Heat {G}</t>
  </si>
  <si>
    <t>G249C</t>
  </si>
  <si>
    <t>Commercial Pay for Performance Pilot {G}</t>
  </si>
  <si>
    <t>n/a G508</t>
  </si>
  <si>
    <t>Energy Advisors {G}</t>
  </si>
  <si>
    <t>n/a E509</t>
  </si>
  <si>
    <t>Energy Efficient Communities {E}</t>
  </si>
  <si>
    <t>n/a G509</t>
  </si>
  <si>
    <t>Energy Efficient Communities {G}</t>
  </si>
  <si>
    <t>n/a E512</t>
  </si>
  <si>
    <t>Events {E}</t>
  </si>
  <si>
    <t>n/a G512</t>
  </si>
  <si>
    <t>Events {G}</t>
  </si>
  <si>
    <t>E292</t>
  </si>
  <si>
    <t>Generation Transmission and Distribution {E}</t>
  </si>
  <si>
    <t>Green Power Tags Program</t>
  </si>
  <si>
    <t>Industrial Energy Management {E}</t>
  </si>
  <si>
    <t>BTL</t>
  </si>
  <si>
    <t>LIW Macquarie {SH}</t>
  </si>
  <si>
    <t>G218</t>
  </si>
  <si>
    <t>Multi Family New Construction {G}</t>
  </si>
  <si>
    <t>Local Energy Development</t>
  </si>
  <si>
    <t>G215</t>
  </si>
  <si>
    <t>Single Family New Construction {G}</t>
  </si>
  <si>
    <t>Smart Thermostats {G}</t>
  </si>
  <si>
    <t>G201</t>
  </si>
  <si>
    <t>Low Income Weatherization {G}</t>
  </si>
  <si>
    <t>n/a E511</t>
  </si>
  <si>
    <t>Market Integration {E}</t>
  </si>
  <si>
    <t>G253</t>
  </si>
  <si>
    <t>Commercial Strategic Energy Management {G}</t>
  </si>
  <si>
    <t>n/a G511</t>
  </si>
  <si>
    <t>Market Integration {G}</t>
  </si>
  <si>
    <t>n/a E63</t>
  </si>
  <si>
    <t>Market Research {E}</t>
  </si>
  <si>
    <t>Residential Showerheads {G}</t>
  </si>
  <si>
    <t>n/a G63</t>
  </si>
  <si>
    <t>Market Research {G}</t>
  </si>
  <si>
    <t>xG254</t>
  </si>
  <si>
    <t>NEEA Gas Market Transformation {G}</t>
  </si>
  <si>
    <t>G251</t>
  </si>
  <si>
    <t>Commercial Industrial New Construction {G}</t>
  </si>
  <si>
    <t>Commercial Industrial Retrofit {E}</t>
  </si>
  <si>
    <t>E150</t>
  </si>
  <si>
    <t>Net Metering {E}</t>
  </si>
  <si>
    <t>Lighting to Go {E}</t>
  </si>
  <si>
    <t>E251</t>
  </si>
  <si>
    <t>Commercial Industrial New Construction {E}</t>
  </si>
  <si>
    <t>Commercial Kitchen Laundry {E}</t>
  </si>
  <si>
    <t>Commercial HVAC {E}</t>
  </si>
  <si>
    <t>E258</t>
  </si>
  <si>
    <t>High Voltage Program 449 {E}</t>
  </si>
  <si>
    <t>High Voltage Program 40 46 49 {E}</t>
  </si>
  <si>
    <t>E253</t>
  </si>
  <si>
    <t>Commercial Strategic Energy Management {E}</t>
  </si>
  <si>
    <t>Business Lighting - Grants {E}</t>
  </si>
  <si>
    <t>n/a E64</t>
  </si>
  <si>
    <t>Program Evaluation {E}</t>
  </si>
  <si>
    <t>G250</t>
  </si>
  <si>
    <t>Commercial Industrial Retrofit {G}</t>
  </si>
  <si>
    <t>n/a G64</t>
  </si>
  <si>
    <t>Program Evaluation {G}</t>
  </si>
  <si>
    <t>G217</t>
  </si>
  <si>
    <t>Multi Family Retrofit {G}</t>
  </si>
  <si>
    <t>n/a E504</t>
  </si>
  <si>
    <t>Programs Support {E}</t>
  </si>
  <si>
    <t>Home Energy Reports {G}</t>
  </si>
  <si>
    <t>n/a G504</t>
  </si>
  <si>
    <t>Programs Support {G}</t>
  </si>
  <si>
    <t>n/a E502</t>
  </si>
  <si>
    <t>Rebates Processing {E}</t>
  </si>
  <si>
    <t>n/a G502</t>
  </si>
  <si>
    <t>Rebates Processing {G}</t>
  </si>
  <si>
    <t>E249R</t>
  </si>
  <si>
    <t>Single Family AMI Engagement {E}</t>
  </si>
  <si>
    <t>Retail Choice {E}</t>
  </si>
  <si>
    <t>Moderate Income Residences {E}</t>
  </si>
  <si>
    <t>Resource Accounting Software {E}</t>
  </si>
  <si>
    <t>Resource Accounting Software {G}</t>
  </si>
  <si>
    <t>SMB Virtual Commissioning {E}</t>
  </si>
  <si>
    <t>Small Business Direct Install {G}</t>
  </si>
  <si>
    <t>Commercial Kitchen Laundry {G}</t>
  </si>
  <si>
    <t>Commercial HVAC {G}</t>
  </si>
  <si>
    <t>SMB Virtual Commissioning {G}</t>
  </si>
  <si>
    <t>State Grants {E}</t>
  </si>
  <si>
    <t>Industrial Energy Management {G}</t>
  </si>
  <si>
    <t>n/a E62</t>
  </si>
  <si>
    <t>Strategic Planning {E}</t>
  </si>
  <si>
    <t>n/a G62</t>
  </si>
  <si>
    <t>Strategic Planning {G}</t>
  </si>
  <si>
    <t>E219</t>
  </si>
  <si>
    <t>Targeted DSM {E}</t>
  </si>
  <si>
    <t>Industrial System Optimization {E}</t>
  </si>
  <si>
    <t>Small Business Direct Install {E}</t>
  </si>
  <si>
    <t>G219</t>
  </si>
  <si>
    <t>Targeted DSM {G}</t>
  </si>
  <si>
    <t>Low Income Weatherization {SH}</t>
  </si>
  <si>
    <t>n/a E505</t>
  </si>
  <si>
    <t>Trade Ally Memberships {E}</t>
  </si>
  <si>
    <t>n/a G505</t>
  </si>
  <si>
    <t>Trade Ally Memberships {G}</t>
  </si>
  <si>
    <t>n/a E506</t>
  </si>
  <si>
    <t>Trade Ally Network {E}</t>
  </si>
  <si>
    <t>n/a G506</t>
  </si>
  <si>
    <t>Trade Ally Network {G}</t>
  </si>
  <si>
    <t>Rtn to Summary</t>
  </si>
  <si>
    <t>Order Number</t>
  </si>
  <si>
    <t>Program Name</t>
  </si>
  <si>
    <t>Discount Rate:</t>
  </si>
  <si>
    <t>Paste in incentives but use DBtC for Total</t>
  </si>
  <si>
    <t>Program:</t>
  </si>
  <si>
    <t>paste</t>
  </si>
  <si>
    <t xml:space="preserve"> Paste</t>
  </si>
  <si>
    <t xml:space="preserve"> paste</t>
  </si>
  <si>
    <t>Formula: G + H</t>
  </si>
  <si>
    <t>Formula: (O/A10)*T</t>
  </si>
  <si>
    <t>Formula: N - M</t>
  </si>
  <si>
    <t>Formula: O/A10</t>
  </si>
  <si>
    <t>Formula: W*A8</t>
  </si>
  <si>
    <t>Formula: Q - P</t>
  </si>
  <si>
    <t>Formula: X + DBtC</t>
  </si>
  <si>
    <t>Formula: Q + X</t>
  </si>
  <si>
    <t>Formula: AA/(1+ElecDiscountRate)^1</t>
  </si>
  <si>
    <t>formula: Logic to lookup from AC tables and adjust by savings and quantity</t>
  </si>
  <si>
    <t>formula: AN/AC</t>
  </si>
  <si>
    <t xml:space="preserve">Sch. No. </t>
  </si>
  <si>
    <t>Measure Version</t>
  </si>
  <si>
    <t>Measure Name</t>
  </si>
  <si>
    <t>First Period Measure Life</t>
  </si>
  <si>
    <t>Second period Measure Life</t>
  </si>
  <si>
    <t>Electric End-Use Type</t>
  </si>
  <si>
    <t xml:space="preserve">Number of units offered </t>
  </si>
  <si>
    <t>Savings per Unit Period 1</t>
  </si>
  <si>
    <t>Savngs per Unit Period 2</t>
  </si>
  <si>
    <t xml:space="preserve">Incentives Per Unit </t>
  </si>
  <si>
    <t xml:space="preserve">Incremental Measure Cost per Unit </t>
  </si>
  <si>
    <t>Total First Year Savings</t>
  </si>
  <si>
    <t>Total Incentive</t>
  </si>
  <si>
    <t>Total Incremental Measure Cost</t>
  </si>
  <si>
    <t>Unit First Year Non-Energy Benefits</t>
  </si>
  <si>
    <t>Unit Annual 
Net Equipment O&amp;M</t>
  </si>
  <si>
    <t>Total Measure Life</t>
  </si>
  <si>
    <t xml:space="preserve">Weighted Life </t>
  </si>
  <si>
    <t xml:space="preserve">Agency or  Customer Cost per Unit </t>
  </si>
  <si>
    <t xml:space="preserve">Percent Unit overhead </t>
  </si>
  <si>
    <t>Program Overhead Cost</t>
  </si>
  <si>
    <t>Total Customer Cost</t>
  </si>
  <si>
    <t xml:space="preserve">Total Utility Program Costs </t>
  </si>
  <si>
    <t>Total Resource Cost</t>
  </si>
  <si>
    <t>PV Total 
Utility Program Costs</t>
  </si>
  <si>
    <t>PV Total Resource Costs</t>
  </si>
  <si>
    <t xml:space="preserve">PV Total 
Non-Energy Benefits </t>
  </si>
  <si>
    <t>PV Total 
Net Equipment O&amp;M</t>
  </si>
  <si>
    <t>Unit PV First period Savings for 1 kWh</t>
  </si>
  <si>
    <t>Total First Period Savings</t>
  </si>
  <si>
    <t>Unit PV Savings for Second Period for 1 kWh</t>
  </si>
  <si>
    <t>Total Second period Savings</t>
  </si>
  <si>
    <t>Unadjusted Total</t>
  </si>
  <si>
    <t>Decrement</t>
  </si>
  <si>
    <t>Final UC Total Savings</t>
  </si>
  <si>
    <t xml:space="preserve">PV Total Savings  UC </t>
  </si>
  <si>
    <t xml:space="preserve">PV Total Savings TRC </t>
  </si>
  <si>
    <t>UC B/C Ratio</t>
  </si>
  <si>
    <t>TRC B/C Ratio</t>
  </si>
  <si>
    <t>DBTC:</t>
  </si>
  <si>
    <t>Res Lighting</t>
  </si>
  <si>
    <t>Program Costs:</t>
  </si>
  <si>
    <t>Total Savings (kWh):</t>
  </si>
  <si>
    <t>Total Incentives:</t>
  </si>
  <si>
    <t>Total Customer Costs:</t>
  </si>
  <si>
    <t>Weighted Avg Life</t>
  </si>
  <si>
    <t>Total Utility Cost</t>
  </si>
  <si>
    <t>Comm Water Heat</t>
  </si>
  <si>
    <t>Comm Flat</t>
  </si>
  <si>
    <t>Comm Lighting</t>
  </si>
  <si>
    <t>Comm Cooking</t>
  </si>
  <si>
    <t>Comm Cooling</t>
  </si>
  <si>
    <t>Comm Refrigeration</t>
  </si>
  <si>
    <t>Comm Space Heat</t>
  </si>
  <si>
    <t>Res Dryer</t>
  </si>
  <si>
    <t>Res Plug Load</t>
  </si>
  <si>
    <t>Res Refrigerator</t>
  </si>
  <si>
    <t>Res Water Heat</t>
  </si>
  <si>
    <t>MF Heat Pump</t>
  </si>
  <si>
    <t>MF Space Heat</t>
  </si>
  <si>
    <t>SF Heat Pump</t>
  </si>
  <si>
    <t>SF Space Heat</t>
  </si>
  <si>
    <t>Commercial Water Heat</t>
  </si>
  <si>
    <t>Commercial 
Flat</t>
  </si>
  <si>
    <t xml:space="preserve">Commercial 
Lighting </t>
  </si>
  <si>
    <t xml:space="preserve">Commercial
Cooking </t>
  </si>
  <si>
    <t xml:space="preserve">Commercial 
Cooling </t>
  </si>
  <si>
    <t>Commercial 
Refrigeration</t>
  </si>
  <si>
    <t xml:space="preserve">Commercial 
Space Heat </t>
  </si>
  <si>
    <t xml:space="preserve">Residential 
Dryer </t>
  </si>
  <si>
    <t xml:space="preserve">Residential
Lighting </t>
  </si>
  <si>
    <t>Residential
Plug Load</t>
  </si>
  <si>
    <t>Residential
Refrigerator</t>
  </si>
  <si>
    <t>Residential
Water Heat</t>
  </si>
  <si>
    <t>Multifamily 
Heat Pump</t>
  </si>
  <si>
    <t>Multifamily
Space Heat</t>
  </si>
  <si>
    <t>Single Family
Heat Pump</t>
  </si>
  <si>
    <t xml:space="preserve">Single Family 
Space Heat </t>
  </si>
  <si>
    <t>Measure Life</t>
  </si>
  <si>
    <t xml:space="preserve">Includes Energy, Capacity and Social Cost of Carbon and does NOT apply the conservation Credit to energy or capacity </t>
  </si>
  <si>
    <r>
      <t xml:space="preserve">Electric Conservation Cost Effectiveness Standard, </t>
    </r>
    <r>
      <rPr>
        <b/>
        <sz val="12"/>
        <color rgb="FFFF0000"/>
        <rFont val="Verdana"/>
        <family val="2"/>
      </rPr>
      <t>2020-2021</t>
    </r>
  </si>
  <si>
    <t xml:space="preserve">Industrial </t>
  </si>
  <si>
    <t>RESTAURANT_WATER_HEAT</t>
  </si>
  <si>
    <t>RESTAURANT_COOKING</t>
  </si>
  <si>
    <t>OFFICE_SPACE_HEAT_FURNACE</t>
  </si>
  <si>
    <t xml:space="preserve">Single Family
Water Heat </t>
  </si>
  <si>
    <t>For MFNC</t>
  </si>
  <si>
    <t>Includes Both Capacity, Energy, but does not include 10% conservation credit</t>
  </si>
  <si>
    <t>Gas Conservation Cost Effectiveness Standard,2020-2021</t>
  </si>
  <si>
    <t>Web Enabled Thermostats {E}</t>
  </si>
  <si>
    <t xml:space="preserve"> </t>
  </si>
  <si>
    <t>Lodging Rebates {E}</t>
  </si>
  <si>
    <t>Residential Pilots {E}</t>
  </si>
  <si>
    <t>E249</t>
  </si>
  <si>
    <t>Formula: AA/(1+GasDiscountRate)^1</t>
  </si>
  <si>
    <t>Total Savings (therm):</t>
  </si>
  <si>
    <t>Formula: Z/(1+GasDiscountRate)^1</t>
  </si>
  <si>
    <t>Formula:  -PV(ElecDiscount
Rate,T,R)*J</t>
  </si>
  <si>
    <t>Formula: -PV(ElecDiscount
Rate, T, S)*J</t>
  </si>
  <si>
    <t>AF*J*K</t>
  </si>
  <si>
    <t>AH*J*L</t>
  </si>
  <si>
    <t>AG + AI</t>
  </si>
  <si>
    <t xml:space="preserve">AG +AI -AK </t>
  </si>
  <si>
    <t>Formula: Utility Savings (AM)*1.1+AD+AE</t>
  </si>
  <si>
    <t>formula: AM/AB</t>
  </si>
  <si>
    <t>Unit PV First period Savings for 1 therm</t>
  </si>
  <si>
    <t>Unit PV Savings for Second Period for 1 therm</t>
  </si>
  <si>
    <t>Home Energy Assessments {G}</t>
  </si>
  <si>
    <t>Single Family Rental Pilot {G}</t>
  </si>
  <si>
    <t>Home Appliances {G}</t>
  </si>
  <si>
    <t>Web Enabled Thermostats {G}</t>
  </si>
  <si>
    <t>Manufactured Home New Construction {G}</t>
  </si>
  <si>
    <t>Clean Buildings Accelerator</t>
  </si>
  <si>
    <t>Pay for Performance {G}</t>
  </si>
  <si>
    <t>Residential Pilots {G}</t>
  </si>
  <si>
    <t>G249</t>
  </si>
  <si>
    <t>Shareholder</t>
  </si>
  <si>
    <t/>
  </si>
  <si>
    <t>Formula: Z/(1+ElecDiscountRate)^1</t>
  </si>
  <si>
    <t>Formula: -PV (ElecDiscount
Rate,T,R)*J</t>
  </si>
  <si>
    <t>Formula: - PV (ElecDiscount
Rate, T, S)*J</t>
  </si>
  <si>
    <t>WACC</t>
  </si>
  <si>
    <t>link</t>
  </si>
  <si>
    <t>fill in</t>
  </si>
  <si>
    <t>formula</t>
  </si>
  <si>
    <t>Link</t>
  </si>
  <si>
    <t xml:space="preserve">Program Number
</t>
  </si>
  <si>
    <t xml:space="preserve">Program Name 
</t>
  </si>
  <si>
    <t>Accounting Code</t>
  </si>
  <si>
    <t xml:space="preserve">Weighted Measure Life by Program
</t>
  </si>
  <si>
    <t xml:space="preserve">Load Shape
</t>
  </si>
  <si>
    <t xml:space="preserve">kWh Savings
</t>
  </si>
  <si>
    <t xml:space="preserve">Program Overhead Costs
</t>
  </si>
  <si>
    <t xml:space="preserve">Total Incentive Payments
</t>
  </si>
  <si>
    <t xml:space="preserve">Customer Costs
</t>
  </si>
  <si>
    <t xml:space="preserve">Incremental Measure Costs
</t>
  </si>
  <si>
    <t xml:space="preserve">Other Contributions
</t>
  </si>
  <si>
    <t xml:space="preserve">Total Utility Costs
</t>
  </si>
  <si>
    <t xml:space="preserve"> Total Resource Costs
</t>
  </si>
  <si>
    <t xml:space="preserve">Present Value of Total Utility Program Costs  in Time Zero*
</t>
  </si>
  <si>
    <t xml:space="preserve">Present Value of Total Resource Costs in Time Zero* 
</t>
  </si>
  <si>
    <t xml:space="preserve">Utility Cost Test:  Present Value Electric Savings In Time Zero 
</t>
  </si>
  <si>
    <t xml:space="preserve">Utility Cost Test:
Benefit Cost Ratio 
</t>
  </si>
  <si>
    <t xml:space="preserve">Total Resource
 Cost Test:
Benefit Cost Ratio 
</t>
  </si>
  <si>
    <t>Source/calculation:</t>
  </si>
  <si>
    <t>I</t>
  </si>
  <si>
    <t>Return to Summary Page</t>
  </si>
  <si>
    <t>Go to Gas Portfolio page</t>
  </si>
  <si>
    <t>Follow Below Hyperlinks for Program Details</t>
  </si>
  <si>
    <t>N</t>
  </si>
  <si>
    <t>W</t>
  </si>
  <si>
    <t>O</t>
  </si>
  <si>
    <t>X</t>
  </si>
  <si>
    <t>P</t>
  </si>
  <si>
    <t>AM</t>
  </si>
  <si>
    <t>AD</t>
  </si>
  <si>
    <t>Low Income Weatherization</t>
  </si>
  <si>
    <t>Varies by Measure</t>
  </si>
  <si>
    <t>Single Family Existing Subtotal</t>
  </si>
  <si>
    <t>Residential Lighting</t>
  </si>
  <si>
    <t>Lighting</t>
  </si>
  <si>
    <t>SF Existing Space Heat</t>
  </si>
  <si>
    <t>SF Existing Water Heat</t>
  </si>
  <si>
    <t>Home Energy Assessments</t>
  </si>
  <si>
    <t>Home Appliances</t>
  </si>
  <si>
    <t xml:space="preserve">E214 </t>
  </si>
  <si>
    <t>Web-Enabled Thermostat</t>
  </si>
  <si>
    <t>Residential Water Use Reducers</t>
  </si>
  <si>
    <t>SF Existing Weatherization</t>
  </si>
  <si>
    <t>Home Energy Reports</t>
  </si>
  <si>
    <t>Single Family New Construction</t>
  </si>
  <si>
    <t>Energy Star Manufactured Home</t>
  </si>
  <si>
    <t>Multifamily Retrofit</t>
  </si>
  <si>
    <t>Multi-Family New Construction</t>
  </si>
  <si>
    <t xml:space="preserve">Total Residential Energy Management </t>
  </si>
  <si>
    <t>REM Less LIW (Per WAC 480-109-100(10)</t>
  </si>
  <si>
    <t>Commercial/Industrial Retrofit</t>
  </si>
  <si>
    <t>Commercial/Industrial New Construction</t>
  </si>
  <si>
    <t>Commercial Strategic Energy Management</t>
  </si>
  <si>
    <t>Pay for Performance</t>
  </si>
  <si>
    <t>Large Power User, Self-Directed 449</t>
  </si>
  <si>
    <t>Large Power User, Self Directed non-449</t>
  </si>
  <si>
    <t>Commercial Rebates Programs SUBTOTAL</t>
  </si>
  <si>
    <t>Lighting to Go--AKA Business Lighting Markdowns</t>
  </si>
  <si>
    <t>Commercial Kitchen and Laundry</t>
  </si>
  <si>
    <t>Commercial HVAC Rebates</t>
  </si>
  <si>
    <t>Commercial Midstream</t>
  </si>
  <si>
    <t>Small Business Direct Install</t>
  </si>
  <si>
    <t>Lodging Rebates</t>
  </si>
  <si>
    <t xml:space="preserve">Total Business Energy Management </t>
  </si>
  <si>
    <t xml:space="preserve">E249 </t>
  </si>
  <si>
    <t>Residential Pilots</t>
  </si>
  <si>
    <t>Commercial Pilots</t>
  </si>
  <si>
    <t>Total Pilots</t>
  </si>
  <si>
    <t>E245</t>
  </si>
  <si>
    <t>Northwest Energy Efficiency Alliance</t>
  </si>
  <si>
    <t>Flat</t>
  </si>
  <si>
    <t>Transmission &amp; Distribution</t>
  </si>
  <si>
    <t>Targeted DSM Pilot</t>
  </si>
  <si>
    <t xml:space="preserve">Total Regional Programs </t>
  </si>
  <si>
    <t xml:space="preserve">Energy Efficiency Portfolio Support </t>
  </si>
  <si>
    <t>Data and Systems Services</t>
  </si>
  <si>
    <t>Rebates Processing</t>
  </si>
  <si>
    <t xml:space="preserve">Verification Team </t>
  </si>
  <si>
    <t>Programs Support</t>
  </si>
  <si>
    <t>Trade Ally Memberships</t>
  </si>
  <si>
    <t>Trade Ally Network [net of (revenue) + cost]</t>
  </si>
  <si>
    <t>Automated Benchmarking System</t>
  </si>
  <si>
    <t xml:space="preserve">Energy Advisors </t>
  </si>
  <si>
    <t>Energy Efficient Communities</t>
  </si>
  <si>
    <t>Customer Digital Services</t>
  </si>
  <si>
    <t xml:space="preserve">Market Integration </t>
  </si>
  <si>
    <t>Events</t>
  </si>
  <si>
    <t>Portfolio  Support Subtotal</t>
  </si>
  <si>
    <t>Conservation Supply Curves</t>
  </si>
  <si>
    <t xml:space="preserve">Strategic Planning </t>
  </si>
  <si>
    <t>Market Research</t>
  </si>
  <si>
    <t xml:space="preserve">Program Evaluation </t>
  </si>
  <si>
    <t>Biennial Electric Conservation Acquisition Review</t>
  </si>
  <si>
    <t>Research and Compliance Subtotal</t>
  </si>
  <si>
    <t>Grand Total All Electric Programs Included in CE Calculations</t>
  </si>
  <si>
    <t>Other Customer Programs</t>
  </si>
  <si>
    <t>Net Metering</t>
  </si>
  <si>
    <t>Demand Response Pilot</t>
  </si>
  <si>
    <t>Other Programs Subtotal</t>
  </si>
  <si>
    <t xml:space="preserve">Prog. No. 
</t>
  </si>
  <si>
    <t xml:space="preserve">Weight Life </t>
  </si>
  <si>
    <t xml:space="preserve">Therm Savings
</t>
  </si>
  <si>
    <t xml:space="preserve"> Total Incentive Payments
</t>
  </si>
  <si>
    <t xml:space="preserve">Customer Costs 
</t>
  </si>
  <si>
    <t xml:space="preserve">Incremental Measure Costs
</t>
  </si>
  <si>
    <t xml:space="preserve">Total Utility Costs
</t>
  </si>
  <si>
    <t xml:space="preserve"> Total Resource Costs
</t>
  </si>
  <si>
    <t xml:space="preserve">Present Value of Total Utility Costs in Time Zero
</t>
  </si>
  <si>
    <t xml:space="preserve">Present Value of Total Resource Costs in Time Zero 
</t>
  </si>
  <si>
    <t xml:space="preserve"> Present Value Therm Savings In Time Zero 
</t>
  </si>
  <si>
    <t>Go to Electric Portfolio Page</t>
  </si>
  <si>
    <t>G203</t>
  </si>
  <si>
    <t>Web-Enabled Thermostats</t>
  </si>
  <si>
    <t>Residential Water Heat</t>
  </si>
  <si>
    <t>Manufactured Home New Construction</t>
  </si>
  <si>
    <t>Multi-Family Retrofit</t>
  </si>
  <si>
    <t>Total Residential Efficiency Programs</t>
  </si>
  <si>
    <t>REM Less LIW (Consistent with WAC 480-109-100(10)</t>
  </si>
  <si>
    <t>Varies By Measure</t>
  </si>
  <si>
    <t>Commercial Rebates Subtotal</t>
  </si>
  <si>
    <t>Commercial Kitchen &amp; Laundry</t>
  </si>
  <si>
    <t>Commercial HVAC</t>
  </si>
  <si>
    <t>Total Commercial Programs</t>
  </si>
  <si>
    <t>G245</t>
  </si>
  <si>
    <t>NEEA Gas Market Transformation Study</t>
  </si>
  <si>
    <t>Total Regional Programs</t>
  </si>
  <si>
    <t>Commercial</t>
  </si>
  <si>
    <t xml:space="preserve"> 18230665, 108230737, 18230690, 18230662</t>
  </si>
  <si>
    <t>Total Energy Efficiency Portfolio Support, Research and Compliance</t>
  </si>
  <si>
    <t>Grand Total All Gas Programs included in CE Calculations</t>
  </si>
  <si>
    <t>Other Energy Efficiency Programs Subtotal</t>
  </si>
  <si>
    <t>G201 LIW {G}</t>
  </si>
  <si>
    <t>Summary</t>
  </si>
  <si>
    <t xml:space="preserve">Electric Programs: Benefit Cost Summary </t>
  </si>
  <si>
    <t xml:space="preserve">Gas Programs: Benefit Cost Summary </t>
  </si>
  <si>
    <t xml:space="preserve">Program Name </t>
  </si>
  <si>
    <t xml:space="preserve">Energy Savings </t>
  </si>
  <si>
    <t>Utility Costs</t>
  </si>
  <si>
    <t>Present Value of Non-Energy Benefits</t>
  </si>
  <si>
    <t>UCT</t>
  </si>
  <si>
    <t xml:space="preserve">TRC </t>
  </si>
  <si>
    <t xml:space="preserve">TRC 
</t>
  </si>
  <si>
    <t>LIW UC and TRC Excluded from REM total</t>
  </si>
  <si>
    <t>Single Family Existing Space Heat</t>
  </si>
  <si>
    <t>Single Family Existing Water Heat</t>
  </si>
  <si>
    <t>Single Family Existing Weatherization</t>
  </si>
  <si>
    <t>Total Residential Energy Management (Includes LIW)</t>
  </si>
  <si>
    <t>Total Residential Energy Management Cost-Effectiveness (No LIW)</t>
  </si>
  <si>
    <t>Large Power User - Self-Directed Program 449</t>
  </si>
  <si>
    <t>Large Power User - Self Directed non-449</t>
  </si>
  <si>
    <t>Lighting to Go (AKA Business Lighting Markdowns)</t>
  </si>
  <si>
    <t>Total Business Energy Management</t>
  </si>
  <si>
    <t>Business Pilots</t>
  </si>
  <si>
    <t>NEEA Natural Gas Market Transformation</t>
  </si>
  <si>
    <t>Total Portfolio Support</t>
  </si>
  <si>
    <t xml:space="preserve">Total Pilots </t>
  </si>
  <si>
    <t>Total Research &amp; Compliance</t>
  </si>
  <si>
    <t>Total Gas Programs used in CE Calculations (Excludes LIW)</t>
  </si>
  <si>
    <t>Total Other Gas Programs</t>
  </si>
  <si>
    <t>n/a</t>
  </si>
  <si>
    <t>Total Gas Portfolio</t>
  </si>
  <si>
    <t>NOTE: in both the electric and natural gas summary tables, all program anticipated expenditures are represented,</t>
  </si>
  <si>
    <t>Total All Programs used in CE Calculations (Excludes LIW)</t>
  </si>
  <si>
    <t xml:space="preserve">as are the program UC and TRC ratios.  However, consistent with the approach presented to the CRAG to exclude </t>
  </si>
  <si>
    <t xml:space="preserve">Low Income Weatherization cost-effectiveness ratios from its Portfolio view, the Sector cost-effectiveness sub-totals indicated </t>
  </si>
  <si>
    <t>Total Other Electric Programs</t>
  </si>
  <si>
    <t>in these Summary tables are linked to their respective program tables in the workbooks "Electric CE" and "Gas CE".</t>
  </si>
  <si>
    <t xml:space="preserve">Total Electric  Portfolio </t>
  </si>
  <si>
    <t>Readers will notice in those tables that all LIW values are excluded from the Sector sub-totals. As a result, those Sector</t>
  </si>
  <si>
    <t>sub-totals are reduced (total of all REM programs minus LIW). Thus, it appears that the REM Sector and overall Portfolio do not</t>
  </si>
  <si>
    <t>these Summary tables, when in fact, it is simply PSE's representation of its commitment to calculate LIW cost-effective,</t>
  </si>
  <si>
    <t>but exclude those figures from the overall Portfolio totals.</t>
  </si>
  <si>
    <t>= LIW is excluded from Portfolio cost-effectiveness calculations.</t>
  </si>
  <si>
    <t>Clean Buildings Accelerator {E}</t>
  </si>
  <si>
    <t>ESG New Construction {E}</t>
  </si>
  <si>
    <t>Pay for Performance {E}</t>
  </si>
  <si>
    <t>Commercial Midstream HVAC and Water Heat {E}</t>
  </si>
  <si>
    <t>Commercial HVAC Rebates {E}</t>
  </si>
  <si>
    <t>Clean Buildings Accelerator {G}</t>
  </si>
  <si>
    <t>Lodging Rebates {G}</t>
  </si>
  <si>
    <t>Commercial Midstream HVAC and Water Heat {G}</t>
  </si>
  <si>
    <t>Commercial HVAC Rebates {G}</t>
  </si>
  <si>
    <t>PSE Marketplace {E}</t>
  </si>
  <si>
    <t>PSE Marketplace {G}</t>
  </si>
  <si>
    <t>Tariff Group</t>
  </si>
  <si>
    <t>Below the Line</t>
  </si>
  <si>
    <t>Residential Energy Management</t>
  </si>
  <si>
    <t>Regional Efficiency Programs</t>
  </si>
  <si>
    <t>Pilots</t>
  </si>
  <si>
    <t>Business Energy Management</t>
  </si>
  <si>
    <t>Energy Efficiency Portfolio Support</t>
  </si>
  <si>
    <t>Energy Efficiency Research &amp; Compliance</t>
  </si>
  <si>
    <t>Operations and Maintenance</t>
  </si>
  <si>
    <t>Gas End-Use Type</t>
  </si>
  <si>
    <t>10001-7</t>
  </si>
  <si>
    <t>RETL: Fixture - LED - Indoor</t>
  </si>
  <si>
    <t>10001-8</t>
  </si>
  <si>
    <t>10002-6</t>
  </si>
  <si>
    <t>RETL: Fixture - LED - Outdoor</t>
  </si>
  <si>
    <t>10002-7</t>
  </si>
  <si>
    <t>10608-4</t>
  </si>
  <si>
    <t>RETL: Fixture - LED - T8 Retrofit</t>
  </si>
  <si>
    <t>10608-5</t>
  </si>
  <si>
    <t>10609-4</t>
  </si>
  <si>
    <t>RETL: Fixture - LED - T8</t>
  </si>
  <si>
    <t>10609-5</t>
  </si>
  <si>
    <t>12007-3</t>
  </si>
  <si>
    <t>RETL: String Lighting - LED - Outdoor</t>
  </si>
  <si>
    <t>12007-4</t>
  </si>
  <si>
    <t>12320-1</t>
  </si>
  <si>
    <t>Heat Pump - Air Source - 10.0 HSPF - SF or MH or DX</t>
  </si>
  <si>
    <t>12321-2</t>
  </si>
  <si>
    <t>Heat Pump - Ductless - from Zonal - 9.0 or greater HSPF - HZ1CZ1 - MH</t>
  </si>
  <si>
    <t>12321-3</t>
  </si>
  <si>
    <t>12322-1</t>
  </si>
  <si>
    <t>Heat Pump - Ductless - from Zonal - 9.0 or greater HSPF - HZ1CZ1 - SF or DX</t>
  </si>
  <si>
    <t>12322-2</t>
  </si>
  <si>
    <t>12324-3</t>
  </si>
  <si>
    <t>Heat Pump - Ductless - with E FAF - HZ1 - MH</t>
  </si>
  <si>
    <t>12325-2</t>
  </si>
  <si>
    <t>Heat Pump - Ductless - with E FAF - HZ1 - SF or DX</t>
  </si>
  <si>
    <t>12326-1</t>
  </si>
  <si>
    <t>Heat Pump - from E FAF - SF or DX</t>
  </si>
  <si>
    <t>12326-2</t>
  </si>
  <si>
    <t>12547-3</t>
  </si>
  <si>
    <t>Heat Pump - from E FAF - MH</t>
  </si>
  <si>
    <t>12547-4</t>
  </si>
  <si>
    <t>12764-1</t>
  </si>
  <si>
    <t>Heat Pump - Ductless - from Zonal - 9.0 or greater HSPF - HZ1CZ1 - SF or DX - MI</t>
  </si>
  <si>
    <t>12764-2</t>
  </si>
  <si>
    <t>12765-2</t>
  </si>
  <si>
    <t>Heat Pump - Ductless - with E FAF - HZ1 - SF or DX - MI</t>
  </si>
  <si>
    <t>12766-2</t>
  </si>
  <si>
    <t>Heat Pump - from E FAF - SF or DX - MI</t>
  </si>
  <si>
    <t>12767-2</t>
  </si>
  <si>
    <t>Heat Pump - with AC - from E FAF - MH</t>
  </si>
  <si>
    <t>12768-1</t>
  </si>
  <si>
    <t>Heat Pump - with AC - from E FAF - SF or DX</t>
  </si>
  <si>
    <t>12768-2</t>
  </si>
  <si>
    <t>12853-1</t>
  </si>
  <si>
    <t>Heat Pump - Ductless - Tier 1 - Less than 65 kBtuh - EH - Res - EX</t>
  </si>
  <si>
    <t>12854-1</t>
  </si>
  <si>
    <t>Heat Pump - Ductless - Tier 1 - Less than 65 kBtuh - EH - Res - NC</t>
  </si>
  <si>
    <t>12856-1</t>
  </si>
  <si>
    <t>Heat Pump - Ductless - Tier 2 - Less than 65 kBtuh - EH - Res - EX</t>
  </si>
  <si>
    <t>12857-1</t>
  </si>
  <si>
    <t>Heat Pump - Ductless - Tier 2 - Less than 65 kBtuh - EH - Res - NC</t>
  </si>
  <si>
    <t>12862-1</t>
  </si>
  <si>
    <t>Heat Pump - Packaged - Tier 2 - Less than 65 kBtuh - EH - Res - EX</t>
  </si>
  <si>
    <t>12865-1</t>
  </si>
  <si>
    <t>Heat Pump - Split - Tier 1 - Less than 65 kBtuh - EH - Res - EX</t>
  </si>
  <si>
    <t>12866-1</t>
  </si>
  <si>
    <t>Heat Pump - Split - Tier 1 - Less than 65 kBtuh - EH - Res - NC</t>
  </si>
  <si>
    <t>12868-1</t>
  </si>
  <si>
    <t>Heat Pump - Split - Tier 2 - Less than 65 kBtuh - EH - Res - EX</t>
  </si>
  <si>
    <t>12869-1</t>
  </si>
  <si>
    <t>Heat Pump - Split - Tier 2 - Less than 65 kBtuh - EH - Res - NC</t>
  </si>
  <si>
    <t>12894-1</t>
  </si>
  <si>
    <t>Incentive - Sales - Distributor - EH or EWH - Res</t>
  </si>
  <si>
    <t>12894-2</t>
  </si>
  <si>
    <t>10701-5</t>
  </si>
  <si>
    <t>SFEWH: Heat Pump Water Heater - Tier 3 - NEEA Specs</t>
  </si>
  <si>
    <t>12548-2</t>
  </si>
  <si>
    <t>Heat Pump Water Heater - Tier 3 - NEEA Specs - MH</t>
  </si>
  <si>
    <t>12682-1</t>
  </si>
  <si>
    <t>Water Heater - Heat Pump - NEEA Specs - Tier 3 - EH - Res</t>
  </si>
  <si>
    <t>12874-1</t>
  </si>
  <si>
    <t>Incentive - Add On - Water Heater - Heat Pump - EH - MH</t>
  </si>
  <si>
    <t>12871-1</t>
  </si>
  <si>
    <t>Water Heater - Heat Pump - EH - Res</t>
  </si>
  <si>
    <t>12965-1</t>
  </si>
  <si>
    <t>Water Heater - Heat Pump - NEEA Specs - Tier 3 - RP - Any - Res - E or B</t>
  </si>
  <si>
    <t>12012-3</t>
  </si>
  <si>
    <t>RETAP: Clothes Dryer - Vented - Energy Star</t>
  </si>
  <si>
    <t>12316-1</t>
  </si>
  <si>
    <t>Refrigerator - Decommissioned - 1992 or Older - Res</t>
  </si>
  <si>
    <t>12316-2</t>
  </si>
  <si>
    <t>12317-1</t>
  </si>
  <si>
    <t>Freezer - Decommissioned - 1992 or Older - Res</t>
  </si>
  <si>
    <t>12317-2</t>
  </si>
  <si>
    <t>12528-1</t>
  </si>
  <si>
    <t>Clothes Washer - Energy Star - Any WH - Any Dryer - Res - C</t>
  </si>
  <si>
    <t>12528-2</t>
  </si>
  <si>
    <t>12529-2</t>
  </si>
  <si>
    <t>Clothes Washer - Energy Star - Any WH - Any Dryer - Res - EO</t>
  </si>
  <si>
    <t>12535-2</t>
  </si>
  <si>
    <t>Clothes Washer - Energy Star - Any WH - Any Dryer - Res - NQC</t>
  </si>
  <si>
    <t>12595-1</t>
  </si>
  <si>
    <t>Clothes Dryer - HP - Vented - EH - Res</t>
  </si>
  <si>
    <t>12596-1</t>
  </si>
  <si>
    <t>Clothes Dryer - HP - Ventless - EH - Res</t>
  </si>
  <si>
    <t>12599-1</t>
  </si>
  <si>
    <t>Clothes Dryer - Vented - Energy Star - EH - Res - NQC</t>
  </si>
  <si>
    <t>12601-1</t>
  </si>
  <si>
    <t>Clothes Dryer - Vented - Energy Star - EH - Res</t>
  </si>
  <si>
    <t>12601-2</t>
  </si>
  <si>
    <t>12602-1</t>
  </si>
  <si>
    <t>Clothes Dryer - Ventless - Energy Star - EH - Res</t>
  </si>
  <si>
    <t>12602-2</t>
  </si>
  <si>
    <t>12962-1</t>
  </si>
  <si>
    <t>Clothes Washer - Top Load - Energy Star - Any WH - Any Dryer - Res - C</t>
  </si>
  <si>
    <t>12963-1</t>
  </si>
  <si>
    <t>Clothes Washer - Top Load - Energy Star - Any WH - Any Dryer - Res - EO</t>
  </si>
  <si>
    <t>12964-1</t>
  </si>
  <si>
    <t>Clothes Washer - Top Load - Energy Star - Any WH - Any Dryer - Res - NQC</t>
  </si>
  <si>
    <t>12993-1</t>
  </si>
  <si>
    <t>Clothes Washer - Front Load - Energy Star - Any WH - Any Dryer - Res - C</t>
  </si>
  <si>
    <t>12994-1</t>
  </si>
  <si>
    <t>Clothes Washer - Front Load - Energy Star - Any WH - Any Dryer - Res - C - LTO</t>
  </si>
  <si>
    <t>12995-1</t>
  </si>
  <si>
    <t>Clothes Washer - Front Load - Energy Star - Any WH - Any Dryer - Res - EO</t>
  </si>
  <si>
    <t>12996-1</t>
  </si>
  <si>
    <t>Clothes Washer - Front Load - Energy Star - Any WH - Any Dryer - Res - EO - LTO</t>
  </si>
  <si>
    <t>13065-1</t>
  </si>
  <si>
    <t>Clothes Dryer - HP - Ventless - EH - Res - LTO</t>
  </si>
  <si>
    <t>10736-3</t>
  </si>
  <si>
    <t>WET: Thermostat - Web Enabled - Retail - kWh</t>
  </si>
  <si>
    <t>10736-4</t>
  </si>
  <si>
    <t>10737-3</t>
  </si>
  <si>
    <t>WET: Thermostat - Web Enabled - Retail - Therm</t>
  </si>
  <si>
    <t>10737-4</t>
  </si>
  <si>
    <t>12305-1</t>
  </si>
  <si>
    <t>WET: Thermostat - Web Enabled - Retail - NQC</t>
  </si>
  <si>
    <t>12305-3</t>
  </si>
  <si>
    <t>12736-1</t>
  </si>
  <si>
    <t>Thermostat - Smart - EH - Res</t>
  </si>
  <si>
    <t>12736-2</t>
  </si>
  <si>
    <t>12738-1</t>
  </si>
  <si>
    <t>Thermostat - Smart - GH - Res</t>
  </si>
  <si>
    <t>12738-2</t>
  </si>
  <si>
    <t>12972-1</t>
  </si>
  <si>
    <t>Thermostat - ELV - Smart - SF or MH or DX</t>
  </si>
  <si>
    <t>12671-1</t>
  </si>
  <si>
    <t>Showerhead - 1.5 gpm or less - RP - Any WH - Res - C</t>
  </si>
  <si>
    <t>12672-1</t>
  </si>
  <si>
    <t>Showerhead - 1.51 to 1.8 gpm - RP - Any WH - Res - C</t>
  </si>
  <si>
    <t>12673-1</t>
  </si>
  <si>
    <t>Showerhead - 1.81 to 2.0 gpm - RP - Any WH - Res - C</t>
  </si>
  <si>
    <t>12674-1</t>
  </si>
  <si>
    <t>Showerhead - 1.5 gpm or less - RP - Any WH - Res - EO</t>
  </si>
  <si>
    <t>12675-1</t>
  </si>
  <si>
    <t>Showerhead - 1.51 to 1.8 gpm - RP - Any WH - Res - EO</t>
  </si>
  <si>
    <t>12676-1</t>
  </si>
  <si>
    <t>Showerhead - 1.81 to 2.0 gpm - RP - Any WH - Res - EO</t>
  </si>
  <si>
    <t>12688-1</t>
  </si>
  <si>
    <t>Adapter - w Thermostatic Restrictor - for Showerhead - 1.5 gpm - RP - Res - C</t>
  </si>
  <si>
    <t>12689-1</t>
  </si>
  <si>
    <t>Adapter - w Thermostatic Restrictor - for Showerhead - 1.5 gpm - RP - Res - EO</t>
  </si>
  <si>
    <t>12694-2</t>
  </si>
  <si>
    <t>Showerhead - w Thermostatic Restrictor - 1.5 gpm - RP - Res - GO</t>
  </si>
  <si>
    <t>12696-1</t>
  </si>
  <si>
    <t>Showerhead - w Thermostatic Restrictor - 1.5 gpm - RP - Res - C</t>
  </si>
  <si>
    <t>12697-1</t>
  </si>
  <si>
    <t>Showerhead - w Thermostatic Restrictor - 1.5 gpm - RP - Res - EO</t>
  </si>
  <si>
    <t>13013-1</t>
  </si>
  <si>
    <t>Adapter - w Thermostatic Restrictor - for Showerhead - RP - Res - C</t>
  </si>
  <si>
    <t>13014-1</t>
  </si>
  <si>
    <t>Adapter - w Thermostatic Restrictor - for Showerhead - RP - Res - EO</t>
  </si>
  <si>
    <t>13015-1</t>
  </si>
  <si>
    <t>Adapter - w Thermostatic Restrictor - for Showerhead - RP - Res - GO</t>
  </si>
  <si>
    <t>10914-6</t>
  </si>
  <si>
    <t>SFWX: Insulation - Attic - R0 to R49 - HP</t>
  </si>
  <si>
    <t>10915-5</t>
  </si>
  <si>
    <t>SFWX: Insulation - Attic - R0 to R49 - Zonal</t>
  </si>
  <si>
    <t>10915-6</t>
  </si>
  <si>
    <t>10916-5</t>
  </si>
  <si>
    <t>SFWX: Insulation - Attic - R11 to R49 - FAF</t>
  </si>
  <si>
    <t>10916-6</t>
  </si>
  <si>
    <t>10917-4</t>
  </si>
  <si>
    <t>SFWX: Insulation - Attic - R11 to R49 - NG</t>
  </si>
  <si>
    <t>10917-5</t>
  </si>
  <si>
    <t>10918-5</t>
  </si>
  <si>
    <t>SFWX: Insulation - Attic - R11 to R49 - HP</t>
  </si>
  <si>
    <t>10918-6</t>
  </si>
  <si>
    <t>10919-4</t>
  </si>
  <si>
    <t>SFWX: Insulation - Attic - R11 to R49 - Zonal</t>
  </si>
  <si>
    <t>10919-5</t>
  </si>
  <si>
    <t>10920-3</t>
  </si>
  <si>
    <t>SFWX: Carbon Monoxide Detector</t>
  </si>
  <si>
    <t>10920-4</t>
  </si>
  <si>
    <t>10923-5</t>
  </si>
  <si>
    <t>SFWX: Insulation - Floor - R0 to R22 - HP - MH</t>
  </si>
  <si>
    <t>10924-4</t>
  </si>
  <si>
    <t>SFWX: Insulation - Floor - R0 to R22 - Zonal - MH</t>
  </si>
  <si>
    <t>10924-5</t>
  </si>
  <si>
    <t>10925-5</t>
  </si>
  <si>
    <t>SFWX: Insulation - Floor - R0 to R22 - NG - MH</t>
  </si>
  <si>
    <t>10926-6</t>
  </si>
  <si>
    <t>SFWX: Insulation - Floor - R0 to R30 - FAF</t>
  </si>
  <si>
    <t>10926-7</t>
  </si>
  <si>
    <t>10927-6</t>
  </si>
  <si>
    <t>SFWX: Insulation - Floor - R0 to R30 - NG</t>
  </si>
  <si>
    <t>10927-7</t>
  </si>
  <si>
    <t>10928-6</t>
  </si>
  <si>
    <t>SFWX: Insulation - Floor - R0 to R30 - HP</t>
  </si>
  <si>
    <t>10928-7</t>
  </si>
  <si>
    <t>10929-6</t>
  </si>
  <si>
    <t>SFWX: Insulation - Floor - R0 to R30 - Zonal</t>
  </si>
  <si>
    <t>10929-7</t>
  </si>
  <si>
    <t>10940-3</t>
  </si>
  <si>
    <t>SFWX: Sealing - Duct and Insulation - E</t>
  </si>
  <si>
    <t>10940-4</t>
  </si>
  <si>
    <t>10941-3</t>
  </si>
  <si>
    <t>SFWX: Sealing - Duct and Insulation - NG</t>
  </si>
  <si>
    <t>10941-4</t>
  </si>
  <si>
    <t>10942-4</t>
  </si>
  <si>
    <t>SFWX: Sealing - Duct - FAF</t>
  </si>
  <si>
    <t>10943-3</t>
  </si>
  <si>
    <t>SFWX: Sealing - Duct - NG</t>
  </si>
  <si>
    <t>10944-4</t>
  </si>
  <si>
    <t>SFWX: Sealing - Duct - HP</t>
  </si>
  <si>
    <t>10945-7</t>
  </si>
  <si>
    <t>SFWX: Insulation - Wall - R0 to R13 - FAF</t>
  </si>
  <si>
    <t>10945-8</t>
  </si>
  <si>
    <t>10946-4</t>
  </si>
  <si>
    <t>SFWX: Insulation - Wall - R0 to R13 - NG</t>
  </si>
  <si>
    <t>10946-5</t>
  </si>
  <si>
    <t>10947-6</t>
  </si>
  <si>
    <t>SFWX: Insulation - Wall - R0 to R13 - HP</t>
  </si>
  <si>
    <t>10947-7</t>
  </si>
  <si>
    <t>10948-7</t>
  </si>
  <si>
    <t>SFWX: Insulation - Wall - R0 to R13 - Zonal</t>
  </si>
  <si>
    <t>10948-8</t>
  </si>
  <si>
    <t>12549-2</t>
  </si>
  <si>
    <t>Insulation - Attic - R0 to R22 - ER - MH - Pre HUD</t>
  </si>
  <si>
    <t>12555-1</t>
  </si>
  <si>
    <t>Windows - Double Pane - Metal Frame - to U30 - ER - MH</t>
  </si>
  <si>
    <t>12555-2</t>
  </si>
  <si>
    <t>12556-1</t>
  </si>
  <si>
    <t>Windows - Double Pane - Metal Frame - to U30 - HP - MH</t>
  </si>
  <si>
    <t>12556-2</t>
  </si>
  <si>
    <t>12557-2</t>
  </si>
  <si>
    <t>Windows - Double Pane - Metal Frame - to U30 - NG - MH</t>
  </si>
  <si>
    <t>12557-3</t>
  </si>
  <si>
    <t>12562-1</t>
  </si>
  <si>
    <t>Incentive - Add On - 3 Bundle - Wx - EH - Res</t>
  </si>
  <si>
    <t>12562-2</t>
  </si>
  <si>
    <t>12563-1</t>
  </si>
  <si>
    <t>Incentive - Add On - 3 Bundle - Wx - GH - Res</t>
  </si>
  <si>
    <t>12563-2</t>
  </si>
  <si>
    <t>12564-1</t>
  </si>
  <si>
    <t>Incentive - Add On - 4 Bundle - Wx - EH - Res</t>
  </si>
  <si>
    <t>12564-2</t>
  </si>
  <si>
    <t>12565-1</t>
  </si>
  <si>
    <t>Incentive - Add On - 4 Bundle - Wx - GH - Res</t>
  </si>
  <si>
    <t>12565-2</t>
  </si>
  <si>
    <t>12603-1</t>
  </si>
  <si>
    <t>Fan - Ventilation - Energy Star - Res</t>
  </si>
  <si>
    <t>12631-1</t>
  </si>
  <si>
    <t>Insulation - Attic - R0 to R49 - GH - SF or DX - MI</t>
  </si>
  <si>
    <t>12631-2</t>
  </si>
  <si>
    <t>12632-1</t>
  </si>
  <si>
    <t>Insulation - Attic - R0 to R49 - HP - SF or DX - MI</t>
  </si>
  <si>
    <t>12634-1</t>
  </si>
  <si>
    <t>Insulation - Attic - R11 to R49 - E FAF - SF or DX - MI</t>
  </si>
  <si>
    <t>12635-1</t>
  </si>
  <si>
    <t>Insulation - Attic - R11 to R49 - GH - SF or DX - MI</t>
  </si>
  <si>
    <t>12635-2</t>
  </si>
  <si>
    <t>12636-1</t>
  </si>
  <si>
    <t>Insulation - Attic - R11 to R49 - HP - SF or DX - MI</t>
  </si>
  <si>
    <t>12636-2</t>
  </si>
  <si>
    <t>12637-2</t>
  </si>
  <si>
    <t>Insulation - Attic - R11 to R49 - Zonal - SF or DX - MI</t>
  </si>
  <si>
    <t>12638-1</t>
  </si>
  <si>
    <t>Insulation - Floor - R0 to R30 - E FAF - SF or DX - MI</t>
  </si>
  <si>
    <t>12639-1</t>
  </si>
  <si>
    <t>Insulation - Floor - R0 to R30 - GH - SF or DX - MI</t>
  </si>
  <si>
    <t>12639-2</t>
  </si>
  <si>
    <t>12640-1</t>
  </si>
  <si>
    <t>Insulation - Floor - R0 to R30 - HP - SF or DX - MI</t>
  </si>
  <si>
    <t>12640-2</t>
  </si>
  <si>
    <t>12641-2</t>
  </si>
  <si>
    <t>Insulation - Floor - R0 to R30 - Zonal - SF or DX - MI</t>
  </si>
  <si>
    <t>12644-1</t>
  </si>
  <si>
    <t>Insulation - Wall - R0 to R13 - GH - SF or DX - MI</t>
  </si>
  <si>
    <t>12644-2</t>
  </si>
  <si>
    <t>12646-1</t>
  </si>
  <si>
    <t>Insulation - Wall - R0 to R13 - HP - SF or DX - MI</t>
  </si>
  <si>
    <t>12652-2</t>
  </si>
  <si>
    <t>Windows - Single Pane - to U30 - E FAF - SF or DX - MI</t>
  </si>
  <si>
    <t>12653-1</t>
  </si>
  <si>
    <t>Windows - Single Pane - to U30 - GH - SF or DX - MI</t>
  </si>
  <si>
    <t>12653-2</t>
  </si>
  <si>
    <t>12654-1</t>
  </si>
  <si>
    <t>Windows - Single Pane - to U30 - HP - MH</t>
  </si>
  <si>
    <t>12654-2</t>
  </si>
  <si>
    <t>12655-1</t>
  </si>
  <si>
    <t>Windows - Single Pane - to U30 - HP - SF or DX - MI</t>
  </si>
  <si>
    <t>12655-2</t>
  </si>
  <si>
    <t>12656-1</t>
  </si>
  <si>
    <t>Windows - Single Pane - to U30 - Zonal - SF or DX - MI</t>
  </si>
  <si>
    <t>12656-2</t>
  </si>
  <si>
    <t>12699-1</t>
  </si>
  <si>
    <t>Duct Sealing and Insulation - EH - SF or DX - MI</t>
  </si>
  <si>
    <t>12700-1</t>
  </si>
  <si>
    <t>Duct Sealing and Insulation - GH - SF or DX - MI</t>
  </si>
  <si>
    <t>12700-2</t>
  </si>
  <si>
    <t>12701-1</t>
  </si>
  <si>
    <t>Sealing - Air - Attic - EH - SF or DX</t>
  </si>
  <si>
    <t>12702-1</t>
  </si>
  <si>
    <t>Sealing - Air - Attic - EH - SF or DX - MI</t>
  </si>
  <si>
    <t>12703-1</t>
  </si>
  <si>
    <t>Sealing - Air - Attic - GH - SF or DX</t>
  </si>
  <si>
    <t>12704-1</t>
  </si>
  <si>
    <t>Sealing - Air - Attic - GH - SF or DX - MI</t>
  </si>
  <si>
    <t>12705-1</t>
  </si>
  <si>
    <t>Sealing - Air - Floor - EH - SF or DX</t>
  </si>
  <si>
    <t>12706-1</t>
  </si>
  <si>
    <t>Sealing - Air - Floor - EH - SF or DX - MI</t>
  </si>
  <si>
    <t>12707-1</t>
  </si>
  <si>
    <t>Sealing - Air - Floor - GH - SF or DX</t>
  </si>
  <si>
    <t>12708-1</t>
  </si>
  <si>
    <t>Sealing - Air - Floor - GH - SF or DX - MI</t>
  </si>
  <si>
    <t>12709-2</t>
  </si>
  <si>
    <t>Sealing - Air - Whole House - E FAF - SF or DX</t>
  </si>
  <si>
    <t>12711-2</t>
  </si>
  <si>
    <t>Sealing - Air - Whole House - HP - SF or DX</t>
  </si>
  <si>
    <t>12712-2</t>
  </si>
  <si>
    <t>Sealing - Air - Whole House - Zonal - SF or DX</t>
  </si>
  <si>
    <t>12714-1</t>
  </si>
  <si>
    <t>Sealing - Duct - EH - MH</t>
  </si>
  <si>
    <t>12715-1</t>
  </si>
  <si>
    <t>Sealing - Duct - GH - MH</t>
  </si>
  <si>
    <t>13177-1</t>
  </si>
  <si>
    <t>Energy Report - Year 2 - E - Res</t>
  </si>
  <si>
    <t>12207-3</t>
  </si>
  <si>
    <t>SFNC: Built Green - 4 Star or Eqv - 20pc above WSEC - ESH - EWH - EO</t>
  </si>
  <si>
    <t>12208-2</t>
  </si>
  <si>
    <t>SFNC: Built Green - 5 Star or Eqv - 30pc above WSEC - ESH - EWH - EO</t>
  </si>
  <si>
    <t>12208-3</t>
  </si>
  <si>
    <t>12209-3</t>
  </si>
  <si>
    <t>SFNC: Built Green - 4 Star or Eqv - 20pc above WSEC - NGSH - NGWH - C</t>
  </si>
  <si>
    <t>12210-3</t>
  </si>
  <si>
    <t>SFNC: Built Green - 5 Star or Eqv - 30pc above WSEC - NGSH - NGWH - C</t>
  </si>
  <si>
    <t>12985-2</t>
  </si>
  <si>
    <t>SFNC: Built Green - 3 Star or Eqv - 10pc above WSEC - ESH - EWH - EO</t>
  </si>
  <si>
    <t>12213-1</t>
  </si>
  <si>
    <t>MHNC: NEEM 1.1 Rated - EnergyStar</t>
  </si>
  <si>
    <t>12213-2</t>
  </si>
  <si>
    <t>12213-3</t>
  </si>
  <si>
    <t>12214-2</t>
  </si>
  <si>
    <t>MHNC: NEEM 2.0 Rated - EnergyStar</t>
  </si>
  <si>
    <t>12214-3</t>
  </si>
  <si>
    <t>12214-4</t>
  </si>
  <si>
    <t>12215-1</t>
  </si>
  <si>
    <t>MHNC: Sales Incentive - NEEM 1.1 Rated - EnergyStar</t>
  </si>
  <si>
    <t>12891-1</t>
  </si>
  <si>
    <t>Incentive - Sales - NEEM 1.1</t>
  </si>
  <si>
    <t>12891-2</t>
  </si>
  <si>
    <t xml:space="preserve">Incentive - Sales - NEEM 1.1 </t>
  </si>
  <si>
    <t>12892-1</t>
  </si>
  <si>
    <t>Incentive - Sales - NEEM 2.0</t>
  </si>
  <si>
    <t>11248-4</t>
  </si>
  <si>
    <t>MFRFT: Insulation - Attic - R0 to R38 - E</t>
  </si>
  <si>
    <t>11250-4</t>
  </si>
  <si>
    <t>MFRFT: Insulation - Attic - R11 to R38 - E</t>
  </si>
  <si>
    <t>11263-5</t>
  </si>
  <si>
    <t>MFRFT: Insulation - Floor - R0 to R30 - E</t>
  </si>
  <si>
    <t>11269-7</t>
  </si>
  <si>
    <t>MFRFT: Lamp - LED - A Lamp - Direct Install</t>
  </si>
  <si>
    <t>11271-7</t>
  </si>
  <si>
    <t>MFRFT: Lamp - LED - Candelabra - Direct Install</t>
  </si>
  <si>
    <t>11273-6</t>
  </si>
  <si>
    <t>MFRFT: Lamp - LED - MR16 - Direct Install</t>
  </si>
  <si>
    <t>11277-6</t>
  </si>
  <si>
    <t>MFRFT: Lamp - LED - Globe - Direct Install</t>
  </si>
  <si>
    <t>11279-6</t>
  </si>
  <si>
    <t>MFRFT: Lamp - LED - Reflector - Direct Install</t>
  </si>
  <si>
    <t>11280-6</t>
  </si>
  <si>
    <t>MFRFT: Lamp - LED - Reflector - Direct Install - Labor</t>
  </si>
  <si>
    <t>11293-5</t>
  </si>
  <si>
    <t>MFRFT: Insulation - Wall - R0 to R11 - E</t>
  </si>
  <si>
    <t>11302-5</t>
  </si>
  <si>
    <t>MFRFT: Sealing - Air</t>
  </si>
  <si>
    <t>11304-3</t>
  </si>
  <si>
    <t>MFRFT: Boiler - Replacement - Domestic Water Heating</t>
  </si>
  <si>
    <t>11306-3</t>
  </si>
  <si>
    <t>MFRFT: Boiler - Replacement - Space Heating</t>
  </si>
  <si>
    <t>11307-2</t>
  </si>
  <si>
    <t>MFRFT: Lighting - Common Area</t>
  </si>
  <si>
    <t>11307-3</t>
  </si>
  <si>
    <t>11969-4</t>
  </si>
  <si>
    <t>MFRFT: Thermostat - Electronic Line Voltage - kWh</t>
  </si>
  <si>
    <t>12066-3</t>
  </si>
  <si>
    <t>MFRFT: Tub Spout - DI</t>
  </si>
  <si>
    <t>12530-2</t>
  </si>
  <si>
    <t>Heat Pump - Ductless - from Zonal - 9.0 or greater HSPF - HZ1CZ1 - MF</t>
  </si>
  <si>
    <t>12532-2</t>
  </si>
  <si>
    <t>Heat Pump - with AC - from E FAF - MF</t>
  </si>
  <si>
    <t>12604-1</t>
  </si>
  <si>
    <t>Fan - Ventilation - Energy Star - with AS - Res</t>
  </si>
  <si>
    <t>12649-1</t>
  </si>
  <si>
    <t>Windows - Double Pane - from U60 to U30 - EH - MF</t>
  </si>
  <si>
    <t>12649-2</t>
  </si>
  <si>
    <t>12650-1</t>
  </si>
  <si>
    <t>Windows - Double Pane - U30 - from SP U120 - EH - MF</t>
  </si>
  <si>
    <t>12650-2</t>
  </si>
  <si>
    <t>12651-2</t>
  </si>
  <si>
    <t>Windows - Double Pane - U30 - from SP U120 - GH - MF</t>
  </si>
  <si>
    <t>12657-2</t>
  </si>
  <si>
    <t>Windows - Triple Pane - U22 - from DP U60 - EH - MF</t>
  </si>
  <si>
    <t>12658-2</t>
  </si>
  <si>
    <t>Windows - Triple Pane - U22 - from SP U120 - EH - MF</t>
  </si>
  <si>
    <t>12660-1</t>
  </si>
  <si>
    <t>Integrated Heating System - Space and Water - GH - Res</t>
  </si>
  <si>
    <t>12660-2</t>
  </si>
  <si>
    <t>12669-1</t>
  </si>
  <si>
    <t>Furnace - 95pc - GH - Res</t>
  </si>
  <si>
    <t>12686-2</t>
  </si>
  <si>
    <t>Water Heater - Tankless - Energy Star - 0.9 EF - GH - Res</t>
  </si>
  <si>
    <t>12692-2</t>
  </si>
  <si>
    <t>Adapter - Thermostatic Restrictor Valve - DI - EWH - MF</t>
  </si>
  <si>
    <t>12733-2</t>
  </si>
  <si>
    <t>Thermostat - ELV - Smart - Zonal - MF</t>
  </si>
  <si>
    <t>12801-2</t>
  </si>
  <si>
    <t>Lamp - TLED - 4 ft - 2x - from 4 ft T12 2x - DI - MF</t>
  </si>
  <si>
    <t>12802-2</t>
  </si>
  <si>
    <t>Lamp - TLED - 4 ft - 2x - from 4 ft T8 32w 2x - DI - MF</t>
  </si>
  <si>
    <t>12906-2</t>
  </si>
  <si>
    <t>Windows - Double Pane - from U60 to U30 - GH - MF</t>
  </si>
  <si>
    <t>12983-1</t>
  </si>
  <si>
    <t>Power Strip - Advanced - Load Sensing - Tier 1 - MFCA</t>
  </si>
  <si>
    <t>12984-1</t>
  </si>
  <si>
    <t>Power Strip - Advanced - Load Sensing - Tier 1 - Res</t>
  </si>
  <si>
    <t>12991-1</t>
  </si>
  <si>
    <t>Insulation - Attic - R11 to R49 - EH - MF</t>
  </si>
  <si>
    <t>13088-1</t>
  </si>
  <si>
    <t>Lamp - LED - A Lamp - UI - MFIU</t>
  </si>
  <si>
    <t>13089-1</t>
  </si>
  <si>
    <t>Lamp - LED - Candelabra - UI - MFIU</t>
  </si>
  <si>
    <t>13090-1</t>
  </si>
  <si>
    <t>Lamp - LED - Globe - UI - MFIU</t>
  </si>
  <si>
    <t>13091-1</t>
  </si>
  <si>
    <t>Lamp - LED - MR16 - UI - MFIU</t>
  </si>
  <si>
    <t>13092-1</t>
  </si>
  <si>
    <t>Lamp - LED - Reflector - UI - MFIU</t>
  </si>
  <si>
    <t>13182-1</t>
  </si>
  <si>
    <t>Lamp - TLED - 4 ft - 2x - w Ext Driver - from 4 ft T12 75w 2x - MFIU</t>
  </si>
  <si>
    <t>13190-1</t>
  </si>
  <si>
    <t>Fixture - LED - 30w or less - from T8 59w - MFIU</t>
  </si>
  <si>
    <t>10055-1</t>
  </si>
  <si>
    <t>Whole Building Design - Custom</t>
  </si>
  <si>
    <t>10076-1</t>
  </si>
  <si>
    <t>Lighting Power Density Reduction - Custom</t>
  </si>
  <si>
    <t>10037-1</t>
  </si>
  <si>
    <t>Insulation - Building Shell - Custom</t>
  </si>
  <si>
    <t>10038-1</t>
  </si>
  <si>
    <t>Insulation - Exterior Roof - Custom</t>
  </si>
  <si>
    <t>10039-1</t>
  </si>
  <si>
    <t>HVAC - Other - Custom</t>
  </si>
  <si>
    <t>10041-1</t>
  </si>
  <si>
    <t>Window - Custom</t>
  </si>
  <si>
    <t>10046-1</t>
  </si>
  <si>
    <t>Energy Recovery System - Custom</t>
  </si>
  <si>
    <t>10049-1</t>
  </si>
  <si>
    <t>HVAC Control - Base - Custom</t>
  </si>
  <si>
    <t>10056-1</t>
  </si>
  <si>
    <t>Unitary Equipment - Custom</t>
  </si>
  <si>
    <t>10057-1</t>
  </si>
  <si>
    <t>HVAC Control - Only - Custom</t>
  </si>
  <si>
    <t>10058-1</t>
  </si>
  <si>
    <t>Fan - VFD - Custom</t>
  </si>
  <si>
    <t>10059-1</t>
  </si>
  <si>
    <t>Lighting - Custom</t>
  </si>
  <si>
    <t>10068-1</t>
  </si>
  <si>
    <t>Process Heating System - Custom</t>
  </si>
  <si>
    <t>10070-1</t>
  </si>
  <si>
    <t>Pump - VFD - Custom</t>
  </si>
  <si>
    <t>10071-1</t>
  </si>
  <si>
    <t>Compressor or Dryer or Receiver - Custom</t>
  </si>
  <si>
    <t>10072-1</t>
  </si>
  <si>
    <t>Chiller - Custom</t>
  </si>
  <si>
    <t>10073-1</t>
  </si>
  <si>
    <t>Boiler - Hot Water - Custom</t>
  </si>
  <si>
    <t>10075-1</t>
  </si>
  <si>
    <t>Boiler - Steam - Custom</t>
  </si>
  <si>
    <t>10258-1</t>
  </si>
  <si>
    <t>Generic Measure - Custom</t>
  </si>
  <si>
    <t>10261-1</t>
  </si>
  <si>
    <t>Refrigeration - Custom</t>
  </si>
  <si>
    <t>11912-1</t>
  </si>
  <si>
    <t>HVAC Control - Performance - Custom</t>
  </si>
  <si>
    <t>11913-1</t>
  </si>
  <si>
    <t>Process - Control - Custom</t>
  </si>
  <si>
    <t>12308-1</t>
  </si>
  <si>
    <t>HVAC - VRF - Custom</t>
  </si>
  <si>
    <t>12566-1</t>
  </si>
  <si>
    <t>EBCx - Assessment Phase - Custom</t>
  </si>
  <si>
    <t>12576-1</t>
  </si>
  <si>
    <t>Pumps and Vacuums - Custom</t>
  </si>
  <si>
    <t>12829-1</t>
  </si>
  <si>
    <t>Building Tune Up - Base - Custom</t>
  </si>
  <si>
    <t>12988-1</t>
  </si>
  <si>
    <t>Insulation - Pool Cover - Exterior - Custom</t>
  </si>
  <si>
    <t>10074-1</t>
  </si>
  <si>
    <t>Lighting - Street - Custom</t>
  </si>
  <si>
    <t>10628-5</t>
  </si>
  <si>
    <t>LTGO: Lamp - TLED - 2 3 or 4 foot</t>
  </si>
  <si>
    <t>12323-1</t>
  </si>
  <si>
    <t>Lighting - Base - Custom</t>
  </si>
  <si>
    <t>12334-1</t>
  </si>
  <si>
    <t>Lighting - Performance - Custom</t>
  </si>
  <si>
    <t>12909-1</t>
  </si>
  <si>
    <t>Lamp - LED - 30W or less Lamp - from HID 70W - Comm</t>
  </si>
  <si>
    <t>12913-1</t>
  </si>
  <si>
    <t>Lamp - LED - 90W or less Lamp - from HID 250W - Comm</t>
  </si>
  <si>
    <t>12915-1</t>
  </si>
  <si>
    <t>Lamp - LED - 155W or less Lamp - from HID 400W - Comm</t>
  </si>
  <si>
    <t>11914-1</t>
  </si>
  <si>
    <t>Process - Modification - Custom</t>
  </si>
  <si>
    <t>12577-1</t>
  </si>
  <si>
    <t>Optimization - Refrigeration - O and M - Custom</t>
  </si>
  <si>
    <t>12584-1</t>
  </si>
  <si>
    <t>Optimization - Process Heating - O and M</t>
  </si>
  <si>
    <t>12589-1</t>
  </si>
  <si>
    <t>ISEM - Performance Incentive - Year 1</t>
  </si>
  <si>
    <t>12592-1</t>
  </si>
  <si>
    <t>ISEM - Milestone Incentive 1</t>
  </si>
  <si>
    <t>12593-1</t>
  </si>
  <si>
    <t>ISEM - Milestone Incentive 2</t>
  </si>
  <si>
    <t>10042-1</t>
  </si>
  <si>
    <t>Water Heater - Commercial - Custom</t>
  </si>
  <si>
    <t>12092-1</t>
  </si>
  <si>
    <t>CSEM - Performance Incentive - Year 1</t>
  </si>
  <si>
    <t>12093-1</t>
  </si>
  <si>
    <t>CSEM - Performance Incentive - Year 2</t>
  </si>
  <si>
    <t>12094-1</t>
  </si>
  <si>
    <t>CSEM - Performance Incentive - Year 3</t>
  </si>
  <si>
    <t>12095-1</t>
  </si>
  <si>
    <t>CSEM - Target Incentive - Year 1</t>
  </si>
  <si>
    <t>12096-1</t>
  </si>
  <si>
    <t>CSEM - Target Incentive - Year 2</t>
  </si>
  <si>
    <t>12097-1</t>
  </si>
  <si>
    <t>CSEM - Target Incentive - Year 3</t>
  </si>
  <si>
    <t>12098-1</t>
  </si>
  <si>
    <t>CSEM - Start Up Incentive - Year 1</t>
  </si>
  <si>
    <t>12100-1</t>
  </si>
  <si>
    <t>CSEM - Training Allowance - Year 2</t>
  </si>
  <si>
    <t>12101-1</t>
  </si>
  <si>
    <t>CSEM - Training Allowance - Year 3</t>
  </si>
  <si>
    <t>12196-1</t>
  </si>
  <si>
    <t>PFP: Base Incentive - Year 1</t>
  </si>
  <si>
    <t>10065-1</t>
  </si>
  <si>
    <t>Motor - Custom</t>
  </si>
  <si>
    <t>12698-1</t>
  </si>
  <si>
    <t>Study - Engineering - Custom</t>
  </si>
  <si>
    <t>12824-1</t>
  </si>
  <si>
    <t>Commissioning - Ongoing - Performance - Year 2 - Custom</t>
  </si>
  <si>
    <t>10621-3</t>
  </si>
  <si>
    <t>LTGO: Fixture - LED - Retrofit Kit - Hard Wired Recessed Can</t>
  </si>
  <si>
    <t>10622-3</t>
  </si>
  <si>
    <t>LTGO: Lamp - LED - Integral - Decorative</t>
  </si>
  <si>
    <t>10623-3</t>
  </si>
  <si>
    <t>LTGO: Lamp - LED - Integral - Omnidirectional</t>
  </si>
  <si>
    <t>10624-2</t>
  </si>
  <si>
    <t>LTGO: Lamp - LED - Integral - from R BR or PAR20</t>
  </si>
  <si>
    <t>10625-2</t>
  </si>
  <si>
    <t>LTGO: Lamp - LED - Integral - from R BR or PAR30</t>
  </si>
  <si>
    <t>10626-3</t>
  </si>
  <si>
    <t>LTGO: Lamp - LED - Integral - from R BR or PAR38 or 40</t>
  </si>
  <si>
    <t>10627-3</t>
  </si>
  <si>
    <t>LTGO: Lamp - LED - MR16 or PAR16</t>
  </si>
  <si>
    <t>10628-4</t>
  </si>
  <si>
    <t>12771-1</t>
  </si>
  <si>
    <t>Lamp - LED - 101w to 200w - from 320w to 400w HID - Comm</t>
  </si>
  <si>
    <t>12773-1</t>
  </si>
  <si>
    <t>Lamp - LED - 201w or more - from 1000w - Comm</t>
  </si>
  <si>
    <t>12774-1</t>
  </si>
  <si>
    <t>Lamp - LED - 25w or less - from 50w to 100w HID - Comm</t>
  </si>
  <si>
    <t>12775-1</t>
  </si>
  <si>
    <t>Lamp - LED - 26w to 60w - from 150w to 175w HID - Comm</t>
  </si>
  <si>
    <t>12777-1</t>
  </si>
  <si>
    <t>Lamp - LED - 61w to 100w - from 250w HID - Comm</t>
  </si>
  <si>
    <t>12779-1</t>
  </si>
  <si>
    <t>Lamp - LED - Any - from CFL - Comm</t>
  </si>
  <si>
    <t>12818-1</t>
  </si>
  <si>
    <t>Lamp - TLED - Any - from 4 ft T5 - Comm</t>
  </si>
  <si>
    <t>12941-1</t>
  </si>
  <si>
    <t>Fixture - LED - 15W or less - from HID 50W - Comm</t>
  </si>
  <si>
    <t>12942-1</t>
  </si>
  <si>
    <t>Fixture - LED - 30W or less - from HID 70W - Comm</t>
  </si>
  <si>
    <t>12943-1</t>
  </si>
  <si>
    <t>Fixture - LED - 40W or less - from HID 100W - Comm</t>
  </si>
  <si>
    <t>12944-1</t>
  </si>
  <si>
    <t>Fixture - LED - 50W or less - from HID 150W - Comm</t>
  </si>
  <si>
    <t>12946-1</t>
  </si>
  <si>
    <t>Fixture - LED - 90W or less - from HID 250W - Comm</t>
  </si>
  <si>
    <t>12947-1</t>
  </si>
  <si>
    <t>Fixture - LED - 105W or less - from HID 320W - Comm</t>
  </si>
  <si>
    <t>12948-1</t>
  </si>
  <si>
    <t>Fixture - LED - 155W or less - from HID 400W - Comm</t>
  </si>
  <si>
    <t>12949-1</t>
  </si>
  <si>
    <t>Fixture - LED - 315W or less - from HID 1000W - Comm</t>
  </si>
  <si>
    <t>13192-1</t>
  </si>
  <si>
    <t>Troffer - LED - Any - from FL - Comm</t>
  </si>
  <si>
    <t>13193-1</t>
  </si>
  <si>
    <t>Strip Fixture - LED - Any - Comm</t>
  </si>
  <si>
    <t>13196-1</t>
  </si>
  <si>
    <t>Downlight - LED - 25w or less - from CFL - Comm</t>
  </si>
  <si>
    <t>13197-1</t>
  </si>
  <si>
    <t>Downlight - LED - over 25w - from CFL - Comm</t>
  </si>
  <si>
    <t>13199-1</t>
  </si>
  <si>
    <t>High Bay - LED - 51w to 125 w - Comm</t>
  </si>
  <si>
    <t>13200-1</t>
  </si>
  <si>
    <t>High Bay - LED - over 125w - Comm</t>
  </si>
  <si>
    <t>10873-1</t>
  </si>
  <si>
    <t>CKTCH: Dishwasher - Door Type - High Temp - EWH - E Booster</t>
  </si>
  <si>
    <t>10876-1</t>
  </si>
  <si>
    <t>CKTCH: Dishwasher - Door Type - Low Temp - EWH</t>
  </si>
  <si>
    <t>10884-1</t>
  </si>
  <si>
    <t>CKTCH: Dishwasher - Single Tank - High Temp - EWH - E Booster</t>
  </si>
  <si>
    <t>10895-2</t>
  </si>
  <si>
    <t>CKTCH: Dishwasher - Under Counter - High Temp - GWH - E Booster</t>
  </si>
  <si>
    <t>10896-1</t>
  </si>
  <si>
    <t>CKTCH: Dishwasher - Under Counter - Low Temp - EWH</t>
  </si>
  <si>
    <t>12430-3</t>
  </si>
  <si>
    <t>Fryer - Kitchen - Any Vat - Comm - E</t>
  </si>
  <si>
    <t>12432-1</t>
  </si>
  <si>
    <t>Steam - Kitchen - Any Size - Comm - E</t>
  </si>
  <si>
    <t>12612-2</t>
  </si>
  <si>
    <t>Clothes Washer - EWH - E Dryer - Laundromat</t>
  </si>
  <si>
    <t>12748-1</t>
  </si>
  <si>
    <t>Oven - Convection - Full - 5 Pans or less - EH - Comm</t>
  </si>
  <si>
    <t>12756-1</t>
  </si>
  <si>
    <t>Oven - Convection - Half - EH - Comm</t>
  </si>
  <si>
    <t>12834-1</t>
  </si>
  <si>
    <t>Ice Maker - Ice Making Head - AC - IHR 300 to 799 - Comm</t>
  </si>
  <si>
    <t>12834-2</t>
  </si>
  <si>
    <t>12840-2</t>
  </si>
  <si>
    <t>Ice Maker - Remote Condensing - AC - IHR 988 or more - Comm</t>
  </si>
  <si>
    <t>12842-2</t>
  </si>
  <si>
    <t>Ice Maker - Remote Condensing - AC - IHR less than 988 - Comm</t>
  </si>
  <si>
    <t>12846-2</t>
  </si>
  <si>
    <t>Ice Maker - Self Contained - AC - IHR 200 or more - Comm</t>
  </si>
  <si>
    <t>12848-2</t>
  </si>
  <si>
    <t>Ice Maker - Self Contained - AC - IHR less than 110 - Comm</t>
  </si>
  <si>
    <t>12878-1</t>
  </si>
  <si>
    <t>Incentive - Sales - Dishwasher - DWH - Comm - Kitchen</t>
  </si>
  <si>
    <t>12879-1</t>
  </si>
  <si>
    <t>Incentive - Sales - Dishwasher - EWH - Comm - Kitchen</t>
  </si>
  <si>
    <t>12879-2</t>
  </si>
  <si>
    <t>12881-2</t>
  </si>
  <si>
    <t>Incentive - Sales - Food Cabinet - Hot - EH - Comm - Kitchen</t>
  </si>
  <si>
    <t>12882-2</t>
  </si>
  <si>
    <t>Incentive - Sales - Fryer - EH - Comm - Kitchen</t>
  </si>
  <si>
    <t>12886-1</t>
  </si>
  <si>
    <t>Incentive - Sales - Ice Maker - EH - Comm - Kitchen</t>
  </si>
  <si>
    <t>12886-2</t>
  </si>
  <si>
    <t>12887-1</t>
  </si>
  <si>
    <t>Incentive - Sales - Oven - EH - Comm - Kitchen</t>
  </si>
  <si>
    <t>12887-2</t>
  </si>
  <si>
    <t>12889-1</t>
  </si>
  <si>
    <t>Incentive - Sales - Steam Cooker - EH - Comm - Kitchen</t>
  </si>
  <si>
    <t>12889-2</t>
  </si>
  <si>
    <t>12976-1</t>
  </si>
  <si>
    <t>Food Cabinet - Holding - 13 ft to under 28 ft - Kitchen - Comm</t>
  </si>
  <si>
    <t>12980-1</t>
  </si>
  <si>
    <t>Food Cabinet - Holding - Under 13 ft - Kitchen - Comm</t>
  </si>
  <si>
    <t>13040-1</t>
  </si>
  <si>
    <t>Freezer - Ultra Low Temp - 24 ft to 29 ft - Comm</t>
  </si>
  <si>
    <t>13072-1</t>
  </si>
  <si>
    <t>Oven - Convection - Full - EH - Comm</t>
  </si>
  <si>
    <t>13080-1</t>
  </si>
  <si>
    <t>Steamer - Any Size - EH - Kitchen - Comm</t>
  </si>
  <si>
    <t>13084-1</t>
  </si>
  <si>
    <t>Incentive - Sales - Freezer - Ultra Low Temp - EH - Comm</t>
  </si>
  <si>
    <t>13095-1</t>
  </si>
  <si>
    <t>Dishwasher - Door Type - Single Tank - High Temp - EWH - E Booster - Foodservice</t>
  </si>
  <si>
    <t>13097-1</t>
  </si>
  <si>
    <t>Dishwasher - Door Type - Single Tank - High Temp - GWH - E Booster - Foodservice</t>
  </si>
  <si>
    <t>13100-1</t>
  </si>
  <si>
    <t>Dishwasher - Door Type - Single Tank - Low Temp - EWH - Foodservice</t>
  </si>
  <si>
    <t>13117-1</t>
  </si>
  <si>
    <t>Dishwasher - Rack Conveyor - Single Tank - High Temp - EWH - E Booster - Foodservice</t>
  </si>
  <si>
    <t>13131-1</t>
  </si>
  <si>
    <t>Dishwasher - Under Counter - High Temp - EWH - E Booster - Foodservice</t>
  </si>
  <si>
    <t>13136-1</t>
  </si>
  <si>
    <t>Dishwasher - Under Counter - Low Temp - EWH - Foodservice</t>
  </si>
  <si>
    <t>13154-1</t>
  </si>
  <si>
    <t>Dishwasher - Door Type - Single Tank - High Temp - EWH - Foodservice - CWA</t>
  </si>
  <si>
    <t>13158-1</t>
  </si>
  <si>
    <t>Dishwasher - Rack Conveyor - Single Tank - High Temp - EWH - Foodservice - CWA</t>
  </si>
  <si>
    <t>13165-1</t>
  </si>
  <si>
    <t>Ice Maker - Ice Making Head - AC - IHR 300 to 799 - Comm - CWA</t>
  </si>
  <si>
    <t>13174-1</t>
  </si>
  <si>
    <t>Steamer - 6 to 10 pan - EH - Kitchen - Comm - CWA</t>
  </si>
  <si>
    <t>12343-1</t>
  </si>
  <si>
    <t>Supply Fan VFD and Controller - with DCV - RTU - Gas Pack - 1500 to 2500 Hrs - C</t>
  </si>
  <si>
    <t>12351-1</t>
  </si>
  <si>
    <t>Thermostat - Web Enabled - HP Heating - Comm - Grocery</t>
  </si>
  <si>
    <t>12357-1</t>
  </si>
  <si>
    <t>Thermostat - Web Enabled - HP Heating - Comm</t>
  </si>
  <si>
    <t>12358-1</t>
  </si>
  <si>
    <t>Thermostat - Web Enabled - GP Heating - Comm</t>
  </si>
  <si>
    <t>12360-1</t>
  </si>
  <si>
    <t>Thermostat - Web Enabled - HP Heating - wo AC - Comm</t>
  </si>
  <si>
    <t>12361-1</t>
  </si>
  <si>
    <t>Thermostat - Web Enabled - GP Heating - wo AC - Comm</t>
  </si>
  <si>
    <t>12363-1</t>
  </si>
  <si>
    <t>Heat Pump - Ductless - Comm</t>
  </si>
  <si>
    <t>12369-1</t>
  </si>
  <si>
    <t>Supply Fan VFD and Controller - RTU - Heat Pump - 5500 to 6500 Hrs</t>
  </si>
  <si>
    <t>12377-1</t>
  </si>
  <si>
    <t>Supply Fan VFD and Controller - RTU - Gas Pack - 5500 to 6500 Hrs</t>
  </si>
  <si>
    <t>13025-1</t>
  </si>
  <si>
    <t>Supply Fan VFD and Controller - RTU - 10 to 20 Tons - Gas Pack - Comm</t>
  </si>
  <si>
    <t>13026-1</t>
  </si>
  <si>
    <t>Supply Fan VFD and Controller - RTU - 10 to 20 Tons - Heat Pump - Comm</t>
  </si>
  <si>
    <t>13027-1</t>
  </si>
  <si>
    <t>Supply Fan VFD and Controller - RTU - 5 to under 10 Tons - Gas Pack - Comm</t>
  </si>
  <si>
    <t>13031-1</t>
  </si>
  <si>
    <t>Supply Fan VFD and Controller - RTU - More than 20 Tons - Gas Pack - Comm</t>
  </si>
  <si>
    <t>13033-1</t>
  </si>
  <si>
    <t>Supply Fan VFD and Controller - with DCV - RTU - 10 to 20 Tons - Gas Pack - Comm - C</t>
  </si>
  <si>
    <t>13035-1</t>
  </si>
  <si>
    <t>Supply Fan VFD and Controller - with DCV - RTU - 5 to under 10 Tons - Gas Pack - Comm - C</t>
  </si>
  <si>
    <t>12230-1</t>
  </si>
  <si>
    <t>CMID: Air Conditioner - AC - Package - Bthu Under 65k - Tier 2</t>
  </si>
  <si>
    <t>12232-1</t>
  </si>
  <si>
    <t>CMID: Air Conditioner - AC - Bthu 65k to 135k - Tier 1</t>
  </si>
  <si>
    <t>12233-1</t>
  </si>
  <si>
    <t>CMID: Air Conditioner - AC - Bthu 65k to 135k - Tier 2</t>
  </si>
  <si>
    <t>12234-1</t>
  </si>
  <si>
    <t>CMID: Air Conditioner - AC - Bthu 65k to 135k - Tier 3</t>
  </si>
  <si>
    <t>12235-1</t>
  </si>
  <si>
    <t>CMID: Air Conditioner - AC - Bthu 135k to 240k - Tier 1</t>
  </si>
  <si>
    <t>12236-1</t>
  </si>
  <si>
    <t>CMID: Air Conditioner - AC - Bthu 135k to 240k - Tier 2</t>
  </si>
  <si>
    <t>12238-1</t>
  </si>
  <si>
    <t>CMID: Air Conditioner - AC - Btuh 240k to 760k - Tier 1</t>
  </si>
  <si>
    <t>12239-1</t>
  </si>
  <si>
    <t>CMID: Air Conditioner - AC - Btuh 240k to 760k - Tier 2</t>
  </si>
  <si>
    <t>12240-1</t>
  </si>
  <si>
    <t>CMID: Air Conditioner - AC - Btuh 240k to 760k - Tier 3</t>
  </si>
  <si>
    <t>12242-1</t>
  </si>
  <si>
    <t>CMID: Air Conditioner - AC - Btuh over 760k - Tier 2</t>
  </si>
  <si>
    <t>12243-1</t>
  </si>
  <si>
    <t>CMID: Air Conditioner - AC - Btuh over 760k - Tier 3</t>
  </si>
  <si>
    <t>12251-1</t>
  </si>
  <si>
    <t>CMID: Heat Pump - AC - Btuh 65k to 135k - Tier 2</t>
  </si>
  <si>
    <t>12252-1</t>
  </si>
  <si>
    <t>CMID: Heat Pump - AC - Btuh 65k to 135k - Tier 3</t>
  </si>
  <si>
    <t>12255-1</t>
  </si>
  <si>
    <t>CMID: Heat Pump - AC - Btuh 135k to 240k - Tier 3</t>
  </si>
  <si>
    <t>12259-1</t>
  </si>
  <si>
    <t>CMID: Heat Pump - WC - WL - Btuh Under 17k - Tier 1</t>
  </si>
  <si>
    <t>12263-1</t>
  </si>
  <si>
    <t>CMID: Heat Pump - WC - WL - Btuh over 17k - Tier 2</t>
  </si>
  <si>
    <t>12264-1</t>
  </si>
  <si>
    <t>CMID: Heat Pump - WC - WL - Btuh over 17k - Tier 3</t>
  </si>
  <si>
    <t>12265-1</t>
  </si>
  <si>
    <t>CMID: Heat Pump - WC - GL - Btuh Under 135k - Tier 1</t>
  </si>
  <si>
    <t>12852-1</t>
  </si>
  <si>
    <t>Heat Pump - Ductless - Tier 1 - Less than 65 kBtuh - EH - Comm</t>
  </si>
  <si>
    <t>12855-1</t>
  </si>
  <si>
    <t>Heat Pump - Ductless - Tier 2 - Less than 65 kBtuh - EH - Comm</t>
  </si>
  <si>
    <t>12858-1</t>
  </si>
  <si>
    <t>Heat Pump - Packaged - Tier 1 - Less than 65 kBtuh - EH - Comm</t>
  </si>
  <si>
    <t>12867-1</t>
  </si>
  <si>
    <t>Heat Pump - Split - Tier 2 - Less than 65 kBtuh - EH - Comm</t>
  </si>
  <si>
    <t>12870-1</t>
  </si>
  <si>
    <t>Water Heater - Heat Pump - EH - Comm</t>
  </si>
  <si>
    <t>12893-2</t>
  </si>
  <si>
    <t>Incentive - Sales - Distributor - EH or EWH - Comm</t>
  </si>
  <si>
    <t>10952-3</t>
  </si>
  <si>
    <t>SBDI: Controls - ASH - Compressor - Low Temp</t>
  </si>
  <si>
    <t>10953-3</t>
  </si>
  <si>
    <t>SBDI: Controls - ASH - Compressor - Mid Temp</t>
  </si>
  <si>
    <t>10955-3</t>
  </si>
  <si>
    <t>SBDI: ECM - Walk In - 23w</t>
  </si>
  <si>
    <t>10956-3</t>
  </si>
  <si>
    <t>SBDI: ECM - Walk In - More than 23w</t>
  </si>
  <si>
    <t>11106-5</t>
  </si>
  <si>
    <t>SBDI: Lamp - TLED - 3 ft - 1x - from 3 ft 1x T8 25w</t>
  </si>
  <si>
    <t>11107-6</t>
  </si>
  <si>
    <t>SBDI: Lamp - TLED - 3 ft - 1x - from 3 ft T12 1x</t>
  </si>
  <si>
    <t>11108-5</t>
  </si>
  <si>
    <t>SBDI: Lamp - TLED - 4 ft - 1x - from 4 ft T12 1x</t>
  </si>
  <si>
    <t>11108-6</t>
  </si>
  <si>
    <t>11114-5</t>
  </si>
  <si>
    <t>SBDI: Lamp - TLED - 4 ft - 2x - from 4 ft T12 2x</t>
  </si>
  <si>
    <t>11114-6</t>
  </si>
  <si>
    <t>11115-5</t>
  </si>
  <si>
    <t>SBDI: Lamp - TLED - 4 ft - 2x - from 4 ft T12 HO 2x</t>
  </si>
  <si>
    <t>11115-6</t>
  </si>
  <si>
    <t>11127-5</t>
  </si>
  <si>
    <t>SBDI: Lamp - TLED - 4 ft - 3x from 4 ft T12 3x</t>
  </si>
  <si>
    <t>11127-6</t>
  </si>
  <si>
    <t>11128-5</t>
  </si>
  <si>
    <t>SBDI: Lamp - TLED - 4 ft - 4x - from 4 ft T12 4x</t>
  </si>
  <si>
    <t>11128-6</t>
  </si>
  <si>
    <t>11129-6</t>
  </si>
  <si>
    <t>SBDI: Lamp - TLED - 4 ft - 4x - from 4 ft T12 HO 4x</t>
  </si>
  <si>
    <t>11135-1</t>
  </si>
  <si>
    <t>SBDI: LED Exit Sign</t>
  </si>
  <si>
    <t>11135-2</t>
  </si>
  <si>
    <t>11136-9</t>
  </si>
  <si>
    <t>SBDI: LED Open Sign</t>
  </si>
  <si>
    <t>11137-4</t>
  </si>
  <si>
    <t>SBDI: Occupancy Sensor - 100w to 150w</t>
  </si>
  <si>
    <t>11138-4</t>
  </si>
  <si>
    <t>SBDI: Occupancy Sensor - 151w to 200w</t>
  </si>
  <si>
    <t>11220-3</t>
  </si>
  <si>
    <t>SBDI: Sprayhead - EWH - 0.65 gpm - from 2.2</t>
  </si>
  <si>
    <t>11315-3</t>
  </si>
  <si>
    <t>SBDI: Aerator - EWH - All Others</t>
  </si>
  <si>
    <t>11321-3</t>
  </si>
  <si>
    <t>SBDI: Aerator - EWH - Retail</t>
  </si>
  <si>
    <t>12053-4</t>
  </si>
  <si>
    <t>SBDI: Fixture - LED - 100w - from 400w HID</t>
  </si>
  <si>
    <t>12053-5</t>
  </si>
  <si>
    <t>12105-2</t>
  </si>
  <si>
    <t>SBDI: Fixture - LED - 20w - from 100w HID</t>
  </si>
  <si>
    <t>12106-5</t>
  </si>
  <si>
    <t>SBDI: Lamp - TLED - 4 ft - 1x - from 4 ft T8 28w BBF 1x</t>
  </si>
  <si>
    <t>12107-4</t>
  </si>
  <si>
    <t>SBDI: Lamp - TLED - 4 ft - 1x - from 4ft T8 32w BBF 1x</t>
  </si>
  <si>
    <t>12107-5</t>
  </si>
  <si>
    <t>12108-5</t>
  </si>
  <si>
    <t>SBDI: Lamp - TLED - 4 ft - 2x - from 4 ft T8 28w BBF 2x</t>
  </si>
  <si>
    <t>12109-4</t>
  </si>
  <si>
    <t>SBDI: Lamp - TLED - 4 ft - 2x - from 4 ft T8 32w BBF 2x</t>
  </si>
  <si>
    <t>12109-5</t>
  </si>
  <si>
    <t>12110-4</t>
  </si>
  <si>
    <t>SBDI: Lamp - TLED - 4 ft - 3x - from 4 ft T8 28w BBF 3x</t>
  </si>
  <si>
    <t>12111-4</t>
  </si>
  <si>
    <t>SBDI: Lamp - TLED - 4 ft - 3x - from 4 ft T8 32w BBF 3x</t>
  </si>
  <si>
    <t>12111-5</t>
  </si>
  <si>
    <t>12113-3</t>
  </si>
  <si>
    <t>SBDI: Lamp - TLED - 4 ft - 4x - from 4 ft T8 28w BBF 4x</t>
  </si>
  <si>
    <t>12113-4</t>
  </si>
  <si>
    <t>12114-4</t>
  </si>
  <si>
    <t>SBDI: Lamp - TLED - 4 ft - 4x - from 4 ft T8 32w BBF 4x</t>
  </si>
  <si>
    <t>12114-5</t>
  </si>
  <si>
    <t>12115-3</t>
  </si>
  <si>
    <t>SBDI: Fixture - Volumetric - LED - 24w - from 4 ft T12 4x</t>
  </si>
  <si>
    <t>12115-4</t>
  </si>
  <si>
    <t>12116-4</t>
  </si>
  <si>
    <t>SBDI: Fixture - Volumetric - LED - 24w - from 4 ft T8 32w 4x</t>
  </si>
  <si>
    <t>12117-5</t>
  </si>
  <si>
    <t>SBDI: Fixture - Volumetric - LED - 24w - from 4 ft T8 32w 3x</t>
  </si>
  <si>
    <t>12118-1</t>
  </si>
  <si>
    <t>SBDI: Fixture - LED - 35w - from 175w HID</t>
  </si>
  <si>
    <t>12161-1</t>
  </si>
  <si>
    <t>SBDI: Lamp - TLED - 4 ft - 2x - from 4 ft T8 32w NLO 2x - LCA</t>
  </si>
  <si>
    <t>12176-1</t>
  </si>
  <si>
    <t>SBDI: Lamp - TLED - 4 ft - 4x - from 4 ft T8 32w NLO 4x - LCA</t>
  </si>
  <si>
    <t>12188-1</t>
  </si>
  <si>
    <t>SBDI: Fixture - LED - 35w - from 250w HID</t>
  </si>
  <si>
    <t>12189-2</t>
  </si>
  <si>
    <t>SBDI: Fixture - LED - 60w - from 250w HID</t>
  </si>
  <si>
    <t>12190-1</t>
  </si>
  <si>
    <t>SBDI: Fixture - LED - 60w - from 400w HID</t>
  </si>
  <si>
    <t>12191-2</t>
  </si>
  <si>
    <t>SBDI: Fixture - LED - 80w - from 400w HID</t>
  </si>
  <si>
    <t>12193-1</t>
  </si>
  <si>
    <t>SBDI: Fixture - LED - High Output - from 400w HID</t>
  </si>
  <si>
    <t>12195-1</t>
  </si>
  <si>
    <t>SBDI: Fixture - LED - Low to Med Output - from 400w HID</t>
  </si>
  <si>
    <t>12356-1</t>
  </si>
  <si>
    <t>Thermostat - Web Enabled - ER Heating - Comm</t>
  </si>
  <si>
    <t>12731-1</t>
  </si>
  <si>
    <t>Fixture - LED - 150w - from 4 ft T5 HLO 6x - SMB</t>
  </si>
  <si>
    <t>12732-1</t>
  </si>
  <si>
    <t>Fixture - LED - 300w - from 1000w MH - SMB</t>
  </si>
  <si>
    <t>12784-2</t>
  </si>
  <si>
    <t>Lamp - TLED - 4 ft - 2x - DLR from 4 ft T12 3x - DI - SMB</t>
  </si>
  <si>
    <t>12786-2</t>
  </si>
  <si>
    <t>Lamp - TLED - 4 ft - 2x - DLR from 4 ft T12 4x - DI - SMB</t>
  </si>
  <si>
    <t>12792-1</t>
  </si>
  <si>
    <t>Lamp - TLED - 4 ft - 2x - DLR from 4 ft T8 32w BBF 3x - DI - SMB</t>
  </si>
  <si>
    <t>12792-2</t>
  </si>
  <si>
    <t>12793-2</t>
  </si>
  <si>
    <t>Lamp - TLED - 4 ft - 2x - DLR from 4 ft T8 32w BBF 4x - DI - SMB</t>
  </si>
  <si>
    <t>12795-1</t>
  </si>
  <si>
    <t>Lamp - TLED - 4 ft - 2x - DLR from 4 ft T8 32w HLO 4x - DI - LCA</t>
  </si>
  <si>
    <t>12800-1</t>
  </si>
  <si>
    <t>Lamp - TLED - 4 ft - 2x - DLR from 8 ft T12 F96 2x - DI - SMB</t>
  </si>
  <si>
    <t>12800-2</t>
  </si>
  <si>
    <t>12804-2</t>
  </si>
  <si>
    <t>Lamp - TLED - 4 ft - 2x - from 8 ft T12 F96 1x - DI - SMB</t>
  </si>
  <si>
    <t>12806-2</t>
  </si>
  <si>
    <t>Lamp - TLED - 4 ft - 2x - from 8 ft T12 HO F96 1x - DI - SMB</t>
  </si>
  <si>
    <t>12815-1</t>
  </si>
  <si>
    <t>Lamp - TLED - 4 ft - 4x - from 8 ft T12 F96 2x - DI - SMB</t>
  </si>
  <si>
    <t>12815-2</t>
  </si>
  <si>
    <t>12817-1</t>
  </si>
  <si>
    <t>Lamp - TLED - 4 ft - 4x - from 8 ft T12 HO F96 2x - DI - SMB</t>
  </si>
  <si>
    <t>12817-2</t>
  </si>
  <si>
    <t>12918-1</t>
  </si>
  <si>
    <t>Case Lighting - LED - Low Power - Refrigerated Space - Med Temp - from Single T12 - Restaurant</t>
  </si>
  <si>
    <t>12925-1</t>
  </si>
  <si>
    <t>Case Lighting - LED - Low Power - Refrigerated Space - Low Temp - from Single T8 - Restaurant</t>
  </si>
  <si>
    <t>12926-1</t>
  </si>
  <si>
    <t>Case Lighting - LED - Low Power - Refrigerated Space - Low Temp - from Single T12 - Restaurant</t>
  </si>
  <si>
    <t>12929-1</t>
  </si>
  <si>
    <t>Case Lighting - LED - Low Power - Refrigerated Space - Med Temp - from Single T8 - Grocery</t>
  </si>
  <si>
    <t>12930-1</t>
  </si>
  <si>
    <t>Case Lighting - LED - Low Power - Refrigerated Space - Med Temp - from Single T12 - Grocery</t>
  </si>
  <si>
    <t>12937-1</t>
  </si>
  <si>
    <t>Case Lighting - LED - Low Power - Refrigerated Space - Low Temp - from Single T8 - Grocery</t>
  </si>
  <si>
    <t>12938-1</t>
  </si>
  <si>
    <t>Case Lighting - LED - Low Power - Refrigerated Space - Low Temp - from Single T12 - Grocery</t>
  </si>
  <si>
    <t>12959-1</t>
  </si>
  <si>
    <t>Energy Audit - EH - SMB</t>
  </si>
  <si>
    <t>13022-1</t>
  </si>
  <si>
    <t>Thermostat Control - Occupancy Based - Setback - 5 Degrees - Lodging</t>
  </si>
  <si>
    <t>13064-1</t>
  </si>
  <si>
    <t>Heat Pump - Packaged Terminal - Lodging</t>
  </si>
  <si>
    <t>10045-1</t>
  </si>
  <si>
    <t>Conservation Voltage Reduction - Custom</t>
  </si>
  <si>
    <t>10278-1</t>
  </si>
  <si>
    <t>LIW: Safety Test - Combustion - MH - TE</t>
  </si>
  <si>
    <t>10280-1</t>
  </si>
  <si>
    <t>LIW: Safety Test - Combustion - SF - TE</t>
  </si>
  <si>
    <t>10282-1</t>
  </si>
  <si>
    <t>LIW: Sealing - Air - Package - MF - TE</t>
  </si>
  <si>
    <t>10303-1</t>
  </si>
  <si>
    <t>LIW: Carbon Monoxide Detector - MF - TE</t>
  </si>
  <si>
    <t>10305-1</t>
  </si>
  <si>
    <t>LIW: Carbon Monoxide Detector - MH - TE</t>
  </si>
  <si>
    <t>10307-1</t>
  </si>
  <si>
    <t>LIW: Carbon Monoxide Detector - SF - TE</t>
  </si>
  <si>
    <t>10309-1</t>
  </si>
  <si>
    <t>LIW: Smoke Detector - MF - TE</t>
  </si>
  <si>
    <t>10311-1</t>
  </si>
  <si>
    <t>LIW: Smoke Detector - MH - TE</t>
  </si>
  <si>
    <t>10313-1</t>
  </si>
  <si>
    <t>LIW: Smoke Detector - SF - TE</t>
  </si>
  <si>
    <t>10315-5</t>
  </si>
  <si>
    <t>LIW: Sealing - Duct - MH - TE</t>
  </si>
  <si>
    <t>10316-5</t>
  </si>
  <si>
    <t>LIW: Sealing - Duct - MH - TG</t>
  </si>
  <si>
    <t>10318-5</t>
  </si>
  <si>
    <t>LIW: Sealing - Duct - SF - TE</t>
  </si>
  <si>
    <t>10319-5</t>
  </si>
  <si>
    <t>LIW: Sealing - Duct - SF - TG</t>
  </si>
  <si>
    <t>10320-3</t>
  </si>
  <si>
    <t>LIW: Ductless Heat Pump - MH - SH</t>
  </si>
  <si>
    <t>10321-6</t>
  </si>
  <si>
    <t>LIW: Ductless Heat Pump - MH - TE</t>
  </si>
  <si>
    <t>10323-6</t>
  </si>
  <si>
    <t>LIW: Ductless Heat Pump - SF - TE</t>
  </si>
  <si>
    <t>10331-1</t>
  </si>
  <si>
    <t>LIW: Repair - Furnace - MH - TE</t>
  </si>
  <si>
    <t>10333-1</t>
  </si>
  <si>
    <t>LIW: Repair - Furnace - SF - TE</t>
  </si>
  <si>
    <t>10337-1</t>
  </si>
  <si>
    <t>LIW: Furnace - Replacement - MH - TE</t>
  </si>
  <si>
    <t>10339-1</t>
  </si>
  <si>
    <t>LIW: Furnace - Replacement - SF - TE</t>
  </si>
  <si>
    <t>10341-3</t>
  </si>
  <si>
    <t>LIW: Furnace - Replacement - Gas - 95pc - MF - TG</t>
  </si>
  <si>
    <t>10343-2</t>
  </si>
  <si>
    <t>LIW: Furnace - Replacement - Gas - 95pc - SF - TG</t>
  </si>
  <si>
    <t>10347-1</t>
  </si>
  <si>
    <t>LIW: Ground Vapor Barrier - MH - TE</t>
  </si>
  <si>
    <t>10349-1</t>
  </si>
  <si>
    <t>LIW: Ground Vapor Barrier - SF - TE</t>
  </si>
  <si>
    <t>10360-2</t>
  </si>
  <si>
    <t>LIW: Insulation - Duct - R0 to R11 - SF - TE</t>
  </si>
  <si>
    <t>10361-3</t>
  </si>
  <si>
    <t>LIW: Insulation - Duct - R0 to R11 - SF - TG</t>
  </si>
  <si>
    <t>10365-6</t>
  </si>
  <si>
    <t>LIW: Insulation - Floor - R0 to R19 - SF - TE</t>
  </si>
  <si>
    <t>10367-5</t>
  </si>
  <si>
    <t>LIW: Insulation - Floor - R0 to R22 - MH - TE</t>
  </si>
  <si>
    <t>10368-5</t>
  </si>
  <si>
    <t>LIW: Insulation - Floor - R0 to R22 - MH - TG</t>
  </si>
  <si>
    <t>10370-4</t>
  </si>
  <si>
    <t>LIW: Insulation - Floor - R0 to R30 - MF - TE</t>
  </si>
  <si>
    <t>10373-3</t>
  </si>
  <si>
    <t>LIW: Insulation - Floor - R0 to R30 - MH - TE</t>
  </si>
  <si>
    <t>10374-3</t>
  </si>
  <si>
    <t>LIW: Insulation - Floor - R0 to R30 - MH - TG</t>
  </si>
  <si>
    <t>10376-6</t>
  </si>
  <si>
    <t>LIW: Insulation - Floor - R0 to R30 - SF - TE</t>
  </si>
  <si>
    <t>10377-4</t>
  </si>
  <si>
    <t>LIW: Insulation - Floor - R0 to R30 - SF - TG</t>
  </si>
  <si>
    <t>10379-5</t>
  </si>
  <si>
    <t>LIW: Insulation - Floor - R11 to R22 - MH - TE</t>
  </si>
  <si>
    <t>10385-4</t>
  </si>
  <si>
    <t>LIW: Insulation - Wall - R0 to R11 - MF - TE</t>
  </si>
  <si>
    <t>10391-6</t>
  </si>
  <si>
    <t>LIW: Insulation - Wall - R0 to R11 - SF - TE</t>
  </si>
  <si>
    <t>10392-6</t>
  </si>
  <si>
    <t>LIW: Insulation - Wall - R0 to R11 - SF - TG</t>
  </si>
  <si>
    <t>10400-4</t>
  </si>
  <si>
    <t>LIW: Insulation - Attic - R0 to R30 - MH - TE</t>
  </si>
  <si>
    <t>10400-5</t>
  </si>
  <si>
    <t>10401-5</t>
  </si>
  <si>
    <t>LIW: Insulation - Attic - R0 to R30 - MH - TG</t>
  </si>
  <si>
    <t>10406-5</t>
  </si>
  <si>
    <t>LIW: Insulation - Attic - R0 to R38 - SF - TE</t>
  </si>
  <si>
    <t>10407-4</t>
  </si>
  <si>
    <t>LIW: Insulation - Attic - R0 to R38 - SF - TG</t>
  </si>
  <si>
    <t>10414-6</t>
  </si>
  <si>
    <t>LIW: Insulation - Attic - R11 to R38 - SF - TE</t>
  </si>
  <si>
    <t>10415-4</t>
  </si>
  <si>
    <t>LIW: Insulation - Attic - R11 to R38 - SF - TG</t>
  </si>
  <si>
    <t>10419-6</t>
  </si>
  <si>
    <t>LIW: Insulation - Attic - R19 to R38 - SF - TE</t>
  </si>
  <si>
    <t>10423-5</t>
  </si>
  <si>
    <t>LIW: Lamp - LED - A Lamp - MH - TE</t>
  </si>
  <si>
    <t>10425-5</t>
  </si>
  <si>
    <t>LIW: Lamp - LED - A Lamp - SF - TE</t>
  </si>
  <si>
    <t>10451-1</t>
  </si>
  <si>
    <t>LIW: Door - Sweep - SF - TE</t>
  </si>
  <si>
    <t>10464-1</t>
  </si>
  <si>
    <t>LIW: Door - Weather Strip - MH - TE</t>
  </si>
  <si>
    <t>10466-1</t>
  </si>
  <si>
    <t>LIW: Door - Weather Strip - SF - TE</t>
  </si>
  <si>
    <t>10468-5</t>
  </si>
  <si>
    <t>LIW: Ventilation - Whole House - MF - TE</t>
  </si>
  <si>
    <t>10470-5</t>
  </si>
  <si>
    <t>LIW: Ventilation - Whole House - MH - TE</t>
  </si>
  <si>
    <t>10472-5</t>
  </si>
  <si>
    <t>LIW: Ventilation - Whole House - SF - TE</t>
  </si>
  <si>
    <t>10476-1</t>
  </si>
  <si>
    <t>LIW: Ventilation - Mechanical - MH - TE</t>
  </si>
  <si>
    <t>10478-1</t>
  </si>
  <si>
    <t>LIW: Ventilation - Mechanical - SF - TE</t>
  </si>
  <si>
    <t>10482-1</t>
  </si>
  <si>
    <t>LIW: Repair - Electrical - MH - TE</t>
  </si>
  <si>
    <t>10484-1</t>
  </si>
  <si>
    <t>LIW: Repair - Electrical - SF - TE</t>
  </si>
  <si>
    <t>10488-1</t>
  </si>
  <si>
    <t>LIW: Repair - Floor - MH - TE</t>
  </si>
  <si>
    <t>10490-1</t>
  </si>
  <si>
    <t>LIW: Repair - Floor - SF - TE</t>
  </si>
  <si>
    <t>10494-1</t>
  </si>
  <si>
    <t>LIW: Repair - Health - MH - TE</t>
  </si>
  <si>
    <t>10496-1</t>
  </si>
  <si>
    <t>LIW: Repair - Health - SF - TE</t>
  </si>
  <si>
    <t>10500-1</t>
  </si>
  <si>
    <t>LIW: Repair - Plumbing - MH - TE</t>
  </si>
  <si>
    <t>10502-1</t>
  </si>
  <si>
    <t>LIW: Repair - Plumbing - SF - TE</t>
  </si>
  <si>
    <t>10506-1</t>
  </si>
  <si>
    <t>LIW: Repair - Roof - MH - TE</t>
  </si>
  <si>
    <t>10508-1</t>
  </si>
  <si>
    <t>LIW: Repair - Roof - SF - TE</t>
  </si>
  <si>
    <t>10512-1</t>
  </si>
  <si>
    <t>LIW: Repair - Structural - MH - TE</t>
  </si>
  <si>
    <t>10518-2</t>
  </si>
  <si>
    <t>LIW: Sealing - Air - Ceiling - MF - TE</t>
  </si>
  <si>
    <t>10522-2</t>
  </si>
  <si>
    <t>LIW: Sealing - Air - Floor - MF - TE</t>
  </si>
  <si>
    <t>10528-2</t>
  </si>
  <si>
    <t>LIW: Sealing - Air - Walls - MF - TE</t>
  </si>
  <si>
    <t>10530-4</t>
  </si>
  <si>
    <t>LIW: Sealing - Shell - MH - TE</t>
  </si>
  <si>
    <t>10531-5</t>
  </si>
  <si>
    <t>LIW: Sealing - Shell - MH - TG</t>
  </si>
  <si>
    <t>10533-6</t>
  </si>
  <si>
    <t>LIW: Sealing - Shell - SF - TE</t>
  </si>
  <si>
    <t>10534-5</t>
  </si>
  <si>
    <t>LIW: Sealing - Shell - SF - TG</t>
  </si>
  <si>
    <t>10559-3</t>
  </si>
  <si>
    <t>LIW: Insulation - Water Heater Pipe - MH - TE</t>
  </si>
  <si>
    <t>10560-3</t>
  </si>
  <si>
    <t>LIW: Insulation - Water Heater Pipe - MH - TG</t>
  </si>
  <si>
    <t>10562-3</t>
  </si>
  <si>
    <t>LIW: Insulation - Water Heater Pipe - SF - TE</t>
  </si>
  <si>
    <t>10563-3</t>
  </si>
  <si>
    <t>LIW: Insulation - Water Heater Pipe - SF - TG</t>
  </si>
  <si>
    <t>10577-1</t>
  </si>
  <si>
    <t>LIW: Water Heater - Wrap - MF - TE</t>
  </si>
  <si>
    <t>10581-1</t>
  </si>
  <si>
    <t>LIW: Water Heater - Wrap - SF - TE</t>
  </si>
  <si>
    <t>10589-4</t>
  </si>
  <si>
    <t>LIW: Windows - DP to DP - MH - TE</t>
  </si>
  <si>
    <t>10595-5</t>
  </si>
  <si>
    <t>LIW: Windows - SP to DP - MH - TE</t>
  </si>
  <si>
    <t>10597-5</t>
  </si>
  <si>
    <t>LIW: Windows - SP to DP - SF - TE</t>
  </si>
  <si>
    <t>10631-4</t>
  </si>
  <si>
    <t>LIW: Insulation - Attic - R0 to R49 - MF - TE</t>
  </si>
  <si>
    <t>10634-4</t>
  </si>
  <si>
    <t>LIW: Insulation - Attic - R0 to R49 - SF - TE</t>
  </si>
  <si>
    <t>10635-4</t>
  </si>
  <si>
    <t>LIW: Insulation - Attic - R0 to R49 - SF - TG</t>
  </si>
  <si>
    <t>10637-5</t>
  </si>
  <si>
    <t>LIW: Insulation - Attic - R11 to R49 - SF - TE</t>
  </si>
  <si>
    <t>10638-4</t>
  </si>
  <si>
    <t>LIW: Insulation - Attic - R11 to R49 - SF - TG</t>
  </si>
  <si>
    <t>10640-3</t>
  </si>
  <si>
    <t>LIW: Insulation - Attic - R19 to R49 - MF - TE</t>
  </si>
  <si>
    <t>10650-4</t>
  </si>
  <si>
    <t>LIW: Aerator - 1.5 gpm - SF - TE</t>
  </si>
  <si>
    <t>10669-3</t>
  </si>
  <si>
    <t>LIW: Lamp - LED - Globe - MH - TE</t>
  </si>
  <si>
    <t>10671-3</t>
  </si>
  <si>
    <t>LIW: Lamp - LED - Globe - SF - TE</t>
  </si>
  <si>
    <t>10689-1</t>
  </si>
  <si>
    <t>LIW: Sealing - Air - Package - 20 plus - SIR - MF - TE</t>
  </si>
  <si>
    <t>10691-3</t>
  </si>
  <si>
    <t>LIW: Ductless Heat Pump - MF - TE</t>
  </si>
  <si>
    <t>12217-1</t>
  </si>
  <si>
    <t>LIW: Safety Test - Combustion - SF - TG</t>
  </si>
  <si>
    <t>12220-4</t>
  </si>
  <si>
    <t>LIW: Insulation - Attic - R0 to R22 - MH - TE</t>
  </si>
  <si>
    <t>12223-1</t>
  </si>
  <si>
    <t>LIW: Ventilation - Mechanical - SF - TG</t>
  </si>
  <si>
    <t>12225-1</t>
  </si>
  <si>
    <t>LIW: Repair - Furnace - SF - TG</t>
  </si>
  <si>
    <t>12290-2</t>
  </si>
  <si>
    <t>LIW: Heat Pump Water Heater - Tier 3 - SF - TE</t>
  </si>
  <si>
    <t>12292-1</t>
  </si>
  <si>
    <t>LIW: Repair - Health - SF - TG</t>
  </si>
  <si>
    <t>12293-1</t>
  </si>
  <si>
    <t>LIW: Repair - Electrical - SF - TG</t>
  </si>
  <si>
    <t>12306-1</t>
  </si>
  <si>
    <t>LIW: Door - Weather Strip - SF - TG</t>
  </si>
  <si>
    <t>12310-1</t>
  </si>
  <si>
    <t>LIW: Repair - Furnace - MH - TG</t>
  </si>
  <si>
    <t>12311-1</t>
  </si>
  <si>
    <t>LIW: Ground Vapor Barrier - SF - TG</t>
  </si>
  <si>
    <t>12313-1</t>
  </si>
  <si>
    <t>LIW: Ventilation - Mechanical - MH - TG</t>
  </si>
  <si>
    <t>12397-3</t>
  </si>
  <si>
    <t>LIW: Insulation - Attic - R0 to R22 - MH - TG</t>
  </si>
  <si>
    <t>12401-2</t>
  </si>
  <si>
    <t>LIW: Lamp - LED - MR16 - SF - TE</t>
  </si>
  <si>
    <t>12558-1</t>
  </si>
  <si>
    <t>LIW: Repair - Roof - SF - TG</t>
  </si>
  <si>
    <t>12607-1</t>
  </si>
  <si>
    <t>LIW: Mobile Home Replacement w/HP - ES Pre-1976 Single to Single - MH - TE</t>
  </si>
  <si>
    <t>12609-1</t>
  </si>
  <si>
    <t>LIW: Repair - Structural - SF - TG</t>
  </si>
  <si>
    <t>12648-2</t>
  </si>
  <si>
    <t>LIW: Windows - SP to DP - SF - TG</t>
  </si>
  <si>
    <t>12722-2</t>
  </si>
  <si>
    <t>LIW: Water Heater - Storage - Energy Star - SF - TG</t>
  </si>
  <si>
    <t>12726-2</t>
  </si>
  <si>
    <t>LIW: Water Heater - Tankless - Energy Star - MH - TG</t>
  </si>
  <si>
    <t>12728-2</t>
  </si>
  <si>
    <t>LIW: Water Heater - Tankless - Energy Star - SF - TG</t>
  </si>
  <si>
    <t>12820-2</t>
  </si>
  <si>
    <t>LIW: Heat Pump - MH - TE</t>
  </si>
  <si>
    <t>12822-2</t>
  </si>
  <si>
    <t>LIW: Heat Pump - SF - TE</t>
  </si>
  <si>
    <t>12897-1</t>
  </si>
  <si>
    <t>LIW: Personal Protective Equipment - SF - TE</t>
  </si>
  <si>
    <t>12899-1</t>
  </si>
  <si>
    <t>LIW: Personal Protective Equipment - MH - TE</t>
  </si>
  <si>
    <t>12900-1</t>
  </si>
  <si>
    <t>LIW: Personal Protective Equipment - SF - TG</t>
  </si>
  <si>
    <t>13009-1</t>
  </si>
  <si>
    <t>LIW: Sealing - Air - SIR - MF - TE</t>
  </si>
  <si>
    <t>13179-1</t>
  </si>
  <si>
    <t>LIW: Door - Sweep - SF - TG</t>
  </si>
  <si>
    <t>12670-1</t>
  </si>
  <si>
    <t>Furnace - 95pc - GH - Res - MI</t>
  </si>
  <si>
    <t>12680-1</t>
  </si>
  <si>
    <t>Boiler - Energy Star - 95pc AFUE - GH - Res</t>
  </si>
  <si>
    <t>12684-1</t>
  </si>
  <si>
    <t>Water Heater - Storage - Energy Star - 0.67 EF - GH - Res</t>
  </si>
  <si>
    <t>12684-2</t>
  </si>
  <si>
    <t>12685-2</t>
  </si>
  <si>
    <t>Water Heater - Storage - Energy Star - 0.67 EF - GH - Res - MI</t>
  </si>
  <si>
    <t>12686-1</t>
  </si>
  <si>
    <t>12687-1</t>
  </si>
  <si>
    <t>Water Heater - Tankless - Energy Star - 0.9 EF - GH - Res - MI</t>
  </si>
  <si>
    <t>12687-2</t>
  </si>
  <si>
    <t>10709-4</t>
  </si>
  <si>
    <t>SFWIN: Windows - Single Pane - to U30 - NG</t>
  </si>
  <si>
    <t>10709-5</t>
  </si>
  <si>
    <t>10709-6</t>
  </si>
  <si>
    <t>10721-4</t>
  </si>
  <si>
    <t>SFWIN: Windows - Single Pane - to U30 - NG - MH</t>
  </si>
  <si>
    <t>10721-5</t>
  </si>
  <si>
    <t>10913-5</t>
  </si>
  <si>
    <t>SFWX: Insulation - Attic - R0 to R49 - NG</t>
  </si>
  <si>
    <t>10913-6</t>
  </si>
  <si>
    <t>13178-1</t>
  </si>
  <si>
    <t>Energy Report - Year 2 - G - Res</t>
  </si>
  <si>
    <t>13194-1</t>
  </si>
  <si>
    <t>CBA - Base - Custom</t>
  </si>
  <si>
    <t>10820-1</t>
  </si>
  <si>
    <t>CKTCH: Sales Incentive - Oven - NG</t>
  </si>
  <si>
    <t>10824-2</t>
  </si>
  <si>
    <t>CKTCH: Oven - Combination - 14 Pan or Less - NG</t>
  </si>
  <si>
    <t>10824-3</t>
  </si>
  <si>
    <t>10825-3</t>
  </si>
  <si>
    <t>CKTCH: Oven - Combination - More Than 28 Pans - NG</t>
  </si>
  <si>
    <t>10826-3</t>
  </si>
  <si>
    <t>CKTCH: Oven - Combination - 15 to 28 Pans - NG</t>
  </si>
  <si>
    <t>10877-1</t>
  </si>
  <si>
    <t>CKTCH: Dishwasher - Door Type - Low Temp - GWH</t>
  </si>
  <si>
    <t>10897-1</t>
  </si>
  <si>
    <t>CKTCH: Dishwasher - Under Counter - Low Temp - GWH</t>
  </si>
  <si>
    <t>12431-1</t>
  </si>
  <si>
    <t>Fryer - Kitchen - Any Vat - Comm - NG</t>
  </si>
  <si>
    <t>12431-2</t>
  </si>
  <si>
    <t>12433-1</t>
  </si>
  <si>
    <t>Steam - Kitchen - Any Size - Comm - NG</t>
  </si>
  <si>
    <t>12742-1</t>
  </si>
  <si>
    <t>Oven - Convection - Double - 5 Pans or less - GH - Comm</t>
  </si>
  <si>
    <t>12750-1</t>
  </si>
  <si>
    <t>Oven - Convection - Full - 5 Pans or less - GH - Comm</t>
  </si>
  <si>
    <t>12880-1</t>
  </si>
  <si>
    <t>Incentive - Sales - Dishwasher - GWH - Comm - Kitchen</t>
  </si>
  <si>
    <t>12880-2</t>
  </si>
  <si>
    <t>12883-1</t>
  </si>
  <si>
    <t>Incentive - Sales - Fryer - GH - Comm - Kitchen</t>
  </si>
  <si>
    <t>12883-2</t>
  </si>
  <si>
    <t>12888-1</t>
  </si>
  <si>
    <t>Incentive - Sales - Oven - GH - Comm - Kitchen</t>
  </si>
  <si>
    <t>12888-2</t>
  </si>
  <si>
    <t>12890-2</t>
  </si>
  <si>
    <t>Incentive - Sales - Steam Cooker - GH - Comm - Kitchen</t>
  </si>
  <si>
    <t>13053-1</t>
  </si>
  <si>
    <t>Griddle - 4 LF - GH - Kitchen - Comm</t>
  </si>
  <si>
    <t>13070-1</t>
  </si>
  <si>
    <t>Oven - Convection - Double - GH - Comm</t>
  </si>
  <si>
    <t>13074-1</t>
  </si>
  <si>
    <t>Oven - Convection - Full - GH - Comm</t>
  </si>
  <si>
    <t>13082-1</t>
  </si>
  <si>
    <t>Steamer - Any Size - GH - Kitchen - Comm</t>
  </si>
  <si>
    <t>13086-1</t>
  </si>
  <si>
    <t>Incentive - Sales - Oven - Combination - GH - Comm - Kitchen</t>
  </si>
  <si>
    <t>13102-1</t>
  </si>
  <si>
    <t>Dishwasher - Door Type - Single Tank - Low Temp - GWH - Foodservice</t>
  </si>
  <si>
    <t>13120-1</t>
  </si>
  <si>
    <t>Dishwasher - Rack Conveyor - Single Tank - High Temp - GWH - Foodservice</t>
  </si>
  <si>
    <t>13134-1</t>
  </si>
  <si>
    <t>Dishwasher - Under Counter - High Temp - GWH - Foodservice</t>
  </si>
  <si>
    <t>13138-1</t>
  </si>
  <si>
    <t>Dishwasher - Under Counter - Low Temp - GWH - Foodservice</t>
  </si>
  <si>
    <t>12277-1</t>
  </si>
  <si>
    <t>CMID: Water Heater - Condensing - Storage</t>
  </si>
  <si>
    <t>12277-2</t>
  </si>
  <si>
    <t>12278-2</t>
  </si>
  <si>
    <t>CMID: Boiler - Domestic</t>
  </si>
  <si>
    <t>12279-2</t>
  </si>
  <si>
    <t>CMID: Water Heater - Tankless</t>
  </si>
  <si>
    <t>12280-2</t>
  </si>
  <si>
    <t>CMID: Water Heater - Condensing - Storage - MF - HR</t>
  </si>
  <si>
    <t>12281-2</t>
  </si>
  <si>
    <t>CMID: Boiler - Domestic - MF - HR</t>
  </si>
  <si>
    <t>12283-2</t>
  </si>
  <si>
    <t>CMID: Water Heater - Condensing - Storage - MF - LR</t>
  </si>
  <si>
    <t>12284-2</t>
  </si>
  <si>
    <t>CMID: Boiler - Domestic - MF - LR</t>
  </si>
  <si>
    <t>12285-2</t>
  </si>
  <si>
    <t>CMID: Water Heater - Condensing - Tankless - MF - LR</t>
  </si>
  <si>
    <t>11316-1</t>
  </si>
  <si>
    <t>SBDI: Aerator - GWH - All Others</t>
  </si>
  <si>
    <t>12960-1</t>
  </si>
  <si>
    <t>Energy Audit - GH - SMB</t>
  </si>
  <si>
    <t>Order #</t>
  </si>
  <si>
    <t>10705-5</t>
  </si>
  <si>
    <t>SFWIN: Windows - Single Pane - to U30 - FAF</t>
  </si>
  <si>
    <t>10705-6</t>
  </si>
  <si>
    <t>10706-5</t>
  </si>
  <si>
    <t>SFWIN: Windows - Single Pane - to U30 - HP</t>
  </si>
  <si>
    <t>10706-6</t>
  </si>
  <si>
    <t>10707-5</t>
  </si>
  <si>
    <t>SFWIN: Windows - Single Pane - to U30 - Zonal</t>
  </si>
  <si>
    <t>10707-6</t>
  </si>
  <si>
    <t>10719-4</t>
  </si>
  <si>
    <t>SFWIN: Windows - Single Pane - to U30 - Resistance - MH</t>
  </si>
  <si>
    <t>10719-5</t>
  </si>
  <si>
    <t>10912-5</t>
  </si>
  <si>
    <t>SFWX: Insulation - Attic - R0 to R49 - FAF</t>
  </si>
  <si>
    <t>10912-6</t>
  </si>
  <si>
    <t>10914-5</t>
  </si>
  <si>
    <t>A20</t>
  </si>
  <si>
    <t>A18</t>
  </si>
  <si>
    <t>Business Lighting Grants</t>
  </si>
  <si>
    <t>Industrial Energy Management</t>
  </si>
  <si>
    <t>Commercial/Industrial Retrofit Total</t>
  </si>
  <si>
    <t>12999-1</t>
  </si>
  <si>
    <t>Savings Tracking - kWh</t>
  </si>
  <si>
    <t>4440 -  BEM AMI SMB Pilot - Electric</t>
  </si>
  <si>
    <t>Single Fam AMI Pilot Prgrm - Elec</t>
  </si>
  <si>
    <t>Clean Buildiings Accellerator</t>
  </si>
  <si>
    <t>C/I Retrofit Total</t>
  </si>
  <si>
    <t xml:space="preserve">Present Value of Lifetime Non Energy Benefits
</t>
  </si>
  <si>
    <t xml:space="preserve">Nominal Value of Non Energy Benefits
</t>
  </si>
  <si>
    <t>Present Value of Lifetime Non Energy Benefits</t>
  </si>
  <si>
    <t xml:space="preserve">Nominal Value of Non Energy Benefits
</t>
  </si>
  <si>
    <r>
      <t xml:space="preserve">Single Family Retrofit </t>
    </r>
    <r>
      <rPr>
        <i/>
        <sz val="11"/>
        <color theme="1"/>
        <rFont val="Calibri"/>
        <family val="2"/>
        <scheme val="minor"/>
      </rPr>
      <t>(all subprograms)</t>
    </r>
  </si>
  <si>
    <r>
      <t>Single Family Retrofit</t>
    </r>
    <r>
      <rPr>
        <i/>
        <sz val="11"/>
        <color theme="1"/>
        <rFont val="Calibri"/>
        <family val="2"/>
        <scheme val="minor"/>
      </rPr>
      <t xml:space="preserve"> (all subprograms)</t>
    </r>
  </si>
  <si>
    <t>Efficiency Boost</t>
  </si>
  <si>
    <t>Efficiency Boost {E}</t>
  </si>
  <si>
    <t>Efficiency Boost {G}</t>
  </si>
  <si>
    <t>TOTAL</t>
  </si>
  <si>
    <t>Total-DBtC</t>
  </si>
  <si>
    <t>TARIFFGROUP</t>
  </si>
  <si>
    <t>n/a E513</t>
  </si>
  <si>
    <t>Brochures {E}</t>
  </si>
  <si>
    <t>n/a G513</t>
  </si>
  <si>
    <t>Brochures {G}</t>
  </si>
  <si>
    <t>Commercial Foodservice {E}</t>
  </si>
  <si>
    <t>Commercial Foodservice {G}</t>
  </si>
  <si>
    <t>Data Center Efficiency {E}</t>
  </si>
  <si>
    <t>HEA Behavioral {E}</t>
  </si>
  <si>
    <t>HEA Behavioral {G}</t>
  </si>
  <si>
    <t>Lodging Direct Install {E}</t>
  </si>
  <si>
    <t>Lodging Direct Install {G}</t>
  </si>
  <si>
    <t>10001-6</t>
  </si>
  <si>
    <t>10003-6</t>
  </si>
  <si>
    <t>RETL: Fixture - LED - Retrofit Kit</t>
  </si>
  <si>
    <t>10008-6</t>
  </si>
  <si>
    <t>RETL: Lamp - LED - A Lamp</t>
  </si>
  <si>
    <t>10009-5</t>
  </si>
  <si>
    <t>RETL: Lamp - LED - Candelabra</t>
  </si>
  <si>
    <t>10011-6</t>
  </si>
  <si>
    <t>RETL: Lamp - LED - Globe</t>
  </si>
  <si>
    <t>10013-5</t>
  </si>
  <si>
    <t>RETL: Lamp - LED - MR16</t>
  </si>
  <si>
    <t>10014-5</t>
  </si>
  <si>
    <t>RETL: Lamp - LED - Reflector</t>
  </si>
  <si>
    <t>10084-4</t>
  </si>
  <si>
    <t>RETL: Lamp - LED - A Lamp - NQC</t>
  </si>
  <si>
    <t>10085-3</t>
  </si>
  <si>
    <t>RETL: Lamp - LED - Candelabra - NQC</t>
  </si>
  <si>
    <t>10086-4</t>
  </si>
  <si>
    <t>RETL: Lamp - LED - Globe - NQC</t>
  </si>
  <si>
    <t>10089-3</t>
  </si>
  <si>
    <t>RETL: Lamp - LED - Reflector - NQC</t>
  </si>
  <si>
    <t>10608-3</t>
  </si>
  <si>
    <t>10609-3</t>
  </si>
  <si>
    <t>12007-2</t>
  </si>
  <si>
    <t>12328-1</t>
  </si>
  <si>
    <t>Lamp - LED - A Lamp - Res - TY Kit</t>
  </si>
  <si>
    <t>10692-6</t>
  </si>
  <si>
    <t>SFEH: Ductless Heat Pump</t>
  </si>
  <si>
    <t>10697-4</t>
  </si>
  <si>
    <t>SFEH: Heat Pump Conversion - FAF - 8.5 or greater HSPF - 14 SEER</t>
  </si>
  <si>
    <t>12324-2</t>
  </si>
  <si>
    <t>12325-1</t>
  </si>
  <si>
    <t>12327-1</t>
  </si>
  <si>
    <t>Heat Pump - with AC - from E FAF - SF or MH or DX</t>
  </si>
  <si>
    <t>12547-2</t>
  </si>
  <si>
    <t>12766-1</t>
  </si>
  <si>
    <t>12767-1</t>
  </si>
  <si>
    <t>12329-1</t>
  </si>
  <si>
    <t>Aerator - WaterSense - 1.0 gpm - Any WH - Res - C - TY Kit</t>
  </si>
  <si>
    <t>12330-1</t>
  </si>
  <si>
    <t>Aerator - WaterSense - 1.0 gpm - Any WH - Res - EO - TY Kit</t>
  </si>
  <si>
    <t>12331-1</t>
  </si>
  <si>
    <t>Aerator - WaterSense - 1.0 gpm - Any WH - Res - GO - TY Kit</t>
  </si>
  <si>
    <t>12332-1</t>
  </si>
  <si>
    <t>Aerator - WaterSense - 1.5 gpm - Any WH - Res - GO - TY Kit</t>
  </si>
  <si>
    <t>12333-1</t>
  </si>
  <si>
    <t>Showerhead - 1.5 gpm or less - Any WH - Res - GO - TY Kit</t>
  </si>
  <si>
    <t>12548-1</t>
  </si>
  <si>
    <t>10092-4</t>
  </si>
  <si>
    <t>RETAP: Clothes Dryer - Ventless</t>
  </si>
  <si>
    <t>10115-6</t>
  </si>
  <si>
    <t>APPD: Lamp - LED - Engagement</t>
  </si>
  <si>
    <t>10116-5</t>
  </si>
  <si>
    <t>APPD: Showerhead - Engagement - C - 1.5 gpm</t>
  </si>
  <si>
    <t>10117-4</t>
  </si>
  <si>
    <t>APPD: Showerhead - Engagement - EO - 1.5 gpm</t>
  </si>
  <si>
    <t>10768-3</t>
  </si>
  <si>
    <t>APPD: Aerator - Bath - Engagement - EO - Any WH - 1.0 gpm</t>
  </si>
  <si>
    <t>10769-5</t>
  </si>
  <si>
    <t>APPD: Aerator - Bath - Engagement - C - Any WH - 1.0 gpm</t>
  </si>
  <si>
    <t>10770-3</t>
  </si>
  <si>
    <t>APPD: Aerator - Kitchen - Engagement - EO - Any WH - 1.5 gpm</t>
  </si>
  <si>
    <t>10771-4</t>
  </si>
  <si>
    <t>APPD: Aerator - Kitchen - Engagement - C - Any WH - 1.5 gpm</t>
  </si>
  <si>
    <t>12011-2</t>
  </si>
  <si>
    <t>RETAP: Clothes Washer - Energy Star - Any WH - Any Dryer - EO</t>
  </si>
  <si>
    <t>12012-2</t>
  </si>
  <si>
    <t>12318-1</t>
  </si>
  <si>
    <t>Clothes Washer - Front Load - Tier 2 or Higher - Any WH - Any Dryer - Res - C</t>
  </si>
  <si>
    <t>12318-2</t>
  </si>
  <si>
    <t>12319-1</t>
  </si>
  <si>
    <t>Clothes Washer - Front Load - Tier 2 or Higher - Any WH - Any Dryer - Res - EO</t>
  </si>
  <si>
    <t>12319-2</t>
  </si>
  <si>
    <t>12529-1</t>
  </si>
  <si>
    <t>10737-2</t>
  </si>
  <si>
    <t>10026-4</t>
  </si>
  <si>
    <t>RETSH: Showerhead - Retail - C - Any WH - 1.5 gpm or less</t>
  </si>
  <si>
    <t>10027-4</t>
  </si>
  <si>
    <t>RETSH: Showerhead - Retail - C - Any WH - 1.51 to 1.75 gpm</t>
  </si>
  <si>
    <t>10028-5</t>
  </si>
  <si>
    <t>RETSH: Showerhead - Retail - C - Any WH - 1.76 to 2.0 gpm</t>
  </si>
  <si>
    <t>10029-3</t>
  </si>
  <si>
    <t>RETSH: Showerhead - Retail - EO - Any WH - 1.5 gpm or less</t>
  </si>
  <si>
    <t>10030-3</t>
  </si>
  <si>
    <t>RETSH: Showerhead - Retail - EO - Any WH - 1.51 to 1.75 gpm</t>
  </si>
  <si>
    <t>10031-4</t>
  </si>
  <si>
    <t>RETSH: Showerhead - Retail - EO - Any WH - 1.76 to 2.0 gpm</t>
  </si>
  <si>
    <t>10032-3</t>
  </si>
  <si>
    <t>RETSH: Showerhead - Retail - GO - Any WH - 1.5 gpm or less</t>
  </si>
  <si>
    <t>10034-4</t>
  </si>
  <si>
    <t>RETSH: Showerhead - Retail - GO - Any WH - 1.76 to 2.0 gpm</t>
  </si>
  <si>
    <t>10090-3</t>
  </si>
  <si>
    <t>RETSH: Showerhead - NQC</t>
  </si>
  <si>
    <t>10090-4</t>
  </si>
  <si>
    <t>10240-3</t>
  </si>
  <si>
    <t>RETSH: Aerator - WaterSense - EO - Any WH - 1.0 gpm</t>
  </si>
  <si>
    <t>10240-4</t>
  </si>
  <si>
    <t>10241-3</t>
  </si>
  <si>
    <t>RETSH: Aerator - WaterSense - C - Any WH - 1.0 gpm</t>
  </si>
  <si>
    <t>10241-4</t>
  </si>
  <si>
    <t>10242-3</t>
  </si>
  <si>
    <t>RETSH: Aerator - WaterSense - GO - Any WH - 1.0 gpm</t>
  </si>
  <si>
    <t>10243-3</t>
  </si>
  <si>
    <t>RETSH: Aerator - WaterSense - EO - Any WH - 1.5 gpm</t>
  </si>
  <si>
    <t>10243-4</t>
  </si>
  <si>
    <t>10244-3</t>
  </si>
  <si>
    <t>RETSH: Aerator - WaterSense - C - Any WH - 1.5 gpm</t>
  </si>
  <si>
    <t>10244-4</t>
  </si>
  <si>
    <t>10245-3</t>
  </si>
  <si>
    <t>RETSH: Aerator - WaterSense - GO - Any WH - 1.5 gpm</t>
  </si>
  <si>
    <t>10776-2</t>
  </si>
  <si>
    <t>RETSH: Aerator - NQC - 1.0 gpm</t>
  </si>
  <si>
    <t>10776-3</t>
  </si>
  <si>
    <t>10777-2</t>
  </si>
  <si>
    <t>RETSH: Aerator - NQC - 1.5 gpm</t>
  </si>
  <si>
    <t>10777-3</t>
  </si>
  <si>
    <t>12677-1</t>
  </si>
  <si>
    <t>Showerhead - 1.5 gpm or less - RP - Any WH - Res - GO</t>
  </si>
  <si>
    <t>10705-4</t>
  </si>
  <si>
    <t>10706-4</t>
  </si>
  <si>
    <t>10707-4</t>
  </si>
  <si>
    <t>10718-4</t>
  </si>
  <si>
    <t>SFWIN: Windows - Single Pane - to U30 - MH</t>
  </si>
  <si>
    <t>10721-3</t>
  </si>
  <si>
    <t>10911-6</t>
  </si>
  <si>
    <t>SFWX: Sealing - Air - Zonal</t>
  </si>
  <si>
    <t>10912-4</t>
  </si>
  <si>
    <t>10913-4</t>
  </si>
  <si>
    <t>10914-4</t>
  </si>
  <si>
    <t>10915-4</t>
  </si>
  <si>
    <t>10916-4</t>
  </si>
  <si>
    <t>10917-3</t>
  </si>
  <si>
    <t>10918-4</t>
  </si>
  <si>
    <t>10919-3</t>
  </si>
  <si>
    <t>10920-2</t>
  </si>
  <si>
    <t>10923-4</t>
  </si>
  <si>
    <t>10925-4</t>
  </si>
  <si>
    <t>10926-5</t>
  </si>
  <si>
    <t>10927-5</t>
  </si>
  <si>
    <t>10928-5</t>
  </si>
  <si>
    <t>10929-5</t>
  </si>
  <si>
    <t>10930-3</t>
  </si>
  <si>
    <t>SFWX: Sealing - Air - Attic</t>
  </si>
  <si>
    <t>10931-2</t>
  </si>
  <si>
    <t>SFWX: Sealing - Air - Attic - NG</t>
  </si>
  <si>
    <t>10932-3</t>
  </si>
  <si>
    <t>SFWX: Sealing - Air - Floor</t>
  </si>
  <si>
    <t>10933-2</t>
  </si>
  <si>
    <t>SFWX: Sealing - Air - Floor - NG</t>
  </si>
  <si>
    <t>10934-3</t>
  </si>
  <si>
    <t>SFWX: Sealing - Duct - Double Triple - MH - NG</t>
  </si>
  <si>
    <t>10935-3</t>
  </si>
  <si>
    <t>SFWX: Sealing - Duct - Double Triple - MH - Zonal</t>
  </si>
  <si>
    <t>10939-3</t>
  </si>
  <si>
    <t>SFWX: Sealing - Duct - Single - MH - Zonal</t>
  </si>
  <si>
    <t>10940-2</t>
  </si>
  <si>
    <t>10941-2</t>
  </si>
  <si>
    <t>10942-2</t>
  </si>
  <si>
    <t>10943-2</t>
  </si>
  <si>
    <t>10944-2</t>
  </si>
  <si>
    <t>10945-6</t>
  </si>
  <si>
    <t>10946-3</t>
  </si>
  <si>
    <t>10947-5</t>
  </si>
  <si>
    <t>10948-6</t>
  </si>
  <si>
    <t>12550-1</t>
  </si>
  <si>
    <t>Insulation - Attic - R0 to R22 - HP - MH - Pre HUD</t>
  </si>
  <si>
    <t>12551-1</t>
  </si>
  <si>
    <t>Insulation - Attic - R0 to R22 - NG - MH - Pre HUD</t>
  </si>
  <si>
    <t>12553-1</t>
  </si>
  <si>
    <t>Insulation - Attic - R0 to R30 - HP - MH - HUD</t>
  </si>
  <si>
    <t>12557-1</t>
  </si>
  <si>
    <t>12709-1</t>
  </si>
  <si>
    <t>12711-1</t>
  </si>
  <si>
    <t>12872-1</t>
  </si>
  <si>
    <t>Energy Report - Year 1 - E - Res</t>
  </si>
  <si>
    <t>12207-2</t>
  </si>
  <si>
    <t>12209-2</t>
  </si>
  <si>
    <t>12214-1</t>
  </si>
  <si>
    <t>12216-1</t>
  </si>
  <si>
    <t>MHNC: Sales Incentive - NEEM 2.0 Rated - EnergyStar</t>
  </si>
  <si>
    <t>11243-4</t>
  </si>
  <si>
    <t>MFRFT: Aerator - DI - EWH - 1.0 gpm</t>
  </si>
  <si>
    <t>11244-4</t>
  </si>
  <si>
    <t>MFRFT: Aerator - DI - GWH - 1.0 gpm</t>
  </si>
  <si>
    <t>11245-4</t>
  </si>
  <si>
    <t>MFRFT: Aerator - DI - EWH - 1.5 gpm</t>
  </si>
  <si>
    <t>11246-4</t>
  </si>
  <si>
    <t>MFRFT: Aerator - DI - GWH - 1.5 gpm</t>
  </si>
  <si>
    <t>11247-3</t>
  </si>
  <si>
    <t>MFRFT: Insulation - Attic - R0 to R38 - NG</t>
  </si>
  <si>
    <t>11249-3</t>
  </si>
  <si>
    <t>MFRFT: Insulation - Attic - R11 to R38 - NG</t>
  </si>
  <si>
    <t>11250-3</t>
  </si>
  <si>
    <t>11258-3</t>
  </si>
  <si>
    <t>MFRFT: Heat Pump - Energy Star Tier 3 - 10.0 HSPF - 16 SEER</t>
  </si>
  <si>
    <t>11260-3</t>
  </si>
  <si>
    <t>MFRFT: Fan - Ventilation - Energy Star</t>
  </si>
  <si>
    <t>11261-1</t>
  </si>
  <si>
    <t>MFRFT: Fan - Ventilation - Energy Star - w Air Sealing</t>
  </si>
  <si>
    <t>11262-3</t>
  </si>
  <si>
    <t>MFRFT: Insulation - Floor - R0 to R30 - NG</t>
  </si>
  <si>
    <t>11263-4</t>
  </si>
  <si>
    <t>11264-3</t>
  </si>
  <si>
    <t>MFRFT: Insulation - Floor - R11 to R30 - E</t>
  </si>
  <si>
    <t>11267-2</t>
  </si>
  <si>
    <t>MFRFT: Fireplace - Natural Gas - High Efficiency - In Unit</t>
  </si>
  <si>
    <t>11269-6</t>
  </si>
  <si>
    <t>11271-6</t>
  </si>
  <si>
    <t>11272-6</t>
  </si>
  <si>
    <t>MFRFT: Lamp - LED - Candelabra - Direct Install - Labor</t>
  </si>
  <si>
    <t>11273-5</t>
  </si>
  <si>
    <t>11274-6</t>
  </si>
  <si>
    <t>MFRFT: Lamp - LED - MR16 - Direct Install - Labor</t>
  </si>
  <si>
    <t>11277-5</t>
  </si>
  <si>
    <t>11281-2</t>
  </si>
  <si>
    <t>MFRFT: Furnace - Natural Gas - 95pc - In Unit</t>
  </si>
  <si>
    <t>11284-3</t>
  </si>
  <si>
    <t>MFRFT: Showerhead - Direct Install - EWH - 1.5 gpm max</t>
  </si>
  <si>
    <t>11284-4</t>
  </si>
  <si>
    <t>11288-4</t>
  </si>
  <si>
    <t>MFRFT: Showerhead - Thermostatic Restrictor - GWH</t>
  </si>
  <si>
    <t>11288-5</t>
  </si>
  <si>
    <t>11289-4</t>
  </si>
  <si>
    <t>MFRFT: Showerhead - Thermostatic Restrictor - EWH</t>
  </si>
  <si>
    <t>11289-5</t>
  </si>
  <si>
    <t>11290-5</t>
  </si>
  <si>
    <t>MFRFT: Adapter - Thermostatic Restrictor Showerhead - EWH</t>
  </si>
  <si>
    <t>11292-4</t>
  </si>
  <si>
    <t>MFRFT: Insulation - Wall - R0 to R11 - NG</t>
  </si>
  <si>
    <t>11295-2</t>
  </si>
  <si>
    <t>MFRFT: Water Heater - Pipe Wrap - DI</t>
  </si>
  <si>
    <t>11295-3</t>
  </si>
  <si>
    <t>11296-4</t>
  </si>
  <si>
    <t>MFRFT: Windows - DP to DP - U30 to U60 - E</t>
  </si>
  <si>
    <t>11298-4</t>
  </si>
  <si>
    <t>MFRFT: Windows - SP to DP - U30 to U120 - NG</t>
  </si>
  <si>
    <t>11299-4</t>
  </si>
  <si>
    <t>MFRFT: Windows - SP to DP - U30 to U120 - E</t>
  </si>
  <si>
    <t>11302-4</t>
  </si>
  <si>
    <t>11303-3</t>
  </si>
  <si>
    <t>MFRFT: Boiler - Replacement - Combined Space and Water Heating</t>
  </si>
  <si>
    <t>11306-2</t>
  </si>
  <si>
    <t>11308-4</t>
  </si>
  <si>
    <t>MFRFT: Ductless Heat Pump</t>
  </si>
  <si>
    <t>12651-1</t>
  </si>
  <si>
    <t>12657-1</t>
  </si>
  <si>
    <t>12692-1</t>
  </si>
  <si>
    <t>12693-1</t>
  </si>
  <si>
    <t>Adapter - Thermostatic Restrictor Valve - DI - GWH - MF</t>
  </si>
  <si>
    <t>12735-1</t>
  </si>
  <si>
    <t>Thermostat - ELV - Smart - Zonal and DHP - MF</t>
  </si>
  <si>
    <t>12801-1</t>
  </si>
  <si>
    <t>10040-1</t>
  </si>
  <si>
    <t>Combined Heat and Power - Custom</t>
  </si>
  <si>
    <t>10054-1</t>
  </si>
  <si>
    <t>HVAC - Central Equipment - Custom</t>
  </si>
  <si>
    <t>10066-1</t>
  </si>
  <si>
    <t>Pump - Custom</t>
  </si>
  <si>
    <t>11862-1</t>
  </si>
  <si>
    <t>Data Center - UPS - Custom</t>
  </si>
  <si>
    <t>11931-1</t>
  </si>
  <si>
    <t>RTU Control - Advanced - Custom</t>
  </si>
  <si>
    <t>11930-1</t>
  </si>
  <si>
    <t>Commissioning - Custom</t>
  </si>
  <si>
    <t>11917-1</t>
  </si>
  <si>
    <t>RCM - Start Up Incentive - Year 1</t>
  </si>
  <si>
    <t>11919-1</t>
  </si>
  <si>
    <t>RCM - Performance Incentive - Year 2</t>
  </si>
  <si>
    <t>11920-1</t>
  </si>
  <si>
    <t>RCM - Performance Target Incentive - Year 2</t>
  </si>
  <si>
    <t>11921-1</t>
  </si>
  <si>
    <t>RCM - Training Allowance - Year 2</t>
  </si>
  <si>
    <t>11922-1</t>
  </si>
  <si>
    <t>RCM - Performance Incentive - Year 3</t>
  </si>
  <si>
    <t>11923-1</t>
  </si>
  <si>
    <t>RCM - Performance Target Incentive - Year 3</t>
  </si>
  <si>
    <t>11924-1</t>
  </si>
  <si>
    <t>RCM - Training Allowance - Year 3</t>
  </si>
  <si>
    <t>12099-1</t>
  </si>
  <si>
    <t>CSEM - Training Allowance - Year 1</t>
  </si>
  <si>
    <t>12823-1</t>
  </si>
  <si>
    <t>Commissioning - Ongoing - Performance - Year 1 - Custom</t>
  </si>
  <si>
    <t>10804-1</t>
  </si>
  <si>
    <t>CKTCH: Oven - Convection - Double - E</t>
  </si>
  <si>
    <t>10805-1</t>
  </si>
  <si>
    <t>CKTCH: Oven - Convection - Double - NG</t>
  </si>
  <si>
    <t>10806-1</t>
  </si>
  <si>
    <t>CKTCH: Oven - Convection - Full - E</t>
  </si>
  <si>
    <t>10807-1</t>
  </si>
  <si>
    <t>CKTCH: Oven - Convection - Full - NG</t>
  </si>
  <si>
    <t>10810-1</t>
  </si>
  <si>
    <t>CKTCH: Sales Incentive - Oven - E</t>
  </si>
  <si>
    <t>10812-1</t>
  </si>
  <si>
    <t>CKTCH: Sales Incentive - Dishwasher - UC or DT - E</t>
  </si>
  <si>
    <t>10814-2</t>
  </si>
  <si>
    <t>CKTCH: Sales Incentive - Fryer - NG</t>
  </si>
  <si>
    <t>10815-1</t>
  </si>
  <si>
    <t>CKTCH: Sales Incentive - Refrigeration - E</t>
  </si>
  <si>
    <t>10816-1</t>
  </si>
  <si>
    <t>CKTCH: Sales Incentive - Dishwasher - ST or MT - NG</t>
  </si>
  <si>
    <t>10817-2</t>
  </si>
  <si>
    <t>CKTCH: Sales Incentive - Steam Cooker - E</t>
  </si>
  <si>
    <t>10819-1</t>
  </si>
  <si>
    <t>CKTCH: Sales Incentive - Dishwasher - UC or DT - NG</t>
  </si>
  <si>
    <t>10824-1</t>
  </si>
  <si>
    <t>10836-2</t>
  </si>
  <si>
    <t>CKTCH: Griddle - 3 Linear Ft - NG</t>
  </si>
  <si>
    <t>10844-4</t>
  </si>
  <si>
    <t>CKTCH: Food Cabinet - Hot - Under 13 Ft</t>
  </si>
  <si>
    <t>10846-1</t>
  </si>
  <si>
    <t>CKTCH: Ice Maker - AC - Cube Nugget - IHR 1000 or More</t>
  </si>
  <si>
    <t>10847-1</t>
  </si>
  <si>
    <t>CKTCH: Ice Maker - AC - Cube Nugget - IHR 175 to 449</t>
  </si>
  <si>
    <t>10851-1</t>
  </si>
  <si>
    <t>CKTCH: Ice Maker - AC - Flake - IHR 175 to 999</t>
  </si>
  <si>
    <t>10859-2</t>
  </si>
  <si>
    <t>CKTCH: Sales Incentive - Griddle - NG</t>
  </si>
  <si>
    <t>10875-2</t>
  </si>
  <si>
    <t>CKTCH: Dishwasher - Door Type - High Temp - GWH - E Booster</t>
  </si>
  <si>
    <t>10888-1</t>
  </si>
  <si>
    <t>CKTCH: Dishwasher - Single Tank - Low Temp - EWH</t>
  </si>
  <si>
    <t>10889-2</t>
  </si>
  <si>
    <t>CKTCH: Dishwasher - Single Tank - Low Temp - GWH</t>
  </si>
  <si>
    <t>10892-1</t>
  </si>
  <si>
    <t>CKTCH: Dishwasher - Under Counter - High Temp - EWH - E Booster</t>
  </si>
  <si>
    <t>10894-3</t>
  </si>
  <si>
    <t>CKTCH: Dishwasher - Under Counter - High Temp - E Booster</t>
  </si>
  <si>
    <t>11325-3</t>
  </si>
  <si>
    <t>CKTCH: Oven - Double Rack - NG</t>
  </si>
  <si>
    <t>12740-1</t>
  </si>
  <si>
    <t>Oven - Convection - Double - 5 Pans or less - EH - Comm</t>
  </si>
  <si>
    <t>12842-1</t>
  </si>
  <si>
    <t>12846-1</t>
  </si>
  <si>
    <t>12227-1</t>
  </si>
  <si>
    <t>CMID: Air Conditioner - AC - Split - Bthu Under 65k - Tier 2</t>
  </si>
  <si>
    <t>12229-1</t>
  </si>
  <si>
    <t>CMID: Air Conditioner - AC - Package - Bthu Under 65k - Tier 1</t>
  </si>
  <si>
    <t>12231-1</t>
  </si>
  <si>
    <t>CMID: Air Conditioner - AC - Package - Bthu Under 65k - Tier 3</t>
  </si>
  <si>
    <t>12237-1</t>
  </si>
  <si>
    <t>CMID: Air Conditioner - AC - Bthu 135k to 240k - Tier 3</t>
  </si>
  <si>
    <t>12241-1</t>
  </si>
  <si>
    <t>CMID: Air Conditioner - AC - Btuh over 760k - Tier 1</t>
  </si>
  <si>
    <t>12244-1</t>
  </si>
  <si>
    <t>CMID: Heat Pump - AC - Split - Btuh Under 65k - Tier 1</t>
  </si>
  <si>
    <t>12247-1</t>
  </si>
  <si>
    <t>CMID: Heat Pump - AC - Package - Btuh Under 65k - Tier 1</t>
  </si>
  <si>
    <t>12248-1</t>
  </si>
  <si>
    <t>CMID: Heat Pump - AC - Package - Btuh Under 65k - Tier 2</t>
  </si>
  <si>
    <t>12249-1</t>
  </si>
  <si>
    <t>CMID: Heat Pump - AC - Package - Btuh Under 65k - Tier 3</t>
  </si>
  <si>
    <t>12253-1</t>
  </si>
  <si>
    <t>CMID: Heat Pump - AC - Btuh 135k to 240k - Tier 1</t>
  </si>
  <si>
    <t>12257-1</t>
  </si>
  <si>
    <t>CMID: Heat Pump - AC - Btuh over 240k - Tier 2</t>
  </si>
  <si>
    <t>12262-1</t>
  </si>
  <si>
    <t>CMID: Heat Pump - WC - WL - Btuh over 17k - Tier 1</t>
  </si>
  <si>
    <t>12278-1</t>
  </si>
  <si>
    <t>12279-1</t>
  </si>
  <si>
    <t>12280-1</t>
  </si>
  <si>
    <t>12281-1</t>
  </si>
  <si>
    <t>12282-2</t>
  </si>
  <si>
    <t>CMID: Water Heater - Condensing - Tankless - MF - HR</t>
  </si>
  <si>
    <t>12283-1</t>
  </si>
  <si>
    <t>12284-1</t>
  </si>
  <si>
    <t>12285-1</t>
  </si>
  <si>
    <t>12864-1</t>
  </si>
  <si>
    <t>Heat Pump - Split - Tier 1 - Less than 65 kBtuh - EH - Comm</t>
  </si>
  <si>
    <t>12893-1</t>
  </si>
  <si>
    <t>10996-4</t>
  </si>
  <si>
    <t>SBDI: Fixture - TLED - 4 ft - 2x - from 8 ft T12 HO F96 1x</t>
  </si>
  <si>
    <t>10997-4</t>
  </si>
  <si>
    <t>SBDI: Fixture - TLED - 4 ft - 4x - from 8 ft T12 F96 2x</t>
  </si>
  <si>
    <t>10998-4</t>
  </si>
  <si>
    <t>SBDI: Fixture - TLED - 4 ft - 4x - from 8 ft T12 HO F96 2x</t>
  </si>
  <si>
    <t>11006-4</t>
  </si>
  <si>
    <t>SBDI: Fixture - TLED - DLR - 4 ft - 2x - from 8 ft T12 F96 2x</t>
  </si>
  <si>
    <t>11027-2</t>
  </si>
  <si>
    <t>SBDI: Lamp - LED - Globe - 5w - Assembly Church</t>
  </si>
  <si>
    <t>11031-2</t>
  </si>
  <si>
    <t>SBDI: Lamp - LED - Globe - 5w - Other</t>
  </si>
  <si>
    <t>11032-2</t>
  </si>
  <si>
    <t>SBDI: Lamp - LED - Globe - 5w - Other Health</t>
  </si>
  <si>
    <t>11033-3</t>
  </si>
  <si>
    <t>SBDI: Lamp - LED - Globe - 5w - Restaurant</t>
  </si>
  <si>
    <t>11036-2</t>
  </si>
  <si>
    <t>SBDI: Lamp - LED - Globe - 5w - Warehouse</t>
  </si>
  <si>
    <t>11047-2</t>
  </si>
  <si>
    <t>SBDI: Lamp - LED - MR 16 - Restaurant</t>
  </si>
  <si>
    <t>11051-4</t>
  </si>
  <si>
    <t>SBDI: Lamp - LED - Omni - 11w - Assembly Church</t>
  </si>
  <si>
    <t>11052-4</t>
  </si>
  <si>
    <t>SBDI: Lamp - LED - Omni - 11w - Exterior</t>
  </si>
  <si>
    <t>11052-5</t>
  </si>
  <si>
    <t>11053-5</t>
  </si>
  <si>
    <t>SBDI: Lamp - LED - Omni - 11w - Grocery</t>
  </si>
  <si>
    <t>11054-5</t>
  </si>
  <si>
    <t>SBDI: Lamp - LED - Omni - 11w - Office</t>
  </si>
  <si>
    <t>11054-6</t>
  </si>
  <si>
    <t>11055-4</t>
  </si>
  <si>
    <t>SBDI: Lamp - LED - Omni - 11w - Other</t>
  </si>
  <si>
    <t>11056-6</t>
  </si>
  <si>
    <t>SBDI: Lamp - LED - Omni - 11w - Other Health</t>
  </si>
  <si>
    <t>11057-5</t>
  </si>
  <si>
    <t>SBDI: Lamp - LED - Omni - 11w - Restaurant</t>
  </si>
  <si>
    <t>11057-6</t>
  </si>
  <si>
    <t>11058-5</t>
  </si>
  <si>
    <t>SBDI: Lamp - LED - Omni - 11w - Retail</t>
  </si>
  <si>
    <t>11058-6</t>
  </si>
  <si>
    <t>11060-4</t>
  </si>
  <si>
    <t>SBDI: Lamp - LED - Omni - 11w - Warehouse</t>
  </si>
  <si>
    <t>11061-4</t>
  </si>
  <si>
    <t>SBDI: Lamp - LED - Omni - 7w - Assembly Church</t>
  </si>
  <si>
    <t>11062-4</t>
  </si>
  <si>
    <t>SBDI: Lamp - LED - Omni - 7w - Exterior</t>
  </si>
  <si>
    <t>11062-5</t>
  </si>
  <si>
    <t>11064-4</t>
  </si>
  <si>
    <t>SBDI: Lamp - LED - Omni - 7w - Office</t>
  </si>
  <si>
    <t>11065-4</t>
  </si>
  <si>
    <t>SBDI: Lamp - LED - Omni - 7w - Other</t>
  </si>
  <si>
    <t>11074-2</t>
  </si>
  <si>
    <t>SBDI: Lamp - LED - Par 20 - Office</t>
  </si>
  <si>
    <t>11081-2</t>
  </si>
  <si>
    <t>SBDI: Lamp - LED - Par 30 - Assembly Church</t>
  </si>
  <si>
    <t>11082-2</t>
  </si>
  <si>
    <t>SBDI: Lamp - LED - Par 30 - Exterior</t>
  </si>
  <si>
    <t>11083-2</t>
  </si>
  <si>
    <t>SBDI: Lamp - LED - Par 30 - Grocery</t>
  </si>
  <si>
    <t>11083-3</t>
  </si>
  <si>
    <t>11084-2</t>
  </si>
  <si>
    <t>SBDI: Lamp - LED - Par 30 - Office</t>
  </si>
  <si>
    <t>11085-2</t>
  </si>
  <si>
    <t>SBDI: Lamp - LED - Par 30 - Other</t>
  </si>
  <si>
    <t>11087-2</t>
  </si>
  <si>
    <t>SBDI: Lamp - LED - Par 30 - Restaurant</t>
  </si>
  <si>
    <t>11092-3</t>
  </si>
  <si>
    <t>SBDI: Lamp - LED - Par 38 or 40 - Exterior</t>
  </si>
  <si>
    <t>11106-3</t>
  </si>
  <si>
    <t>11106-4</t>
  </si>
  <si>
    <t>11108-4</t>
  </si>
  <si>
    <t>11114-4</t>
  </si>
  <si>
    <t>11128-4</t>
  </si>
  <si>
    <t>11129-5</t>
  </si>
  <si>
    <t>11136-7</t>
  </si>
  <si>
    <t>11136-8</t>
  </si>
  <si>
    <t>11139-3</t>
  </si>
  <si>
    <t>SBDI: Occupancy Sensor - 201w to 450w</t>
  </si>
  <si>
    <t>11140-4</t>
  </si>
  <si>
    <t>SBDI: Occupancy Sensor - Less than 100w</t>
  </si>
  <si>
    <t>11223-2</t>
  </si>
  <si>
    <t>SBDI: Sprayhead - GWH - 0.65 gpm - from 1.6</t>
  </si>
  <si>
    <t>11224-2</t>
  </si>
  <si>
    <t>SBDI: Sprayhead - GWH - 0.65 gpm - from 1.6 - EIE</t>
  </si>
  <si>
    <t>12053-3</t>
  </si>
  <si>
    <t>12104-3</t>
  </si>
  <si>
    <t>SBDI: Fixture - TLED - DLR - 4 ft - 2x - from 4 ft T8 32w BBF 4x</t>
  </si>
  <si>
    <t>12106-4</t>
  </si>
  <si>
    <t>12107-3</t>
  </si>
  <si>
    <t>12108-4</t>
  </si>
  <si>
    <t>12109-3</t>
  </si>
  <si>
    <t>12110-3</t>
  </si>
  <si>
    <t>12111-3</t>
  </si>
  <si>
    <t>12112-3</t>
  </si>
  <si>
    <t>SBDI: Fixture - TLED - DLR - 4 ft - 2x - from 4 ft T8 32w BBF 3x</t>
  </si>
  <si>
    <t>12114-3</t>
  </si>
  <si>
    <t>12116-3</t>
  </si>
  <si>
    <t>12117-4</t>
  </si>
  <si>
    <t>12130-2</t>
  </si>
  <si>
    <t>SBDI: Lamp - LED - Omni - 11w - Lodging Common Areas</t>
  </si>
  <si>
    <t>12136-1</t>
  </si>
  <si>
    <t>SBDI: Lamp - LED - Par 30 - Lodging Common Areas</t>
  </si>
  <si>
    <t>12142-1</t>
  </si>
  <si>
    <t>SBDI: Lamp - TLED - 4 ft - 1x - from 4 ft T12 1x - LCA</t>
  </si>
  <si>
    <t>12143-1</t>
  </si>
  <si>
    <t>SBDI: Lamp - TLED - 4 ft - 2x - from 4 ft T12 2x - LCA</t>
  </si>
  <si>
    <t>12149-1</t>
  </si>
  <si>
    <t>SBDI: Lamp - TLED - 4 ft - 4x - from 4 ft T12 4x - LCA</t>
  </si>
  <si>
    <t>12156-1</t>
  </si>
  <si>
    <t>SBDI: Lamp - TLED - 4 ft - 1x - from 4ft T8 32w NLO 1x - LCA</t>
  </si>
  <si>
    <t>12189-1</t>
  </si>
  <si>
    <t>12191-1</t>
  </si>
  <si>
    <t>12730-1</t>
  </si>
  <si>
    <t>Fixture - LED - 100w - from 4 ft T8 32w HBF 6x - SMB</t>
  </si>
  <si>
    <t>12784-1</t>
  </si>
  <si>
    <t>12785-1</t>
  </si>
  <si>
    <t>Lamp - TLED - 4 ft - 2x - DLR from 4 ft T12 4x - DI - LCA</t>
  </si>
  <si>
    <t>12786-1</t>
  </si>
  <si>
    <t>12790-1</t>
  </si>
  <si>
    <t>Lamp - TLED - 4 ft - 2x - DLR from 4 ft T12 HO 4x - DI - SMB</t>
  </si>
  <si>
    <t>12793-1</t>
  </si>
  <si>
    <t>12798-1</t>
  </si>
  <si>
    <t>Lamp - TLED - 4 ft - 2x - DLR from 4 ft T8 32w NLO 4x - DI - LCA</t>
  </si>
  <si>
    <t>12804-1</t>
  </si>
  <si>
    <t>12806-1</t>
  </si>
  <si>
    <t>12812-1</t>
  </si>
  <si>
    <t>Lamp - TLED - 4 ft - 3x - DLR from 4 ft T8 28w LLO 4x - DI - SMB</t>
  </si>
  <si>
    <t>12917-1</t>
  </si>
  <si>
    <t>Case Lighting - LED - Low Power - Refrigerated Space - Med Temp - from Single T8 - Restaurant</t>
  </si>
  <si>
    <t>10743-3</t>
  </si>
  <si>
    <t>HMPT: Lamp - LED - A Lamp - MH</t>
  </si>
  <si>
    <t>10745-4</t>
  </si>
  <si>
    <t>HMPT: Lamp - LED - Globe - DI</t>
  </si>
  <si>
    <t>10746-3</t>
  </si>
  <si>
    <t>HMPT: Lamp - LED - Globe - MH</t>
  </si>
  <si>
    <t>10747-7</t>
  </si>
  <si>
    <t>HMPT: Lamp - LED - A Lamp - DI</t>
  </si>
  <si>
    <t>10748-3</t>
  </si>
  <si>
    <t>HMPT: Home Energy Audit - CAN - E</t>
  </si>
  <si>
    <t>10749-5</t>
  </si>
  <si>
    <t>HMPT: Home Energy Audit - Service Provider - E</t>
  </si>
  <si>
    <t>10749-6</t>
  </si>
  <si>
    <t>10750-3</t>
  </si>
  <si>
    <t>HMPT: Home Energy Audit - CAN - MH</t>
  </si>
  <si>
    <t>10751-3</t>
  </si>
  <si>
    <t>HMPT: Home Energy Audit - Service Provider - MH</t>
  </si>
  <si>
    <t>10751-4</t>
  </si>
  <si>
    <t>10752-5</t>
  </si>
  <si>
    <t>HMPT: Lamp - LED - Reflector - BR30 - DI</t>
  </si>
  <si>
    <t>10753-3</t>
  </si>
  <si>
    <t>HMPT: Lamp - LED - Reflector - BR30 - MH</t>
  </si>
  <si>
    <t>10754-4</t>
  </si>
  <si>
    <t>HMPT: Aerator - EWH - 1.0 gpm</t>
  </si>
  <si>
    <t>10754-5</t>
  </si>
  <si>
    <t>10755-4</t>
  </si>
  <si>
    <t>HMPT: Aerator - EWH - 1.5 gpm</t>
  </si>
  <si>
    <t>10755-5</t>
  </si>
  <si>
    <t>10756-4</t>
  </si>
  <si>
    <t>HMPT: Showerhead - Fixed - LB - EWH - 1.5 gpm</t>
  </si>
  <si>
    <t>10757-4</t>
  </si>
  <si>
    <t>HMPT: Showerhead - Handheld - LB - EWH - 1.5 gpm</t>
  </si>
  <si>
    <t>10758-4</t>
  </si>
  <si>
    <t>HMPT: Aerator - GWH - 1.0 gpm</t>
  </si>
  <si>
    <t>10758-5</t>
  </si>
  <si>
    <t>10759-4</t>
  </si>
  <si>
    <t>HMPT: Aerator - GWH - 1.5 gpm</t>
  </si>
  <si>
    <t>10759-5</t>
  </si>
  <si>
    <t>10760-5</t>
  </si>
  <si>
    <t>HMPT: Showerhead - Fixed - LB - GWH - 1.5 gpm</t>
  </si>
  <si>
    <t>10761-5</t>
  </si>
  <si>
    <t>HMPT: Showerhead - Handheld - LB - GWH - 1.5 gpm</t>
  </si>
  <si>
    <t>10762-4</t>
  </si>
  <si>
    <t>HMPT: Home Energy Audit - Service Provider - NG</t>
  </si>
  <si>
    <t>10762-5</t>
  </si>
  <si>
    <t>10763-3</t>
  </si>
  <si>
    <t>HMPT: Home Energy Audit - CAN - NG</t>
  </si>
  <si>
    <t>10765-4</t>
  </si>
  <si>
    <t>HMPT: Home Energy Audit - Service Provider - MH - NG</t>
  </si>
  <si>
    <t>11943-3</t>
  </si>
  <si>
    <t>HMPT: Showerhead - LB - GWH - 1.5 gpm - EIE</t>
  </si>
  <si>
    <t>12059-1</t>
  </si>
  <si>
    <t>HMPT: Lamp - LED - Candelabra - DI</t>
  </si>
  <si>
    <t>12060-1</t>
  </si>
  <si>
    <t>HMPT: Lamp - LED - Candelabra - MH</t>
  </si>
  <si>
    <t>12061-2</t>
  </si>
  <si>
    <t>HMPT: Showerhead - Fixed - LB - MH - EWH - 1.5 gpm</t>
  </si>
  <si>
    <t>12062-2</t>
  </si>
  <si>
    <t>HMPT: Showerhead - Handheld - LB - MH - EWH - 1.5 gpm</t>
  </si>
  <si>
    <t>12063-2</t>
  </si>
  <si>
    <t>HMPT: Showerhead - Fixed - LB - MH - GWH - 1.5 gpm</t>
  </si>
  <si>
    <t>12064-2</t>
  </si>
  <si>
    <t>HMPT: Showerhead - Handheld - LB - MH - GWH - 1.5 gpm</t>
  </si>
  <si>
    <t>12560-1</t>
  </si>
  <si>
    <t>Thermostat - Web Enabled - DI - EH - Res</t>
  </si>
  <si>
    <t>12626-1</t>
  </si>
  <si>
    <t>Aerator - 1.0 gpm - EWH - MH</t>
  </si>
  <si>
    <t>12627-1</t>
  </si>
  <si>
    <t>Aerator - 1.0 gpm - GWH - MH</t>
  </si>
  <si>
    <t>12628-1</t>
  </si>
  <si>
    <t>Aerator - 1.5 gpm - EWH - MH</t>
  </si>
  <si>
    <t>12629-1</t>
  </si>
  <si>
    <t>Aerator - 1.5 gpm - GWH - MH</t>
  </si>
  <si>
    <t>12647-1</t>
  </si>
  <si>
    <t>Pipe Wrap - Water Heater - DI - EH - SF or MH or DX</t>
  </si>
  <si>
    <t>12661-1</t>
  </si>
  <si>
    <t>Showerhead - Fixed - 1.5 gpm - DI - EWH - MH</t>
  </si>
  <si>
    <t>12662-1</t>
  </si>
  <si>
    <t>Showerhead - Fixed - 1.5 gpm - DI - EWH - SF or DX</t>
  </si>
  <si>
    <t>12663-1</t>
  </si>
  <si>
    <t>Showerhead - Fixed - 1.5 gpm - DI - GWH - MH</t>
  </si>
  <si>
    <t>12664-1</t>
  </si>
  <si>
    <t>Showerhead - Fixed - 1.5 gpm - DI - GWH - SF or DX</t>
  </si>
  <si>
    <t>12665-1</t>
  </si>
  <si>
    <t>Showerhead - Handheld - 1.5 gpm - DI - EWH - MH</t>
  </si>
  <si>
    <t>12666-1</t>
  </si>
  <si>
    <t>Showerhead - Handheld - 1.5 gpm - DI - EWH - SF or DX</t>
  </si>
  <si>
    <t>12667-1</t>
  </si>
  <si>
    <t>Showerhead - Handheld - 1.5 gpm - DI - GWH - MH</t>
  </si>
  <si>
    <t>12668-1</t>
  </si>
  <si>
    <t>Showerhead - Handheld - 1.5 gpm - DI - GWH - SF or DX</t>
  </si>
  <si>
    <t>12737-1</t>
  </si>
  <si>
    <t>Thermostat - Smart - EH - Res - MI</t>
  </si>
  <si>
    <t>12739-1</t>
  </si>
  <si>
    <t>Thermostat - Smart - GH - Res - MI</t>
  </si>
  <si>
    <t>12778-1</t>
  </si>
  <si>
    <t>Lamp - LED - A Lamp - DI - HUIA - SF or MH or DX</t>
  </si>
  <si>
    <t>12780-1</t>
  </si>
  <si>
    <t>Lamp - LED - Candelabra - HUIA - SF or MH or DX</t>
  </si>
  <si>
    <t>12781-1</t>
  </si>
  <si>
    <t>Lamp - LED - Globe - HUIA - SF or MH or DX</t>
  </si>
  <si>
    <t>12782-1</t>
  </si>
  <si>
    <t>Lamp - LED - Reflector - BR30 - HUIA - SF or MH or DX</t>
  </si>
  <si>
    <t>10257-1</t>
  </si>
  <si>
    <t>Field Services - Custom</t>
  </si>
  <si>
    <t>11864-1</t>
  </si>
  <si>
    <t>SFGH: Boiler - Energy Star Qualified - 95pc AFUE</t>
  </si>
  <si>
    <t>11866-2</t>
  </si>
  <si>
    <t>SFGH: Gas Furnace - 95pc</t>
  </si>
  <si>
    <t>11866-4</t>
  </si>
  <si>
    <t>11867-1</t>
  </si>
  <si>
    <t>SFGH: Integrated Space and Water Heating</t>
  </si>
  <si>
    <t>12057-2</t>
  </si>
  <si>
    <t>NGWH: Water Heater - Tankless - 0.9 EF</t>
  </si>
  <si>
    <t>12058-2</t>
  </si>
  <si>
    <t>NGWH: Water Heater - Storage - 0.67 EF</t>
  </si>
  <si>
    <t>12685-1</t>
  </si>
  <si>
    <t>12873-1</t>
  </si>
  <si>
    <t>Energy Report - Year 1 - G - Res</t>
  </si>
  <si>
    <t>Exhibit 2: 2020-2021 Biennual Cost Effectiveness Estimates</t>
  </si>
  <si>
    <t xml:space="preserve">2020 &amp; 2021 Gas Cost-Effectiveness Tests:  </t>
  </si>
  <si>
    <t xml:space="preserve">2020 &amp; 2021 Electric Cost-Effectiveness Tests:  </t>
  </si>
  <si>
    <t>13000-1</t>
  </si>
  <si>
    <t>Savings Tracking - Therm</t>
  </si>
  <si>
    <t>Reporting Year</t>
  </si>
  <si>
    <t>10266-3</t>
  </si>
  <si>
    <t>LIW: Refrigerator Replacement - MH - TE</t>
  </si>
  <si>
    <t>10268-3</t>
  </si>
  <si>
    <t>LIW: Refrigerator Replacement - SF - TE</t>
  </si>
  <si>
    <t>10315-4</t>
  </si>
  <si>
    <t>10316-4</t>
  </si>
  <si>
    <t>10318-4</t>
  </si>
  <si>
    <t>10319-4</t>
  </si>
  <si>
    <t>10321-5</t>
  </si>
  <si>
    <t>10323-5</t>
  </si>
  <si>
    <t>10325-3</t>
  </si>
  <si>
    <t>LIW: Integrated Space and Water Heating - MF - TG</t>
  </si>
  <si>
    <t>10327-2</t>
  </si>
  <si>
    <t>LIW: Integrated Space and Water Heating - SF - TG</t>
  </si>
  <si>
    <t>10342-1</t>
  </si>
  <si>
    <t>LIW: Furnace - Replacement - Gas - 95pc - SF</t>
  </si>
  <si>
    <t>10360-1</t>
  </si>
  <si>
    <t>10361-2</t>
  </si>
  <si>
    <t>10365-5</t>
  </si>
  <si>
    <t>10367-4</t>
  </si>
  <si>
    <t>10368-4</t>
  </si>
  <si>
    <t>10370-3</t>
  </si>
  <si>
    <t>10373-2</t>
  </si>
  <si>
    <t>10376-5</t>
  </si>
  <si>
    <t>10377-3</t>
  </si>
  <si>
    <t>10379-4</t>
  </si>
  <si>
    <t>10385-3</t>
  </si>
  <si>
    <t>10388-2</t>
  </si>
  <si>
    <t>LIW: Insulation - Wall - R0 to R11 - MH - TE</t>
  </si>
  <si>
    <t>10390-3</t>
  </si>
  <si>
    <t>LIW: Insulation - Wall - R0 to R11 - SF</t>
  </si>
  <si>
    <t>10391-5</t>
  </si>
  <si>
    <t>10392-5</t>
  </si>
  <si>
    <t>10401-4</t>
  </si>
  <si>
    <t>10406-4</t>
  </si>
  <si>
    <t>10407-3</t>
  </si>
  <si>
    <t>10414-5</t>
  </si>
  <si>
    <t>10415-3</t>
  </si>
  <si>
    <t>10421-4</t>
  </si>
  <si>
    <t>LIW: Lamp - LED - A Lamp - MF - TE</t>
  </si>
  <si>
    <t>10449-1</t>
  </si>
  <si>
    <t>LIW: Door - Sweep - MH - TE</t>
  </si>
  <si>
    <t>10470-4</t>
  </si>
  <si>
    <t>10472-4</t>
  </si>
  <si>
    <t>10492-1</t>
  </si>
  <si>
    <t>LIW: Repair - Health - MF - TE</t>
  </si>
  <si>
    <t>10514-1</t>
  </si>
  <si>
    <t>LIW: Repair - Structural - SF - TE</t>
  </si>
  <si>
    <t>10520-1</t>
  </si>
  <si>
    <t>LIW: Sealing - Air - Door Kit - MF - TE</t>
  </si>
  <si>
    <t>10524-4</t>
  </si>
  <si>
    <t>LIW: Sealing - Air - Mech Vent - MF - TE</t>
  </si>
  <si>
    <t>10530-3</t>
  </si>
  <si>
    <t>LIW: Sealing - S hell - MH - TE</t>
  </si>
  <si>
    <t>10531-4</t>
  </si>
  <si>
    <t>LIW: Sealing - S hell - MH - TG</t>
  </si>
  <si>
    <t>10533-5</t>
  </si>
  <si>
    <t>LIW: Sealing - S hell - SF - TE</t>
  </si>
  <si>
    <t>10534-4</t>
  </si>
  <si>
    <t>LIW: Sealing - S hell - SF - TG</t>
  </si>
  <si>
    <t>10556-3</t>
  </si>
  <si>
    <t>LIW: Insulation - Water Heater Pipe - MF - TE</t>
  </si>
  <si>
    <t>10573-1</t>
  </si>
  <si>
    <t>LIW: Water Heater - Replacement - MH - TE</t>
  </si>
  <si>
    <t>10583-3</t>
  </si>
  <si>
    <t>LIW: Windows - DP to TP - MF - TE</t>
  </si>
  <si>
    <t>10585-3</t>
  </si>
  <si>
    <t>LIW: Windows - DP to TP - SF - TE</t>
  </si>
  <si>
    <t>10595-4</t>
  </si>
  <si>
    <t>10597-4</t>
  </si>
  <si>
    <t>10631-3</t>
  </si>
  <si>
    <t>10634-3</t>
  </si>
  <si>
    <t>10635-3</t>
  </si>
  <si>
    <t>10636-1</t>
  </si>
  <si>
    <t>LIW: Insulation - Attic - R11 to R49 - SF</t>
  </si>
  <si>
    <t>10637-4</t>
  </si>
  <si>
    <t>10638-3</t>
  </si>
  <si>
    <t>10647-4</t>
  </si>
  <si>
    <t>LIW: Aerator - 1.5 gpm- MH - TE</t>
  </si>
  <si>
    <t>10667-3</t>
  </si>
  <si>
    <t>LIW: Lamp - LED - Globe - MF - TE</t>
  </si>
  <si>
    <t>12090-1</t>
  </si>
  <si>
    <t>LIW: Thermostat - SIR - MF - TE</t>
  </si>
  <si>
    <t>12205-1</t>
  </si>
  <si>
    <t>LIW: Heat Pump - SIR - MH - TE</t>
  </si>
  <si>
    <t>12220-3</t>
  </si>
  <si>
    <t>12303-1</t>
  </si>
  <si>
    <t>LIW: Heat Pump - SIR - SF - TE</t>
  </si>
  <si>
    <t>12307-1</t>
  </si>
  <si>
    <t>LIW: Boiler - SIR - MF - TG</t>
  </si>
  <si>
    <t>12315-1</t>
  </si>
  <si>
    <t>LIW: Repair - Floor - SF - TG</t>
  </si>
  <si>
    <t>12417-2</t>
  </si>
  <si>
    <t>LIW: Thermostat - ESS - MH - TE</t>
  </si>
  <si>
    <t>12419-1</t>
  </si>
  <si>
    <t>LIW: Thermostat - ESS - SF</t>
  </si>
  <si>
    <t>12421-2</t>
  </si>
  <si>
    <t>LIW: Thermostat - ESS - SF - TG</t>
  </si>
  <si>
    <t>12648-1</t>
  </si>
  <si>
    <t>12722-1</t>
  </si>
  <si>
    <t>12728-1</t>
  </si>
  <si>
    <t>12729-1</t>
  </si>
  <si>
    <t>LIW: Water Heater - Tankless - Energy Star - SF</t>
  </si>
  <si>
    <t>12820-1</t>
  </si>
  <si>
    <t>12961-1</t>
  </si>
  <si>
    <t>LIW: Ventilation - Mechanical - MF - TG</t>
  </si>
  <si>
    <t>13007-1</t>
  </si>
  <si>
    <t>LIW: Sealing - Air - SIR - SF - TE</t>
  </si>
  <si>
    <t>Reported Year</t>
  </si>
  <si>
    <t>Retail Choice Pilot Savings Tracking - kWh</t>
  </si>
  <si>
    <t>E200</t>
  </si>
  <si>
    <t>-</t>
  </si>
  <si>
    <t>Shareholder Repairs</t>
  </si>
  <si>
    <t>E202</t>
  </si>
  <si>
    <t>E203</t>
  </si>
  <si>
    <t>E204</t>
  </si>
  <si>
    <t>E263</t>
  </si>
  <si>
    <t>E264</t>
  </si>
  <si>
    <t>Tracking Measure</t>
  </si>
  <si>
    <t>Retail Choice Program</t>
  </si>
  <si>
    <t>Brochures, non program-specific</t>
  </si>
  <si>
    <t>Est. Measure Program Cost</t>
  </si>
  <si>
    <t>Evaluated 2021 Savings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</si>
</sst>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.000000_);\(#,##0.000000\)"/>
    <numFmt numFmtId="166" formatCode="&quot;$&quot;#,##0.00"/>
    <numFmt numFmtId="167" formatCode="0.000000"/>
    <numFmt numFmtId="168" formatCode="0.000000000000000"/>
    <numFmt numFmtId="169" formatCode="_(* #,##0_);_(* \(#,##0\);_(* &quot;-&quot;??_);_(@_)"/>
    <numFmt numFmtId="170" formatCode="&quot;$&quot;#,##0"/>
    <numFmt numFmtId="171" formatCode="###.0\ &quot;aMW&quot;"/>
    <numFmt numFmtId="172" formatCode="_(&quot;$&quot;* #,##0.0000_);_(&quot;$&quot;* \(#,##0.0000\);_(&quot;$&quot;* &quot;-&quot;??_);_(@_)"/>
    <numFmt numFmtId="173" formatCode="0.000%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color theme="1"/>
      <name val="Franklin Gothic Book"/>
      <family val="2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Verdana"/>
      <family val="2"/>
    </font>
    <font>
      <b/>
      <sz val="6"/>
      <name val="Verdana"/>
      <family val="2"/>
    </font>
    <font>
      <b/>
      <sz val="12"/>
      <name val="Verdana"/>
      <family val="2"/>
    </font>
    <font>
      <b/>
      <sz val="12"/>
      <color rgb="FFFF0000"/>
      <name val="Verdana"/>
      <family val="2"/>
    </font>
    <font>
      <sz val="10"/>
      <color indexed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2"/>
      <color theme="1"/>
      <name val="Tahoma"/>
      <family val="2"/>
    </font>
    <font>
      <u/>
      <sz val="8"/>
      <color theme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10"/>
      <name val="Arial"/>
      <family val="2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5">
    <fill>
      <patternFill patternType="none"/>
    </fill>
    <fill>
      <patternFill patternType="gray125"/>
    </fill>
    <fill>
      <patternFill patternType="solid">
        <fgColor rgb="FF83AF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9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3C0C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9" tint="0.7999816888943144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thin">
        <color auto="1"/>
      </left>
      <right style="thin">
        <color indexed="64"/>
      </right>
      <top style="thin">
        <color rgb="FFFF0000"/>
      </top>
      <bottom style="medium">
        <color rgb="FFFF0000"/>
      </bottom>
      <diagonal/>
    </border>
    <border>
      <left style="thin">
        <color auto="1"/>
      </left>
      <right/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ashed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4" fontId="10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26">
    <xf numFmtId="0" fontId="0" fillId="0" borderId="0" xfId="0"/>
    <xf numFmtId="0" fontId="1" fillId="0" borderId="0" xfId="3" applyFont="1"/>
    <xf numFmtId="0" fontId="1" fillId="0" borderId="0" xfId="4"/>
    <xf numFmtId="0" fontId="1" fillId="0" borderId="0" xfId="3"/>
    <xf numFmtId="8" fontId="0" fillId="0" borderId="0" xfId="0" applyNumberFormat="1"/>
    <xf numFmtId="8" fontId="1" fillId="0" borderId="0" xfId="3" applyNumberFormat="1"/>
    <xf numFmtId="0" fontId="2" fillId="0" borderId="0" xfId="5" applyFont="1" applyFill="1" applyAlignment="1" applyProtection="1">
      <alignment wrapText="1"/>
    </xf>
    <xf numFmtId="0" fontId="3" fillId="0" borderId="1" xfId="0" applyFont="1" applyBorder="1" applyProtection="1"/>
    <xf numFmtId="0" fontId="0" fillId="0" borderId="2" xfId="0" applyFont="1" applyFill="1" applyBorder="1" applyProtection="1"/>
    <xf numFmtId="0" fontId="0" fillId="0" borderId="3" xfId="0" applyFont="1" applyFill="1" applyBorder="1" applyProtection="1"/>
    <xf numFmtId="0" fontId="4" fillId="2" borderId="0" xfId="0" applyFont="1" applyFill="1" applyProtection="1"/>
    <xf numFmtId="10" fontId="3" fillId="2" borderId="0" xfId="0" applyNumberFormat="1" applyFont="1" applyFill="1" applyProtection="1"/>
    <xf numFmtId="0" fontId="3" fillId="0" borderId="0" xfId="0" applyFont="1" applyProtection="1"/>
    <xf numFmtId="42" fontId="3" fillId="0" borderId="0" xfId="0" applyNumberFormat="1" applyFont="1" applyProtection="1"/>
    <xf numFmtId="3" fontId="3" fillId="0" borderId="0" xfId="0" applyNumberFormat="1" applyFont="1" applyProtection="1"/>
    <xf numFmtId="0" fontId="3" fillId="3" borderId="0" xfId="0" applyFont="1" applyFill="1" applyAlignment="1" applyProtection="1">
      <alignment wrapText="1"/>
    </xf>
    <xf numFmtId="0" fontId="3" fillId="0" borderId="0" xfId="0" applyFont="1" applyAlignment="1" applyProtection="1">
      <alignment wrapText="1"/>
    </xf>
    <xf numFmtId="0" fontId="3" fillId="0" borderId="0" xfId="0" applyFont="1" applyFill="1" applyProtection="1"/>
    <xf numFmtId="0" fontId="5" fillId="0" borderId="4" xfId="0" applyFont="1" applyBorder="1" applyProtection="1"/>
    <xf numFmtId="0" fontId="5" fillId="0" borderId="5" xfId="0" applyFont="1" applyBorder="1" applyProtection="1"/>
    <xf numFmtId="0" fontId="5" fillId="0" borderId="6" xfId="0" applyFont="1" applyBorder="1" applyProtection="1"/>
    <xf numFmtId="0" fontId="4" fillId="0" borderId="0" xfId="0" applyFont="1" applyFill="1" applyProtection="1"/>
    <xf numFmtId="10" fontId="3" fillId="0" borderId="0" xfId="0" applyNumberFormat="1" applyFont="1" applyFill="1" applyProtection="1"/>
    <xf numFmtId="0" fontId="3" fillId="4" borderId="0" xfId="0" applyFont="1" applyFill="1" applyBorder="1" applyAlignment="1" applyProtection="1">
      <alignment wrapText="1"/>
    </xf>
    <xf numFmtId="0" fontId="5" fillId="5" borderId="0" xfId="0" applyFont="1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 wrapText="1"/>
    </xf>
    <xf numFmtId="164" fontId="5" fillId="0" borderId="5" xfId="2" applyNumberFormat="1" applyFont="1" applyFill="1" applyBorder="1" applyAlignment="1" applyProtection="1">
      <alignment horizontal="center" wrapText="1"/>
    </xf>
    <xf numFmtId="164" fontId="5" fillId="0" borderId="0" xfId="2" applyNumberFormat="1" applyFont="1" applyFill="1" applyBorder="1" applyAlignment="1" applyProtection="1">
      <alignment horizontal="left" wrapText="1"/>
    </xf>
    <xf numFmtId="164" fontId="5" fillId="0" borderId="5" xfId="2" applyNumberFormat="1" applyFont="1" applyFill="1" applyBorder="1" applyAlignment="1" applyProtection="1">
      <alignment horizontal="left" wrapText="1"/>
    </xf>
    <xf numFmtId="164" fontId="5" fillId="0" borderId="0" xfId="2" applyNumberFormat="1" applyFont="1" applyFill="1" applyBorder="1" applyAlignment="1" applyProtection="1">
      <alignment horizontal="center" wrapText="1"/>
    </xf>
    <xf numFmtId="42" fontId="5" fillId="0" borderId="0" xfId="2" applyNumberFormat="1" applyFont="1" applyFill="1" applyBorder="1" applyAlignment="1" applyProtection="1">
      <alignment horizontal="center" wrapText="1"/>
    </xf>
    <xf numFmtId="0" fontId="3" fillId="6" borderId="7" xfId="0" applyFont="1" applyFill="1" applyBorder="1" applyAlignment="1" applyProtection="1">
      <alignment horizontal="center" wrapText="1"/>
    </xf>
    <xf numFmtId="0" fontId="3" fillId="6" borderId="8" xfId="0" applyFont="1" applyFill="1" applyBorder="1" applyAlignment="1" applyProtection="1">
      <alignment horizontal="center" wrapText="1"/>
    </xf>
    <xf numFmtId="0" fontId="3" fillId="6" borderId="9" xfId="0" applyFont="1" applyFill="1" applyBorder="1" applyAlignment="1" applyProtection="1">
      <alignment horizontal="center" wrapText="1"/>
    </xf>
    <xf numFmtId="42" fontId="3" fillId="6" borderId="9" xfId="0" applyNumberFormat="1" applyFont="1" applyFill="1" applyBorder="1" applyAlignment="1" applyProtection="1">
      <alignment horizontal="center" wrapText="1"/>
    </xf>
    <xf numFmtId="3" fontId="3" fillId="6" borderId="9" xfId="0" applyNumberFormat="1" applyFont="1" applyFill="1" applyBorder="1" applyAlignment="1" applyProtection="1">
      <alignment horizontal="center" wrapText="1"/>
    </xf>
    <xf numFmtId="0" fontId="6" fillId="0" borderId="0" xfId="0" applyFont="1" applyAlignment="1" applyProtection="1">
      <alignment horizontal="left"/>
    </xf>
    <xf numFmtId="0" fontId="0" fillId="0" borderId="10" xfId="6" applyFont="1" applyFill="1" applyBorder="1"/>
    <xf numFmtId="0" fontId="4" fillId="0" borderId="10" xfId="7" applyFont="1" applyFill="1" applyBorder="1"/>
    <xf numFmtId="0" fontId="8" fillId="7" borderId="11" xfId="0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 applyProtection="1">
      <alignment horizontal="center" vertical="center"/>
      <protection locked="0"/>
    </xf>
    <xf numFmtId="37" fontId="4" fillId="0" borderId="11" xfId="1" applyNumberFormat="1" applyFont="1" applyFill="1" applyBorder="1" applyAlignment="1" applyProtection="1">
      <alignment horizontal="center" vertical="center"/>
      <protection locked="0"/>
    </xf>
    <xf numFmtId="8" fontId="9" fillId="7" borderId="11" xfId="8" applyNumberFormat="1" applyFont="1" applyFill="1" applyBorder="1" applyAlignment="1" applyProtection="1">
      <alignment horizontal="center" vertical="center"/>
      <protection locked="0"/>
    </xf>
    <xf numFmtId="3" fontId="4" fillId="0" borderId="10" xfId="1" applyNumberFormat="1" applyFont="1" applyFill="1" applyBorder="1" applyAlignment="1" applyProtection="1">
      <alignment horizontal="center" wrapText="1"/>
    </xf>
    <xf numFmtId="164" fontId="4" fillId="0" borderId="10" xfId="2" applyNumberFormat="1" applyFont="1" applyFill="1" applyBorder="1" applyProtection="1"/>
    <xf numFmtId="44" fontId="9" fillId="7" borderId="11" xfId="8" applyFont="1" applyFill="1" applyBorder="1" applyAlignment="1" applyProtection="1">
      <alignment horizontal="center" vertical="center"/>
      <protection locked="0"/>
    </xf>
    <xf numFmtId="44" fontId="9" fillId="7" borderId="0" xfId="8" applyFont="1" applyFill="1" applyBorder="1" applyAlignment="1" applyProtection="1">
      <alignment horizontal="center" vertical="center"/>
      <protection locked="0"/>
    </xf>
    <xf numFmtId="2" fontId="4" fillId="0" borderId="10" xfId="1" applyNumberFormat="1" applyFont="1" applyFill="1" applyBorder="1" applyAlignment="1" applyProtection="1">
      <alignment horizontal="center"/>
    </xf>
    <xf numFmtId="42" fontId="4" fillId="0" borderId="10" xfId="2" applyNumberFormat="1" applyFont="1" applyFill="1" applyBorder="1" applyProtection="1"/>
    <xf numFmtId="9" fontId="4" fillId="0" borderId="10" xfId="2" applyNumberFormat="1" applyFont="1" applyFill="1" applyBorder="1" applyProtection="1"/>
    <xf numFmtId="164" fontId="4" fillId="0" borderId="12" xfId="2" applyNumberFormat="1" applyFont="1" applyFill="1" applyBorder="1" applyProtection="1"/>
    <xf numFmtId="164" fontId="4" fillId="0" borderId="13" xfId="2" applyNumberFormat="1" applyFont="1" applyFill="1" applyBorder="1" applyProtection="1"/>
    <xf numFmtId="165" fontId="4" fillId="0" borderId="10" xfId="2" applyNumberFormat="1" applyFont="1" applyFill="1" applyBorder="1" applyProtection="1"/>
    <xf numFmtId="166" fontId="11" fillId="0" borderId="0" xfId="1" applyNumberFormat="1" applyFont="1" applyAlignment="1" applyProtection="1">
      <alignment horizontal="left"/>
    </xf>
    <xf numFmtId="39" fontId="11" fillId="0" borderId="0" xfId="1" applyNumberFormat="1" applyFont="1" applyAlignment="1" applyProtection="1">
      <alignment horizontal="left"/>
    </xf>
    <xf numFmtId="166" fontId="11" fillId="0" borderId="0" xfId="0" applyNumberFormat="1" applyFont="1" applyAlignment="1" applyProtection="1">
      <alignment horizontal="left"/>
    </xf>
    <xf numFmtId="166" fontId="6" fillId="0" borderId="0" xfId="0" applyNumberFormat="1" applyFont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Protection="1"/>
    <xf numFmtId="166" fontId="11" fillId="0" borderId="0" xfId="0" applyNumberFormat="1" applyFont="1" applyFill="1" applyBorder="1" applyAlignment="1" applyProtection="1">
      <alignment horizontal="left"/>
    </xf>
    <xf numFmtId="2" fontId="11" fillId="0" borderId="0" xfId="0" applyNumberFormat="1" applyFont="1" applyFill="1" applyBorder="1" applyAlignment="1" applyProtection="1">
      <alignment horizontal="left"/>
    </xf>
    <xf numFmtId="0" fontId="12" fillId="0" borderId="0" xfId="9"/>
    <xf numFmtId="0" fontId="4" fillId="0" borderId="0" xfId="10"/>
    <xf numFmtId="0" fontId="13" fillId="8" borderId="14" xfId="11" applyFont="1" applyFill="1" applyBorder="1" applyAlignment="1" applyProtection="1">
      <alignment horizontal="center" vertical="center"/>
      <protection hidden="1"/>
    </xf>
    <xf numFmtId="0" fontId="13" fillId="8" borderId="15" xfId="11" applyFont="1" applyFill="1" applyBorder="1" applyAlignment="1" applyProtection="1">
      <alignment horizontal="center" vertical="center"/>
      <protection hidden="1"/>
    </xf>
    <xf numFmtId="167" fontId="4" fillId="0" borderId="0" xfId="10" applyNumberFormat="1"/>
    <xf numFmtId="2" fontId="14" fillId="8" borderId="16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 wrapText="1"/>
      <protection hidden="1"/>
    </xf>
    <xf numFmtId="0" fontId="15" fillId="8" borderId="18" xfId="11" applyFont="1" applyFill="1" applyBorder="1" applyAlignment="1" applyProtection="1">
      <alignment horizontal="left" vertical="center" wrapText="1"/>
      <protection hidden="1"/>
    </xf>
    <xf numFmtId="0" fontId="14" fillId="8" borderId="19" xfId="12" applyFont="1" applyFill="1" applyBorder="1" applyAlignment="1" applyProtection="1">
      <alignment horizontal="center" vertical="center" wrapText="1"/>
      <protection hidden="1"/>
    </xf>
    <xf numFmtId="0" fontId="14" fillId="8" borderId="19" xfId="11" applyFont="1" applyFill="1" applyBorder="1" applyAlignment="1" applyProtection="1">
      <alignment horizontal="center" vertical="center" wrapText="1"/>
      <protection hidden="1"/>
    </xf>
    <xf numFmtId="0" fontId="4" fillId="8" borderId="0" xfId="10" applyFill="1"/>
    <xf numFmtId="0" fontId="13" fillId="8" borderId="20" xfId="11" applyFont="1" applyFill="1" applyBorder="1" applyAlignment="1" applyProtection="1">
      <alignment horizontal="center" vertical="center"/>
      <protection hidden="1"/>
    </xf>
    <xf numFmtId="0" fontId="13" fillId="8" borderId="0" xfId="11" applyFont="1" applyFill="1" applyBorder="1" applyAlignment="1" applyProtection="1">
      <alignment horizontal="center" vertical="center"/>
      <protection hidden="1"/>
    </xf>
    <xf numFmtId="0" fontId="14" fillId="8" borderId="0" xfId="11" applyFont="1" applyFill="1" applyBorder="1" applyAlignment="1" applyProtection="1">
      <alignment horizontal="left" vertical="center"/>
      <protection hidden="1"/>
    </xf>
    <xf numFmtId="0" fontId="13" fillId="8" borderId="0" xfId="11" applyFont="1" applyFill="1" applyBorder="1" applyAlignment="1" applyProtection="1">
      <alignment horizontal="left" vertical="center"/>
      <protection hidden="1"/>
    </xf>
    <xf numFmtId="0" fontId="13" fillId="8" borderId="21" xfId="11" applyFont="1" applyFill="1" applyBorder="1" applyAlignment="1" applyProtection="1">
      <alignment horizontal="center" vertical="center"/>
      <protection hidden="1"/>
    </xf>
    <xf numFmtId="0" fontId="16" fillId="8" borderId="0" xfId="11" applyFont="1" applyFill="1" applyBorder="1" applyAlignment="1" applyProtection="1">
      <alignment vertical="center"/>
      <protection hidden="1"/>
    </xf>
    <xf numFmtId="168" fontId="13" fillId="0" borderId="22" xfId="13" applyNumberFormat="1" applyFont="1" applyFill="1" applyBorder="1" applyAlignment="1" applyProtection="1">
      <alignment horizontal="center" vertical="center"/>
      <protection hidden="1"/>
    </xf>
    <xf numFmtId="0" fontId="13" fillId="9" borderId="23" xfId="13" applyNumberFormat="1" applyFont="1" applyFill="1" applyBorder="1" applyAlignment="1" applyProtection="1">
      <alignment horizontal="center" vertical="center"/>
      <protection hidden="1"/>
    </xf>
    <xf numFmtId="168" fontId="13" fillId="0" borderId="24" xfId="13" applyNumberFormat="1" applyFont="1" applyFill="1" applyBorder="1" applyAlignment="1" applyProtection="1">
      <alignment horizontal="center" vertical="center"/>
      <protection hidden="1"/>
    </xf>
    <xf numFmtId="0" fontId="13" fillId="9" borderId="25" xfId="13" applyNumberFormat="1" applyFont="1" applyFill="1" applyBorder="1" applyAlignment="1" applyProtection="1">
      <alignment horizontal="center" vertical="center"/>
      <protection hidden="1"/>
    </xf>
    <xf numFmtId="168" fontId="13" fillId="0" borderId="26" xfId="13" applyNumberFormat="1" applyFont="1" applyFill="1" applyBorder="1" applyAlignment="1" applyProtection="1">
      <alignment horizontal="center" vertical="center"/>
      <protection hidden="1"/>
    </xf>
    <xf numFmtId="0" fontId="13" fillId="9" borderId="19" xfId="13" applyNumberFormat="1" applyFont="1" applyFill="1" applyBorder="1" applyAlignment="1" applyProtection="1">
      <alignment horizontal="center" vertical="center"/>
      <protection hidden="1"/>
    </xf>
    <xf numFmtId="0" fontId="13" fillId="9" borderId="27" xfId="13" applyNumberFormat="1" applyFont="1" applyFill="1" applyBorder="1" applyAlignment="1" applyProtection="1">
      <alignment horizontal="center" vertical="center"/>
      <protection hidden="1"/>
    </xf>
    <xf numFmtId="168" fontId="13" fillId="0" borderId="19" xfId="13" applyNumberFormat="1" applyFont="1" applyFill="1" applyBorder="1" applyAlignment="1" applyProtection="1">
      <alignment horizontal="center" vertical="center"/>
      <protection hidden="1"/>
    </xf>
    <xf numFmtId="0" fontId="18" fillId="9" borderId="11" xfId="14" applyNumberFormat="1" applyFont="1" applyFill="1" applyBorder="1" applyAlignment="1" applyProtection="1">
      <alignment horizontal="left" vertical="center" wrapText="1"/>
      <protection hidden="1"/>
    </xf>
    <xf numFmtId="0" fontId="14" fillId="9" borderId="11" xfId="14" applyFont="1" applyFill="1" applyBorder="1" applyAlignment="1" applyProtection="1">
      <alignment horizontal="left" vertical="center" wrapText="1"/>
      <protection hidden="1"/>
    </xf>
    <xf numFmtId="0" fontId="14" fillId="9" borderId="19" xfId="12" applyFont="1" applyFill="1" applyBorder="1" applyAlignment="1" applyProtection="1">
      <alignment horizontal="center" vertical="center" wrapText="1"/>
      <protection hidden="1"/>
    </xf>
    <xf numFmtId="0" fontId="14" fillId="9" borderId="19" xfId="14" applyFont="1" applyFill="1" applyBorder="1" applyAlignment="1" applyProtection="1">
      <alignment horizontal="center" vertical="center" wrapText="1"/>
      <protection hidden="1"/>
    </xf>
    <xf numFmtId="0" fontId="13" fillId="9" borderId="0" xfId="13" applyFont="1" applyFill="1" applyAlignment="1" applyProtection="1">
      <alignment horizontal="center" vertical="center"/>
      <protection hidden="1"/>
    </xf>
    <xf numFmtId="0" fontId="13" fillId="9" borderId="0" xfId="10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left" vertical="center"/>
      <protection hidden="1"/>
    </xf>
    <xf numFmtId="0" fontId="14" fillId="9" borderId="0" xfId="15" applyFont="1" applyFill="1" applyAlignment="1" applyProtection="1">
      <alignment horizontal="center" vertical="center"/>
      <protection hidden="1"/>
    </xf>
    <xf numFmtId="0" fontId="16" fillId="9" borderId="0" xfId="13" applyFont="1" applyFill="1" applyAlignment="1" applyProtection="1">
      <alignment horizontal="left" vertical="center"/>
      <protection hidden="1"/>
    </xf>
    <xf numFmtId="0" fontId="12" fillId="0" borderId="10" xfId="6" applyFont="1" applyFill="1" applyBorder="1"/>
    <xf numFmtId="0" fontId="12" fillId="0" borderId="0" xfId="9" applyNumberFormat="1"/>
    <xf numFmtId="0" fontId="12" fillId="0" borderId="0" xfId="0" applyNumberFormat="1" applyFont="1"/>
    <xf numFmtId="0" fontId="12" fillId="0" borderId="0" xfId="0" applyFont="1"/>
    <xf numFmtId="0" fontId="12" fillId="0" borderId="0" xfId="9" applyFont="1"/>
    <xf numFmtId="0" fontId="0" fillId="0" borderId="0" xfId="0" applyFill="1" applyProtection="1"/>
    <xf numFmtId="0" fontId="21" fillId="10" borderId="0" xfId="0" applyFont="1" applyFill="1" applyBorder="1" applyProtection="1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10" fontId="0" fillId="0" borderId="0" xfId="0" applyNumberFormat="1" applyFill="1" applyBorder="1" applyProtection="1"/>
    <xf numFmtId="0" fontId="22" fillId="2" borderId="20" xfId="0" applyFont="1" applyFill="1" applyBorder="1" applyProtection="1"/>
    <xf numFmtId="10" fontId="0" fillId="2" borderId="20" xfId="0" applyNumberFormat="1" applyFill="1" applyBorder="1" applyProtection="1"/>
    <xf numFmtId="0" fontId="0" fillId="10" borderId="20" xfId="0" applyFill="1" applyBorder="1" applyProtection="1"/>
    <xf numFmtId="0" fontId="6" fillId="10" borderId="20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 applyProtection="1">
      <alignment horizontal="center" vertical="center"/>
    </xf>
    <xf numFmtId="0" fontId="6" fillId="11" borderId="20" xfId="0" applyFont="1" applyFill="1" applyBorder="1" applyAlignment="1" applyProtection="1">
      <alignment horizontal="center" vertical="center"/>
    </xf>
    <xf numFmtId="0" fontId="6" fillId="12" borderId="20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top"/>
    </xf>
    <xf numFmtId="0" fontId="3" fillId="6" borderId="28" xfId="0" applyFont="1" applyFill="1" applyBorder="1" applyAlignment="1" applyProtection="1">
      <alignment horizontal="center" vertical="top" wrapText="1"/>
    </xf>
    <xf numFmtId="0" fontId="3" fillId="6" borderId="19" xfId="0" applyFont="1" applyFill="1" applyBorder="1" applyAlignment="1" applyProtection="1">
      <alignment horizontal="center" vertical="top" wrapText="1"/>
    </xf>
    <xf numFmtId="0" fontId="11" fillId="0" borderId="0" xfId="0" applyFont="1" applyAlignment="1" applyProtection="1">
      <alignment horizontal="center" vertical="top"/>
    </xf>
    <xf numFmtId="0" fontId="23" fillId="6" borderId="29" xfId="0" applyFont="1" applyFill="1" applyBorder="1" applyAlignment="1" applyProtection="1">
      <alignment horizontal="center" vertical="top" wrapText="1"/>
    </xf>
    <xf numFmtId="0" fontId="23" fillId="6" borderId="29" xfId="0" applyFont="1" applyFill="1" applyBorder="1" applyAlignment="1" applyProtection="1">
      <alignment horizontal="right" vertical="center" wrapText="1"/>
    </xf>
    <xf numFmtId="0" fontId="23" fillId="6" borderId="26" xfId="0" applyFont="1" applyFill="1" applyBorder="1" applyAlignment="1" applyProtection="1">
      <alignment horizontal="right" vertical="center" wrapText="1"/>
    </xf>
    <xf numFmtId="0" fontId="23" fillId="6" borderId="26" xfId="0" applyFont="1" applyFill="1" applyBorder="1" applyAlignment="1" applyProtection="1">
      <alignment horizontal="center" vertical="top" wrapText="1"/>
    </xf>
    <xf numFmtId="0" fontId="2" fillId="0" borderId="11" xfId="5" applyBorder="1" applyAlignment="1" applyProtection="1">
      <alignment wrapText="1"/>
    </xf>
    <xf numFmtId="0" fontId="24" fillId="0" borderId="11" xfId="0" applyFont="1" applyFill="1" applyBorder="1" applyAlignment="1" applyProtection="1"/>
    <xf numFmtId="0" fontId="23" fillId="0" borderId="11" xfId="0" applyFont="1" applyFill="1" applyBorder="1" applyAlignment="1" applyProtection="1"/>
    <xf numFmtId="0" fontId="23" fillId="0" borderId="11" xfId="0" applyFont="1" applyFill="1" applyBorder="1" applyAlignment="1" applyProtection="1">
      <alignment horizontal="center" wrapText="1"/>
    </xf>
    <xf numFmtId="0" fontId="23" fillId="0" borderId="0" xfId="0" applyFont="1" applyFill="1" applyAlignment="1" applyProtection="1"/>
    <xf numFmtId="0" fontId="23" fillId="0" borderId="0" xfId="0" applyFont="1" applyAlignment="1" applyProtection="1"/>
    <xf numFmtId="0" fontId="25" fillId="0" borderId="31" xfId="0" applyFont="1" applyFill="1" applyBorder="1" applyAlignment="1" applyProtection="1">
      <alignment horizontal="center"/>
    </xf>
    <xf numFmtId="0" fontId="2" fillId="0" borderId="0" xfId="5" applyAlignment="1" applyProtection="1"/>
    <xf numFmtId="2" fontId="25" fillId="0" borderId="31" xfId="0" applyNumberFormat="1" applyFont="1" applyFill="1" applyBorder="1" applyProtection="1"/>
    <xf numFmtId="43" fontId="25" fillId="0" borderId="31" xfId="16" applyFont="1" applyFill="1" applyBorder="1" applyAlignment="1" applyProtection="1">
      <alignment horizontal="center"/>
    </xf>
    <xf numFmtId="0" fontId="25" fillId="0" borderId="0" xfId="0" applyFont="1" applyFill="1" applyProtection="1"/>
    <xf numFmtId="0" fontId="2" fillId="0" borderId="0" xfId="5" applyFill="1" applyBorder="1" applyAlignment="1" applyProtection="1">
      <alignment horizontal="center" vertical="center" wrapText="1"/>
    </xf>
    <xf numFmtId="0" fontId="25" fillId="14" borderId="31" xfId="0" applyFont="1" applyFill="1" applyBorder="1" applyAlignment="1" applyProtection="1">
      <alignment horizontal="center"/>
    </xf>
    <xf numFmtId="0" fontId="0" fillId="14" borderId="32" xfId="5" applyFont="1" applyFill="1" applyBorder="1" applyAlignment="1" applyProtection="1">
      <alignment horizontal="left"/>
    </xf>
    <xf numFmtId="0" fontId="0" fillId="14" borderId="31" xfId="5" applyFont="1" applyFill="1" applyBorder="1" applyAlignment="1" applyProtection="1">
      <alignment horizontal="left"/>
    </xf>
    <xf numFmtId="2" fontId="25" fillId="14" borderId="31" xfId="0" applyNumberFormat="1" applyFont="1" applyFill="1" applyBorder="1" applyProtection="1"/>
    <xf numFmtId="1" fontId="25" fillId="14" borderId="31" xfId="16" applyNumberFormat="1" applyFont="1" applyFill="1" applyBorder="1" applyAlignment="1" applyProtection="1">
      <alignment horizontal="center"/>
    </xf>
    <xf numFmtId="169" fontId="26" fillId="14" borderId="31" xfId="16" applyNumberFormat="1" applyFont="1" applyFill="1" applyBorder="1" applyAlignment="1" applyProtection="1">
      <alignment horizontal="center"/>
    </xf>
    <xf numFmtId="43" fontId="25" fillId="14" borderId="31" xfId="16" applyFont="1" applyFill="1" applyBorder="1" applyAlignment="1" applyProtection="1">
      <alignment horizontal="center"/>
    </xf>
    <xf numFmtId="0" fontId="2" fillId="0" borderId="0" xfId="5" applyFill="1" applyBorder="1" applyAlignment="1" applyProtection="1">
      <alignment horizontal="left" indent="1"/>
    </xf>
    <xf numFmtId="1" fontId="25" fillId="0" borderId="31" xfId="16" applyNumberFormat="1" applyFont="1" applyFill="1" applyBorder="1" applyAlignment="1" applyProtection="1">
      <alignment horizontal="center"/>
    </xf>
    <xf numFmtId="169" fontId="26" fillId="0" borderId="31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>
      <alignment horizontal="left" indent="1"/>
    </xf>
    <xf numFmtId="0" fontId="2" fillId="0" borderId="0" xfId="5" applyFill="1" applyBorder="1" applyAlignment="1" applyProtection="1"/>
    <xf numFmtId="170" fontId="25" fillId="0" borderId="0" xfId="0" applyNumberFormat="1" applyFont="1" applyFill="1" applyProtection="1"/>
    <xf numFmtId="170" fontId="27" fillId="15" borderId="31" xfId="0" applyNumberFormat="1" applyFont="1" applyFill="1" applyBorder="1" applyProtection="1"/>
    <xf numFmtId="2" fontId="27" fillId="15" borderId="31" xfId="0" applyNumberFormat="1" applyFont="1" applyFill="1" applyBorder="1" applyProtection="1"/>
    <xf numFmtId="170" fontId="27" fillId="15" borderId="31" xfId="16" applyNumberFormat="1" applyFont="1" applyFill="1" applyBorder="1" applyAlignment="1" applyProtection="1">
      <alignment horizontal="center"/>
    </xf>
    <xf numFmtId="170" fontId="21" fillId="15" borderId="31" xfId="16" applyNumberFormat="1" applyFont="1" applyFill="1" applyBorder="1" applyAlignment="1" applyProtection="1">
      <alignment horizontal="center"/>
    </xf>
    <xf numFmtId="3" fontId="21" fillId="15" borderId="31" xfId="16" applyNumberFormat="1" applyFont="1" applyFill="1" applyBorder="1" applyAlignment="1" applyProtection="1">
      <alignment horizontal="right"/>
    </xf>
    <xf numFmtId="4" fontId="21" fillId="15" borderId="31" xfId="16" applyNumberFormat="1" applyFont="1" applyFill="1" applyBorder="1" applyAlignment="1" applyProtection="1"/>
    <xf numFmtId="170" fontId="0" fillId="0" borderId="0" xfId="0" applyNumberFormat="1" applyFill="1" applyBorder="1" applyProtection="1"/>
    <xf numFmtId="170" fontId="0" fillId="0" borderId="0" xfId="0" applyNumberFormat="1" applyFill="1" applyProtection="1"/>
    <xf numFmtId="170" fontId="27" fillId="15" borderId="0" xfId="0" applyNumberFormat="1" applyFont="1" applyFill="1" applyBorder="1" applyProtection="1"/>
    <xf numFmtId="2" fontId="27" fillId="15" borderId="33" xfId="0" applyNumberFormat="1" applyFont="1" applyFill="1" applyBorder="1" applyProtection="1"/>
    <xf numFmtId="2" fontId="4" fillId="0" borderId="33" xfId="0" applyNumberFormat="1" applyFont="1" applyFill="1" applyBorder="1" applyProtection="1"/>
    <xf numFmtId="169" fontId="22" fillId="0" borderId="31" xfId="16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2" fillId="0" borderId="0" xfId="5" applyFill="1" applyBorder="1" applyAlignment="1" applyProtection="1">
      <alignment horizontal="left"/>
    </xf>
    <xf numFmtId="0" fontId="2" fillId="0" borderId="0" xfId="5" applyFill="1" applyAlignment="1" applyProtection="1">
      <alignment horizontal="left"/>
    </xf>
    <xf numFmtId="0" fontId="0" fillId="14" borderId="33" xfId="5" applyFont="1" applyFill="1" applyBorder="1" applyAlignment="1" applyProtection="1">
      <alignment horizontal="left"/>
    </xf>
    <xf numFmtId="2" fontId="25" fillId="14" borderId="33" xfId="0" applyNumberFormat="1" applyFont="1" applyFill="1" applyBorder="1" applyProtection="1"/>
    <xf numFmtId="2" fontId="25" fillId="0" borderId="33" xfId="0" applyNumberFormat="1" applyFont="1" applyFill="1" applyBorder="1" applyProtection="1"/>
    <xf numFmtId="164" fontId="21" fillId="15" borderId="26" xfId="16" applyNumberFormat="1" applyFont="1" applyFill="1" applyBorder="1" applyAlignment="1" applyProtection="1">
      <alignment horizontal="center"/>
    </xf>
    <xf numFmtId="4" fontId="21" fillId="15" borderId="31" xfId="16" applyNumberFormat="1" applyFont="1" applyFill="1" applyBorder="1" applyAlignment="1" applyProtection="1">
      <alignment horizontal="right"/>
    </xf>
    <xf numFmtId="2" fontId="4" fillId="0" borderId="31" xfId="0" applyNumberFormat="1" applyFont="1" applyFill="1" applyBorder="1" applyProtection="1"/>
    <xf numFmtId="1" fontId="4" fillId="0" borderId="31" xfId="16" applyNumberFormat="1" applyFont="1" applyFill="1" applyBorder="1" applyAlignment="1" applyProtection="1">
      <alignment horizontal="center"/>
    </xf>
    <xf numFmtId="164" fontId="4" fillId="0" borderId="34" xfId="16" applyNumberFormat="1" applyFont="1" applyFill="1" applyBorder="1" applyAlignment="1" applyProtection="1">
      <alignment horizontal="center"/>
    </xf>
    <xf numFmtId="0" fontId="25" fillId="0" borderId="35" xfId="0" applyFont="1" applyFill="1" applyBorder="1" applyAlignment="1" applyProtection="1">
      <alignment horizontal="center"/>
    </xf>
    <xf numFmtId="164" fontId="4" fillId="0" borderId="26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/>
    <xf numFmtId="0" fontId="2" fillId="0" borderId="26" xfId="5" applyFill="1" applyBorder="1" applyAlignment="1" applyProtection="1"/>
    <xf numFmtId="0" fontId="0" fillId="16" borderId="0" xfId="0" applyFill="1" applyProtection="1"/>
    <xf numFmtId="0" fontId="27" fillId="15" borderId="26" xfId="0" applyFont="1" applyFill="1" applyBorder="1" applyProtection="1"/>
    <xf numFmtId="0" fontId="27" fillId="15" borderId="26" xfId="16" applyNumberFormat="1" applyFont="1" applyFill="1" applyBorder="1" applyAlignment="1" applyProtection="1">
      <alignment horizontal="center"/>
    </xf>
    <xf numFmtId="169" fontId="21" fillId="15" borderId="26" xfId="16" applyNumberFormat="1" applyFont="1" applyFill="1" applyBorder="1" applyAlignment="1" applyProtection="1">
      <alignment horizontal="center"/>
    </xf>
    <xf numFmtId="3" fontId="21" fillId="15" borderId="26" xfId="16" applyNumberFormat="1" applyFont="1" applyFill="1" applyBorder="1" applyAlignment="1" applyProtection="1">
      <alignment horizontal="right"/>
    </xf>
    <xf numFmtId="4" fontId="21" fillId="15" borderId="26" xfId="16" applyNumberFormat="1" applyFont="1" applyFill="1" applyBorder="1" applyAlignment="1" applyProtection="1">
      <alignment horizontal="right"/>
    </xf>
    <xf numFmtId="0" fontId="4" fillId="0" borderId="37" xfId="0" applyFont="1" applyFill="1" applyBorder="1" applyAlignment="1" applyProtection="1">
      <alignment horizontal="center"/>
    </xf>
    <xf numFmtId="0" fontId="27" fillId="17" borderId="37" xfId="0" applyFont="1" applyFill="1" applyBorder="1" applyAlignment="1" applyProtection="1">
      <alignment horizontal="center"/>
    </xf>
    <xf numFmtId="0" fontId="4" fillId="17" borderId="37" xfId="16" applyNumberFormat="1" applyFont="1" applyFill="1" applyBorder="1" applyAlignment="1" applyProtection="1">
      <alignment horizontal="center"/>
    </xf>
    <xf numFmtId="169" fontId="22" fillId="17" borderId="37" xfId="16" applyNumberFormat="1" applyFont="1" applyFill="1" applyBorder="1" applyAlignment="1" applyProtection="1">
      <alignment horizontal="center"/>
    </xf>
    <xf numFmtId="170" fontId="4" fillId="17" borderId="37" xfId="17" applyNumberFormat="1" applyFont="1" applyFill="1" applyBorder="1" applyAlignment="1" applyProtection="1"/>
    <xf numFmtId="41" fontId="4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/>
    <xf numFmtId="164" fontId="4" fillId="17" borderId="37" xfId="17" applyNumberFormat="1" applyFont="1" applyFill="1" applyBorder="1" applyAlignment="1" applyProtection="1"/>
    <xf numFmtId="43" fontId="4" fillId="17" borderId="37" xfId="16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left"/>
    </xf>
    <xf numFmtId="8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Alignment="1" applyProtection="1">
      <alignment horizontal="center"/>
    </xf>
    <xf numFmtId="41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Protection="1"/>
    <xf numFmtId="164" fontId="4" fillId="0" borderId="32" xfId="0" applyNumberFormat="1" applyFont="1" applyFill="1" applyBorder="1" applyAlignment="1" applyProtection="1">
      <alignment horizontal="center"/>
    </xf>
    <xf numFmtId="42" fontId="4" fillId="0" borderId="32" xfId="0" applyNumberFormat="1" applyFont="1" applyFill="1" applyBorder="1" applyAlignment="1" applyProtection="1">
      <alignment horizontal="center"/>
    </xf>
    <xf numFmtId="0" fontId="0" fillId="0" borderId="32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center"/>
    </xf>
    <xf numFmtId="0" fontId="4" fillId="0" borderId="32" xfId="16" applyNumberFormat="1" applyFont="1" applyFill="1" applyBorder="1" applyAlignment="1" applyProtection="1">
      <alignment horizontal="center"/>
    </xf>
    <xf numFmtId="169" fontId="22" fillId="0" borderId="32" xfId="16" applyNumberFormat="1" applyFont="1" applyFill="1" applyBorder="1" applyAlignment="1" applyProtection="1">
      <alignment horizontal="center"/>
    </xf>
    <xf numFmtId="3" fontId="4" fillId="0" borderId="32" xfId="17" applyNumberFormat="1" applyFont="1" applyFill="1" applyBorder="1" applyAlignment="1" applyProtection="1">
      <alignment horizontal="right"/>
    </xf>
    <xf numFmtId="44" fontId="4" fillId="0" borderId="32" xfId="17" applyNumberFormat="1" applyFont="1" applyFill="1" applyBorder="1" applyAlignment="1" applyProtection="1">
      <alignment horizontal="center"/>
    </xf>
    <xf numFmtId="41" fontId="4" fillId="0" borderId="32" xfId="17" applyNumberFormat="1" applyFont="1" applyFill="1" applyBorder="1" applyProtection="1"/>
    <xf numFmtId="164" fontId="4" fillId="0" borderId="32" xfId="17" applyNumberFormat="1" applyFont="1" applyFill="1" applyBorder="1" applyAlignment="1" applyProtection="1"/>
    <xf numFmtId="43" fontId="4" fillId="0" borderId="32" xfId="16" applyFont="1" applyFill="1" applyBorder="1" applyAlignment="1" applyProtection="1">
      <alignment horizontal="center"/>
    </xf>
    <xf numFmtId="0" fontId="0" fillId="0" borderId="32" xfId="0" applyBorder="1"/>
    <xf numFmtId="0" fontId="0" fillId="0" borderId="32" xfId="0" applyBorder="1" applyAlignment="1">
      <alignment horizontal="center"/>
    </xf>
    <xf numFmtId="0" fontId="21" fillId="0" borderId="0" xfId="0" applyFont="1" applyFill="1" applyProtection="1"/>
    <xf numFmtId="0" fontId="0" fillId="0" borderId="32" xfId="0" applyFont="1" applyFill="1" applyBorder="1" applyAlignment="1" applyProtection="1">
      <alignment horizontal="left"/>
    </xf>
    <xf numFmtId="0" fontId="0" fillId="0" borderId="32" xfId="0" applyFont="1" applyFill="1" applyBorder="1" applyAlignment="1" applyProtection="1">
      <alignment horizontal="center"/>
    </xf>
    <xf numFmtId="0" fontId="21" fillId="0" borderId="0" xfId="0" applyFont="1" applyFill="1" applyBorder="1" applyProtection="1"/>
    <xf numFmtId="0" fontId="21" fillId="16" borderId="0" xfId="0" applyFont="1" applyFill="1" applyProtection="1"/>
    <xf numFmtId="0" fontId="0" fillId="0" borderId="32" xfId="0" applyFill="1" applyBorder="1" applyAlignment="1">
      <alignment horizontal="left"/>
    </xf>
    <xf numFmtId="0" fontId="0" fillId="0" borderId="32" xfId="0" applyFill="1" applyBorder="1" applyAlignment="1">
      <alignment horizontal="center"/>
    </xf>
    <xf numFmtId="3" fontId="0" fillId="0" borderId="32" xfId="0" applyNumberFormat="1" applyFill="1" applyBorder="1" applyAlignment="1">
      <alignment horizontal="center"/>
    </xf>
    <xf numFmtId="170" fontId="4" fillId="0" borderId="32" xfId="17" applyNumberFormat="1" applyFont="1" applyFill="1" applyBorder="1" applyAlignment="1" applyProtection="1"/>
    <xf numFmtId="42" fontId="4" fillId="0" borderId="32" xfId="17" applyNumberFormat="1" applyFont="1" applyFill="1" applyBorder="1" applyAlignment="1" applyProtection="1">
      <alignment horizontal="center"/>
    </xf>
    <xf numFmtId="44" fontId="0" fillId="14" borderId="32" xfId="17" applyFont="1" applyFill="1" applyBorder="1" applyAlignment="1" applyProtection="1">
      <alignment horizontal="left"/>
    </xf>
    <xf numFmtId="164" fontId="0" fillId="14" borderId="32" xfId="17" applyNumberFormat="1" applyFont="1" applyFill="1" applyBorder="1" applyAlignment="1" applyProtection="1">
      <alignment horizontal="left"/>
    </xf>
    <xf numFmtId="164" fontId="4" fillId="10" borderId="32" xfId="18" applyNumberFormat="1" applyFont="1" applyFill="1" applyBorder="1" applyAlignment="1" applyProtection="1">
      <alignment horizontal="center"/>
    </xf>
    <xf numFmtId="164" fontId="4" fillId="0" borderId="32" xfId="18" applyNumberFormat="1" applyFont="1" applyFill="1" applyBorder="1" applyAlignment="1" applyProtection="1">
      <alignment horizontal="center"/>
    </xf>
    <xf numFmtId="0" fontId="0" fillId="18" borderId="0" xfId="0" applyFill="1" applyProtection="1"/>
    <xf numFmtId="170" fontId="0" fillId="0" borderId="20" xfId="0" applyNumberFormat="1" applyFill="1" applyBorder="1" applyProtection="1"/>
    <xf numFmtId="0" fontId="0" fillId="14" borderId="36" xfId="5" applyFont="1" applyFill="1" applyBorder="1" applyAlignment="1" applyProtection="1">
      <alignment horizontal="left"/>
    </xf>
    <xf numFmtId="44" fontId="0" fillId="14" borderId="36" xfId="17" applyFont="1" applyFill="1" applyBorder="1" applyAlignment="1" applyProtection="1">
      <alignment horizontal="left"/>
    </xf>
    <xf numFmtId="164" fontId="0" fillId="14" borderId="36" xfId="17" applyNumberFormat="1" applyFont="1" applyFill="1" applyBorder="1" applyAlignment="1" applyProtection="1">
      <alignment horizontal="left"/>
    </xf>
    <xf numFmtId="0" fontId="0" fillId="16" borderId="20" xfId="0" applyFill="1" applyBorder="1" applyProtection="1"/>
    <xf numFmtId="0" fontId="22" fillId="0" borderId="0" xfId="0" applyFont="1" applyFill="1" applyProtection="1"/>
    <xf numFmtId="0" fontId="21" fillId="2" borderId="38" xfId="0" applyFont="1" applyFill="1" applyBorder="1" applyAlignment="1" applyProtection="1">
      <alignment horizontal="left"/>
    </xf>
    <xf numFmtId="0" fontId="21" fillId="2" borderId="19" xfId="0" applyFont="1" applyFill="1" applyBorder="1" applyProtection="1"/>
    <xf numFmtId="2" fontId="21" fillId="2" borderId="19" xfId="16" applyNumberFormat="1" applyFont="1" applyFill="1" applyBorder="1" applyAlignment="1" applyProtection="1">
      <alignment horizontal="center"/>
    </xf>
    <xf numFmtId="169" fontId="21" fillId="2" borderId="19" xfId="16" applyNumberFormat="1" applyFont="1" applyFill="1" applyBorder="1" applyAlignment="1" applyProtection="1">
      <alignment horizontal="center"/>
    </xf>
    <xf numFmtId="3" fontId="21" fillId="2" borderId="19" xfId="16" applyNumberFormat="1" applyFont="1" applyFill="1" applyBorder="1" applyAlignment="1" applyProtection="1">
      <alignment horizontal="right"/>
    </xf>
    <xf numFmtId="42" fontId="21" fillId="2" borderId="19" xfId="16" applyNumberFormat="1" applyFont="1" applyFill="1" applyBorder="1" applyAlignment="1" applyProtection="1">
      <alignment horizontal="right"/>
    </xf>
    <xf numFmtId="164" fontId="21" fillId="2" borderId="19" xfId="16" applyNumberFormat="1" applyFont="1" applyFill="1" applyBorder="1" applyAlignment="1" applyProtection="1">
      <alignment horizontal="right"/>
    </xf>
    <xf numFmtId="43" fontId="21" fillId="2" borderId="19" xfId="16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2" fillId="15" borderId="0" xfId="0" applyFont="1" applyFill="1" applyProtection="1"/>
    <xf numFmtId="3" fontId="4" fillId="17" borderId="37" xfId="17" applyNumberFormat="1" applyFont="1" applyFill="1" applyBorder="1" applyAlignment="1" applyProtection="1">
      <alignment horizontal="right"/>
    </xf>
    <xf numFmtId="170" fontId="4" fillId="17" borderId="37" xfId="17" applyNumberFormat="1" applyFont="1" applyFill="1" applyBorder="1" applyAlignment="1" applyProtection="1">
      <alignment horizontal="center"/>
    </xf>
    <xf numFmtId="164" fontId="0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>
      <alignment horizontal="right"/>
    </xf>
    <xf numFmtId="0" fontId="0" fillId="0" borderId="32" xfId="0" applyFill="1" applyBorder="1" applyProtection="1"/>
    <xf numFmtId="44" fontId="4" fillId="0" borderId="32" xfId="17" applyNumberFormat="1" applyFont="1" applyFill="1" applyBorder="1" applyAlignment="1" applyProtection="1"/>
    <xf numFmtId="0" fontId="0" fillId="15" borderId="0" xfId="0" applyFill="1" applyProtection="1"/>
    <xf numFmtId="0" fontId="0" fillId="0" borderId="0" xfId="0" applyProtection="1"/>
    <xf numFmtId="164" fontId="28" fillId="0" borderId="39" xfId="17" applyNumberFormat="1" applyFont="1" applyFill="1" applyBorder="1"/>
    <xf numFmtId="171" fontId="0" fillId="0" borderId="0" xfId="17" applyNumberFormat="1" applyFont="1" applyAlignment="1" applyProtection="1">
      <alignment horizontal="right"/>
    </xf>
    <xf numFmtId="44" fontId="0" fillId="0" borderId="0" xfId="17" applyFont="1" applyProtection="1"/>
    <xf numFmtId="7" fontId="0" fillId="0" borderId="0" xfId="0" applyNumberFormat="1" applyProtection="1"/>
    <xf numFmtId="44" fontId="0" fillId="0" borderId="0" xfId="17" applyFont="1" applyAlignment="1" applyProtection="1">
      <alignment horizontal="right"/>
    </xf>
    <xf numFmtId="3" fontId="0" fillId="0" borderId="0" xfId="0" applyNumberFormat="1" applyFill="1" applyProtection="1"/>
    <xf numFmtId="169" fontId="23" fillId="0" borderId="11" xfId="16" applyNumberFormat="1" applyFont="1" applyFill="1" applyBorder="1" applyAlignment="1" applyProtection="1">
      <alignment wrapText="1"/>
    </xf>
    <xf numFmtId="164" fontId="23" fillId="0" borderId="11" xfId="17" applyNumberFormat="1" applyFont="1" applyFill="1" applyBorder="1" applyAlignment="1" applyProtection="1">
      <alignment horizontal="center" wrapText="1"/>
    </xf>
    <xf numFmtId="43" fontId="23" fillId="0" borderId="11" xfId="16" applyFont="1" applyFill="1" applyBorder="1" applyAlignment="1" applyProtection="1">
      <alignment horizontal="center" wrapText="1"/>
    </xf>
    <xf numFmtId="3" fontId="25" fillId="0" borderId="31" xfId="17" applyNumberFormat="1" applyFont="1" applyFill="1" applyBorder="1" applyAlignment="1" applyProtection="1">
      <alignment horizontal="right"/>
    </xf>
    <xf numFmtId="42" fontId="25" fillId="0" borderId="31" xfId="17" applyNumberFormat="1" applyFont="1" applyFill="1" applyBorder="1" applyAlignment="1" applyProtection="1">
      <alignment horizontal="right"/>
    </xf>
    <xf numFmtId="42" fontId="25" fillId="13" borderId="31" xfId="17" applyNumberFormat="1" applyFont="1" applyFill="1" applyBorder="1" applyAlignment="1" applyProtection="1">
      <alignment horizontal="right"/>
    </xf>
    <xf numFmtId="164" fontId="25" fillId="0" borderId="32" xfId="17" applyNumberFormat="1" applyFont="1" applyFill="1" applyBorder="1" applyProtection="1"/>
    <xf numFmtId="3" fontId="25" fillId="14" borderId="31" xfId="17" applyNumberFormat="1" applyFont="1" applyFill="1" applyBorder="1" applyAlignment="1" applyProtection="1">
      <alignment horizontal="right"/>
    </xf>
    <xf numFmtId="42" fontId="25" fillId="14" borderId="31" xfId="17" applyNumberFormat="1" applyFont="1" applyFill="1" applyBorder="1" applyAlignment="1" applyProtection="1">
      <alignment horizontal="right"/>
    </xf>
    <xf numFmtId="164" fontId="25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Alignment="1" applyProtection="1">
      <alignment horizontal="center"/>
    </xf>
    <xf numFmtId="164" fontId="25" fillId="0" borderId="31" xfId="17" applyNumberFormat="1" applyFont="1" applyFill="1" applyBorder="1" applyProtection="1"/>
    <xf numFmtId="3" fontId="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Protection="1"/>
    <xf numFmtId="164" fontId="25" fillId="0" borderId="36" xfId="17" applyNumberFormat="1" applyFont="1" applyFill="1" applyBorder="1" applyProtection="1"/>
    <xf numFmtId="0" fontId="27" fillId="0" borderId="0" xfId="0" applyFon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>
      <alignment horizontal="centerContinuous"/>
    </xf>
    <xf numFmtId="1" fontId="0" fillId="0" borderId="0" xfId="0" applyNumberFormat="1" applyFill="1" applyBorder="1" applyAlignment="1" applyProtection="1">
      <alignment horizontal="center"/>
    </xf>
    <xf numFmtId="42" fontId="21" fillId="0" borderId="0" xfId="19" applyNumberFormat="1" applyFon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/>
    <xf numFmtId="0" fontId="0" fillId="0" borderId="0" xfId="0" applyBorder="1" applyProtection="1"/>
    <xf numFmtId="0" fontId="3" fillId="2" borderId="20" xfId="0" applyFont="1" applyFill="1" applyBorder="1" applyProtection="1"/>
    <xf numFmtId="10" fontId="3" fillId="2" borderId="20" xfId="0" applyNumberFormat="1" applyFont="1" applyFill="1" applyBorder="1" applyProtection="1"/>
    <xf numFmtId="10" fontId="3" fillId="10" borderId="20" xfId="0" applyNumberFormat="1" applyFont="1" applyFill="1" applyBorder="1" applyProtection="1"/>
    <xf numFmtId="0" fontId="3" fillId="0" borderId="40" xfId="0" applyFont="1" applyFill="1" applyBorder="1" applyProtection="1"/>
    <xf numFmtId="0" fontId="3" fillId="0" borderId="0" xfId="0" applyFont="1" applyFill="1" applyBorder="1" applyProtection="1"/>
    <xf numFmtId="0" fontId="22" fillId="6" borderId="19" xfId="0" applyFont="1" applyFill="1" applyBorder="1" applyAlignment="1" applyProtection="1">
      <alignment horizontal="center" vertical="top" wrapText="1"/>
    </xf>
    <xf numFmtId="42" fontId="22" fillId="6" borderId="19" xfId="0" applyNumberFormat="1" applyFont="1" applyFill="1" applyBorder="1" applyAlignment="1" applyProtection="1">
      <alignment horizontal="center" vertical="top" wrapText="1"/>
    </xf>
    <xf numFmtId="0" fontId="2" fillId="0" borderId="0" xfId="5" applyFill="1" applyAlignment="1" applyProtection="1">
      <alignment wrapText="1"/>
    </xf>
    <xf numFmtId="0" fontId="22" fillId="0" borderId="0" xfId="0" applyFont="1" applyProtection="1"/>
    <xf numFmtId="0" fontId="23" fillId="0" borderId="0" xfId="0" applyFont="1" applyFill="1" applyProtection="1"/>
    <xf numFmtId="0" fontId="29" fillId="0" borderId="0" xfId="5" applyFont="1" applyFill="1" applyAlignment="1" applyProtection="1">
      <alignment wrapText="1"/>
    </xf>
    <xf numFmtId="0" fontId="23" fillId="0" borderId="0" xfId="0" applyFont="1" applyFill="1" applyBorder="1" applyProtection="1"/>
    <xf numFmtId="0" fontId="23" fillId="0" borderId="0" xfId="0" applyFont="1" applyProtection="1"/>
    <xf numFmtId="0" fontId="2" fillId="0" borderId="0" xfId="5" applyAlignment="1" applyProtection="1">
      <alignment wrapText="1"/>
    </xf>
    <xf numFmtId="0" fontId="24" fillId="0" borderId="11" xfId="0" applyFont="1" applyFill="1" applyBorder="1" applyAlignment="1" applyProtection="1">
      <alignment horizontal="left"/>
    </xf>
    <xf numFmtId="0" fontId="24" fillId="0" borderId="19" xfId="0" applyFont="1" applyFill="1" applyBorder="1" applyAlignment="1" applyProtection="1">
      <alignment horizontal="left"/>
    </xf>
    <xf numFmtId="0" fontId="22" fillId="10" borderId="19" xfId="0" applyFont="1" applyFill="1" applyBorder="1" applyAlignment="1" applyProtection="1">
      <alignment horizontal="center"/>
    </xf>
    <xf numFmtId="169" fontId="22" fillId="10" borderId="11" xfId="18" applyNumberFormat="1" applyFont="1" applyFill="1" applyBorder="1" applyAlignment="1" applyProtection="1">
      <alignment horizontal="center" wrapText="1"/>
    </xf>
    <xf numFmtId="164" fontId="22" fillId="10" borderId="11" xfId="19" applyNumberFormat="1" applyFont="1" applyFill="1" applyBorder="1" applyAlignment="1" applyProtection="1">
      <alignment horizontal="center" wrapText="1"/>
    </xf>
    <xf numFmtId="0" fontId="22" fillId="10" borderId="11" xfId="19" applyNumberFormat="1" applyFont="1" applyFill="1" applyBorder="1" applyAlignment="1" applyProtection="1">
      <alignment horizontal="center" wrapText="1"/>
    </xf>
    <xf numFmtId="164" fontId="22" fillId="10" borderId="11" xfId="19" applyNumberFormat="1" applyFont="1" applyFill="1" applyBorder="1" applyAlignment="1" applyProtection="1">
      <alignment horizontal="right" wrapText="1"/>
    </xf>
    <xf numFmtId="42" fontId="22" fillId="10" borderId="11" xfId="18" applyNumberFormat="1" applyFont="1" applyFill="1" applyBorder="1" applyAlignment="1" applyProtection="1">
      <alignment horizontal="center" wrapText="1"/>
    </xf>
    <xf numFmtId="43" fontId="22" fillId="10" borderId="11" xfId="18" applyFont="1" applyFill="1" applyBorder="1" applyAlignment="1" applyProtection="1">
      <alignment horizontal="center" wrapText="1"/>
    </xf>
    <xf numFmtId="0" fontId="22" fillId="10" borderId="0" xfId="0" applyFont="1" applyFill="1" applyProtection="1"/>
    <xf numFmtId="0" fontId="4" fillId="0" borderId="37" xfId="18" applyNumberFormat="1" applyFont="1" applyFill="1" applyBorder="1" applyAlignment="1" applyProtection="1">
      <alignment horizontal="center"/>
    </xf>
    <xf numFmtId="4" fontId="25" fillId="0" borderId="37" xfId="18" applyNumberFormat="1" applyFont="1" applyFill="1" applyBorder="1" applyAlignment="1" applyProtection="1">
      <alignment horizontal="center"/>
    </xf>
    <xf numFmtId="169" fontId="4" fillId="0" borderId="31" xfId="16" applyNumberFormat="1" applyFont="1" applyFill="1" applyBorder="1" applyAlignment="1" applyProtection="1">
      <alignment horizontal="center"/>
    </xf>
    <xf numFmtId="3" fontId="4" fillId="19" borderId="32" xfId="18" applyNumberFormat="1" applyFont="1" applyFill="1" applyBorder="1" applyAlignment="1" applyProtection="1">
      <alignment horizontal="center"/>
    </xf>
    <xf numFmtId="0" fontId="0" fillId="19" borderId="0" xfId="0" applyFill="1" applyAlignment="1"/>
    <xf numFmtId="4" fontId="25" fillId="0" borderId="31" xfId="18" applyNumberFormat="1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right"/>
    </xf>
    <xf numFmtId="0" fontId="4" fillId="0" borderId="32" xfId="18" applyNumberFormat="1" applyFont="1" applyFill="1" applyBorder="1" applyAlignment="1" applyProtection="1">
      <alignment horizontal="center"/>
    </xf>
    <xf numFmtId="4" fontId="4" fillId="0" borderId="32" xfId="18" applyNumberFormat="1" applyFont="1" applyFill="1" applyBorder="1" applyAlignment="1" applyProtection="1">
      <alignment horizontal="center"/>
    </xf>
    <xf numFmtId="4" fontId="4" fillId="0" borderId="31" xfId="18" applyNumberFormat="1" applyFont="1" applyFill="1" applyBorder="1" applyAlignment="1" applyProtection="1">
      <alignment horizontal="center"/>
    </xf>
    <xf numFmtId="169" fontId="0" fillId="0" borderId="31" xfId="16" applyNumberFormat="1" applyFont="1" applyFill="1" applyBorder="1" applyAlignment="1" applyProtection="1">
      <alignment horizontal="center"/>
    </xf>
    <xf numFmtId="0" fontId="0" fillId="0" borderId="32" xfId="18" applyNumberFormat="1" applyFont="1" applyFill="1" applyBorder="1" applyAlignment="1" applyProtection="1">
      <alignment horizontal="center"/>
    </xf>
    <xf numFmtId="4" fontId="25" fillId="0" borderId="32" xfId="18" applyNumberFormat="1" applyFont="1" applyFill="1" applyBorder="1" applyAlignment="1" applyProtection="1">
      <alignment horizontal="center"/>
    </xf>
    <xf numFmtId="1" fontId="4" fillId="0" borderId="0" xfId="0" applyNumberFormat="1" applyFont="1" applyFill="1" applyProtection="1"/>
    <xf numFmtId="0" fontId="27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>
      <alignment horizontal="center"/>
    </xf>
    <xf numFmtId="3" fontId="27" fillId="20" borderId="32" xfId="18" applyNumberFormat="1" applyFont="1" applyFill="1" applyBorder="1" applyAlignment="1" applyProtection="1">
      <alignment horizontal="right"/>
    </xf>
    <xf numFmtId="3" fontId="27" fillId="20" borderId="32" xfId="18" applyNumberFormat="1" applyFont="1" applyFill="1" applyBorder="1" applyAlignment="1" applyProtection="1">
      <alignment horizontal="center"/>
    </xf>
    <xf numFmtId="164" fontId="27" fillId="15" borderId="32" xfId="18" applyNumberFormat="1" applyFont="1" applyFill="1" applyBorder="1" applyAlignment="1" applyProtection="1">
      <alignment horizontal="center"/>
    </xf>
    <xf numFmtId="0" fontId="4" fillId="15" borderId="0" xfId="0" applyFont="1" applyFill="1" applyProtection="1"/>
    <xf numFmtId="170" fontId="27" fillId="15" borderId="41" xfId="0" applyNumberFormat="1" applyFont="1" applyFill="1" applyBorder="1" applyProtection="1"/>
    <xf numFmtId="4" fontId="4" fillId="0" borderId="32" xfId="18" applyNumberFormat="1" applyFont="1" applyFill="1" applyBorder="1" applyAlignment="1" applyProtection="1"/>
    <xf numFmtId="3" fontId="4" fillId="0" borderId="32" xfId="18" applyNumberFormat="1" applyFont="1" applyFill="1" applyBorder="1" applyAlignment="1" applyProtection="1">
      <alignment horizontal="center"/>
    </xf>
    <xf numFmtId="4" fontId="4" fillId="19" borderId="32" xfId="18" applyNumberFormat="1" applyFont="1" applyFill="1" applyBorder="1" applyAlignment="1" applyProtection="1"/>
    <xf numFmtId="3" fontId="4" fillId="19" borderId="32" xfId="18" applyNumberFormat="1" applyFont="1" applyFill="1" applyBorder="1" applyAlignment="1" applyProtection="1">
      <alignment horizontal="right"/>
    </xf>
    <xf numFmtId="170" fontId="4" fillId="19" borderId="32" xfId="18" applyNumberFormat="1" applyFont="1" applyFill="1" applyBorder="1" applyAlignment="1" applyProtection="1">
      <alignment horizontal="right"/>
    </xf>
    <xf numFmtId="164" fontId="4" fillId="19" borderId="32" xfId="19" applyNumberFormat="1" applyFont="1" applyFill="1" applyBorder="1" applyProtection="1"/>
    <xf numFmtId="42" fontId="4" fillId="19" borderId="32" xfId="19" applyNumberFormat="1" applyFont="1" applyFill="1" applyBorder="1" applyProtection="1"/>
    <xf numFmtId="0" fontId="25" fillId="0" borderId="0" xfId="0" applyFont="1" applyFill="1" applyAlignment="1" applyProtection="1">
      <alignment horizontal="center"/>
    </xf>
    <xf numFmtId="0" fontId="27" fillId="15" borderId="32" xfId="18" applyNumberFormat="1" applyFont="1" applyFill="1" applyBorder="1" applyAlignment="1" applyProtection="1">
      <alignment horizontal="center"/>
    </xf>
    <xf numFmtId="3" fontId="27" fillId="15" borderId="32" xfId="18" applyNumberFormat="1" applyFont="1" applyFill="1" applyBorder="1" applyAlignment="1" applyProtection="1">
      <alignment horizontal="right"/>
    </xf>
    <xf numFmtId="3" fontId="27" fillId="15" borderId="32" xfId="18" applyNumberFormat="1" applyFont="1" applyFill="1" applyBorder="1" applyAlignment="1" applyProtection="1">
      <alignment horizontal="center"/>
    </xf>
    <xf numFmtId="164" fontId="27" fillId="15" borderId="32" xfId="19" applyNumberFormat="1" applyFont="1" applyFill="1" applyBorder="1" applyAlignment="1" applyProtection="1">
      <alignment wrapText="1"/>
    </xf>
    <xf numFmtId="0" fontId="2" fillId="0" borderId="32" xfId="5" applyNumberFormat="1" applyFill="1" applyBorder="1" applyAlignment="1" applyProtection="1"/>
    <xf numFmtId="0" fontId="27" fillId="0" borderId="32" xfId="18" applyNumberFormat="1" applyFont="1" applyFill="1" applyBorder="1" applyAlignment="1" applyProtection="1"/>
    <xf numFmtId="3" fontId="0" fillId="0" borderId="32" xfId="18" applyNumberFormat="1" applyFont="1" applyFill="1" applyBorder="1" applyAlignment="1" applyProtection="1">
      <alignment horizontal="center"/>
    </xf>
    <xf numFmtId="3" fontId="4" fillId="0" borderId="32" xfId="18" applyNumberFormat="1" applyFont="1" applyFill="1" applyBorder="1" applyAlignment="1" applyProtection="1">
      <alignment horizontal="right"/>
    </xf>
    <xf numFmtId="164" fontId="4" fillId="0" borderId="32" xfId="18" applyNumberFormat="1" applyFont="1" applyFill="1" applyBorder="1" applyAlignment="1" applyProtection="1">
      <alignment horizontal="right"/>
    </xf>
    <xf numFmtId="164" fontId="4" fillId="0" borderId="42" xfId="19" applyNumberFormat="1" applyFont="1" applyFill="1" applyBorder="1" applyAlignment="1" applyProtection="1">
      <alignment horizontal="right"/>
    </xf>
    <xf numFmtId="164" fontId="4" fillId="0" borderId="32" xfId="19" applyNumberFormat="1" applyFont="1" applyFill="1" applyBorder="1" applyAlignment="1" applyProtection="1">
      <alignment wrapText="1"/>
    </xf>
    <xf numFmtId="164" fontId="4" fillId="0" borderId="32" xfId="19" applyNumberFormat="1" applyFont="1" applyFill="1" applyBorder="1" applyAlignment="1" applyProtection="1">
      <alignment horizontal="right" wrapText="1"/>
    </xf>
    <xf numFmtId="164" fontId="4" fillId="0" borderId="32" xfId="19" applyNumberFormat="1" applyFont="1" applyFill="1" applyBorder="1" applyProtection="1"/>
    <xf numFmtId="42" fontId="4" fillId="0" borderId="32" xfId="19" applyNumberFormat="1" applyFont="1" applyFill="1" applyBorder="1" applyProtection="1"/>
    <xf numFmtId="1" fontId="27" fillId="15" borderId="32" xfId="18" applyNumberFormat="1" applyFont="1" applyFill="1" applyBorder="1" applyAlignment="1" applyProtection="1">
      <alignment horizontal="right"/>
    </xf>
    <xf numFmtId="164" fontId="27" fillId="15" borderId="32" xfId="18" applyNumberFormat="1" applyFont="1" applyFill="1" applyBorder="1" applyAlignment="1" applyProtection="1">
      <alignment horizontal="right"/>
    </xf>
    <xf numFmtId="0" fontId="0" fillId="0" borderId="0" xfId="0" applyAlignment="1"/>
    <xf numFmtId="164" fontId="4" fillId="0" borderId="42" xfId="19" applyNumberFormat="1" applyFont="1" applyFill="1" applyBorder="1" applyProtection="1"/>
    <xf numFmtId="164" fontId="4" fillId="0" borderId="32" xfId="17" applyNumberFormat="1" applyFont="1" applyFill="1" applyBorder="1" applyAlignment="1" applyProtection="1">
      <alignment horizontal="right"/>
    </xf>
    <xf numFmtId="0" fontId="9" fillId="7" borderId="26" xfId="0" applyFont="1" applyFill="1" applyBorder="1" applyAlignment="1" applyProtection="1">
      <alignment horizontal="center" vertical="center"/>
      <protection locked="0"/>
    </xf>
    <xf numFmtId="0" fontId="4" fillId="16" borderId="0" xfId="0" applyFont="1" applyFill="1" applyProtection="1"/>
    <xf numFmtId="0" fontId="4" fillId="0" borderId="32" xfId="18" applyNumberFormat="1" applyFont="1" applyFill="1" applyBorder="1" applyAlignment="1" applyProtection="1"/>
    <xf numFmtId="164" fontId="27" fillId="20" borderId="32" xfId="17" applyNumberFormat="1" applyFont="1" applyFill="1" applyBorder="1" applyAlignment="1" applyProtection="1">
      <alignment horizontal="left"/>
    </xf>
    <xf numFmtId="0" fontId="27" fillId="20" borderId="32" xfId="5" applyFont="1" applyFill="1" applyBorder="1" applyAlignment="1" applyProtection="1">
      <alignment horizontal="left"/>
    </xf>
    <xf numFmtId="164" fontId="27" fillId="20" borderId="32" xfId="17" applyNumberFormat="1" applyFont="1" applyFill="1" applyBorder="1" applyAlignment="1" applyProtection="1">
      <alignment horizontal="right"/>
    </xf>
    <xf numFmtId="0" fontId="27" fillId="17" borderId="32" xfId="0" applyFont="1" applyFill="1" applyBorder="1" applyAlignment="1" applyProtection="1">
      <alignment horizontal="center"/>
    </xf>
    <xf numFmtId="0" fontId="4" fillId="17" borderId="32" xfId="16" applyNumberFormat="1" applyFont="1" applyFill="1" applyBorder="1" applyAlignment="1" applyProtection="1">
      <alignment horizontal="center"/>
    </xf>
    <xf numFmtId="169" fontId="22" fillId="17" borderId="32" xfId="16" applyNumberFormat="1" applyFont="1" applyFill="1" applyBorder="1" applyAlignment="1" applyProtection="1">
      <alignment horizontal="center"/>
    </xf>
    <xf numFmtId="3" fontId="4" fillId="17" borderId="32" xfId="17" applyNumberFormat="1" applyFont="1" applyFill="1" applyBorder="1" applyAlignment="1" applyProtection="1">
      <alignment horizontal="right"/>
    </xf>
    <xf numFmtId="170" fontId="4" fillId="17" borderId="32" xfId="17" applyNumberFormat="1" applyFont="1" applyFill="1" applyBorder="1" applyAlignment="1" applyProtection="1">
      <alignment horizontal="center"/>
    </xf>
    <xf numFmtId="164" fontId="0" fillId="17" borderId="32" xfId="17" applyNumberFormat="1" applyFont="1" applyFill="1" applyBorder="1" applyAlignment="1" applyProtection="1">
      <alignment horizontal="center"/>
    </xf>
    <xf numFmtId="170" fontId="4" fillId="17" borderId="32" xfId="17" applyNumberFormat="1" applyFont="1" applyFill="1" applyBorder="1" applyAlignment="1" applyProtection="1"/>
    <xf numFmtId="41" fontId="4" fillId="17" borderId="32" xfId="17" applyNumberFormat="1" applyFont="1" applyFill="1" applyBorder="1" applyAlignment="1" applyProtection="1">
      <alignment horizontal="right"/>
    </xf>
    <xf numFmtId="41" fontId="4" fillId="17" borderId="32" xfId="17" applyNumberFormat="1" applyFont="1" applyFill="1" applyBorder="1" applyAlignment="1" applyProtection="1">
      <alignment horizontal="center"/>
    </xf>
    <xf numFmtId="41" fontId="4" fillId="17" borderId="32" xfId="17" applyNumberFormat="1" applyFont="1" applyFill="1" applyBorder="1" applyAlignment="1" applyProtection="1"/>
    <xf numFmtId="164" fontId="4" fillId="17" borderId="32" xfId="17" applyNumberFormat="1" applyFont="1" applyFill="1" applyBorder="1" applyAlignment="1" applyProtection="1"/>
    <xf numFmtId="43" fontId="4" fillId="17" borderId="32" xfId="16" applyFont="1" applyFill="1" applyBorder="1" applyAlignment="1" applyProtection="1">
      <alignment horizontal="center"/>
    </xf>
    <xf numFmtId="49" fontId="0" fillId="0" borderId="32" xfId="0" applyNumberFormat="1" applyFill="1" applyBorder="1" applyAlignment="1">
      <alignment horizontal="center"/>
    </xf>
    <xf numFmtId="164" fontId="0" fillId="14" borderId="32" xfId="17" applyNumberFormat="1" applyFont="1" applyFill="1" applyBorder="1" applyAlignment="1" applyProtection="1">
      <alignment horizontal="right"/>
    </xf>
    <xf numFmtId="0" fontId="4" fillId="0" borderId="35" xfId="0" applyFont="1" applyFill="1" applyBorder="1" applyAlignment="1" applyProtection="1">
      <alignment horizontal="center"/>
    </xf>
    <xf numFmtId="0" fontId="0" fillId="0" borderId="33" xfId="0" applyBorder="1" applyAlignment="1">
      <alignment horizontal="center"/>
    </xf>
    <xf numFmtId="0" fontId="4" fillId="0" borderId="33" xfId="16" applyNumberFormat="1" applyFont="1" applyFill="1" applyBorder="1" applyAlignment="1" applyProtection="1">
      <alignment horizontal="center"/>
    </xf>
    <xf numFmtId="0" fontId="4" fillId="0" borderId="31" xfId="16" applyNumberFormat="1" applyFont="1" applyFill="1" applyBorder="1" applyAlignment="1" applyProtection="1">
      <alignment horizontal="center"/>
    </xf>
    <xf numFmtId="44" fontId="4" fillId="0" borderId="31" xfId="17" applyNumberFormat="1" applyFont="1" applyFill="1" applyBorder="1" applyAlignment="1" applyProtection="1">
      <alignment horizontal="center"/>
    </xf>
    <xf numFmtId="164" fontId="4" fillId="10" borderId="32" xfId="18" applyNumberFormat="1" applyFont="1" applyFill="1" applyBorder="1" applyAlignment="1" applyProtection="1">
      <alignment horizontal="right"/>
    </xf>
    <xf numFmtId="164" fontId="4" fillId="0" borderId="33" xfId="17" applyNumberFormat="1" applyFont="1" applyFill="1" applyBorder="1" applyProtection="1"/>
    <xf numFmtId="164" fontId="4" fillId="0" borderId="33" xfId="17" applyNumberFormat="1" applyFont="1" applyFill="1" applyBorder="1" applyAlignment="1" applyProtection="1"/>
    <xf numFmtId="164" fontId="4" fillId="0" borderId="31" xfId="17" applyNumberFormat="1" applyFont="1" applyFill="1" applyBorder="1" applyAlignment="1" applyProtection="1"/>
    <xf numFmtId="43" fontId="4" fillId="0" borderId="31" xfId="16" applyFont="1" applyFill="1" applyBorder="1" applyAlignment="1" applyProtection="1">
      <alignment horizontal="center"/>
    </xf>
    <xf numFmtId="3" fontId="4" fillId="15" borderId="32" xfId="18" applyNumberFormat="1" applyFont="1" applyFill="1" applyBorder="1" applyAlignment="1" applyProtection="1">
      <alignment horizontal="center"/>
    </xf>
    <xf numFmtId="169" fontId="21" fillId="2" borderId="19" xfId="18" applyNumberFormat="1" applyFont="1" applyFill="1" applyBorder="1" applyProtection="1"/>
    <xf numFmtId="164" fontId="21" fillId="2" borderId="19" xfId="19" applyNumberFormat="1" applyFont="1" applyFill="1" applyBorder="1" applyProtection="1"/>
    <xf numFmtId="164" fontId="21" fillId="2" borderId="19" xfId="19" applyNumberFormat="1" applyFont="1" applyFill="1" applyBorder="1" applyAlignment="1" applyProtection="1">
      <alignment horizontal="right"/>
    </xf>
    <xf numFmtId="2" fontId="21" fillId="2" borderId="19" xfId="19" applyNumberFormat="1" applyFont="1" applyFill="1" applyBorder="1" applyProtection="1"/>
    <xf numFmtId="164" fontId="0" fillId="14" borderId="36" xfId="17" applyNumberFormat="1" applyFont="1" applyFill="1" applyBorder="1" applyAlignment="1" applyProtection="1">
      <alignment horizontal="right"/>
    </xf>
    <xf numFmtId="0" fontId="4" fillId="0" borderId="0" xfId="0" applyFont="1" applyProtection="1"/>
    <xf numFmtId="164" fontId="0" fillId="0" borderId="0" xfId="0" applyNumberFormat="1" applyProtection="1"/>
    <xf numFmtId="42" fontId="0" fillId="0" borderId="0" xfId="0" applyNumberFormat="1" applyProtection="1"/>
    <xf numFmtId="166" fontId="0" fillId="0" borderId="0" xfId="0" applyNumberFormat="1" applyFill="1" applyProtection="1"/>
    <xf numFmtId="0" fontId="22" fillId="6" borderId="38" xfId="0" applyFont="1" applyFill="1" applyBorder="1" applyAlignment="1" applyProtection="1">
      <alignment horizontal="center" vertical="top" wrapText="1"/>
    </xf>
    <xf numFmtId="0" fontId="22" fillId="0" borderId="0" xfId="0" applyFont="1" applyFill="1" applyBorder="1" applyAlignment="1" applyProtection="1">
      <alignment horizontal="center" vertical="top" wrapText="1"/>
    </xf>
    <xf numFmtId="0" fontId="22" fillId="6" borderId="0" xfId="0" applyFont="1" applyFill="1" applyBorder="1" applyAlignment="1" applyProtection="1">
      <alignment horizontal="center" vertical="top" wrapText="1"/>
    </xf>
    <xf numFmtId="0" fontId="30" fillId="0" borderId="0" xfId="0" applyFont="1"/>
    <xf numFmtId="0" fontId="31" fillId="0" borderId="0" xfId="0" applyFont="1"/>
    <xf numFmtId="0" fontId="0" fillId="0" borderId="0" xfId="0" applyFill="1"/>
    <xf numFmtId="0" fontId="3" fillId="6" borderId="43" xfId="0" applyFont="1" applyFill="1" applyBorder="1" applyAlignment="1" applyProtection="1">
      <alignment horizontal="center" vertical="top" wrapText="1"/>
    </xf>
    <xf numFmtId="0" fontId="3" fillId="6" borderId="44" xfId="0" applyFont="1" applyFill="1" applyBorder="1" applyAlignment="1" applyProtection="1">
      <alignment horizontal="center" vertical="top" wrapText="1"/>
    </xf>
    <xf numFmtId="0" fontId="3" fillId="6" borderId="45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top" wrapText="1"/>
    </xf>
    <xf numFmtId="0" fontId="0" fillId="0" borderId="46" xfId="0" applyFill="1" applyBorder="1"/>
    <xf numFmtId="3" fontId="0" fillId="0" borderId="47" xfId="0" applyNumberFormat="1" applyFill="1" applyBorder="1"/>
    <xf numFmtId="164" fontId="0" fillId="0" borderId="47" xfId="0" applyNumberFormat="1" applyFill="1" applyBorder="1"/>
    <xf numFmtId="43" fontId="0" fillId="21" borderId="47" xfId="0" applyNumberFormat="1" applyFill="1" applyBorder="1"/>
    <xf numFmtId="43" fontId="0" fillId="21" borderId="48" xfId="0" applyNumberFormat="1" applyFill="1" applyBorder="1"/>
    <xf numFmtId="43" fontId="4" fillId="0" borderId="0" xfId="0" applyNumberFormat="1" applyFont="1" applyFill="1" applyBorder="1"/>
    <xf numFmtId="43" fontId="0" fillId="0" borderId="47" xfId="0" applyNumberFormat="1" applyFill="1" applyBorder="1"/>
    <xf numFmtId="43" fontId="32" fillId="0" borderId="48" xfId="0" applyNumberFormat="1" applyFont="1" applyFill="1" applyBorder="1" applyAlignment="1">
      <alignment horizontal="right"/>
    </xf>
    <xf numFmtId="43" fontId="0" fillId="0" borderId="48" xfId="0" applyNumberFormat="1" applyFill="1" applyBorder="1"/>
    <xf numFmtId="43" fontId="0" fillId="0" borderId="0" xfId="0" applyNumberFormat="1" applyFill="1" applyBorder="1"/>
    <xf numFmtId="164" fontId="0" fillId="0" borderId="49" xfId="0" applyNumberFormat="1" applyFill="1" applyBorder="1"/>
    <xf numFmtId="0" fontId="27" fillId="14" borderId="50" xfId="0" applyFont="1" applyFill="1" applyBorder="1" applyAlignment="1">
      <alignment wrapText="1"/>
    </xf>
    <xf numFmtId="3" fontId="27" fillId="14" borderId="47" xfId="0" applyNumberFormat="1" applyFont="1" applyFill="1" applyBorder="1" applyAlignment="1">
      <alignment vertical="center"/>
    </xf>
    <xf numFmtId="164" fontId="27" fillId="14" borderId="47" xfId="0" applyNumberFormat="1" applyFont="1" applyFill="1" applyBorder="1" applyAlignment="1">
      <alignment vertical="center"/>
    </xf>
    <xf numFmtId="164" fontId="27" fillId="14" borderId="10" xfId="0" applyNumberFormat="1" applyFont="1" applyFill="1" applyBorder="1" applyAlignment="1">
      <alignment vertical="center"/>
    </xf>
    <xf numFmtId="2" fontId="27" fillId="14" borderId="10" xfId="0" applyNumberFormat="1" applyFont="1" applyFill="1" applyBorder="1"/>
    <xf numFmtId="2" fontId="27" fillId="14" borderId="51" xfId="0" applyNumberFormat="1" applyFont="1" applyFill="1" applyBorder="1"/>
    <xf numFmtId="3" fontId="27" fillId="14" borderId="10" xfId="0" applyNumberFormat="1" applyFont="1" applyFill="1" applyBorder="1" applyAlignment="1">
      <alignment vertical="center"/>
    </xf>
    <xf numFmtId="4" fontId="27" fillId="14" borderId="10" xfId="0" applyNumberFormat="1" applyFont="1" applyFill="1" applyBorder="1" applyAlignment="1">
      <alignment vertical="center"/>
    </xf>
    <xf numFmtId="4" fontId="27" fillId="14" borderId="51" xfId="0" applyNumberFormat="1" applyFont="1" applyFill="1" applyBorder="1" applyAlignment="1">
      <alignment vertical="center"/>
    </xf>
    <xf numFmtId="43" fontId="27" fillId="0" borderId="0" xfId="0" applyNumberFormat="1" applyFont="1" applyFill="1" applyBorder="1"/>
    <xf numFmtId="0" fontId="27" fillId="14" borderId="50" xfId="0" applyFont="1" applyFill="1" applyBorder="1"/>
    <xf numFmtId="172" fontId="0" fillId="0" borderId="0" xfId="0" applyNumberFormat="1"/>
    <xf numFmtId="0" fontId="0" fillId="0" borderId="46" xfId="0" applyBorder="1"/>
    <xf numFmtId="3" fontId="0" fillId="0" borderId="47" xfId="0" applyNumberFormat="1" applyBorder="1"/>
    <xf numFmtId="164" fontId="0" fillId="0" borderId="47" xfId="0" applyNumberFormat="1" applyBorder="1"/>
    <xf numFmtId="0" fontId="0" fillId="0" borderId="50" xfId="0" applyFill="1" applyBorder="1"/>
    <xf numFmtId="3" fontId="0" fillId="0" borderId="10" xfId="0" applyNumberFormat="1" applyFill="1" applyBorder="1"/>
    <xf numFmtId="164" fontId="0" fillId="0" borderId="10" xfId="0" applyNumberFormat="1" applyFill="1" applyBorder="1"/>
    <xf numFmtId="43" fontId="0" fillId="0" borderId="10" xfId="0" applyNumberFormat="1" applyFill="1" applyBorder="1"/>
    <xf numFmtId="43" fontId="0" fillId="0" borderId="51" xfId="0" applyNumberFormat="1" applyFill="1" applyBorder="1"/>
    <xf numFmtId="0" fontId="4" fillId="0" borderId="0" xfId="0" applyFont="1"/>
    <xf numFmtId="0" fontId="27" fillId="0" borderId="0" xfId="0" applyFont="1"/>
    <xf numFmtId="43" fontId="0" fillId="0" borderId="47" xfId="0" applyNumberFormat="1" applyBorder="1"/>
    <xf numFmtId="43" fontId="0" fillId="0" borderId="48" xfId="0" applyNumberFormat="1" applyBorder="1"/>
    <xf numFmtId="0" fontId="27" fillId="22" borderId="46" xfId="0" applyFont="1" applyFill="1" applyBorder="1"/>
    <xf numFmtId="3" fontId="27" fillId="22" borderId="47" xfId="0" applyNumberFormat="1" applyFont="1" applyFill="1" applyBorder="1"/>
    <xf numFmtId="164" fontId="27" fillId="22" borderId="47" xfId="0" applyNumberFormat="1" applyFont="1" applyFill="1" applyBorder="1"/>
    <xf numFmtId="43" fontId="27" fillId="22" borderId="47" xfId="0" applyNumberFormat="1" applyFont="1" applyFill="1" applyBorder="1"/>
    <xf numFmtId="43" fontId="27" fillId="22" borderId="48" xfId="0" applyNumberFormat="1" applyFont="1" applyFill="1" applyBorder="1"/>
    <xf numFmtId="0" fontId="27" fillId="0" borderId="0" xfId="0" applyFont="1" applyFill="1"/>
    <xf numFmtId="0" fontId="0" fillId="0" borderId="50" xfId="0" applyFont="1" applyFill="1" applyBorder="1"/>
    <xf numFmtId="3" fontId="4" fillId="0" borderId="10" xfId="0" applyNumberFormat="1" applyFont="1" applyFill="1" applyBorder="1"/>
    <xf numFmtId="164" fontId="4" fillId="0" borderId="10" xfId="0" applyNumberFormat="1" applyFont="1" applyFill="1" applyBorder="1"/>
    <xf numFmtId="0" fontId="27" fillId="22" borderId="50" xfId="0" applyFont="1" applyFill="1" applyBorder="1"/>
    <xf numFmtId="3" fontId="27" fillId="22" borderId="10" xfId="0" applyNumberFormat="1" applyFont="1" applyFill="1" applyBorder="1"/>
    <xf numFmtId="164" fontId="27" fillId="22" borderId="10" xfId="0" applyNumberFormat="1" applyFont="1" applyFill="1" applyBorder="1"/>
    <xf numFmtId="43" fontId="27" fillId="22" borderId="10" xfId="0" applyNumberFormat="1" applyFont="1" applyFill="1" applyBorder="1"/>
    <xf numFmtId="43" fontId="27" fillId="22" borderId="51" xfId="0" applyNumberFormat="1" applyFont="1" applyFill="1" applyBorder="1"/>
    <xf numFmtId="43" fontId="4" fillId="0" borderId="10" xfId="0" applyNumberFormat="1" applyFont="1" applyFill="1" applyBorder="1"/>
    <xf numFmtId="43" fontId="4" fillId="0" borderId="51" xfId="0" applyNumberFormat="1" applyFont="1" applyFill="1" applyBorder="1"/>
    <xf numFmtId="0" fontId="27" fillId="0" borderId="52" xfId="0" applyFont="1" applyFill="1" applyBorder="1"/>
    <xf numFmtId="3" fontId="0" fillId="0" borderId="49" xfId="0" applyNumberFormat="1" applyFill="1" applyBorder="1"/>
    <xf numFmtId="43" fontId="0" fillId="0" borderId="49" xfId="0" applyNumberFormat="1" applyFill="1" applyBorder="1"/>
    <xf numFmtId="43" fontId="0" fillId="0" borderId="53" xfId="0" applyNumberFormat="1" applyFill="1" applyBorder="1"/>
    <xf numFmtId="3" fontId="33" fillId="21" borderId="54" xfId="0" applyNumberFormat="1" applyFont="1" applyFill="1" applyBorder="1"/>
    <xf numFmtId="3" fontId="33" fillId="21" borderId="55" xfId="0" applyNumberFormat="1" applyFont="1" applyFill="1" applyBorder="1"/>
    <xf numFmtId="4" fontId="33" fillId="21" borderId="55" xfId="0" applyNumberFormat="1" applyFont="1" applyFill="1" applyBorder="1"/>
    <xf numFmtId="4" fontId="33" fillId="21" borderId="56" xfId="0" applyNumberFormat="1" applyFont="1" applyFill="1" applyBorder="1"/>
    <xf numFmtId="0" fontId="0" fillId="0" borderId="57" xfId="0" applyFont="1" applyFill="1" applyBorder="1"/>
    <xf numFmtId="3" fontId="4" fillId="0" borderId="58" xfId="0" applyNumberFormat="1" applyFont="1" applyFill="1" applyBorder="1"/>
    <xf numFmtId="164" fontId="4" fillId="0" borderId="58" xfId="0" applyNumberFormat="1" applyFont="1" applyFill="1" applyBorder="1"/>
    <xf numFmtId="43" fontId="4" fillId="0" borderId="58" xfId="0" applyNumberFormat="1" applyFont="1" applyFill="1" applyBorder="1" applyAlignment="1">
      <alignment horizontal="center"/>
    </xf>
    <xf numFmtId="43" fontId="4" fillId="0" borderId="59" xfId="0" applyNumberFormat="1" applyFont="1" applyFill="1" applyBorder="1" applyAlignment="1">
      <alignment horizontal="center"/>
    </xf>
    <xf numFmtId="0" fontId="34" fillId="20" borderId="4" xfId="0" applyFont="1" applyFill="1" applyBorder="1"/>
    <xf numFmtId="3" fontId="34" fillId="20" borderId="5" xfId="0" applyNumberFormat="1" applyFont="1" applyFill="1" applyBorder="1"/>
    <xf numFmtId="4" fontId="33" fillId="23" borderId="5" xfId="0" applyNumberFormat="1" applyFont="1" applyFill="1" applyBorder="1"/>
    <xf numFmtId="4" fontId="33" fillId="23" borderId="6" xfId="0" applyNumberFormat="1" applyFont="1" applyFill="1" applyBorder="1"/>
    <xf numFmtId="0" fontId="27" fillId="22" borderId="60" xfId="0" applyFont="1" applyFill="1" applyBorder="1"/>
    <xf numFmtId="3" fontId="27" fillId="22" borderId="61" xfId="0" applyNumberFormat="1" applyFont="1" applyFill="1" applyBorder="1"/>
    <xf numFmtId="164" fontId="27" fillId="22" borderId="61" xfId="0" applyNumberFormat="1" applyFont="1" applyFill="1" applyBorder="1"/>
    <xf numFmtId="43" fontId="27" fillId="22" borderId="61" xfId="0" applyNumberFormat="1" applyFont="1" applyFill="1" applyBorder="1"/>
    <xf numFmtId="43" fontId="27" fillId="22" borderId="62" xfId="0" applyNumberFormat="1" applyFont="1" applyFill="1" applyBorder="1"/>
    <xf numFmtId="0" fontId="27" fillId="0" borderId="57" xfId="0" applyFont="1" applyFill="1" applyBorder="1"/>
    <xf numFmtId="3" fontId="27" fillId="0" borderId="58" xfId="0" applyNumberFormat="1" applyFont="1" applyFill="1" applyBorder="1"/>
    <xf numFmtId="164" fontId="27" fillId="0" borderId="58" xfId="0" applyNumberFormat="1" applyFont="1" applyFill="1" applyBorder="1"/>
    <xf numFmtId="43" fontId="27" fillId="0" borderId="58" xfId="0" applyNumberFormat="1" applyFont="1" applyFill="1" applyBorder="1"/>
    <xf numFmtId="43" fontId="27" fillId="0" borderId="59" xfId="0" applyNumberFormat="1" applyFont="1" applyFill="1" applyBorder="1"/>
    <xf numFmtId="0" fontId="0" fillId="0" borderId="0" xfId="0" quotePrefix="1"/>
    <xf numFmtId="0" fontId="4" fillId="0" borderId="57" xfId="0" applyFont="1" applyFill="1" applyBorder="1"/>
    <xf numFmtId="43" fontId="4" fillId="0" borderId="58" xfId="0" applyNumberFormat="1" applyFont="1" applyFill="1" applyBorder="1"/>
    <xf numFmtId="43" fontId="4" fillId="0" borderId="59" xfId="0" applyNumberFormat="1" applyFont="1" applyFill="1" applyBorder="1"/>
    <xf numFmtId="0" fontId="0" fillId="0" borderId="0" xfId="0" applyFont="1"/>
    <xf numFmtId="0" fontId="34" fillId="20" borderId="54" xfId="0" applyFont="1" applyFill="1" applyBorder="1"/>
    <xf numFmtId="3" fontId="34" fillId="20" borderId="55" xfId="0" applyNumberFormat="1" applyFont="1" applyFill="1" applyBorder="1"/>
    <xf numFmtId="4" fontId="27" fillId="20" borderId="55" xfId="0" applyNumberFormat="1" applyFont="1" applyFill="1" applyBorder="1"/>
    <xf numFmtId="4" fontId="27" fillId="20" borderId="56" xfId="0" applyNumberFormat="1" applyFont="1" applyFill="1" applyBorder="1"/>
    <xf numFmtId="42" fontId="0" fillId="0" borderId="0" xfId="0" applyNumberFormat="1"/>
    <xf numFmtId="0" fontId="0" fillId="0" borderId="0" xfId="0" applyFill="1" applyBorder="1"/>
    <xf numFmtId="164" fontId="0" fillId="0" borderId="0" xfId="0" applyNumberFormat="1"/>
    <xf numFmtId="4" fontId="27" fillId="0" borderId="0" xfId="0" applyNumberFormat="1" applyFont="1" applyFill="1" applyBorder="1"/>
    <xf numFmtId="43" fontId="4" fillId="0" borderId="0" xfId="0" applyNumberFormat="1" applyFont="1" applyFill="1" applyBorder="1" applyAlignment="1">
      <alignment horizontal="center"/>
    </xf>
    <xf numFmtId="0" fontId="0" fillId="24" borderId="0" xfId="0" applyFill="1"/>
    <xf numFmtId="0" fontId="1" fillId="0" borderId="0" xfId="3" applyFill="1"/>
    <xf numFmtId="0" fontId="2" fillId="0" borderId="0" xfId="5" applyFill="1" applyAlignment="1" applyProtection="1">
      <alignment wrapText="1"/>
    </xf>
    <xf numFmtId="39" fontId="4" fillId="0" borderId="11" xfId="1" applyNumberFormat="1" applyFont="1" applyFill="1" applyBorder="1" applyAlignment="1" applyProtection="1">
      <alignment horizontal="center" vertical="center"/>
      <protection locked="0"/>
    </xf>
    <xf numFmtId="37" fontId="27" fillId="0" borderId="11" xfId="1" applyNumberFormat="1" applyFont="1" applyFill="1" applyBorder="1" applyAlignment="1" applyProtection="1">
      <alignment horizontal="center" vertical="center"/>
      <protection locked="0"/>
    </xf>
    <xf numFmtId="43" fontId="4" fillId="0" borderId="10" xfId="0" applyNumberFormat="1" applyFont="1" applyFill="1" applyBorder="1" applyAlignment="1">
      <alignment horizontal="right"/>
    </xf>
    <xf numFmtId="43" fontId="4" fillId="0" borderId="51" xfId="0" applyNumberFormat="1" applyFont="1" applyFill="1" applyBorder="1" applyAlignment="1">
      <alignment horizontal="right"/>
    </xf>
    <xf numFmtId="0" fontId="2" fillId="0" borderId="30" xfId="5" applyFill="1" applyBorder="1" applyAlignment="1" applyProtection="1">
      <alignment vertical="center" wrapText="1"/>
    </xf>
    <xf numFmtId="0" fontId="35" fillId="0" borderId="0" xfId="5" applyFont="1" applyFill="1" applyAlignment="1" applyProtection="1"/>
    <xf numFmtId="0" fontId="35" fillId="0" borderId="0" xfId="5" applyFont="1" applyFill="1" applyBorder="1" applyAlignment="1" applyProtection="1"/>
    <xf numFmtId="0" fontId="0" fillId="19" borderId="0" xfId="0" applyFont="1" applyFill="1" applyAlignment="1"/>
    <xf numFmtId="170" fontId="4" fillId="15" borderId="0" xfId="0" applyNumberFormat="1" applyFont="1" applyFill="1" applyBorder="1" applyProtection="1"/>
    <xf numFmtId="2" fontId="4" fillId="19" borderId="33" xfId="18" applyNumberFormat="1" applyFont="1" applyFill="1" applyBorder="1" applyAlignment="1" applyProtection="1">
      <alignment horizontal="right"/>
    </xf>
    <xf numFmtId="2" fontId="27" fillId="15" borderId="33" xfId="18" applyNumberFormat="1" applyFont="1" applyFill="1" applyBorder="1" applyAlignment="1" applyProtection="1">
      <alignment horizontal="right"/>
    </xf>
    <xf numFmtId="43" fontId="25" fillId="0" borderId="31" xfId="16" applyFont="1" applyFill="1" applyBorder="1" applyAlignment="1" applyProtection="1">
      <alignment horizontal="right"/>
    </xf>
    <xf numFmtId="0" fontId="2" fillId="0" borderId="0" xfId="5" applyFont="1" applyFill="1" applyAlignment="1" applyProtection="1"/>
    <xf numFmtId="0" fontId="1" fillId="14" borderId="32" xfId="5" applyFont="1" applyFill="1" applyBorder="1" applyAlignment="1" applyProtection="1">
      <alignment horizontal="left"/>
    </xf>
    <xf numFmtId="0" fontId="0" fillId="0" borderId="46" xfId="0" applyFill="1" applyBorder="1" applyAlignment="1">
      <alignment horizontal="left" indent="2"/>
    </xf>
    <xf numFmtId="0" fontId="2" fillId="0" borderId="0" xfId="5" applyAlignment="1" applyProtection="1">
      <alignment horizontal="left" indent="1"/>
    </xf>
    <xf numFmtId="0" fontId="2" fillId="0" borderId="0" xfId="5" applyFill="1" applyAlignment="1" applyProtection="1">
      <alignment wrapText="1"/>
    </xf>
    <xf numFmtId="0" fontId="2" fillId="0" borderId="0" xfId="5" applyFill="1" applyAlignment="1" applyProtection="1">
      <alignment wrapText="1"/>
    </xf>
    <xf numFmtId="0" fontId="37" fillId="0" borderId="0" xfId="0" applyFont="1"/>
    <xf numFmtId="8" fontId="37" fillId="0" borderId="0" xfId="0" applyNumberFormat="1" applyFont="1"/>
    <xf numFmtId="0" fontId="3" fillId="0" borderId="49" xfId="0" applyFont="1" applyFill="1" applyBorder="1" applyAlignment="1" applyProtection="1">
      <alignment horizontal="center" wrapText="1"/>
    </xf>
    <xf numFmtId="3" fontId="0" fillId="14" borderId="32" xfId="5" applyNumberFormat="1" applyFont="1" applyFill="1" applyBorder="1" applyAlignment="1" applyProtection="1">
      <alignment horizontal="left"/>
    </xf>
    <xf numFmtId="164" fontId="0" fillId="14" borderId="32" xfId="5" applyNumberFormat="1" applyFont="1" applyFill="1" applyBorder="1" applyAlignment="1" applyProtection="1">
      <alignment horizontal="left"/>
    </xf>
    <xf numFmtId="44" fontId="0" fillId="14" borderId="32" xfId="5" applyNumberFormat="1" applyFont="1" applyFill="1" applyBorder="1" applyAlignment="1" applyProtection="1">
      <alignment horizontal="left"/>
    </xf>
    <xf numFmtId="173" fontId="4" fillId="0" borderId="10" xfId="2" applyNumberFormat="1" applyFont="1" applyFill="1" applyBorder="1" applyProtection="1"/>
    <xf numFmtId="1" fontId="0" fillId="0" borderId="47" xfId="0" applyNumberFormat="1" applyFill="1" applyBorder="1"/>
    <xf numFmtId="44" fontId="4" fillId="0" borderId="12" xfId="2" applyNumberFormat="1" applyFont="1" applyFill="1" applyBorder="1" applyProtection="1"/>
    <xf numFmtId="0" fontId="4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2" fillId="0" borderId="0" xfId="5" applyFill="1" applyAlignment="1" applyProtection="1">
      <alignment wrapText="1"/>
    </xf>
  </cellXfs>
  <cellStyles count="20">
    <cellStyle name="Comma" xfId="1" builtinId="3"/>
    <cellStyle name="Comma 10" xfId="16"/>
    <cellStyle name="Comma 10 2" xfId="18"/>
    <cellStyle name="Currency" xfId="2" builtinId="4"/>
    <cellStyle name="Currency 11" xfId="17"/>
    <cellStyle name="Currency 11 2" xfId="19"/>
    <cellStyle name="Currency 16 2" xfId="8"/>
    <cellStyle name="Hyperlink" xfId="5" builtinId="8"/>
    <cellStyle name="Normal" xfId="0" builtinId="0"/>
    <cellStyle name="Normal 10" xfId="9"/>
    <cellStyle name="Normal 10 2" xfId="13"/>
    <cellStyle name="Normal 2" xfId="10"/>
    <cellStyle name="Normal 2 2" xfId="12"/>
    <cellStyle name="Normal 22 4" xfId="11"/>
    <cellStyle name="Normal 222" xfId="6"/>
    <cellStyle name="Normal 223" xfId="7"/>
    <cellStyle name="Normal 339" xfId="3"/>
    <cellStyle name="Normal 340" xfId="4"/>
    <cellStyle name="Normal 8 2 2" xfId="14"/>
    <cellStyle name="Normal_Cost Effectiveness Algorithm-2002_rev6c" xfId="15"/>
  </cellStyles>
  <dxfs count="331"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  <color rgb="FF0066CC"/>
      <color rgb="FF660066"/>
      <color rgb="FFFF33CC"/>
      <color rgb="FFCC3399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1.xml"/><Relationship Id="rId78" Type="http://schemas.openxmlformats.org/officeDocument/2006/relationships/customXml" Target="../customXml/item1.xml"/><Relationship Id="rId8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mst\AppData\Local\Microsoft\Windows\Temporary%20Internet%20Files\Content.Outlook\N7GW4G16\Copy%20of%202017%20Energy%20Efficiency%20Program%20Tracking%20-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Cost "/>
      <sheetName val="DL May"/>
      <sheetName val="JUNE"/>
      <sheetName val="Aug 2009"/>
      <sheetName val="1-2010 DL"/>
      <sheetName val="kWh Data Entry"/>
      <sheetName val="Gas Cost "/>
      <sheetName val="Therms Data Entry"/>
      <sheetName val="Peak Capacity Impact"/>
      <sheetName val="Elec Cons Pgm Costs"/>
      <sheetName val="Gas Cons Pgm Costs"/>
      <sheetName val="Elec Cons kWh Savings"/>
      <sheetName val="Gas Cons Therm Savings"/>
      <sheetName val="PTD  Summary"/>
      <sheetName val="YTD Summary &amp; Forecast"/>
      <sheetName val="Data Graphs"/>
      <sheetName val="Exhibit 1_CURRENT-year View"/>
      <sheetName val="AR_Sector tables"/>
      <sheetName val="AR_Exec Summary Tables"/>
      <sheetName val="AR_Intro Tables"/>
      <sheetName val="AR_5-year views tables"/>
      <sheetName val="AR_5-yr elec spending"/>
      <sheetName val="AR_5-yr elec svgs"/>
      <sheetName val="AR_5-yr gas svgs"/>
      <sheetName val="AR_5-yr gas spending"/>
      <sheetName val="Cumulative Elect savings"/>
      <sheetName val="Cumulative Gas savings"/>
      <sheetName val="AR_Compare prev yr to current"/>
      <sheetName val="AR_Sector Pie Charts"/>
      <sheetName val="Fact Sheet"/>
      <sheetName val="-RETIRED-Peak Capacity Impact "/>
      <sheetName val="-RETIRED- YTD Summary"/>
      <sheetName val="January DL"/>
      <sheetName val="February DL"/>
      <sheetName val="March DL"/>
      <sheetName val="April DL"/>
      <sheetName val="May DL"/>
      <sheetName val="June DL"/>
      <sheetName val="July DL"/>
      <sheetName val="Aug DL"/>
      <sheetName val="Sept DL"/>
      <sheetName val="Oct DL"/>
      <sheetName val="Nov DL"/>
      <sheetName val="Dec DL"/>
      <sheetName val="17Jan DL"/>
      <sheetName val="17Feb DL"/>
      <sheetName val="CRAG Meeting Updates"/>
      <sheetName val="17Apr DL"/>
      <sheetName val="17MayDL"/>
      <sheetName val="17JuneDL"/>
      <sheetName val="17JulyDL"/>
      <sheetName val="17AugDL"/>
      <sheetName val="17SeptDL"/>
      <sheetName val="17OctDL"/>
      <sheetName val="17NovDL"/>
      <sheetName val="17DecD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57"/>
  <sheetViews>
    <sheetView tabSelected="1" zoomScale="70" zoomScaleNormal="70" workbookViewId="0"/>
  </sheetViews>
  <sheetFormatPr defaultRowHeight="15"/>
  <cols>
    <col min="1" max="1" width="3.5703125" customWidth="1"/>
    <col min="2" max="2" width="59.5703125" customWidth="1"/>
    <col min="3" max="3" width="20.85546875" customWidth="1"/>
    <col min="4" max="4" width="16.42578125" customWidth="1"/>
    <col min="5" max="5" width="21.140625" customWidth="1"/>
    <col min="6" max="6" width="11.7109375" customWidth="1"/>
    <col min="8" max="8" width="2.42578125" customWidth="1"/>
    <col min="9" max="9" width="3" customWidth="1"/>
    <col min="10" max="10" width="61.85546875" customWidth="1"/>
    <col min="11" max="11" width="21.85546875" customWidth="1"/>
    <col min="12" max="12" width="17" customWidth="1"/>
    <col min="13" max="13" width="16.85546875" customWidth="1"/>
  </cols>
  <sheetData>
    <row r="1" spans="2:16" ht="18">
      <c r="B1" s="394" t="s">
        <v>2453</v>
      </c>
    </row>
    <row r="2" spans="2:16" ht="18">
      <c r="B2" s="395" t="s">
        <v>466</v>
      </c>
    </row>
    <row r="4" spans="2:16" ht="15.75" thickBot="1">
      <c r="B4" s="131" t="s">
        <v>467</v>
      </c>
      <c r="J4" s="131" t="s">
        <v>468</v>
      </c>
      <c r="O4" s="396"/>
    </row>
    <row r="5" spans="2:16" ht="45.75" thickBot="1">
      <c r="B5" s="397" t="s">
        <v>469</v>
      </c>
      <c r="C5" s="398" t="s">
        <v>470</v>
      </c>
      <c r="D5" s="398" t="s">
        <v>471</v>
      </c>
      <c r="E5" s="398" t="s">
        <v>472</v>
      </c>
      <c r="F5" s="398" t="s">
        <v>473</v>
      </c>
      <c r="G5" s="399" t="s">
        <v>474</v>
      </c>
      <c r="H5" s="400"/>
      <c r="J5" s="397" t="s">
        <v>469</v>
      </c>
      <c r="K5" s="398" t="s">
        <v>470</v>
      </c>
      <c r="L5" s="398" t="s">
        <v>471</v>
      </c>
      <c r="M5" s="398" t="s">
        <v>472</v>
      </c>
      <c r="N5" s="398" t="s">
        <v>473</v>
      </c>
      <c r="O5" s="399" t="s">
        <v>475</v>
      </c>
    </row>
    <row r="6" spans="2:16" ht="15.75" thickTop="1">
      <c r="B6" s="401" t="s">
        <v>364</v>
      </c>
      <c r="C6" s="402">
        <f>'Electric CE'!H6</f>
        <v>2307888.8900000006</v>
      </c>
      <c r="D6" s="403">
        <f>'Electric CE'!N6</f>
        <v>7125204.8200000003</v>
      </c>
      <c r="E6" s="403">
        <f>'Electric CE'!T6</f>
        <v>1227558.7257457341</v>
      </c>
      <c r="F6" s="404">
        <f>'Electric CE'!U6</f>
        <v>0.59358606176876327</v>
      </c>
      <c r="G6" s="405">
        <f>'Electric CE'!V6</f>
        <v>0.79710104786324831</v>
      </c>
      <c r="H6" s="406"/>
      <c r="J6" s="401" t="s">
        <v>364</v>
      </c>
      <c r="K6" s="402">
        <f>'Gas CE'!H6</f>
        <v>31511.619999999992</v>
      </c>
      <c r="L6" s="403">
        <f>'Gas CE'!N6</f>
        <v>1254182.27</v>
      </c>
      <c r="M6" s="403">
        <f>'Gas CE'!T6</f>
        <v>4087.9044343295677</v>
      </c>
      <c r="N6" s="404">
        <f>'Gas CE'!U6</f>
        <v>0.44575034811003206</v>
      </c>
      <c r="O6" s="405">
        <f>'Gas CE'!V6</f>
        <v>0.45366922337944349</v>
      </c>
      <c r="P6" s="406"/>
    </row>
    <row r="7" spans="2:16">
      <c r="B7" s="401"/>
      <c r="C7" s="402"/>
      <c r="D7" s="403"/>
      <c r="E7" s="403"/>
      <c r="F7" s="407"/>
      <c r="G7" s="408" t="s">
        <v>476</v>
      </c>
      <c r="H7" s="406"/>
      <c r="I7" s="396"/>
      <c r="J7" s="401"/>
      <c r="K7" s="402"/>
      <c r="L7" s="403"/>
      <c r="M7" s="403"/>
      <c r="N7" s="407"/>
      <c r="O7" s="408" t="s">
        <v>476</v>
      </c>
      <c r="P7" s="406"/>
    </row>
    <row r="8" spans="2:16">
      <c r="B8" s="401" t="s">
        <v>1817</v>
      </c>
      <c r="C8" s="402">
        <f>'Electric CE'!H7</f>
        <v>113263369.83999953</v>
      </c>
      <c r="D8" s="403">
        <f>'Electric CE'!N7</f>
        <v>28945124.990000002</v>
      </c>
      <c r="E8" s="403">
        <f>'Electric CE'!T7</f>
        <v>3813024.8464480722</v>
      </c>
      <c r="F8" s="407">
        <f>'Electric CE'!U7</f>
        <v>2.5351659972229923</v>
      </c>
      <c r="G8" s="409">
        <f>'Electric CE'!V7</f>
        <v>1.7428418632252711</v>
      </c>
      <c r="H8" s="406"/>
      <c r="J8" s="401" t="s">
        <v>1818</v>
      </c>
      <c r="K8" s="402">
        <f>'Gas CE'!H7</f>
        <v>3622618.3000000012</v>
      </c>
      <c r="L8" s="403">
        <f>'Gas CE'!N7</f>
        <v>12837404.540000001</v>
      </c>
      <c r="M8" s="403">
        <f>'Gas CE'!T7</f>
        <v>2606614.3345346386</v>
      </c>
      <c r="N8" s="407">
        <f>'Gas CE'!U7</f>
        <v>2.9471448527613773</v>
      </c>
      <c r="O8" s="409">
        <f>'Gas CE'!V7</f>
        <v>1.517712127533581</v>
      </c>
      <c r="P8" s="406"/>
    </row>
    <row r="9" spans="2:16">
      <c r="B9" s="510" t="s">
        <v>367</v>
      </c>
      <c r="C9" s="402">
        <f>'Electric CE'!H8</f>
        <v>25714191.239999529</v>
      </c>
      <c r="D9" s="403">
        <f>'Electric CE'!N8</f>
        <v>4932137.22</v>
      </c>
      <c r="E9" s="403">
        <f>'Electric CE'!T8</f>
        <v>0</v>
      </c>
      <c r="F9" s="407">
        <f>'Electric CE'!U8</f>
        <v>4.7836238375662132</v>
      </c>
      <c r="G9" s="409">
        <f>'Electric CE'!V8</f>
        <v>3.4897599203002994</v>
      </c>
      <c r="H9" s="410"/>
      <c r="J9" s="510" t="s">
        <v>477</v>
      </c>
      <c r="K9" s="402">
        <f>'Gas CE'!H8</f>
        <v>1052890.3999999999</v>
      </c>
      <c r="L9" s="403">
        <f>'Gas CE'!N8</f>
        <v>3641889.33</v>
      </c>
      <c r="M9" s="403">
        <f>'Gas CE'!T8</f>
        <v>129838.0487398048</v>
      </c>
      <c r="N9" s="407">
        <f>'Gas CE'!U8</f>
        <v>4.2384003045991623</v>
      </c>
      <c r="O9" s="409">
        <f>'Gas CE'!V8</f>
        <v>2.8095729828446534</v>
      </c>
    </row>
    <row r="10" spans="2:16">
      <c r="B10" s="510" t="s">
        <v>477</v>
      </c>
      <c r="C10" s="402">
        <f>'Electric CE'!H9</f>
        <v>26455891.559999999</v>
      </c>
      <c r="D10" s="403">
        <f>'Electric CE'!N9</f>
        <v>12899305.91</v>
      </c>
      <c r="E10" s="403">
        <f>'Electric CE'!T9</f>
        <v>458665.33284985647</v>
      </c>
      <c r="F10" s="407">
        <f>'Electric CE'!U9</f>
        <v>1.8729283413695721</v>
      </c>
      <c r="G10" s="409">
        <f>'Electric CE'!V9</f>
        <v>1.0445533531388336</v>
      </c>
      <c r="H10" s="410"/>
      <c r="J10" s="510" t="s">
        <v>478</v>
      </c>
      <c r="K10" s="402">
        <f>'Gas CE'!H9</f>
        <v>124706.8</v>
      </c>
      <c r="L10" s="403">
        <f>'Gas CE'!N9</f>
        <v>769092.9800000001</v>
      </c>
      <c r="M10" s="403">
        <f>'Gas CE'!T9</f>
        <v>363693.10992247512</v>
      </c>
      <c r="N10" s="407">
        <f>'Gas CE'!U9</f>
        <v>2.1936725571248039</v>
      </c>
      <c r="O10" s="409">
        <f>'Gas CE'!V9</f>
        <v>0.96406556104970798</v>
      </c>
    </row>
    <row r="11" spans="2:16">
      <c r="B11" s="510" t="s">
        <v>478</v>
      </c>
      <c r="C11" s="402">
        <f>'Electric CE'!H10</f>
        <v>3667089.22</v>
      </c>
      <c r="D11" s="403">
        <f>'Electric CE'!N10</f>
        <v>2248115.85</v>
      </c>
      <c r="E11" s="403">
        <f>'Electric CE'!T10</f>
        <v>8633.5554985070848</v>
      </c>
      <c r="F11" s="407">
        <f>'Electric CE'!U10</f>
        <v>0.9501842954275429</v>
      </c>
      <c r="G11" s="409">
        <f>'Electric CE'!V10</f>
        <v>0.96401293781361108</v>
      </c>
      <c r="H11" s="410"/>
      <c r="J11" s="510" t="s">
        <v>372</v>
      </c>
      <c r="K11" s="402">
        <f>'Gas CE'!H11</f>
        <v>13958.000000000029</v>
      </c>
      <c r="L11" s="403">
        <f>'Gas CE'!N11</f>
        <v>0</v>
      </c>
      <c r="M11" s="403">
        <f>'Gas CE'!T11</f>
        <v>1047044.712097623</v>
      </c>
      <c r="N11" s="407">
        <f>'Gas CE'!U11</f>
        <v>0</v>
      </c>
      <c r="O11" s="409">
        <f>'Gas CE'!V11</f>
        <v>662.36462398793878</v>
      </c>
    </row>
    <row r="12" spans="2:16">
      <c r="B12" s="510" t="s">
        <v>372</v>
      </c>
      <c r="C12" s="402">
        <f>'Electric CE'!H11</f>
        <v>3042185.7199999997</v>
      </c>
      <c r="D12" s="403">
        <f>'Electric CE'!N11</f>
        <v>2121552.25</v>
      </c>
      <c r="E12" s="403">
        <f>'Electric CE'!T11</f>
        <v>1871295.5613222176</v>
      </c>
      <c r="F12" s="407">
        <f>'Electric CE'!U11</f>
        <v>1.1864041101378588</v>
      </c>
      <c r="G12" s="409">
        <f>'Electric CE'!V11</f>
        <v>2.2580409203981477</v>
      </c>
      <c r="H12" s="410"/>
      <c r="J12" s="510" t="s">
        <v>446</v>
      </c>
      <c r="K12" s="402">
        <f>'Gas CE'!H12</f>
        <v>599081.4</v>
      </c>
      <c r="L12" s="403">
        <f>'Gas CE'!N12</f>
        <v>1975650.5499999998</v>
      </c>
      <c r="M12" s="403">
        <f>'Gas CE'!T12</f>
        <v>77151.078603646936</v>
      </c>
      <c r="N12" s="407">
        <f>'Gas CE'!U12</f>
        <v>2.6786258895446107</v>
      </c>
      <c r="O12" s="409">
        <f>'Gas CE'!V12</f>
        <v>1.6036289413475633</v>
      </c>
    </row>
    <row r="13" spans="2:16">
      <c r="B13" s="510" t="s">
        <v>446</v>
      </c>
      <c r="C13" s="402">
        <f>'Electric CE'!H12</f>
        <v>2896406.1599999997</v>
      </c>
      <c r="D13" s="403">
        <f>'Electric CE'!N12</f>
        <v>891667.42</v>
      </c>
      <c r="E13" s="403">
        <f>'Electric CE'!T12</f>
        <v>37347.836062738235</v>
      </c>
      <c r="F13" s="407">
        <f>'Electric CE'!U12</f>
        <v>3.8084648105717576</v>
      </c>
      <c r="G13" s="409">
        <f>'Electric CE'!V12</f>
        <v>2.6431511711808806</v>
      </c>
      <c r="H13" s="410"/>
      <c r="J13" s="510" t="s">
        <v>375</v>
      </c>
      <c r="K13" s="402">
        <f>'Gas CE'!H13</f>
        <v>31822.630000000005</v>
      </c>
      <c r="L13" s="403">
        <f>'Gas CE'!N13</f>
        <v>185141.91999999998</v>
      </c>
      <c r="M13" s="403">
        <f>'Gas CE'!T13</f>
        <v>541014.69384878059</v>
      </c>
      <c r="N13" s="407">
        <f>'Gas CE'!U13</f>
        <v>1.3127713631414473</v>
      </c>
      <c r="O13" s="409">
        <f>'Gas CE'!V13</f>
        <v>5.5388187576253616</v>
      </c>
    </row>
    <row r="14" spans="2:16">
      <c r="B14" s="510" t="s">
        <v>375</v>
      </c>
      <c r="C14" s="402">
        <f>'Electric CE'!H13</f>
        <v>1124455.4500000002</v>
      </c>
      <c r="D14" s="403">
        <f>'Electric CE'!N13</f>
        <v>379553.35</v>
      </c>
      <c r="E14" s="403">
        <f>'Electric CE'!T13</f>
        <v>966725.60948222759</v>
      </c>
      <c r="F14" s="407">
        <f>'Electric CE'!U13</f>
        <v>1.5925169082855231</v>
      </c>
      <c r="G14" s="409">
        <f>'Electric CE'!V13</f>
        <v>5.9543020605287014</v>
      </c>
      <c r="H14" s="410"/>
      <c r="J14" s="510" t="s">
        <v>479</v>
      </c>
      <c r="K14" s="402">
        <f>'Gas CE'!H14</f>
        <v>579208.07000000111</v>
      </c>
      <c r="L14" s="403">
        <f>'Gas CE'!N14</f>
        <v>4353413.6900000004</v>
      </c>
      <c r="M14" s="403">
        <f>'Gas CE'!T14</f>
        <v>447872.69132230809</v>
      </c>
      <c r="N14" s="407">
        <f>'Gas CE'!U14</f>
        <v>3.1041744521906214</v>
      </c>
      <c r="O14" s="409">
        <f>'Gas CE'!V14</f>
        <v>1.0122695511900706</v>
      </c>
    </row>
    <row r="15" spans="2:16">
      <c r="B15" s="510" t="s">
        <v>479</v>
      </c>
      <c r="C15" s="402">
        <f>'Electric CE'!H14</f>
        <v>2782607.2699999982</v>
      </c>
      <c r="D15" s="403">
        <f>'Electric CE'!N14</f>
        <v>1920563.5799999998</v>
      </c>
      <c r="E15" s="403">
        <f>'Electric CE'!T14</f>
        <v>339361.1457387702</v>
      </c>
      <c r="F15" s="407">
        <f>'Electric CE'!U14</f>
        <v>4.3749971879180718</v>
      </c>
      <c r="G15" s="409">
        <f>'Electric CE'!V14</f>
        <v>1.7629633941704248</v>
      </c>
      <c r="H15" s="410"/>
      <c r="J15" s="510" t="s">
        <v>377</v>
      </c>
      <c r="K15" s="402">
        <f>'Gas CE'!H15</f>
        <v>1220951</v>
      </c>
      <c r="L15" s="403">
        <f>'Gas CE'!N15</f>
        <v>1841791.7599999998</v>
      </c>
      <c r="M15" s="403">
        <f>'Gas CE'!T15</f>
        <v>0</v>
      </c>
      <c r="N15" s="407">
        <f>'Gas CE'!U15</f>
        <v>0.82678730294862235</v>
      </c>
      <c r="O15" s="409">
        <f>'Gas CE'!V15</f>
        <v>0.94536553378827259</v>
      </c>
    </row>
    <row r="16" spans="2:16">
      <c r="B16" s="510" t="s">
        <v>377</v>
      </c>
      <c r="C16" s="402">
        <f>'Electric CE'!H15</f>
        <v>46582898</v>
      </c>
      <c r="D16" s="403">
        <f>'Electric CE'!N15</f>
        <v>2880060.0700000003</v>
      </c>
      <c r="E16" s="403">
        <f>'Electric CE'!T15</f>
        <v>0</v>
      </c>
      <c r="F16" s="407">
        <f>'Electric CE'!U15</f>
        <v>2.7574261011086851</v>
      </c>
      <c r="G16" s="409">
        <f>'Electric CE'!V15</f>
        <v>3.1023556042641025</v>
      </c>
      <c r="H16" s="410"/>
      <c r="J16" s="510" t="s">
        <v>1819</v>
      </c>
      <c r="K16" s="402">
        <f>'Gas CE'!H16</f>
        <v>0</v>
      </c>
      <c r="L16" s="403">
        <f>'Gas CE'!N16</f>
        <v>70424.309999999983</v>
      </c>
      <c r="M16" s="403">
        <f>'Gas CE'!T16</f>
        <v>0</v>
      </c>
      <c r="N16" s="407">
        <f>'Gas CE'!U16</f>
        <v>0</v>
      </c>
      <c r="O16" s="409">
        <f>'Gas CE'!V16</f>
        <v>0</v>
      </c>
    </row>
    <row r="17" spans="1:19">
      <c r="B17" s="510" t="s">
        <v>371</v>
      </c>
      <c r="C17" s="402">
        <f>'Electric CE'!H16</f>
        <v>997645.22000000114</v>
      </c>
      <c r="D17" s="403">
        <f>'Electric CE'!N16</f>
        <v>599661.3899999999</v>
      </c>
      <c r="E17" s="403">
        <f>'Electric CE'!T16</f>
        <v>130995.80549375524</v>
      </c>
      <c r="F17" s="407">
        <f>'Electric CE'!U16</f>
        <v>1.0510047785925845</v>
      </c>
      <c r="G17" s="409">
        <f>'Electric CE'!V16</f>
        <v>1.1975147643667343</v>
      </c>
      <c r="H17" s="410"/>
      <c r="J17" s="401" t="s">
        <v>378</v>
      </c>
      <c r="K17" s="402">
        <f>'Gas CE'!H17</f>
        <v>13233</v>
      </c>
      <c r="L17" s="403">
        <f>'Gas CE'!N17</f>
        <v>63146.69</v>
      </c>
      <c r="M17" s="403">
        <f>'Gas CE'!T17</f>
        <v>906.00425714286951</v>
      </c>
      <c r="N17" s="407">
        <f>'Gas CE'!U17</f>
        <v>2.4691447077928919</v>
      </c>
      <c r="O17" s="409">
        <f>'Gas CE'!V17</f>
        <v>1.523675320898636</v>
      </c>
    </row>
    <row r="18" spans="1:19">
      <c r="A18" s="396"/>
      <c r="B18" s="510" t="s">
        <v>1819</v>
      </c>
      <c r="C18" s="402">
        <f>'Electric CE'!H17</f>
        <v>0</v>
      </c>
      <c r="D18" s="403">
        <f>'Electric CE'!N17</f>
        <v>72507.95</v>
      </c>
      <c r="E18" s="403">
        <f>'Electric CE'!T17</f>
        <v>0</v>
      </c>
      <c r="F18" s="407">
        <f>'Electric CE'!U17</f>
        <v>0</v>
      </c>
      <c r="G18" s="409">
        <f>'Electric CE'!V17</f>
        <v>0</v>
      </c>
      <c r="H18" s="410"/>
      <c r="J18" s="401" t="s">
        <v>448</v>
      </c>
      <c r="K18" s="521">
        <v>0</v>
      </c>
      <c r="L18" s="403">
        <v>0</v>
      </c>
      <c r="M18" s="403">
        <v>0</v>
      </c>
      <c r="N18" s="407">
        <v>0</v>
      </c>
      <c r="O18" s="409">
        <v>0</v>
      </c>
    </row>
    <row r="19" spans="1:19">
      <c r="B19" s="401" t="s">
        <v>378</v>
      </c>
      <c r="C19" s="402">
        <f>'Electric CE'!H18</f>
        <v>123904.61</v>
      </c>
      <c r="D19" s="403">
        <f>'Electric CE'!N18</f>
        <v>118930.83</v>
      </c>
      <c r="E19" s="403">
        <f>'Electric CE'!T18</f>
        <v>8459.6777052558518</v>
      </c>
      <c r="F19" s="407">
        <f>'Electric CE'!U18</f>
        <v>2.6167313424636665</v>
      </c>
      <c r="G19" s="409">
        <f>'Electric CE'!V18</f>
        <v>1.542735643357845</v>
      </c>
      <c r="H19" s="410"/>
      <c r="J19" s="401" t="s">
        <v>449</v>
      </c>
      <c r="K19" s="402">
        <f>'Gas CE'!H18</f>
        <v>60870.679999999993</v>
      </c>
      <c r="L19" s="403">
        <f>'Gas CE'!N18</f>
        <v>609367.57000000007</v>
      </c>
      <c r="M19" s="403">
        <f>'Gas CE'!T18</f>
        <v>61357.740508226547</v>
      </c>
      <c r="N19" s="407">
        <f>'Gas CE'!U18</f>
        <v>2.1940471418102256</v>
      </c>
      <c r="O19" s="409">
        <f>'Gas CE'!V18</f>
        <v>1.2156579431679682</v>
      </c>
    </row>
    <row r="20" spans="1:19">
      <c r="B20" s="401" t="s">
        <v>448</v>
      </c>
      <c r="C20" s="402">
        <f>'Electric CE'!H19</f>
        <v>293561</v>
      </c>
      <c r="D20" s="403">
        <f>'Electric CE'!N19</f>
        <v>306397.58</v>
      </c>
      <c r="E20" s="403">
        <f>'Electric CE'!T19</f>
        <v>23066.572656908458</v>
      </c>
      <c r="F20" s="407">
        <f>'Electric CE'!U19</f>
        <v>3.452189946888446</v>
      </c>
      <c r="G20" s="409">
        <f>'Electric CE'!V19</f>
        <v>2.6193256311850686</v>
      </c>
      <c r="H20" s="410"/>
      <c r="J20" s="401" t="s">
        <v>381</v>
      </c>
      <c r="K20" s="402">
        <f>'Gas CE'!H19</f>
        <v>79154</v>
      </c>
      <c r="L20" s="403">
        <f>'Gas CE'!N19</f>
        <v>637000.99</v>
      </c>
      <c r="M20" s="403">
        <f>'Gas CE'!T19</f>
        <v>0</v>
      </c>
      <c r="N20" s="407">
        <f>'Gas CE'!U19</f>
        <v>1.4017023511107103</v>
      </c>
      <c r="O20" s="409">
        <f>'Gas CE'!V19</f>
        <v>1.5418725862217817</v>
      </c>
    </row>
    <row r="21" spans="1:19">
      <c r="A21" s="396"/>
      <c r="B21" s="401" t="s">
        <v>449</v>
      </c>
      <c r="C21" s="402">
        <f>'Electric CE'!H20</f>
        <v>14451696.65</v>
      </c>
      <c r="D21" s="403">
        <f>'Electric CE'!N20</f>
        <v>10759119.18</v>
      </c>
      <c r="E21" s="403">
        <f>'Electric CE'!T20</f>
        <v>892267.49671692855</v>
      </c>
      <c r="F21" s="407">
        <f>'Electric CE'!U20</f>
        <v>2.6412492977027719</v>
      </c>
      <c r="G21" s="409">
        <f>'Electric CE'!V20</f>
        <v>1.9322480705128879</v>
      </c>
      <c r="H21" s="410"/>
      <c r="J21" s="412" t="s">
        <v>480</v>
      </c>
      <c r="K21" s="413">
        <f>SUM(K6,K9:K20)</f>
        <v>3807387.600000001</v>
      </c>
      <c r="L21" s="414">
        <f>SUM(L6,L9:L20)</f>
        <v>15401102.060000001</v>
      </c>
      <c r="M21" s="415">
        <f>SUM(M6,M9:M20)</f>
        <v>2672965.9837343381</v>
      </c>
      <c r="N21" s="416"/>
      <c r="O21" s="417"/>
    </row>
    <row r="22" spans="1:19">
      <c r="B22" s="401" t="s">
        <v>381</v>
      </c>
      <c r="C22" s="402">
        <f>'Electric CE'!H21</f>
        <v>4615006</v>
      </c>
      <c r="D22" s="403">
        <f>'Electric CE'!N21</f>
        <v>2096891.28</v>
      </c>
      <c r="E22" s="403">
        <f>'Electric CE'!T21</f>
        <v>0</v>
      </c>
      <c r="F22" s="407">
        <f>'Electric CE'!U21</f>
        <v>3.0837812592734291</v>
      </c>
      <c r="G22" s="409">
        <f>'Electric CE'!V21</f>
        <v>3.4084139904009088</v>
      </c>
      <c r="H22" s="410"/>
      <c r="J22" s="422" t="s">
        <v>481</v>
      </c>
      <c r="K22" s="413">
        <f>'Gas CE'!H21</f>
        <v>3775875.9800000014</v>
      </c>
      <c r="L22" s="414">
        <f>'Gas CE'!N21</f>
        <v>14146919.790000001</v>
      </c>
      <c r="M22" s="415">
        <f>'Gas CE'!T21</f>
        <v>2668878.0793000082</v>
      </c>
      <c r="N22" s="416">
        <f>'Gas CE'!U21</f>
        <v>2.8429846628060846</v>
      </c>
      <c r="O22" s="417">
        <f>'Gas CE'!V21</f>
        <v>1.50601919283853</v>
      </c>
      <c r="P22" s="423"/>
    </row>
    <row r="23" spans="1:19">
      <c r="A23" s="396"/>
      <c r="B23" s="412" t="s">
        <v>480</v>
      </c>
      <c r="C23" s="418">
        <f>SUM(C6,C9:C22)</f>
        <v>135055426.98999953</v>
      </c>
      <c r="D23" s="415">
        <f>SUM(D6,D9:D22)</f>
        <v>49351668.68</v>
      </c>
      <c r="E23" s="415">
        <f>SUM(E6,E9:E22)</f>
        <v>5964377.3192728991</v>
      </c>
      <c r="F23" s="419"/>
      <c r="G23" s="420"/>
      <c r="H23" s="421"/>
      <c r="I23" s="396"/>
      <c r="J23" s="424" t="str">
        <f>'Gas CE'!C23</f>
        <v>Commercial/Industrial Retrofit</v>
      </c>
      <c r="K23" s="402">
        <f>'Gas CE'!H22</f>
        <v>751108.7</v>
      </c>
      <c r="L23" s="403">
        <f>'Gas CE'!N22</f>
        <v>3445337.74</v>
      </c>
      <c r="M23" s="426">
        <f>'Gas CE'!T22</f>
        <v>0</v>
      </c>
      <c r="N23" s="407">
        <f>'Gas CE'!U22</f>
        <v>2.5002616258807131</v>
      </c>
      <c r="O23" s="409">
        <f>'Gas CE'!V23</f>
        <v>1.3340487198549371</v>
      </c>
      <c r="P23" s="396"/>
    </row>
    <row r="24" spans="1:19" s="396" customFormat="1" ht="16.350000000000001" customHeight="1">
      <c r="A24" s="433"/>
      <c r="B24" s="422" t="s">
        <v>481</v>
      </c>
      <c r="C24" s="418">
        <f>'Electric CE'!H23</f>
        <v>132747538.09999953</v>
      </c>
      <c r="D24" s="415">
        <f>'Electric CE'!N23</f>
        <v>42226463.859999999</v>
      </c>
      <c r="E24" s="415">
        <f>'Electric CE'!T23</f>
        <v>4736818.5935271652</v>
      </c>
      <c r="F24" s="419">
        <f>'Electric CE'!U23</f>
        <v>2.5963225267796308</v>
      </c>
      <c r="G24" s="420">
        <f>'Electric CE'!V23</f>
        <v>1.8454283874281034</v>
      </c>
      <c r="H24" s="421"/>
      <c r="I24"/>
      <c r="J24" s="424" t="str">
        <f>'Gas CE'!C26</f>
        <v>Commercial/Industrial New Construction</v>
      </c>
      <c r="K24" s="425">
        <f>'Gas CE'!H26</f>
        <v>85281</v>
      </c>
      <c r="L24" s="403">
        <f>'Gas CE'!N26</f>
        <v>548963.35</v>
      </c>
      <c r="M24" s="426">
        <f>'Gas CE'!T26</f>
        <v>0</v>
      </c>
      <c r="N24" s="407">
        <f>'Gas CE'!U26</f>
        <v>1.7706416263005842</v>
      </c>
      <c r="O24" s="409">
        <f>'Gas CE'!V26</f>
        <v>1.7484117604685283</v>
      </c>
      <c r="P24" s="432"/>
      <c r="S24"/>
    </row>
    <row r="25" spans="1:19">
      <c r="B25" s="427" t="s">
        <v>384</v>
      </c>
      <c r="C25" s="428">
        <f>'Electric CE'!H24</f>
        <v>112836639.5</v>
      </c>
      <c r="D25" s="429">
        <f>'Electric CE'!N24</f>
        <v>32238066.140000001</v>
      </c>
      <c r="E25" s="429">
        <f>'Electric CE'!T24</f>
        <v>0</v>
      </c>
      <c r="F25" s="430">
        <f>'Electric CE'!U24</f>
        <v>4.2126275508566442</v>
      </c>
      <c r="G25" s="431">
        <f>'Electric CE'!V24</f>
        <v>2.1313945147934046</v>
      </c>
      <c r="J25" s="424" t="s">
        <v>386</v>
      </c>
      <c r="K25" s="425">
        <f>'Gas CE'!H27</f>
        <v>830954</v>
      </c>
      <c r="L25" s="403">
        <f>'Gas CE'!N27</f>
        <v>1026378.5800000002</v>
      </c>
      <c r="M25" s="426">
        <f>'Gas CE'!T27</f>
        <v>0</v>
      </c>
      <c r="N25" s="407">
        <f>'Gas CE'!U27</f>
        <v>2.1190459876392582</v>
      </c>
      <c r="O25" s="409">
        <f>'Gas CE'!V27</f>
        <v>2.3815669002809829</v>
      </c>
      <c r="P25" s="432"/>
    </row>
    <row r="26" spans="1:19">
      <c r="B26" s="427" t="s">
        <v>385</v>
      </c>
      <c r="C26" s="428">
        <f>'Electric CE'!H29</f>
        <v>27438087</v>
      </c>
      <c r="D26" s="429">
        <f>'Electric CE'!N29</f>
        <v>5293051.12</v>
      </c>
      <c r="E26" s="429">
        <f>'Electric CE'!T29</f>
        <v>0</v>
      </c>
      <c r="F26" s="430">
        <f>'Electric CE'!U29</f>
        <v>6.2594849792873504</v>
      </c>
      <c r="G26" s="431">
        <f>'Electric CE'!V29</f>
        <v>5.7056598706383417</v>
      </c>
      <c r="H26" s="432"/>
      <c r="J26" s="424" t="s">
        <v>387</v>
      </c>
      <c r="K26" s="425">
        <f>'Gas CE'!H28</f>
        <v>0</v>
      </c>
      <c r="L26" s="403">
        <f>'Gas CE'!N28</f>
        <v>2854.83</v>
      </c>
      <c r="M26" s="426">
        <f>'Gas CE'!T28</f>
        <v>0</v>
      </c>
      <c r="N26" s="407">
        <f>'Gas CE'!U28</f>
        <v>0</v>
      </c>
      <c r="O26" s="409">
        <f>'Gas CE'!V28</f>
        <v>0</v>
      </c>
      <c r="P26" s="432"/>
    </row>
    <row r="27" spans="1:19">
      <c r="B27" s="427" t="s">
        <v>386</v>
      </c>
      <c r="C27" s="428">
        <f>'Electric CE'!H30</f>
        <v>20314478</v>
      </c>
      <c r="D27" s="429">
        <f>'Electric CE'!N30</f>
        <v>2536224.3099999996</v>
      </c>
      <c r="E27" s="429">
        <f>'Electric CE'!T30</f>
        <v>0</v>
      </c>
      <c r="F27" s="430">
        <f>'Electric CE'!U30</f>
        <v>2.4472353960697641</v>
      </c>
      <c r="G27" s="431">
        <f>'Electric CE'!V30</f>
        <v>2.3592141421134816</v>
      </c>
      <c r="H27" s="432"/>
      <c r="J27" s="424" t="str">
        <f>'Gas CE'!C30</f>
        <v>Commercial Kitchen &amp; Laundry</v>
      </c>
      <c r="K27" s="425">
        <f>'Gas CE'!H30</f>
        <v>232053.44</v>
      </c>
      <c r="L27" s="403">
        <f>'Gas CE'!N30</f>
        <v>1549528.2000000002</v>
      </c>
      <c r="M27" s="426">
        <f>'Gas CE'!T30</f>
        <v>4519041.7701335885</v>
      </c>
      <c r="N27" s="434">
        <f>'Gas CE'!U30</f>
        <v>1.3437420973398009</v>
      </c>
      <c r="O27" s="435">
        <f>'Gas CE'!V30</f>
        <v>5.3654009482039919</v>
      </c>
    </row>
    <row r="28" spans="1:19">
      <c r="B28" s="427" t="s">
        <v>387</v>
      </c>
      <c r="C28" s="428">
        <f>'Electric CE'!H31</f>
        <v>80136</v>
      </c>
      <c r="D28" s="429">
        <f>'Electric CE'!N31</f>
        <v>37623.279999999999</v>
      </c>
      <c r="E28" s="429">
        <f>'Electric CE'!T31</f>
        <v>0</v>
      </c>
      <c r="F28" s="430">
        <f>'Electric CE'!U31</f>
        <v>2.210218403941278</v>
      </c>
      <c r="G28" s="431">
        <f>'Electric CE'!V31</f>
        <v>1.2346748565963359</v>
      </c>
      <c r="H28" s="432"/>
      <c r="I28" s="433"/>
      <c r="J28" s="424" t="str">
        <f>'Gas CE'!C31</f>
        <v>Commercial HVAC</v>
      </c>
      <c r="K28" s="425">
        <f>'Gas CE'!H31</f>
        <v>15388.380000000001</v>
      </c>
      <c r="L28" s="403">
        <f>'Gas CE'!N31</f>
        <v>51292.77</v>
      </c>
      <c r="M28" s="426">
        <f>'Gas CE'!T31</f>
        <v>0</v>
      </c>
      <c r="N28" s="434">
        <f>'Gas CE'!U31</f>
        <v>2.9800378241562346</v>
      </c>
      <c r="O28" s="435">
        <f>'Gas CE'!V31</f>
        <v>2.5284672272837856</v>
      </c>
      <c r="P28" s="433"/>
      <c r="S28" s="433"/>
    </row>
    <row r="29" spans="1:19" s="433" customFormat="1">
      <c r="A29"/>
      <c r="B29" s="427" t="s">
        <v>482</v>
      </c>
      <c r="C29" s="428">
        <f>'Electric CE'!H32</f>
        <v>11239971</v>
      </c>
      <c r="D29" s="429">
        <f>'Electric CE'!N32</f>
        <v>5023040.66</v>
      </c>
      <c r="E29" s="429">
        <f>'Electric CE'!T32</f>
        <v>0</v>
      </c>
      <c r="F29" s="430">
        <f>'Electric CE'!U32</f>
        <v>2.0580145331095197</v>
      </c>
      <c r="G29" s="431">
        <f>'Electric CE'!V32</f>
        <v>1.1851611664561603</v>
      </c>
      <c r="H29" s="432"/>
      <c r="I29"/>
      <c r="J29" s="424" t="str">
        <f>'Gas CE'!C32</f>
        <v>Commercial Midstream</v>
      </c>
      <c r="K29" s="425">
        <f>'Gas CE'!H32</f>
        <v>1049542.8800000001</v>
      </c>
      <c r="L29" s="403">
        <f>'Gas CE'!N32</f>
        <v>3676313.24</v>
      </c>
      <c r="M29" s="426">
        <f>'Gas CE'!T32</f>
        <v>0</v>
      </c>
      <c r="N29" s="434">
        <f>'Gas CE'!U32</f>
        <v>2.4276389022205196</v>
      </c>
      <c r="O29" s="435">
        <f>'Gas CE'!V32</f>
        <v>3.3491984830157433</v>
      </c>
      <c r="P29"/>
      <c r="S29"/>
    </row>
    <row r="30" spans="1:19">
      <c r="A30" s="441"/>
      <c r="B30" s="427" t="s">
        <v>483</v>
      </c>
      <c r="C30" s="428">
        <f>'Electric CE'!H33</f>
        <v>5631173</v>
      </c>
      <c r="D30" s="429">
        <f>'Electric CE'!N33</f>
        <v>2591634.09</v>
      </c>
      <c r="E30" s="429">
        <f>'Electric CE'!T33</f>
        <v>0</v>
      </c>
      <c r="F30" s="430">
        <f>'Electric CE'!U33</f>
        <v>2.1707914399132386</v>
      </c>
      <c r="G30" s="431">
        <f>'Electric CE'!V33</f>
        <v>2.4613556427867809</v>
      </c>
      <c r="H30" s="410"/>
      <c r="J30" s="424" t="str">
        <f>'Gas CE'!C33</f>
        <v>Small Business Direct Install</v>
      </c>
      <c r="K30" s="425">
        <f>'Gas CE'!H33</f>
        <v>1862</v>
      </c>
      <c r="L30" s="403">
        <f>'Gas CE'!N33</f>
        <v>34610.57</v>
      </c>
      <c r="M30" s="426">
        <f>'Gas CE'!T33</f>
        <v>7466.022413300997</v>
      </c>
      <c r="N30" s="434">
        <f>'Gas CE'!U33</f>
        <v>0.54759586084590506</v>
      </c>
      <c r="O30" s="435">
        <f>'Gas CE'!V33</f>
        <v>0.75803673466194765</v>
      </c>
    </row>
    <row r="31" spans="1:19">
      <c r="A31" s="441"/>
      <c r="B31" s="427" t="s">
        <v>484</v>
      </c>
      <c r="C31" s="428">
        <f>'Electric CE'!H35</f>
        <v>21965971.400000013</v>
      </c>
      <c r="D31" s="429">
        <f>'Electric CE'!N35</f>
        <v>3030735.44</v>
      </c>
      <c r="E31" s="429">
        <f>'Electric CE'!T35</f>
        <v>0</v>
      </c>
      <c r="F31" s="430">
        <f>'Electric CE'!U35</f>
        <v>6.5215907687770969</v>
      </c>
      <c r="G31" s="431">
        <f>'Electric CE'!V35</f>
        <v>5.785758259909632</v>
      </c>
      <c r="H31" s="410"/>
      <c r="J31" s="436" t="s">
        <v>485</v>
      </c>
      <c r="K31" s="437">
        <f>SUM(K23:K30)</f>
        <v>2966190.4</v>
      </c>
      <c r="L31" s="438">
        <f>SUM(L23:L30)</f>
        <v>10335279.280000001</v>
      </c>
      <c r="M31" s="438">
        <f>SUM(M23:M30)</f>
        <v>4526507.7925468897</v>
      </c>
      <c r="N31" s="439">
        <f>'Gas CE'!U34</f>
        <v>2.2195762881405821</v>
      </c>
      <c r="O31" s="440">
        <f>'Gas CE'!V34</f>
        <v>2.2923809636009547</v>
      </c>
    </row>
    <row r="32" spans="1:19">
      <c r="A32" s="433"/>
      <c r="B32" s="427" t="s">
        <v>454</v>
      </c>
      <c r="C32" s="428">
        <f>'Electric CE'!H36</f>
        <v>679997.59</v>
      </c>
      <c r="D32" s="429">
        <f>'Electric CE'!N36</f>
        <v>288495.48</v>
      </c>
      <c r="E32" s="429">
        <f>'Electric CE'!T36</f>
        <v>1612118.4087347207</v>
      </c>
      <c r="F32" s="430">
        <f>'Electric CE'!U36</f>
        <v>2.1987213216958725</v>
      </c>
      <c r="G32" s="431">
        <f>'Electric CE'!V36</f>
        <v>9.445515906756917</v>
      </c>
      <c r="H32" s="410"/>
      <c r="J32" s="442" t="s">
        <v>399</v>
      </c>
      <c r="K32" s="443">
        <f>'Gas CE'!H38</f>
        <v>10200</v>
      </c>
      <c r="L32" s="444">
        <f>'Gas CE'!N38</f>
        <v>74400.320000000007</v>
      </c>
      <c r="M32" s="444">
        <f>'Gas CE'!T38</f>
        <v>0</v>
      </c>
      <c r="N32" s="434">
        <f>'Gas CE'!U38</f>
        <v>0.58919195932149182</v>
      </c>
      <c r="O32" s="435">
        <f>'Gas CE'!V38</f>
        <v>0.88362460301571577</v>
      </c>
    </row>
    <row r="33" spans="1:19">
      <c r="B33" s="427" t="s">
        <v>455</v>
      </c>
      <c r="C33" s="428">
        <f>'Electric CE'!H37</f>
        <v>1330396.1100000001</v>
      </c>
      <c r="D33" s="429">
        <f>'Electric CE'!N37</f>
        <v>394482.74</v>
      </c>
      <c r="E33" s="429">
        <f>'Electric CE'!T37</f>
        <v>0</v>
      </c>
      <c r="F33" s="430">
        <f>'Electric CE'!U37</f>
        <v>3.9335124042203971</v>
      </c>
      <c r="G33" s="431">
        <f>'Electric CE'!V37</f>
        <v>1.856899231218009</v>
      </c>
      <c r="H33" s="410"/>
      <c r="J33" s="442" t="s">
        <v>486</v>
      </c>
      <c r="K33" s="443">
        <f>'Gas CE'!H39</f>
        <v>0</v>
      </c>
      <c r="L33" s="444">
        <f>'Gas CE'!N39</f>
        <v>828.63</v>
      </c>
      <c r="M33" s="444">
        <f>'Gas CE'!T39</f>
        <v>0</v>
      </c>
      <c r="N33" s="434">
        <f>'Gas CE'!U39</f>
        <v>0</v>
      </c>
      <c r="O33" s="435">
        <f>'Gas CE'!V39</f>
        <v>0</v>
      </c>
    </row>
    <row r="34" spans="1:19">
      <c r="B34" s="427" t="s">
        <v>394</v>
      </c>
      <c r="C34" s="428">
        <f>'Electric CE'!H38</f>
        <v>886389</v>
      </c>
      <c r="D34" s="429">
        <f>'Electric CE'!N38</f>
        <v>837852.2300000001</v>
      </c>
      <c r="E34" s="429">
        <f>'Electric CE'!T38</f>
        <v>0</v>
      </c>
      <c r="F34" s="430">
        <f>'Electric CE'!U38</f>
        <v>1.5522390139522975</v>
      </c>
      <c r="G34" s="431">
        <f>'Electric CE'!V38</f>
        <v>1.2474328719870562</v>
      </c>
      <c r="H34" s="410"/>
      <c r="J34" s="436" t="s">
        <v>401</v>
      </c>
      <c r="K34" s="437">
        <f>SUM(K32:K33)</f>
        <v>10200</v>
      </c>
      <c r="L34" s="437">
        <f>SUM(L32:L33)</f>
        <v>75228.950000000012</v>
      </c>
      <c r="M34" s="437">
        <f>SUM(M32:M33)</f>
        <v>0</v>
      </c>
      <c r="N34" s="439">
        <f>SUM(N32:N33)</f>
        <v>0.58919195932149182</v>
      </c>
      <c r="O34" s="440">
        <f>SUM(O32:O33)</f>
        <v>0.88362460301571577</v>
      </c>
    </row>
    <row r="35" spans="1:19">
      <c r="B35" s="427" t="s">
        <v>395</v>
      </c>
      <c r="C35" s="428">
        <f>'Electric CE'!H39</f>
        <v>23941235.870000001</v>
      </c>
      <c r="D35" s="429">
        <f>'Electric CE'!N39</f>
        <v>12671565.1</v>
      </c>
      <c r="E35" s="429">
        <f>'Electric CE'!T39</f>
        <v>3609.8716602322893</v>
      </c>
      <c r="F35" s="430">
        <f>'Electric CE'!U39</f>
        <v>1.8991473496517506</v>
      </c>
      <c r="G35" s="431">
        <f>'Electric CE'!V39</f>
        <v>2.2803031369852138</v>
      </c>
      <c r="H35" s="406"/>
      <c r="I35" s="432"/>
      <c r="J35" s="427" t="s">
        <v>487</v>
      </c>
      <c r="K35" s="428">
        <f>'Gas CE'!H35</f>
        <v>0</v>
      </c>
      <c r="L35" s="429">
        <f>'Gas CE'!N35</f>
        <v>1563521.19</v>
      </c>
      <c r="M35" s="429">
        <f>'Gas CE'!T35</f>
        <v>0</v>
      </c>
      <c r="N35" s="430">
        <f>'Gas CE'!U35</f>
        <v>0</v>
      </c>
      <c r="O35" s="431">
        <f>'Gas CE'!V35</f>
        <v>0</v>
      </c>
      <c r="P35" s="432"/>
      <c r="S35" s="432"/>
    </row>
    <row r="36" spans="1:19" s="432" customFormat="1">
      <c r="A36"/>
      <c r="B36" s="427" t="s">
        <v>396</v>
      </c>
      <c r="C36" s="428">
        <f>'Electric CE'!H40</f>
        <v>605487</v>
      </c>
      <c r="D36" s="429">
        <f>'Electric CE'!N40</f>
        <v>601394.97</v>
      </c>
      <c r="E36" s="429">
        <f>'Electric CE'!T40</f>
        <v>0</v>
      </c>
      <c r="F36" s="430">
        <f>'Electric CE'!U40</f>
        <v>1.2652501428812988</v>
      </c>
      <c r="G36" s="431">
        <f>'Electric CE'!V40</f>
        <v>1.3391729651049209</v>
      </c>
      <c r="H36" s="410"/>
      <c r="I36" s="441"/>
      <c r="J36" s="427" t="s">
        <v>406</v>
      </c>
      <c r="K36" s="428">
        <f>'Gas CE'!H36</f>
        <v>0</v>
      </c>
      <c r="L36" s="429">
        <f>'Gas CE'!N36</f>
        <v>10978.16</v>
      </c>
      <c r="M36" s="429">
        <f>'Gas CE'!T36</f>
        <v>0</v>
      </c>
      <c r="N36" s="430">
        <f>'Gas CE'!U36</f>
        <v>0</v>
      </c>
      <c r="O36" s="431">
        <f>'Gas CE'!V36</f>
        <v>0</v>
      </c>
      <c r="P36" s="441"/>
      <c r="S36" s="441"/>
    </row>
    <row r="37" spans="1:19" s="441" customFormat="1">
      <c r="A37"/>
      <c r="B37" s="445" t="s">
        <v>485</v>
      </c>
      <c r="C37" s="446">
        <f>SUM(C25:C36)</f>
        <v>226949961.47000003</v>
      </c>
      <c r="D37" s="447">
        <f>SUM(D25:D36)</f>
        <v>65544165.560000002</v>
      </c>
      <c r="E37" s="447">
        <f>SUM(E25:E36)</f>
        <v>1615728.280394953</v>
      </c>
      <c r="F37" s="448">
        <f>'Electric CE'!U41</f>
        <v>3.6505139754067972</v>
      </c>
      <c r="G37" s="449">
        <f>'Electric CE'!V41</f>
        <v>2.4112723262905491</v>
      </c>
      <c r="H37" s="410"/>
      <c r="J37" s="436" t="s">
        <v>459</v>
      </c>
      <c r="K37" s="438">
        <f>SUM(K35:K36)</f>
        <v>0</v>
      </c>
      <c r="L37" s="438">
        <f>SUM(L35:L36)</f>
        <v>1574499.3499999999</v>
      </c>
      <c r="M37" s="438">
        <f>SUM(M35:M36)</f>
        <v>0</v>
      </c>
      <c r="N37" s="439">
        <f>SUM(N35:N36)</f>
        <v>0</v>
      </c>
      <c r="O37" s="440">
        <f>SUM(O35:O36)</f>
        <v>0</v>
      </c>
    </row>
    <row r="38" spans="1:19" s="441" customFormat="1">
      <c r="A38"/>
      <c r="B38" s="427" t="str">
        <f>'Electric CE'!C42</f>
        <v>Residential Pilots</v>
      </c>
      <c r="C38" s="428">
        <f>'Electric CE'!H42</f>
        <v>204000</v>
      </c>
      <c r="D38" s="429">
        <f>'Electric CE'!N42</f>
        <v>671679.5</v>
      </c>
      <c r="E38" s="444">
        <f>'Electric CE'!T42</f>
        <v>0</v>
      </c>
      <c r="F38" s="498">
        <f>IFERROR('Electric CE'!U42,"-")</f>
        <v>7.127122317545051E-2</v>
      </c>
      <c r="G38" s="499">
        <f>IFERROR('Electric CE'!V42,"-")</f>
        <v>9.1373998999756248E-2</v>
      </c>
      <c r="H38" s="410"/>
      <c r="J38" s="452" t="s">
        <v>488</v>
      </c>
      <c r="K38" s="453">
        <f>'Gas CE'!H57</f>
        <v>0</v>
      </c>
      <c r="L38" s="411">
        <f>'Gas CE'!N55</f>
        <v>2662233.1300000004</v>
      </c>
      <c r="M38" s="411">
        <f>'Gas CE'!T57</f>
        <v>0</v>
      </c>
      <c r="N38" s="454"/>
      <c r="O38" s="455"/>
      <c r="S38" s="433"/>
    </row>
    <row r="39" spans="1:19" s="441" customFormat="1">
      <c r="A39"/>
      <c r="B39" s="427" t="s">
        <v>486</v>
      </c>
      <c r="C39" s="428">
        <f>'Electric CE'!H43</f>
        <v>607491</v>
      </c>
      <c r="D39" s="429">
        <f>'Electric CE'!N43</f>
        <v>233297.59999999998</v>
      </c>
      <c r="E39" s="444">
        <f>'Electric CE'!T43</f>
        <v>0</v>
      </c>
      <c r="F39" s="450">
        <f>'Electric CE'!U43</f>
        <v>2.5729113832454606</v>
      </c>
      <c r="G39" s="451">
        <f>'Electric CE'!V43</f>
        <v>2.8302025215700071</v>
      </c>
      <c r="H39" s="410"/>
      <c r="I39" s="433"/>
      <c r="J39" s="452" t="s">
        <v>490</v>
      </c>
      <c r="K39" s="453">
        <f>'Gas CE'!H60</f>
        <v>0</v>
      </c>
      <c r="L39" s="411">
        <f>'Gas CE'!I60</f>
        <v>877481.79</v>
      </c>
      <c r="M39" s="411">
        <f>'Gas CE'!T60</f>
        <v>0</v>
      </c>
      <c r="N39" s="454"/>
      <c r="O39" s="455"/>
      <c r="P39" s="433"/>
      <c r="S39" s="433"/>
    </row>
    <row r="40" spans="1:19" s="433" customFormat="1" ht="15.75" thickBot="1">
      <c r="A40" s="432"/>
      <c r="B40" s="445" t="s">
        <v>489</v>
      </c>
      <c r="C40" s="446">
        <f>SUM(C38:C39)</f>
        <v>811491</v>
      </c>
      <c r="D40" s="447">
        <f>SUM(D38:D39)</f>
        <v>904977.1</v>
      </c>
      <c r="E40" s="447">
        <f>'Electric CE'!T44</f>
        <v>0</v>
      </c>
      <c r="F40" s="448">
        <f>'Electric CE'!U44</f>
        <v>0.7161788627256106</v>
      </c>
      <c r="G40" s="449">
        <f>'Electric CE'!V44</f>
        <v>0.88061113216144649</v>
      </c>
      <c r="H40" s="410"/>
      <c r="I40"/>
      <c r="J40" s="456" t="s">
        <v>491</v>
      </c>
      <c r="K40" s="457">
        <f>K22+K31+K34</f>
        <v>6752266.3800000008</v>
      </c>
      <c r="L40" s="457">
        <f>L22+L31+L34+L37+L38+L39</f>
        <v>29671642.289999999</v>
      </c>
      <c r="M40" s="457">
        <f>M22+M31</f>
        <v>7195385.8718468975</v>
      </c>
      <c r="N40" s="458">
        <f>'Gas CE'!U62</f>
        <v>2.1300894727263673</v>
      </c>
      <c r="O40" s="459">
        <f>'Gas CE'!V62</f>
        <v>1.5846628695336711</v>
      </c>
      <c r="P40"/>
      <c r="S40"/>
    </row>
    <row r="41" spans="1:19">
      <c r="B41" s="427" t="str">
        <f>'Electric CE'!C45</f>
        <v>Northwest Energy Efficiency Alliance</v>
      </c>
      <c r="C41" s="428">
        <f>'Electric CE'!H45</f>
        <v>22951200</v>
      </c>
      <c r="D41" s="429">
        <f>'Electric CE'!N45</f>
        <v>7940964.6100000013</v>
      </c>
      <c r="E41" s="429">
        <f>'Electric CE'!T45</f>
        <v>0</v>
      </c>
      <c r="F41" s="430">
        <f>'Electric CE'!U45</f>
        <v>1.1070435830027736</v>
      </c>
      <c r="G41" s="431">
        <f>'Electric CE'!V45</f>
        <v>3.8592007097715526</v>
      </c>
      <c r="H41" s="410"/>
      <c r="J41" s="460" t="s">
        <v>492</v>
      </c>
      <c r="K41" s="461">
        <f>'Gas CE'!H66</f>
        <v>0</v>
      </c>
      <c r="L41" s="462">
        <f>'Gas CE'!N66</f>
        <v>0</v>
      </c>
      <c r="M41" s="462"/>
      <c r="N41" s="463" t="s">
        <v>493</v>
      </c>
      <c r="O41" s="464" t="s">
        <v>493</v>
      </c>
    </row>
    <row r="42" spans="1:19" ht="15.75" thickBot="1">
      <c r="B42" s="427" t="s">
        <v>406</v>
      </c>
      <c r="C42" s="428">
        <f>'Electric CE'!H47</f>
        <v>0</v>
      </c>
      <c r="D42" s="429">
        <f>'Electric CE'!N47</f>
        <v>25615.18</v>
      </c>
      <c r="E42" s="429">
        <f>'Electric CE'!T47</f>
        <v>0</v>
      </c>
      <c r="F42" s="430">
        <f>'Electric CE'!U47</f>
        <v>0</v>
      </c>
      <c r="G42" s="431">
        <f>'Electric CE'!V47</f>
        <v>0</v>
      </c>
      <c r="H42" s="410"/>
      <c r="J42" s="465" t="s">
        <v>494</v>
      </c>
      <c r="K42" s="466">
        <f>K21+K31+K34</f>
        <v>6783778.0000000009</v>
      </c>
      <c r="L42" s="466">
        <f>L21+L31+L37+L38+L39+L34+L41</f>
        <v>30925824.560000002</v>
      </c>
      <c r="M42" s="466">
        <f>M21+M31+M34</f>
        <v>7199473.7762812283</v>
      </c>
      <c r="N42" s="467"/>
      <c r="O42" s="468"/>
    </row>
    <row r="43" spans="1:19">
      <c r="B43" s="427" t="str">
        <f>'Electric CE'!C46</f>
        <v>Transmission &amp; Distribution</v>
      </c>
      <c r="C43" s="428">
        <f>'Electric CE'!H46</f>
        <v>2723134</v>
      </c>
      <c r="D43" s="429">
        <f>'Electric CE'!N46</f>
        <v>0</v>
      </c>
      <c r="E43" s="429">
        <f>'Electric CE'!T46</f>
        <v>0</v>
      </c>
      <c r="F43" s="430">
        <f>'Electric CE'!U46</f>
        <v>0</v>
      </c>
      <c r="G43" s="431">
        <f>'Electric CE'!V46</f>
        <v>13.658326326285659</v>
      </c>
      <c r="H43" s="410"/>
    </row>
    <row r="44" spans="1:19" ht="15.75" thickBot="1">
      <c r="B44" s="469" t="s">
        <v>459</v>
      </c>
      <c r="C44" s="470">
        <f>SUM(C41:C43)</f>
        <v>25674334</v>
      </c>
      <c r="D44" s="471">
        <f>SUM(D41:D43)</f>
        <v>7966579.790000001</v>
      </c>
      <c r="E44" s="471">
        <f>'Electric CE'!T48</f>
        <v>0</v>
      </c>
      <c r="F44" s="472">
        <f>'Electric CE'!U48</f>
        <v>1.4857166647173823</v>
      </c>
      <c r="G44" s="473">
        <f>'Electric CE'!V48</f>
        <v>4.6791953535365813</v>
      </c>
      <c r="H44" s="421"/>
      <c r="L44" s="396"/>
      <c r="N44" s="396"/>
      <c r="O44" s="479"/>
    </row>
    <row r="45" spans="1:19" ht="15.75" thickTop="1">
      <c r="B45" s="474" t="s">
        <v>488</v>
      </c>
      <c r="C45" s="475">
        <f>'Electric CE'!H63</f>
        <v>0</v>
      </c>
      <c r="D45" s="476">
        <f>'Electric CE'!$N$63</f>
        <v>16203175.319999998</v>
      </c>
      <c r="E45" s="476">
        <f>'Electric CE'!T63</f>
        <v>0</v>
      </c>
      <c r="F45" s="477"/>
      <c r="G45" s="478"/>
      <c r="H45" s="406"/>
    </row>
    <row r="46" spans="1:19">
      <c r="B46" s="474" t="s">
        <v>490</v>
      </c>
      <c r="C46" s="475">
        <f>'Electric CE'!H69</f>
        <v>0</v>
      </c>
      <c r="D46" s="476">
        <f>'Electric CE'!$N$69</f>
        <v>4705165.4300000006</v>
      </c>
      <c r="E46" s="476">
        <f>'Electric CE'!T69</f>
        <v>0</v>
      </c>
      <c r="F46" s="477"/>
      <c r="G46" s="478"/>
      <c r="H46" s="410"/>
      <c r="I46" s="432"/>
      <c r="J46" t="s">
        <v>495</v>
      </c>
      <c r="P46" s="432"/>
      <c r="S46" s="432"/>
    </row>
    <row r="47" spans="1:19" s="432" customFormat="1">
      <c r="A47"/>
      <c r="B47" s="480"/>
      <c r="C47" s="461"/>
      <c r="D47" s="462"/>
      <c r="E47" s="462"/>
      <c r="F47" s="481"/>
      <c r="G47" s="482"/>
      <c r="H47" s="421"/>
      <c r="I47"/>
      <c r="J47" t="s">
        <v>497</v>
      </c>
      <c r="K47"/>
      <c r="L47"/>
      <c r="M47"/>
      <c r="N47"/>
      <c r="O47"/>
      <c r="P47"/>
      <c r="S47"/>
    </row>
    <row r="48" spans="1:19" ht="15.75" thickBot="1">
      <c r="B48" s="456" t="s">
        <v>496</v>
      </c>
      <c r="C48" s="457">
        <f>C24+C37+C40+C44</f>
        <v>386183324.56999958</v>
      </c>
      <c r="D48" s="457">
        <f>D24+D37+D40+D44+D45+D46</f>
        <v>137550527.06</v>
      </c>
      <c r="E48" s="457">
        <f>E24+E37</f>
        <v>6352546.873922118</v>
      </c>
      <c r="F48" s="458">
        <f>'Electric CE'!U70</f>
        <v>2.6275207576188229</v>
      </c>
      <c r="G48" s="459">
        <f>'Electric CE'!V70</f>
        <v>1.9968814453077086</v>
      </c>
      <c r="H48" s="410"/>
      <c r="J48" t="s">
        <v>498</v>
      </c>
    </row>
    <row r="49" spans="2:15">
      <c r="B49" s="480"/>
      <c r="C49" s="461"/>
      <c r="D49" s="462"/>
      <c r="E49" s="462"/>
      <c r="F49" s="481"/>
      <c r="G49" s="482"/>
      <c r="H49" s="410"/>
      <c r="J49" s="483" t="s">
        <v>500</v>
      </c>
      <c r="K49" s="432"/>
      <c r="L49" s="432"/>
      <c r="M49" s="432"/>
      <c r="N49" s="432"/>
      <c r="O49" s="432"/>
    </row>
    <row r="50" spans="2:15">
      <c r="B50" s="480" t="s">
        <v>499</v>
      </c>
      <c r="C50" s="461">
        <f>'Electric CE'!H74</f>
        <v>0</v>
      </c>
      <c r="D50" s="462">
        <f>'Electric CE'!N74</f>
        <v>5521224.79</v>
      </c>
      <c r="E50" s="462"/>
      <c r="F50" s="463" t="s">
        <v>493</v>
      </c>
      <c r="G50" s="464" t="s">
        <v>493</v>
      </c>
      <c r="H50" s="421"/>
      <c r="J50" s="396"/>
      <c r="K50" s="396"/>
      <c r="L50" s="396"/>
      <c r="M50" s="396"/>
      <c r="N50" s="396"/>
      <c r="O50" s="396"/>
    </row>
    <row r="51" spans="2:15" ht="15.75" thickBot="1">
      <c r="B51" s="484" t="s">
        <v>501</v>
      </c>
      <c r="C51" s="485">
        <f>C23+C37+C40+C44+C50</f>
        <v>388491213.45999956</v>
      </c>
      <c r="D51" s="485">
        <f>D23+D37+D40+D44+D45+D46+D50</f>
        <v>150196956.67000002</v>
      </c>
      <c r="E51" s="485">
        <f>E48</f>
        <v>6352546.873922118</v>
      </c>
      <c r="F51" s="486"/>
      <c r="G51" s="487"/>
      <c r="H51" s="406"/>
      <c r="J51" s="396" t="s">
        <v>502</v>
      </c>
      <c r="K51" s="396"/>
      <c r="L51" s="396"/>
      <c r="M51" s="396"/>
      <c r="N51" s="396"/>
      <c r="O51" s="396"/>
    </row>
    <row r="52" spans="2:15">
      <c r="H52" s="406"/>
      <c r="J52" s="396" t="s">
        <v>503</v>
      </c>
      <c r="K52" s="396"/>
      <c r="L52" s="396"/>
      <c r="M52" s="396"/>
      <c r="N52" s="396"/>
      <c r="O52" s="396"/>
    </row>
    <row r="53" spans="2:15">
      <c r="B53" s="432"/>
      <c r="D53" s="488"/>
      <c r="E53" s="489"/>
      <c r="H53" s="406"/>
      <c r="J53" s="396" t="s">
        <v>504</v>
      </c>
      <c r="K53" s="396"/>
      <c r="L53" s="396"/>
      <c r="M53" s="396"/>
      <c r="N53" s="396"/>
      <c r="O53" s="396"/>
    </row>
    <row r="54" spans="2:15">
      <c r="D54" s="490"/>
      <c r="E54" s="489"/>
      <c r="H54" s="491"/>
      <c r="J54" s="396" t="s">
        <v>505</v>
      </c>
      <c r="K54" s="396"/>
      <c r="L54" s="396"/>
      <c r="M54" s="396"/>
      <c r="N54" s="396"/>
      <c r="O54" s="396"/>
    </row>
    <row r="55" spans="2:15">
      <c r="E55" s="421"/>
      <c r="H55" s="406"/>
    </row>
    <row r="56" spans="2:15">
      <c r="H56" s="492"/>
    </row>
    <row r="57" spans="2:15">
      <c r="F57" s="493"/>
      <c r="G57" s="479" t="s">
        <v>506</v>
      </c>
      <c r="H57" s="491"/>
    </row>
  </sheetData>
  <pageMargins left="0.5" right="0.5" top="0.75" bottom="0.75" header="0.3" footer="0.3"/>
  <pageSetup paperSize="5" scale="57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35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18230626</v>
      </c>
      <c r="D2" s="20" t="s">
        <v>79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100">
        <v>18230626</v>
      </c>
      <c r="D5" s="100" t="s">
        <v>79</v>
      </c>
      <c r="E5" s="38" t="s">
        <v>594</v>
      </c>
      <c r="F5" s="39" t="s">
        <v>595</v>
      </c>
      <c r="G5" s="39">
        <v>13</v>
      </c>
      <c r="H5" s="39"/>
      <c r="I5" s="40" t="s">
        <v>265</v>
      </c>
      <c r="J5" s="41">
        <v>-1</v>
      </c>
      <c r="K5" s="41">
        <v>1255</v>
      </c>
      <c r="L5" s="41"/>
      <c r="M5" s="42">
        <v>500</v>
      </c>
      <c r="N5" s="42">
        <v>629.16999999999996</v>
      </c>
      <c r="O5" s="43">
        <v>-1255</v>
      </c>
      <c r="P5" s="44">
        <v>0</v>
      </c>
      <c r="Q5" s="44">
        <v>-629.16999999999996</v>
      </c>
      <c r="R5" s="45">
        <v>0</v>
      </c>
      <c r="S5" s="46">
        <v>0</v>
      </c>
      <c r="T5" s="39">
        <f t="shared" ref="T5:T24" si="0">G5+H5</f>
        <v>13</v>
      </c>
      <c r="U5" s="47">
        <f t="shared" ref="U5:U24" si="1">(O5/$A$10)*T5</f>
        <v>-4.4490327399233547E-3</v>
      </c>
      <c r="V5" s="48">
        <f t="shared" ref="V5:V24" si="2">N5-M5</f>
        <v>129.16999999999996</v>
      </c>
      <c r="W5" s="49">
        <f t="shared" ref="W5:W24" si="3">(O5/A$10)</f>
        <v>-3.4223328768641191E-4</v>
      </c>
      <c r="X5" s="44">
        <f t="shared" ref="X5:X24" si="4">W5*A$8</f>
        <v>-156.0788447356075</v>
      </c>
      <c r="Y5" s="44">
        <f t="shared" ref="Y5:Y24" si="5">Q5-P5</f>
        <v>-629.16999999999996</v>
      </c>
      <c r="Z5" s="44">
        <f t="shared" ref="Z5:Z24" si="6">X5+(A$6*W5)</f>
        <v>-769.38007844543245</v>
      </c>
      <c r="AA5" s="50">
        <f t="shared" ref="AA5:AA24" si="7">Q5+X5</f>
        <v>-785.24884473560746</v>
      </c>
      <c r="AB5" s="51">
        <f t="shared" ref="AB5:AC20" si="8">Z5/(1+ElecDiscountRate)^1</f>
        <v>-719.24846073238518</v>
      </c>
      <c r="AC5" s="44">
        <f t="shared" si="8"/>
        <v>-734.08324271815218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0.95298626106018935</v>
      </c>
      <c r="AG5" s="44">
        <f t="shared" ref="AG5:AG24" si="10">AF5*J5*K5</f>
        <v>-1195.9977576305375</v>
      </c>
      <c r="AH5" s="52">
        <f>HLOOKUP(I5,ElecAvoidedCostsWOCC!$A$5:$Q$50,T5+1,FALSE)</f>
        <v>0.95298626106018935</v>
      </c>
      <c r="AI5" s="44">
        <f t="shared" ref="AI5:AI24" si="11">AH5*J5*L5</f>
        <v>0</v>
      </c>
      <c r="AJ5" s="44">
        <f>AG5+AI5</f>
        <v>-1195.9977576305375</v>
      </c>
      <c r="AK5" s="44">
        <f>HLOOKUP(I5,ElecAvoidedCostsWOCC!$A$5:$Q$50,G5+1,FALSE)*J5*L5</f>
        <v>0</v>
      </c>
      <c r="AL5" s="44">
        <f>AG5+AI5-AK5</f>
        <v>-1195.9977576305375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-1195.9977576305375</v>
      </c>
      <c r="AN5" s="48">
        <f>AM5*1.1+AD5+AE5</f>
        <v>-1315.5975333935914</v>
      </c>
      <c r="AO5" s="47">
        <f>IFERROR(AM5/AB5,0)</f>
        <v>1.6628436804893478</v>
      </c>
      <c r="AP5" s="47">
        <f>AN5/AC5</f>
        <v>1.7921639629345265</v>
      </c>
      <c r="AQ5">
        <v>2021</v>
      </c>
    </row>
    <row r="6" spans="1:43" ht="13.5" customHeight="1">
      <c r="A6" s="53">
        <f>SUMIF('Program Costs'!D:D,C2,'Program Costs'!L:L)</f>
        <v>1792056.05</v>
      </c>
      <c r="B6" s="97" t="s">
        <v>15</v>
      </c>
      <c r="C6" s="100">
        <v>18230626</v>
      </c>
      <c r="D6" s="100" t="s">
        <v>79</v>
      </c>
      <c r="E6" s="38" t="s">
        <v>596</v>
      </c>
      <c r="F6" s="39" t="s">
        <v>597</v>
      </c>
      <c r="G6" s="39">
        <v>13</v>
      </c>
      <c r="H6" s="39"/>
      <c r="I6" s="40" t="s">
        <v>265</v>
      </c>
      <c r="J6" s="41">
        <v>1</v>
      </c>
      <c r="K6" s="41">
        <v>1225</v>
      </c>
      <c r="L6" s="41"/>
      <c r="M6" s="42">
        <v>1000</v>
      </c>
      <c r="N6" s="42">
        <v>1369</v>
      </c>
      <c r="O6" s="43">
        <v>1225</v>
      </c>
      <c r="P6" s="44">
        <v>1000</v>
      </c>
      <c r="Q6" s="44">
        <v>1369</v>
      </c>
      <c r="R6" s="45">
        <v>0</v>
      </c>
      <c r="S6" s="46">
        <v>0</v>
      </c>
      <c r="T6" s="39">
        <f t="shared" si="0"/>
        <v>13</v>
      </c>
      <c r="U6" s="47">
        <f t="shared" si="1"/>
        <v>4.342681359686143E-3</v>
      </c>
      <c r="V6" s="48">
        <f t="shared" si="2"/>
        <v>369</v>
      </c>
      <c r="W6" s="49">
        <f t="shared" si="3"/>
        <v>3.3405241228354947E-4</v>
      </c>
      <c r="X6" s="44">
        <f t="shared" si="4"/>
        <v>152.34787633555314</v>
      </c>
      <c r="Y6" s="44">
        <f t="shared" si="5"/>
        <v>369</v>
      </c>
      <c r="Z6" s="44">
        <f t="shared" si="6"/>
        <v>750.98852278538232</v>
      </c>
      <c r="AA6" s="50">
        <f t="shared" si="7"/>
        <v>1521.3478763355531</v>
      </c>
      <c r="AB6" s="51">
        <f t="shared" si="8"/>
        <v>702.05527043599352</v>
      </c>
      <c r="AC6" s="44">
        <f t="shared" si="8"/>
        <v>1422.2191982196439</v>
      </c>
      <c r="AD6" s="44">
        <f t="shared" si="9"/>
        <v>0</v>
      </c>
      <c r="AE6" s="44">
        <v>0</v>
      </c>
      <c r="AF6" s="52">
        <f>HLOOKUP(I6,ElecAvoidedCostsWOCC!$A$5:$Q$50,G6+1,FALSE)</f>
        <v>0.95298626106018935</v>
      </c>
      <c r="AG6" s="44">
        <f t="shared" si="10"/>
        <v>1167.4081697987319</v>
      </c>
      <c r="AH6" s="52">
        <f>HLOOKUP(I6,ElecAvoidedCostsWOCC!$A$5:$Q$50,T6+1,FALSE)</f>
        <v>0.95298626106018935</v>
      </c>
      <c r="AI6" s="44">
        <f t="shared" si="11"/>
        <v>0</v>
      </c>
      <c r="AJ6" s="44">
        <f t="shared" ref="AJ6:AJ24" si="12">AG6+AI6</f>
        <v>1167.4081697987319</v>
      </c>
      <c r="AK6" s="44">
        <f>HLOOKUP(I6,ElecAvoidedCostsWOCC!$A$5:$Q$50,G6+1,FALSE)*J6*L6</f>
        <v>0</v>
      </c>
      <c r="AL6" s="44">
        <f t="shared" ref="AL6:AL24" si="13">AG6+AI6-AK6</f>
        <v>1167.4081697987319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1167.4081697987319</v>
      </c>
      <c r="AN6" s="48">
        <f t="shared" ref="AN6:AN24" si="14">AM6*1.1+AD6+AE6</f>
        <v>1284.1489867786051</v>
      </c>
      <c r="AO6" s="47">
        <f t="shared" ref="AO6:AO24" si="15">IFERROR(AM6/AB6,0)</f>
        <v>1.6628436804893478</v>
      </c>
      <c r="AP6" s="47">
        <f t="shared" ref="AP6:AP24" si="16">AN6/AC6</f>
        <v>0.90291917616224193</v>
      </c>
      <c r="AQ6">
        <v>2021</v>
      </c>
    </row>
    <row r="7" spans="1:43" ht="13.5" customHeight="1">
      <c r="A7" s="36" t="s">
        <v>249</v>
      </c>
      <c r="B7" s="97" t="s">
        <v>15</v>
      </c>
      <c r="C7" s="100">
        <v>18230626</v>
      </c>
      <c r="D7" s="100" t="s">
        <v>79</v>
      </c>
      <c r="E7" s="38" t="s">
        <v>598</v>
      </c>
      <c r="F7" s="39" t="s">
        <v>599</v>
      </c>
      <c r="G7" s="39">
        <v>13</v>
      </c>
      <c r="H7" s="39"/>
      <c r="I7" s="40" t="s">
        <v>265</v>
      </c>
      <c r="J7" s="41">
        <v>65</v>
      </c>
      <c r="K7" s="41">
        <v>1225</v>
      </c>
      <c r="L7" s="41"/>
      <c r="M7" s="42">
        <v>500</v>
      </c>
      <c r="N7" s="42">
        <v>629.16999999999996</v>
      </c>
      <c r="O7" s="43">
        <v>79625</v>
      </c>
      <c r="P7" s="44">
        <v>32500</v>
      </c>
      <c r="Q7" s="44">
        <v>40896.049999999901</v>
      </c>
      <c r="R7" s="45">
        <v>0</v>
      </c>
      <c r="S7" s="46">
        <v>0</v>
      </c>
      <c r="T7" s="39">
        <f t="shared" si="0"/>
        <v>13</v>
      </c>
      <c r="U7" s="47">
        <f t="shared" si="1"/>
        <v>0.28227428837959934</v>
      </c>
      <c r="V7" s="48">
        <f t="shared" si="2"/>
        <v>129.16999999999996</v>
      </c>
      <c r="W7" s="49">
        <f t="shared" si="3"/>
        <v>2.1713406798430718E-2</v>
      </c>
      <c r="X7" s="44">
        <f t="shared" si="4"/>
        <v>9902.6119618109551</v>
      </c>
      <c r="Y7" s="44">
        <f t="shared" si="5"/>
        <v>8396.049999999901</v>
      </c>
      <c r="Z7" s="44">
        <f t="shared" si="6"/>
        <v>48814.253981049857</v>
      </c>
      <c r="AA7" s="50">
        <f t="shared" si="7"/>
        <v>50798.661961810853</v>
      </c>
      <c r="AB7" s="51">
        <f t="shared" si="8"/>
        <v>45633.59257833958</v>
      </c>
      <c r="AC7" s="44">
        <f t="shared" si="8"/>
        <v>47488.699599710992</v>
      </c>
      <c r="AD7" s="44">
        <f t="shared" si="9"/>
        <v>0</v>
      </c>
      <c r="AE7" s="44">
        <v>0</v>
      </c>
      <c r="AF7" s="52">
        <f>HLOOKUP(I7,ElecAvoidedCostsWOCC!$A$5:$Q$50,G7+1,FALSE)</f>
        <v>0.95298626106018935</v>
      </c>
      <c r="AG7" s="44">
        <f t="shared" si="10"/>
        <v>75881.531036917571</v>
      </c>
      <c r="AH7" s="52">
        <f>HLOOKUP(I7,ElecAvoidedCostsWOCC!$A$5:$Q$50,T7+1,FALSE)</f>
        <v>0.95298626106018935</v>
      </c>
      <c r="AI7" s="44">
        <f t="shared" si="11"/>
        <v>0</v>
      </c>
      <c r="AJ7" s="44">
        <f t="shared" si="12"/>
        <v>75881.531036917571</v>
      </c>
      <c r="AK7" s="44">
        <f>HLOOKUP(I7,ElecAvoidedCostsWOCC!$A$5:$Q$50,G7+1,FALSE)*J7*L7</f>
        <v>0</v>
      </c>
      <c r="AL7" s="44">
        <f t="shared" si="13"/>
        <v>75881.531036917571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75881.531036917571</v>
      </c>
      <c r="AN7" s="48">
        <f t="shared" si="14"/>
        <v>83469.68414060933</v>
      </c>
      <c r="AO7" s="47">
        <f t="shared" si="15"/>
        <v>1.6628436804893478</v>
      </c>
      <c r="AP7" s="47">
        <f t="shared" si="16"/>
        <v>1.7576746645873056</v>
      </c>
      <c r="AQ7">
        <v>2021</v>
      </c>
    </row>
    <row r="8" spans="1:43" ht="13.5" customHeight="1">
      <c r="A8" s="53">
        <f>SUMIF('Program Costs'!D:D,C2,'Program Costs'!O:O)</f>
        <v>456059.80000000005</v>
      </c>
      <c r="B8" s="97" t="s">
        <v>15</v>
      </c>
      <c r="C8" s="100">
        <v>18230626</v>
      </c>
      <c r="D8" s="100" t="s">
        <v>79</v>
      </c>
      <c r="E8" s="38" t="s">
        <v>600</v>
      </c>
      <c r="F8" s="39" t="s">
        <v>601</v>
      </c>
      <c r="G8" s="39"/>
      <c r="H8" s="39"/>
      <c r="I8" s="40"/>
      <c r="J8" s="41">
        <v>5</v>
      </c>
      <c r="K8" s="41">
        <v>0</v>
      </c>
      <c r="L8" s="41"/>
      <c r="M8" s="42">
        <v>500</v>
      </c>
      <c r="N8" s="42">
        <v>0</v>
      </c>
      <c r="O8" s="43">
        <v>0</v>
      </c>
      <c r="P8" s="44">
        <v>2500</v>
      </c>
      <c r="Q8" s="44">
        <v>0</v>
      </c>
      <c r="R8" s="45">
        <v>0</v>
      </c>
      <c r="S8" s="46">
        <v>0</v>
      </c>
      <c r="T8" s="39">
        <f t="shared" si="0"/>
        <v>0</v>
      </c>
      <c r="U8" s="47">
        <f t="shared" si="1"/>
        <v>0</v>
      </c>
      <c r="V8" s="48">
        <f t="shared" si="2"/>
        <v>-500</v>
      </c>
      <c r="W8" s="49">
        <f t="shared" si="3"/>
        <v>0</v>
      </c>
      <c r="X8" s="44">
        <f t="shared" si="4"/>
        <v>0</v>
      </c>
      <c r="Y8" s="44">
        <f t="shared" si="5"/>
        <v>-2500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  <c r="AQ8">
        <v>2021</v>
      </c>
    </row>
    <row r="9" spans="1:43" ht="13.5" customHeight="1">
      <c r="A9" s="36" t="s">
        <v>250</v>
      </c>
      <c r="B9" s="97" t="s">
        <v>15</v>
      </c>
      <c r="C9" s="100">
        <v>18230626</v>
      </c>
      <c r="D9" s="100" t="s">
        <v>79</v>
      </c>
      <c r="E9" s="38" t="s">
        <v>602</v>
      </c>
      <c r="F9" s="39" t="s">
        <v>603</v>
      </c>
      <c r="G9" s="39">
        <v>13</v>
      </c>
      <c r="H9" s="39"/>
      <c r="I9" s="40" t="s">
        <v>265</v>
      </c>
      <c r="J9" s="41">
        <v>990</v>
      </c>
      <c r="K9" s="41"/>
      <c r="L9" s="41"/>
      <c r="M9" s="42">
        <v>500</v>
      </c>
      <c r="N9" s="42">
        <v>751.56</v>
      </c>
      <c r="O9" s="43">
        <v>1570376</v>
      </c>
      <c r="P9" s="44">
        <v>495000</v>
      </c>
      <c r="Q9" s="44">
        <v>744044.40000001504</v>
      </c>
      <c r="R9" s="45">
        <v>0</v>
      </c>
      <c r="S9" s="46">
        <v>0</v>
      </c>
      <c r="T9" s="39">
        <f t="shared" si="0"/>
        <v>13</v>
      </c>
      <c r="U9" s="47">
        <f t="shared" si="1"/>
        <v>5.5670551697130506</v>
      </c>
      <c r="V9" s="48">
        <f t="shared" si="2"/>
        <v>251.55999999999995</v>
      </c>
      <c r="W9" s="49">
        <f t="shared" si="3"/>
        <v>0.42823501305485007</v>
      </c>
      <c r="X9" s="44">
        <f t="shared" si="4"/>
        <v>195300.77440679233</v>
      </c>
      <c r="Y9" s="44">
        <f t="shared" si="5"/>
        <v>249044.40000001504</v>
      </c>
      <c r="Z9" s="44">
        <f t="shared" si="6"/>
        <v>962721.9203735654</v>
      </c>
      <c r="AA9" s="50">
        <f t="shared" si="7"/>
        <v>939345.1744068074</v>
      </c>
      <c r="AB9" s="51">
        <f t="shared" si="8"/>
        <v>899992.44682954601</v>
      </c>
      <c r="AC9" s="44">
        <f t="shared" si="8"/>
        <v>878138.89352791186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0.95298626106018935</v>
      </c>
      <c r="AG9" s="44">
        <f t="shared" si="10"/>
        <v>0</v>
      </c>
      <c r="AH9" s="52">
        <f>HLOOKUP(I9,ElecAvoidedCostsWOCC!$A$5:$Q$50,T9+1,FALSE)</f>
        <v>0.95298626106018935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  <c r="AQ9">
        <v>2021</v>
      </c>
    </row>
    <row r="10" spans="1:43" ht="13.5" customHeight="1">
      <c r="A10" s="54">
        <f>SUM(O5:O999)</f>
        <v>3667089.22</v>
      </c>
      <c r="B10" s="97" t="s">
        <v>15</v>
      </c>
      <c r="C10" s="100">
        <v>18230626</v>
      </c>
      <c r="D10" s="100" t="s">
        <v>79</v>
      </c>
      <c r="E10" s="38" t="s">
        <v>591</v>
      </c>
      <c r="F10" s="39" t="s">
        <v>592</v>
      </c>
      <c r="G10" s="39"/>
      <c r="H10" s="39"/>
      <c r="I10" s="40"/>
      <c r="J10" s="41">
        <v>405</v>
      </c>
      <c r="K10" s="41">
        <v>0</v>
      </c>
      <c r="L10" s="41"/>
      <c r="M10" s="42">
        <v>50</v>
      </c>
      <c r="N10" s="42">
        <v>50</v>
      </c>
      <c r="O10" s="43">
        <v>0</v>
      </c>
      <c r="P10" s="44">
        <v>20250</v>
      </c>
      <c r="Q10" s="44">
        <v>20250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20250</v>
      </c>
      <c r="AB10" s="51">
        <f t="shared" si="8"/>
        <v>0</v>
      </c>
      <c r="AC10" s="44">
        <f t="shared" si="8"/>
        <v>18930.541273254181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  <c r="AQ10">
        <v>2021</v>
      </c>
    </row>
    <row r="11" spans="1:43" ht="13.5" customHeight="1">
      <c r="A11" s="36" t="s">
        <v>251</v>
      </c>
      <c r="B11" s="97" t="s">
        <v>15</v>
      </c>
      <c r="C11" s="100">
        <v>18230626</v>
      </c>
      <c r="D11" s="100" t="s">
        <v>79</v>
      </c>
      <c r="E11" s="38" t="s">
        <v>593</v>
      </c>
      <c r="F11" s="39" t="s">
        <v>592</v>
      </c>
      <c r="G11" s="39"/>
      <c r="H11" s="39"/>
      <c r="I11" s="40"/>
      <c r="J11" s="41">
        <v>585</v>
      </c>
      <c r="K11" s="41">
        <v>0</v>
      </c>
      <c r="L11" s="41"/>
      <c r="M11" s="42">
        <v>50</v>
      </c>
      <c r="N11" s="42">
        <v>0</v>
      </c>
      <c r="O11" s="43">
        <v>0</v>
      </c>
      <c r="P11" s="44">
        <v>29250</v>
      </c>
      <c r="Q11" s="44">
        <v>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-50</v>
      </c>
      <c r="W11" s="49">
        <f t="shared" si="3"/>
        <v>0</v>
      </c>
      <c r="X11" s="44">
        <f t="shared" si="4"/>
        <v>0</v>
      </c>
      <c r="Y11" s="44">
        <f t="shared" si="5"/>
        <v>-29250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  <c r="AQ11">
        <v>2021</v>
      </c>
    </row>
    <row r="12" spans="1:43" ht="13.5" customHeight="1">
      <c r="A12" s="55">
        <f>SUM(P5:P1000)</f>
        <v>1444482.0300000019</v>
      </c>
      <c r="B12" s="97" t="s">
        <v>15</v>
      </c>
      <c r="C12" s="100">
        <v>18230626</v>
      </c>
      <c r="D12" s="100" t="s">
        <v>79</v>
      </c>
      <c r="E12" s="38" t="s">
        <v>604</v>
      </c>
      <c r="F12" s="39" t="s">
        <v>605</v>
      </c>
      <c r="G12" s="39">
        <v>13</v>
      </c>
      <c r="H12" s="39"/>
      <c r="I12" s="40" t="s">
        <v>265</v>
      </c>
      <c r="J12" s="41">
        <v>1138.42</v>
      </c>
      <c r="K12" s="41">
        <v>1110</v>
      </c>
      <c r="L12" s="41"/>
      <c r="M12" s="42">
        <v>500</v>
      </c>
      <c r="N12" s="42">
        <v>560.63</v>
      </c>
      <c r="O12" s="43">
        <v>1263646.2</v>
      </c>
      <c r="P12" s="44">
        <v>569599.650000002</v>
      </c>
      <c r="Q12" s="44">
        <v>638232.720000003</v>
      </c>
      <c r="R12" s="45">
        <v>0</v>
      </c>
      <c r="S12" s="46">
        <v>0</v>
      </c>
      <c r="T12" s="39">
        <f t="shared" si="0"/>
        <v>13</v>
      </c>
      <c r="U12" s="47">
        <f t="shared" si="1"/>
        <v>4.4796839167169216</v>
      </c>
      <c r="V12" s="48">
        <f t="shared" si="2"/>
        <v>60.629999999999995</v>
      </c>
      <c r="W12" s="49">
        <f t="shared" si="3"/>
        <v>0.34459107051668625</v>
      </c>
      <c r="X12" s="44">
        <f t="shared" si="4"/>
        <v>157154.13470162585</v>
      </c>
      <c r="Y12" s="44">
        <f t="shared" si="5"/>
        <v>68633.070000000997</v>
      </c>
      <c r="Z12" s="44">
        <f t="shared" si="6"/>
        <v>774680.64739703014</v>
      </c>
      <c r="AA12" s="50">
        <f t="shared" si="7"/>
        <v>795386.85470162891</v>
      </c>
      <c r="AB12" s="51">
        <f t="shared" si="8"/>
        <v>724203.65279707406</v>
      </c>
      <c r="AC12" s="44">
        <f t="shared" si="8"/>
        <v>743560.6756115068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0.95298626106018935</v>
      </c>
      <c r="AG12" s="44">
        <f t="shared" si="10"/>
        <v>1204237.4674409165</v>
      </c>
      <c r="AH12" s="52">
        <f>HLOOKUP(I12,ElecAvoidedCostsWOCC!$A$5:$Q$50,T12+1,FALSE)</f>
        <v>0.95298626106018935</v>
      </c>
      <c r="AI12" s="44">
        <f t="shared" si="11"/>
        <v>0</v>
      </c>
      <c r="AJ12" s="44">
        <f t="shared" si="12"/>
        <v>1204237.4674409165</v>
      </c>
      <c r="AK12" s="44">
        <f>HLOOKUP(I12,ElecAvoidedCostsWOCC!$A$5:$Q$50,G12+1,FALSE)*J12*L12</f>
        <v>0</v>
      </c>
      <c r="AL12" s="44">
        <f t="shared" si="13"/>
        <v>1204237.4674409165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1204237.4674409165</v>
      </c>
      <c r="AN12" s="48">
        <f t="shared" si="14"/>
        <v>1324661.2141850083</v>
      </c>
      <c r="AO12" s="47">
        <f t="shared" si="15"/>
        <v>1.6628436804893478</v>
      </c>
      <c r="AP12" s="47">
        <f t="shared" si="16"/>
        <v>1.7815105849910668</v>
      </c>
      <c r="AQ12">
        <v>2021</v>
      </c>
    </row>
    <row r="13" spans="1:43" ht="13.5" customHeight="1">
      <c r="A13" s="56" t="s">
        <v>252</v>
      </c>
      <c r="B13" s="97" t="s">
        <v>15</v>
      </c>
      <c r="C13" s="100">
        <v>18230626</v>
      </c>
      <c r="D13" s="100" t="s">
        <v>79</v>
      </c>
      <c r="E13" s="38" t="s">
        <v>594</v>
      </c>
      <c r="F13" s="39" t="s">
        <v>595</v>
      </c>
      <c r="G13" s="39">
        <v>13</v>
      </c>
      <c r="H13" s="39"/>
      <c r="I13" s="40" t="s">
        <v>265</v>
      </c>
      <c r="J13" s="41">
        <v>64</v>
      </c>
      <c r="K13" s="41">
        <v>1255</v>
      </c>
      <c r="L13" s="41"/>
      <c r="M13" s="42">
        <v>500</v>
      </c>
      <c r="N13" s="42">
        <v>629.16999999999996</v>
      </c>
      <c r="O13" s="43">
        <v>80320</v>
      </c>
      <c r="P13" s="44">
        <v>32000</v>
      </c>
      <c r="Q13" s="44">
        <v>78442.509999999995</v>
      </c>
      <c r="R13" s="45">
        <v>0</v>
      </c>
      <c r="S13" s="46">
        <v>0</v>
      </c>
      <c r="T13" s="39">
        <f t="shared" si="0"/>
        <v>13</v>
      </c>
      <c r="U13" s="47">
        <f t="shared" si="1"/>
        <v>0.2847380953550947</v>
      </c>
      <c r="V13" s="48">
        <f t="shared" si="2"/>
        <v>129.16999999999996</v>
      </c>
      <c r="W13" s="49">
        <f t="shared" si="3"/>
        <v>2.1902930411930362E-2</v>
      </c>
      <c r="X13" s="44">
        <f t="shared" si="4"/>
        <v>9989.0460630788803</v>
      </c>
      <c r="Y13" s="44">
        <f t="shared" si="5"/>
        <v>46442.509999999995</v>
      </c>
      <c r="Z13" s="44">
        <f t="shared" si="6"/>
        <v>49240.325020507677</v>
      </c>
      <c r="AA13" s="50">
        <f t="shared" si="7"/>
        <v>88431.556063078868</v>
      </c>
      <c r="AB13" s="51">
        <f t="shared" si="8"/>
        <v>46031.901486872652</v>
      </c>
      <c r="AC13" s="44">
        <f t="shared" si="8"/>
        <v>82669.492440010159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0.95298626106018935</v>
      </c>
      <c r="AG13" s="44">
        <f t="shared" si="10"/>
        <v>76543.856488354402</v>
      </c>
      <c r="AH13" s="52">
        <f>HLOOKUP(I13,ElecAvoidedCostsWOCC!$A$5:$Q$50,T13+1,FALSE)</f>
        <v>0.95298626106018935</v>
      </c>
      <c r="AI13" s="44">
        <f t="shared" si="11"/>
        <v>0</v>
      </c>
      <c r="AJ13" s="44">
        <f t="shared" si="12"/>
        <v>76543.856488354402</v>
      </c>
      <c r="AK13" s="44">
        <f>HLOOKUP(I13,ElecAvoidedCostsWOCC!$A$5:$Q$50,G13+1,FALSE)*J13*L13</f>
        <v>0</v>
      </c>
      <c r="AL13" s="44">
        <f t="shared" si="13"/>
        <v>76543.856488354402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76543.856488354402</v>
      </c>
      <c r="AN13" s="48">
        <f t="shared" si="14"/>
        <v>84198.242137189853</v>
      </c>
      <c r="AO13" s="47">
        <f t="shared" si="15"/>
        <v>1.6628436804893478</v>
      </c>
      <c r="AP13" s="47">
        <f t="shared" si="16"/>
        <v>1.0184923077674517</v>
      </c>
      <c r="AQ13">
        <v>2020</v>
      </c>
    </row>
    <row r="14" spans="1:43" ht="13.5" customHeight="1">
      <c r="A14" s="55">
        <f>SUM(Y5:Y1000)</f>
        <v>546491.85000001593</v>
      </c>
      <c r="B14" s="97" t="s">
        <v>15</v>
      </c>
      <c r="C14" s="100">
        <v>18230626</v>
      </c>
      <c r="D14" s="100" t="s">
        <v>79</v>
      </c>
      <c r="E14" s="38" t="s">
        <v>1883</v>
      </c>
      <c r="F14" s="39" t="s">
        <v>597</v>
      </c>
      <c r="G14" s="39">
        <v>13</v>
      </c>
      <c r="H14" s="39"/>
      <c r="I14" s="40" t="s">
        <v>265</v>
      </c>
      <c r="J14" s="41">
        <v>1</v>
      </c>
      <c r="K14" s="41">
        <v>1255</v>
      </c>
      <c r="L14" s="41"/>
      <c r="M14" s="42">
        <v>1000</v>
      </c>
      <c r="N14" s="42">
        <v>1369</v>
      </c>
      <c r="O14" s="43">
        <v>1255</v>
      </c>
      <c r="P14" s="44">
        <v>1000</v>
      </c>
      <c r="Q14" s="44">
        <v>1369</v>
      </c>
      <c r="R14" s="45">
        <v>0</v>
      </c>
      <c r="S14" s="46">
        <v>0</v>
      </c>
      <c r="T14" s="39">
        <f t="shared" si="0"/>
        <v>13</v>
      </c>
      <c r="U14" s="47">
        <f t="shared" si="1"/>
        <v>4.4490327399233547E-3</v>
      </c>
      <c r="V14" s="48">
        <f t="shared" si="2"/>
        <v>369</v>
      </c>
      <c r="W14" s="49">
        <f t="shared" si="3"/>
        <v>3.4223328768641191E-4</v>
      </c>
      <c r="X14" s="44">
        <f t="shared" si="4"/>
        <v>156.0788447356075</v>
      </c>
      <c r="Y14" s="44">
        <f t="shared" si="5"/>
        <v>369</v>
      </c>
      <c r="Z14" s="44">
        <f t="shared" si="6"/>
        <v>769.38007844543245</v>
      </c>
      <c r="AA14" s="50">
        <f t="shared" si="7"/>
        <v>1525.0788447356076</v>
      </c>
      <c r="AB14" s="51">
        <f t="shared" si="8"/>
        <v>719.24846073238518</v>
      </c>
      <c r="AC14" s="44">
        <f t="shared" si="8"/>
        <v>1425.7070624807025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0.95298626106018935</v>
      </c>
      <c r="AG14" s="44">
        <f t="shared" si="10"/>
        <v>1195.9977576305375</v>
      </c>
      <c r="AH14" s="52">
        <f>HLOOKUP(I14,ElecAvoidedCostsWOCC!$A$5:$Q$50,T14+1,FALSE)</f>
        <v>0.95298626106018935</v>
      </c>
      <c r="AI14" s="44">
        <f t="shared" si="11"/>
        <v>0</v>
      </c>
      <c r="AJ14" s="44">
        <f t="shared" si="12"/>
        <v>1195.9977576305375</v>
      </c>
      <c r="AK14" s="44">
        <f>HLOOKUP(I14,ElecAvoidedCostsWOCC!$A$5:$Q$50,G14+1,FALSE)*J14*L14</f>
        <v>0</v>
      </c>
      <c r="AL14" s="44">
        <f t="shared" si="13"/>
        <v>1195.9977576305375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1195.9977576305375</v>
      </c>
      <c r="AN14" s="48">
        <f t="shared" si="14"/>
        <v>1315.5975333935914</v>
      </c>
      <c r="AO14" s="47">
        <f t="shared" si="15"/>
        <v>1.6628436804893478</v>
      </c>
      <c r="AP14" s="47">
        <f t="shared" si="16"/>
        <v>0.92276847608826273</v>
      </c>
      <c r="AQ14">
        <v>2020</v>
      </c>
    </row>
    <row r="15" spans="1:43" ht="13.5" customHeight="1">
      <c r="A15" s="57" t="s">
        <v>253</v>
      </c>
      <c r="B15" s="97" t="s">
        <v>15</v>
      </c>
      <c r="C15" s="100">
        <v>18230626</v>
      </c>
      <c r="D15" s="100" t="s">
        <v>79</v>
      </c>
      <c r="E15" s="38" t="s">
        <v>596</v>
      </c>
      <c r="F15" s="39" t="s">
        <v>597</v>
      </c>
      <c r="G15" s="39">
        <v>13</v>
      </c>
      <c r="H15" s="39"/>
      <c r="I15" s="40" t="s">
        <v>265</v>
      </c>
      <c r="J15" s="41">
        <v>13</v>
      </c>
      <c r="K15" s="41">
        <v>1225</v>
      </c>
      <c r="L15" s="41"/>
      <c r="M15" s="42">
        <v>1000</v>
      </c>
      <c r="N15" s="42">
        <v>1369</v>
      </c>
      <c r="O15" s="43">
        <v>15925</v>
      </c>
      <c r="P15" s="44">
        <v>12492.22</v>
      </c>
      <c r="Q15" s="44">
        <v>16645</v>
      </c>
      <c r="R15" s="45">
        <v>0</v>
      </c>
      <c r="S15" s="46">
        <v>0</v>
      </c>
      <c r="T15" s="39">
        <f t="shared" si="0"/>
        <v>13</v>
      </c>
      <c r="U15" s="47">
        <f t="shared" si="1"/>
        <v>5.6454857675919859E-2</v>
      </c>
      <c r="V15" s="48">
        <f t="shared" si="2"/>
        <v>369</v>
      </c>
      <c r="W15" s="49">
        <f t="shared" si="3"/>
        <v>4.342681359686143E-3</v>
      </c>
      <c r="X15" s="44">
        <f t="shared" si="4"/>
        <v>1980.5223923621907</v>
      </c>
      <c r="Y15" s="44">
        <f t="shared" si="5"/>
        <v>4152.7800000000007</v>
      </c>
      <c r="Z15" s="44">
        <f t="shared" si="6"/>
        <v>9762.8507962099684</v>
      </c>
      <c r="AA15" s="50">
        <f t="shared" si="7"/>
        <v>18625.522392362189</v>
      </c>
      <c r="AB15" s="51">
        <f t="shared" si="8"/>
        <v>9126.7185156679134</v>
      </c>
      <c r="AC15" s="44">
        <f t="shared" si="8"/>
        <v>17411.912117754684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0.95298626106018935</v>
      </c>
      <c r="AG15" s="44">
        <f t="shared" si="10"/>
        <v>15176.306207383515</v>
      </c>
      <c r="AH15" s="52">
        <f>HLOOKUP(I15,ElecAvoidedCostsWOCC!$A$5:$Q$50,T15+1,FALSE)</f>
        <v>0.95298626106018935</v>
      </c>
      <c r="AI15" s="44">
        <f t="shared" si="11"/>
        <v>0</v>
      </c>
      <c r="AJ15" s="44">
        <f t="shared" si="12"/>
        <v>15176.306207383515</v>
      </c>
      <c r="AK15" s="44">
        <f>HLOOKUP(I15,ElecAvoidedCostsWOCC!$A$5:$Q$50,G15+1,FALSE)*J15*L15</f>
        <v>0</v>
      </c>
      <c r="AL15" s="44">
        <f t="shared" si="13"/>
        <v>15176.306207383515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15176.306207383515</v>
      </c>
      <c r="AN15" s="48">
        <f t="shared" si="14"/>
        <v>16693.936828121867</v>
      </c>
      <c r="AO15" s="47">
        <f t="shared" si="15"/>
        <v>1.6628436804893483</v>
      </c>
      <c r="AP15" s="47">
        <f t="shared" si="16"/>
        <v>0.95876528179230192</v>
      </c>
      <c r="AQ15">
        <v>2020</v>
      </c>
    </row>
    <row r="16" spans="1:43" ht="13.5" customHeight="1">
      <c r="A16" s="54">
        <f>SUM(U5:U999)</f>
        <v>12.994729509199125</v>
      </c>
      <c r="B16" s="97" t="s">
        <v>15</v>
      </c>
      <c r="C16" s="100">
        <v>18230626</v>
      </c>
      <c r="D16" s="100" t="s">
        <v>79</v>
      </c>
      <c r="E16" s="38" t="s">
        <v>598</v>
      </c>
      <c r="F16" s="39" t="s">
        <v>599</v>
      </c>
      <c r="G16" s="39">
        <v>13</v>
      </c>
      <c r="H16" s="39"/>
      <c r="I16" s="40" t="s">
        <v>265</v>
      </c>
      <c r="J16" s="41">
        <v>286</v>
      </c>
      <c r="K16" s="41">
        <v>1225</v>
      </c>
      <c r="L16" s="41"/>
      <c r="M16" s="42">
        <v>500</v>
      </c>
      <c r="N16" s="42">
        <v>629.16999999999996</v>
      </c>
      <c r="O16" s="43">
        <v>350350</v>
      </c>
      <c r="P16" s="44">
        <v>142850</v>
      </c>
      <c r="Q16" s="44">
        <v>297321.13</v>
      </c>
      <c r="R16" s="45">
        <v>0</v>
      </c>
      <c r="S16" s="46">
        <v>0</v>
      </c>
      <c r="T16" s="39">
        <f t="shared" si="0"/>
        <v>13</v>
      </c>
      <c r="U16" s="47">
        <f t="shared" si="1"/>
        <v>1.242006868870237</v>
      </c>
      <c r="V16" s="48">
        <f t="shared" si="2"/>
        <v>129.16999999999996</v>
      </c>
      <c r="W16" s="49">
        <f t="shared" si="3"/>
        <v>9.553898991309516E-2</v>
      </c>
      <c r="X16" s="44">
        <f t="shared" si="4"/>
        <v>43571.492631968198</v>
      </c>
      <c r="Y16" s="44">
        <f t="shared" si="5"/>
        <v>154471.13</v>
      </c>
      <c r="Z16" s="44">
        <f t="shared" si="6"/>
        <v>214782.71751661936</v>
      </c>
      <c r="AA16" s="50">
        <f t="shared" si="7"/>
        <v>340892.62263196823</v>
      </c>
      <c r="AB16" s="51">
        <f t="shared" si="8"/>
        <v>200787.80734469416</v>
      </c>
      <c r="AC16" s="44">
        <f t="shared" si="8"/>
        <v>318680.58580159687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0.95298626106018935</v>
      </c>
      <c r="AG16" s="44">
        <f t="shared" si="10"/>
        <v>333878.73656243732</v>
      </c>
      <c r="AH16" s="52">
        <f>HLOOKUP(I16,ElecAvoidedCostsWOCC!$A$5:$Q$50,T16+1,FALSE)</f>
        <v>0.95298626106018935</v>
      </c>
      <c r="AI16" s="44">
        <f t="shared" si="11"/>
        <v>0</v>
      </c>
      <c r="AJ16" s="44">
        <f t="shared" si="12"/>
        <v>333878.73656243732</v>
      </c>
      <c r="AK16" s="44">
        <f>HLOOKUP(I16,ElecAvoidedCostsWOCC!$A$5:$Q$50,G16+1,FALSE)*J16*L16</f>
        <v>0</v>
      </c>
      <c r="AL16" s="44">
        <f t="shared" si="13"/>
        <v>333878.73656243732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333878.73656243732</v>
      </c>
      <c r="AN16" s="48">
        <f t="shared" si="14"/>
        <v>367266.6102186811</v>
      </c>
      <c r="AO16" s="47">
        <f t="shared" si="15"/>
        <v>1.6628436804893478</v>
      </c>
      <c r="AP16" s="47">
        <f t="shared" si="16"/>
        <v>1.1524599444766075</v>
      </c>
      <c r="AQ16">
        <v>2020</v>
      </c>
    </row>
    <row r="17" spans="1:43" ht="13.5" customHeight="1">
      <c r="A17" s="58" t="s">
        <v>254</v>
      </c>
      <c r="B17" s="97" t="s">
        <v>15</v>
      </c>
      <c r="C17" s="100">
        <v>18230626</v>
      </c>
      <c r="D17" s="100" t="s">
        <v>79</v>
      </c>
      <c r="E17" s="38" t="s">
        <v>1860</v>
      </c>
      <c r="F17" s="39" t="s">
        <v>1861</v>
      </c>
      <c r="G17" s="39">
        <v>12</v>
      </c>
      <c r="H17" s="39"/>
      <c r="I17" s="40" t="s">
        <v>248</v>
      </c>
      <c r="J17" s="41">
        <v>448</v>
      </c>
      <c r="K17" s="41">
        <v>11.32</v>
      </c>
      <c r="L17" s="41"/>
      <c r="M17" s="42">
        <v>2</v>
      </c>
      <c r="N17" s="42">
        <v>2</v>
      </c>
      <c r="O17" s="43">
        <v>5071.3600000000097</v>
      </c>
      <c r="P17" s="44">
        <v>1688.96</v>
      </c>
      <c r="Q17" s="44">
        <v>896</v>
      </c>
      <c r="R17" s="45">
        <v>0</v>
      </c>
      <c r="S17" s="46">
        <v>0</v>
      </c>
      <c r="T17" s="39">
        <f t="shared" si="0"/>
        <v>12</v>
      </c>
      <c r="U17" s="47">
        <f t="shared" si="1"/>
        <v>1.659526571322421E-2</v>
      </c>
      <c r="V17" s="48">
        <f t="shared" si="2"/>
        <v>0</v>
      </c>
      <c r="W17" s="49">
        <f t="shared" si="3"/>
        <v>1.3829388094353508E-3</v>
      </c>
      <c r="X17" s="44">
        <f t="shared" si="4"/>
        <v>630.70279684332422</v>
      </c>
      <c r="Y17" s="44">
        <f t="shared" si="5"/>
        <v>-792.96</v>
      </c>
      <c r="Z17" s="44">
        <f t="shared" si="6"/>
        <v>3109.0066570717418</v>
      </c>
      <c r="AA17" s="50">
        <f t="shared" si="7"/>
        <v>1526.7027968433242</v>
      </c>
      <c r="AB17" s="51">
        <f t="shared" si="8"/>
        <v>2906.4285847169685</v>
      </c>
      <c r="AC17" s="44">
        <f t="shared" si="8"/>
        <v>1427.2252003770441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0.91115730059915656</v>
      </c>
      <c r="AG17" s="44">
        <f t="shared" si="10"/>
        <v>4620.8066879665384</v>
      </c>
      <c r="AH17" s="52">
        <f>HLOOKUP(I17,ElecAvoidedCostsWOCC!$A$5:$Q$50,T17+1,FALSE)</f>
        <v>0.91115730059915656</v>
      </c>
      <c r="AI17" s="44">
        <f t="shared" si="11"/>
        <v>0</v>
      </c>
      <c r="AJ17" s="44">
        <f t="shared" si="12"/>
        <v>4620.8066879665384</v>
      </c>
      <c r="AK17" s="44">
        <f>HLOOKUP(I17,ElecAvoidedCostsWOCC!$A$5:$Q$50,G17+1,FALSE)*J17*L17</f>
        <v>0</v>
      </c>
      <c r="AL17" s="44">
        <f t="shared" si="13"/>
        <v>4620.8066879665384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4620.8066879665384</v>
      </c>
      <c r="AN17" s="48">
        <f t="shared" si="14"/>
        <v>5082.8873567631927</v>
      </c>
      <c r="AO17" s="47">
        <f t="shared" si="15"/>
        <v>1.5898572950542729</v>
      </c>
      <c r="AP17" s="47">
        <f t="shared" si="16"/>
        <v>3.561377248257946</v>
      </c>
      <c r="AQ17">
        <v>2020</v>
      </c>
    </row>
    <row r="18" spans="1:43" ht="13.5" customHeight="1">
      <c r="A18" s="59">
        <f>A6+A8</f>
        <v>2248115.85</v>
      </c>
      <c r="B18" s="97" t="s">
        <v>15</v>
      </c>
      <c r="C18" s="100">
        <v>18230626</v>
      </c>
      <c r="D18" s="100" t="s">
        <v>79</v>
      </c>
      <c r="E18" s="38" t="s">
        <v>1873</v>
      </c>
      <c r="F18" s="39" t="s">
        <v>1874</v>
      </c>
      <c r="G18" s="39">
        <v>10</v>
      </c>
      <c r="H18" s="39"/>
      <c r="I18" s="40" t="s">
        <v>265</v>
      </c>
      <c r="J18" s="41">
        <v>312</v>
      </c>
      <c r="K18" s="41">
        <v>10</v>
      </c>
      <c r="L18" s="41"/>
      <c r="M18" s="42">
        <v>1.27</v>
      </c>
      <c r="N18" s="42">
        <v>1.27</v>
      </c>
      <c r="O18" s="43">
        <v>3120</v>
      </c>
      <c r="P18" s="44">
        <v>265.19999999999902</v>
      </c>
      <c r="Q18" s="44">
        <v>396.24000000000098</v>
      </c>
      <c r="R18" s="45">
        <v>2.74</v>
      </c>
      <c r="S18" s="46">
        <v>0</v>
      </c>
      <c r="T18" s="39">
        <f t="shared" si="0"/>
        <v>10</v>
      </c>
      <c r="U18" s="47">
        <f t="shared" si="1"/>
        <v>8.508110418976934E-3</v>
      </c>
      <c r="V18" s="48">
        <f t="shared" si="2"/>
        <v>0</v>
      </c>
      <c r="W18" s="49">
        <f t="shared" si="3"/>
        <v>8.5081104189769336E-4</v>
      </c>
      <c r="X18" s="44">
        <f t="shared" si="4"/>
        <v>388.02071360565367</v>
      </c>
      <c r="Y18" s="44">
        <f t="shared" si="5"/>
        <v>131.04000000000195</v>
      </c>
      <c r="Z18" s="44">
        <f t="shared" si="6"/>
        <v>1912.7217886452186</v>
      </c>
      <c r="AA18" s="50">
        <f t="shared" si="7"/>
        <v>784.2607136056547</v>
      </c>
      <c r="AB18" s="51">
        <f t="shared" si="8"/>
        <v>1788.0917908247345</v>
      </c>
      <c r="AC18" s="44">
        <f t="shared" si="8"/>
        <v>733.15949668659869</v>
      </c>
      <c r="AD18" s="44">
        <f t="shared" si="9"/>
        <v>6012.6547221745768</v>
      </c>
      <c r="AE18" s="44">
        <f t="shared" si="17"/>
        <v>0</v>
      </c>
      <c r="AF18" s="52">
        <f>HLOOKUP(I18,ElecAvoidedCostsWOCC!$A$5:$Q$50,G18+1,FALSE)</f>
        <v>0.74487332198138856</v>
      </c>
      <c r="AG18" s="44">
        <f t="shared" si="10"/>
        <v>2324.0047645819322</v>
      </c>
      <c r="AH18" s="52">
        <f>HLOOKUP(I18,ElecAvoidedCostsWOCC!$A$5:$Q$50,T18+1,FALSE)</f>
        <v>0.74487332198138856</v>
      </c>
      <c r="AI18" s="44">
        <f t="shared" si="11"/>
        <v>0</v>
      </c>
      <c r="AJ18" s="44">
        <f t="shared" si="12"/>
        <v>2324.0047645819322</v>
      </c>
      <c r="AK18" s="44">
        <f>HLOOKUP(I18,ElecAvoidedCostsWOCC!$A$5:$Q$50,G18+1,FALSE)*J18*L18</f>
        <v>0</v>
      </c>
      <c r="AL18" s="44">
        <f t="shared" si="13"/>
        <v>2324.0047645819322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2324.0047645819322</v>
      </c>
      <c r="AN18" s="48">
        <f t="shared" si="14"/>
        <v>8569.0599632147023</v>
      </c>
      <c r="AO18" s="47">
        <f t="shared" si="15"/>
        <v>1.2997122275864903</v>
      </c>
      <c r="AP18" s="47">
        <f t="shared" si="16"/>
        <v>11.687852373107418</v>
      </c>
      <c r="AQ18">
        <v>2020</v>
      </c>
    </row>
    <row r="19" spans="1:43" ht="13.5" customHeight="1">
      <c r="A19" s="58" t="s">
        <v>231</v>
      </c>
      <c r="B19" s="97" t="s">
        <v>15</v>
      </c>
      <c r="C19" s="100">
        <v>18230626</v>
      </c>
      <c r="D19" s="100" t="s">
        <v>79</v>
      </c>
      <c r="E19" s="38" t="s">
        <v>1875</v>
      </c>
      <c r="F19" s="39" t="s">
        <v>1876</v>
      </c>
      <c r="G19" s="39">
        <v>10</v>
      </c>
      <c r="H19" s="39"/>
      <c r="I19" s="40" t="s">
        <v>265</v>
      </c>
      <c r="J19" s="41">
        <v>136</v>
      </c>
      <c r="K19" s="41">
        <v>12</v>
      </c>
      <c r="L19" s="41"/>
      <c r="M19" s="42">
        <v>1.81</v>
      </c>
      <c r="N19" s="42">
        <v>1.81</v>
      </c>
      <c r="O19" s="43">
        <v>1632</v>
      </c>
      <c r="P19" s="44">
        <v>136</v>
      </c>
      <c r="Q19" s="44">
        <v>246.16</v>
      </c>
      <c r="R19" s="45">
        <v>2.74</v>
      </c>
      <c r="S19" s="46">
        <v>0</v>
      </c>
      <c r="T19" s="39">
        <f t="shared" si="0"/>
        <v>10</v>
      </c>
      <c r="U19" s="47">
        <f t="shared" si="1"/>
        <v>4.4503962191571652E-3</v>
      </c>
      <c r="V19" s="48">
        <f t="shared" si="2"/>
        <v>0</v>
      </c>
      <c r="W19" s="49">
        <f t="shared" si="3"/>
        <v>4.4503962191571656E-4</v>
      </c>
      <c r="X19" s="44">
        <f t="shared" si="4"/>
        <v>202.96468096295735</v>
      </c>
      <c r="Y19" s="44">
        <f t="shared" si="5"/>
        <v>110.16</v>
      </c>
      <c r="Z19" s="44">
        <f t="shared" si="6"/>
        <v>1000.5006279067298</v>
      </c>
      <c r="AA19" s="50">
        <f t="shared" si="7"/>
        <v>449.12468096295731</v>
      </c>
      <c r="AB19" s="51">
        <f t="shared" si="8"/>
        <v>935.30955212370736</v>
      </c>
      <c r="AC19" s="44">
        <f t="shared" si="8"/>
        <v>419.86041036080888</v>
      </c>
      <c r="AD19" s="44">
        <f t="shared" si="9"/>
        <v>2620.900776332508</v>
      </c>
      <c r="AE19" s="44">
        <f t="shared" si="17"/>
        <v>0</v>
      </c>
      <c r="AF19" s="52">
        <f>HLOOKUP(I19,ElecAvoidedCostsWOCC!$A$5:$Q$50,G19+1,FALSE)</f>
        <v>0.74487332198138856</v>
      </c>
      <c r="AG19" s="44">
        <f t="shared" si="10"/>
        <v>1215.6332614736261</v>
      </c>
      <c r="AH19" s="52">
        <f>HLOOKUP(I19,ElecAvoidedCostsWOCC!$A$5:$Q$50,T19+1,FALSE)</f>
        <v>0.74487332198138856</v>
      </c>
      <c r="AI19" s="44">
        <f t="shared" si="11"/>
        <v>0</v>
      </c>
      <c r="AJ19" s="44">
        <f t="shared" si="12"/>
        <v>1215.6332614736261</v>
      </c>
      <c r="AK19" s="44">
        <f>HLOOKUP(I19,ElecAvoidedCostsWOCC!$A$5:$Q$50,G19+1,FALSE)*J19*L19</f>
        <v>0</v>
      </c>
      <c r="AL19" s="44">
        <f t="shared" si="13"/>
        <v>1215.6332614736261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1215.6332614736261</v>
      </c>
      <c r="AN19" s="48">
        <f t="shared" si="14"/>
        <v>3958.0973639534968</v>
      </c>
      <c r="AO19" s="47">
        <f t="shared" si="15"/>
        <v>1.2997122275864901</v>
      </c>
      <c r="AP19" s="47">
        <f t="shared" si="16"/>
        <v>9.4271745234376549</v>
      </c>
      <c r="AQ19">
        <v>2020</v>
      </c>
    </row>
    <row r="20" spans="1:43" ht="13.5" customHeight="1">
      <c r="A20" s="59">
        <f>A8+SUM(Q5:Q906)</f>
        <v>2447033.6800000179</v>
      </c>
      <c r="B20" s="97" t="s">
        <v>15</v>
      </c>
      <c r="C20" s="100">
        <v>18230626</v>
      </c>
      <c r="D20" s="100" t="s">
        <v>79</v>
      </c>
      <c r="E20" s="38" t="s">
        <v>602</v>
      </c>
      <c r="F20" s="39" t="s">
        <v>603</v>
      </c>
      <c r="G20" s="39">
        <v>13</v>
      </c>
      <c r="H20" s="39"/>
      <c r="I20" s="40" t="s">
        <v>265</v>
      </c>
      <c r="J20" s="41">
        <v>189</v>
      </c>
      <c r="K20" s="41">
        <v>1565.0722751322751</v>
      </c>
      <c r="L20" s="41"/>
      <c r="M20" s="42">
        <v>500</v>
      </c>
      <c r="N20" s="42">
        <v>751.56</v>
      </c>
      <c r="O20" s="43">
        <v>295798.65999999997</v>
      </c>
      <c r="P20" s="44">
        <v>94500</v>
      </c>
      <c r="Q20" s="44">
        <v>142044.84</v>
      </c>
      <c r="R20" s="45">
        <v>0</v>
      </c>
      <c r="S20" s="46">
        <v>0</v>
      </c>
      <c r="T20" s="39">
        <f t="shared" si="0"/>
        <v>13</v>
      </c>
      <c r="U20" s="47">
        <f t="shared" si="1"/>
        <v>1.0486198587772564</v>
      </c>
      <c r="V20" s="48">
        <f t="shared" si="2"/>
        <v>251.55999999999995</v>
      </c>
      <c r="W20" s="49">
        <f t="shared" si="3"/>
        <v>8.0663066059788957E-2</v>
      </c>
      <c r="X20" s="44">
        <f t="shared" si="4"/>
        <v>36787.181774614146</v>
      </c>
      <c r="Y20" s="44">
        <f t="shared" si="5"/>
        <v>47544.84</v>
      </c>
      <c r="Z20" s="44">
        <f t="shared" si="6"/>
        <v>181339.91731860861</v>
      </c>
      <c r="AA20" s="50">
        <f t="shared" si="7"/>
        <v>178832.02177461414</v>
      </c>
      <c r="AB20" s="51">
        <f t="shared" si="8"/>
        <v>169524.08835992203</v>
      </c>
      <c r="AC20" s="44">
        <f t="shared" si="8"/>
        <v>167179.6034164851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0.95298626106018935</v>
      </c>
      <c r="AG20" s="44">
        <f t="shared" si="10"/>
        <v>281892.05902001419</v>
      </c>
      <c r="AH20" s="52">
        <f>HLOOKUP(I20,ElecAvoidedCostsWOCC!$A$5:$Q$50,T20+1,FALSE)</f>
        <v>0.95298626106018935</v>
      </c>
      <c r="AI20" s="44">
        <f t="shared" si="11"/>
        <v>0</v>
      </c>
      <c r="AJ20" s="44">
        <f t="shared" si="12"/>
        <v>281892.05902001419</v>
      </c>
      <c r="AK20" s="44">
        <f>HLOOKUP(I20,ElecAvoidedCostsWOCC!$A$5:$Q$50,G20+1,FALSE)*J20*L20</f>
        <v>0</v>
      </c>
      <c r="AL20" s="44">
        <f t="shared" si="13"/>
        <v>281892.05902001419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281892.05902001419</v>
      </c>
      <c r="AN20" s="48">
        <f t="shared" si="14"/>
        <v>310081.26492201566</v>
      </c>
      <c r="AO20" s="47">
        <f t="shared" si="15"/>
        <v>1.6628436804893481</v>
      </c>
      <c r="AP20" s="47">
        <f t="shared" si="16"/>
        <v>1.8547792827904235</v>
      </c>
      <c r="AQ20">
        <v>2020</v>
      </c>
    </row>
    <row r="21" spans="1:43" ht="13.5" customHeight="1">
      <c r="A21" s="58" t="s">
        <v>245</v>
      </c>
      <c r="B21" s="97" t="s">
        <v>15</v>
      </c>
      <c r="C21" s="100">
        <v>18230626</v>
      </c>
      <c r="D21" s="100" t="s">
        <v>79</v>
      </c>
      <c r="E21" s="38" t="s">
        <v>591</v>
      </c>
      <c r="F21" s="39" t="s">
        <v>592</v>
      </c>
      <c r="G21" s="39"/>
      <c r="H21" s="39"/>
      <c r="I21" s="40" t="s">
        <v>265</v>
      </c>
      <c r="J21" s="41">
        <v>189</v>
      </c>
      <c r="K21" s="41">
        <v>0</v>
      </c>
      <c r="L21" s="41"/>
      <c r="M21" s="42">
        <v>50</v>
      </c>
      <c r="N21" s="42">
        <v>50</v>
      </c>
      <c r="O21" s="43">
        <v>0</v>
      </c>
      <c r="P21" s="44">
        <v>9450</v>
      </c>
      <c r="Q21" s="44">
        <v>9450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9450</v>
      </c>
      <c r="AB21" s="51">
        <f t="shared" ref="AB21:AC24" si="18">Z21/(1+ElecDiscountRate)^1</f>
        <v>0</v>
      </c>
      <c r="AC21" s="44">
        <f t="shared" si="18"/>
        <v>8834.2525941852855</v>
      </c>
      <c r="AD21" s="44">
        <f t="shared" si="9"/>
        <v>0</v>
      </c>
      <c r="AE21" s="44">
        <f t="shared" si="17"/>
        <v>0</v>
      </c>
      <c r="AF21" s="52" t="str">
        <f>HLOOKUP(I21,ElecAvoidedCostsWOCC!$A$5:$Q$50,G21+1,FALSE)</f>
        <v>Res Water Heat</v>
      </c>
      <c r="AG21" s="44" t="e">
        <f t="shared" si="10"/>
        <v>#VALUE!</v>
      </c>
      <c r="AH21" s="52" t="str">
        <f>HLOOKUP(I21,ElecAvoidedCostsWOCC!$A$5:$Q$50,T21+1,FALSE)</f>
        <v>Res Water Heat</v>
      </c>
      <c r="AI21" s="44" t="e">
        <f t="shared" si="11"/>
        <v>#VALUE!</v>
      </c>
      <c r="AJ21" s="44" t="e">
        <f t="shared" si="12"/>
        <v>#VALUE!</v>
      </c>
      <c r="AK21" s="44" t="e">
        <f>HLOOKUP(I21,ElecAvoidedCostsWOCC!$A$5:$Q$50,G21+1,FALSE)*J21*L21</f>
        <v>#VALUE!</v>
      </c>
      <c r="AL21" s="44" t="e">
        <f t="shared" si="13"/>
        <v>#VALUE!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>
        <f t="shared" si="16"/>
        <v>0</v>
      </c>
      <c r="AQ21">
        <v>2020</v>
      </c>
    </row>
    <row r="22" spans="1:43" ht="13.5" customHeight="1">
      <c r="A22" s="60">
        <f>(SUM(AM5:AM1000)/(SUM(AB5:AB1000)))</f>
        <v>0.9501842954275429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3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3" ht="13.5" customHeight="1">
      <c r="A24" s="60">
        <f>(SUM(AN5:AN1000)/SUM(AC5:AC1000))</f>
        <v>0.96401293781361141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3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35" si="19">G25+H25</f>
        <v>0</v>
      </c>
      <c r="U25" s="47">
        <f t="shared" ref="U25:U35" si="20">(O25/$A$10)*T25</f>
        <v>0</v>
      </c>
      <c r="V25" s="48">
        <f t="shared" ref="V25:V35" si="21">N25-M25</f>
        <v>0</v>
      </c>
      <c r="W25" s="49">
        <f t="shared" ref="W25:W35" si="22">(O25/A$10)</f>
        <v>0</v>
      </c>
      <c r="X25" s="44">
        <f t="shared" ref="X25:X35" si="23">W25*A$8</f>
        <v>0</v>
      </c>
      <c r="Y25" s="44">
        <f t="shared" ref="Y25:Y35" si="24">Q25-P25</f>
        <v>0</v>
      </c>
      <c r="Z25" s="44">
        <f t="shared" ref="Z25:Z35" si="25">X25+(A$6*W25)</f>
        <v>0</v>
      </c>
      <c r="AA25" s="50">
        <f t="shared" ref="AA25:AA35" si="26">Q25+X25</f>
        <v>0</v>
      </c>
      <c r="AB25" s="51">
        <f t="shared" ref="AB25:AB35" si="27">Z25/(1+ElecDiscountRate)^1</f>
        <v>0</v>
      </c>
      <c r="AC25" s="44">
        <f t="shared" ref="AC25:AC35" si="28">AA25/(1+ElecDiscountRate)^1</f>
        <v>0</v>
      </c>
      <c r="AD25" s="44">
        <f t="shared" ref="AD25:AD35" si="29">-PV(ElecDiscountRate,T25,R25)*J25</f>
        <v>0</v>
      </c>
      <c r="AE25" s="44">
        <f t="shared" ref="AE25:AE35" si="30">-PV(ElecDiscountRate,T25,S25)*J25</f>
        <v>0</v>
      </c>
      <c r="AF25" s="52" t="e">
        <f>HLOOKUP(I25,ElecAvoidedCostsWOCC!$A$5:$Q$50,G25+1,FALSE)</f>
        <v>#N/A</v>
      </c>
      <c r="AG25" s="44" t="e">
        <f t="shared" ref="AG25:AG35" si="31">AF25*J25*K25</f>
        <v>#N/A</v>
      </c>
      <c r="AH25" s="52" t="e">
        <f>HLOOKUP(I25,ElecAvoidedCostsWOCC!$A$5:$Q$50,T25+1,FALSE)</f>
        <v>#N/A</v>
      </c>
      <c r="AI25" s="44" t="e">
        <f t="shared" ref="AI25:AI35" si="32">AH25*J25*L25</f>
        <v>#N/A</v>
      </c>
      <c r="AJ25" s="44" t="e">
        <f t="shared" ref="AJ25:AJ35" si="33">AG25+AI25</f>
        <v>#N/A</v>
      </c>
      <c r="AK25" s="44" t="e">
        <f>HLOOKUP(I25,ElecAvoidedCostsWOCC!$A$5:$Q$50,G25+1,FALSE)*J25*L25</f>
        <v>#N/A</v>
      </c>
      <c r="AL25" s="44" t="e">
        <f t="shared" ref="AL25:AL35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35" si="35">AM25*1.1+AD25+AE25</f>
        <v>0</v>
      </c>
      <c r="AO25" s="47">
        <f t="shared" ref="AO25:AO35" si="36">IFERROR(AM25/AB25,0)</f>
        <v>0</v>
      </c>
      <c r="AP25" s="47" t="e">
        <f t="shared" ref="AP25:AP35" si="37">AN25/AC25</f>
        <v>#DIV/0!</v>
      </c>
    </row>
    <row r="26" spans="1:43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3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</sheetData>
  <conditionalFormatting sqref="J5:L35">
    <cfRule type="expression" dxfId="309" priority="4">
      <formula>ISTEXT(J5)</formula>
    </cfRule>
    <cfRule type="notContainsBlanks" dxfId="308" priority="5">
      <formula>LEN(TRIM(J5))&gt;0</formula>
    </cfRule>
  </conditionalFormatting>
  <conditionalFormatting sqref="M5:N35 R5:S35">
    <cfRule type="expression" dxfId="307" priority="2">
      <formula>ISTEXT(M5)</formula>
    </cfRule>
  </conditionalFormatting>
  <conditionalFormatting sqref="M5:N35 R5:S35">
    <cfRule type="notContainsBlanks" dxfId="306" priority="3">
      <formula>LEN(TRIM(M5))&gt;0</formula>
    </cfRule>
  </conditionalFormatting>
  <conditionalFormatting sqref="R5:S35">
    <cfRule type="expression" dxfId="305" priority="1">
      <formula>"istext($AB17)"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62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18230434</v>
      </c>
      <c r="D2" s="20" t="s">
        <v>51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18230434</v>
      </c>
      <c r="D5" s="61" t="s">
        <v>51</v>
      </c>
      <c r="E5" s="38" t="s">
        <v>606</v>
      </c>
      <c r="F5" s="39" t="s">
        <v>607</v>
      </c>
      <c r="G5" s="39">
        <v>12</v>
      </c>
      <c r="H5" s="39"/>
      <c r="I5" s="40" t="s">
        <v>263</v>
      </c>
      <c r="J5" s="41">
        <v>2</v>
      </c>
      <c r="K5" s="41">
        <v>68</v>
      </c>
      <c r="L5" s="41"/>
      <c r="M5" s="42">
        <v>25</v>
      </c>
      <c r="N5" s="42">
        <v>20.440000000000001</v>
      </c>
      <c r="O5" s="43">
        <v>136</v>
      </c>
      <c r="P5" s="44">
        <v>50</v>
      </c>
      <c r="Q5" s="44">
        <v>40.880000000000003</v>
      </c>
      <c r="R5" s="45">
        <v>-0.08</v>
      </c>
      <c r="S5" s="46">
        <v>0</v>
      </c>
      <c r="T5" s="39">
        <f t="shared" ref="T5:T24" si="0">G5+H5</f>
        <v>12</v>
      </c>
      <c r="U5" s="47">
        <f t="shared" ref="U5:U24" si="1">(O5/$A$10)*T5</f>
        <v>5.3645640017007247E-4</v>
      </c>
      <c r="V5" s="48">
        <f t="shared" ref="V5:V24" si="2">N5-M5</f>
        <v>-4.5599999999999987</v>
      </c>
      <c r="W5" s="49">
        <f t="shared" ref="W5:W24" si="3">(O5/A$10)</f>
        <v>4.470470001417271E-5</v>
      </c>
      <c r="X5" s="44">
        <f t="shared" ref="X5:X24" si="4">W5*A$8</f>
        <v>24.598918990389585</v>
      </c>
      <c r="Y5" s="44">
        <f t="shared" ref="Y5:Y24" si="5">Q5-P5</f>
        <v>-9.1199999999999974</v>
      </c>
      <c r="Z5" s="44">
        <f t="shared" ref="Z5:Z24" si="6">X5+(A$6*W5)</f>
        <v>94.843356900643158</v>
      </c>
      <c r="AA5" s="50">
        <f t="shared" ref="AA5:AA24" si="7">Q5+X5</f>
        <v>65.478918990389587</v>
      </c>
      <c r="AB5" s="51">
        <f t="shared" ref="AB5:AC20" si="8">Z5/(1+ElecDiscountRate)^1</f>
        <v>88.663510237116157</v>
      </c>
      <c r="AC5" s="44">
        <f t="shared" si="8"/>
        <v>61.212413751883318</v>
      </c>
      <c r="AD5" s="44">
        <f t="shared" ref="AD5:AD24" si="9">-PV(ElecDiscountRate,T5,R5)*J5</f>
        <v>-1.2728641439402379</v>
      </c>
      <c r="AE5" s="44">
        <v>0</v>
      </c>
      <c r="AF5" s="52">
        <f>HLOOKUP(I5,ElecAvoidedCostsWOCC!$A$5:$Q$50,G5+1,FALSE)</f>
        <v>0.87531038854853971</v>
      </c>
      <c r="AG5" s="44">
        <f t="shared" ref="AG5:AG24" si="10">AF5*J5*K5</f>
        <v>119.0422128426014</v>
      </c>
      <c r="AH5" s="52">
        <f>HLOOKUP(I5,ElecAvoidedCostsWOCC!$A$5:$Q$50,T5+1,FALSE)</f>
        <v>0.87531038854853971</v>
      </c>
      <c r="AI5" s="44">
        <f t="shared" ref="AI5:AI24" si="11">AH5*J5*L5</f>
        <v>0</v>
      </c>
      <c r="AJ5" s="44">
        <f>AG5+AI5</f>
        <v>119.0422128426014</v>
      </c>
      <c r="AK5" s="44">
        <f>HLOOKUP(I5,ElecAvoidedCostsWOCC!$A$5:$Q$50,G5+1,FALSE)*J5*L5</f>
        <v>0</v>
      </c>
      <c r="AL5" s="44">
        <f>AG5+AI5-AK5</f>
        <v>119.0422128426014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119.0422128426014</v>
      </c>
      <c r="AN5" s="48">
        <f>AM5*1.1+AD5+AE5</f>
        <v>129.67356998292132</v>
      </c>
      <c r="AO5" s="47">
        <f>IFERROR(AM5/AB5,0)</f>
        <v>1.3426291438748854</v>
      </c>
      <c r="AP5" s="47">
        <f>AN5/AC5</f>
        <v>2.1184194844617061</v>
      </c>
      <c r="AQ5">
        <v>2021</v>
      </c>
    </row>
    <row r="6" spans="1:43" ht="13.5" customHeight="1">
      <c r="A6" s="53">
        <f>SUMIF('Program Costs'!D:D,C2,'Program Costs'!L:L)</f>
        <v>1571298.72</v>
      </c>
      <c r="B6" s="97" t="s">
        <v>15</v>
      </c>
      <c r="C6" s="61">
        <v>18230434</v>
      </c>
      <c r="D6" s="61" t="s">
        <v>51</v>
      </c>
      <c r="E6" s="38" t="s">
        <v>608</v>
      </c>
      <c r="F6" s="39" t="s">
        <v>609</v>
      </c>
      <c r="G6" s="39">
        <v>5</v>
      </c>
      <c r="H6" s="39"/>
      <c r="I6" s="40" t="s">
        <v>264</v>
      </c>
      <c r="J6" s="41">
        <v>106</v>
      </c>
      <c r="K6" s="41">
        <v>411</v>
      </c>
      <c r="L6" s="41"/>
      <c r="M6" s="42">
        <v>120</v>
      </c>
      <c r="N6" s="42">
        <v>120</v>
      </c>
      <c r="O6" s="43">
        <v>43566</v>
      </c>
      <c r="P6" s="44">
        <v>2650</v>
      </c>
      <c r="Q6" s="44">
        <v>12720</v>
      </c>
      <c r="R6" s="45">
        <v>16.579999999999998</v>
      </c>
      <c r="S6" s="46">
        <v>0</v>
      </c>
      <c r="T6" s="39">
        <f t="shared" si="0"/>
        <v>5</v>
      </c>
      <c r="U6" s="47">
        <f t="shared" si="1"/>
        <v>7.1603123559465007E-2</v>
      </c>
      <c r="V6" s="48">
        <f t="shared" si="2"/>
        <v>0</v>
      </c>
      <c r="W6" s="49">
        <f t="shared" si="3"/>
        <v>1.4320624711893002E-2</v>
      </c>
      <c r="X6" s="44">
        <f t="shared" si="4"/>
        <v>7879.9742995243578</v>
      </c>
      <c r="Y6" s="44">
        <f t="shared" si="5"/>
        <v>10070</v>
      </c>
      <c r="Z6" s="44">
        <f t="shared" si="6"/>
        <v>30381.953578922199</v>
      </c>
      <c r="AA6" s="50">
        <f t="shared" si="7"/>
        <v>20599.974299524358</v>
      </c>
      <c r="AB6" s="51">
        <f t="shared" si="8"/>
        <v>28402.312404339718</v>
      </c>
      <c r="AC6" s="44">
        <f t="shared" si="8"/>
        <v>19257.711787907221</v>
      </c>
      <c r="AD6" s="44">
        <f t="shared" si="9"/>
        <v>7211.8069739143057</v>
      </c>
      <c r="AE6" s="44">
        <v>0</v>
      </c>
      <c r="AF6" s="52">
        <f>HLOOKUP(I6,ElecAvoidedCostsWOCC!$A$5:$Q$50,G6+1,FALSE)</f>
        <v>0.35099237831359642</v>
      </c>
      <c r="AG6" s="44">
        <f t="shared" si="10"/>
        <v>15291.333953610143</v>
      </c>
      <c r="AH6" s="52">
        <f>HLOOKUP(I6,ElecAvoidedCostsWOCC!$A$5:$Q$50,T6+1,FALSE)</f>
        <v>0.35099237831359642</v>
      </c>
      <c r="AI6" s="44">
        <f t="shared" si="11"/>
        <v>0</v>
      </c>
      <c r="AJ6" s="44">
        <f t="shared" ref="AJ6:AJ24" si="12">AG6+AI6</f>
        <v>15291.333953610143</v>
      </c>
      <c r="AK6" s="44">
        <f>HLOOKUP(I6,ElecAvoidedCostsWOCC!$A$5:$Q$50,G6+1,FALSE)*J6*L6</f>
        <v>0</v>
      </c>
      <c r="AL6" s="44">
        <f t="shared" ref="AL6:AL24" si="13">AG6+AI6-AK6</f>
        <v>15291.333953610143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15291.333953610141</v>
      </c>
      <c r="AN6" s="48">
        <f t="shared" ref="AN6:AN24" si="14">AM6*1.1+AD6+AE6</f>
        <v>24032.274322885463</v>
      </c>
      <c r="AO6" s="47">
        <f t="shared" ref="AO6:AO24" si="15">IFERROR(AM6/AB6,0)</f>
        <v>0.53838341526282585</v>
      </c>
      <c r="AP6" s="47">
        <f t="shared" ref="AP6:AP24" si="16">AN6/AC6</f>
        <v>1.247929898814687</v>
      </c>
      <c r="AQ6">
        <v>2021</v>
      </c>
    </row>
    <row r="7" spans="1:43" ht="13.5" customHeight="1">
      <c r="A7" s="36" t="s">
        <v>249</v>
      </c>
      <c r="B7" s="97" t="s">
        <v>15</v>
      </c>
      <c r="C7" s="61">
        <v>18230434</v>
      </c>
      <c r="D7" s="61" t="s">
        <v>51</v>
      </c>
      <c r="E7" s="38" t="s">
        <v>610</v>
      </c>
      <c r="F7" s="39" t="s">
        <v>609</v>
      </c>
      <c r="G7" s="39">
        <v>3</v>
      </c>
      <c r="H7" s="39"/>
      <c r="I7" s="40" t="s">
        <v>264</v>
      </c>
      <c r="J7" s="41">
        <v>741</v>
      </c>
      <c r="K7" s="41">
        <v>386</v>
      </c>
      <c r="L7" s="41"/>
      <c r="M7" s="42">
        <v>120</v>
      </c>
      <c r="N7" s="42">
        <v>120</v>
      </c>
      <c r="O7" s="43">
        <v>286026</v>
      </c>
      <c r="P7" s="44">
        <v>18525</v>
      </c>
      <c r="Q7" s="44">
        <v>88920</v>
      </c>
      <c r="R7" s="45">
        <v>35.14</v>
      </c>
      <c r="S7" s="46">
        <v>0</v>
      </c>
      <c r="T7" s="39">
        <f t="shared" si="0"/>
        <v>3</v>
      </c>
      <c r="U7" s="47">
        <f t="shared" si="1"/>
        <v>0.28205970278500947</v>
      </c>
      <c r="V7" s="48">
        <f t="shared" si="2"/>
        <v>0</v>
      </c>
      <c r="W7" s="49">
        <f t="shared" si="3"/>
        <v>9.4019900928336494E-2</v>
      </c>
      <c r="X7" s="44">
        <f t="shared" si="4"/>
        <v>51734.782376067436</v>
      </c>
      <c r="Y7" s="44">
        <f t="shared" si="5"/>
        <v>70395</v>
      </c>
      <c r="Z7" s="44">
        <f t="shared" si="6"/>
        <v>199468.13235928939</v>
      </c>
      <c r="AA7" s="50">
        <f t="shared" si="7"/>
        <v>140654.78237606742</v>
      </c>
      <c r="AB7" s="51">
        <f t="shared" si="8"/>
        <v>186471.09690501017</v>
      </c>
      <c r="AC7" s="44">
        <f t="shared" si="8"/>
        <v>131489.93397781378</v>
      </c>
      <c r="AD7" s="44">
        <f t="shared" si="9"/>
        <v>68371.35500850383</v>
      </c>
      <c r="AE7" s="44">
        <v>0</v>
      </c>
      <c r="AF7" s="52">
        <f>HLOOKUP(I7,ElecAvoidedCostsWOCC!$A$5:$Q$50,G7+1,FALSE)</f>
        <v>0.2161772674846652</v>
      </c>
      <c r="AG7" s="44">
        <f t="shared" si="10"/>
        <v>61832.319109568845</v>
      </c>
      <c r="AH7" s="52">
        <f>HLOOKUP(I7,ElecAvoidedCostsWOCC!$A$5:$Q$50,T7+1,FALSE)</f>
        <v>0.2161772674846652</v>
      </c>
      <c r="AI7" s="44">
        <f t="shared" si="11"/>
        <v>0</v>
      </c>
      <c r="AJ7" s="44">
        <f t="shared" si="12"/>
        <v>61832.319109568845</v>
      </c>
      <c r="AK7" s="44">
        <f>HLOOKUP(I7,ElecAvoidedCostsWOCC!$A$5:$Q$50,G7+1,FALSE)*J7*L7</f>
        <v>0</v>
      </c>
      <c r="AL7" s="44">
        <f t="shared" si="13"/>
        <v>61832.319109568845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61832.319109568845</v>
      </c>
      <c r="AN7" s="48">
        <f t="shared" si="14"/>
        <v>136386.90602902957</v>
      </c>
      <c r="AO7" s="47">
        <f t="shared" si="15"/>
        <v>0.3315919739618774</v>
      </c>
      <c r="AP7" s="47">
        <f t="shared" si="16"/>
        <v>1.0372421819912241</v>
      </c>
      <c r="AQ7">
        <v>2021</v>
      </c>
    </row>
    <row r="8" spans="1:43" ht="13.5" customHeight="1">
      <c r="A8" s="53">
        <f>SUMIF('Program Costs'!D:D,C2,'Program Costs'!O:O)</f>
        <v>550253.53</v>
      </c>
      <c r="B8" s="97" t="s">
        <v>15</v>
      </c>
      <c r="C8" s="61">
        <v>18230434</v>
      </c>
      <c r="D8" s="61" t="s">
        <v>51</v>
      </c>
      <c r="E8" s="38" t="s">
        <v>611</v>
      </c>
      <c r="F8" s="39" t="s">
        <v>612</v>
      </c>
      <c r="G8" s="39">
        <v>6</v>
      </c>
      <c r="H8" s="39"/>
      <c r="I8" s="40" t="s">
        <v>264</v>
      </c>
      <c r="J8" s="41">
        <v>41</v>
      </c>
      <c r="K8" s="41">
        <v>334</v>
      </c>
      <c r="L8" s="41"/>
      <c r="M8" s="42">
        <v>120</v>
      </c>
      <c r="N8" s="42">
        <v>120</v>
      </c>
      <c r="O8" s="43">
        <v>13694</v>
      </c>
      <c r="P8" s="44">
        <v>1025</v>
      </c>
      <c r="Q8" s="44">
        <v>4920</v>
      </c>
      <c r="R8" s="45">
        <v>15.4</v>
      </c>
      <c r="S8" s="46">
        <v>0</v>
      </c>
      <c r="T8" s="39">
        <f t="shared" si="0"/>
        <v>6</v>
      </c>
      <c r="U8" s="47">
        <f t="shared" si="1"/>
        <v>2.7008213029150636E-2</v>
      </c>
      <c r="V8" s="48">
        <f t="shared" si="2"/>
        <v>0</v>
      </c>
      <c r="W8" s="49">
        <f t="shared" si="3"/>
        <v>4.5013688381917724E-3</v>
      </c>
      <c r="X8" s="44">
        <f t="shared" si="4"/>
        <v>2476.8940930470217</v>
      </c>
      <c r="Y8" s="44">
        <f t="shared" si="5"/>
        <v>3895</v>
      </c>
      <c r="Z8" s="44">
        <f t="shared" si="6"/>
        <v>9549.8891867456405</v>
      </c>
      <c r="AA8" s="50">
        <f t="shared" si="7"/>
        <v>7396.8940930470217</v>
      </c>
      <c r="AB8" s="51">
        <f t="shared" si="8"/>
        <v>8927.6331557872672</v>
      </c>
      <c r="AC8" s="44">
        <f t="shared" si="8"/>
        <v>6914.9238973983556</v>
      </c>
      <c r="AD8" s="44">
        <f t="shared" si="9"/>
        <v>3012.3824575001695</v>
      </c>
      <c r="AE8" s="44">
        <v>0</v>
      </c>
      <c r="AF8" s="52">
        <f>HLOOKUP(I8,ElecAvoidedCostsWOCC!$A$5:$Q$50,G8+1,FALSE)</f>
        <v>0.42167853068679217</v>
      </c>
      <c r="AG8" s="44">
        <f t="shared" si="10"/>
        <v>5774.4657992249322</v>
      </c>
      <c r="AH8" s="52">
        <f>HLOOKUP(I8,ElecAvoidedCostsWOCC!$A$5:$Q$50,T8+1,FALSE)</f>
        <v>0.42167853068679217</v>
      </c>
      <c r="AI8" s="44">
        <f t="shared" si="11"/>
        <v>0</v>
      </c>
      <c r="AJ8" s="44">
        <f t="shared" si="12"/>
        <v>5774.4657992249322</v>
      </c>
      <c r="AK8" s="44">
        <f>HLOOKUP(I8,ElecAvoidedCostsWOCC!$A$5:$Q$50,G8+1,FALSE)*J8*L8</f>
        <v>0</v>
      </c>
      <c r="AL8" s="44">
        <f t="shared" si="13"/>
        <v>5774.4657992249322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5774.4657992249322</v>
      </c>
      <c r="AN8" s="48">
        <f t="shared" si="14"/>
        <v>9364.2948366475957</v>
      </c>
      <c r="AO8" s="47">
        <f t="shared" si="15"/>
        <v>0.64680814035035483</v>
      </c>
      <c r="AP8" s="47">
        <f t="shared" si="16"/>
        <v>1.3542151693340807</v>
      </c>
      <c r="AQ8">
        <v>2021</v>
      </c>
    </row>
    <row r="9" spans="1:43" ht="13.5" customHeight="1">
      <c r="A9" s="36" t="s">
        <v>250</v>
      </c>
      <c r="B9" s="97" t="s">
        <v>15</v>
      </c>
      <c r="C9" s="61">
        <v>18230434</v>
      </c>
      <c r="D9" s="61" t="s">
        <v>51</v>
      </c>
      <c r="E9" s="38" t="s">
        <v>613</v>
      </c>
      <c r="F9" s="39" t="s">
        <v>612</v>
      </c>
      <c r="G9" s="39">
        <v>3</v>
      </c>
      <c r="H9" s="39"/>
      <c r="I9" s="40" t="s">
        <v>264</v>
      </c>
      <c r="J9" s="41">
        <v>322</v>
      </c>
      <c r="K9" s="41">
        <v>348</v>
      </c>
      <c r="L9" s="41"/>
      <c r="M9" s="42">
        <v>120</v>
      </c>
      <c r="N9" s="42">
        <v>120</v>
      </c>
      <c r="O9" s="43">
        <v>112056</v>
      </c>
      <c r="P9" s="44">
        <v>8050</v>
      </c>
      <c r="Q9" s="44">
        <v>38640</v>
      </c>
      <c r="R9" s="45">
        <v>37.78</v>
      </c>
      <c r="S9" s="46">
        <v>0</v>
      </c>
      <c r="T9" s="39">
        <f t="shared" si="0"/>
        <v>3</v>
      </c>
      <c r="U9" s="47">
        <f t="shared" si="1"/>
        <v>0.11050212937032655</v>
      </c>
      <c r="V9" s="48">
        <f t="shared" si="2"/>
        <v>0</v>
      </c>
      <c r="W9" s="49">
        <f t="shared" si="3"/>
        <v>3.6834043123442184E-2</v>
      </c>
      <c r="X9" s="44">
        <f t="shared" si="4"/>
        <v>20268.062252846288</v>
      </c>
      <c r="Y9" s="44">
        <f t="shared" si="5"/>
        <v>30590</v>
      </c>
      <c r="Z9" s="44">
        <f t="shared" si="6"/>
        <v>78145.347065135793</v>
      </c>
      <c r="AA9" s="50">
        <f t="shared" si="7"/>
        <v>58908.062252846285</v>
      </c>
      <c r="AB9" s="51">
        <f t="shared" si="8"/>
        <v>73053.51693478151</v>
      </c>
      <c r="AC9" s="44">
        <f t="shared" si="8"/>
        <v>55069.703891601646</v>
      </c>
      <c r="AD9" s="44">
        <f t="shared" si="9"/>
        <v>31942.731218762907</v>
      </c>
      <c r="AE9" s="44">
        <f t="shared" ref="AE9:AE24" si="17">-PV(ElecDiscountRate,T9,S9)*J9</f>
        <v>0</v>
      </c>
      <c r="AF9" s="52">
        <f>HLOOKUP(I9,ElecAvoidedCostsWOCC!$A$5:$Q$50,G9+1,FALSE)</f>
        <v>0.2161772674846652</v>
      </c>
      <c r="AG9" s="44">
        <f t="shared" si="10"/>
        <v>24223.959885261644</v>
      </c>
      <c r="AH9" s="52">
        <f>HLOOKUP(I9,ElecAvoidedCostsWOCC!$A$5:$Q$50,T9+1,FALSE)</f>
        <v>0.2161772674846652</v>
      </c>
      <c r="AI9" s="44">
        <f t="shared" si="11"/>
        <v>0</v>
      </c>
      <c r="AJ9" s="44">
        <f t="shared" si="12"/>
        <v>24223.959885261644</v>
      </c>
      <c r="AK9" s="44">
        <f>HLOOKUP(I9,ElecAvoidedCostsWOCC!$A$5:$Q$50,G9+1,FALSE)*J9*L9</f>
        <v>0</v>
      </c>
      <c r="AL9" s="44">
        <f t="shared" si="13"/>
        <v>24223.959885261644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24223.959885261644</v>
      </c>
      <c r="AN9" s="48">
        <f t="shared" si="14"/>
        <v>58589.087092550719</v>
      </c>
      <c r="AO9" s="47">
        <f t="shared" si="15"/>
        <v>0.33159197396187745</v>
      </c>
      <c r="AP9" s="47">
        <f t="shared" si="16"/>
        <v>1.0639077923476141</v>
      </c>
      <c r="AQ9">
        <v>2021</v>
      </c>
    </row>
    <row r="10" spans="1:43" ht="13.5" customHeight="1">
      <c r="A10" s="54">
        <f>SUM(O5:O999)</f>
        <v>3042185.7199999997</v>
      </c>
      <c r="B10" s="97" t="s">
        <v>15</v>
      </c>
      <c r="C10" s="61">
        <v>18230434</v>
      </c>
      <c r="D10" s="61" t="s">
        <v>51</v>
      </c>
      <c r="E10" s="38" t="s">
        <v>614</v>
      </c>
      <c r="F10" s="39" t="s">
        <v>615</v>
      </c>
      <c r="G10" s="39">
        <v>14</v>
      </c>
      <c r="H10" s="39"/>
      <c r="I10" s="40" t="s">
        <v>265</v>
      </c>
      <c r="J10" s="41">
        <v>1</v>
      </c>
      <c r="K10" s="41">
        <v>142</v>
      </c>
      <c r="L10" s="41"/>
      <c r="M10" s="42">
        <v>25</v>
      </c>
      <c r="N10" s="42">
        <v>65.56</v>
      </c>
      <c r="O10" s="43">
        <v>142</v>
      </c>
      <c r="P10" s="44">
        <v>25</v>
      </c>
      <c r="Q10" s="44">
        <v>65.56</v>
      </c>
      <c r="R10" s="45">
        <v>17.059999999999999</v>
      </c>
      <c r="S10" s="46">
        <v>0</v>
      </c>
      <c r="T10" s="39">
        <f t="shared" si="0"/>
        <v>14</v>
      </c>
      <c r="U10" s="47">
        <f t="shared" si="1"/>
        <v>6.5347752667775996E-4</v>
      </c>
      <c r="V10" s="48">
        <f t="shared" si="2"/>
        <v>40.56</v>
      </c>
      <c r="W10" s="49">
        <f t="shared" si="3"/>
        <v>4.6676966191268565E-5</v>
      </c>
      <c r="X10" s="44">
        <f t="shared" si="4"/>
        <v>25.684165416436183</v>
      </c>
      <c r="Y10" s="44">
        <f t="shared" si="5"/>
        <v>40.56</v>
      </c>
      <c r="Z10" s="44">
        <f t="shared" si="6"/>
        <v>99.027622646259758</v>
      </c>
      <c r="AA10" s="50">
        <f t="shared" si="7"/>
        <v>91.244165416436189</v>
      </c>
      <c r="AB10" s="51">
        <f t="shared" si="8"/>
        <v>92.575135688753619</v>
      </c>
      <c r="AC10" s="44">
        <f t="shared" si="8"/>
        <v>85.298836511579111</v>
      </c>
      <c r="AD10" s="44">
        <f t="shared" si="9"/>
        <v>149.46647337894538</v>
      </c>
      <c r="AE10" s="44">
        <f t="shared" si="17"/>
        <v>0</v>
      </c>
      <c r="AF10" s="52">
        <f>HLOOKUP(I10,ElecAvoidedCostsWOCC!$A$5:$Q$50,G10+1,FALSE)</f>
        <v>1.0169996824506593</v>
      </c>
      <c r="AG10" s="44">
        <f t="shared" si="10"/>
        <v>144.41395490799363</v>
      </c>
      <c r="AH10" s="52">
        <f>HLOOKUP(I10,ElecAvoidedCostsWOCC!$A$5:$Q$50,T10+1,FALSE)</f>
        <v>1.0169996824506593</v>
      </c>
      <c r="AI10" s="44">
        <f t="shared" si="11"/>
        <v>0</v>
      </c>
      <c r="AJ10" s="44">
        <f t="shared" si="12"/>
        <v>144.41395490799363</v>
      </c>
      <c r="AK10" s="44">
        <f>HLOOKUP(I10,ElecAvoidedCostsWOCC!$A$5:$Q$50,G10+1,FALSE)*J10*L10</f>
        <v>0</v>
      </c>
      <c r="AL10" s="44">
        <f t="shared" si="13"/>
        <v>144.41395490799363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144.41395490799363</v>
      </c>
      <c r="AN10" s="48">
        <f t="shared" si="14"/>
        <v>308.32182377773836</v>
      </c>
      <c r="AO10" s="47">
        <f t="shared" si="15"/>
        <v>1.559964820289619</v>
      </c>
      <c r="AP10" s="47">
        <f t="shared" si="16"/>
        <v>3.6146076123310826</v>
      </c>
      <c r="AQ10">
        <v>2021</v>
      </c>
    </row>
    <row r="11" spans="1:43" ht="13.5" customHeight="1">
      <c r="A11" s="36" t="s">
        <v>251</v>
      </c>
      <c r="B11" s="97" t="s">
        <v>15</v>
      </c>
      <c r="C11" s="61">
        <v>18230434</v>
      </c>
      <c r="D11" s="61" t="s">
        <v>51</v>
      </c>
      <c r="E11" s="38" t="s">
        <v>616</v>
      </c>
      <c r="F11" s="39" t="s">
        <v>615</v>
      </c>
      <c r="G11" s="39">
        <v>14</v>
      </c>
      <c r="H11" s="39"/>
      <c r="I11" s="40" t="s">
        <v>265</v>
      </c>
      <c r="J11" s="41">
        <v>535</v>
      </c>
      <c r="K11" s="41">
        <v>142</v>
      </c>
      <c r="L11" s="41"/>
      <c r="M11" s="42">
        <v>50</v>
      </c>
      <c r="N11" s="42">
        <v>65.56</v>
      </c>
      <c r="O11" s="43">
        <v>75970</v>
      </c>
      <c r="P11" s="44">
        <v>27475</v>
      </c>
      <c r="Q11" s="44">
        <v>35074.600000000202</v>
      </c>
      <c r="R11" s="45">
        <v>17.059999999999999</v>
      </c>
      <c r="S11" s="46">
        <v>0</v>
      </c>
      <c r="T11" s="39">
        <f t="shared" si="0"/>
        <v>14</v>
      </c>
      <c r="U11" s="47">
        <f t="shared" si="1"/>
        <v>0.34961047677260154</v>
      </c>
      <c r="V11" s="48">
        <f t="shared" si="2"/>
        <v>15.560000000000002</v>
      </c>
      <c r="W11" s="49">
        <f t="shared" si="3"/>
        <v>2.497217691232868E-2</v>
      </c>
      <c r="X11" s="44">
        <f t="shared" si="4"/>
        <v>13741.028497793357</v>
      </c>
      <c r="Y11" s="44">
        <f t="shared" si="5"/>
        <v>7599.6000000002023</v>
      </c>
      <c r="Z11" s="44">
        <f t="shared" si="6"/>
        <v>52979.778115748959</v>
      </c>
      <c r="AA11" s="50">
        <f t="shared" si="7"/>
        <v>48815.628497793557</v>
      </c>
      <c r="AB11" s="51">
        <f t="shared" si="8"/>
        <v>49527.697593483179</v>
      </c>
      <c r="AC11" s="44">
        <f t="shared" si="8"/>
        <v>45634.877533695013</v>
      </c>
      <c r="AD11" s="44">
        <f t="shared" si="9"/>
        <v>79964.563257735776</v>
      </c>
      <c r="AE11" s="44">
        <f t="shared" si="17"/>
        <v>0</v>
      </c>
      <c r="AF11" s="52">
        <f>HLOOKUP(I11,ElecAvoidedCostsWOCC!$A$5:$Q$50,G11+1,FALSE)</f>
        <v>1.0169996824506593</v>
      </c>
      <c r="AG11" s="44">
        <f t="shared" si="10"/>
        <v>77261.465875776586</v>
      </c>
      <c r="AH11" s="52">
        <f>HLOOKUP(I11,ElecAvoidedCostsWOCC!$A$5:$Q$50,T11+1,FALSE)</f>
        <v>1.0169996824506593</v>
      </c>
      <c r="AI11" s="44">
        <f t="shared" si="11"/>
        <v>0</v>
      </c>
      <c r="AJ11" s="44">
        <f t="shared" si="12"/>
        <v>77261.465875776586</v>
      </c>
      <c r="AK11" s="44">
        <f>HLOOKUP(I11,ElecAvoidedCostsWOCC!$A$5:$Q$50,G11+1,FALSE)*J11*L11</f>
        <v>0</v>
      </c>
      <c r="AL11" s="44">
        <f t="shared" si="13"/>
        <v>77261.465875776586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77261.465875776586</v>
      </c>
      <c r="AN11" s="48">
        <f t="shared" si="14"/>
        <v>164952.17572109003</v>
      </c>
      <c r="AO11" s="47">
        <f t="shared" si="15"/>
        <v>1.559964820289619</v>
      </c>
      <c r="AP11" s="47">
        <f t="shared" si="16"/>
        <v>3.614607612331068</v>
      </c>
      <c r="AQ11">
        <v>2021</v>
      </c>
    </row>
    <row r="12" spans="1:43" ht="13.5" customHeight="1">
      <c r="A12" s="55">
        <f>SUM(P5:P1000)</f>
        <v>1235003.7999999998</v>
      </c>
      <c r="B12" s="97" t="s">
        <v>15</v>
      </c>
      <c r="C12" s="61">
        <v>18230434</v>
      </c>
      <c r="D12" s="61" t="s">
        <v>51</v>
      </c>
      <c r="E12" s="38" t="s">
        <v>617</v>
      </c>
      <c r="F12" s="39" t="s">
        <v>618</v>
      </c>
      <c r="G12" s="39">
        <v>14</v>
      </c>
      <c r="H12" s="39"/>
      <c r="I12" s="40" t="s">
        <v>265</v>
      </c>
      <c r="J12" s="41">
        <v>393</v>
      </c>
      <c r="K12" s="41">
        <v>142</v>
      </c>
      <c r="L12" s="41"/>
      <c r="M12" s="42">
        <v>50</v>
      </c>
      <c r="N12" s="42">
        <v>65.56</v>
      </c>
      <c r="O12" s="43">
        <v>55806</v>
      </c>
      <c r="P12" s="44">
        <v>20100</v>
      </c>
      <c r="Q12" s="44">
        <v>25765.0800000001</v>
      </c>
      <c r="R12" s="45">
        <v>17.059999999999999</v>
      </c>
      <c r="S12" s="46">
        <v>0</v>
      </c>
      <c r="T12" s="39">
        <f t="shared" si="0"/>
        <v>14</v>
      </c>
      <c r="U12" s="47">
        <f t="shared" si="1"/>
        <v>0.25681666798435959</v>
      </c>
      <c r="V12" s="48">
        <f t="shared" si="2"/>
        <v>15.560000000000002</v>
      </c>
      <c r="W12" s="49">
        <f t="shared" si="3"/>
        <v>1.8344047713168544E-2</v>
      </c>
      <c r="X12" s="44">
        <f t="shared" si="4"/>
        <v>10093.87700865942</v>
      </c>
      <c r="Y12" s="44">
        <f t="shared" si="5"/>
        <v>5665.0800000001</v>
      </c>
      <c r="Z12" s="44">
        <f t="shared" si="6"/>
        <v>38917.855699980078</v>
      </c>
      <c r="AA12" s="50">
        <f t="shared" si="7"/>
        <v>35858.957008659519</v>
      </c>
      <c r="AB12" s="51">
        <f t="shared" si="8"/>
        <v>36382.02832568017</v>
      </c>
      <c r="AC12" s="44">
        <f t="shared" si="8"/>
        <v>33522.442749050686</v>
      </c>
      <c r="AD12" s="44">
        <f t="shared" si="9"/>
        <v>58740.324037925537</v>
      </c>
      <c r="AE12" s="44">
        <f t="shared" si="17"/>
        <v>0</v>
      </c>
      <c r="AF12" s="52">
        <f>HLOOKUP(I12,ElecAvoidedCostsWOCC!$A$5:$Q$50,G12+1,FALSE)</f>
        <v>1.0169996824506593</v>
      </c>
      <c r="AG12" s="44">
        <f t="shared" si="10"/>
        <v>56754.684278841494</v>
      </c>
      <c r="AH12" s="52">
        <f>HLOOKUP(I12,ElecAvoidedCostsWOCC!$A$5:$Q$50,T12+1,FALSE)</f>
        <v>1.0169996824506593</v>
      </c>
      <c r="AI12" s="44">
        <f t="shared" si="11"/>
        <v>0</v>
      </c>
      <c r="AJ12" s="44">
        <f t="shared" si="12"/>
        <v>56754.684278841494</v>
      </c>
      <c r="AK12" s="44">
        <f>HLOOKUP(I12,ElecAvoidedCostsWOCC!$A$5:$Q$50,G12+1,FALSE)*J12*L12</f>
        <v>0</v>
      </c>
      <c r="AL12" s="44">
        <f t="shared" si="13"/>
        <v>56754.684278841494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56754.684278841494</v>
      </c>
      <c r="AN12" s="48">
        <f t="shared" si="14"/>
        <v>121170.47674465118</v>
      </c>
      <c r="AO12" s="47">
        <f t="shared" si="15"/>
        <v>1.559964820289619</v>
      </c>
      <c r="AP12" s="47">
        <f t="shared" si="16"/>
        <v>3.6146076123310729</v>
      </c>
      <c r="AQ12">
        <v>2021</v>
      </c>
    </row>
    <row r="13" spans="1:43" ht="13.5" customHeight="1">
      <c r="A13" s="56" t="s">
        <v>252</v>
      </c>
      <c r="B13" s="97" t="s">
        <v>15</v>
      </c>
      <c r="C13" s="61">
        <v>18230434</v>
      </c>
      <c r="D13" s="61" t="s">
        <v>51</v>
      </c>
      <c r="E13" s="38" t="s">
        <v>619</v>
      </c>
      <c r="F13" s="39" t="s">
        <v>620</v>
      </c>
      <c r="G13" s="39"/>
      <c r="H13" s="39"/>
      <c r="I13" s="40" t="s">
        <v>265</v>
      </c>
      <c r="J13" s="41">
        <v>1</v>
      </c>
      <c r="K13" s="41">
        <v>0</v>
      </c>
      <c r="L13" s="41"/>
      <c r="M13" s="42">
        <v>0</v>
      </c>
      <c r="N13" s="42">
        <v>0</v>
      </c>
      <c r="O13" s="43">
        <v>0</v>
      </c>
      <c r="P13" s="44">
        <v>150</v>
      </c>
      <c r="Q13" s="44">
        <v>0</v>
      </c>
      <c r="R13" s="45">
        <v>0</v>
      </c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-150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str">
        <f>HLOOKUP(I13,ElecAvoidedCostsWOCC!$A$5:$Q$50,G13+1,FALSE)</f>
        <v>Res Water Heat</v>
      </c>
      <c r="AG13" s="44" t="e">
        <f t="shared" si="10"/>
        <v>#VALUE!</v>
      </c>
      <c r="AH13" s="52" t="str">
        <f>HLOOKUP(I13,ElecAvoidedCostsWOCC!$A$5:$Q$50,T13+1,FALSE)</f>
        <v>Res Water Heat</v>
      </c>
      <c r="AI13" s="44" t="e">
        <f t="shared" si="11"/>
        <v>#VALUE!</v>
      </c>
      <c r="AJ13" s="44" t="e">
        <f t="shared" si="12"/>
        <v>#VALUE!</v>
      </c>
      <c r="AK13" s="44" t="e">
        <f>HLOOKUP(I13,ElecAvoidedCostsWOCC!$A$5:$Q$50,G13+1,FALSE)*J13*L13</f>
        <v>#VALUE!</v>
      </c>
      <c r="AL13" s="44" t="e">
        <f t="shared" si="13"/>
        <v>#VALUE!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  <c r="AQ13">
        <v>2021</v>
      </c>
    </row>
    <row r="14" spans="1:43" ht="13.5" customHeight="1">
      <c r="A14" s="55">
        <f>SUM(Y5:Y1000)</f>
        <v>327390.3899999875</v>
      </c>
      <c r="B14" s="97" t="s">
        <v>15</v>
      </c>
      <c r="C14" s="61">
        <v>18230434</v>
      </c>
      <c r="D14" s="61" t="s">
        <v>51</v>
      </c>
      <c r="E14" s="38" t="s">
        <v>621</v>
      </c>
      <c r="F14" s="39" t="s">
        <v>622</v>
      </c>
      <c r="G14" s="39">
        <v>12</v>
      </c>
      <c r="H14" s="39"/>
      <c r="I14" s="40" t="s">
        <v>263</v>
      </c>
      <c r="J14" s="41">
        <v>4</v>
      </c>
      <c r="K14" s="41">
        <v>192</v>
      </c>
      <c r="L14" s="41"/>
      <c r="M14" s="42">
        <v>100</v>
      </c>
      <c r="N14" s="42">
        <v>386.45</v>
      </c>
      <c r="O14" s="43">
        <v>768</v>
      </c>
      <c r="P14" s="44">
        <v>400</v>
      </c>
      <c r="Q14" s="44">
        <v>1545.8</v>
      </c>
      <c r="R14" s="45">
        <v>-0.24</v>
      </c>
      <c r="S14" s="46">
        <v>0</v>
      </c>
      <c r="T14" s="39">
        <f t="shared" si="0"/>
        <v>12</v>
      </c>
      <c r="U14" s="47">
        <f t="shared" si="1"/>
        <v>3.0294008480192328E-3</v>
      </c>
      <c r="V14" s="48">
        <f t="shared" si="2"/>
        <v>286.45</v>
      </c>
      <c r="W14" s="49">
        <f t="shared" si="3"/>
        <v>2.524500706682694E-4</v>
      </c>
      <c r="X14" s="44">
        <f t="shared" si="4"/>
        <v>138.91154253396471</v>
      </c>
      <c r="Y14" s="44">
        <f t="shared" si="5"/>
        <v>1145.8</v>
      </c>
      <c r="Z14" s="44">
        <f t="shared" si="6"/>
        <v>535.58601543892598</v>
      </c>
      <c r="AA14" s="50">
        <f t="shared" si="7"/>
        <v>1684.7115425339646</v>
      </c>
      <c r="AB14" s="51">
        <f t="shared" si="8"/>
        <v>500.68805780959701</v>
      </c>
      <c r="AC14" s="44">
        <f t="shared" si="8"/>
        <v>1574.9383402205895</v>
      </c>
      <c r="AD14" s="44">
        <f t="shared" si="9"/>
        <v>-7.6371848636414272</v>
      </c>
      <c r="AE14" s="44">
        <f t="shared" si="17"/>
        <v>0</v>
      </c>
      <c r="AF14" s="52">
        <f>HLOOKUP(I14,ElecAvoidedCostsWOCC!$A$5:$Q$50,G14+1,FALSE)</f>
        <v>0.87531038854853971</v>
      </c>
      <c r="AG14" s="44">
        <f t="shared" si="10"/>
        <v>672.23837840527847</v>
      </c>
      <c r="AH14" s="52">
        <f>HLOOKUP(I14,ElecAvoidedCostsWOCC!$A$5:$Q$50,T14+1,FALSE)</f>
        <v>0.87531038854853971</v>
      </c>
      <c r="AI14" s="44">
        <f t="shared" si="11"/>
        <v>0</v>
      </c>
      <c r="AJ14" s="44">
        <f t="shared" si="12"/>
        <v>672.23837840527847</v>
      </c>
      <c r="AK14" s="44">
        <f>HLOOKUP(I14,ElecAvoidedCostsWOCC!$A$5:$Q$50,G14+1,FALSE)*J14*L14</f>
        <v>0</v>
      </c>
      <c r="AL14" s="44">
        <f t="shared" si="13"/>
        <v>672.23837840527847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672.23837840527847</v>
      </c>
      <c r="AN14" s="48">
        <f t="shared" si="14"/>
        <v>731.82503138216498</v>
      </c>
      <c r="AO14" s="47">
        <f t="shared" si="15"/>
        <v>1.3426291438748856</v>
      </c>
      <c r="AP14" s="47">
        <f t="shared" si="16"/>
        <v>0.46466900493365593</v>
      </c>
      <c r="AQ14">
        <v>2021</v>
      </c>
    </row>
    <row r="15" spans="1:43" ht="13.5" customHeight="1">
      <c r="A15" s="57" t="s">
        <v>253</v>
      </c>
      <c r="B15" s="97" t="s">
        <v>15</v>
      </c>
      <c r="C15" s="61">
        <v>18230434</v>
      </c>
      <c r="D15" s="61" t="s">
        <v>51</v>
      </c>
      <c r="E15" s="38" t="s">
        <v>623</v>
      </c>
      <c r="F15" s="39" t="s">
        <v>624</v>
      </c>
      <c r="G15" s="39">
        <v>12</v>
      </c>
      <c r="H15" s="39"/>
      <c r="I15" s="40" t="s">
        <v>263</v>
      </c>
      <c r="J15" s="41">
        <v>114</v>
      </c>
      <c r="K15" s="41">
        <v>238</v>
      </c>
      <c r="L15" s="41"/>
      <c r="M15" s="42">
        <v>100</v>
      </c>
      <c r="N15" s="42">
        <v>386.45</v>
      </c>
      <c r="O15" s="43">
        <v>27132</v>
      </c>
      <c r="P15" s="44">
        <v>11450</v>
      </c>
      <c r="Q15" s="44">
        <v>44055.3</v>
      </c>
      <c r="R15" s="45">
        <v>3.91</v>
      </c>
      <c r="S15" s="46">
        <v>0</v>
      </c>
      <c r="T15" s="39">
        <f t="shared" si="0"/>
        <v>12</v>
      </c>
      <c r="U15" s="47">
        <f t="shared" si="1"/>
        <v>0.10702305183392946</v>
      </c>
      <c r="V15" s="48">
        <f t="shared" si="2"/>
        <v>286.45</v>
      </c>
      <c r="W15" s="49">
        <f t="shared" si="3"/>
        <v>8.9185876528274557E-3</v>
      </c>
      <c r="X15" s="44">
        <f t="shared" si="4"/>
        <v>4907.4843385827226</v>
      </c>
      <c r="Y15" s="44">
        <f t="shared" si="5"/>
        <v>32605.300000000003</v>
      </c>
      <c r="Z15" s="44">
        <f t="shared" si="6"/>
        <v>18921.249701678309</v>
      </c>
      <c r="AA15" s="50">
        <f t="shared" si="7"/>
        <v>48962.784338582729</v>
      </c>
      <c r="AB15" s="51">
        <f t="shared" si="8"/>
        <v>17688.370292304673</v>
      </c>
      <c r="AC15" s="44">
        <f t="shared" si="8"/>
        <v>45772.444927159697</v>
      </c>
      <c r="AD15" s="44">
        <f t="shared" si="9"/>
        <v>3546.0403969995104</v>
      </c>
      <c r="AE15" s="44">
        <f t="shared" si="17"/>
        <v>0</v>
      </c>
      <c r="AF15" s="52">
        <f>HLOOKUP(I15,ElecAvoidedCostsWOCC!$A$5:$Q$50,G15+1,FALSE)</f>
        <v>0.87531038854853971</v>
      </c>
      <c r="AG15" s="44">
        <f t="shared" si="10"/>
        <v>23748.921462098981</v>
      </c>
      <c r="AH15" s="52">
        <f>HLOOKUP(I15,ElecAvoidedCostsWOCC!$A$5:$Q$50,T15+1,FALSE)</f>
        <v>0.87531038854853971</v>
      </c>
      <c r="AI15" s="44">
        <f t="shared" si="11"/>
        <v>0</v>
      </c>
      <c r="AJ15" s="44">
        <f t="shared" si="12"/>
        <v>23748.921462098981</v>
      </c>
      <c r="AK15" s="44">
        <f>HLOOKUP(I15,ElecAvoidedCostsWOCC!$A$5:$Q$50,G15+1,FALSE)*J15*L15</f>
        <v>0</v>
      </c>
      <c r="AL15" s="44">
        <f t="shared" si="13"/>
        <v>23748.921462098981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23748.921462098981</v>
      </c>
      <c r="AN15" s="48">
        <f t="shared" si="14"/>
        <v>29669.854005308389</v>
      </c>
      <c r="AO15" s="47">
        <f t="shared" si="15"/>
        <v>1.3426291438748854</v>
      </c>
      <c r="AP15" s="47">
        <f t="shared" si="16"/>
        <v>0.64820339076323585</v>
      </c>
      <c r="AQ15">
        <v>2021</v>
      </c>
    </row>
    <row r="16" spans="1:43" ht="13.5" customHeight="1">
      <c r="A16" s="54">
        <f>SUM(U5:U999)</f>
        <v>10.663447871289067</v>
      </c>
      <c r="B16" s="97" t="s">
        <v>15</v>
      </c>
      <c r="C16" s="61">
        <v>18230434</v>
      </c>
      <c r="D16" s="61" t="s">
        <v>51</v>
      </c>
      <c r="E16" s="38" t="s">
        <v>625</v>
      </c>
      <c r="F16" s="39" t="s">
        <v>626</v>
      </c>
      <c r="G16" s="39"/>
      <c r="H16" s="39"/>
      <c r="I16" s="40" t="s">
        <v>263</v>
      </c>
      <c r="J16" s="41">
        <v>8</v>
      </c>
      <c r="K16" s="41">
        <v>0</v>
      </c>
      <c r="L16" s="41"/>
      <c r="M16" s="42">
        <v>0</v>
      </c>
      <c r="N16" s="42">
        <v>0</v>
      </c>
      <c r="O16" s="43">
        <v>0</v>
      </c>
      <c r="P16" s="44">
        <v>250</v>
      </c>
      <c r="Q16" s="44">
        <v>0</v>
      </c>
      <c r="R16" s="45">
        <v>0</v>
      </c>
      <c r="S16" s="46">
        <v>0</v>
      </c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-250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str">
        <f>HLOOKUP(I16,ElecAvoidedCostsWOCC!$A$5:$Q$50,G16+1,FALSE)</f>
        <v>Res Plug Load</v>
      </c>
      <c r="AG16" s="44" t="e">
        <f t="shared" si="10"/>
        <v>#VALUE!</v>
      </c>
      <c r="AH16" s="52" t="str">
        <f>HLOOKUP(I16,ElecAvoidedCostsWOCC!$A$5:$Q$50,T16+1,FALSE)</f>
        <v>Res Plug Load</v>
      </c>
      <c r="AI16" s="44" t="e">
        <f t="shared" si="11"/>
        <v>#VALUE!</v>
      </c>
      <c r="AJ16" s="44" t="e">
        <f t="shared" si="12"/>
        <v>#VALUE!</v>
      </c>
      <c r="AK16" s="44" t="e">
        <f>HLOOKUP(I16,ElecAvoidedCostsWOCC!$A$5:$Q$50,G16+1,FALSE)*J16*L16</f>
        <v>#VALUE!</v>
      </c>
      <c r="AL16" s="44" t="e">
        <f t="shared" si="13"/>
        <v>#VALUE!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  <c r="AQ16">
        <v>2021</v>
      </c>
    </row>
    <row r="17" spans="1:43" ht="13.5" customHeight="1">
      <c r="A17" s="58" t="s">
        <v>254</v>
      </c>
      <c r="B17" s="97" t="s">
        <v>15</v>
      </c>
      <c r="C17" s="61">
        <v>18230434</v>
      </c>
      <c r="D17" s="61" t="s">
        <v>51</v>
      </c>
      <c r="E17" s="38" t="s">
        <v>627</v>
      </c>
      <c r="F17" s="39" t="s">
        <v>628</v>
      </c>
      <c r="G17" s="39">
        <v>12</v>
      </c>
      <c r="H17" s="39"/>
      <c r="I17" s="40" t="s">
        <v>263</v>
      </c>
      <c r="J17" s="41">
        <v>702</v>
      </c>
      <c r="K17" s="41">
        <v>68</v>
      </c>
      <c r="L17" s="41"/>
      <c r="M17" s="42">
        <v>25</v>
      </c>
      <c r="N17" s="42">
        <v>20.440000000000001</v>
      </c>
      <c r="O17" s="43">
        <v>47736</v>
      </c>
      <c r="P17" s="44">
        <v>18025</v>
      </c>
      <c r="Q17" s="44">
        <v>14348.880000000099</v>
      </c>
      <c r="R17" s="45">
        <v>-0.08</v>
      </c>
      <c r="S17" s="46">
        <v>0</v>
      </c>
      <c r="T17" s="39">
        <f t="shared" si="0"/>
        <v>12</v>
      </c>
      <c r="U17" s="47">
        <f t="shared" si="1"/>
        <v>0.18829619645969545</v>
      </c>
      <c r="V17" s="48">
        <f t="shared" si="2"/>
        <v>-4.5599999999999987</v>
      </c>
      <c r="W17" s="49">
        <f t="shared" si="3"/>
        <v>1.5691349704974621E-2</v>
      </c>
      <c r="X17" s="44">
        <f t="shared" si="4"/>
        <v>8634.2205656267433</v>
      </c>
      <c r="Y17" s="44">
        <f t="shared" si="5"/>
        <v>-3676.1199999999008</v>
      </c>
      <c r="Z17" s="44">
        <f t="shared" si="6"/>
        <v>33290.018272125744</v>
      </c>
      <c r="AA17" s="50">
        <f t="shared" si="7"/>
        <v>22983.100565626843</v>
      </c>
      <c r="AB17" s="51">
        <f t="shared" si="8"/>
        <v>31120.892093227765</v>
      </c>
      <c r="AC17" s="44">
        <f t="shared" si="8"/>
        <v>21485.557226911136</v>
      </c>
      <c r="AD17" s="44">
        <f t="shared" si="9"/>
        <v>-446.7753145230235</v>
      </c>
      <c r="AE17" s="44">
        <f t="shared" si="17"/>
        <v>0</v>
      </c>
      <c r="AF17" s="52">
        <f>HLOOKUP(I17,ElecAvoidedCostsWOCC!$A$5:$Q$50,G17+1,FALSE)</f>
        <v>0.87531038854853971</v>
      </c>
      <c r="AG17" s="44">
        <f t="shared" si="10"/>
        <v>41783.816707753089</v>
      </c>
      <c r="AH17" s="52">
        <f>HLOOKUP(I17,ElecAvoidedCostsWOCC!$A$5:$Q$50,T17+1,FALSE)</f>
        <v>0.87531038854853971</v>
      </c>
      <c r="AI17" s="44">
        <f t="shared" si="11"/>
        <v>0</v>
      </c>
      <c r="AJ17" s="44">
        <f t="shared" si="12"/>
        <v>41783.816707753089</v>
      </c>
      <c r="AK17" s="44">
        <f>HLOOKUP(I17,ElecAvoidedCostsWOCC!$A$5:$Q$50,G17+1,FALSE)*J17*L17</f>
        <v>0</v>
      </c>
      <c r="AL17" s="44">
        <f t="shared" si="13"/>
        <v>41783.816707753089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41783.816707753089</v>
      </c>
      <c r="AN17" s="48">
        <f t="shared" si="14"/>
        <v>45515.423064005379</v>
      </c>
      <c r="AO17" s="47">
        <f t="shared" si="15"/>
        <v>1.3426291438748856</v>
      </c>
      <c r="AP17" s="47">
        <f t="shared" si="16"/>
        <v>2.1184194844616973</v>
      </c>
      <c r="AQ17">
        <v>2021</v>
      </c>
    </row>
    <row r="18" spans="1:43" ht="13.5" customHeight="1">
      <c r="A18" s="59">
        <f>A6+A8</f>
        <v>2121552.25</v>
      </c>
      <c r="B18" s="97" t="s">
        <v>15</v>
      </c>
      <c r="C18" s="61">
        <v>18230434</v>
      </c>
      <c r="D18" s="61" t="s">
        <v>51</v>
      </c>
      <c r="E18" s="38" t="s">
        <v>629</v>
      </c>
      <c r="F18" s="39" t="s">
        <v>628</v>
      </c>
      <c r="G18" s="39">
        <v>12</v>
      </c>
      <c r="H18" s="39"/>
      <c r="I18" s="40" t="s">
        <v>263</v>
      </c>
      <c r="J18" s="41">
        <v>4252</v>
      </c>
      <c r="K18" s="41">
        <v>68</v>
      </c>
      <c r="L18" s="41"/>
      <c r="M18" s="42">
        <v>50</v>
      </c>
      <c r="N18" s="42">
        <v>100</v>
      </c>
      <c r="O18" s="43">
        <v>289136</v>
      </c>
      <c r="P18" s="44">
        <v>212453</v>
      </c>
      <c r="Q18" s="44">
        <v>425200</v>
      </c>
      <c r="R18" s="45">
        <v>-0.08</v>
      </c>
      <c r="S18" s="46">
        <v>0</v>
      </c>
      <c r="T18" s="39">
        <f t="shared" si="0"/>
        <v>12</v>
      </c>
      <c r="U18" s="47">
        <f t="shared" si="1"/>
        <v>1.1405063067615742</v>
      </c>
      <c r="V18" s="48">
        <f t="shared" si="2"/>
        <v>50</v>
      </c>
      <c r="W18" s="49">
        <f t="shared" si="3"/>
        <v>9.5042192230131176E-2</v>
      </c>
      <c r="X18" s="44">
        <f t="shared" si="4"/>
        <v>52297.301773568252</v>
      </c>
      <c r="Y18" s="44">
        <f t="shared" si="5"/>
        <v>212747</v>
      </c>
      <c r="Z18" s="44">
        <f t="shared" si="6"/>
        <v>201636.9767707673</v>
      </c>
      <c r="AA18" s="50">
        <f t="shared" si="7"/>
        <v>477497.30177356827</v>
      </c>
      <c r="AB18" s="51">
        <f t="shared" si="8"/>
        <v>188498.62276410891</v>
      </c>
      <c r="AC18" s="44">
        <f t="shared" si="8"/>
        <v>446384.31501689093</v>
      </c>
      <c r="AD18" s="44">
        <f t="shared" si="9"/>
        <v>-2706.1091700169459</v>
      </c>
      <c r="AE18" s="44">
        <f t="shared" si="17"/>
        <v>0</v>
      </c>
      <c r="AF18" s="52">
        <f>HLOOKUP(I18,ElecAvoidedCostsWOCC!$A$5:$Q$50,G18+1,FALSE)</f>
        <v>0.87531038854853971</v>
      </c>
      <c r="AG18" s="44">
        <f t="shared" si="10"/>
        <v>253083.74450337057</v>
      </c>
      <c r="AH18" s="52">
        <f>HLOOKUP(I18,ElecAvoidedCostsWOCC!$A$5:$Q$50,T18+1,FALSE)</f>
        <v>0.87531038854853971</v>
      </c>
      <c r="AI18" s="44">
        <f t="shared" si="11"/>
        <v>0</v>
      </c>
      <c r="AJ18" s="44">
        <f t="shared" si="12"/>
        <v>253083.74450337057</v>
      </c>
      <c r="AK18" s="44">
        <f>HLOOKUP(I18,ElecAvoidedCostsWOCC!$A$5:$Q$50,G18+1,FALSE)*J18*L18</f>
        <v>0</v>
      </c>
      <c r="AL18" s="44">
        <f t="shared" si="13"/>
        <v>253083.74450337057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253083.74450337057</v>
      </c>
      <c r="AN18" s="48">
        <f t="shared" si="14"/>
        <v>275686.00978369068</v>
      </c>
      <c r="AO18" s="47">
        <f t="shared" si="15"/>
        <v>1.3426291438748856</v>
      </c>
      <c r="AP18" s="47">
        <f t="shared" si="16"/>
        <v>0.61759788708807761</v>
      </c>
      <c r="AQ18">
        <v>2021</v>
      </c>
    </row>
    <row r="19" spans="1:43" ht="13.5" customHeight="1">
      <c r="A19" s="58" t="s">
        <v>231</v>
      </c>
      <c r="B19" s="97" t="s">
        <v>15</v>
      </c>
      <c r="C19" s="61">
        <v>18230434</v>
      </c>
      <c r="D19" s="61" t="s">
        <v>51</v>
      </c>
      <c r="E19" s="38" t="s">
        <v>630</v>
      </c>
      <c r="F19" s="39" t="s">
        <v>631</v>
      </c>
      <c r="G19" s="39">
        <v>12</v>
      </c>
      <c r="H19" s="39"/>
      <c r="I19" s="40" t="s">
        <v>263</v>
      </c>
      <c r="J19" s="41">
        <v>1</v>
      </c>
      <c r="K19" s="41">
        <v>118</v>
      </c>
      <c r="L19" s="41"/>
      <c r="M19" s="42">
        <v>25</v>
      </c>
      <c r="N19" s="42">
        <v>184.88</v>
      </c>
      <c r="O19" s="43">
        <v>118</v>
      </c>
      <c r="P19" s="44">
        <v>25</v>
      </c>
      <c r="Q19" s="44">
        <v>184.88</v>
      </c>
      <c r="R19" s="45">
        <v>4.46</v>
      </c>
      <c r="S19" s="46">
        <v>0</v>
      </c>
      <c r="T19" s="39">
        <f t="shared" si="0"/>
        <v>12</v>
      </c>
      <c r="U19" s="47">
        <f t="shared" si="1"/>
        <v>4.6545481779462175E-4</v>
      </c>
      <c r="V19" s="48">
        <f t="shared" si="2"/>
        <v>159.88</v>
      </c>
      <c r="W19" s="49">
        <f t="shared" si="3"/>
        <v>3.8787901482885146E-5</v>
      </c>
      <c r="X19" s="44">
        <f t="shared" si="4"/>
        <v>21.343179712249789</v>
      </c>
      <c r="Y19" s="44">
        <f t="shared" si="5"/>
        <v>159.88</v>
      </c>
      <c r="Z19" s="44">
        <f t="shared" si="6"/>
        <v>82.290559663793317</v>
      </c>
      <c r="AA19" s="50">
        <f t="shared" si="7"/>
        <v>206.22317971224979</v>
      </c>
      <c r="AB19" s="51">
        <f t="shared" si="8"/>
        <v>76.928633882203712</v>
      </c>
      <c r="AC19" s="44">
        <f t="shared" si="8"/>
        <v>192.78599580466465</v>
      </c>
      <c r="AD19" s="44">
        <f t="shared" si="9"/>
        <v>35.481088012334133</v>
      </c>
      <c r="AE19" s="44">
        <f t="shared" si="17"/>
        <v>0</v>
      </c>
      <c r="AF19" s="52">
        <f>HLOOKUP(I19,ElecAvoidedCostsWOCC!$A$5:$Q$50,G19+1,FALSE)</f>
        <v>0.87531038854853971</v>
      </c>
      <c r="AG19" s="44">
        <f t="shared" si="10"/>
        <v>103.28662584872768</v>
      </c>
      <c r="AH19" s="52">
        <f>HLOOKUP(I19,ElecAvoidedCostsWOCC!$A$5:$Q$50,T19+1,FALSE)</f>
        <v>0.87531038854853971</v>
      </c>
      <c r="AI19" s="44">
        <f t="shared" si="11"/>
        <v>0</v>
      </c>
      <c r="AJ19" s="44">
        <f t="shared" si="12"/>
        <v>103.28662584872768</v>
      </c>
      <c r="AK19" s="44">
        <f>HLOOKUP(I19,ElecAvoidedCostsWOCC!$A$5:$Q$50,G19+1,FALSE)*J19*L19</f>
        <v>0</v>
      </c>
      <c r="AL19" s="44">
        <f t="shared" si="13"/>
        <v>103.28662584872768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103.28662584872768</v>
      </c>
      <c r="AN19" s="48">
        <f t="shared" si="14"/>
        <v>149.0963764459346</v>
      </c>
      <c r="AO19" s="47">
        <f t="shared" si="15"/>
        <v>1.3426291438748854</v>
      </c>
      <c r="AP19" s="47">
        <f t="shared" si="16"/>
        <v>0.77337762955045031</v>
      </c>
      <c r="AQ19">
        <v>2021</v>
      </c>
    </row>
    <row r="20" spans="1:43" ht="13.5" customHeight="1">
      <c r="A20" s="59">
        <f>A8+SUM(Q5:Q906)</f>
        <v>2112647.7199999876</v>
      </c>
      <c r="B20" s="97" t="s">
        <v>15</v>
      </c>
      <c r="C20" s="61">
        <v>18230434</v>
      </c>
      <c r="D20" s="61" t="s">
        <v>51</v>
      </c>
      <c r="E20" s="38" t="s">
        <v>632</v>
      </c>
      <c r="F20" s="39" t="s">
        <v>631</v>
      </c>
      <c r="G20" s="39">
        <v>12</v>
      </c>
      <c r="H20" s="39"/>
      <c r="I20" s="40" t="s">
        <v>263</v>
      </c>
      <c r="J20" s="41">
        <v>35</v>
      </c>
      <c r="K20" s="41">
        <v>118</v>
      </c>
      <c r="L20" s="41"/>
      <c r="M20" s="42">
        <v>50</v>
      </c>
      <c r="N20" s="42">
        <v>184.88</v>
      </c>
      <c r="O20" s="43">
        <v>4130</v>
      </c>
      <c r="P20" s="44">
        <v>1750</v>
      </c>
      <c r="Q20" s="44">
        <v>6470.8</v>
      </c>
      <c r="R20" s="45">
        <v>4.46</v>
      </c>
      <c r="S20" s="46">
        <v>0</v>
      </c>
      <c r="T20" s="39">
        <f t="shared" si="0"/>
        <v>12</v>
      </c>
      <c r="U20" s="47">
        <f t="shared" si="1"/>
        <v>1.6290918622811762E-2</v>
      </c>
      <c r="V20" s="48">
        <f t="shared" si="2"/>
        <v>134.88</v>
      </c>
      <c r="W20" s="49">
        <f t="shared" si="3"/>
        <v>1.3575765519009801E-3</v>
      </c>
      <c r="X20" s="44">
        <f t="shared" si="4"/>
        <v>747.0112899287426</v>
      </c>
      <c r="Y20" s="44">
        <f t="shared" si="5"/>
        <v>4720.8</v>
      </c>
      <c r="Z20" s="44">
        <f t="shared" si="6"/>
        <v>2880.1695882327658</v>
      </c>
      <c r="AA20" s="50">
        <f t="shared" si="7"/>
        <v>7217.8112899287426</v>
      </c>
      <c r="AB20" s="51">
        <f t="shared" si="8"/>
        <v>2692.5021858771297</v>
      </c>
      <c r="AC20" s="44">
        <f t="shared" si="8"/>
        <v>6747.509853163263</v>
      </c>
      <c r="AD20" s="44">
        <f t="shared" si="9"/>
        <v>1241.8380804316946</v>
      </c>
      <c r="AE20" s="44">
        <f t="shared" si="17"/>
        <v>0</v>
      </c>
      <c r="AF20" s="52">
        <f>HLOOKUP(I20,ElecAvoidedCostsWOCC!$A$5:$Q$50,G20+1,FALSE)</f>
        <v>0.87531038854853971</v>
      </c>
      <c r="AG20" s="44">
        <f t="shared" si="10"/>
        <v>3615.0319047054686</v>
      </c>
      <c r="AH20" s="52">
        <f>HLOOKUP(I20,ElecAvoidedCostsWOCC!$A$5:$Q$50,T20+1,FALSE)</f>
        <v>0.87531038854853971</v>
      </c>
      <c r="AI20" s="44">
        <f t="shared" si="11"/>
        <v>0</v>
      </c>
      <c r="AJ20" s="44">
        <f t="shared" si="12"/>
        <v>3615.0319047054686</v>
      </c>
      <c r="AK20" s="44">
        <f>HLOOKUP(I20,ElecAvoidedCostsWOCC!$A$5:$Q$50,G20+1,FALSE)*J20*L20</f>
        <v>0</v>
      </c>
      <c r="AL20" s="44">
        <f t="shared" si="13"/>
        <v>3615.0319047054686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3615.0319047054691</v>
      </c>
      <c r="AN20" s="48">
        <f t="shared" si="14"/>
        <v>5218.3731756077113</v>
      </c>
      <c r="AO20" s="47">
        <f t="shared" si="15"/>
        <v>1.3426291438748856</v>
      </c>
      <c r="AP20" s="47">
        <f t="shared" si="16"/>
        <v>0.77337762955045031</v>
      </c>
      <c r="AQ20">
        <v>2021</v>
      </c>
    </row>
    <row r="21" spans="1:43" ht="13.5" customHeight="1">
      <c r="A21" s="58" t="s">
        <v>245</v>
      </c>
      <c r="B21" s="97" t="s">
        <v>15</v>
      </c>
      <c r="C21" s="61">
        <v>18230434</v>
      </c>
      <c r="D21" s="61" t="s">
        <v>51</v>
      </c>
      <c r="E21" s="38" t="s">
        <v>633</v>
      </c>
      <c r="F21" s="39" t="s">
        <v>634</v>
      </c>
      <c r="G21" s="39">
        <v>14</v>
      </c>
      <c r="H21" s="39"/>
      <c r="I21" s="40" t="s">
        <v>265</v>
      </c>
      <c r="J21" s="41">
        <v>739</v>
      </c>
      <c r="K21" s="41">
        <v>26</v>
      </c>
      <c r="L21" s="41"/>
      <c r="M21" s="42">
        <v>25</v>
      </c>
      <c r="N21" s="42">
        <v>0.01</v>
      </c>
      <c r="O21" s="43">
        <v>19214</v>
      </c>
      <c r="P21" s="44">
        <v>18551</v>
      </c>
      <c r="Q21" s="44">
        <v>7.3899999999998904</v>
      </c>
      <c r="R21" s="45">
        <v>7.49</v>
      </c>
      <c r="S21" s="46">
        <v>0</v>
      </c>
      <c r="T21" s="39">
        <f t="shared" si="0"/>
        <v>14</v>
      </c>
      <c r="U21" s="47">
        <f t="shared" si="1"/>
        <v>8.8421952095679421E-2</v>
      </c>
      <c r="V21" s="48">
        <f t="shared" si="2"/>
        <v>-24.99</v>
      </c>
      <c r="W21" s="49">
        <f t="shared" si="3"/>
        <v>6.3158537211199586E-3</v>
      </c>
      <c r="X21" s="44">
        <f t="shared" si="4"/>
        <v>3475.3208050098929</v>
      </c>
      <c r="Y21" s="44">
        <f t="shared" si="5"/>
        <v>-18543.61</v>
      </c>
      <c r="Z21" s="44">
        <f t="shared" si="6"/>
        <v>13399.413672712921</v>
      </c>
      <c r="AA21" s="50">
        <f t="shared" si="7"/>
        <v>3482.7108050098927</v>
      </c>
      <c r="AB21" s="51">
        <f t="shared" ref="AB21:AC24" si="18">Z21/(1+ElecDiscountRate)^1</f>
        <v>12526.328571293745</v>
      </c>
      <c r="AC21" s="44">
        <f t="shared" si="18"/>
        <v>3255.7827475085469</v>
      </c>
      <c r="AD21" s="44">
        <f t="shared" si="9"/>
        <v>48494.335959234144</v>
      </c>
      <c r="AE21" s="44">
        <f t="shared" si="17"/>
        <v>0</v>
      </c>
      <c r="AF21" s="52">
        <f>HLOOKUP(I21,ElecAvoidedCostsWOCC!$A$5:$Q$50,G21+1,FALSE)</f>
        <v>1.0169996824506593</v>
      </c>
      <c r="AG21" s="44">
        <f t="shared" si="10"/>
        <v>19540.631898606967</v>
      </c>
      <c r="AH21" s="52">
        <f>HLOOKUP(I21,ElecAvoidedCostsWOCC!$A$5:$Q$50,T21+1,FALSE)</f>
        <v>1.0169996824506593</v>
      </c>
      <c r="AI21" s="44">
        <f t="shared" si="11"/>
        <v>0</v>
      </c>
      <c r="AJ21" s="44">
        <f t="shared" si="12"/>
        <v>19540.631898606967</v>
      </c>
      <c r="AK21" s="44">
        <f>HLOOKUP(I21,ElecAvoidedCostsWOCC!$A$5:$Q$50,G21+1,FALSE)*J21*L21</f>
        <v>0</v>
      </c>
      <c r="AL21" s="44">
        <f t="shared" si="13"/>
        <v>19540.631898606967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19540.631898606967</v>
      </c>
      <c r="AN21" s="48">
        <f t="shared" si="14"/>
        <v>69989.031047701807</v>
      </c>
      <c r="AO21" s="47">
        <f t="shared" si="15"/>
        <v>1.559964820289619</v>
      </c>
      <c r="AP21" s="47">
        <f t="shared" si="16"/>
        <v>21.496837005251706</v>
      </c>
      <c r="AQ21">
        <v>2021</v>
      </c>
    </row>
    <row r="22" spans="1:43" ht="13.5" customHeight="1">
      <c r="A22" s="60">
        <f>(SUM(AM5:AM1000)/(SUM(AB5:AB1000)))</f>
        <v>1.1864041101378588</v>
      </c>
      <c r="B22" s="97" t="s">
        <v>15</v>
      </c>
      <c r="C22" s="61">
        <v>18230434</v>
      </c>
      <c r="D22" s="61" t="s">
        <v>51</v>
      </c>
      <c r="E22" s="38" t="s">
        <v>635</v>
      </c>
      <c r="F22" s="39" t="s">
        <v>636</v>
      </c>
      <c r="G22" s="39">
        <v>14</v>
      </c>
      <c r="H22" s="39"/>
      <c r="I22" s="40" t="s">
        <v>265</v>
      </c>
      <c r="J22" s="41">
        <v>619</v>
      </c>
      <c r="K22" s="41">
        <v>26</v>
      </c>
      <c r="L22" s="41"/>
      <c r="M22" s="42">
        <v>25</v>
      </c>
      <c r="N22" s="42">
        <v>0.01</v>
      </c>
      <c r="O22" s="43">
        <v>16094</v>
      </c>
      <c r="P22" s="44">
        <v>15475</v>
      </c>
      <c r="Q22" s="44">
        <v>6.1899999999999098</v>
      </c>
      <c r="R22" s="45">
        <v>7.49</v>
      </c>
      <c r="S22" s="46">
        <v>0</v>
      </c>
      <c r="T22" s="39">
        <f t="shared" si="0"/>
        <v>14</v>
      </c>
      <c r="U22" s="47">
        <f t="shared" si="1"/>
        <v>7.4063854326421596E-2</v>
      </c>
      <c r="V22" s="48">
        <f t="shared" si="2"/>
        <v>-24.99</v>
      </c>
      <c r="W22" s="49">
        <f t="shared" si="3"/>
        <v>5.2902753090301145E-3</v>
      </c>
      <c r="X22" s="44">
        <f t="shared" si="4"/>
        <v>2910.9926634656617</v>
      </c>
      <c r="Y22" s="44">
        <f t="shared" si="5"/>
        <v>-15468.81</v>
      </c>
      <c r="Z22" s="44">
        <f t="shared" si="6"/>
        <v>11223.595484992285</v>
      </c>
      <c r="AA22" s="50">
        <f t="shared" si="7"/>
        <v>2917.1826634656618</v>
      </c>
      <c r="AB22" s="51">
        <f t="shared" si="18"/>
        <v>10492.283336442259</v>
      </c>
      <c r="AC22" s="44">
        <f t="shared" si="18"/>
        <v>2727.1035462892974</v>
      </c>
      <c r="AD22" s="44">
        <f t="shared" si="9"/>
        <v>40619.748252727921</v>
      </c>
      <c r="AE22" s="44">
        <f t="shared" si="17"/>
        <v>0</v>
      </c>
      <c r="AF22" s="52">
        <f>HLOOKUP(I22,ElecAvoidedCostsWOCC!$A$5:$Q$50,G22+1,FALSE)</f>
        <v>1.0169996824506593</v>
      </c>
      <c r="AG22" s="44">
        <f t="shared" si="10"/>
        <v>16367.592889360913</v>
      </c>
      <c r="AH22" s="52">
        <f>HLOOKUP(I22,ElecAvoidedCostsWOCC!$A$5:$Q$50,T22+1,FALSE)</f>
        <v>1.0169996824506593</v>
      </c>
      <c r="AI22" s="44">
        <f t="shared" si="11"/>
        <v>0</v>
      </c>
      <c r="AJ22" s="44">
        <f t="shared" si="12"/>
        <v>16367.592889360913</v>
      </c>
      <c r="AK22" s="44">
        <f>HLOOKUP(I22,ElecAvoidedCostsWOCC!$A$5:$Q$50,G22+1,FALSE)*J22*L22</f>
        <v>0</v>
      </c>
      <c r="AL22" s="44">
        <f t="shared" si="13"/>
        <v>16367.592889360913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16367.592889360911</v>
      </c>
      <c r="AN22" s="48">
        <f t="shared" si="14"/>
        <v>58624.100431024926</v>
      </c>
      <c r="AO22" s="47">
        <f t="shared" si="15"/>
        <v>1.5599648202896188</v>
      </c>
      <c r="AP22" s="47">
        <f t="shared" si="16"/>
        <v>21.496837005251706</v>
      </c>
      <c r="AQ22">
        <v>2021</v>
      </c>
    </row>
    <row r="23" spans="1:43" ht="13.5" customHeight="1">
      <c r="A23" s="58" t="s">
        <v>246</v>
      </c>
      <c r="B23" s="97" t="s">
        <v>15</v>
      </c>
      <c r="C23" s="61">
        <v>18230434</v>
      </c>
      <c r="D23" s="61" t="s">
        <v>51</v>
      </c>
      <c r="E23" s="38" t="s">
        <v>637</v>
      </c>
      <c r="F23" s="39" t="s">
        <v>638</v>
      </c>
      <c r="G23" s="39"/>
      <c r="H23" s="39"/>
      <c r="I23" s="40" t="s">
        <v>265</v>
      </c>
      <c r="J23" s="41">
        <v>1</v>
      </c>
      <c r="K23" s="41">
        <v>0</v>
      </c>
      <c r="L23" s="41"/>
      <c r="M23" s="42">
        <v>0</v>
      </c>
      <c r="N23" s="42">
        <v>0</v>
      </c>
      <c r="O23" s="43">
        <v>0</v>
      </c>
      <c r="P23" s="44">
        <v>50</v>
      </c>
      <c r="Q23" s="44">
        <v>0</v>
      </c>
      <c r="R23" s="45">
        <v>0</v>
      </c>
      <c r="S23" s="46">
        <v>0</v>
      </c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-50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str">
        <f>HLOOKUP(I23,ElecAvoidedCostsWOCC!$A$5:$Q$50,G23+1,FALSE)</f>
        <v>Res Water Heat</v>
      </c>
      <c r="AG23" s="44" t="e">
        <f t="shared" si="10"/>
        <v>#VALUE!</v>
      </c>
      <c r="AH23" s="52" t="str">
        <f>HLOOKUP(I23,ElecAvoidedCostsWOCC!$A$5:$Q$50,T23+1,FALSE)</f>
        <v>Res Water Heat</v>
      </c>
      <c r="AI23" s="44" t="e">
        <f t="shared" si="11"/>
        <v>#VALUE!</v>
      </c>
      <c r="AJ23" s="44" t="e">
        <f t="shared" si="12"/>
        <v>#VALUE!</v>
      </c>
      <c r="AK23" s="44" t="e">
        <f>HLOOKUP(I23,ElecAvoidedCostsWOCC!$A$5:$Q$50,G23+1,FALSE)*J23*L23</f>
        <v>#VALUE!</v>
      </c>
      <c r="AL23" s="44" t="e">
        <f t="shared" si="13"/>
        <v>#VALUE!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  <c r="AQ23">
        <v>2021</v>
      </c>
    </row>
    <row r="24" spans="1:43" ht="13.5" customHeight="1">
      <c r="A24" s="60">
        <f>(SUM(AN5:AN1000)/SUM(AC5:AC1000))</f>
        <v>2.2580409203981486</v>
      </c>
      <c r="B24" s="97" t="s">
        <v>15</v>
      </c>
      <c r="C24" s="61">
        <v>18230434</v>
      </c>
      <c r="D24" s="61" t="s">
        <v>51</v>
      </c>
      <c r="E24" s="38" t="s">
        <v>639</v>
      </c>
      <c r="F24" s="39" t="s">
        <v>640</v>
      </c>
      <c r="G24" s="39">
        <v>14</v>
      </c>
      <c r="H24" s="39"/>
      <c r="I24" s="40" t="s">
        <v>265</v>
      </c>
      <c r="J24" s="41">
        <v>2651</v>
      </c>
      <c r="K24" s="41">
        <v>142</v>
      </c>
      <c r="L24" s="41"/>
      <c r="M24" s="42">
        <v>100</v>
      </c>
      <c r="N24" s="42">
        <v>65.56</v>
      </c>
      <c r="O24" s="43">
        <v>376442</v>
      </c>
      <c r="P24" s="44">
        <v>265202</v>
      </c>
      <c r="Q24" s="44">
        <v>173799.55999999499</v>
      </c>
      <c r="R24" s="45">
        <v>17.059999999999999</v>
      </c>
      <c r="S24" s="46">
        <v>0</v>
      </c>
      <c r="T24" s="39">
        <f t="shared" si="0"/>
        <v>14</v>
      </c>
      <c r="U24" s="47">
        <f t="shared" si="1"/>
        <v>1.7323689232227415</v>
      </c>
      <c r="V24" s="48">
        <f t="shared" si="2"/>
        <v>-34.44</v>
      </c>
      <c r="W24" s="49">
        <f t="shared" si="3"/>
        <v>0.12374063737305296</v>
      </c>
      <c r="X24" s="44">
        <f t="shared" si="4"/>
        <v>68088.722518972325</v>
      </c>
      <c r="Y24" s="44">
        <f t="shared" si="5"/>
        <v>-91402.440000005008</v>
      </c>
      <c r="Z24" s="44">
        <f t="shared" si="6"/>
        <v>262522.22763523459</v>
      </c>
      <c r="AA24" s="50">
        <f t="shared" si="7"/>
        <v>241888.28251896732</v>
      </c>
      <c r="AB24" s="51">
        <f t="shared" si="18"/>
        <v>245416.68471088583</v>
      </c>
      <c r="AC24" s="44">
        <f t="shared" si="18"/>
        <v>226127.21559219155</v>
      </c>
      <c r="AD24" s="44">
        <f t="shared" si="9"/>
        <v>396235.62092758418</v>
      </c>
      <c r="AE24" s="44">
        <f t="shared" si="17"/>
        <v>0</v>
      </c>
      <c r="AF24" s="52">
        <f>HLOOKUP(I24,ElecAvoidedCostsWOCC!$A$5:$Q$50,G24+1,FALSE)</f>
        <v>1.0169996824506593</v>
      </c>
      <c r="AG24" s="44">
        <f t="shared" si="10"/>
        <v>382841.39446109108</v>
      </c>
      <c r="AH24" s="52">
        <f>HLOOKUP(I24,ElecAvoidedCostsWOCC!$A$5:$Q$50,T24+1,FALSE)</f>
        <v>1.0169996824506593</v>
      </c>
      <c r="AI24" s="44">
        <f t="shared" si="11"/>
        <v>0</v>
      </c>
      <c r="AJ24" s="44">
        <f t="shared" si="12"/>
        <v>382841.39446109108</v>
      </c>
      <c r="AK24" s="44">
        <f>HLOOKUP(I24,ElecAvoidedCostsWOCC!$A$5:$Q$50,G24+1,FALSE)*J24*L24</f>
        <v>0</v>
      </c>
      <c r="AL24" s="44">
        <f t="shared" si="13"/>
        <v>382841.39446109108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382841.39446109108</v>
      </c>
      <c r="AN24" s="48">
        <f t="shared" si="14"/>
        <v>817361.15483478433</v>
      </c>
      <c r="AO24" s="47">
        <f t="shared" si="15"/>
        <v>1.5599648202896188</v>
      </c>
      <c r="AP24" s="47">
        <f t="shared" si="16"/>
        <v>3.6146076123311572</v>
      </c>
      <c r="AQ24">
        <v>2021</v>
      </c>
    </row>
    <row r="25" spans="1:43" ht="13.5" customHeight="1">
      <c r="B25" s="97" t="s">
        <v>15</v>
      </c>
      <c r="C25" s="61">
        <v>18230434</v>
      </c>
      <c r="D25" s="61" t="s">
        <v>51</v>
      </c>
      <c r="E25" s="38" t="s">
        <v>641</v>
      </c>
      <c r="F25" s="39" t="s">
        <v>642</v>
      </c>
      <c r="G25" s="39">
        <v>14</v>
      </c>
      <c r="H25" s="39"/>
      <c r="I25" s="40" t="s">
        <v>265</v>
      </c>
      <c r="J25" s="41">
        <v>223</v>
      </c>
      <c r="K25" s="41">
        <v>142</v>
      </c>
      <c r="L25" s="41"/>
      <c r="M25" s="42">
        <v>150</v>
      </c>
      <c r="N25" s="42">
        <v>65.56</v>
      </c>
      <c r="O25" s="43">
        <v>31666</v>
      </c>
      <c r="P25" s="44">
        <v>33450</v>
      </c>
      <c r="Q25" s="44">
        <v>14619.88</v>
      </c>
      <c r="R25" s="45">
        <v>17.059999999999999</v>
      </c>
      <c r="S25" s="46">
        <v>0</v>
      </c>
      <c r="T25" s="39">
        <f t="shared" ref="T25:T50" si="19">G25+H25</f>
        <v>14</v>
      </c>
      <c r="U25" s="47">
        <f t="shared" ref="U25:U50" si="20">(O25/$A$10)*T25</f>
        <v>0.14572548844914046</v>
      </c>
      <c r="V25" s="48">
        <f t="shared" ref="V25:V50" si="21">N25-M25</f>
        <v>-84.44</v>
      </c>
      <c r="W25" s="49">
        <f t="shared" ref="W25:W50" si="22">(O25/A$10)</f>
        <v>1.0408963460652889E-2</v>
      </c>
      <c r="X25" s="44">
        <f t="shared" ref="X25:X50" si="23">W25*A$8</f>
        <v>5727.5688878652691</v>
      </c>
      <c r="Y25" s="44">
        <f t="shared" ref="Y25:Y50" si="24">Q25-P25</f>
        <v>-18830.120000000003</v>
      </c>
      <c r="Z25" s="44">
        <f t="shared" ref="Z25:Z50" si="25">X25+(A$6*W25)</f>
        <v>22083.159850115924</v>
      </c>
      <c r="AA25" s="50">
        <f t="shared" ref="AA25:AA50" si="26">Q25+X25</f>
        <v>20347.44888786527</v>
      </c>
      <c r="AB25" s="51">
        <f t="shared" ref="AB25:AB50" si="27">Z25/(1+ElecDiscountRate)^1</f>
        <v>20644.255258592057</v>
      </c>
      <c r="AC25" s="44">
        <f t="shared" ref="AC25:AC50" si="28">AA25/(1+ElecDiscountRate)^1</f>
        <v>19021.640542082143</v>
      </c>
      <c r="AD25" s="44">
        <f t="shared" ref="AD25:AD50" si="29">-PV(ElecDiscountRate,T25,R25)*J25</f>
        <v>33331.023563504823</v>
      </c>
      <c r="AE25" s="44">
        <f t="shared" ref="AE25:AE50" si="30">-PV(ElecDiscountRate,T25,S25)*J25</f>
        <v>0</v>
      </c>
      <c r="AF25" s="52">
        <f>HLOOKUP(I25,ElecAvoidedCostsWOCC!$A$5:$Q$50,G25+1,FALSE)</f>
        <v>1.0169996824506593</v>
      </c>
      <c r="AG25" s="44">
        <f t="shared" ref="AG25:AG50" si="31">AF25*J25*K25</f>
        <v>32204.311944482579</v>
      </c>
      <c r="AH25" s="52">
        <f>HLOOKUP(I25,ElecAvoidedCostsWOCC!$A$5:$Q$50,T25+1,FALSE)</f>
        <v>1.0169996824506593</v>
      </c>
      <c r="AI25" s="44">
        <f t="shared" ref="AI25:AI50" si="32">AH25*J25*L25</f>
        <v>0</v>
      </c>
      <c r="AJ25" s="44">
        <f t="shared" ref="AJ25:AJ50" si="33">AG25+AI25</f>
        <v>32204.311944482579</v>
      </c>
      <c r="AK25" s="44">
        <f>HLOOKUP(I25,ElecAvoidedCostsWOCC!$A$5:$Q$50,G25+1,FALSE)*J25*L25</f>
        <v>0</v>
      </c>
      <c r="AL25" s="44">
        <f t="shared" ref="AL25:AL50" si="34">AG25+AI25-AK25</f>
        <v>32204.311944482579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32204.311944482579</v>
      </c>
      <c r="AN25" s="48">
        <f t="shared" ref="AN25:AN50" si="35">AM25*1.1+AD25+AE25</f>
        <v>68755.766702435663</v>
      </c>
      <c r="AO25" s="47">
        <f t="shared" ref="AO25:AO50" si="36">IFERROR(AM25/AB25,0)</f>
        <v>1.559964820289619</v>
      </c>
      <c r="AP25" s="47">
        <f t="shared" ref="AP25:AP50" si="37">AN25/AC25</f>
        <v>3.6146076123310831</v>
      </c>
      <c r="AQ25">
        <v>2021</v>
      </c>
    </row>
    <row r="26" spans="1:43" ht="13.5" customHeight="1">
      <c r="B26" s="97" t="s">
        <v>15</v>
      </c>
      <c r="C26" s="61">
        <v>18230434</v>
      </c>
      <c r="D26" s="61" t="s">
        <v>51</v>
      </c>
      <c r="E26" s="38" t="s">
        <v>643</v>
      </c>
      <c r="F26" s="39" t="s">
        <v>644</v>
      </c>
      <c r="G26" s="39">
        <v>14</v>
      </c>
      <c r="H26" s="39"/>
      <c r="I26" s="40" t="s">
        <v>265</v>
      </c>
      <c r="J26" s="41">
        <v>2425</v>
      </c>
      <c r="K26" s="41">
        <v>142</v>
      </c>
      <c r="L26" s="41"/>
      <c r="M26" s="42">
        <v>100</v>
      </c>
      <c r="N26" s="42">
        <v>65.56</v>
      </c>
      <c r="O26" s="43">
        <v>344350</v>
      </c>
      <c r="P26" s="44">
        <v>242500</v>
      </c>
      <c r="Q26" s="44">
        <v>158982.99999999601</v>
      </c>
      <c r="R26" s="45">
        <v>17.059999999999999</v>
      </c>
      <c r="S26" s="46">
        <v>0</v>
      </c>
      <c r="T26" s="39">
        <f t="shared" si="19"/>
        <v>14</v>
      </c>
      <c r="U26" s="47">
        <f t="shared" si="20"/>
        <v>1.5846830021935678</v>
      </c>
      <c r="V26" s="48">
        <f t="shared" si="21"/>
        <v>-34.44</v>
      </c>
      <c r="W26" s="49">
        <f t="shared" si="22"/>
        <v>0.11319164301382627</v>
      </c>
      <c r="X26" s="44">
        <f t="shared" si="23"/>
        <v>62284.101134857745</v>
      </c>
      <c r="Y26" s="44">
        <f t="shared" si="24"/>
        <v>-83517.000000003987</v>
      </c>
      <c r="Z26" s="44">
        <f t="shared" si="25"/>
        <v>240141.98491717989</v>
      </c>
      <c r="AA26" s="50">
        <f t="shared" si="26"/>
        <v>221267.10113485376</v>
      </c>
      <c r="AB26" s="51">
        <f t="shared" si="27"/>
        <v>224494.7040452275</v>
      </c>
      <c r="AC26" s="44">
        <f t="shared" si="28"/>
        <v>206849.67854057561</v>
      </c>
      <c r="AD26" s="44">
        <f t="shared" si="29"/>
        <v>362456.19794394256</v>
      </c>
      <c r="AE26" s="44">
        <f t="shared" si="30"/>
        <v>0</v>
      </c>
      <c r="AF26" s="52">
        <f>HLOOKUP(I26,ElecAvoidedCostsWOCC!$A$5:$Q$50,G26+1,FALSE)</f>
        <v>1.0169996824506593</v>
      </c>
      <c r="AG26" s="44">
        <f t="shared" si="31"/>
        <v>350203.84065188456</v>
      </c>
      <c r="AH26" s="52">
        <f>HLOOKUP(I26,ElecAvoidedCostsWOCC!$A$5:$Q$50,T26+1,FALSE)</f>
        <v>1.0169996824506593</v>
      </c>
      <c r="AI26" s="44">
        <f t="shared" si="32"/>
        <v>0</v>
      </c>
      <c r="AJ26" s="44">
        <f t="shared" si="33"/>
        <v>350203.84065188456</v>
      </c>
      <c r="AK26" s="44">
        <f>HLOOKUP(I26,ElecAvoidedCostsWOCC!$A$5:$Q$50,G26+1,FALSE)*J26*L26</f>
        <v>0</v>
      </c>
      <c r="AL26" s="44">
        <f t="shared" si="34"/>
        <v>350203.84065188456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350203.84065188456</v>
      </c>
      <c r="AN26" s="48">
        <f t="shared" si="35"/>
        <v>747680.42266101553</v>
      </c>
      <c r="AO26" s="47">
        <f t="shared" si="36"/>
        <v>1.5599648202896192</v>
      </c>
      <c r="AP26" s="47">
        <f t="shared" si="37"/>
        <v>3.6146076123311479</v>
      </c>
      <c r="AQ26">
        <v>2021</v>
      </c>
    </row>
    <row r="27" spans="1:43" ht="13.5" customHeight="1">
      <c r="B27" s="97" t="s">
        <v>15</v>
      </c>
      <c r="C27" s="61">
        <v>18230434</v>
      </c>
      <c r="D27" s="61" t="s">
        <v>51</v>
      </c>
      <c r="E27" s="38" t="s">
        <v>645</v>
      </c>
      <c r="F27" s="39" t="s">
        <v>646</v>
      </c>
      <c r="G27" s="39">
        <v>14</v>
      </c>
      <c r="H27" s="39"/>
      <c r="I27" s="40" t="s">
        <v>265</v>
      </c>
      <c r="J27" s="41">
        <v>181</v>
      </c>
      <c r="K27" s="41">
        <v>142</v>
      </c>
      <c r="L27" s="41"/>
      <c r="M27" s="42">
        <v>150</v>
      </c>
      <c r="N27" s="42">
        <v>65.56</v>
      </c>
      <c r="O27" s="43">
        <v>25702</v>
      </c>
      <c r="P27" s="44">
        <v>27150</v>
      </c>
      <c r="Q27" s="44">
        <v>11866.36</v>
      </c>
      <c r="R27" s="45">
        <v>17.059999999999999</v>
      </c>
      <c r="S27" s="46">
        <v>0</v>
      </c>
      <c r="T27" s="39">
        <f t="shared" si="19"/>
        <v>14</v>
      </c>
      <c r="U27" s="47">
        <f t="shared" si="20"/>
        <v>0.11827943232867454</v>
      </c>
      <c r="V27" s="48">
        <f t="shared" si="21"/>
        <v>-84.44</v>
      </c>
      <c r="W27" s="49">
        <f t="shared" si="22"/>
        <v>8.4485308806196095E-3</v>
      </c>
      <c r="X27" s="44">
        <f t="shared" si="23"/>
        <v>4648.8339403749487</v>
      </c>
      <c r="Y27" s="44">
        <f t="shared" si="24"/>
        <v>-15283.64</v>
      </c>
      <c r="Z27" s="44">
        <f t="shared" si="25"/>
        <v>17923.999698973013</v>
      </c>
      <c r="AA27" s="50">
        <f t="shared" si="26"/>
        <v>16515.193940374949</v>
      </c>
      <c r="AB27" s="51">
        <f t="shared" si="27"/>
        <v>16756.099559664402</v>
      </c>
      <c r="AC27" s="44">
        <f t="shared" si="28"/>
        <v>15439.089408595819</v>
      </c>
      <c r="AD27" s="44">
        <f t="shared" si="29"/>
        <v>27053.431681589114</v>
      </c>
      <c r="AE27" s="44">
        <f t="shared" si="30"/>
        <v>0</v>
      </c>
      <c r="AF27" s="52">
        <f>HLOOKUP(I27,ElecAvoidedCostsWOCC!$A$5:$Q$50,G27+1,FALSE)</f>
        <v>1.0169996824506593</v>
      </c>
      <c r="AG27" s="44">
        <f t="shared" si="31"/>
        <v>26138.925838346844</v>
      </c>
      <c r="AH27" s="52">
        <f>HLOOKUP(I27,ElecAvoidedCostsWOCC!$A$5:$Q$50,T27+1,FALSE)</f>
        <v>1.0169996824506593</v>
      </c>
      <c r="AI27" s="44">
        <f t="shared" si="32"/>
        <v>0</v>
      </c>
      <c r="AJ27" s="44">
        <f t="shared" si="33"/>
        <v>26138.925838346844</v>
      </c>
      <c r="AK27" s="44">
        <f>HLOOKUP(I27,ElecAvoidedCostsWOCC!$A$5:$Q$50,G27+1,FALSE)*J27*L27</f>
        <v>0</v>
      </c>
      <c r="AL27" s="44">
        <f t="shared" si="34"/>
        <v>26138.925838346844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26138.925838346848</v>
      </c>
      <c r="AN27" s="48">
        <f t="shared" si="35"/>
        <v>55806.250103770653</v>
      </c>
      <c r="AO27" s="47">
        <f t="shared" si="36"/>
        <v>1.5599648202896192</v>
      </c>
      <c r="AP27" s="47">
        <f t="shared" si="37"/>
        <v>3.6146076123310835</v>
      </c>
      <c r="AQ27">
        <v>2021</v>
      </c>
    </row>
    <row r="28" spans="1:43" ht="13.5" customHeight="1">
      <c r="B28" s="97" t="s">
        <v>15</v>
      </c>
      <c r="C28" s="61">
        <v>18230434</v>
      </c>
      <c r="D28" s="61" t="s">
        <v>51</v>
      </c>
      <c r="E28" s="38" t="s">
        <v>647</v>
      </c>
      <c r="F28" s="39" t="s">
        <v>648</v>
      </c>
      <c r="G28" s="39">
        <v>12</v>
      </c>
      <c r="H28" s="39"/>
      <c r="I28" s="40" t="s">
        <v>263</v>
      </c>
      <c r="J28" s="41">
        <v>9</v>
      </c>
      <c r="K28" s="41">
        <v>238</v>
      </c>
      <c r="L28" s="41"/>
      <c r="M28" s="42">
        <v>150</v>
      </c>
      <c r="N28" s="42">
        <v>386.45</v>
      </c>
      <c r="O28" s="43">
        <v>2142</v>
      </c>
      <c r="P28" s="44">
        <v>1350</v>
      </c>
      <c r="Q28" s="44">
        <v>3478.05</v>
      </c>
      <c r="R28" s="45">
        <v>3.91</v>
      </c>
      <c r="S28" s="46">
        <v>0</v>
      </c>
      <c r="T28" s="39">
        <f t="shared" si="19"/>
        <v>12</v>
      </c>
      <c r="U28" s="47">
        <f t="shared" si="20"/>
        <v>8.4491883026786424E-3</v>
      </c>
      <c r="V28" s="48">
        <f t="shared" si="21"/>
        <v>236.45</v>
      </c>
      <c r="W28" s="49">
        <f t="shared" si="22"/>
        <v>7.0409902522322013E-4</v>
      </c>
      <c r="X28" s="44">
        <f t="shared" si="23"/>
        <v>387.43297409863595</v>
      </c>
      <c r="Y28" s="44">
        <f t="shared" si="24"/>
        <v>2128.0500000000002</v>
      </c>
      <c r="Z28" s="44">
        <f t="shared" si="25"/>
        <v>1493.7828711851294</v>
      </c>
      <c r="AA28" s="50">
        <f t="shared" si="26"/>
        <v>3865.4829740986361</v>
      </c>
      <c r="AB28" s="51">
        <f t="shared" si="27"/>
        <v>1396.4502862345792</v>
      </c>
      <c r="AC28" s="44">
        <f t="shared" si="28"/>
        <v>3613.6140731968176</v>
      </c>
      <c r="AD28" s="44">
        <f t="shared" si="29"/>
        <v>279.95055765785611</v>
      </c>
      <c r="AE28" s="44">
        <f t="shared" si="30"/>
        <v>0</v>
      </c>
      <c r="AF28" s="52">
        <f>HLOOKUP(I28,ElecAvoidedCostsWOCC!$A$5:$Q$50,G28+1,FALSE)</f>
        <v>0.87531038854853971</v>
      </c>
      <c r="AG28" s="44">
        <f t="shared" si="31"/>
        <v>1874.914852270972</v>
      </c>
      <c r="AH28" s="52">
        <f>HLOOKUP(I28,ElecAvoidedCostsWOCC!$A$5:$Q$50,T28+1,FALSE)</f>
        <v>0.87531038854853971</v>
      </c>
      <c r="AI28" s="44">
        <f t="shared" si="32"/>
        <v>0</v>
      </c>
      <c r="AJ28" s="44">
        <f t="shared" si="33"/>
        <v>1874.914852270972</v>
      </c>
      <c r="AK28" s="44">
        <f>HLOOKUP(I28,ElecAvoidedCostsWOCC!$A$5:$Q$50,G28+1,FALSE)*J28*L28</f>
        <v>0</v>
      </c>
      <c r="AL28" s="44">
        <f t="shared" si="34"/>
        <v>1874.914852270972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1874.914852270972</v>
      </c>
      <c r="AN28" s="48">
        <f t="shared" si="35"/>
        <v>2342.3568951559255</v>
      </c>
      <c r="AO28" s="47">
        <f t="shared" si="36"/>
        <v>1.3426291438748856</v>
      </c>
      <c r="AP28" s="47">
        <f t="shared" si="37"/>
        <v>0.64820339076323596</v>
      </c>
      <c r="AQ28">
        <v>2021</v>
      </c>
    </row>
    <row r="29" spans="1:43">
      <c r="B29" s="97" t="s">
        <v>15</v>
      </c>
      <c r="C29" s="61">
        <v>18230434</v>
      </c>
      <c r="D29" s="61" t="s">
        <v>51</v>
      </c>
      <c r="E29" s="38" t="s">
        <v>1884</v>
      </c>
      <c r="F29" s="39" t="s">
        <v>1885</v>
      </c>
      <c r="G29" s="39">
        <v>12</v>
      </c>
      <c r="H29" s="39"/>
      <c r="I29" s="40" t="s">
        <v>263</v>
      </c>
      <c r="J29" s="41">
        <v>15</v>
      </c>
      <c r="K29" s="41">
        <v>238</v>
      </c>
      <c r="L29" s="41"/>
      <c r="M29" s="42">
        <v>50</v>
      </c>
      <c r="N29" s="42">
        <v>386.45</v>
      </c>
      <c r="O29" s="43">
        <v>3570</v>
      </c>
      <c r="P29" s="44">
        <v>750</v>
      </c>
      <c r="Q29" s="44">
        <v>5796.75</v>
      </c>
      <c r="R29" s="45">
        <v>3.91</v>
      </c>
      <c r="S29" s="46">
        <v>0</v>
      </c>
      <c r="T29" s="39">
        <f t="shared" si="19"/>
        <v>12</v>
      </c>
      <c r="U29" s="47">
        <f t="shared" si="20"/>
        <v>1.4081980504464403E-2</v>
      </c>
      <c r="V29" s="48">
        <f t="shared" si="21"/>
        <v>336.45</v>
      </c>
      <c r="W29" s="49">
        <f t="shared" si="22"/>
        <v>1.1734983753720336E-3</v>
      </c>
      <c r="X29" s="44">
        <f t="shared" si="23"/>
        <v>645.72162349772657</v>
      </c>
      <c r="Y29" s="44">
        <f t="shared" si="24"/>
        <v>5046.75</v>
      </c>
      <c r="Z29" s="44">
        <f t="shared" si="25"/>
        <v>2489.6381186418826</v>
      </c>
      <c r="AA29" s="50">
        <f t="shared" si="26"/>
        <v>6442.4716234977268</v>
      </c>
      <c r="AB29" s="51">
        <f t="shared" si="27"/>
        <v>2327.4171437242985</v>
      </c>
      <c r="AC29" s="44">
        <f t="shared" si="28"/>
        <v>6022.6901219946958</v>
      </c>
      <c r="AD29" s="44">
        <f t="shared" si="29"/>
        <v>466.58426276309353</v>
      </c>
      <c r="AE29" s="44">
        <f t="shared" si="30"/>
        <v>0</v>
      </c>
      <c r="AF29" s="52">
        <f>HLOOKUP(I29,ElecAvoidedCostsWOCC!$A$5:$Q$50,G29+1,FALSE)</f>
        <v>0.87531038854853971</v>
      </c>
      <c r="AG29" s="44">
        <f t="shared" si="31"/>
        <v>3124.8580871182867</v>
      </c>
      <c r="AH29" s="52">
        <f>HLOOKUP(I29,ElecAvoidedCostsWOCC!$A$5:$Q$50,T29+1,FALSE)</f>
        <v>0.87531038854853971</v>
      </c>
      <c r="AI29" s="44">
        <f t="shared" si="32"/>
        <v>0</v>
      </c>
      <c r="AJ29" s="44">
        <f t="shared" si="33"/>
        <v>3124.8580871182867</v>
      </c>
      <c r="AK29" s="44">
        <f>HLOOKUP(I29,ElecAvoidedCostsWOCC!$A$5:$Q$50,G29+1,FALSE)*J29*L29</f>
        <v>0</v>
      </c>
      <c r="AL29" s="44">
        <f t="shared" si="34"/>
        <v>3124.8580871182867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3124.8580871182867</v>
      </c>
      <c r="AN29" s="48">
        <f t="shared" si="35"/>
        <v>3903.9281585932094</v>
      </c>
      <c r="AO29" s="47">
        <f t="shared" si="36"/>
        <v>1.3426291438748856</v>
      </c>
      <c r="AP29" s="47">
        <f t="shared" si="37"/>
        <v>0.64820339076323608</v>
      </c>
      <c r="AQ29">
        <v>2020</v>
      </c>
    </row>
    <row r="30" spans="1:43">
      <c r="B30" s="97" t="s">
        <v>15</v>
      </c>
      <c r="C30" s="61">
        <v>18230434</v>
      </c>
      <c r="D30" s="61" t="s">
        <v>51</v>
      </c>
      <c r="E30" s="38" t="s">
        <v>1886</v>
      </c>
      <c r="F30" s="39" t="s">
        <v>1887</v>
      </c>
      <c r="G30" s="39">
        <v>12</v>
      </c>
      <c r="H30" s="39"/>
      <c r="I30" s="40" t="s">
        <v>248</v>
      </c>
      <c r="J30" s="41">
        <v>106</v>
      </c>
      <c r="K30" s="41">
        <v>11.32</v>
      </c>
      <c r="L30" s="41"/>
      <c r="M30" s="42">
        <v>2</v>
      </c>
      <c r="N30" s="42">
        <v>2</v>
      </c>
      <c r="O30" s="43">
        <v>1199.92</v>
      </c>
      <c r="P30" s="44">
        <v>352.98</v>
      </c>
      <c r="Q30" s="44">
        <v>212</v>
      </c>
      <c r="R30" s="45">
        <v>0</v>
      </c>
      <c r="S30" s="46">
        <v>0</v>
      </c>
      <c r="T30" s="39">
        <f t="shared" si="19"/>
        <v>12</v>
      </c>
      <c r="U30" s="47">
        <f t="shared" si="20"/>
        <v>4.7331232624417165E-3</v>
      </c>
      <c r="V30" s="48">
        <f t="shared" si="21"/>
        <v>0</v>
      </c>
      <c r="W30" s="49">
        <f t="shared" si="22"/>
        <v>3.9442693853680971E-4</v>
      </c>
      <c r="X30" s="44">
        <f t="shared" si="23"/>
        <v>217.03481525697259</v>
      </c>
      <c r="Y30" s="44">
        <f t="shared" si="24"/>
        <v>-140.98000000000002</v>
      </c>
      <c r="Z30" s="44">
        <f t="shared" si="25"/>
        <v>836.79735891338032</v>
      </c>
      <c r="AA30" s="50">
        <f t="shared" si="26"/>
        <v>429.03481525697259</v>
      </c>
      <c r="AB30" s="51">
        <f t="shared" si="27"/>
        <v>782.2729353214736</v>
      </c>
      <c r="AC30" s="44">
        <f t="shared" si="28"/>
        <v>401.07956927827667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0.91115730059915656</v>
      </c>
      <c r="AG30" s="44">
        <f t="shared" si="31"/>
        <v>1093.31586813494</v>
      </c>
      <c r="AH30" s="52">
        <f>HLOOKUP(I30,ElecAvoidedCostsWOCC!$A$5:$Q$50,T30+1,FALSE)</f>
        <v>0.91115730059915656</v>
      </c>
      <c r="AI30" s="44">
        <f t="shared" si="32"/>
        <v>0</v>
      </c>
      <c r="AJ30" s="44">
        <f t="shared" si="33"/>
        <v>1093.31586813494</v>
      </c>
      <c r="AK30" s="44">
        <f>HLOOKUP(I30,ElecAvoidedCostsWOCC!$A$5:$Q$50,G30+1,FALSE)*J30*L30</f>
        <v>0</v>
      </c>
      <c r="AL30" s="44">
        <f t="shared" si="34"/>
        <v>1093.31586813494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1093.31586813494</v>
      </c>
      <c r="AN30" s="48">
        <f t="shared" si="35"/>
        <v>1202.6474549484342</v>
      </c>
      <c r="AO30" s="47">
        <f t="shared" si="36"/>
        <v>1.3976143348045704</v>
      </c>
      <c r="AP30" s="47">
        <f t="shared" si="37"/>
        <v>2.9985258464113249</v>
      </c>
      <c r="AQ30">
        <v>2020</v>
      </c>
    </row>
    <row r="31" spans="1:43">
      <c r="B31" s="97" t="s">
        <v>15</v>
      </c>
      <c r="C31" s="61">
        <v>18230434</v>
      </c>
      <c r="D31" s="61" t="s">
        <v>51</v>
      </c>
      <c r="E31" s="38" t="s">
        <v>1888</v>
      </c>
      <c r="F31" s="39" t="s">
        <v>1889</v>
      </c>
      <c r="G31" s="39">
        <v>10</v>
      </c>
      <c r="H31" s="39"/>
      <c r="I31" s="40" t="s">
        <v>265</v>
      </c>
      <c r="J31" s="41">
        <v>59</v>
      </c>
      <c r="K31" s="41">
        <v>61.3</v>
      </c>
      <c r="L31" s="41"/>
      <c r="M31" s="42">
        <v>10</v>
      </c>
      <c r="N31" s="42">
        <v>10</v>
      </c>
      <c r="O31" s="43">
        <v>3616.7</v>
      </c>
      <c r="P31" s="44">
        <v>533.95000000000005</v>
      </c>
      <c r="Q31" s="44">
        <v>590</v>
      </c>
      <c r="R31" s="45">
        <v>14.31</v>
      </c>
      <c r="S31" s="46">
        <v>0</v>
      </c>
      <c r="T31" s="39">
        <f t="shared" si="19"/>
        <v>10</v>
      </c>
      <c r="U31" s="47">
        <f t="shared" si="20"/>
        <v>1.1888491804504296E-2</v>
      </c>
      <c r="V31" s="48">
        <f t="shared" si="21"/>
        <v>0</v>
      </c>
      <c r="W31" s="49">
        <f t="shared" si="22"/>
        <v>1.1888491804504296E-3</v>
      </c>
      <c r="X31" s="44">
        <f t="shared" si="23"/>
        <v>654.1684581804559</v>
      </c>
      <c r="Y31" s="44">
        <f t="shared" si="24"/>
        <v>56.049999999999955</v>
      </c>
      <c r="Z31" s="44">
        <f t="shared" si="25"/>
        <v>2522.205653695265</v>
      </c>
      <c r="AA31" s="50">
        <f t="shared" si="26"/>
        <v>1244.1684581804559</v>
      </c>
      <c r="AB31" s="51">
        <f t="shared" si="27"/>
        <v>2357.8626284895436</v>
      </c>
      <c r="AC31" s="44">
        <f t="shared" si="28"/>
        <v>1163.1003628872168</v>
      </c>
      <c r="AD31" s="44">
        <f t="shared" si="29"/>
        <v>5938.171738003899</v>
      </c>
      <c r="AE31" s="44">
        <f t="shared" si="30"/>
        <v>0</v>
      </c>
      <c r="AF31" s="52">
        <f>HLOOKUP(I31,ElecAvoidedCostsWOCC!$A$5:$Q$50,G31+1,FALSE)</f>
        <v>0.74487332198138856</v>
      </c>
      <c r="AG31" s="44">
        <f t="shared" si="31"/>
        <v>2693.9833436100876</v>
      </c>
      <c r="AH31" s="52">
        <f>HLOOKUP(I31,ElecAvoidedCostsWOCC!$A$5:$Q$50,T31+1,FALSE)</f>
        <v>0.74487332198138856</v>
      </c>
      <c r="AI31" s="44">
        <f t="shared" si="32"/>
        <v>0</v>
      </c>
      <c r="AJ31" s="44">
        <f t="shared" si="33"/>
        <v>2693.9833436100876</v>
      </c>
      <c r="AK31" s="44">
        <f>HLOOKUP(I31,ElecAvoidedCostsWOCC!$A$5:$Q$50,G31+1,FALSE)*J31*L31</f>
        <v>0</v>
      </c>
      <c r="AL31" s="44">
        <f t="shared" si="34"/>
        <v>2693.9833436100876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2693.9833436100876</v>
      </c>
      <c r="AN31" s="48">
        <f t="shared" si="35"/>
        <v>8901.553415974995</v>
      </c>
      <c r="AO31" s="47">
        <f t="shared" si="36"/>
        <v>1.1425531373453526</v>
      </c>
      <c r="AP31" s="47">
        <f t="shared" si="37"/>
        <v>7.6532977720669484</v>
      </c>
      <c r="AQ31">
        <v>2020</v>
      </c>
    </row>
    <row r="32" spans="1:43">
      <c r="B32" s="97" t="s">
        <v>15</v>
      </c>
      <c r="C32" s="61">
        <v>18230434</v>
      </c>
      <c r="D32" s="61" t="s">
        <v>51</v>
      </c>
      <c r="E32" s="38" t="s">
        <v>1890</v>
      </c>
      <c r="F32" s="39" t="s">
        <v>1891</v>
      </c>
      <c r="G32" s="39">
        <v>10</v>
      </c>
      <c r="H32" s="39"/>
      <c r="I32" s="40" t="s">
        <v>265</v>
      </c>
      <c r="J32" s="41">
        <v>47</v>
      </c>
      <c r="K32" s="41">
        <v>74.099999999999994</v>
      </c>
      <c r="L32" s="41"/>
      <c r="M32" s="42">
        <v>10</v>
      </c>
      <c r="N32" s="42">
        <v>10</v>
      </c>
      <c r="O32" s="43">
        <v>3482.7</v>
      </c>
      <c r="P32" s="44">
        <v>425.35</v>
      </c>
      <c r="Q32" s="44">
        <v>470</v>
      </c>
      <c r="R32" s="45">
        <v>14.31</v>
      </c>
      <c r="S32" s="46">
        <v>0</v>
      </c>
      <c r="T32" s="39">
        <f t="shared" si="19"/>
        <v>10</v>
      </c>
      <c r="U32" s="47">
        <f t="shared" si="20"/>
        <v>1.1448019024952887E-2</v>
      </c>
      <c r="V32" s="48">
        <f t="shared" si="21"/>
        <v>0</v>
      </c>
      <c r="W32" s="49">
        <f t="shared" si="22"/>
        <v>1.1448019024952888E-3</v>
      </c>
      <c r="X32" s="44">
        <f t="shared" si="23"/>
        <v>629.93128799874853</v>
      </c>
      <c r="Y32" s="44">
        <f t="shared" si="24"/>
        <v>44.649999999999977</v>
      </c>
      <c r="Z32" s="44">
        <f t="shared" si="25"/>
        <v>2428.7570520431605</v>
      </c>
      <c r="AA32" s="50">
        <f t="shared" si="26"/>
        <v>1099.9312879987485</v>
      </c>
      <c r="AB32" s="51">
        <f t="shared" si="27"/>
        <v>2270.5029934029731</v>
      </c>
      <c r="AC32" s="44">
        <f t="shared" si="28"/>
        <v>1028.2614639606884</v>
      </c>
      <c r="AD32" s="44">
        <f t="shared" si="29"/>
        <v>4730.4079946810725</v>
      </c>
      <c r="AE32" s="44">
        <f t="shared" si="30"/>
        <v>0</v>
      </c>
      <c r="AF32" s="52">
        <f>HLOOKUP(I32,ElecAvoidedCostsWOCC!$A$5:$Q$50,G32+1,FALSE)</f>
        <v>0.74487332198138856</v>
      </c>
      <c r="AG32" s="44">
        <f t="shared" si="31"/>
        <v>2594.1703184645817</v>
      </c>
      <c r="AH32" s="52">
        <f>HLOOKUP(I32,ElecAvoidedCostsWOCC!$A$5:$Q$50,T32+1,FALSE)</f>
        <v>0.74487332198138856</v>
      </c>
      <c r="AI32" s="44">
        <f t="shared" si="32"/>
        <v>0</v>
      </c>
      <c r="AJ32" s="44">
        <f t="shared" si="33"/>
        <v>2594.1703184645817</v>
      </c>
      <c r="AK32" s="44">
        <f>HLOOKUP(I32,ElecAvoidedCostsWOCC!$A$5:$Q$50,G32+1,FALSE)*J32*L32</f>
        <v>0</v>
      </c>
      <c r="AL32" s="44">
        <f t="shared" si="34"/>
        <v>2594.1703184645817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2594.1703184645817</v>
      </c>
      <c r="AN32" s="48">
        <f t="shared" si="35"/>
        <v>7583.9953449921122</v>
      </c>
      <c r="AO32" s="47">
        <f t="shared" si="36"/>
        <v>1.1425531373453528</v>
      </c>
      <c r="AP32" s="47">
        <f t="shared" si="37"/>
        <v>7.3755514631267527</v>
      </c>
      <c r="AQ32">
        <v>2020</v>
      </c>
    </row>
    <row r="33" spans="2:43">
      <c r="B33" s="97" t="s">
        <v>15</v>
      </c>
      <c r="C33" s="61">
        <v>18230434</v>
      </c>
      <c r="D33" s="61" t="s">
        <v>51</v>
      </c>
      <c r="E33" s="38" t="s">
        <v>1892</v>
      </c>
      <c r="F33" s="39" t="s">
        <v>1893</v>
      </c>
      <c r="G33" s="39">
        <v>10</v>
      </c>
      <c r="H33" s="39"/>
      <c r="I33" s="40" t="s">
        <v>265</v>
      </c>
      <c r="J33" s="41">
        <v>94</v>
      </c>
      <c r="K33" s="41">
        <v>12</v>
      </c>
      <c r="L33" s="41"/>
      <c r="M33" s="42">
        <v>1.81</v>
      </c>
      <c r="N33" s="42">
        <v>1.81</v>
      </c>
      <c r="O33" s="43">
        <v>1128</v>
      </c>
      <c r="P33" s="44">
        <v>46.06</v>
      </c>
      <c r="Q33" s="44">
        <v>170.14</v>
      </c>
      <c r="R33" s="45">
        <v>2.74</v>
      </c>
      <c r="S33" s="46">
        <v>0</v>
      </c>
      <c r="T33" s="39">
        <f t="shared" si="19"/>
        <v>10</v>
      </c>
      <c r="U33" s="47">
        <f t="shared" si="20"/>
        <v>3.7078604129402067E-3</v>
      </c>
      <c r="V33" s="48">
        <f t="shared" si="21"/>
        <v>0</v>
      </c>
      <c r="W33" s="49">
        <f t="shared" si="22"/>
        <v>3.7078604129402068E-4</v>
      </c>
      <c r="X33" s="44">
        <f t="shared" si="23"/>
        <v>204.02632809676066</v>
      </c>
      <c r="Y33" s="44">
        <f t="shared" si="24"/>
        <v>124.07999999999998</v>
      </c>
      <c r="Z33" s="44">
        <f t="shared" si="25"/>
        <v>786.64196017592258</v>
      </c>
      <c r="AA33" s="50">
        <f t="shared" si="26"/>
        <v>374.16632809676065</v>
      </c>
      <c r="AB33" s="51">
        <f t="shared" si="27"/>
        <v>735.38558490784567</v>
      </c>
      <c r="AC33" s="44">
        <f t="shared" si="28"/>
        <v>349.78622800482435</v>
      </c>
      <c r="AD33" s="44">
        <f t="shared" si="29"/>
        <v>1811.5049483474686</v>
      </c>
      <c r="AE33" s="44">
        <f t="shared" si="30"/>
        <v>0</v>
      </c>
      <c r="AF33" s="52">
        <f>HLOOKUP(I33,ElecAvoidedCostsWOCC!$A$5:$Q$50,G33+1,FALSE)</f>
        <v>0.74487332198138856</v>
      </c>
      <c r="AG33" s="44">
        <f t="shared" si="31"/>
        <v>840.21710719500629</v>
      </c>
      <c r="AH33" s="52">
        <f>HLOOKUP(I33,ElecAvoidedCostsWOCC!$A$5:$Q$50,T33+1,FALSE)</f>
        <v>0.74487332198138856</v>
      </c>
      <c r="AI33" s="44">
        <f t="shared" si="32"/>
        <v>0</v>
      </c>
      <c r="AJ33" s="44">
        <f t="shared" si="33"/>
        <v>840.21710719500629</v>
      </c>
      <c r="AK33" s="44">
        <f>HLOOKUP(I33,ElecAvoidedCostsWOCC!$A$5:$Q$50,G33+1,FALSE)*J33*L33</f>
        <v>0</v>
      </c>
      <c r="AL33" s="44">
        <f t="shared" si="34"/>
        <v>840.21710719500629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840.21710719500641</v>
      </c>
      <c r="AN33" s="48">
        <f t="shared" si="35"/>
        <v>2735.7437662619759</v>
      </c>
      <c r="AO33" s="47">
        <f t="shared" si="36"/>
        <v>1.1425531373453528</v>
      </c>
      <c r="AP33" s="47">
        <f t="shared" si="37"/>
        <v>7.8211877633565487</v>
      </c>
      <c r="AQ33">
        <v>2020</v>
      </c>
    </row>
    <row r="34" spans="2:43">
      <c r="B34" s="97" t="s">
        <v>15</v>
      </c>
      <c r="C34" s="61">
        <v>18230434</v>
      </c>
      <c r="D34" s="61" t="s">
        <v>51</v>
      </c>
      <c r="E34" s="38" t="s">
        <v>1894</v>
      </c>
      <c r="F34" s="39" t="s">
        <v>1895</v>
      </c>
      <c r="G34" s="39">
        <v>10</v>
      </c>
      <c r="H34" s="39"/>
      <c r="I34" s="40" t="s">
        <v>265</v>
      </c>
      <c r="J34" s="41">
        <v>118</v>
      </c>
      <c r="K34" s="41">
        <v>10</v>
      </c>
      <c r="L34" s="41"/>
      <c r="M34" s="42">
        <v>1.81</v>
      </c>
      <c r="N34" s="42">
        <v>1.81</v>
      </c>
      <c r="O34" s="43">
        <v>1180</v>
      </c>
      <c r="P34" s="44">
        <v>57.819999999999901</v>
      </c>
      <c r="Q34" s="44">
        <v>213.58</v>
      </c>
      <c r="R34" s="45">
        <v>2.74</v>
      </c>
      <c r="S34" s="46">
        <v>0</v>
      </c>
      <c r="T34" s="39">
        <f t="shared" si="19"/>
        <v>10</v>
      </c>
      <c r="U34" s="47">
        <f t="shared" si="20"/>
        <v>3.8787901482885147E-3</v>
      </c>
      <c r="V34" s="48">
        <f t="shared" si="21"/>
        <v>0</v>
      </c>
      <c r="W34" s="49">
        <f t="shared" si="22"/>
        <v>3.8787901482885146E-4</v>
      </c>
      <c r="X34" s="44">
        <f t="shared" si="23"/>
        <v>213.43179712249787</v>
      </c>
      <c r="Y34" s="44">
        <f t="shared" si="24"/>
        <v>155.7600000000001</v>
      </c>
      <c r="Z34" s="44">
        <f t="shared" si="25"/>
        <v>822.90559663793317</v>
      </c>
      <c r="AA34" s="50">
        <f t="shared" si="26"/>
        <v>427.01179712249791</v>
      </c>
      <c r="AB34" s="51">
        <f t="shared" si="27"/>
        <v>769.28633882203712</v>
      </c>
      <c r="AC34" s="44">
        <f t="shared" si="28"/>
        <v>399.18836788117966</v>
      </c>
      <c r="AD34" s="44">
        <f t="shared" si="29"/>
        <v>2274.0168500532054</v>
      </c>
      <c r="AE34" s="44">
        <f t="shared" si="30"/>
        <v>0</v>
      </c>
      <c r="AF34" s="52">
        <f>HLOOKUP(I34,ElecAvoidedCostsWOCC!$A$5:$Q$50,G34+1,FALSE)</f>
        <v>0.74487332198138856</v>
      </c>
      <c r="AG34" s="44">
        <f t="shared" si="31"/>
        <v>878.9505199380385</v>
      </c>
      <c r="AH34" s="52">
        <f>HLOOKUP(I34,ElecAvoidedCostsWOCC!$A$5:$Q$50,T34+1,FALSE)</f>
        <v>0.74487332198138856</v>
      </c>
      <c r="AI34" s="44">
        <f t="shared" si="32"/>
        <v>0</v>
      </c>
      <c r="AJ34" s="44">
        <f t="shared" si="33"/>
        <v>878.9505199380385</v>
      </c>
      <c r="AK34" s="44">
        <f>HLOOKUP(I34,ElecAvoidedCostsWOCC!$A$5:$Q$50,G34+1,FALSE)*J34*L34</f>
        <v>0</v>
      </c>
      <c r="AL34" s="44">
        <f t="shared" si="34"/>
        <v>878.9505199380385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878.9505199380385</v>
      </c>
      <c r="AN34" s="48">
        <f t="shared" si="35"/>
        <v>3240.8624219850481</v>
      </c>
      <c r="AO34" s="47">
        <f t="shared" si="36"/>
        <v>1.1425531373453526</v>
      </c>
      <c r="AP34" s="47">
        <f t="shared" si="37"/>
        <v>8.1186294059292496</v>
      </c>
      <c r="AQ34">
        <v>2020</v>
      </c>
    </row>
    <row r="35" spans="2:43">
      <c r="B35" s="97" t="s">
        <v>15</v>
      </c>
      <c r="C35" s="61">
        <v>18230434</v>
      </c>
      <c r="D35" s="61" t="s">
        <v>51</v>
      </c>
      <c r="E35" s="38" t="s">
        <v>1896</v>
      </c>
      <c r="F35" s="39" t="s">
        <v>1897</v>
      </c>
      <c r="G35" s="39">
        <v>10</v>
      </c>
      <c r="H35" s="39"/>
      <c r="I35" s="40" t="s">
        <v>265</v>
      </c>
      <c r="J35" s="41">
        <v>47</v>
      </c>
      <c r="K35" s="41">
        <v>19</v>
      </c>
      <c r="L35" s="41"/>
      <c r="M35" s="42">
        <v>1.81</v>
      </c>
      <c r="N35" s="42">
        <v>1.81</v>
      </c>
      <c r="O35" s="43">
        <v>893</v>
      </c>
      <c r="P35" s="44">
        <v>60.63</v>
      </c>
      <c r="Q35" s="44">
        <v>85.070000000000107</v>
      </c>
      <c r="R35" s="45">
        <v>3.8</v>
      </c>
      <c r="S35" s="46">
        <v>0</v>
      </c>
      <c r="T35" s="39">
        <f t="shared" si="19"/>
        <v>10</v>
      </c>
      <c r="U35" s="47">
        <f t="shared" si="20"/>
        <v>2.9353894935776636E-3</v>
      </c>
      <c r="V35" s="48">
        <f t="shared" si="21"/>
        <v>0</v>
      </c>
      <c r="W35" s="49">
        <f t="shared" si="22"/>
        <v>2.9353894935776637E-4</v>
      </c>
      <c r="X35" s="44">
        <f t="shared" si="23"/>
        <v>161.52084307660218</v>
      </c>
      <c r="Y35" s="44">
        <f t="shared" si="24"/>
        <v>24.440000000000104</v>
      </c>
      <c r="Z35" s="44">
        <f t="shared" si="25"/>
        <v>622.75821847260534</v>
      </c>
      <c r="AA35" s="50">
        <f t="shared" si="26"/>
        <v>246.59084307660228</v>
      </c>
      <c r="AB35" s="51">
        <f t="shared" si="27"/>
        <v>582.18025471871113</v>
      </c>
      <c r="AC35" s="44">
        <f t="shared" si="28"/>
        <v>230.52336456632912</v>
      </c>
      <c r="AD35" s="44">
        <f t="shared" si="29"/>
        <v>1256.153066372332</v>
      </c>
      <c r="AE35" s="44">
        <f t="shared" si="30"/>
        <v>0</v>
      </c>
      <c r="AF35" s="52">
        <f>HLOOKUP(I35,ElecAvoidedCostsWOCC!$A$5:$Q$50,G35+1,FALSE)</f>
        <v>0.74487332198138856</v>
      </c>
      <c r="AG35" s="44">
        <f t="shared" si="31"/>
        <v>665.17187652937992</v>
      </c>
      <c r="AH35" s="52">
        <f>HLOOKUP(I35,ElecAvoidedCostsWOCC!$A$5:$Q$50,T35+1,FALSE)</f>
        <v>0.74487332198138856</v>
      </c>
      <c r="AI35" s="44">
        <f t="shared" si="32"/>
        <v>0</v>
      </c>
      <c r="AJ35" s="44">
        <f t="shared" si="33"/>
        <v>665.17187652937992</v>
      </c>
      <c r="AK35" s="44">
        <f>HLOOKUP(I35,ElecAvoidedCostsWOCC!$A$5:$Q$50,G35+1,FALSE)*J35*L35</f>
        <v>0</v>
      </c>
      <c r="AL35" s="44">
        <f t="shared" si="34"/>
        <v>665.17187652937992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665.17187652938003</v>
      </c>
      <c r="AN35" s="48">
        <f t="shared" si="35"/>
        <v>1987.8421305546501</v>
      </c>
      <c r="AO35" s="47">
        <f t="shared" si="36"/>
        <v>1.1425531373453528</v>
      </c>
      <c r="AP35" s="47">
        <f t="shared" si="37"/>
        <v>8.6231698652076663</v>
      </c>
      <c r="AQ35">
        <v>2020</v>
      </c>
    </row>
    <row r="36" spans="2:43">
      <c r="B36" s="97" t="s">
        <v>15</v>
      </c>
      <c r="C36" s="61">
        <v>18230434</v>
      </c>
      <c r="D36" s="61" t="s">
        <v>51</v>
      </c>
      <c r="E36" s="38" t="s">
        <v>1898</v>
      </c>
      <c r="F36" s="39" t="s">
        <v>1899</v>
      </c>
      <c r="G36" s="39">
        <v>10</v>
      </c>
      <c r="H36" s="39"/>
      <c r="I36" s="40" t="s">
        <v>265</v>
      </c>
      <c r="J36" s="41">
        <v>59</v>
      </c>
      <c r="K36" s="41">
        <v>16</v>
      </c>
      <c r="L36" s="41"/>
      <c r="M36" s="42">
        <v>1.81</v>
      </c>
      <c r="N36" s="42">
        <v>1.81</v>
      </c>
      <c r="O36" s="43">
        <v>944</v>
      </c>
      <c r="P36" s="44">
        <v>76.11</v>
      </c>
      <c r="Q36" s="44">
        <v>106.79</v>
      </c>
      <c r="R36" s="45">
        <v>3.8</v>
      </c>
      <c r="S36" s="46">
        <v>0</v>
      </c>
      <c r="T36" s="39">
        <f t="shared" si="19"/>
        <v>10</v>
      </c>
      <c r="U36" s="47">
        <f t="shared" si="20"/>
        <v>3.1030321186308117E-3</v>
      </c>
      <c r="V36" s="48">
        <f t="shared" si="21"/>
        <v>0</v>
      </c>
      <c r="W36" s="49">
        <f t="shared" si="22"/>
        <v>3.1030321186308117E-4</v>
      </c>
      <c r="X36" s="44">
        <f t="shared" si="23"/>
        <v>170.74543769799831</v>
      </c>
      <c r="Y36" s="44">
        <f t="shared" si="24"/>
        <v>30.680000000000007</v>
      </c>
      <c r="Z36" s="44">
        <f t="shared" si="25"/>
        <v>658.32447731034654</v>
      </c>
      <c r="AA36" s="50">
        <f t="shared" si="26"/>
        <v>277.5354376979983</v>
      </c>
      <c r="AB36" s="51">
        <f t="shared" si="27"/>
        <v>615.4290710576297</v>
      </c>
      <c r="AC36" s="44">
        <f t="shared" si="28"/>
        <v>259.4516571917344</v>
      </c>
      <c r="AD36" s="44">
        <f t="shared" si="29"/>
        <v>1576.8729982120765</v>
      </c>
      <c r="AE36" s="44">
        <f t="shared" si="30"/>
        <v>0</v>
      </c>
      <c r="AF36" s="52">
        <f>HLOOKUP(I36,ElecAvoidedCostsWOCC!$A$5:$Q$50,G36+1,FALSE)</f>
        <v>0.74487332198138856</v>
      </c>
      <c r="AG36" s="44">
        <f t="shared" si="31"/>
        <v>703.16041595043077</v>
      </c>
      <c r="AH36" s="52">
        <f>HLOOKUP(I36,ElecAvoidedCostsWOCC!$A$5:$Q$50,T36+1,FALSE)</f>
        <v>0.74487332198138856</v>
      </c>
      <c r="AI36" s="44">
        <f t="shared" si="32"/>
        <v>0</v>
      </c>
      <c r="AJ36" s="44">
        <f t="shared" si="33"/>
        <v>703.16041595043077</v>
      </c>
      <c r="AK36" s="44">
        <f>HLOOKUP(I36,ElecAvoidedCostsWOCC!$A$5:$Q$50,G36+1,FALSE)*J36*L36</f>
        <v>0</v>
      </c>
      <c r="AL36" s="44">
        <f t="shared" si="34"/>
        <v>703.16041595043077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703.16041595043077</v>
      </c>
      <c r="AN36" s="48">
        <f t="shared" si="35"/>
        <v>2350.3494557575505</v>
      </c>
      <c r="AO36" s="47">
        <f t="shared" si="36"/>
        <v>1.1425531373453526</v>
      </c>
      <c r="AP36" s="47">
        <f t="shared" si="37"/>
        <v>9.0589109400856351</v>
      </c>
      <c r="AQ36">
        <v>2020</v>
      </c>
    </row>
    <row r="37" spans="2:43">
      <c r="B37" s="97" t="s">
        <v>15</v>
      </c>
      <c r="C37" s="61">
        <v>18230434</v>
      </c>
      <c r="D37" s="61" t="s">
        <v>51</v>
      </c>
      <c r="E37" s="38" t="s">
        <v>1900</v>
      </c>
      <c r="F37" s="39" t="s">
        <v>1901</v>
      </c>
      <c r="G37" s="39">
        <v>14</v>
      </c>
      <c r="H37" s="39"/>
      <c r="I37" s="40" t="s">
        <v>265</v>
      </c>
      <c r="J37" s="41">
        <v>2</v>
      </c>
      <c r="K37" s="41">
        <v>64</v>
      </c>
      <c r="L37" s="41"/>
      <c r="M37" s="42">
        <v>25</v>
      </c>
      <c r="N37" s="42">
        <v>27.87</v>
      </c>
      <c r="O37" s="43">
        <v>128</v>
      </c>
      <c r="P37" s="44">
        <v>50</v>
      </c>
      <c r="Q37" s="44">
        <v>55.74</v>
      </c>
      <c r="R37" s="45">
        <v>11.61</v>
      </c>
      <c r="S37" s="46">
        <v>0</v>
      </c>
      <c r="T37" s="39">
        <f t="shared" si="19"/>
        <v>14</v>
      </c>
      <c r="U37" s="47">
        <f t="shared" si="20"/>
        <v>5.8905016489262866E-4</v>
      </c>
      <c r="V37" s="48">
        <f t="shared" si="21"/>
        <v>2.870000000000001</v>
      </c>
      <c r="W37" s="49">
        <f t="shared" si="22"/>
        <v>4.2075011778044902E-5</v>
      </c>
      <c r="X37" s="44">
        <f t="shared" si="23"/>
        <v>23.151923755660786</v>
      </c>
      <c r="Y37" s="44">
        <f t="shared" si="24"/>
        <v>5.740000000000002</v>
      </c>
      <c r="Z37" s="44">
        <f t="shared" si="25"/>
        <v>89.264335906487659</v>
      </c>
      <c r="AA37" s="50">
        <f t="shared" si="26"/>
        <v>78.891923755660784</v>
      </c>
      <c r="AB37" s="51">
        <f t="shared" si="27"/>
        <v>83.448009634932831</v>
      </c>
      <c r="AC37" s="44">
        <f t="shared" si="28"/>
        <v>73.751447841133754</v>
      </c>
      <c r="AD37" s="44">
        <f t="shared" si="29"/>
        <v>203.43561030827152</v>
      </c>
      <c r="AE37" s="44">
        <f t="shared" si="30"/>
        <v>0</v>
      </c>
      <c r="AF37" s="52">
        <f>HLOOKUP(I37,ElecAvoidedCostsWOCC!$A$5:$Q$50,G37+1,FALSE)</f>
        <v>1.0169996824506593</v>
      </c>
      <c r="AG37" s="44">
        <f t="shared" si="31"/>
        <v>130.17595935368439</v>
      </c>
      <c r="AH37" s="52">
        <f>HLOOKUP(I37,ElecAvoidedCostsWOCC!$A$5:$Q$50,T37+1,FALSE)</f>
        <v>1.0169996824506593</v>
      </c>
      <c r="AI37" s="44">
        <f t="shared" si="32"/>
        <v>0</v>
      </c>
      <c r="AJ37" s="44">
        <f t="shared" si="33"/>
        <v>130.17595935368439</v>
      </c>
      <c r="AK37" s="44">
        <f>HLOOKUP(I37,ElecAvoidedCostsWOCC!$A$5:$Q$50,G37+1,FALSE)*J37*L37</f>
        <v>0</v>
      </c>
      <c r="AL37" s="44">
        <f t="shared" si="34"/>
        <v>130.17595935368439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130.17595935368439</v>
      </c>
      <c r="AN37" s="48">
        <f t="shared" si="35"/>
        <v>346.62916559732435</v>
      </c>
      <c r="AO37" s="47">
        <f t="shared" si="36"/>
        <v>1.559964820289619</v>
      </c>
      <c r="AP37" s="47">
        <f t="shared" si="37"/>
        <v>4.6999642141804463</v>
      </c>
      <c r="AQ37">
        <v>2020</v>
      </c>
    </row>
    <row r="38" spans="2:43">
      <c r="B38" s="97" t="s">
        <v>15</v>
      </c>
      <c r="C38" s="61">
        <v>18230434</v>
      </c>
      <c r="D38" s="61" t="s">
        <v>51</v>
      </c>
      <c r="E38" s="38" t="s">
        <v>1902</v>
      </c>
      <c r="F38" s="39" t="s">
        <v>607</v>
      </c>
      <c r="G38" s="39">
        <v>12</v>
      </c>
      <c r="H38" s="39"/>
      <c r="I38" s="40" t="s">
        <v>263</v>
      </c>
      <c r="J38" s="41">
        <v>2</v>
      </c>
      <c r="K38" s="41">
        <v>93</v>
      </c>
      <c r="L38" s="41"/>
      <c r="M38" s="42">
        <v>25</v>
      </c>
      <c r="N38" s="42">
        <v>50.98</v>
      </c>
      <c r="O38" s="43">
        <v>186</v>
      </c>
      <c r="P38" s="44">
        <v>50</v>
      </c>
      <c r="Q38" s="44">
        <v>101.96</v>
      </c>
      <c r="R38" s="45">
        <v>-0.34</v>
      </c>
      <c r="S38" s="46">
        <v>0</v>
      </c>
      <c r="T38" s="39">
        <f t="shared" si="19"/>
        <v>12</v>
      </c>
      <c r="U38" s="47">
        <f t="shared" si="20"/>
        <v>7.3368301787965799E-4</v>
      </c>
      <c r="V38" s="48">
        <f t="shared" si="21"/>
        <v>25.979999999999997</v>
      </c>
      <c r="W38" s="49">
        <f t="shared" si="22"/>
        <v>6.1140251489971495E-5</v>
      </c>
      <c r="X38" s="44">
        <f t="shared" si="23"/>
        <v>33.642639207444574</v>
      </c>
      <c r="Y38" s="44">
        <f t="shared" si="24"/>
        <v>51.959999999999994</v>
      </c>
      <c r="Z38" s="44">
        <f t="shared" si="25"/>
        <v>129.71223811411488</v>
      </c>
      <c r="AA38" s="50">
        <f t="shared" si="26"/>
        <v>135.60263920744455</v>
      </c>
      <c r="AB38" s="51">
        <f t="shared" si="27"/>
        <v>121.26038900076178</v>
      </c>
      <c r="AC38" s="44">
        <f t="shared" si="28"/>
        <v>126.7669806557395</v>
      </c>
      <c r="AD38" s="44">
        <f t="shared" si="29"/>
        <v>-5.4096726117460108</v>
      </c>
      <c r="AE38" s="44">
        <f t="shared" si="30"/>
        <v>0</v>
      </c>
      <c r="AF38" s="52">
        <f>HLOOKUP(I38,ElecAvoidedCostsWOCC!$A$5:$Q$50,G38+1,FALSE)</f>
        <v>0.87531038854853971</v>
      </c>
      <c r="AG38" s="44">
        <f t="shared" si="31"/>
        <v>162.8077322700284</v>
      </c>
      <c r="AH38" s="52">
        <f>HLOOKUP(I38,ElecAvoidedCostsWOCC!$A$5:$Q$50,T38+1,FALSE)</f>
        <v>0.87531038854853971</v>
      </c>
      <c r="AI38" s="44">
        <f t="shared" si="32"/>
        <v>0</v>
      </c>
      <c r="AJ38" s="44">
        <f t="shared" si="33"/>
        <v>162.8077322700284</v>
      </c>
      <c r="AK38" s="44">
        <f>HLOOKUP(I38,ElecAvoidedCostsWOCC!$A$5:$Q$50,G38+1,FALSE)*J38*L38</f>
        <v>0</v>
      </c>
      <c r="AL38" s="44">
        <f t="shared" si="34"/>
        <v>162.8077322700284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162.8077322700284</v>
      </c>
      <c r="AN38" s="48">
        <f t="shared" si="35"/>
        <v>173.67883288528526</v>
      </c>
      <c r="AO38" s="47">
        <f t="shared" si="36"/>
        <v>1.3426291438748856</v>
      </c>
      <c r="AP38" s="47">
        <f t="shared" si="37"/>
        <v>1.3700636552742709</v>
      </c>
      <c r="AQ38">
        <v>2020</v>
      </c>
    </row>
    <row r="39" spans="2:43">
      <c r="B39" s="97" t="s">
        <v>15</v>
      </c>
      <c r="C39" s="61">
        <v>18230434</v>
      </c>
      <c r="D39" s="61" t="s">
        <v>51</v>
      </c>
      <c r="E39" s="38" t="s">
        <v>606</v>
      </c>
      <c r="F39" s="39" t="s">
        <v>607</v>
      </c>
      <c r="G39" s="39">
        <v>12</v>
      </c>
      <c r="H39" s="39"/>
      <c r="I39" s="40" t="s">
        <v>263</v>
      </c>
      <c r="J39" s="41">
        <v>573</v>
      </c>
      <c r="K39" s="41">
        <v>68</v>
      </c>
      <c r="L39" s="41"/>
      <c r="M39" s="42">
        <v>25</v>
      </c>
      <c r="N39" s="42">
        <v>20.440000000000001</v>
      </c>
      <c r="O39" s="43">
        <v>38964</v>
      </c>
      <c r="P39" s="44">
        <v>14325</v>
      </c>
      <c r="Q39" s="44">
        <v>11712.12</v>
      </c>
      <c r="R39" s="45">
        <v>-0.08</v>
      </c>
      <c r="S39" s="46">
        <v>0</v>
      </c>
      <c r="T39" s="39">
        <f t="shared" si="19"/>
        <v>12</v>
      </c>
      <c r="U39" s="47">
        <f t="shared" si="20"/>
        <v>0.15369475864872578</v>
      </c>
      <c r="V39" s="48">
        <f t="shared" si="21"/>
        <v>-4.5599999999999987</v>
      </c>
      <c r="W39" s="49">
        <f t="shared" si="22"/>
        <v>1.2807896554060481E-2</v>
      </c>
      <c r="X39" s="44">
        <f t="shared" si="23"/>
        <v>7047.5902907466161</v>
      </c>
      <c r="Y39" s="44">
        <f t="shared" si="24"/>
        <v>-2612.8799999999992</v>
      </c>
      <c r="Z39" s="44">
        <f t="shared" si="25"/>
        <v>27172.621752034258</v>
      </c>
      <c r="AA39" s="50">
        <f t="shared" si="26"/>
        <v>18759.710290746618</v>
      </c>
      <c r="AB39" s="51">
        <f t="shared" si="27"/>
        <v>25402.09568293377</v>
      </c>
      <c r="AC39" s="44">
        <f t="shared" si="28"/>
        <v>17537.35653991457</v>
      </c>
      <c r="AD39" s="44">
        <f t="shared" si="29"/>
        <v>-364.67557723887819</v>
      </c>
      <c r="AE39" s="44">
        <f t="shared" si="30"/>
        <v>0</v>
      </c>
      <c r="AF39" s="52">
        <f>HLOOKUP(I39,ElecAvoidedCostsWOCC!$A$5:$Q$50,G39+1,FALSE)</f>
        <v>0.87531038854853971</v>
      </c>
      <c r="AG39" s="44">
        <f t="shared" si="31"/>
        <v>34105.593979405305</v>
      </c>
      <c r="AH39" s="52">
        <f>HLOOKUP(I39,ElecAvoidedCostsWOCC!$A$5:$Q$50,T39+1,FALSE)</f>
        <v>0.87531038854853971</v>
      </c>
      <c r="AI39" s="44">
        <f t="shared" si="32"/>
        <v>0</v>
      </c>
      <c r="AJ39" s="44">
        <f t="shared" si="33"/>
        <v>34105.593979405305</v>
      </c>
      <c r="AK39" s="44">
        <f>HLOOKUP(I39,ElecAvoidedCostsWOCC!$A$5:$Q$50,G39+1,FALSE)*J39*L39</f>
        <v>0</v>
      </c>
      <c r="AL39" s="44">
        <f t="shared" si="34"/>
        <v>34105.593979405305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34105.593979405305</v>
      </c>
      <c r="AN39" s="48">
        <f t="shared" si="35"/>
        <v>37151.477800106957</v>
      </c>
      <c r="AO39" s="47">
        <f t="shared" si="36"/>
        <v>1.3426291438748861</v>
      </c>
      <c r="AP39" s="47">
        <f t="shared" si="37"/>
        <v>2.1184194844617061</v>
      </c>
      <c r="AQ39">
        <v>2020</v>
      </c>
    </row>
    <row r="40" spans="2:43">
      <c r="B40" s="97" t="s">
        <v>15</v>
      </c>
      <c r="C40" s="61">
        <v>18230434</v>
      </c>
      <c r="D40" s="61" t="s">
        <v>51</v>
      </c>
      <c r="E40" s="38" t="s">
        <v>608</v>
      </c>
      <c r="F40" s="39" t="s">
        <v>609</v>
      </c>
      <c r="G40" s="39">
        <v>5</v>
      </c>
      <c r="H40" s="39"/>
      <c r="I40" s="40" t="s">
        <v>264</v>
      </c>
      <c r="J40" s="41">
        <v>803</v>
      </c>
      <c r="K40" s="41">
        <v>411</v>
      </c>
      <c r="L40" s="41"/>
      <c r="M40" s="42">
        <v>120</v>
      </c>
      <c r="N40" s="42">
        <v>120</v>
      </c>
      <c r="O40" s="43">
        <v>330033</v>
      </c>
      <c r="P40" s="44">
        <v>20075</v>
      </c>
      <c r="Q40" s="44">
        <v>96360</v>
      </c>
      <c r="R40" s="45">
        <v>16.579999999999998</v>
      </c>
      <c r="S40" s="46">
        <v>0</v>
      </c>
      <c r="T40" s="39">
        <f t="shared" si="19"/>
        <v>5</v>
      </c>
      <c r="U40" s="47">
        <f t="shared" si="20"/>
        <v>0.54242743602123022</v>
      </c>
      <c r="V40" s="48">
        <f t="shared" si="21"/>
        <v>0</v>
      </c>
      <c r="W40" s="49">
        <f t="shared" si="22"/>
        <v>0.10848548720424604</v>
      </c>
      <c r="X40" s="44">
        <f t="shared" si="23"/>
        <v>59694.52228790622</v>
      </c>
      <c r="Y40" s="44">
        <f t="shared" si="24"/>
        <v>76285</v>
      </c>
      <c r="Z40" s="44">
        <f t="shared" si="25"/>
        <v>230157.62947051442</v>
      </c>
      <c r="AA40" s="50">
        <f t="shared" si="26"/>
        <v>156054.52228790621</v>
      </c>
      <c r="AB40" s="51">
        <f t="shared" si="27"/>
        <v>215160.91378004526</v>
      </c>
      <c r="AC40" s="44">
        <f t="shared" si="28"/>
        <v>145886.25061971226</v>
      </c>
      <c r="AD40" s="44">
        <f t="shared" si="29"/>
        <v>54632.839623143278</v>
      </c>
      <c r="AE40" s="44">
        <f t="shared" si="30"/>
        <v>0</v>
      </c>
      <c r="AF40" s="52">
        <f>HLOOKUP(I40,ElecAvoidedCostsWOCC!$A$5:$Q$50,G40+1,FALSE)</f>
        <v>0.35099237831359642</v>
      </c>
      <c r="AG40" s="44">
        <f t="shared" si="31"/>
        <v>115839.06759197116</v>
      </c>
      <c r="AH40" s="52">
        <f>HLOOKUP(I40,ElecAvoidedCostsWOCC!$A$5:$Q$50,T40+1,FALSE)</f>
        <v>0.35099237831359642</v>
      </c>
      <c r="AI40" s="44">
        <f t="shared" si="32"/>
        <v>0</v>
      </c>
      <c r="AJ40" s="44">
        <f t="shared" si="33"/>
        <v>115839.06759197116</v>
      </c>
      <c r="AK40" s="44">
        <f>HLOOKUP(I40,ElecAvoidedCostsWOCC!$A$5:$Q$50,G40+1,FALSE)*J40*L40</f>
        <v>0</v>
      </c>
      <c r="AL40" s="44">
        <f t="shared" si="34"/>
        <v>115839.06759197116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115839.06759197116</v>
      </c>
      <c r="AN40" s="48">
        <f t="shared" si="35"/>
        <v>182055.81397431158</v>
      </c>
      <c r="AO40" s="47">
        <f t="shared" si="36"/>
        <v>0.53838341526282585</v>
      </c>
      <c r="AP40" s="47">
        <f t="shared" si="37"/>
        <v>1.247929898814687</v>
      </c>
      <c r="AQ40">
        <v>2020</v>
      </c>
    </row>
    <row r="41" spans="2:43">
      <c r="B41" s="97" t="s">
        <v>15</v>
      </c>
      <c r="C41" s="61">
        <v>18230434</v>
      </c>
      <c r="D41" s="61" t="s">
        <v>51</v>
      </c>
      <c r="E41" s="38" t="s">
        <v>611</v>
      </c>
      <c r="F41" s="39" t="s">
        <v>612</v>
      </c>
      <c r="G41" s="39">
        <v>6</v>
      </c>
      <c r="H41" s="39"/>
      <c r="I41" s="40" t="s">
        <v>264</v>
      </c>
      <c r="J41" s="41">
        <v>353</v>
      </c>
      <c r="K41" s="41">
        <v>334</v>
      </c>
      <c r="L41" s="41"/>
      <c r="M41" s="42">
        <v>120</v>
      </c>
      <c r="N41" s="42">
        <v>120</v>
      </c>
      <c r="O41" s="43">
        <v>117902</v>
      </c>
      <c r="P41" s="44">
        <v>8825</v>
      </c>
      <c r="Q41" s="44">
        <v>42360</v>
      </c>
      <c r="R41" s="45">
        <v>15.4</v>
      </c>
      <c r="S41" s="46">
        <v>0</v>
      </c>
      <c r="T41" s="39">
        <f t="shared" si="19"/>
        <v>6</v>
      </c>
      <c r="U41" s="47">
        <f t="shared" si="20"/>
        <v>0.23253412681195548</v>
      </c>
      <c r="V41" s="48">
        <f t="shared" si="21"/>
        <v>0</v>
      </c>
      <c r="W41" s="49">
        <f t="shared" si="22"/>
        <v>3.875568780199258E-2</v>
      </c>
      <c r="X41" s="44">
        <f t="shared" si="23"/>
        <v>21325.454020624358</v>
      </c>
      <c r="Y41" s="44">
        <f t="shared" si="24"/>
        <v>33535</v>
      </c>
      <c r="Z41" s="44">
        <f t="shared" si="25"/>
        <v>82222.21665661491</v>
      </c>
      <c r="AA41" s="50">
        <f t="shared" si="26"/>
        <v>63685.454020624355</v>
      </c>
      <c r="AB41" s="51">
        <f t="shared" si="27"/>
        <v>76864.743999826969</v>
      </c>
      <c r="AC41" s="44">
        <f t="shared" si="28"/>
        <v>59535.808189795593</v>
      </c>
      <c r="AD41" s="44">
        <f t="shared" si="29"/>
        <v>25935.878231647803</v>
      </c>
      <c r="AE41" s="44">
        <f t="shared" si="30"/>
        <v>0</v>
      </c>
      <c r="AF41" s="52">
        <f>HLOOKUP(I41,ElecAvoidedCostsWOCC!$A$5:$Q$50,G41+1,FALSE)</f>
        <v>0.42167853068679217</v>
      </c>
      <c r="AG41" s="44">
        <f t="shared" si="31"/>
        <v>49716.742125034172</v>
      </c>
      <c r="AH41" s="52">
        <f>HLOOKUP(I41,ElecAvoidedCostsWOCC!$A$5:$Q$50,T41+1,FALSE)</f>
        <v>0.42167853068679217</v>
      </c>
      <c r="AI41" s="44">
        <f t="shared" si="32"/>
        <v>0</v>
      </c>
      <c r="AJ41" s="44">
        <f t="shared" si="33"/>
        <v>49716.742125034172</v>
      </c>
      <c r="AK41" s="44">
        <f>HLOOKUP(I41,ElecAvoidedCostsWOCC!$A$5:$Q$50,G41+1,FALSE)*J41*L41</f>
        <v>0</v>
      </c>
      <c r="AL41" s="44">
        <f t="shared" si="34"/>
        <v>49716.742125034172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49716.742125034172</v>
      </c>
      <c r="AN41" s="48">
        <f t="shared" si="35"/>
        <v>80624.294569185397</v>
      </c>
      <c r="AO41" s="47">
        <f t="shared" si="36"/>
        <v>0.64680814035035472</v>
      </c>
      <c r="AP41" s="47">
        <f t="shared" si="37"/>
        <v>1.3542151693340809</v>
      </c>
      <c r="AQ41">
        <v>2020</v>
      </c>
    </row>
    <row r="42" spans="2:43">
      <c r="B42" s="97" t="s">
        <v>15</v>
      </c>
      <c r="C42" s="61">
        <v>18230434</v>
      </c>
      <c r="D42" s="61" t="s">
        <v>51</v>
      </c>
      <c r="E42" s="38" t="s">
        <v>1903</v>
      </c>
      <c r="F42" s="39" t="s">
        <v>1904</v>
      </c>
      <c r="G42" s="39">
        <v>14</v>
      </c>
      <c r="H42" s="39"/>
      <c r="I42" s="40" t="s">
        <v>265</v>
      </c>
      <c r="J42" s="41">
        <v>0</v>
      </c>
      <c r="K42" s="41">
        <v>152</v>
      </c>
      <c r="L42" s="41"/>
      <c r="M42" s="42">
        <v>25</v>
      </c>
      <c r="N42" s="42">
        <v>59.53</v>
      </c>
      <c r="O42" s="43">
        <v>0</v>
      </c>
      <c r="P42" s="44">
        <v>0</v>
      </c>
      <c r="Q42" s="44">
        <v>8.5265128291211997E-14</v>
      </c>
      <c r="R42" s="45">
        <v>16.43</v>
      </c>
      <c r="S42" s="46">
        <v>0</v>
      </c>
      <c r="T42" s="39">
        <f t="shared" si="19"/>
        <v>14</v>
      </c>
      <c r="U42" s="47">
        <f t="shared" si="20"/>
        <v>0</v>
      </c>
      <c r="V42" s="48">
        <f t="shared" si="21"/>
        <v>34.53</v>
      </c>
      <c r="W42" s="49">
        <f t="shared" si="22"/>
        <v>0</v>
      </c>
      <c r="X42" s="44">
        <f t="shared" si="23"/>
        <v>0</v>
      </c>
      <c r="Y42" s="44">
        <f t="shared" si="24"/>
        <v>8.5265128291211997E-14</v>
      </c>
      <c r="Z42" s="44">
        <f t="shared" si="25"/>
        <v>0</v>
      </c>
      <c r="AA42" s="50">
        <f t="shared" si="26"/>
        <v>8.5265128291211997E-14</v>
      </c>
      <c r="AB42" s="51">
        <f t="shared" si="27"/>
        <v>0</v>
      </c>
      <c r="AC42" s="44">
        <f t="shared" si="28"/>
        <v>7.9709384211659338E-14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1.0169996824506593</v>
      </c>
      <c r="AG42" s="44">
        <f t="shared" si="31"/>
        <v>0</v>
      </c>
      <c r="AH42" s="52">
        <f>HLOOKUP(I42,ElecAvoidedCostsWOCC!$A$5:$Q$50,T42+1,FALSE)</f>
        <v>1.0169996824506593</v>
      </c>
      <c r="AI42" s="44">
        <f t="shared" si="32"/>
        <v>0</v>
      </c>
      <c r="AJ42" s="44">
        <f t="shared" si="33"/>
        <v>0</v>
      </c>
      <c r="AK42" s="44">
        <f>HLOOKUP(I42,ElecAvoidedCostsWOCC!$A$5:$Q$50,G42+1,FALSE)*J42*L42</f>
        <v>0</v>
      </c>
      <c r="AL42" s="44">
        <f t="shared" si="34"/>
        <v>0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>
        <f t="shared" si="37"/>
        <v>0</v>
      </c>
      <c r="AQ42">
        <v>2020</v>
      </c>
    </row>
    <row r="43" spans="2:43">
      <c r="B43" s="97" t="s">
        <v>15</v>
      </c>
      <c r="C43" s="61">
        <v>18230434</v>
      </c>
      <c r="D43" s="61" t="s">
        <v>51</v>
      </c>
      <c r="E43" s="38" t="s">
        <v>1905</v>
      </c>
      <c r="F43" s="39" t="s">
        <v>1904</v>
      </c>
      <c r="G43" s="39">
        <v>14</v>
      </c>
      <c r="H43" s="39"/>
      <c r="I43" s="40" t="s">
        <v>265</v>
      </c>
      <c r="J43" s="41">
        <v>0</v>
      </c>
      <c r="K43" s="41">
        <v>152</v>
      </c>
      <c r="L43" s="41"/>
      <c r="M43" s="42">
        <v>50</v>
      </c>
      <c r="N43" s="42">
        <v>59.53</v>
      </c>
      <c r="O43" s="43">
        <v>0</v>
      </c>
      <c r="P43" s="44">
        <v>1300</v>
      </c>
      <c r="Q43" s="44">
        <v>8.5265128291211997E-14</v>
      </c>
      <c r="R43" s="45">
        <v>16.43</v>
      </c>
      <c r="S43" s="46">
        <v>0</v>
      </c>
      <c r="T43" s="39">
        <f t="shared" si="19"/>
        <v>14</v>
      </c>
      <c r="U43" s="47">
        <f t="shared" si="20"/>
        <v>0</v>
      </c>
      <c r="V43" s="48">
        <f t="shared" si="21"/>
        <v>9.5300000000000011</v>
      </c>
      <c r="W43" s="49">
        <f t="shared" si="22"/>
        <v>0</v>
      </c>
      <c r="X43" s="44">
        <f t="shared" si="23"/>
        <v>0</v>
      </c>
      <c r="Y43" s="44">
        <f t="shared" si="24"/>
        <v>-1300</v>
      </c>
      <c r="Z43" s="44">
        <f t="shared" si="25"/>
        <v>0</v>
      </c>
      <c r="AA43" s="50">
        <f t="shared" si="26"/>
        <v>8.5265128291211997E-14</v>
      </c>
      <c r="AB43" s="51">
        <f t="shared" si="27"/>
        <v>0</v>
      </c>
      <c r="AC43" s="44">
        <f t="shared" si="28"/>
        <v>7.9709384211659338E-14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1.0169996824506593</v>
      </c>
      <c r="AG43" s="44">
        <f t="shared" si="31"/>
        <v>0</v>
      </c>
      <c r="AH43" s="52">
        <f>HLOOKUP(I43,ElecAvoidedCostsWOCC!$A$5:$Q$50,T43+1,FALSE)</f>
        <v>1.0169996824506593</v>
      </c>
      <c r="AI43" s="44">
        <f t="shared" si="32"/>
        <v>0</v>
      </c>
      <c r="AJ43" s="44">
        <f t="shared" si="33"/>
        <v>0</v>
      </c>
      <c r="AK43" s="44">
        <f>HLOOKUP(I43,ElecAvoidedCostsWOCC!$A$5:$Q$50,G43+1,FALSE)*J43*L43</f>
        <v>0</v>
      </c>
      <c r="AL43" s="44">
        <f t="shared" si="34"/>
        <v>0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>
        <f t="shared" si="37"/>
        <v>0</v>
      </c>
      <c r="AQ43">
        <v>2020</v>
      </c>
    </row>
    <row r="44" spans="2:43">
      <c r="B44" s="97" t="s">
        <v>15</v>
      </c>
      <c r="C44" s="61">
        <v>18230434</v>
      </c>
      <c r="D44" s="61" t="s">
        <v>51</v>
      </c>
      <c r="E44" s="38" t="s">
        <v>1906</v>
      </c>
      <c r="F44" s="39" t="s">
        <v>1907</v>
      </c>
      <c r="G44" s="39">
        <v>14</v>
      </c>
      <c r="H44" s="39"/>
      <c r="I44" s="40" t="s">
        <v>265</v>
      </c>
      <c r="J44" s="41">
        <v>0</v>
      </c>
      <c r="K44" s="41">
        <v>152</v>
      </c>
      <c r="L44" s="41"/>
      <c r="M44" s="42">
        <v>25</v>
      </c>
      <c r="N44" s="42">
        <v>59.53</v>
      </c>
      <c r="O44" s="43">
        <v>0</v>
      </c>
      <c r="P44" s="44">
        <v>0</v>
      </c>
      <c r="Q44" s="44">
        <v>8.5265128291211997E-14</v>
      </c>
      <c r="R44" s="45">
        <v>16.43</v>
      </c>
      <c r="S44" s="46">
        <v>0</v>
      </c>
      <c r="T44" s="39">
        <f t="shared" si="19"/>
        <v>14</v>
      </c>
      <c r="U44" s="47">
        <f t="shared" si="20"/>
        <v>0</v>
      </c>
      <c r="V44" s="48">
        <f t="shared" si="21"/>
        <v>34.53</v>
      </c>
      <c r="W44" s="49">
        <f t="shared" si="22"/>
        <v>0</v>
      </c>
      <c r="X44" s="44">
        <f t="shared" si="23"/>
        <v>0</v>
      </c>
      <c r="Y44" s="44">
        <f t="shared" si="24"/>
        <v>8.5265128291211997E-14</v>
      </c>
      <c r="Z44" s="44">
        <f t="shared" si="25"/>
        <v>0</v>
      </c>
      <c r="AA44" s="50">
        <f t="shared" si="26"/>
        <v>8.5265128291211997E-14</v>
      </c>
      <c r="AB44" s="51">
        <f t="shared" si="27"/>
        <v>0</v>
      </c>
      <c r="AC44" s="44">
        <f t="shared" si="28"/>
        <v>7.9709384211659338E-14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1.0169996824506593</v>
      </c>
      <c r="AG44" s="44">
        <f t="shared" si="31"/>
        <v>0</v>
      </c>
      <c r="AH44" s="52">
        <f>HLOOKUP(I44,ElecAvoidedCostsWOCC!$A$5:$Q$50,T44+1,FALSE)</f>
        <v>1.0169996824506593</v>
      </c>
      <c r="AI44" s="44">
        <f t="shared" si="32"/>
        <v>0</v>
      </c>
      <c r="AJ44" s="44">
        <f t="shared" si="33"/>
        <v>0</v>
      </c>
      <c r="AK44" s="44">
        <f>HLOOKUP(I44,ElecAvoidedCostsWOCC!$A$5:$Q$50,G44+1,FALSE)*J44*L44</f>
        <v>0</v>
      </c>
      <c r="AL44" s="44">
        <f t="shared" si="34"/>
        <v>0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>
        <f t="shared" si="37"/>
        <v>0</v>
      </c>
      <c r="AQ44">
        <v>2020</v>
      </c>
    </row>
    <row r="45" spans="2:43">
      <c r="B45" s="97" t="s">
        <v>15</v>
      </c>
      <c r="C45" s="61">
        <v>18230434</v>
      </c>
      <c r="D45" s="61" t="s">
        <v>51</v>
      </c>
      <c r="E45" s="38" t="s">
        <v>1908</v>
      </c>
      <c r="F45" s="39" t="s">
        <v>1907</v>
      </c>
      <c r="G45" s="39">
        <v>14</v>
      </c>
      <c r="H45" s="39"/>
      <c r="I45" s="40" t="s">
        <v>265</v>
      </c>
      <c r="J45" s="41">
        <v>0</v>
      </c>
      <c r="K45" s="41">
        <v>152</v>
      </c>
      <c r="L45" s="41"/>
      <c r="M45" s="42">
        <v>50</v>
      </c>
      <c r="N45" s="42">
        <v>59.53</v>
      </c>
      <c r="O45" s="43">
        <v>0</v>
      </c>
      <c r="P45" s="44">
        <v>1025</v>
      </c>
      <c r="Q45" s="44">
        <v>8.5265128291211997E-14</v>
      </c>
      <c r="R45" s="45">
        <v>16.43</v>
      </c>
      <c r="S45" s="46">
        <v>0</v>
      </c>
      <c r="T45" s="39">
        <f t="shared" si="19"/>
        <v>14</v>
      </c>
      <c r="U45" s="47">
        <f t="shared" si="20"/>
        <v>0</v>
      </c>
      <c r="V45" s="48">
        <f t="shared" si="21"/>
        <v>9.5300000000000011</v>
      </c>
      <c r="W45" s="49">
        <f t="shared" si="22"/>
        <v>0</v>
      </c>
      <c r="X45" s="44">
        <f t="shared" si="23"/>
        <v>0</v>
      </c>
      <c r="Y45" s="44">
        <f t="shared" si="24"/>
        <v>-1025</v>
      </c>
      <c r="Z45" s="44">
        <f t="shared" si="25"/>
        <v>0</v>
      </c>
      <c r="AA45" s="50">
        <f t="shared" si="26"/>
        <v>8.5265128291211997E-14</v>
      </c>
      <c r="AB45" s="51">
        <f t="shared" si="27"/>
        <v>0</v>
      </c>
      <c r="AC45" s="44">
        <f t="shared" si="28"/>
        <v>7.9709384211659338E-14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1.0169996824506593</v>
      </c>
      <c r="AG45" s="44">
        <f t="shared" si="31"/>
        <v>0</v>
      </c>
      <c r="AH45" s="52">
        <f>HLOOKUP(I45,ElecAvoidedCostsWOCC!$A$5:$Q$50,T45+1,FALSE)</f>
        <v>1.0169996824506593</v>
      </c>
      <c r="AI45" s="44">
        <f t="shared" si="32"/>
        <v>0</v>
      </c>
      <c r="AJ45" s="44">
        <f t="shared" si="33"/>
        <v>0</v>
      </c>
      <c r="AK45" s="44">
        <f>HLOOKUP(I45,ElecAvoidedCostsWOCC!$A$5:$Q$50,G45+1,FALSE)*J45*L45</f>
        <v>0</v>
      </c>
      <c r="AL45" s="44">
        <f t="shared" si="34"/>
        <v>0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>
        <f t="shared" si="37"/>
        <v>0</v>
      </c>
      <c r="AQ45">
        <v>2020</v>
      </c>
    </row>
    <row r="46" spans="2:43">
      <c r="B46" s="97" t="s">
        <v>15</v>
      </c>
      <c r="C46" s="61">
        <v>18230434</v>
      </c>
      <c r="D46" s="61" t="s">
        <v>51</v>
      </c>
      <c r="E46" s="38" t="s">
        <v>1860</v>
      </c>
      <c r="F46" s="39" t="s">
        <v>1861</v>
      </c>
      <c r="G46" s="39">
        <v>12</v>
      </c>
      <c r="H46" s="39"/>
      <c r="I46" s="40" t="s">
        <v>248</v>
      </c>
      <c r="J46" s="41">
        <v>1870</v>
      </c>
      <c r="K46" s="41">
        <v>11.32</v>
      </c>
      <c r="L46" s="41"/>
      <c r="M46" s="42">
        <v>2</v>
      </c>
      <c r="N46" s="42">
        <v>2</v>
      </c>
      <c r="O46" s="43">
        <v>21168.3999999997</v>
      </c>
      <c r="P46" s="44">
        <v>7049.8999999999696</v>
      </c>
      <c r="Q46" s="44">
        <v>3740</v>
      </c>
      <c r="R46" s="45">
        <v>0</v>
      </c>
      <c r="S46" s="46">
        <v>0</v>
      </c>
      <c r="T46" s="39">
        <f t="shared" si="19"/>
        <v>12</v>
      </c>
      <c r="U46" s="47">
        <f t="shared" si="20"/>
        <v>8.3499438686470598E-2</v>
      </c>
      <c r="V46" s="48">
        <f t="shared" si="21"/>
        <v>0</v>
      </c>
      <c r="W46" s="49">
        <f t="shared" si="22"/>
        <v>6.9582865572058832E-3</v>
      </c>
      <c r="X46" s="44">
        <f t="shared" si="23"/>
        <v>3828.8217408540845</v>
      </c>
      <c r="Y46" s="44">
        <f t="shared" si="24"/>
        <v>-3309.8999999999696</v>
      </c>
      <c r="Z46" s="44">
        <f t="shared" si="25"/>
        <v>14762.368501584895</v>
      </c>
      <c r="AA46" s="50">
        <f t="shared" si="26"/>
        <v>7568.8217408540841</v>
      </c>
      <c r="AB46" s="51">
        <f t="shared" si="27"/>
        <v>13800.475368406931</v>
      </c>
      <c r="AC46" s="44">
        <f t="shared" si="28"/>
        <v>7075.6490051921883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0.91115730059915656</v>
      </c>
      <c r="AG46" s="44">
        <f t="shared" si="31"/>
        <v>19287.742202003185</v>
      </c>
      <c r="AH46" s="52">
        <f>HLOOKUP(I46,ElecAvoidedCostsWOCC!$A$5:$Q$50,T46+1,FALSE)</f>
        <v>0.91115730059915656</v>
      </c>
      <c r="AI46" s="44">
        <f t="shared" si="32"/>
        <v>0</v>
      </c>
      <c r="AJ46" s="44">
        <f t="shared" si="33"/>
        <v>19287.742202003185</v>
      </c>
      <c r="AK46" s="44">
        <f>HLOOKUP(I46,ElecAvoidedCostsWOCC!$A$5:$Q$50,G46+1,FALSE)*J46*L46</f>
        <v>0</v>
      </c>
      <c r="AL46" s="44">
        <f t="shared" si="34"/>
        <v>19287.742202003185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19287.742202003185</v>
      </c>
      <c r="AN46" s="48">
        <f t="shared" si="35"/>
        <v>21216.516422203505</v>
      </c>
      <c r="AO46" s="47">
        <f t="shared" si="36"/>
        <v>1.3976143348045902</v>
      </c>
      <c r="AP46" s="47">
        <f t="shared" si="37"/>
        <v>2.9985258464113462</v>
      </c>
      <c r="AQ46">
        <v>2020</v>
      </c>
    </row>
    <row r="47" spans="2:43">
      <c r="B47" s="97" t="s">
        <v>15</v>
      </c>
      <c r="C47" s="61">
        <v>18230434</v>
      </c>
      <c r="D47" s="61" t="s">
        <v>51</v>
      </c>
      <c r="E47" s="38" t="s">
        <v>1873</v>
      </c>
      <c r="F47" s="39" t="s">
        <v>1874</v>
      </c>
      <c r="G47" s="39">
        <v>10</v>
      </c>
      <c r="H47" s="39"/>
      <c r="I47" s="40" t="s">
        <v>265</v>
      </c>
      <c r="J47" s="41">
        <v>1102</v>
      </c>
      <c r="K47" s="41">
        <v>10</v>
      </c>
      <c r="L47" s="41"/>
      <c r="M47" s="42">
        <v>1.27</v>
      </c>
      <c r="N47" s="42">
        <v>1.27</v>
      </c>
      <c r="O47" s="43">
        <v>11020</v>
      </c>
      <c r="P47" s="44">
        <v>1102</v>
      </c>
      <c r="Q47" s="44">
        <v>1399.53999999999</v>
      </c>
      <c r="R47" s="45">
        <v>2.74</v>
      </c>
      <c r="S47" s="46">
        <v>0</v>
      </c>
      <c r="T47" s="39">
        <f t="shared" si="19"/>
        <v>10</v>
      </c>
      <c r="U47" s="47">
        <f t="shared" si="20"/>
        <v>3.6223955452660536E-2</v>
      </c>
      <c r="V47" s="48">
        <f t="shared" si="21"/>
        <v>0</v>
      </c>
      <c r="W47" s="49">
        <f t="shared" si="22"/>
        <v>3.6223955452660533E-3</v>
      </c>
      <c r="X47" s="44">
        <f t="shared" si="23"/>
        <v>1993.2359358389208</v>
      </c>
      <c r="Y47" s="44">
        <f t="shared" si="24"/>
        <v>297.53999999998996</v>
      </c>
      <c r="Z47" s="44">
        <f t="shared" si="25"/>
        <v>7685.1014194491727</v>
      </c>
      <c r="AA47" s="50">
        <f t="shared" si="26"/>
        <v>3392.7759358389108</v>
      </c>
      <c r="AB47" s="51">
        <f t="shared" si="27"/>
        <v>7184.3520795074992</v>
      </c>
      <c r="AC47" s="44">
        <f t="shared" si="28"/>
        <v>3171.7078955210904</v>
      </c>
      <c r="AD47" s="44">
        <f t="shared" si="29"/>
        <v>21237.004819988408</v>
      </c>
      <c r="AE47" s="44">
        <f t="shared" si="30"/>
        <v>0</v>
      </c>
      <c r="AF47" s="52">
        <f>HLOOKUP(I47,ElecAvoidedCostsWOCC!$A$5:$Q$50,G47+1,FALSE)</f>
        <v>0.74487332198138856</v>
      </c>
      <c r="AG47" s="44">
        <f t="shared" si="31"/>
        <v>8208.5040082349024</v>
      </c>
      <c r="AH47" s="52">
        <f>HLOOKUP(I47,ElecAvoidedCostsWOCC!$A$5:$Q$50,T47+1,FALSE)</f>
        <v>0.74487332198138856</v>
      </c>
      <c r="AI47" s="44">
        <f t="shared" si="32"/>
        <v>0</v>
      </c>
      <c r="AJ47" s="44">
        <f t="shared" si="33"/>
        <v>8208.5040082349024</v>
      </c>
      <c r="AK47" s="44">
        <f>HLOOKUP(I47,ElecAvoidedCostsWOCC!$A$5:$Q$50,G47+1,FALSE)*J47*L47</f>
        <v>0</v>
      </c>
      <c r="AL47" s="44">
        <f t="shared" si="34"/>
        <v>8208.5040082349024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8208.5040082349005</v>
      </c>
      <c r="AN47" s="48">
        <f t="shared" si="35"/>
        <v>30266.3592290468</v>
      </c>
      <c r="AO47" s="47">
        <f t="shared" si="36"/>
        <v>1.1425531373453526</v>
      </c>
      <c r="AP47" s="47">
        <f t="shared" si="37"/>
        <v>9.5426061371500417</v>
      </c>
      <c r="AQ47">
        <v>2020</v>
      </c>
    </row>
    <row r="48" spans="2:43">
      <c r="B48" s="97" t="s">
        <v>15</v>
      </c>
      <c r="C48" s="61">
        <v>18230434</v>
      </c>
      <c r="D48" s="61" t="s">
        <v>51</v>
      </c>
      <c r="E48" s="38" t="s">
        <v>1875</v>
      </c>
      <c r="F48" s="39" t="s">
        <v>1876</v>
      </c>
      <c r="G48" s="39">
        <v>10</v>
      </c>
      <c r="H48" s="39"/>
      <c r="I48" s="40" t="s">
        <v>265</v>
      </c>
      <c r="J48" s="41">
        <v>768</v>
      </c>
      <c r="K48" s="41">
        <v>12</v>
      </c>
      <c r="L48" s="41"/>
      <c r="M48" s="42">
        <v>1.81</v>
      </c>
      <c r="N48" s="42">
        <v>1.81</v>
      </c>
      <c r="O48" s="43">
        <v>9216</v>
      </c>
      <c r="P48" s="44">
        <v>768</v>
      </c>
      <c r="Q48" s="44">
        <v>1390.0799999999899</v>
      </c>
      <c r="R48" s="45">
        <v>2.74</v>
      </c>
      <c r="S48" s="46">
        <v>0</v>
      </c>
      <c r="T48" s="39">
        <f t="shared" si="19"/>
        <v>10</v>
      </c>
      <c r="U48" s="47">
        <f t="shared" si="20"/>
        <v>3.0294008480192328E-2</v>
      </c>
      <c r="V48" s="48">
        <f t="shared" si="21"/>
        <v>0</v>
      </c>
      <c r="W48" s="49">
        <f t="shared" si="22"/>
        <v>3.0294008480192328E-3</v>
      </c>
      <c r="X48" s="44">
        <f t="shared" si="23"/>
        <v>1666.9385104075764</v>
      </c>
      <c r="Y48" s="44">
        <f t="shared" si="24"/>
        <v>622.07999999998992</v>
      </c>
      <c r="Z48" s="44">
        <f t="shared" si="25"/>
        <v>6427.0321852671113</v>
      </c>
      <c r="AA48" s="50">
        <f t="shared" si="26"/>
        <v>3057.0185104075663</v>
      </c>
      <c r="AB48" s="51">
        <f t="shared" si="27"/>
        <v>6008.2566937151641</v>
      </c>
      <c r="AC48" s="44">
        <f t="shared" si="28"/>
        <v>2857.8279054011086</v>
      </c>
      <c r="AD48" s="44">
        <f t="shared" si="29"/>
        <v>14800.380854583575</v>
      </c>
      <c r="AE48" s="44">
        <f t="shared" si="30"/>
        <v>0</v>
      </c>
      <c r="AF48" s="52">
        <f>HLOOKUP(I48,ElecAvoidedCostsWOCC!$A$5:$Q$50,G48+1,FALSE)</f>
        <v>0.74487332198138856</v>
      </c>
      <c r="AG48" s="44">
        <f t="shared" si="31"/>
        <v>6864.7525353804776</v>
      </c>
      <c r="AH48" s="52">
        <f>HLOOKUP(I48,ElecAvoidedCostsWOCC!$A$5:$Q$50,T48+1,FALSE)</f>
        <v>0.74487332198138856</v>
      </c>
      <c r="AI48" s="44">
        <f t="shared" si="32"/>
        <v>0</v>
      </c>
      <c r="AJ48" s="44">
        <f t="shared" si="33"/>
        <v>6864.7525353804776</v>
      </c>
      <c r="AK48" s="44">
        <f>HLOOKUP(I48,ElecAvoidedCostsWOCC!$A$5:$Q$50,G48+1,FALSE)*J48*L48</f>
        <v>0</v>
      </c>
      <c r="AL48" s="44">
        <f t="shared" si="34"/>
        <v>6864.7525353804776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6864.7525353804776</v>
      </c>
      <c r="AN48" s="48">
        <f t="shared" si="35"/>
        <v>22351.608643502099</v>
      </c>
      <c r="AO48" s="47">
        <f t="shared" si="36"/>
        <v>1.1425531373453528</v>
      </c>
      <c r="AP48" s="47">
        <f t="shared" si="37"/>
        <v>7.8211877633565736</v>
      </c>
      <c r="AQ48">
        <v>2020</v>
      </c>
    </row>
    <row r="49" spans="2:43">
      <c r="B49" s="97" t="s">
        <v>15</v>
      </c>
      <c r="C49" s="61">
        <v>18230434</v>
      </c>
      <c r="D49" s="61" t="s">
        <v>51</v>
      </c>
      <c r="E49" s="38" t="s">
        <v>614</v>
      </c>
      <c r="F49" s="39" t="s">
        <v>615</v>
      </c>
      <c r="G49" s="39">
        <v>14</v>
      </c>
      <c r="H49" s="39"/>
      <c r="I49" s="40" t="s">
        <v>265</v>
      </c>
      <c r="J49" s="41">
        <v>411</v>
      </c>
      <c r="K49" s="41">
        <v>142</v>
      </c>
      <c r="L49" s="41"/>
      <c r="M49" s="42">
        <v>25</v>
      </c>
      <c r="N49" s="42">
        <v>65.56</v>
      </c>
      <c r="O49" s="43">
        <v>58362</v>
      </c>
      <c r="P49" s="44">
        <v>10275</v>
      </c>
      <c r="Q49" s="44">
        <v>26945.1600000002</v>
      </c>
      <c r="R49" s="45">
        <v>17.059999999999999</v>
      </c>
      <c r="S49" s="46">
        <v>0</v>
      </c>
      <c r="T49" s="39">
        <f t="shared" si="19"/>
        <v>14</v>
      </c>
      <c r="U49" s="47">
        <f t="shared" si="20"/>
        <v>0.26857926346455935</v>
      </c>
      <c r="V49" s="48">
        <f t="shared" si="21"/>
        <v>40.56</v>
      </c>
      <c r="W49" s="49">
        <f t="shared" si="22"/>
        <v>1.9184233104611381E-2</v>
      </c>
      <c r="X49" s="44">
        <f t="shared" si="23"/>
        <v>10556.191986155272</v>
      </c>
      <c r="Y49" s="44">
        <f t="shared" si="24"/>
        <v>16670.1600000002</v>
      </c>
      <c r="Z49" s="44">
        <f t="shared" si="25"/>
        <v>40700.35290761276</v>
      </c>
      <c r="AA49" s="50">
        <f t="shared" si="26"/>
        <v>37501.351986155474</v>
      </c>
      <c r="AB49" s="51">
        <f t="shared" si="27"/>
        <v>38048.380768077739</v>
      </c>
      <c r="AC49" s="44">
        <f t="shared" si="28"/>
        <v>35057.821806259206</v>
      </c>
      <c r="AD49" s="44">
        <f t="shared" si="29"/>
        <v>61430.720558746551</v>
      </c>
      <c r="AE49" s="44">
        <f t="shared" si="30"/>
        <v>0</v>
      </c>
      <c r="AF49" s="52">
        <f>HLOOKUP(I49,ElecAvoidedCostsWOCC!$A$5:$Q$50,G49+1,FALSE)</f>
        <v>1.0169996824506593</v>
      </c>
      <c r="AG49" s="44">
        <f t="shared" si="31"/>
        <v>59354.135467185377</v>
      </c>
      <c r="AH49" s="52">
        <f>HLOOKUP(I49,ElecAvoidedCostsWOCC!$A$5:$Q$50,T49+1,FALSE)</f>
        <v>1.0169996824506593</v>
      </c>
      <c r="AI49" s="44">
        <f t="shared" si="32"/>
        <v>0</v>
      </c>
      <c r="AJ49" s="44">
        <f t="shared" si="33"/>
        <v>59354.135467185377</v>
      </c>
      <c r="AK49" s="44">
        <f>HLOOKUP(I49,ElecAvoidedCostsWOCC!$A$5:$Q$50,G49+1,FALSE)*J49*L49</f>
        <v>0</v>
      </c>
      <c r="AL49" s="44">
        <f t="shared" si="34"/>
        <v>59354.135467185377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59354.135467185384</v>
      </c>
      <c r="AN49" s="48">
        <f t="shared" si="35"/>
        <v>126720.26957265048</v>
      </c>
      <c r="AO49" s="47">
        <f t="shared" si="36"/>
        <v>1.559964820289619</v>
      </c>
      <c r="AP49" s="47">
        <f t="shared" si="37"/>
        <v>3.6146076123310635</v>
      </c>
      <c r="AQ49">
        <v>2020</v>
      </c>
    </row>
    <row r="50" spans="2:43">
      <c r="B50" s="97" t="s">
        <v>15</v>
      </c>
      <c r="C50" s="61">
        <v>18230434</v>
      </c>
      <c r="D50" s="61" t="s">
        <v>51</v>
      </c>
      <c r="E50" s="38" t="s">
        <v>616</v>
      </c>
      <c r="F50" s="39" t="s">
        <v>615</v>
      </c>
      <c r="G50" s="39">
        <v>14</v>
      </c>
      <c r="H50" s="39"/>
      <c r="I50" s="40" t="s">
        <v>265</v>
      </c>
      <c r="J50" s="41">
        <v>1775</v>
      </c>
      <c r="K50" s="41">
        <v>142</v>
      </c>
      <c r="L50" s="41"/>
      <c r="M50" s="42">
        <v>50</v>
      </c>
      <c r="N50" s="42">
        <v>65.56</v>
      </c>
      <c r="O50" s="43">
        <v>252050</v>
      </c>
      <c r="P50" s="44">
        <v>91775</v>
      </c>
      <c r="Q50" s="44">
        <v>116362.969999997</v>
      </c>
      <c r="R50" s="45">
        <v>17.059999999999999</v>
      </c>
      <c r="S50" s="46">
        <v>0</v>
      </c>
      <c r="T50" s="39">
        <f t="shared" si="19"/>
        <v>14</v>
      </c>
      <c r="U50" s="47">
        <f t="shared" si="20"/>
        <v>1.159922609853024</v>
      </c>
      <c r="V50" s="48">
        <f t="shared" si="21"/>
        <v>15.560000000000002</v>
      </c>
      <c r="W50" s="49">
        <f t="shared" si="22"/>
        <v>8.2851614989501707E-2</v>
      </c>
      <c r="X50" s="44">
        <f t="shared" si="23"/>
        <v>45589.393614174231</v>
      </c>
      <c r="Y50" s="44">
        <f t="shared" si="24"/>
        <v>24587.969999997003</v>
      </c>
      <c r="Z50" s="44">
        <f t="shared" si="25"/>
        <v>175774.03019711107</v>
      </c>
      <c r="AA50" s="50">
        <f t="shared" si="26"/>
        <v>161952.36361417122</v>
      </c>
      <c r="AB50" s="51">
        <f t="shared" si="27"/>
        <v>164320.86584753767</v>
      </c>
      <c r="AC50" s="44">
        <f t="shared" si="28"/>
        <v>151399.79771353764</v>
      </c>
      <c r="AD50" s="44">
        <f t="shared" si="29"/>
        <v>265302.99024762807</v>
      </c>
      <c r="AE50" s="44">
        <f t="shared" si="30"/>
        <v>0</v>
      </c>
      <c r="AF50" s="52">
        <f>HLOOKUP(I50,ElecAvoidedCostsWOCC!$A$5:$Q$50,G50+1,FALSE)</f>
        <v>1.0169996824506593</v>
      </c>
      <c r="AG50" s="44">
        <f t="shared" si="31"/>
        <v>256334.7699616887</v>
      </c>
      <c r="AH50" s="52">
        <f>HLOOKUP(I50,ElecAvoidedCostsWOCC!$A$5:$Q$50,T50+1,FALSE)</f>
        <v>1.0169996824506593</v>
      </c>
      <c r="AI50" s="44">
        <f t="shared" si="32"/>
        <v>0</v>
      </c>
      <c r="AJ50" s="44">
        <f t="shared" si="33"/>
        <v>256334.7699616887</v>
      </c>
      <c r="AK50" s="44">
        <f>HLOOKUP(I50,ElecAvoidedCostsWOCC!$A$5:$Q$50,G50+1,FALSE)*J50*L50</f>
        <v>0</v>
      </c>
      <c r="AL50" s="44">
        <f t="shared" si="34"/>
        <v>256334.7699616887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256334.7699616887</v>
      </c>
      <c r="AN50" s="48">
        <f t="shared" si="35"/>
        <v>547271.23720548558</v>
      </c>
      <c r="AO50" s="47">
        <f t="shared" si="36"/>
        <v>1.559964820289619</v>
      </c>
      <c r="AP50" s="47">
        <f t="shared" si="37"/>
        <v>3.6147421956333994</v>
      </c>
      <c r="AQ50">
        <v>2020</v>
      </c>
    </row>
    <row r="51" spans="2:43">
      <c r="B51" s="97" t="s">
        <v>15</v>
      </c>
      <c r="C51" s="61">
        <v>18230434</v>
      </c>
      <c r="D51" s="61" t="s">
        <v>51</v>
      </c>
      <c r="E51" s="38" t="s">
        <v>1909</v>
      </c>
      <c r="F51" s="39" t="s">
        <v>618</v>
      </c>
      <c r="G51" s="39">
        <v>14</v>
      </c>
      <c r="H51" s="39"/>
      <c r="I51" s="40" t="s">
        <v>265</v>
      </c>
      <c r="J51" s="41">
        <v>286</v>
      </c>
      <c r="K51" s="41">
        <v>142</v>
      </c>
      <c r="L51" s="41"/>
      <c r="M51" s="42">
        <v>25</v>
      </c>
      <c r="N51" s="42">
        <v>65.56</v>
      </c>
      <c r="O51" s="43">
        <v>40612</v>
      </c>
      <c r="P51" s="44">
        <v>7150</v>
      </c>
      <c r="Q51" s="44">
        <v>18750.16</v>
      </c>
      <c r="R51" s="45">
        <v>17.059999999999999</v>
      </c>
      <c r="S51" s="46">
        <v>0</v>
      </c>
      <c r="T51" s="39">
        <f t="shared" ref="T51:T57" si="38">G51+H51</f>
        <v>14</v>
      </c>
      <c r="U51" s="47">
        <f t="shared" ref="U51:U57" si="39">(O51/$A$10)*T51</f>
        <v>0.18689457262983933</v>
      </c>
      <c r="V51" s="48">
        <f t="shared" ref="V51:V57" si="40">N51-M51</f>
        <v>40.56</v>
      </c>
      <c r="W51" s="49">
        <f t="shared" ref="W51:W57" si="41">(O51/A$10)</f>
        <v>1.3349612330702809E-2</v>
      </c>
      <c r="X51" s="44">
        <f t="shared" ref="X51:X57" si="42">W51*A$8</f>
        <v>7345.6713091007487</v>
      </c>
      <c r="Y51" s="44">
        <f t="shared" ref="Y51:Y57" si="43">Q51-P51</f>
        <v>11600.16</v>
      </c>
      <c r="Z51" s="44">
        <f t="shared" ref="Z51:Z57" si="44">X51+(A$6*W51)</f>
        <v>28321.900076830287</v>
      </c>
      <c r="AA51" s="50">
        <f t="shared" ref="AA51:AA57" si="45">Q51+X51</f>
        <v>26095.831309100748</v>
      </c>
      <c r="AB51" s="51">
        <f t="shared" ref="AB51:AB57" si="46">Z51/(1+ElecDiscountRate)^1</f>
        <v>26476.488806983532</v>
      </c>
      <c r="AC51" s="44">
        <f t="shared" ref="AC51:AC57" si="47">AA51/(1+ElecDiscountRate)^1</f>
        <v>24395.467242311624</v>
      </c>
      <c r="AD51" s="44">
        <f t="shared" ref="AD51:AD57" si="48">-PV(ElecDiscountRate,T51,R51)*J51</f>
        <v>42747.411386378379</v>
      </c>
      <c r="AE51" s="44">
        <f t="shared" ref="AE51:AE57" si="49">-PV(ElecDiscountRate,T51,S51)*J51</f>
        <v>0</v>
      </c>
      <c r="AF51" s="52">
        <f>HLOOKUP(I51,ElecAvoidedCostsWOCC!$A$5:$Q$50,G51+1,FALSE)</f>
        <v>1.0169996824506593</v>
      </c>
      <c r="AG51" s="44">
        <f t="shared" ref="AG51:AG57" si="50">AF51*J51*K51</f>
        <v>41302.391103686175</v>
      </c>
      <c r="AH51" s="52">
        <f>HLOOKUP(I51,ElecAvoidedCostsWOCC!$A$5:$Q$50,T51+1,FALSE)</f>
        <v>1.0169996824506593</v>
      </c>
      <c r="AI51" s="44">
        <f t="shared" ref="AI51:AI57" si="51">AH51*J51*L51</f>
        <v>0</v>
      </c>
      <c r="AJ51" s="44">
        <f t="shared" ref="AJ51:AJ57" si="52">AG51+AI51</f>
        <v>41302.391103686175</v>
      </c>
      <c r="AK51" s="44">
        <f>HLOOKUP(I51,ElecAvoidedCostsWOCC!$A$5:$Q$50,G51+1,FALSE)*J51*L51</f>
        <v>0</v>
      </c>
      <c r="AL51" s="44">
        <f t="shared" ref="AL51:AL57" si="53">AG51+AI51-AK51</f>
        <v>41302.391103686175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41302.391103686175</v>
      </c>
      <c r="AN51" s="48">
        <f t="shared" ref="AN51:AN57" si="54">AM51*1.1+AD51+AE51</f>
        <v>88180.041600433178</v>
      </c>
      <c r="AO51" s="47">
        <f t="shared" ref="AO51:AO57" si="55">IFERROR(AM51/AB51,0)</f>
        <v>1.559964820289619</v>
      </c>
      <c r="AP51" s="47">
        <f t="shared" ref="AP51:AP57" si="56">AN51/AC51</f>
        <v>3.6146076123310835</v>
      </c>
      <c r="AQ51">
        <v>2020</v>
      </c>
    </row>
    <row r="52" spans="2:43">
      <c r="B52" s="97" t="s">
        <v>15</v>
      </c>
      <c r="C52" s="61">
        <v>18230434</v>
      </c>
      <c r="D52" s="61" t="s">
        <v>51</v>
      </c>
      <c r="E52" s="38" t="s">
        <v>617</v>
      </c>
      <c r="F52" s="39" t="s">
        <v>618</v>
      </c>
      <c r="G52" s="39">
        <v>14</v>
      </c>
      <c r="H52" s="39"/>
      <c r="I52" s="40" t="s">
        <v>265</v>
      </c>
      <c r="J52" s="41">
        <v>1378</v>
      </c>
      <c r="K52" s="41">
        <v>142</v>
      </c>
      <c r="L52" s="41"/>
      <c r="M52" s="42">
        <v>50</v>
      </c>
      <c r="N52" s="42">
        <v>65.56</v>
      </c>
      <c r="O52" s="43">
        <v>195676</v>
      </c>
      <c r="P52" s="44">
        <v>70575</v>
      </c>
      <c r="Q52" s="44">
        <v>90341.679999998203</v>
      </c>
      <c r="R52" s="45">
        <v>17.059999999999999</v>
      </c>
      <c r="S52" s="46">
        <v>0</v>
      </c>
      <c r="T52" s="39">
        <f t="shared" si="38"/>
        <v>14</v>
      </c>
      <c r="U52" s="47">
        <f t="shared" si="39"/>
        <v>0.90049203176195314</v>
      </c>
      <c r="V52" s="48">
        <f t="shared" si="40"/>
        <v>15.560000000000002</v>
      </c>
      <c r="W52" s="49">
        <f t="shared" si="41"/>
        <v>6.4320859411568079E-2</v>
      </c>
      <c r="X52" s="44">
        <f t="shared" si="42"/>
        <v>35392.779943849062</v>
      </c>
      <c r="Y52" s="44">
        <f t="shared" si="43"/>
        <v>19766.679999998203</v>
      </c>
      <c r="Z52" s="44">
        <f t="shared" si="44"/>
        <v>136460.06400654593</v>
      </c>
      <c r="AA52" s="50">
        <f t="shared" si="45"/>
        <v>125734.45994384727</v>
      </c>
      <c r="AB52" s="51">
        <f t="shared" si="46"/>
        <v>127568.53697910247</v>
      </c>
      <c r="AC52" s="44">
        <f t="shared" si="47"/>
        <v>117541.79671295434</v>
      </c>
      <c r="AD52" s="44">
        <f t="shared" si="48"/>
        <v>205964.80031618674</v>
      </c>
      <c r="AE52" s="44">
        <f t="shared" si="49"/>
        <v>0</v>
      </c>
      <c r="AF52" s="52">
        <f>HLOOKUP(I52,ElecAvoidedCostsWOCC!$A$5:$Q$50,G52+1,FALSE)</f>
        <v>1.0169996824506593</v>
      </c>
      <c r="AG52" s="44">
        <f t="shared" si="50"/>
        <v>199002.42986321519</v>
      </c>
      <c r="AH52" s="52">
        <f>HLOOKUP(I52,ElecAvoidedCostsWOCC!$A$5:$Q$50,T52+1,FALSE)</f>
        <v>1.0169996824506593</v>
      </c>
      <c r="AI52" s="44">
        <f t="shared" si="51"/>
        <v>0</v>
      </c>
      <c r="AJ52" s="44">
        <f t="shared" si="52"/>
        <v>199002.42986321519</v>
      </c>
      <c r="AK52" s="44">
        <f>HLOOKUP(I52,ElecAvoidedCostsWOCC!$A$5:$Q$50,G52+1,FALSE)*J52*L52</f>
        <v>0</v>
      </c>
      <c r="AL52" s="44">
        <f t="shared" si="53"/>
        <v>199002.42986321519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199002.42986321522</v>
      </c>
      <c r="AN52" s="48">
        <f t="shared" si="54"/>
        <v>424867.4731657235</v>
      </c>
      <c r="AO52" s="47">
        <f t="shared" si="55"/>
        <v>1.5599648202896192</v>
      </c>
      <c r="AP52" s="47">
        <f t="shared" si="56"/>
        <v>3.6146076123311346</v>
      </c>
      <c r="AQ52">
        <v>2020</v>
      </c>
    </row>
    <row r="53" spans="2:43">
      <c r="B53" s="97" t="s">
        <v>15</v>
      </c>
      <c r="C53" s="61">
        <v>18230434</v>
      </c>
      <c r="D53" s="61" t="s">
        <v>51</v>
      </c>
      <c r="E53" s="38" t="s">
        <v>619</v>
      </c>
      <c r="F53" s="39" t="s">
        <v>620</v>
      </c>
      <c r="G53" s="39"/>
      <c r="H53" s="39"/>
      <c r="I53" s="40" t="s">
        <v>265</v>
      </c>
      <c r="J53" s="41">
        <v>1</v>
      </c>
      <c r="K53" s="41">
        <v>0</v>
      </c>
      <c r="L53" s="41"/>
      <c r="M53" s="42">
        <v>0</v>
      </c>
      <c r="N53" s="42">
        <v>0</v>
      </c>
      <c r="O53" s="43">
        <v>0</v>
      </c>
      <c r="P53" s="44">
        <v>50</v>
      </c>
      <c r="Q53" s="44">
        <v>0</v>
      </c>
      <c r="R53" s="45">
        <v>0</v>
      </c>
      <c r="S53" s="46">
        <v>0</v>
      </c>
      <c r="T53" s="39">
        <f t="shared" si="38"/>
        <v>0</v>
      </c>
      <c r="U53" s="47">
        <f t="shared" si="39"/>
        <v>0</v>
      </c>
      <c r="V53" s="48">
        <f t="shared" si="40"/>
        <v>0</v>
      </c>
      <c r="W53" s="49">
        <f t="shared" si="41"/>
        <v>0</v>
      </c>
      <c r="X53" s="44">
        <f t="shared" si="42"/>
        <v>0</v>
      </c>
      <c r="Y53" s="44">
        <f t="shared" si="43"/>
        <v>-50</v>
      </c>
      <c r="Z53" s="44">
        <f t="shared" si="44"/>
        <v>0</v>
      </c>
      <c r="AA53" s="50">
        <f t="shared" si="45"/>
        <v>0</v>
      </c>
      <c r="AB53" s="51">
        <f t="shared" si="46"/>
        <v>0</v>
      </c>
      <c r="AC53" s="44">
        <f t="shared" si="47"/>
        <v>0</v>
      </c>
      <c r="AD53" s="44">
        <f t="shared" si="48"/>
        <v>0</v>
      </c>
      <c r="AE53" s="44">
        <f t="shared" si="49"/>
        <v>0</v>
      </c>
      <c r="AF53" s="52" t="str">
        <f>HLOOKUP(I53,ElecAvoidedCostsWOCC!$A$5:$Q$50,G53+1,FALSE)</f>
        <v>Res Water Heat</v>
      </c>
      <c r="AG53" s="44" t="e">
        <f t="shared" si="50"/>
        <v>#VALUE!</v>
      </c>
      <c r="AH53" s="52" t="str">
        <f>HLOOKUP(I53,ElecAvoidedCostsWOCC!$A$5:$Q$50,T53+1,FALSE)</f>
        <v>Res Water Heat</v>
      </c>
      <c r="AI53" s="44" t="e">
        <f t="shared" si="51"/>
        <v>#VALUE!</v>
      </c>
      <c r="AJ53" s="44" t="e">
        <f t="shared" si="52"/>
        <v>#VALUE!</v>
      </c>
      <c r="AK53" s="44" t="e">
        <f>HLOOKUP(I53,ElecAvoidedCostsWOCC!$A$5:$Q$50,G53+1,FALSE)*J53*L53</f>
        <v>#VALUE!</v>
      </c>
      <c r="AL53" s="44" t="e">
        <f t="shared" si="53"/>
        <v>#VALUE!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54"/>
        <v>0</v>
      </c>
      <c r="AO53" s="47">
        <f t="shared" si="55"/>
        <v>0</v>
      </c>
      <c r="AP53" s="47" t="e">
        <f t="shared" si="56"/>
        <v>#DIV/0!</v>
      </c>
      <c r="AQ53">
        <v>2020</v>
      </c>
    </row>
    <row r="54" spans="2:43">
      <c r="B54" s="97" t="s">
        <v>15</v>
      </c>
      <c r="C54" s="61">
        <v>18230434</v>
      </c>
      <c r="D54" s="61" t="s">
        <v>51</v>
      </c>
      <c r="E54" s="38" t="s">
        <v>623</v>
      </c>
      <c r="F54" s="39" t="s">
        <v>624</v>
      </c>
      <c r="G54" s="39">
        <v>12</v>
      </c>
      <c r="H54" s="39"/>
      <c r="I54" s="40" t="s">
        <v>263</v>
      </c>
      <c r="J54" s="41">
        <v>92</v>
      </c>
      <c r="K54" s="41">
        <v>238</v>
      </c>
      <c r="L54" s="41"/>
      <c r="M54" s="42">
        <v>100</v>
      </c>
      <c r="N54" s="42">
        <v>386.45</v>
      </c>
      <c r="O54" s="43">
        <v>21896</v>
      </c>
      <c r="P54" s="44">
        <v>9350</v>
      </c>
      <c r="Q54" s="44">
        <v>35553.4</v>
      </c>
      <c r="R54" s="45">
        <v>3.91</v>
      </c>
      <c r="S54" s="46">
        <v>0</v>
      </c>
      <c r="T54" s="39">
        <f t="shared" si="38"/>
        <v>12</v>
      </c>
      <c r="U54" s="47">
        <f t="shared" si="39"/>
        <v>8.636948042738167E-2</v>
      </c>
      <c r="V54" s="48">
        <f t="shared" si="40"/>
        <v>286.45</v>
      </c>
      <c r="W54" s="49">
        <f t="shared" si="41"/>
        <v>7.1974567022818061E-3</v>
      </c>
      <c r="X54" s="44">
        <f t="shared" si="42"/>
        <v>3960.4259574527232</v>
      </c>
      <c r="Y54" s="44">
        <f t="shared" si="43"/>
        <v>26203.4</v>
      </c>
      <c r="Z54" s="44">
        <f t="shared" si="44"/>
        <v>15269.780461003545</v>
      </c>
      <c r="AA54" s="50">
        <f t="shared" si="45"/>
        <v>39513.825957452726</v>
      </c>
      <c r="AB54" s="51">
        <f t="shared" si="46"/>
        <v>14274.825148175698</v>
      </c>
      <c r="AC54" s="44">
        <f t="shared" si="47"/>
        <v>36939.16608156747</v>
      </c>
      <c r="AD54" s="44">
        <f t="shared" si="48"/>
        <v>2861.7168116136404</v>
      </c>
      <c r="AE54" s="44">
        <f t="shared" si="49"/>
        <v>0</v>
      </c>
      <c r="AF54" s="52">
        <f>HLOOKUP(I54,ElecAvoidedCostsWOCC!$A$5:$Q$50,G54+1,FALSE)</f>
        <v>0.87531038854853971</v>
      </c>
      <c r="AG54" s="44">
        <f t="shared" si="50"/>
        <v>19165.796267658825</v>
      </c>
      <c r="AH54" s="52">
        <f>HLOOKUP(I54,ElecAvoidedCostsWOCC!$A$5:$Q$50,T54+1,FALSE)</f>
        <v>0.87531038854853971</v>
      </c>
      <c r="AI54" s="44">
        <f t="shared" si="51"/>
        <v>0</v>
      </c>
      <c r="AJ54" s="44">
        <f t="shared" si="52"/>
        <v>19165.796267658825</v>
      </c>
      <c r="AK54" s="44">
        <f>HLOOKUP(I54,ElecAvoidedCostsWOCC!$A$5:$Q$50,G54+1,FALSE)*J54*L54</f>
        <v>0</v>
      </c>
      <c r="AL54" s="44">
        <f t="shared" si="53"/>
        <v>19165.796267658825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19165.796267658825</v>
      </c>
      <c r="AN54" s="48">
        <f t="shared" si="54"/>
        <v>23944.092706038351</v>
      </c>
      <c r="AO54" s="47">
        <f t="shared" si="55"/>
        <v>1.3426291438748856</v>
      </c>
      <c r="AP54" s="47">
        <f t="shared" si="56"/>
        <v>0.64820339076323596</v>
      </c>
      <c r="AQ54">
        <v>2020</v>
      </c>
    </row>
    <row r="55" spans="2:43">
      <c r="B55" s="97" t="s">
        <v>15</v>
      </c>
      <c r="C55" s="61">
        <v>18230434</v>
      </c>
      <c r="D55" s="61" t="s">
        <v>51</v>
      </c>
      <c r="E55" s="38" t="s">
        <v>627</v>
      </c>
      <c r="F55" s="39" t="s">
        <v>628</v>
      </c>
      <c r="G55" s="39">
        <v>12</v>
      </c>
      <c r="H55" s="39"/>
      <c r="I55" s="40" t="s">
        <v>263</v>
      </c>
      <c r="J55" s="41">
        <v>2287</v>
      </c>
      <c r="K55" s="41">
        <v>68</v>
      </c>
      <c r="L55" s="41"/>
      <c r="M55" s="42">
        <v>25</v>
      </c>
      <c r="N55" s="42">
        <v>20.440000000000001</v>
      </c>
      <c r="O55" s="43">
        <v>155516</v>
      </c>
      <c r="P55" s="44">
        <v>62525</v>
      </c>
      <c r="Q55" s="44">
        <v>46746.280000000697</v>
      </c>
      <c r="R55" s="45">
        <v>-0.08</v>
      </c>
      <c r="S55" s="46">
        <v>0</v>
      </c>
      <c r="T55" s="39">
        <f t="shared" si="38"/>
        <v>12</v>
      </c>
      <c r="U55" s="47">
        <f t="shared" si="39"/>
        <v>0.61343789359447787</v>
      </c>
      <c r="V55" s="48">
        <f t="shared" si="40"/>
        <v>-4.5599999999999987</v>
      </c>
      <c r="W55" s="49">
        <f t="shared" si="41"/>
        <v>5.1119824466206491E-2</v>
      </c>
      <c r="X55" s="44">
        <f t="shared" si="42"/>
        <v>28128.863865510488</v>
      </c>
      <c r="Y55" s="44">
        <f t="shared" si="43"/>
        <v>-15778.719999999303</v>
      </c>
      <c r="Z55" s="44">
        <f t="shared" si="44"/>
        <v>108453.37861588543</v>
      </c>
      <c r="AA55" s="50">
        <f t="shared" si="45"/>
        <v>74875.143865511185</v>
      </c>
      <c r="AB55" s="51">
        <f t="shared" si="46"/>
        <v>101386.7239561423</v>
      </c>
      <c r="AC55" s="44">
        <f t="shared" si="47"/>
        <v>69996.395125279218</v>
      </c>
      <c r="AD55" s="44">
        <f t="shared" si="48"/>
        <v>-1455.520148595662</v>
      </c>
      <c r="AE55" s="44">
        <f t="shared" si="49"/>
        <v>0</v>
      </c>
      <c r="AF55" s="52">
        <f>HLOOKUP(I55,ElecAvoidedCostsWOCC!$A$5:$Q$50,G55+1,FALSE)</f>
        <v>0.87531038854853971</v>
      </c>
      <c r="AG55" s="44">
        <f t="shared" si="50"/>
        <v>136124.77038551471</v>
      </c>
      <c r="AH55" s="52">
        <f>HLOOKUP(I55,ElecAvoidedCostsWOCC!$A$5:$Q$50,T55+1,FALSE)</f>
        <v>0.87531038854853971</v>
      </c>
      <c r="AI55" s="44">
        <f t="shared" si="51"/>
        <v>0</v>
      </c>
      <c r="AJ55" s="44">
        <f t="shared" si="52"/>
        <v>136124.77038551471</v>
      </c>
      <c r="AK55" s="44">
        <f>HLOOKUP(I55,ElecAvoidedCostsWOCC!$A$5:$Q$50,G55+1,FALSE)*J55*L55</f>
        <v>0</v>
      </c>
      <c r="AL55" s="44">
        <f t="shared" si="53"/>
        <v>136124.77038551471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136124.77038551471</v>
      </c>
      <c r="AN55" s="48">
        <f t="shared" si="54"/>
        <v>148281.72727547053</v>
      </c>
      <c r="AO55" s="47">
        <f t="shared" si="55"/>
        <v>1.3426291438748859</v>
      </c>
      <c r="AP55" s="47">
        <f t="shared" si="56"/>
        <v>2.118419484461687</v>
      </c>
      <c r="AQ55">
        <v>2020</v>
      </c>
    </row>
    <row r="56" spans="2:43">
      <c r="B56" s="97" t="s">
        <v>15</v>
      </c>
      <c r="C56" s="61">
        <v>18230434</v>
      </c>
      <c r="D56" s="61" t="s">
        <v>51</v>
      </c>
      <c r="E56" s="38" t="s">
        <v>630</v>
      </c>
      <c r="F56" s="39" t="s">
        <v>631</v>
      </c>
      <c r="G56" s="39">
        <v>12</v>
      </c>
      <c r="H56" s="39"/>
      <c r="I56" s="40" t="s">
        <v>263</v>
      </c>
      <c r="J56" s="41">
        <v>12</v>
      </c>
      <c r="K56" s="41">
        <v>118</v>
      </c>
      <c r="L56" s="41"/>
      <c r="M56" s="42">
        <v>25</v>
      </c>
      <c r="N56" s="42">
        <v>184.88</v>
      </c>
      <c r="O56" s="43">
        <v>1416</v>
      </c>
      <c r="P56" s="44">
        <v>300</v>
      </c>
      <c r="Q56" s="44">
        <v>2218.56</v>
      </c>
      <c r="R56" s="45">
        <v>4.46</v>
      </c>
      <c r="S56" s="46">
        <v>0</v>
      </c>
      <c r="T56" s="39">
        <f t="shared" si="38"/>
        <v>12</v>
      </c>
      <c r="U56" s="47">
        <f t="shared" si="39"/>
        <v>5.5854578135354615E-3</v>
      </c>
      <c r="V56" s="48">
        <f t="shared" si="40"/>
        <v>159.88</v>
      </c>
      <c r="W56" s="49">
        <f t="shared" si="41"/>
        <v>4.6545481779462175E-4</v>
      </c>
      <c r="X56" s="44">
        <f t="shared" si="42"/>
        <v>256.11815654699745</v>
      </c>
      <c r="Y56" s="44">
        <f t="shared" si="43"/>
        <v>1918.56</v>
      </c>
      <c r="Z56" s="44">
        <f t="shared" si="44"/>
        <v>987.48671596551981</v>
      </c>
      <c r="AA56" s="50">
        <f t="shared" si="45"/>
        <v>2474.6781565469973</v>
      </c>
      <c r="AB56" s="51">
        <f t="shared" si="46"/>
        <v>923.14360658644455</v>
      </c>
      <c r="AC56" s="44">
        <f t="shared" si="47"/>
        <v>2313.4319496559756</v>
      </c>
      <c r="AD56" s="44">
        <f t="shared" si="48"/>
        <v>425.77305614800957</v>
      </c>
      <c r="AE56" s="44">
        <f t="shared" si="49"/>
        <v>0</v>
      </c>
      <c r="AF56" s="52">
        <f>HLOOKUP(I56,ElecAvoidedCostsWOCC!$A$5:$Q$50,G56+1,FALSE)</f>
        <v>0.87531038854853971</v>
      </c>
      <c r="AG56" s="44">
        <f t="shared" si="50"/>
        <v>1239.4395101847322</v>
      </c>
      <c r="AH56" s="52">
        <f>HLOOKUP(I56,ElecAvoidedCostsWOCC!$A$5:$Q$50,T56+1,FALSE)</f>
        <v>0.87531038854853971</v>
      </c>
      <c r="AI56" s="44">
        <f t="shared" si="51"/>
        <v>0</v>
      </c>
      <c r="AJ56" s="44">
        <f t="shared" si="52"/>
        <v>1239.4395101847322</v>
      </c>
      <c r="AK56" s="44">
        <f>HLOOKUP(I56,ElecAvoidedCostsWOCC!$A$5:$Q$50,G56+1,FALSE)*J56*L56</f>
        <v>0</v>
      </c>
      <c r="AL56" s="44">
        <f t="shared" si="53"/>
        <v>1239.4395101847322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1239.4395101847322</v>
      </c>
      <c r="AN56" s="48">
        <f t="shared" si="54"/>
        <v>1789.1565173512151</v>
      </c>
      <c r="AO56" s="47">
        <f t="shared" si="55"/>
        <v>1.3426291438748854</v>
      </c>
      <c r="AP56" s="47">
        <f t="shared" si="56"/>
        <v>0.77337762955045031</v>
      </c>
      <c r="AQ56">
        <v>2020</v>
      </c>
    </row>
    <row r="57" spans="2:43">
      <c r="B57" s="9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38"/>
        <v>0</v>
      </c>
      <c r="U57" s="47">
        <f t="shared" si="39"/>
        <v>0</v>
      </c>
      <c r="V57" s="48">
        <f t="shared" si="40"/>
        <v>0</v>
      </c>
      <c r="W57" s="49">
        <f t="shared" si="41"/>
        <v>0</v>
      </c>
      <c r="X57" s="44">
        <f t="shared" si="42"/>
        <v>0</v>
      </c>
      <c r="Y57" s="44">
        <f t="shared" si="43"/>
        <v>0</v>
      </c>
      <c r="Z57" s="44">
        <f t="shared" si="44"/>
        <v>0</v>
      </c>
      <c r="AA57" s="50">
        <f t="shared" si="45"/>
        <v>0</v>
      </c>
      <c r="AB57" s="51">
        <f t="shared" si="46"/>
        <v>0</v>
      </c>
      <c r="AC57" s="44">
        <f t="shared" si="47"/>
        <v>0</v>
      </c>
      <c r="AD57" s="44">
        <f t="shared" si="48"/>
        <v>0</v>
      </c>
      <c r="AE57" s="44">
        <f t="shared" si="49"/>
        <v>0</v>
      </c>
      <c r="AF57" s="52" t="e">
        <f>HLOOKUP(I57,ElecAvoidedCostsWOCC!$A$5:$Q$50,G57+1,FALSE)</f>
        <v>#N/A</v>
      </c>
      <c r="AG57" s="44" t="e">
        <f t="shared" si="50"/>
        <v>#N/A</v>
      </c>
      <c r="AH57" s="52" t="e">
        <f>HLOOKUP(I57,ElecAvoidedCostsWOCC!$A$5:$Q$50,T57+1,FALSE)</f>
        <v>#N/A</v>
      </c>
      <c r="AI57" s="44" t="e">
        <f t="shared" si="51"/>
        <v>#N/A</v>
      </c>
      <c r="AJ57" s="44" t="e">
        <f t="shared" si="52"/>
        <v>#N/A</v>
      </c>
      <c r="AK57" s="44" t="e">
        <f>HLOOKUP(I57,ElecAvoidedCostsWOCC!$A$5:$Q$50,G57+1,FALSE)*J57*L57</f>
        <v>#N/A</v>
      </c>
      <c r="AL57" s="44" t="e">
        <f t="shared" si="5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54"/>
        <v>0</v>
      </c>
      <c r="AO57" s="47">
        <f t="shared" si="55"/>
        <v>0</v>
      </c>
      <c r="AP57" s="47" t="e">
        <f t="shared" si="56"/>
        <v>#DIV/0!</v>
      </c>
    </row>
    <row r="58" spans="2:43">
      <c r="B58" s="9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ref="T58:T62" si="57">G58+H58</f>
        <v>0</v>
      </c>
      <c r="U58" s="47">
        <f t="shared" ref="U58:U62" si="58">(O58/$A$10)*T58</f>
        <v>0</v>
      </c>
      <c r="V58" s="48">
        <f t="shared" ref="V58:V62" si="59">N58-M58</f>
        <v>0</v>
      </c>
      <c r="W58" s="49">
        <f t="shared" ref="W58:W62" si="60">(O58/A$10)</f>
        <v>0</v>
      </c>
      <c r="X58" s="44">
        <f t="shared" ref="X58:X62" si="61">W58*A$8</f>
        <v>0</v>
      </c>
      <c r="Y58" s="44">
        <f t="shared" ref="Y58:Y62" si="62">Q58-P58</f>
        <v>0</v>
      </c>
      <c r="Z58" s="44">
        <f t="shared" ref="Z58:Z62" si="63">X58+(A$6*W58)</f>
        <v>0</v>
      </c>
      <c r="AA58" s="50">
        <f t="shared" ref="AA58:AA62" si="64">Q58+X58</f>
        <v>0</v>
      </c>
      <c r="AB58" s="51">
        <f t="shared" ref="AB58:AB62" si="65">Z58/(1+ElecDiscountRate)^1</f>
        <v>0</v>
      </c>
      <c r="AC58" s="44">
        <f t="shared" ref="AC58:AC62" si="66">AA58/(1+ElecDiscountRate)^1</f>
        <v>0</v>
      </c>
      <c r="AD58" s="44">
        <f t="shared" ref="AD58:AD62" si="67">-PV(ElecDiscountRate,T58,R58)*J58</f>
        <v>0</v>
      </c>
      <c r="AE58" s="44">
        <f t="shared" ref="AE58:AE62" si="68">-PV(ElecDiscountRate,T58,S58)*J58</f>
        <v>0</v>
      </c>
      <c r="AF58" s="52" t="e">
        <f>HLOOKUP(I58,ElecAvoidedCostsWOCC!$A$5:$Q$50,G58+1,FALSE)</f>
        <v>#N/A</v>
      </c>
      <c r="AG58" s="44" t="e">
        <f t="shared" ref="AG58:AG62" si="69">AF58*J58*K58</f>
        <v>#N/A</v>
      </c>
      <c r="AH58" s="52" t="e">
        <f>HLOOKUP(I58,ElecAvoidedCostsWOCC!$A$5:$Q$50,T58+1,FALSE)</f>
        <v>#N/A</v>
      </c>
      <c r="AI58" s="44" t="e">
        <f t="shared" ref="AI58:AI62" si="70">AH58*J58*L58</f>
        <v>#N/A</v>
      </c>
      <c r="AJ58" s="44" t="e">
        <f t="shared" ref="AJ58:AJ62" si="71">AG58+AI58</f>
        <v>#N/A</v>
      </c>
      <c r="AK58" s="44" t="e">
        <f>HLOOKUP(I58,ElecAvoidedCostsWOCC!$A$5:$Q$50,G58+1,FALSE)*J58*L58</f>
        <v>#N/A</v>
      </c>
      <c r="AL58" s="44" t="e">
        <f t="shared" ref="AL58:AL62" si="72">AG58+AI58-AK58</f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ref="AN58:AN62" si="73">AM58*1.1+AD58+AE58</f>
        <v>0</v>
      </c>
      <c r="AO58" s="47">
        <f t="shared" ref="AO58:AO62" si="74">IFERROR(AM58/AB58,0)</f>
        <v>0</v>
      </c>
      <c r="AP58" s="47" t="e">
        <f t="shared" ref="AP58:AP62" si="75">AN58/AC58</f>
        <v>#DIV/0!</v>
      </c>
    </row>
    <row r="59" spans="2:43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57"/>
        <v>0</v>
      </c>
      <c r="U59" s="47">
        <f t="shared" si="58"/>
        <v>0</v>
      </c>
      <c r="V59" s="48">
        <f t="shared" si="59"/>
        <v>0</v>
      </c>
      <c r="W59" s="49">
        <f t="shared" si="60"/>
        <v>0</v>
      </c>
      <c r="X59" s="44">
        <f t="shared" si="61"/>
        <v>0</v>
      </c>
      <c r="Y59" s="44">
        <f t="shared" si="62"/>
        <v>0</v>
      </c>
      <c r="Z59" s="44">
        <f t="shared" si="63"/>
        <v>0</v>
      </c>
      <c r="AA59" s="50">
        <f t="shared" si="64"/>
        <v>0</v>
      </c>
      <c r="AB59" s="51">
        <f t="shared" si="65"/>
        <v>0</v>
      </c>
      <c r="AC59" s="44">
        <f t="shared" si="66"/>
        <v>0</v>
      </c>
      <c r="AD59" s="44">
        <f t="shared" si="67"/>
        <v>0</v>
      </c>
      <c r="AE59" s="44">
        <f t="shared" si="68"/>
        <v>0</v>
      </c>
      <c r="AF59" s="52" t="e">
        <f>HLOOKUP(I59,ElecAvoidedCostsWOCC!$A$5:$Q$50,G59+1,FALSE)</f>
        <v>#N/A</v>
      </c>
      <c r="AG59" s="44" t="e">
        <f t="shared" si="69"/>
        <v>#N/A</v>
      </c>
      <c r="AH59" s="52" t="e">
        <f>HLOOKUP(I59,ElecAvoidedCostsWOCC!$A$5:$Q$50,T59+1,FALSE)</f>
        <v>#N/A</v>
      </c>
      <c r="AI59" s="44" t="e">
        <f t="shared" si="70"/>
        <v>#N/A</v>
      </c>
      <c r="AJ59" s="44" t="e">
        <f t="shared" si="71"/>
        <v>#N/A</v>
      </c>
      <c r="AK59" s="44" t="e">
        <f>HLOOKUP(I59,ElecAvoidedCostsWOCC!$A$5:$Q$50,G59+1,FALSE)*J59*L59</f>
        <v>#N/A</v>
      </c>
      <c r="AL59" s="44" t="e">
        <f t="shared" si="72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73"/>
        <v>0</v>
      </c>
      <c r="AO59" s="47">
        <f t="shared" si="74"/>
        <v>0</v>
      </c>
      <c r="AP59" s="47" t="e">
        <f t="shared" si="75"/>
        <v>#DIV/0!</v>
      </c>
    </row>
    <row r="60" spans="2:43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57"/>
        <v>0</v>
      </c>
      <c r="U60" s="47">
        <f t="shared" si="58"/>
        <v>0</v>
      </c>
      <c r="V60" s="48">
        <f t="shared" si="59"/>
        <v>0</v>
      </c>
      <c r="W60" s="49">
        <f t="shared" si="60"/>
        <v>0</v>
      </c>
      <c r="X60" s="44">
        <f t="shared" si="61"/>
        <v>0</v>
      </c>
      <c r="Y60" s="44">
        <f t="shared" si="62"/>
        <v>0</v>
      </c>
      <c r="Z60" s="44">
        <f t="shared" si="63"/>
        <v>0</v>
      </c>
      <c r="AA60" s="50">
        <f t="shared" si="64"/>
        <v>0</v>
      </c>
      <c r="AB60" s="51">
        <f t="shared" si="65"/>
        <v>0</v>
      </c>
      <c r="AC60" s="44">
        <f t="shared" si="66"/>
        <v>0</v>
      </c>
      <c r="AD60" s="44">
        <f t="shared" si="67"/>
        <v>0</v>
      </c>
      <c r="AE60" s="44">
        <f t="shared" si="68"/>
        <v>0</v>
      </c>
      <c r="AF60" s="52" t="e">
        <f>HLOOKUP(I60,ElecAvoidedCostsWOCC!$A$5:$Q$50,G60+1,FALSE)</f>
        <v>#N/A</v>
      </c>
      <c r="AG60" s="44" t="e">
        <f t="shared" si="69"/>
        <v>#N/A</v>
      </c>
      <c r="AH60" s="52" t="e">
        <f>HLOOKUP(I60,ElecAvoidedCostsWOCC!$A$5:$Q$50,T60+1,FALSE)</f>
        <v>#N/A</v>
      </c>
      <c r="AI60" s="44" t="e">
        <f t="shared" si="70"/>
        <v>#N/A</v>
      </c>
      <c r="AJ60" s="44" t="e">
        <f t="shared" si="71"/>
        <v>#N/A</v>
      </c>
      <c r="AK60" s="44" t="e">
        <f>HLOOKUP(I60,ElecAvoidedCostsWOCC!$A$5:$Q$50,G60+1,FALSE)*J60*L60</f>
        <v>#N/A</v>
      </c>
      <c r="AL60" s="44" t="e">
        <f t="shared" si="72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73"/>
        <v>0</v>
      </c>
      <c r="AO60" s="47">
        <f t="shared" si="74"/>
        <v>0</v>
      </c>
      <c r="AP60" s="47" t="e">
        <f t="shared" si="75"/>
        <v>#DIV/0!</v>
      </c>
    </row>
    <row r="61" spans="2:43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57"/>
        <v>0</v>
      </c>
      <c r="U61" s="47">
        <f t="shared" si="58"/>
        <v>0</v>
      </c>
      <c r="V61" s="48">
        <f t="shared" si="59"/>
        <v>0</v>
      </c>
      <c r="W61" s="49">
        <f t="shared" si="60"/>
        <v>0</v>
      </c>
      <c r="X61" s="44">
        <f t="shared" si="61"/>
        <v>0</v>
      </c>
      <c r="Y61" s="44">
        <f t="shared" si="62"/>
        <v>0</v>
      </c>
      <c r="Z61" s="44">
        <f t="shared" si="63"/>
        <v>0</v>
      </c>
      <c r="AA61" s="50">
        <f t="shared" si="64"/>
        <v>0</v>
      </c>
      <c r="AB61" s="51">
        <f t="shared" si="65"/>
        <v>0</v>
      </c>
      <c r="AC61" s="44">
        <f t="shared" si="66"/>
        <v>0</v>
      </c>
      <c r="AD61" s="44">
        <f t="shared" si="67"/>
        <v>0</v>
      </c>
      <c r="AE61" s="44">
        <f t="shared" si="68"/>
        <v>0</v>
      </c>
      <c r="AF61" s="52" t="e">
        <f>HLOOKUP(I61,ElecAvoidedCostsWOCC!$A$5:$Q$50,G61+1,FALSE)</f>
        <v>#N/A</v>
      </c>
      <c r="AG61" s="44" t="e">
        <f t="shared" si="69"/>
        <v>#N/A</v>
      </c>
      <c r="AH61" s="52" t="e">
        <f>HLOOKUP(I61,ElecAvoidedCostsWOCC!$A$5:$Q$50,T61+1,FALSE)</f>
        <v>#N/A</v>
      </c>
      <c r="AI61" s="44" t="e">
        <f t="shared" si="70"/>
        <v>#N/A</v>
      </c>
      <c r="AJ61" s="44" t="e">
        <f t="shared" si="71"/>
        <v>#N/A</v>
      </c>
      <c r="AK61" s="44" t="e">
        <f>HLOOKUP(I61,ElecAvoidedCostsWOCC!$A$5:$Q$50,G61+1,FALSE)*J61*L61</f>
        <v>#N/A</v>
      </c>
      <c r="AL61" s="44" t="e">
        <f t="shared" si="72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73"/>
        <v>0</v>
      </c>
      <c r="AO61" s="47">
        <f t="shared" si="74"/>
        <v>0</v>
      </c>
      <c r="AP61" s="47" t="e">
        <f t="shared" si="75"/>
        <v>#DIV/0!</v>
      </c>
    </row>
    <row r="62" spans="2:43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57"/>
        <v>0</v>
      </c>
      <c r="U62" s="47">
        <f t="shared" si="58"/>
        <v>0</v>
      </c>
      <c r="V62" s="48">
        <f t="shared" si="59"/>
        <v>0</v>
      </c>
      <c r="W62" s="49">
        <f t="shared" si="60"/>
        <v>0</v>
      </c>
      <c r="X62" s="44">
        <f t="shared" si="61"/>
        <v>0</v>
      </c>
      <c r="Y62" s="44">
        <f t="shared" si="62"/>
        <v>0</v>
      </c>
      <c r="Z62" s="44">
        <f t="shared" si="63"/>
        <v>0</v>
      </c>
      <c r="AA62" s="50">
        <f t="shared" si="64"/>
        <v>0</v>
      </c>
      <c r="AB62" s="51">
        <f t="shared" si="65"/>
        <v>0</v>
      </c>
      <c r="AC62" s="44">
        <f t="shared" si="66"/>
        <v>0</v>
      </c>
      <c r="AD62" s="44">
        <f t="shared" si="67"/>
        <v>0</v>
      </c>
      <c r="AE62" s="44">
        <f t="shared" si="68"/>
        <v>0</v>
      </c>
      <c r="AF62" s="52" t="e">
        <f>HLOOKUP(I62,ElecAvoidedCostsWOCC!$A$5:$Q$50,G62+1,FALSE)</f>
        <v>#N/A</v>
      </c>
      <c r="AG62" s="44" t="e">
        <f t="shared" si="69"/>
        <v>#N/A</v>
      </c>
      <c r="AH62" s="52" t="e">
        <f>HLOOKUP(I62,ElecAvoidedCostsWOCC!$A$5:$Q$50,T62+1,FALSE)</f>
        <v>#N/A</v>
      </c>
      <c r="AI62" s="44" t="e">
        <f t="shared" si="70"/>
        <v>#N/A</v>
      </c>
      <c r="AJ62" s="44" t="e">
        <f t="shared" si="71"/>
        <v>#N/A</v>
      </c>
      <c r="AK62" s="44" t="e">
        <f>HLOOKUP(I62,ElecAvoidedCostsWOCC!$A$5:$Q$50,G62+1,FALSE)*J62*L62</f>
        <v>#N/A</v>
      </c>
      <c r="AL62" s="44" t="e">
        <f t="shared" si="72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73"/>
        <v>0</v>
      </c>
      <c r="AO62" s="47">
        <f t="shared" si="74"/>
        <v>0</v>
      </c>
      <c r="AP62" s="47" t="e">
        <f t="shared" si="75"/>
        <v>#DIV/0!</v>
      </c>
    </row>
  </sheetData>
  <conditionalFormatting sqref="J5:L62">
    <cfRule type="expression" dxfId="304" priority="4">
      <formula>ISTEXT(J5)</formula>
    </cfRule>
    <cfRule type="notContainsBlanks" dxfId="303" priority="5">
      <formula>LEN(TRIM(J5))&gt;0</formula>
    </cfRule>
  </conditionalFormatting>
  <conditionalFormatting sqref="M5:N62 R5:S62">
    <cfRule type="expression" dxfId="302" priority="2">
      <formula>ISTEXT(M5)</formula>
    </cfRule>
  </conditionalFormatting>
  <conditionalFormatting sqref="M5:N62 R5:S62">
    <cfRule type="notContainsBlanks" dxfId="301" priority="3">
      <formula>LEN(TRIM(M5))&gt;0</formula>
    </cfRule>
  </conditionalFormatting>
  <conditionalFormatting sqref="R5:S62">
    <cfRule type="expression" dxfId="3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39"/>
  <sheetViews>
    <sheetView zoomScale="85" zoomScaleNormal="85" workbookViewId="0">
      <selection activeCell="D23" sqref="D23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18230023</v>
      </c>
      <c r="D2" s="20" t="s">
        <v>297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18230023</v>
      </c>
      <c r="D5" s="61" t="s">
        <v>297</v>
      </c>
      <c r="E5" s="38" t="s">
        <v>649</v>
      </c>
      <c r="F5" s="39" t="s">
        <v>650</v>
      </c>
      <c r="G5" s="39">
        <v>12</v>
      </c>
      <c r="H5" s="39"/>
      <c r="I5" s="40" t="s">
        <v>268</v>
      </c>
      <c r="J5" s="41">
        <v>410</v>
      </c>
      <c r="K5" s="41">
        <v>899</v>
      </c>
      <c r="L5" s="41"/>
      <c r="M5" s="42">
        <v>75</v>
      </c>
      <c r="N5" s="42">
        <v>145.28</v>
      </c>
      <c r="O5" s="43">
        <v>368590</v>
      </c>
      <c r="P5" s="44">
        <v>30750</v>
      </c>
      <c r="Q5" s="44">
        <v>59564.799999999697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1.527092457226372</v>
      </c>
      <c r="V5" s="48">
        <f t="shared" ref="V5:V24" si="2">N5-M5</f>
        <v>70.28</v>
      </c>
      <c r="W5" s="49">
        <f t="shared" ref="W5:W24" si="3">(O5/A$10)</f>
        <v>0.12725770476886433</v>
      </c>
      <c r="X5" s="44">
        <f t="shared" ref="X5:X24" si="4">W5*A$8</f>
        <v>34219.631171927911</v>
      </c>
      <c r="Y5" s="44">
        <f t="shared" ref="Y5:Y24" si="5">Q5-P5</f>
        <v>28814.799999999697</v>
      </c>
      <c r="Z5" s="44">
        <f t="shared" ref="Z5:Z24" si="6">X5+(A$6*W5)</f>
        <v>113471.54928637497</v>
      </c>
      <c r="AA5" s="50">
        <f t="shared" ref="AA5:AA24" si="7">Q5+X5</f>
        <v>93784.431171927601</v>
      </c>
      <c r="AB5" s="51">
        <f t="shared" ref="AB5:AC20" si="8">Z5/(1+ElecDiscountRate)^1</f>
        <v>106077.91837559592</v>
      </c>
      <c r="AC5" s="44">
        <f t="shared" si="8"/>
        <v>87673.582473523042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1.1592850537786947</v>
      </c>
      <c r="AG5" s="44">
        <f t="shared" ref="AG5:AG24" si="10">AF5*J5*K5</f>
        <v>427300.8779722891</v>
      </c>
      <c r="AH5" s="52">
        <f>HLOOKUP(I5,ElecAvoidedCostsWOCC!$A$5:$Q$50,T5+1,FALSE)</f>
        <v>1.1592850537786947</v>
      </c>
      <c r="AI5" s="44">
        <f t="shared" ref="AI5:AI24" si="11">AH5*J5*L5</f>
        <v>0</v>
      </c>
      <c r="AJ5" s="44">
        <f>AG5+AI5</f>
        <v>427300.8779722891</v>
      </c>
      <c r="AK5" s="44">
        <f>HLOOKUP(I5,ElecAvoidedCostsWOCC!$A$5:$Q$50,G5+1,FALSE)*J5*L5</f>
        <v>0</v>
      </c>
      <c r="AL5" s="44">
        <f>AG5+AI5-AK5</f>
        <v>427300.8779722891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427300.8779722891</v>
      </c>
      <c r="AN5" s="48">
        <f>AM5*1.1+AD5+AE5</f>
        <v>470030.96576951805</v>
      </c>
      <c r="AO5" s="47">
        <f>IFERROR(AM5/AB5,0)</f>
        <v>4.0281793281361473</v>
      </c>
      <c r="AP5" s="47">
        <f>AN5/AC5</f>
        <v>5.3611470240932029</v>
      </c>
      <c r="AQ5">
        <v>2021</v>
      </c>
    </row>
    <row r="6" spans="1:43" ht="13.5" customHeight="1">
      <c r="A6" s="53">
        <f>SUMIF('Program Costs'!D:D,C2,'Program Costs'!L:L)</f>
        <v>622767.15</v>
      </c>
      <c r="B6" s="97" t="s">
        <v>15</v>
      </c>
      <c r="C6" s="61">
        <v>18230023</v>
      </c>
      <c r="D6" s="61" t="s">
        <v>297</v>
      </c>
      <c r="E6" s="38" t="s">
        <v>651</v>
      </c>
      <c r="F6" s="39" t="s">
        <v>650</v>
      </c>
      <c r="G6" s="39">
        <v>11</v>
      </c>
      <c r="H6" s="39"/>
      <c r="I6" s="40" t="s">
        <v>269</v>
      </c>
      <c r="J6" s="41">
        <v>11</v>
      </c>
      <c r="K6" s="41">
        <v>502</v>
      </c>
      <c r="L6" s="41"/>
      <c r="M6" s="42">
        <v>75</v>
      </c>
      <c r="N6" s="42">
        <v>151.83000000000001</v>
      </c>
      <c r="O6" s="43">
        <v>5522</v>
      </c>
      <c r="P6" s="44">
        <v>825</v>
      </c>
      <c r="Q6" s="44">
        <v>1670.13</v>
      </c>
      <c r="R6" s="45">
        <v>0</v>
      </c>
      <c r="S6" s="46">
        <v>0</v>
      </c>
      <c r="T6" s="39">
        <f t="shared" si="0"/>
        <v>11</v>
      </c>
      <c r="U6" s="47">
        <f t="shared" si="1"/>
        <v>2.097150628902129E-2</v>
      </c>
      <c r="V6" s="48">
        <f t="shared" si="2"/>
        <v>76.830000000000013</v>
      </c>
      <c r="W6" s="49">
        <f t="shared" si="3"/>
        <v>1.9065005717292082E-3</v>
      </c>
      <c r="X6" s="44">
        <f t="shared" si="4"/>
        <v>512.65851849313844</v>
      </c>
      <c r="Y6" s="44">
        <f t="shared" si="5"/>
        <v>845.13000000000011</v>
      </c>
      <c r="Z6" s="44">
        <f t="shared" si="6"/>
        <v>1699.964446022308</v>
      </c>
      <c r="AA6" s="50">
        <f t="shared" si="7"/>
        <v>2182.7885184931383</v>
      </c>
      <c r="AB6" s="51">
        <f t="shared" si="8"/>
        <v>1589.1973880735793</v>
      </c>
      <c r="AC6" s="44">
        <f t="shared" si="8"/>
        <v>2040.561389635541</v>
      </c>
      <c r="AD6" s="44">
        <f t="shared" si="9"/>
        <v>0</v>
      </c>
      <c r="AE6" s="44">
        <v>0</v>
      </c>
      <c r="AF6" s="52">
        <f>HLOOKUP(I6,ElecAvoidedCostsWOCC!$A$5:$Q$50,G6+1,FALSE)</f>
        <v>1.0685556528500126</v>
      </c>
      <c r="AG6" s="44">
        <f t="shared" si="10"/>
        <v>5900.56431503777</v>
      </c>
      <c r="AH6" s="52">
        <f>HLOOKUP(I6,ElecAvoidedCostsWOCC!$A$5:$Q$50,T6+1,FALSE)</f>
        <v>1.0685556528500126</v>
      </c>
      <c r="AI6" s="44">
        <f t="shared" si="11"/>
        <v>0</v>
      </c>
      <c r="AJ6" s="44">
        <f t="shared" ref="AJ6:AJ24" si="12">AG6+AI6</f>
        <v>5900.56431503777</v>
      </c>
      <c r="AK6" s="44">
        <f>HLOOKUP(I6,ElecAvoidedCostsWOCC!$A$5:$Q$50,G6+1,FALSE)*J6*L6</f>
        <v>0</v>
      </c>
      <c r="AL6" s="44">
        <f t="shared" ref="AL6:AL24" si="13">AG6+AI6-AK6</f>
        <v>5900.56431503777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5900.56431503777</v>
      </c>
      <c r="AN6" s="48">
        <f t="shared" ref="AN6:AN24" si="14">AM6*1.1+AD6+AE6</f>
        <v>6490.6207465415473</v>
      </c>
      <c r="AO6" s="47">
        <f t="shared" ref="AO6:AO24" si="15">IFERROR(AM6/AB6,0)</f>
        <v>3.7129209746502401</v>
      </c>
      <c r="AP6" s="47">
        <f t="shared" ref="AP6:AP24" si="16">AN6/AC6</f>
        <v>3.1808015085989738</v>
      </c>
      <c r="AQ6">
        <v>2021</v>
      </c>
    </row>
    <row r="7" spans="1:43" ht="13.5" customHeight="1">
      <c r="A7" s="36" t="s">
        <v>249</v>
      </c>
      <c r="B7" s="97" t="s">
        <v>15</v>
      </c>
      <c r="C7" s="61">
        <v>18230023</v>
      </c>
      <c r="D7" s="61" t="s">
        <v>297</v>
      </c>
      <c r="E7" s="38" t="s">
        <v>652</v>
      </c>
      <c r="F7" s="39" t="s">
        <v>653</v>
      </c>
      <c r="G7" s="39">
        <v>12</v>
      </c>
      <c r="H7" s="39"/>
      <c r="I7" s="40" t="s">
        <v>269</v>
      </c>
      <c r="J7" s="41">
        <v>459</v>
      </c>
      <c r="K7" s="41"/>
      <c r="L7" s="41"/>
      <c r="M7" s="42"/>
      <c r="N7" s="42"/>
      <c r="O7" s="43">
        <v>0</v>
      </c>
      <c r="P7" s="44">
        <v>0</v>
      </c>
      <c r="Q7" s="44">
        <v>0</v>
      </c>
      <c r="R7" s="45">
        <v>0</v>
      </c>
      <c r="S7" s="46">
        <v>0</v>
      </c>
      <c r="T7" s="39">
        <f t="shared" si="0"/>
        <v>12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>
        <f>HLOOKUP(I7,ElecAvoidedCostsWOCC!$A$5:$Q$50,G7+1,FALSE)</f>
        <v>1.1537621052924141</v>
      </c>
      <c r="AG7" s="44">
        <f t="shared" si="10"/>
        <v>0</v>
      </c>
      <c r="AH7" s="52">
        <f>HLOOKUP(I7,ElecAvoidedCostsWOCC!$A$5:$Q$50,T7+1,FALSE)</f>
        <v>1.1537621052924141</v>
      </c>
      <c r="AI7" s="44">
        <f t="shared" si="11"/>
        <v>0</v>
      </c>
      <c r="AJ7" s="44">
        <f t="shared" si="12"/>
        <v>0</v>
      </c>
      <c r="AK7" s="44">
        <f>HLOOKUP(I7,ElecAvoidedCostsWOCC!$A$5:$Q$50,G7+1,FALSE)*J7*L7</f>
        <v>0</v>
      </c>
      <c r="AL7" s="44">
        <f t="shared" si="13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  <c r="AQ7">
        <v>2021</v>
      </c>
    </row>
    <row r="8" spans="1:43" ht="13.5" customHeight="1">
      <c r="A8" s="53">
        <f>SUMIF('Program Costs'!D:D,C2,'Program Costs'!O:O)</f>
        <v>268900.27</v>
      </c>
      <c r="B8" s="97" t="s">
        <v>15</v>
      </c>
      <c r="C8" s="61">
        <v>18230023</v>
      </c>
      <c r="D8" s="61" t="s">
        <v>297</v>
      </c>
      <c r="E8" s="38" t="s">
        <v>654</v>
      </c>
      <c r="F8" s="39" t="s">
        <v>653</v>
      </c>
      <c r="G8" s="39">
        <v>11</v>
      </c>
      <c r="H8" s="39"/>
      <c r="I8" s="40" t="s">
        <v>269</v>
      </c>
      <c r="J8" s="41">
        <v>25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11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>
        <f>HLOOKUP(I8,ElecAvoidedCostsWOCC!$A$5:$Q$50,G8+1,FALSE)</f>
        <v>1.0685556528500126</v>
      </c>
      <c r="AG8" s="44">
        <f t="shared" si="10"/>
        <v>0</v>
      </c>
      <c r="AH8" s="52">
        <f>HLOOKUP(I8,ElecAvoidedCostsWOCC!$A$5:$Q$50,T8+1,FALSE)</f>
        <v>1.0685556528500126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  <c r="AQ8">
        <v>2021</v>
      </c>
    </row>
    <row r="9" spans="1:43" ht="13.5" customHeight="1">
      <c r="A9" s="36" t="s">
        <v>250</v>
      </c>
      <c r="B9" s="97" t="s">
        <v>15</v>
      </c>
      <c r="C9" s="61">
        <v>18230023</v>
      </c>
      <c r="D9" s="61" t="s">
        <v>297</v>
      </c>
      <c r="E9" s="38" t="s">
        <v>655</v>
      </c>
      <c r="F9" s="39" t="s">
        <v>656</v>
      </c>
      <c r="G9" s="39"/>
      <c r="H9" s="39"/>
      <c r="I9" s="40"/>
      <c r="J9" s="41">
        <v>33</v>
      </c>
      <c r="K9" s="41">
        <v>0</v>
      </c>
      <c r="L9" s="41"/>
      <c r="M9" s="42">
        <v>75</v>
      </c>
      <c r="N9" s="42">
        <v>145.28</v>
      </c>
      <c r="O9" s="43">
        <v>0</v>
      </c>
      <c r="P9" s="44">
        <v>900</v>
      </c>
      <c r="Q9" s="44">
        <v>4794.24</v>
      </c>
      <c r="R9" s="45">
        <v>0</v>
      </c>
      <c r="S9" s="46">
        <v>0</v>
      </c>
      <c r="T9" s="39">
        <f t="shared" si="0"/>
        <v>0</v>
      </c>
      <c r="U9" s="47">
        <f t="shared" si="1"/>
        <v>0</v>
      </c>
      <c r="V9" s="48">
        <f t="shared" si="2"/>
        <v>70.28</v>
      </c>
      <c r="W9" s="49">
        <f t="shared" si="3"/>
        <v>0</v>
      </c>
      <c r="X9" s="44">
        <f t="shared" si="4"/>
        <v>0</v>
      </c>
      <c r="Y9" s="44">
        <f t="shared" si="5"/>
        <v>3894.24</v>
      </c>
      <c r="Z9" s="44">
        <f t="shared" si="6"/>
        <v>0</v>
      </c>
      <c r="AA9" s="50">
        <f t="shared" si="7"/>
        <v>4794.24</v>
      </c>
      <c r="AB9" s="51">
        <f t="shared" si="8"/>
        <v>0</v>
      </c>
      <c r="AC9" s="44">
        <f t="shared" si="8"/>
        <v>4481.8547256240063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  <c r="AQ9">
        <v>2021</v>
      </c>
    </row>
    <row r="10" spans="1:43" ht="13.5" customHeight="1">
      <c r="A10" s="54">
        <f>SUM(O5:O999)</f>
        <v>2896406.1599999997</v>
      </c>
      <c r="B10" s="97" t="s">
        <v>15</v>
      </c>
      <c r="C10" s="61">
        <v>18230023</v>
      </c>
      <c r="D10" s="61" t="s">
        <v>297</v>
      </c>
      <c r="E10" s="38" t="s">
        <v>657</v>
      </c>
      <c r="F10" s="39" t="s">
        <v>656</v>
      </c>
      <c r="G10" s="39"/>
      <c r="H10" s="39"/>
      <c r="I10" s="40" t="s">
        <v>269</v>
      </c>
      <c r="J10" s="41">
        <v>6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450</v>
      </c>
      <c r="Q10" s="44">
        <v>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-450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str">
        <f>HLOOKUP(I10,ElecAvoidedCostsWOCC!$A$5:$Q$50,G10+1,FALSE)</f>
        <v>SF Space Heat</v>
      </c>
      <c r="AG10" s="44" t="e">
        <f t="shared" si="10"/>
        <v>#VALUE!</v>
      </c>
      <c r="AH10" s="52" t="str">
        <f>HLOOKUP(I10,ElecAvoidedCostsWOCC!$A$5:$Q$50,T10+1,FALSE)</f>
        <v>SF Space Heat</v>
      </c>
      <c r="AI10" s="44" t="e">
        <f t="shared" si="11"/>
        <v>#VALUE!</v>
      </c>
      <c r="AJ10" s="44" t="e">
        <f t="shared" si="12"/>
        <v>#VALUE!</v>
      </c>
      <c r="AK10" s="44" t="e">
        <f>HLOOKUP(I10,ElecAvoidedCostsWOCC!$A$5:$Q$50,G10+1,FALSE)*J10*L10</f>
        <v>#VALUE!</v>
      </c>
      <c r="AL10" s="44" t="e">
        <f t="shared" si="13"/>
        <v>#VALUE!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  <c r="AQ10">
        <v>2021</v>
      </c>
    </row>
    <row r="11" spans="1:43" ht="13.5" customHeight="1">
      <c r="A11" s="36" t="s">
        <v>251</v>
      </c>
      <c r="B11" s="97" t="s">
        <v>15</v>
      </c>
      <c r="C11" s="61">
        <v>18230023</v>
      </c>
      <c r="D11" s="61" t="s">
        <v>297</v>
      </c>
      <c r="E11" s="38" t="s">
        <v>658</v>
      </c>
      <c r="F11" s="39" t="s">
        <v>659</v>
      </c>
      <c r="G11" s="39">
        <v>11</v>
      </c>
      <c r="H11" s="39"/>
      <c r="I11" s="40" t="s">
        <v>269</v>
      </c>
      <c r="J11" s="41">
        <v>360</v>
      </c>
      <c r="K11" s="41">
        <v>506</v>
      </c>
      <c r="L11" s="41"/>
      <c r="M11" s="42">
        <v>75</v>
      </c>
      <c r="N11" s="42">
        <v>172.38</v>
      </c>
      <c r="O11" s="43">
        <v>182160</v>
      </c>
      <c r="P11" s="44">
        <v>26991.5</v>
      </c>
      <c r="Q11" s="44">
        <v>62056.799999999603</v>
      </c>
      <c r="R11" s="45">
        <v>0</v>
      </c>
      <c r="S11" s="46">
        <v>0</v>
      </c>
      <c r="T11" s="39">
        <f t="shared" si="0"/>
        <v>11</v>
      </c>
      <c r="U11" s="47">
        <f t="shared" si="1"/>
        <v>0.69180905208404897</v>
      </c>
      <c r="V11" s="48">
        <f t="shared" si="2"/>
        <v>97.38</v>
      </c>
      <c r="W11" s="49">
        <f t="shared" si="3"/>
        <v>6.289173200764081E-2</v>
      </c>
      <c r="X11" s="44">
        <f t="shared" si="4"/>
        <v>16911.603717622256</v>
      </c>
      <c r="Y11" s="44">
        <f t="shared" si="5"/>
        <v>35065.299999999603</v>
      </c>
      <c r="Z11" s="44">
        <f t="shared" si="6"/>
        <v>56078.508418584504</v>
      </c>
      <c r="AA11" s="50">
        <f t="shared" si="7"/>
        <v>78968.403717621855</v>
      </c>
      <c r="AB11" s="51">
        <f t="shared" si="8"/>
        <v>52424.519415335606</v>
      </c>
      <c r="AC11" s="44">
        <f t="shared" si="8"/>
        <v>73822.944486885899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1.0685556528500126</v>
      </c>
      <c r="AG11" s="44">
        <f t="shared" si="10"/>
        <v>194648.09772315828</v>
      </c>
      <c r="AH11" s="52">
        <f>HLOOKUP(I11,ElecAvoidedCostsWOCC!$A$5:$Q$50,T11+1,FALSE)</f>
        <v>1.0685556528500126</v>
      </c>
      <c r="AI11" s="44">
        <f t="shared" si="11"/>
        <v>0</v>
      </c>
      <c r="AJ11" s="44">
        <f t="shared" si="12"/>
        <v>194648.09772315828</v>
      </c>
      <c r="AK11" s="44">
        <f>HLOOKUP(I11,ElecAvoidedCostsWOCC!$A$5:$Q$50,G11+1,FALSE)*J11*L11</f>
        <v>0</v>
      </c>
      <c r="AL11" s="44">
        <f t="shared" si="13"/>
        <v>194648.09772315828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194648.09772315831</v>
      </c>
      <c r="AN11" s="48">
        <f t="shared" si="14"/>
        <v>214112.90749547415</v>
      </c>
      <c r="AO11" s="47">
        <f t="shared" si="15"/>
        <v>3.7129209746502401</v>
      </c>
      <c r="AP11" s="47">
        <f t="shared" si="16"/>
        <v>2.9003571854751709</v>
      </c>
      <c r="AQ11">
        <v>2021</v>
      </c>
    </row>
    <row r="12" spans="1:43" ht="13.5" customHeight="1">
      <c r="A12" s="55">
        <f>SUM(P5:P1000)</f>
        <v>572926.44999999995</v>
      </c>
      <c r="B12" s="97" t="s">
        <v>15</v>
      </c>
      <c r="C12" s="61">
        <v>18230023</v>
      </c>
      <c r="D12" s="61" t="s">
        <v>297</v>
      </c>
      <c r="E12" s="38" t="s">
        <v>660</v>
      </c>
      <c r="F12" s="39" t="s">
        <v>659</v>
      </c>
      <c r="G12" s="39">
        <v>11</v>
      </c>
      <c r="H12" s="39"/>
      <c r="I12" s="40" t="s">
        <v>269</v>
      </c>
      <c r="J12" s="41">
        <v>3324</v>
      </c>
      <c r="K12" s="41">
        <v>508</v>
      </c>
      <c r="L12" s="41"/>
      <c r="M12" s="42">
        <v>75</v>
      </c>
      <c r="N12" s="42">
        <v>189</v>
      </c>
      <c r="O12" s="43">
        <v>1688592</v>
      </c>
      <c r="P12" s="44">
        <v>249054.38</v>
      </c>
      <c r="Q12" s="44">
        <v>628236</v>
      </c>
      <c r="R12" s="45">
        <v>0</v>
      </c>
      <c r="S12" s="46">
        <v>0</v>
      </c>
      <c r="T12" s="39">
        <f t="shared" si="0"/>
        <v>11</v>
      </c>
      <c r="U12" s="47">
        <f t="shared" si="1"/>
        <v>6.4129514211501348</v>
      </c>
      <c r="V12" s="48">
        <f t="shared" si="2"/>
        <v>114</v>
      </c>
      <c r="W12" s="49">
        <f t="shared" si="3"/>
        <v>0.58299558374092131</v>
      </c>
      <c r="X12" s="44">
        <f t="shared" si="4"/>
        <v>156767.66987674136</v>
      </c>
      <c r="Y12" s="44">
        <f t="shared" si="5"/>
        <v>379181.62</v>
      </c>
      <c r="Z12" s="44">
        <f t="shared" si="6"/>
        <v>519838.16802566126</v>
      </c>
      <c r="AA12" s="50">
        <f t="shared" si="7"/>
        <v>785003.66987674136</v>
      </c>
      <c r="AB12" s="51">
        <f t="shared" si="8"/>
        <v>485966.31581346283</v>
      </c>
      <c r="AC12" s="44">
        <f t="shared" si="8"/>
        <v>733854.04307445197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1.0685556528500126</v>
      </c>
      <c r="AG12" s="44">
        <f t="shared" si="10"/>
        <v>1804354.5269573084</v>
      </c>
      <c r="AH12" s="52">
        <f>HLOOKUP(I12,ElecAvoidedCostsWOCC!$A$5:$Q$50,T12+1,FALSE)</f>
        <v>1.0685556528500126</v>
      </c>
      <c r="AI12" s="44">
        <f t="shared" si="11"/>
        <v>0</v>
      </c>
      <c r="AJ12" s="44">
        <f t="shared" si="12"/>
        <v>1804354.5269573084</v>
      </c>
      <c r="AK12" s="44">
        <f>HLOOKUP(I12,ElecAvoidedCostsWOCC!$A$5:$Q$50,G12+1,FALSE)*J12*L12</f>
        <v>0</v>
      </c>
      <c r="AL12" s="44">
        <f t="shared" si="13"/>
        <v>1804354.5269573084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1804354.5269573084</v>
      </c>
      <c r="AN12" s="48">
        <f t="shared" si="14"/>
        <v>1984789.9796530395</v>
      </c>
      <c r="AO12" s="47">
        <f t="shared" si="15"/>
        <v>3.7129209746502392</v>
      </c>
      <c r="AP12" s="47">
        <f t="shared" si="16"/>
        <v>2.7046113575089699</v>
      </c>
      <c r="AQ12">
        <v>2021</v>
      </c>
    </row>
    <row r="13" spans="1:43" ht="13.5" customHeight="1">
      <c r="A13" s="56" t="s">
        <v>252</v>
      </c>
      <c r="B13" s="97" t="s">
        <v>15</v>
      </c>
      <c r="C13" s="61">
        <v>18230023</v>
      </c>
      <c r="D13" s="61" t="s">
        <v>297</v>
      </c>
      <c r="E13" s="38" t="s">
        <v>661</v>
      </c>
      <c r="F13" s="39" t="s">
        <v>662</v>
      </c>
      <c r="G13" s="39">
        <v>11</v>
      </c>
      <c r="H13" s="39"/>
      <c r="I13" s="40" t="s">
        <v>269</v>
      </c>
      <c r="J13" s="41">
        <v>1977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11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1.0685556528500126</v>
      </c>
      <c r="AG13" s="44">
        <f t="shared" si="10"/>
        <v>0</v>
      </c>
      <c r="AH13" s="52">
        <f>HLOOKUP(I13,ElecAvoidedCostsWOCC!$A$5:$Q$50,T13+1,FALSE)</f>
        <v>1.0685556528500126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  <c r="AQ13">
        <v>2021</v>
      </c>
    </row>
    <row r="14" spans="1:43" ht="13.5" customHeight="1">
      <c r="A14" s="55">
        <f>SUM(Y5:Y1000)</f>
        <v>586552.94000000053</v>
      </c>
      <c r="B14" s="97" t="s">
        <v>15</v>
      </c>
      <c r="C14" s="61">
        <v>18230023</v>
      </c>
      <c r="D14" s="61" t="s">
        <v>297</v>
      </c>
      <c r="E14" s="38" t="s">
        <v>663</v>
      </c>
      <c r="F14" s="39" t="s">
        <v>662</v>
      </c>
      <c r="G14" s="39">
        <v>11</v>
      </c>
      <c r="H14" s="39"/>
      <c r="I14" s="40" t="s">
        <v>269</v>
      </c>
      <c r="J14" s="41">
        <v>10704</v>
      </c>
      <c r="K14" s="41"/>
      <c r="L14" s="41"/>
      <c r="M14" s="42"/>
      <c r="N14" s="42"/>
      <c r="O14" s="43">
        <v>0</v>
      </c>
      <c r="P14" s="44">
        <v>0</v>
      </c>
      <c r="Q14" s="44">
        <v>0</v>
      </c>
      <c r="R14" s="45">
        <v>0</v>
      </c>
      <c r="S14" s="46">
        <v>0</v>
      </c>
      <c r="T14" s="39">
        <f t="shared" si="0"/>
        <v>11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1.0685556528500126</v>
      </c>
      <c r="AG14" s="44">
        <f t="shared" si="10"/>
        <v>0</v>
      </c>
      <c r="AH14" s="52">
        <f>HLOOKUP(I14,ElecAvoidedCostsWOCC!$A$5:$Q$50,T14+1,FALSE)</f>
        <v>1.0685556528500126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  <c r="AQ14">
        <v>2021</v>
      </c>
    </row>
    <row r="15" spans="1:43" ht="13.5" customHeight="1">
      <c r="A15" s="57" t="s">
        <v>253</v>
      </c>
      <c r="B15" s="97" t="s">
        <v>15</v>
      </c>
      <c r="C15" s="61">
        <v>18230023</v>
      </c>
      <c r="D15" s="61" t="s">
        <v>297</v>
      </c>
      <c r="E15" s="38" t="s">
        <v>664</v>
      </c>
      <c r="F15" s="39" t="s">
        <v>665</v>
      </c>
      <c r="G15" s="39">
        <v>15</v>
      </c>
      <c r="H15" s="39"/>
      <c r="I15" s="40" t="s">
        <v>269</v>
      </c>
      <c r="J15" s="41">
        <v>2540</v>
      </c>
      <c r="K15" s="41">
        <v>69</v>
      </c>
      <c r="L15" s="41"/>
      <c r="M15" s="42">
        <v>75</v>
      </c>
      <c r="N15" s="42">
        <v>100</v>
      </c>
      <c r="O15" s="43">
        <v>175260</v>
      </c>
      <c r="P15" s="44">
        <v>190575</v>
      </c>
      <c r="Q15" s="44">
        <v>254000</v>
      </c>
      <c r="R15" s="45">
        <v>0</v>
      </c>
      <c r="S15" s="46">
        <v>0</v>
      </c>
      <c r="T15" s="39">
        <f t="shared" si="0"/>
        <v>15</v>
      </c>
      <c r="U15" s="47">
        <f t="shared" si="1"/>
        <v>0.90764204147390715</v>
      </c>
      <c r="V15" s="48">
        <f t="shared" si="2"/>
        <v>25</v>
      </c>
      <c r="W15" s="49">
        <f t="shared" si="3"/>
        <v>6.0509469431593813E-2</v>
      </c>
      <c r="X15" s="44">
        <f t="shared" si="4"/>
        <v>16271.012667712324</v>
      </c>
      <c r="Y15" s="44">
        <f t="shared" si="5"/>
        <v>63425</v>
      </c>
      <c r="Z15" s="44">
        <f t="shared" si="6"/>
        <v>53954.322493638123</v>
      </c>
      <c r="AA15" s="50">
        <f t="shared" si="7"/>
        <v>270271.01266771235</v>
      </c>
      <c r="AB15" s="51">
        <f t="shared" si="8"/>
        <v>50438.742164754716</v>
      </c>
      <c r="AC15" s="44">
        <f t="shared" si="8"/>
        <v>252660.57087754729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1.3893373920773078</v>
      </c>
      <c r="AG15" s="44">
        <f t="shared" si="10"/>
        <v>243495.27133546898</v>
      </c>
      <c r="AH15" s="52">
        <f>HLOOKUP(I15,ElecAvoidedCostsWOCC!$A$5:$Q$50,T15+1,FALSE)</f>
        <v>1.3893373920773078</v>
      </c>
      <c r="AI15" s="44">
        <f t="shared" si="11"/>
        <v>0</v>
      </c>
      <c r="AJ15" s="44">
        <f t="shared" si="12"/>
        <v>243495.27133546898</v>
      </c>
      <c r="AK15" s="44">
        <f>HLOOKUP(I15,ElecAvoidedCostsWOCC!$A$5:$Q$50,G15+1,FALSE)*J15*L15</f>
        <v>0</v>
      </c>
      <c r="AL15" s="44">
        <f t="shared" si="13"/>
        <v>243495.27133546898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243495.27133546898</v>
      </c>
      <c r="AN15" s="48">
        <f t="shared" si="14"/>
        <v>267844.79846901592</v>
      </c>
      <c r="AO15" s="47">
        <f t="shared" si="15"/>
        <v>4.8275444803938266</v>
      </c>
      <c r="AP15" s="47">
        <f t="shared" si="16"/>
        <v>1.0600973374623923</v>
      </c>
      <c r="AQ15">
        <v>2021</v>
      </c>
    </row>
    <row r="16" spans="1:43" ht="13.5" customHeight="1">
      <c r="A16" s="54">
        <f>SUM(U5:U999)</f>
        <v>11.369865309221689</v>
      </c>
      <c r="B16" s="97" t="s">
        <v>15</v>
      </c>
      <c r="C16" s="100">
        <v>18230023</v>
      </c>
      <c r="D16" s="100" t="s">
        <v>297</v>
      </c>
      <c r="E16" s="38" t="s">
        <v>651</v>
      </c>
      <c r="F16" s="39" t="s">
        <v>650</v>
      </c>
      <c r="G16" s="39">
        <v>11</v>
      </c>
      <c r="H16" s="39"/>
      <c r="I16" s="40" t="s">
        <v>269</v>
      </c>
      <c r="J16" s="41">
        <v>276</v>
      </c>
      <c r="K16" s="41">
        <v>502</v>
      </c>
      <c r="L16" s="41"/>
      <c r="M16" s="42">
        <v>75</v>
      </c>
      <c r="N16" s="42">
        <v>151.83000000000001</v>
      </c>
      <c r="O16" s="43">
        <v>138552</v>
      </c>
      <c r="P16" s="44">
        <v>20636.47</v>
      </c>
      <c r="Q16" s="44">
        <v>41905.0800000003</v>
      </c>
      <c r="R16" s="45">
        <v>0</v>
      </c>
      <c r="S16" s="46">
        <v>0</v>
      </c>
      <c r="T16" s="39">
        <f t="shared" si="0"/>
        <v>11</v>
      </c>
      <c r="U16" s="47">
        <f t="shared" si="1"/>
        <v>0.52619415779726153</v>
      </c>
      <c r="V16" s="48">
        <f t="shared" si="2"/>
        <v>76.830000000000013</v>
      </c>
      <c r="W16" s="49">
        <f t="shared" si="3"/>
        <v>4.7835832527023774E-2</v>
      </c>
      <c r="X16" s="44">
        <f t="shared" si="4"/>
        <v>12863.068282191476</v>
      </c>
      <c r="Y16" s="44">
        <f t="shared" si="5"/>
        <v>21268.610000000299</v>
      </c>
      <c r="Z16" s="44">
        <f t="shared" si="6"/>
        <v>42653.653372923371</v>
      </c>
      <c r="AA16" s="50">
        <f t="shared" si="7"/>
        <v>54768.148282191774</v>
      </c>
      <c r="AB16" s="51">
        <f t="shared" si="8"/>
        <v>39874.407191664359</v>
      </c>
      <c r="AC16" s="44">
        <f t="shared" si="8"/>
        <v>51199.540321764762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1.0685556528500126</v>
      </c>
      <c r="AG16" s="44">
        <f t="shared" si="10"/>
        <v>148050.52281367494</v>
      </c>
      <c r="AH16" s="52">
        <f>HLOOKUP(I16,ElecAvoidedCostsWOCC!$A$5:$Q$50,T16+1,FALSE)</f>
        <v>1.0685556528500126</v>
      </c>
      <c r="AI16" s="44">
        <f t="shared" si="11"/>
        <v>0</v>
      </c>
      <c r="AJ16" s="44">
        <f t="shared" si="12"/>
        <v>148050.52281367494</v>
      </c>
      <c r="AK16" s="44">
        <f>HLOOKUP(I16,ElecAvoidedCostsWOCC!$A$5:$Q$50,G16+1,FALSE)*J16*L16</f>
        <v>0</v>
      </c>
      <c r="AL16" s="44">
        <f t="shared" si="13"/>
        <v>148050.52281367494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148050.52281367496</v>
      </c>
      <c r="AN16" s="48">
        <f t="shared" si="14"/>
        <v>162855.57509504247</v>
      </c>
      <c r="AO16" s="47">
        <f t="shared" si="15"/>
        <v>3.7129209746502401</v>
      </c>
      <c r="AP16" s="47">
        <f t="shared" si="16"/>
        <v>3.1808015085989569</v>
      </c>
      <c r="AQ16">
        <v>2020</v>
      </c>
    </row>
    <row r="17" spans="1:43" ht="13.5" customHeight="1">
      <c r="A17" s="58" t="s">
        <v>254</v>
      </c>
      <c r="B17" s="97" t="s">
        <v>15</v>
      </c>
      <c r="C17" s="100">
        <v>18230023</v>
      </c>
      <c r="D17" s="100" t="s">
        <v>297</v>
      </c>
      <c r="E17" s="38" t="s">
        <v>1860</v>
      </c>
      <c r="F17" s="39" t="s">
        <v>1861</v>
      </c>
      <c r="G17" s="39">
        <v>12</v>
      </c>
      <c r="H17" s="39"/>
      <c r="I17" s="40" t="s">
        <v>248</v>
      </c>
      <c r="J17" s="41">
        <v>1938</v>
      </c>
      <c r="K17" s="41">
        <v>11.32</v>
      </c>
      <c r="L17" s="41"/>
      <c r="M17" s="42">
        <v>2</v>
      </c>
      <c r="N17" s="42">
        <v>2</v>
      </c>
      <c r="O17" s="43">
        <v>21938.159999999702</v>
      </c>
      <c r="P17" s="44">
        <v>7306.2599999999702</v>
      </c>
      <c r="Q17" s="44">
        <v>3876</v>
      </c>
      <c r="R17" s="45">
        <v>0</v>
      </c>
      <c r="S17" s="46">
        <v>0</v>
      </c>
      <c r="T17" s="39">
        <f t="shared" si="0"/>
        <v>12</v>
      </c>
      <c r="U17" s="47">
        <f t="shared" si="1"/>
        <v>9.0891230531009656E-2</v>
      </c>
      <c r="V17" s="48">
        <f t="shared" si="2"/>
        <v>0</v>
      </c>
      <c r="W17" s="49">
        <f t="shared" si="3"/>
        <v>7.5742692109174716E-3</v>
      </c>
      <c r="X17" s="44">
        <f t="shared" si="4"/>
        <v>2036.7230358683953</v>
      </c>
      <c r="Y17" s="44">
        <f t="shared" si="5"/>
        <v>-3430.2599999999702</v>
      </c>
      <c r="Z17" s="44">
        <f t="shared" si="6"/>
        <v>6753.7290856842183</v>
      </c>
      <c r="AA17" s="50">
        <f t="shared" si="7"/>
        <v>5912.7230358683955</v>
      </c>
      <c r="AB17" s="51">
        <f t="shared" si="8"/>
        <v>6313.6665286381394</v>
      </c>
      <c r="AC17" s="44">
        <f t="shared" si="8"/>
        <v>5527.4591342137001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0.91115730059915656</v>
      </c>
      <c r="AG17" s="44">
        <f t="shared" si="10"/>
        <v>19989.114645712394</v>
      </c>
      <c r="AH17" s="52">
        <f>HLOOKUP(I17,ElecAvoidedCostsWOCC!$A$5:$Q$50,T17+1,FALSE)</f>
        <v>0.91115730059915656</v>
      </c>
      <c r="AI17" s="44">
        <f t="shared" si="11"/>
        <v>0</v>
      </c>
      <c r="AJ17" s="44">
        <f t="shared" si="12"/>
        <v>19989.114645712394</v>
      </c>
      <c r="AK17" s="44">
        <f>HLOOKUP(I17,ElecAvoidedCostsWOCC!$A$5:$Q$50,G17+1,FALSE)*J17*L17</f>
        <v>0</v>
      </c>
      <c r="AL17" s="44">
        <f t="shared" si="13"/>
        <v>19989.114645712394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19989.114645712394</v>
      </c>
      <c r="AN17" s="48">
        <f t="shared" si="14"/>
        <v>21988.026110283634</v>
      </c>
      <c r="AO17" s="47">
        <f t="shared" si="15"/>
        <v>3.1660073516781151</v>
      </c>
      <c r="AP17" s="47">
        <f t="shared" si="16"/>
        <v>3.9779626726107864</v>
      </c>
      <c r="AQ17">
        <v>2020</v>
      </c>
    </row>
    <row r="18" spans="1:43" ht="13.5" customHeight="1">
      <c r="A18" s="59">
        <f>A6+A8</f>
        <v>891667.42</v>
      </c>
      <c r="B18" s="97" t="s">
        <v>15</v>
      </c>
      <c r="C18" s="100">
        <v>18230023</v>
      </c>
      <c r="D18" s="100" t="s">
        <v>297</v>
      </c>
      <c r="E18" s="38" t="s">
        <v>1873</v>
      </c>
      <c r="F18" s="39" t="s">
        <v>1874</v>
      </c>
      <c r="G18" s="39">
        <v>10</v>
      </c>
      <c r="H18" s="39"/>
      <c r="I18" s="40" t="s">
        <v>265</v>
      </c>
      <c r="J18" s="41">
        <v>1484</v>
      </c>
      <c r="K18" s="41">
        <v>10</v>
      </c>
      <c r="L18" s="41"/>
      <c r="M18" s="42">
        <v>1.27</v>
      </c>
      <c r="N18" s="42">
        <v>1.27</v>
      </c>
      <c r="O18" s="43">
        <v>14840</v>
      </c>
      <c r="P18" s="44">
        <v>1261.4000000000201</v>
      </c>
      <c r="Q18" s="44">
        <v>1884.6799999999801</v>
      </c>
      <c r="R18" s="45">
        <v>2.74</v>
      </c>
      <c r="S18" s="46">
        <v>0</v>
      </c>
      <c r="T18" s="39">
        <f t="shared" si="0"/>
        <v>10</v>
      </c>
      <c r="U18" s="47">
        <f t="shared" si="1"/>
        <v>5.1235908157300711E-2</v>
      </c>
      <c r="V18" s="48">
        <f t="shared" si="2"/>
        <v>0</v>
      </c>
      <c r="W18" s="49">
        <f t="shared" si="3"/>
        <v>5.1235908157300711E-3</v>
      </c>
      <c r="X18" s="44">
        <f t="shared" si="4"/>
        <v>1377.7349537193365</v>
      </c>
      <c r="Y18" s="44">
        <f t="shared" si="5"/>
        <v>623.27999999995995</v>
      </c>
      <c r="Z18" s="44">
        <f t="shared" si="6"/>
        <v>4568.5390037977286</v>
      </c>
      <c r="AA18" s="50">
        <f t="shared" si="7"/>
        <v>3262.4149537193166</v>
      </c>
      <c r="AB18" s="51">
        <f t="shared" si="8"/>
        <v>4270.860057771084</v>
      </c>
      <c r="AC18" s="44">
        <f t="shared" si="8"/>
        <v>3049.8410336723532</v>
      </c>
      <c r="AD18" s="44">
        <f t="shared" si="9"/>
        <v>28598.652588804718</v>
      </c>
      <c r="AE18" s="44">
        <f t="shared" si="17"/>
        <v>0</v>
      </c>
      <c r="AF18" s="52">
        <f>HLOOKUP(I18,ElecAvoidedCostsWOCC!$A$5:$Q$50,G18+1,FALSE)</f>
        <v>0.74487332198138856</v>
      </c>
      <c r="AG18" s="44">
        <f t="shared" si="10"/>
        <v>11053.920098203806</v>
      </c>
      <c r="AH18" s="52">
        <f>HLOOKUP(I18,ElecAvoidedCostsWOCC!$A$5:$Q$50,T18+1,FALSE)</f>
        <v>0.74487332198138856</v>
      </c>
      <c r="AI18" s="44">
        <f t="shared" si="11"/>
        <v>0</v>
      </c>
      <c r="AJ18" s="44">
        <f t="shared" si="12"/>
        <v>11053.920098203806</v>
      </c>
      <c r="AK18" s="44">
        <f>HLOOKUP(I18,ElecAvoidedCostsWOCC!$A$5:$Q$50,G18+1,FALSE)*J18*L18</f>
        <v>0</v>
      </c>
      <c r="AL18" s="44">
        <f t="shared" si="13"/>
        <v>11053.920098203806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11053.920098203806</v>
      </c>
      <c r="AN18" s="48">
        <f t="shared" si="14"/>
        <v>40757.964696828902</v>
      </c>
      <c r="AO18" s="47">
        <f t="shared" si="15"/>
        <v>2.5882187542273929</v>
      </c>
      <c r="AP18" s="47">
        <f t="shared" si="16"/>
        <v>13.363963644935195</v>
      </c>
      <c r="AQ18">
        <v>2020</v>
      </c>
    </row>
    <row r="19" spans="1:43" ht="13.5" customHeight="1">
      <c r="A19" s="58" t="s">
        <v>231</v>
      </c>
      <c r="B19" s="97" t="s">
        <v>15</v>
      </c>
      <c r="C19" s="100">
        <v>18230023</v>
      </c>
      <c r="D19" s="100" t="s">
        <v>297</v>
      </c>
      <c r="E19" s="38" t="s">
        <v>1875</v>
      </c>
      <c r="F19" s="39" t="s">
        <v>1876</v>
      </c>
      <c r="G19" s="39">
        <v>10</v>
      </c>
      <c r="H19" s="39"/>
      <c r="I19" s="40" t="s">
        <v>265</v>
      </c>
      <c r="J19" s="41">
        <v>454</v>
      </c>
      <c r="K19" s="41">
        <v>12</v>
      </c>
      <c r="L19" s="41"/>
      <c r="M19" s="42">
        <v>1.81</v>
      </c>
      <c r="N19" s="42">
        <v>1.81</v>
      </c>
      <c r="O19" s="43">
        <v>5448</v>
      </c>
      <c r="P19" s="44">
        <v>454</v>
      </c>
      <c r="Q19" s="44">
        <v>821.74000000000103</v>
      </c>
      <c r="R19" s="45">
        <v>2.74</v>
      </c>
      <c r="S19" s="46">
        <v>0</v>
      </c>
      <c r="T19" s="39">
        <f t="shared" si="0"/>
        <v>10</v>
      </c>
      <c r="U19" s="47">
        <f t="shared" si="1"/>
        <v>1.8809516687397186E-2</v>
      </c>
      <c r="V19" s="48">
        <f t="shared" si="2"/>
        <v>0</v>
      </c>
      <c r="W19" s="49">
        <f t="shared" si="3"/>
        <v>1.8809516687397186E-3</v>
      </c>
      <c r="X19" s="44">
        <f t="shared" si="4"/>
        <v>505.78841158106093</v>
      </c>
      <c r="Y19" s="44">
        <f t="shared" si="5"/>
        <v>367.74000000000103</v>
      </c>
      <c r="Z19" s="44">
        <f t="shared" si="6"/>
        <v>1677.1833216098396</v>
      </c>
      <c r="AA19" s="50">
        <f t="shared" si="7"/>
        <v>1327.5284115810618</v>
      </c>
      <c r="AB19" s="51">
        <f t="shared" si="8"/>
        <v>1567.9006465456105</v>
      </c>
      <c r="AC19" s="44">
        <f t="shared" si="8"/>
        <v>1241.0287104618694</v>
      </c>
      <c r="AD19" s="44">
        <f t="shared" si="9"/>
        <v>8749.1834739335191</v>
      </c>
      <c r="AE19" s="44">
        <f t="shared" si="17"/>
        <v>0</v>
      </c>
      <c r="AF19" s="52">
        <f>HLOOKUP(I19,ElecAvoidedCostsWOCC!$A$5:$Q$50,G19+1,FALSE)</f>
        <v>0.74487332198138856</v>
      </c>
      <c r="AG19" s="44">
        <f t="shared" si="10"/>
        <v>4058.0698581546048</v>
      </c>
      <c r="AH19" s="52">
        <f>HLOOKUP(I19,ElecAvoidedCostsWOCC!$A$5:$Q$50,T19+1,FALSE)</f>
        <v>0.74487332198138856</v>
      </c>
      <c r="AI19" s="44">
        <f t="shared" si="11"/>
        <v>0</v>
      </c>
      <c r="AJ19" s="44">
        <f t="shared" si="12"/>
        <v>4058.0698581546048</v>
      </c>
      <c r="AK19" s="44">
        <f>HLOOKUP(I19,ElecAvoidedCostsWOCC!$A$5:$Q$50,G19+1,FALSE)*J19*L19</f>
        <v>0</v>
      </c>
      <c r="AL19" s="44">
        <f t="shared" si="13"/>
        <v>4058.0698581546048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4058.0698581546053</v>
      </c>
      <c r="AN19" s="48">
        <f t="shared" si="14"/>
        <v>13213.060317903586</v>
      </c>
      <c r="AO19" s="47">
        <f t="shared" si="15"/>
        <v>2.5882187542273938</v>
      </c>
      <c r="AP19" s="47">
        <f t="shared" si="16"/>
        <v>10.6468611132986</v>
      </c>
      <c r="AQ19">
        <v>2020</v>
      </c>
    </row>
    <row r="20" spans="1:43" ht="13.5" customHeight="1">
      <c r="A20" s="59">
        <f>A8+SUM(Q5:Q906)</f>
        <v>1428379.6600000006</v>
      </c>
      <c r="B20" s="97" t="s">
        <v>15</v>
      </c>
      <c r="C20" s="100">
        <v>18230023</v>
      </c>
      <c r="D20" s="100" t="s">
        <v>297</v>
      </c>
      <c r="E20" s="38" t="s">
        <v>658</v>
      </c>
      <c r="F20" s="39" t="s">
        <v>659</v>
      </c>
      <c r="G20" s="39">
        <v>11</v>
      </c>
      <c r="H20" s="39"/>
      <c r="I20" s="40" t="s">
        <v>269</v>
      </c>
      <c r="J20" s="41">
        <v>584</v>
      </c>
      <c r="K20" s="41">
        <v>506</v>
      </c>
      <c r="L20" s="41"/>
      <c r="M20" s="42">
        <v>75</v>
      </c>
      <c r="N20" s="42">
        <v>172.38</v>
      </c>
      <c r="O20" s="43">
        <v>295504</v>
      </c>
      <c r="P20" s="44">
        <v>43722.44</v>
      </c>
      <c r="Q20" s="44">
        <v>100669.920000001</v>
      </c>
      <c r="R20" s="45">
        <v>0</v>
      </c>
      <c r="S20" s="46">
        <v>0</v>
      </c>
      <c r="T20" s="39">
        <f t="shared" si="0"/>
        <v>11</v>
      </c>
      <c r="U20" s="47">
        <f t="shared" si="1"/>
        <v>1.1222680178252349</v>
      </c>
      <c r="V20" s="48">
        <f t="shared" si="2"/>
        <v>97.38</v>
      </c>
      <c r="W20" s="49">
        <f t="shared" si="3"/>
        <v>0.10202436525683954</v>
      </c>
      <c r="X20" s="44">
        <f t="shared" si="4"/>
        <v>27434.379364142773</v>
      </c>
      <c r="Y20" s="44">
        <f t="shared" si="5"/>
        <v>56947.480000001</v>
      </c>
      <c r="Z20" s="44">
        <f t="shared" si="6"/>
        <v>90971.802545703758</v>
      </c>
      <c r="AA20" s="50">
        <f t="shared" si="7"/>
        <v>128104.29936414378</v>
      </c>
      <c r="AB20" s="51">
        <f t="shared" si="8"/>
        <v>85044.220384877772</v>
      </c>
      <c r="AC20" s="44">
        <f t="shared" si="8"/>
        <v>119757.22105650534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1.0685556528500126</v>
      </c>
      <c r="AG20" s="44">
        <f t="shared" si="10"/>
        <v>315762.46963979019</v>
      </c>
      <c r="AH20" s="52">
        <f>HLOOKUP(I20,ElecAvoidedCostsWOCC!$A$5:$Q$50,T20+1,FALSE)</f>
        <v>1.0685556528500126</v>
      </c>
      <c r="AI20" s="44">
        <f t="shared" si="11"/>
        <v>0</v>
      </c>
      <c r="AJ20" s="44">
        <f t="shared" si="12"/>
        <v>315762.46963979019</v>
      </c>
      <c r="AK20" s="44">
        <f>HLOOKUP(I20,ElecAvoidedCostsWOCC!$A$5:$Q$50,G20+1,FALSE)*J20*L20</f>
        <v>0</v>
      </c>
      <c r="AL20" s="44">
        <f t="shared" si="13"/>
        <v>315762.46963979019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315762.46963979019</v>
      </c>
      <c r="AN20" s="48">
        <f t="shared" si="14"/>
        <v>347338.71660376922</v>
      </c>
      <c r="AO20" s="47">
        <f t="shared" si="15"/>
        <v>3.7129209746502401</v>
      </c>
      <c r="AP20" s="47">
        <f t="shared" si="16"/>
        <v>2.9003571854751335</v>
      </c>
      <c r="AQ20">
        <v>2020</v>
      </c>
    </row>
    <row r="21" spans="1:43" ht="13.5" customHeight="1">
      <c r="A21" s="58" t="s">
        <v>245</v>
      </c>
      <c r="B21" s="9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3" ht="13.5" customHeight="1">
      <c r="A22" s="60">
        <f>(SUM(AM5:AM1000)/(SUM(AB5:AB1000)))</f>
        <v>3.808464810571758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3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3" ht="13.5" customHeight="1">
      <c r="A24" s="60">
        <f>(SUM(AN5:AN1000)/SUM(AC5:AC1000))</f>
        <v>2.6431511711808806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3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39" si="19">G25+H25</f>
        <v>0</v>
      </c>
      <c r="U25" s="47">
        <f t="shared" ref="U25:U39" si="20">(O25/$A$10)*T25</f>
        <v>0</v>
      </c>
      <c r="V25" s="48">
        <f t="shared" ref="V25:V39" si="21">N25-M25</f>
        <v>0</v>
      </c>
      <c r="W25" s="49">
        <f t="shared" ref="W25:W39" si="22">(O25/A$10)</f>
        <v>0</v>
      </c>
      <c r="X25" s="44">
        <f t="shared" ref="X25:X39" si="23">W25*A$8</f>
        <v>0</v>
      </c>
      <c r="Y25" s="44">
        <f t="shared" ref="Y25:Y39" si="24">Q25-P25</f>
        <v>0</v>
      </c>
      <c r="Z25" s="44">
        <f t="shared" ref="Z25:Z39" si="25">X25+(A$6*W25)</f>
        <v>0</v>
      </c>
      <c r="AA25" s="50">
        <f t="shared" ref="AA25:AA39" si="26">Q25+X25</f>
        <v>0</v>
      </c>
      <c r="AB25" s="51">
        <f t="shared" ref="AB25:AB39" si="27">Z25/(1+ElecDiscountRate)^1</f>
        <v>0</v>
      </c>
      <c r="AC25" s="44">
        <f t="shared" ref="AC25:AC39" si="28">AA25/(1+ElecDiscountRate)^1</f>
        <v>0</v>
      </c>
      <c r="AD25" s="44">
        <f t="shared" ref="AD25:AD39" si="29">-PV(ElecDiscountRate,T25,R25)*J25</f>
        <v>0</v>
      </c>
      <c r="AE25" s="44">
        <f t="shared" ref="AE25:AE39" si="30">-PV(ElecDiscountRate,T25,S25)*J25</f>
        <v>0</v>
      </c>
      <c r="AF25" s="52" t="e">
        <f>HLOOKUP(I25,ElecAvoidedCostsWOCC!$A$5:$Q$50,G25+1,FALSE)</f>
        <v>#N/A</v>
      </c>
      <c r="AG25" s="44" t="e">
        <f t="shared" ref="AG25:AG39" si="31">AF25*J25*K25</f>
        <v>#N/A</v>
      </c>
      <c r="AH25" s="52" t="e">
        <f>HLOOKUP(I25,ElecAvoidedCostsWOCC!$A$5:$Q$50,T25+1,FALSE)</f>
        <v>#N/A</v>
      </c>
      <c r="AI25" s="44" t="e">
        <f t="shared" ref="AI25:AI39" si="32">AH25*J25*L25</f>
        <v>#N/A</v>
      </c>
      <c r="AJ25" s="44" t="e">
        <f t="shared" ref="AJ25:AJ39" si="33">AG25+AI25</f>
        <v>#N/A</v>
      </c>
      <c r="AK25" s="44" t="e">
        <f>HLOOKUP(I25,ElecAvoidedCostsWOCC!$A$5:$Q$50,G25+1,FALSE)*J25*L25</f>
        <v>#N/A</v>
      </c>
      <c r="AL25" s="44" t="e">
        <f t="shared" ref="AL25:AL39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39" si="35">AM25*1.1+AD25+AE25</f>
        <v>0</v>
      </c>
      <c r="AO25" s="47">
        <f t="shared" ref="AO25:AO39" si="36">IFERROR(AM25/AB25,0)</f>
        <v>0</v>
      </c>
      <c r="AP25" s="47" t="e">
        <f t="shared" ref="AP25:AP39" si="37">AN25/AC25</f>
        <v>#DIV/0!</v>
      </c>
    </row>
    <row r="26" spans="1:43" ht="13.5" customHeight="1">
      <c r="B26" s="9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9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3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</sheetData>
  <conditionalFormatting sqref="J5:L39">
    <cfRule type="expression" dxfId="299" priority="4">
      <formula>ISTEXT(J5)</formula>
    </cfRule>
    <cfRule type="notContainsBlanks" dxfId="298" priority="5">
      <formula>LEN(TRIM(J5))&gt;0</formula>
    </cfRule>
  </conditionalFormatting>
  <conditionalFormatting sqref="M5:N39 R5:S39">
    <cfRule type="expression" dxfId="297" priority="2">
      <formula>ISTEXT(M5)</formula>
    </cfRule>
  </conditionalFormatting>
  <conditionalFormatting sqref="M5:N39 R5:S39">
    <cfRule type="notContainsBlanks" dxfId="296" priority="3">
      <formula>LEN(TRIM(M5))&gt;0</formula>
    </cfRule>
  </conditionalFormatting>
  <conditionalFormatting sqref="R5:S39">
    <cfRule type="expression" dxfId="2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60"/>
  <sheetViews>
    <sheetView zoomScale="85" zoomScaleNormal="85" workbookViewId="0"/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18230435</v>
      </c>
      <c r="D2" s="20" t="s">
        <v>52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18230435</v>
      </c>
      <c r="D5" s="61" t="s">
        <v>52</v>
      </c>
      <c r="E5" s="38" t="s">
        <v>666</v>
      </c>
      <c r="F5" s="39" t="s">
        <v>667</v>
      </c>
      <c r="G5" s="39">
        <v>3</v>
      </c>
      <c r="H5" s="39">
        <v>7</v>
      </c>
      <c r="I5" s="40" t="s">
        <v>265</v>
      </c>
      <c r="J5" s="41">
        <v>1</v>
      </c>
      <c r="K5" s="41">
        <v>74.8</v>
      </c>
      <c r="L5" s="41">
        <v>44.7</v>
      </c>
      <c r="M5" s="42">
        <v>7</v>
      </c>
      <c r="N5" s="42">
        <v>3.71</v>
      </c>
      <c r="O5" s="43">
        <v>74.8</v>
      </c>
      <c r="P5" s="44">
        <v>7</v>
      </c>
      <c r="Q5" s="44">
        <v>3.71</v>
      </c>
      <c r="R5" s="45">
        <v>8.8800000000000008</v>
      </c>
      <c r="S5" s="46">
        <v>0</v>
      </c>
      <c r="T5" s="39">
        <f t="shared" ref="T5:T24" si="0">G5+H5</f>
        <v>10</v>
      </c>
      <c r="U5" s="47">
        <f t="shared" ref="U5:U24" si="1">(O5/$A$10)*T5</f>
        <v>6.6521088051998847E-4</v>
      </c>
      <c r="V5" s="48">
        <f t="shared" ref="V5:V24" si="2">N5-M5</f>
        <v>-3.29</v>
      </c>
      <c r="W5" s="49">
        <f t="shared" ref="W5:W24" si="3">(O5/A$10)</f>
        <v>6.6521088051998847E-5</v>
      </c>
      <c r="X5" s="44">
        <f t="shared" ref="X5:X24" si="4">W5*A$8</f>
        <v>13.316472125240708</v>
      </c>
      <c r="Y5" s="44">
        <f t="shared" ref="Y5:Y24" si="5">Q5-P5</f>
        <v>-3.29</v>
      </c>
      <c r="Z5" s="44">
        <f t="shared" ref="Z5:Z24" si="6">X5+(A$6*W5)</f>
        <v>25.248301815781137</v>
      </c>
      <c r="AA5" s="50">
        <f t="shared" ref="AA5:AA24" si="7">Q5+X5</f>
        <v>17.026472125240709</v>
      </c>
      <c r="AB5" s="51">
        <f t="shared" ref="AB5:AC20" si="8">Z5/(1+ElecDiscountRate)^1</f>
        <v>23.60316146188757</v>
      </c>
      <c r="AC5" s="44">
        <f t="shared" si="8"/>
        <v>15.917053496532398</v>
      </c>
      <c r="AD5" s="44">
        <f t="shared" ref="AD5:AD24" si="9">-PV(ElecDiscountRate,T5,R5)*J5</f>
        <v>62.455986726687065</v>
      </c>
      <c r="AE5" s="44">
        <v>0</v>
      </c>
      <c r="AF5" s="52">
        <f>HLOOKUP(I5,ElecAvoidedCostsWOCC!$A$5:$Q$50,G5+1,FALSE)</f>
        <v>0.2337612554483032</v>
      </c>
      <c r="AG5" s="44">
        <f t="shared" ref="AG5:AG24" si="10">AF5*J5*K5</f>
        <v>17.48534190753308</v>
      </c>
      <c r="AH5" s="52">
        <f>HLOOKUP(I5,ElecAvoidedCostsWOCC!$A$5:$Q$50,T5+1,FALSE)</f>
        <v>0.74487332198138856</v>
      </c>
      <c r="AI5" s="44">
        <f t="shared" ref="AI5:AI24" si="11">AH5*J5*L5</f>
        <v>33.295837492568069</v>
      </c>
      <c r="AJ5" s="44">
        <f>AG5+AI5</f>
        <v>50.781179400101152</v>
      </c>
      <c r="AK5" s="44">
        <f>HLOOKUP(I5,ElecAvoidedCostsWOCC!$A$5:$Q$50,G5+1,FALSE)*J5*L5</f>
        <v>10.449128118539154</v>
      </c>
      <c r="AL5" s="44">
        <f>AG5+AI5-AK5</f>
        <v>40.332051281562002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40.332051281562002</v>
      </c>
      <c r="AN5" s="48">
        <f>AM5*1.1+AD5+AE5</f>
        <v>106.82124313640527</v>
      </c>
      <c r="AO5" s="47">
        <f>IFERROR(AM5/AB5,0)</f>
        <v>1.7087563183723018</v>
      </c>
      <c r="AP5" s="47">
        <f>AN5/AC5</f>
        <v>6.7111191879625682</v>
      </c>
      <c r="AQ5">
        <v>2021</v>
      </c>
    </row>
    <row r="6" spans="1:43" ht="13.5" customHeight="1">
      <c r="A6" s="53">
        <f>SUMIF('Program Costs'!D:D,C2,'Program Costs'!L:L)</f>
        <v>179369.13</v>
      </c>
      <c r="B6" s="97" t="s">
        <v>15</v>
      </c>
      <c r="C6" s="61">
        <v>18230435</v>
      </c>
      <c r="D6" s="61" t="s">
        <v>52</v>
      </c>
      <c r="E6" s="38" t="s">
        <v>668</v>
      </c>
      <c r="F6" s="39" t="s">
        <v>669</v>
      </c>
      <c r="G6" s="39">
        <v>3</v>
      </c>
      <c r="H6" s="39">
        <v>7</v>
      </c>
      <c r="I6" s="40" t="s">
        <v>265</v>
      </c>
      <c r="J6" s="41">
        <v>557</v>
      </c>
      <c r="K6" s="41">
        <v>56.2</v>
      </c>
      <c r="L6" s="41">
        <v>22.9</v>
      </c>
      <c r="M6" s="42">
        <v>7</v>
      </c>
      <c r="N6" s="42">
        <v>3.71</v>
      </c>
      <c r="O6" s="43">
        <v>31303.4</v>
      </c>
      <c r="P6" s="44">
        <v>3899</v>
      </c>
      <c r="Q6" s="44">
        <v>2066.4699999999998</v>
      </c>
      <c r="R6" s="45">
        <v>5.34</v>
      </c>
      <c r="S6" s="46">
        <v>0</v>
      </c>
      <c r="T6" s="39">
        <f t="shared" si="0"/>
        <v>10</v>
      </c>
      <c r="U6" s="47">
        <f t="shared" si="1"/>
        <v>0.27838719622017927</v>
      </c>
      <c r="V6" s="48">
        <f t="shared" si="2"/>
        <v>-3.29</v>
      </c>
      <c r="W6" s="49">
        <f t="shared" si="3"/>
        <v>2.7838719622017925E-2</v>
      </c>
      <c r="X6" s="44">
        <f t="shared" si="4"/>
        <v>5572.8723733323523</v>
      </c>
      <c r="Y6" s="44">
        <f t="shared" si="5"/>
        <v>-1832.5300000000002</v>
      </c>
      <c r="Z6" s="44">
        <f t="shared" si="6"/>
        <v>10566.279292247636</v>
      </c>
      <c r="AA6" s="50">
        <f t="shared" si="7"/>
        <v>7639.3423733323525</v>
      </c>
      <c r="AB6" s="51">
        <f t="shared" si="8"/>
        <v>9877.7968516851779</v>
      </c>
      <c r="AC6" s="44">
        <f t="shared" si="8"/>
        <v>7141.5746221672916</v>
      </c>
      <c r="AD6" s="44">
        <f t="shared" si="9"/>
        <v>20919.801554067959</v>
      </c>
      <c r="AE6" s="44">
        <v>0</v>
      </c>
      <c r="AF6" s="52">
        <f>HLOOKUP(I6,ElecAvoidedCostsWOCC!$A$5:$Q$50,G6+1,FALSE)</f>
        <v>0.2337612554483032</v>
      </c>
      <c r="AG6" s="44">
        <f t="shared" si="10"/>
        <v>7317.5220838004152</v>
      </c>
      <c r="AH6" s="52">
        <f>HLOOKUP(I6,ElecAvoidedCostsWOCC!$A$5:$Q$50,T6+1,FALSE)</f>
        <v>0.74487332198138856</v>
      </c>
      <c r="AI6" s="44">
        <f t="shared" si="11"/>
        <v>9501.0826838692046</v>
      </c>
      <c r="AJ6" s="44">
        <f t="shared" ref="AJ6:AJ24" si="12">AG6+AI6</f>
        <v>16818.604767669618</v>
      </c>
      <c r="AK6" s="44">
        <f>HLOOKUP(I6,ElecAvoidedCostsWOCC!$A$5:$Q$50,G6+1,FALSE)*J6*L6</f>
        <v>2981.6949416197417</v>
      </c>
      <c r="AL6" s="44">
        <f t="shared" ref="AL6:AL24" si="13">AG6+AI6-AK6</f>
        <v>13836.909826049876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13836.909826049876</v>
      </c>
      <c r="AN6" s="48">
        <f t="shared" ref="AN6:AN24" si="14">AM6*1.1+AD6+AE6</f>
        <v>36140.402362722823</v>
      </c>
      <c r="AO6" s="47">
        <f t="shared" ref="AO6:AO24" si="15">IFERROR(AM6/AB6,0)</f>
        <v>1.4008093134340238</v>
      </c>
      <c r="AP6" s="47">
        <f t="shared" ref="AP6:AP24" si="16">AN6/AC6</f>
        <v>5.0605649698798647</v>
      </c>
      <c r="AQ6">
        <v>2021</v>
      </c>
    </row>
    <row r="7" spans="1:43" ht="13.5" customHeight="1">
      <c r="A7" s="36" t="s">
        <v>249</v>
      </c>
      <c r="B7" s="97" t="s">
        <v>15</v>
      </c>
      <c r="C7" s="61">
        <v>18230435</v>
      </c>
      <c r="D7" s="61" t="s">
        <v>52</v>
      </c>
      <c r="E7" s="38" t="s">
        <v>670</v>
      </c>
      <c r="F7" s="39" t="s">
        <v>671</v>
      </c>
      <c r="G7" s="39">
        <v>3</v>
      </c>
      <c r="H7" s="39">
        <v>7</v>
      </c>
      <c r="I7" s="40" t="s">
        <v>265</v>
      </c>
      <c r="J7" s="41">
        <v>68</v>
      </c>
      <c r="K7" s="41">
        <v>39.4</v>
      </c>
      <c r="L7" s="41">
        <v>6.8</v>
      </c>
      <c r="M7" s="42">
        <v>3.5</v>
      </c>
      <c r="N7" s="42">
        <v>3.71</v>
      </c>
      <c r="O7" s="43">
        <v>2679.2</v>
      </c>
      <c r="P7" s="44">
        <v>238</v>
      </c>
      <c r="Q7" s="44">
        <v>252.28</v>
      </c>
      <c r="R7" s="45">
        <v>2.5099999999999998</v>
      </c>
      <c r="S7" s="46">
        <v>0</v>
      </c>
      <c r="T7" s="39">
        <f t="shared" si="0"/>
        <v>10</v>
      </c>
      <c r="U7" s="47">
        <f t="shared" si="1"/>
        <v>2.3826644265897767E-2</v>
      </c>
      <c r="V7" s="48">
        <f t="shared" si="2"/>
        <v>0.20999999999999996</v>
      </c>
      <c r="W7" s="49">
        <f t="shared" si="3"/>
        <v>2.3826644265897766E-3</v>
      </c>
      <c r="X7" s="44">
        <f t="shared" si="4"/>
        <v>476.97181975862162</v>
      </c>
      <c r="Y7" s="44">
        <f t="shared" si="5"/>
        <v>14.280000000000001</v>
      </c>
      <c r="Z7" s="44">
        <f t="shared" si="6"/>
        <v>904.34826503797876</v>
      </c>
      <c r="AA7" s="50">
        <f t="shared" si="7"/>
        <v>729.25181975862165</v>
      </c>
      <c r="AB7" s="51">
        <f t="shared" si="8"/>
        <v>845.42232872579109</v>
      </c>
      <c r="AC7" s="44">
        <f t="shared" si="8"/>
        <v>681.73489740920036</v>
      </c>
      <c r="AD7" s="44">
        <f t="shared" si="9"/>
        <v>1200.4490782106923</v>
      </c>
      <c r="AE7" s="44">
        <v>0</v>
      </c>
      <c r="AF7" s="52">
        <f>HLOOKUP(I7,ElecAvoidedCostsWOCC!$A$5:$Q$50,G7+1,FALSE)</f>
        <v>0.2337612554483032</v>
      </c>
      <c r="AG7" s="44">
        <f t="shared" si="10"/>
        <v>626.29315559709391</v>
      </c>
      <c r="AH7" s="52">
        <f>HLOOKUP(I7,ElecAvoidedCostsWOCC!$A$5:$Q$50,T7+1,FALSE)</f>
        <v>0.74487332198138856</v>
      </c>
      <c r="AI7" s="44">
        <f t="shared" si="11"/>
        <v>344.42942408419407</v>
      </c>
      <c r="AJ7" s="44">
        <f t="shared" si="12"/>
        <v>970.72257968128793</v>
      </c>
      <c r="AK7" s="44">
        <f>HLOOKUP(I7,ElecAvoidedCostsWOCC!$A$5:$Q$50,G7+1,FALSE)*J7*L7</f>
        <v>108.0912045192954</v>
      </c>
      <c r="AL7" s="44">
        <f t="shared" si="13"/>
        <v>862.63137516199254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862.63137516199254</v>
      </c>
      <c r="AN7" s="48">
        <f t="shared" si="14"/>
        <v>2149.3435908888841</v>
      </c>
      <c r="AO7" s="47">
        <f t="shared" si="15"/>
        <v>1.0203555617724678</v>
      </c>
      <c r="AP7" s="47">
        <f t="shared" si="16"/>
        <v>3.1527557105511872</v>
      </c>
      <c r="AQ7">
        <v>2021</v>
      </c>
    </row>
    <row r="8" spans="1:43" ht="13.5" customHeight="1">
      <c r="A8" s="53">
        <f>SUMIF('Program Costs'!D:D,C2,'Program Costs'!O:O)</f>
        <v>200184.21999999997</v>
      </c>
      <c r="B8" s="97" t="s">
        <v>15</v>
      </c>
      <c r="C8" s="61">
        <v>18230435</v>
      </c>
      <c r="D8" s="61" t="s">
        <v>52</v>
      </c>
      <c r="E8" s="38" t="s">
        <v>672</v>
      </c>
      <c r="F8" s="39" t="s">
        <v>673</v>
      </c>
      <c r="G8" s="39">
        <v>3</v>
      </c>
      <c r="H8" s="39">
        <v>7</v>
      </c>
      <c r="I8" s="40" t="s">
        <v>265</v>
      </c>
      <c r="J8" s="41">
        <v>5</v>
      </c>
      <c r="K8" s="41">
        <v>87.4</v>
      </c>
      <c r="L8" s="41">
        <v>51.9</v>
      </c>
      <c r="M8" s="42">
        <v>10</v>
      </c>
      <c r="N8" s="42">
        <v>5.29</v>
      </c>
      <c r="O8" s="43">
        <v>437</v>
      </c>
      <c r="P8" s="44">
        <v>50</v>
      </c>
      <c r="Q8" s="44">
        <v>26.45</v>
      </c>
      <c r="R8" s="45">
        <v>8.8800000000000008</v>
      </c>
      <c r="S8" s="46">
        <v>0</v>
      </c>
      <c r="T8" s="39">
        <f t="shared" si="0"/>
        <v>10</v>
      </c>
      <c r="U8" s="47">
        <f t="shared" si="1"/>
        <v>3.8863255987598259E-3</v>
      </c>
      <c r="V8" s="48">
        <f t="shared" si="2"/>
        <v>-4.71</v>
      </c>
      <c r="W8" s="49">
        <f t="shared" si="3"/>
        <v>3.8863255987598257E-4</v>
      </c>
      <c r="X8" s="44">
        <f t="shared" si="4"/>
        <v>77.798105865376854</v>
      </c>
      <c r="Y8" s="44">
        <f t="shared" si="5"/>
        <v>-23.55</v>
      </c>
      <c r="Z8" s="44">
        <f t="shared" si="6"/>
        <v>147.50679002000476</v>
      </c>
      <c r="AA8" s="50">
        <f t="shared" si="7"/>
        <v>104.24810586537686</v>
      </c>
      <c r="AB8" s="51">
        <f t="shared" si="8"/>
        <v>137.89547538562658</v>
      </c>
      <c r="AC8" s="44">
        <f t="shared" si="8"/>
        <v>97.455460283609284</v>
      </c>
      <c r="AD8" s="44">
        <f t="shared" si="9"/>
        <v>312.27993363343535</v>
      </c>
      <c r="AE8" s="44">
        <v>0</v>
      </c>
      <c r="AF8" s="52">
        <f>HLOOKUP(I8,ElecAvoidedCostsWOCC!$A$5:$Q$50,G8+1,FALSE)</f>
        <v>0.2337612554483032</v>
      </c>
      <c r="AG8" s="44">
        <f t="shared" si="10"/>
        <v>102.1536686309085</v>
      </c>
      <c r="AH8" s="52">
        <f>HLOOKUP(I8,ElecAvoidedCostsWOCC!$A$5:$Q$50,T8+1,FALSE)</f>
        <v>0.74487332198138856</v>
      </c>
      <c r="AI8" s="44">
        <f t="shared" si="11"/>
        <v>193.29462705417032</v>
      </c>
      <c r="AJ8" s="44">
        <f t="shared" si="12"/>
        <v>295.44829568507885</v>
      </c>
      <c r="AK8" s="44">
        <f>HLOOKUP(I8,ElecAvoidedCostsWOCC!$A$5:$Q$50,G8+1,FALSE)*J8*L8</f>
        <v>60.661045788834677</v>
      </c>
      <c r="AL8" s="44">
        <f t="shared" si="13"/>
        <v>234.78724989624416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234.78724989624416</v>
      </c>
      <c r="AN8" s="48">
        <f t="shared" si="14"/>
        <v>570.54590851930402</v>
      </c>
      <c r="AO8" s="47">
        <f t="shared" si="15"/>
        <v>1.7026465098993162</v>
      </c>
      <c r="AP8" s="47">
        <f t="shared" si="16"/>
        <v>5.8544273133484168</v>
      </c>
      <c r="AQ8">
        <v>2021</v>
      </c>
    </row>
    <row r="9" spans="1:43" ht="13.5" customHeight="1">
      <c r="A9" s="36" t="s">
        <v>250</v>
      </c>
      <c r="B9" s="97" t="s">
        <v>15</v>
      </c>
      <c r="C9" s="61">
        <v>18230435</v>
      </c>
      <c r="D9" s="61" t="s">
        <v>52</v>
      </c>
      <c r="E9" s="38" t="s">
        <v>674</v>
      </c>
      <c r="F9" s="39" t="s">
        <v>675</v>
      </c>
      <c r="G9" s="39">
        <v>3</v>
      </c>
      <c r="H9" s="39">
        <v>7</v>
      </c>
      <c r="I9" s="40" t="s">
        <v>265</v>
      </c>
      <c r="J9" s="41">
        <v>175</v>
      </c>
      <c r="K9" s="41">
        <v>65.7</v>
      </c>
      <c r="L9" s="41">
        <v>26.5</v>
      </c>
      <c r="M9" s="42">
        <v>10</v>
      </c>
      <c r="N9" s="42">
        <v>5.29</v>
      </c>
      <c r="O9" s="43">
        <v>11497.5</v>
      </c>
      <c r="P9" s="44">
        <v>1750</v>
      </c>
      <c r="Q9" s="44">
        <v>925.75</v>
      </c>
      <c r="R9" s="45">
        <v>5.34</v>
      </c>
      <c r="S9" s="46">
        <v>0</v>
      </c>
      <c r="T9" s="39">
        <f t="shared" si="0"/>
        <v>10</v>
      </c>
      <c r="U9" s="47">
        <f t="shared" si="1"/>
        <v>0.10224949329917871</v>
      </c>
      <c r="V9" s="48">
        <f t="shared" si="2"/>
        <v>-4.71</v>
      </c>
      <c r="W9" s="49">
        <f t="shared" si="3"/>
        <v>1.0224949329917871E-2</v>
      </c>
      <c r="X9" s="44">
        <f t="shared" si="4"/>
        <v>2046.8735061491313</v>
      </c>
      <c r="Y9" s="44">
        <f t="shared" si="5"/>
        <v>-824.25</v>
      </c>
      <c r="Z9" s="44">
        <f t="shared" si="6"/>
        <v>3880.9137717505828</v>
      </c>
      <c r="AA9" s="50">
        <f t="shared" si="7"/>
        <v>2972.6235061491316</v>
      </c>
      <c r="AB9" s="51">
        <f t="shared" si="8"/>
        <v>3628.0394239044426</v>
      </c>
      <c r="AC9" s="44">
        <f t="shared" si="8"/>
        <v>2778.9319492840341</v>
      </c>
      <c r="AD9" s="44">
        <f t="shared" si="9"/>
        <v>6572.648603163183</v>
      </c>
      <c r="AE9" s="44">
        <f t="shared" ref="AE9:AE24" si="17">-PV(ElecDiscountRate,T9,S9)*J9</f>
        <v>0</v>
      </c>
      <c r="AF9" s="52">
        <f>HLOOKUP(I9,ElecAvoidedCostsWOCC!$A$5:$Q$50,G9+1,FALSE)</f>
        <v>0.2337612554483032</v>
      </c>
      <c r="AG9" s="44">
        <f t="shared" si="10"/>
        <v>2687.6700345168665</v>
      </c>
      <c r="AH9" s="52">
        <f>HLOOKUP(I9,ElecAvoidedCostsWOCC!$A$5:$Q$50,T9+1,FALSE)</f>
        <v>0.74487332198138856</v>
      </c>
      <c r="AI9" s="44">
        <f t="shared" si="11"/>
        <v>3454.350030688689</v>
      </c>
      <c r="AJ9" s="44">
        <f t="shared" si="12"/>
        <v>6142.0200652055555</v>
      </c>
      <c r="AK9" s="44">
        <f>HLOOKUP(I9,ElecAvoidedCostsWOCC!$A$5:$Q$50,G9+1,FALSE)*J9*L9</f>
        <v>1084.0678221415062</v>
      </c>
      <c r="AL9" s="44">
        <f t="shared" si="13"/>
        <v>5057.9522430640491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5057.95224306405</v>
      </c>
      <c r="AN9" s="48">
        <f t="shared" si="14"/>
        <v>12136.396070533639</v>
      </c>
      <c r="AO9" s="47">
        <f t="shared" si="15"/>
        <v>1.3941282472671579</v>
      </c>
      <c r="AP9" s="47">
        <f t="shared" si="16"/>
        <v>4.3672879696318105</v>
      </c>
      <c r="AQ9">
        <v>2021</v>
      </c>
    </row>
    <row r="10" spans="1:43" ht="13.5" customHeight="1">
      <c r="A10" s="54">
        <f>SUM(O5:O999)</f>
        <v>1124455.4500000002</v>
      </c>
      <c r="B10" s="97" t="s">
        <v>15</v>
      </c>
      <c r="C10" s="61">
        <v>18230435</v>
      </c>
      <c r="D10" s="61" t="s">
        <v>52</v>
      </c>
      <c r="E10" s="38" t="s">
        <v>676</v>
      </c>
      <c r="F10" s="39" t="s">
        <v>677</v>
      </c>
      <c r="G10" s="39">
        <v>3</v>
      </c>
      <c r="H10" s="39">
        <v>7</v>
      </c>
      <c r="I10" s="40" t="s">
        <v>265</v>
      </c>
      <c r="J10" s="41">
        <v>32</v>
      </c>
      <c r="K10" s="41">
        <v>46.1</v>
      </c>
      <c r="L10" s="41">
        <v>6.8</v>
      </c>
      <c r="M10" s="42">
        <v>5</v>
      </c>
      <c r="N10" s="42">
        <v>5.29</v>
      </c>
      <c r="O10" s="43">
        <v>1475.2</v>
      </c>
      <c r="P10" s="44">
        <v>160</v>
      </c>
      <c r="Q10" s="44">
        <v>169.28</v>
      </c>
      <c r="R10" s="45">
        <v>2.5099999999999998</v>
      </c>
      <c r="S10" s="46">
        <v>0</v>
      </c>
      <c r="T10" s="39">
        <f t="shared" si="0"/>
        <v>10</v>
      </c>
      <c r="U10" s="47">
        <f t="shared" si="1"/>
        <v>1.3119239183731111E-2</v>
      </c>
      <c r="V10" s="48">
        <f t="shared" si="2"/>
        <v>0.29000000000000004</v>
      </c>
      <c r="W10" s="49">
        <f t="shared" si="3"/>
        <v>1.3119239183731111E-3</v>
      </c>
      <c r="X10" s="44">
        <f t="shared" si="4"/>
        <v>262.6264662988649</v>
      </c>
      <c r="Y10" s="44">
        <f t="shared" si="5"/>
        <v>9.2800000000000011</v>
      </c>
      <c r="Z10" s="44">
        <f t="shared" si="6"/>
        <v>497.94511816364081</v>
      </c>
      <c r="AA10" s="50">
        <f t="shared" si="7"/>
        <v>431.90646629886487</v>
      </c>
      <c r="AB10" s="51">
        <f t="shared" si="8"/>
        <v>465.49978326973991</v>
      </c>
      <c r="AC10" s="44">
        <f t="shared" si="8"/>
        <v>403.76410797313719</v>
      </c>
      <c r="AD10" s="44">
        <f t="shared" si="9"/>
        <v>564.91721327561993</v>
      </c>
      <c r="AE10" s="44">
        <f t="shared" si="17"/>
        <v>0</v>
      </c>
      <c r="AF10" s="52">
        <f>HLOOKUP(I10,ElecAvoidedCostsWOCC!$A$5:$Q$50,G10+1,FALSE)</f>
        <v>0.2337612554483032</v>
      </c>
      <c r="AG10" s="44">
        <f t="shared" si="10"/>
        <v>344.84460403733692</v>
      </c>
      <c r="AH10" s="52">
        <f>HLOOKUP(I10,ElecAvoidedCostsWOCC!$A$5:$Q$50,T10+1,FALSE)</f>
        <v>0.74487332198138856</v>
      </c>
      <c r="AI10" s="44">
        <f t="shared" si="11"/>
        <v>162.08443486315014</v>
      </c>
      <c r="AJ10" s="44">
        <f t="shared" si="12"/>
        <v>506.92903890048706</v>
      </c>
      <c r="AK10" s="44">
        <f>HLOOKUP(I10,ElecAvoidedCostsWOCC!$A$5:$Q$50,G10+1,FALSE)*J10*L10</f>
        <v>50.866449185550778</v>
      </c>
      <c r="AL10" s="44">
        <f t="shared" si="13"/>
        <v>456.06258971493628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456.06258971493628</v>
      </c>
      <c r="AN10" s="48">
        <f t="shared" si="14"/>
        <v>1066.5860619620498</v>
      </c>
      <c r="AO10" s="47">
        <f t="shared" si="15"/>
        <v>0.97972674984182517</v>
      </c>
      <c r="AP10" s="47">
        <f t="shared" si="16"/>
        <v>2.6416069207246395</v>
      </c>
      <c r="AQ10">
        <v>2021</v>
      </c>
    </row>
    <row r="11" spans="1:43" ht="13.5" customHeight="1">
      <c r="A11" s="36" t="s">
        <v>251</v>
      </c>
      <c r="B11" s="97" t="s">
        <v>15</v>
      </c>
      <c r="C11" s="61">
        <v>18230435</v>
      </c>
      <c r="D11" s="61" t="s">
        <v>52</v>
      </c>
      <c r="E11" s="38" t="s">
        <v>678</v>
      </c>
      <c r="F11" s="39" t="s">
        <v>679</v>
      </c>
      <c r="G11" s="39">
        <v>10</v>
      </c>
      <c r="H11" s="39"/>
      <c r="I11" s="40" t="s">
        <v>265</v>
      </c>
      <c r="J11" s="41">
        <v>32</v>
      </c>
      <c r="K11" s="41">
        <v>11.1</v>
      </c>
      <c r="L11" s="41"/>
      <c r="M11" s="42">
        <v>3.5</v>
      </c>
      <c r="N11" s="42">
        <v>12</v>
      </c>
      <c r="O11" s="43">
        <v>355.2</v>
      </c>
      <c r="P11" s="44">
        <v>112</v>
      </c>
      <c r="Q11" s="44">
        <v>384</v>
      </c>
      <c r="R11" s="45">
        <v>3.16</v>
      </c>
      <c r="S11" s="46">
        <v>0</v>
      </c>
      <c r="T11" s="39">
        <f t="shared" si="0"/>
        <v>10</v>
      </c>
      <c r="U11" s="47">
        <f t="shared" si="1"/>
        <v>3.1588623631109611E-3</v>
      </c>
      <c r="V11" s="48">
        <f t="shared" si="2"/>
        <v>8.5</v>
      </c>
      <c r="W11" s="49">
        <f t="shared" si="3"/>
        <v>3.158862363110961E-4</v>
      </c>
      <c r="X11" s="44">
        <f t="shared" si="4"/>
        <v>63.23543982467244</v>
      </c>
      <c r="Y11" s="44">
        <f t="shared" si="5"/>
        <v>272</v>
      </c>
      <c r="Z11" s="44">
        <f t="shared" si="6"/>
        <v>119.89567921076815</v>
      </c>
      <c r="AA11" s="50">
        <f t="shared" si="7"/>
        <v>447.23543982467243</v>
      </c>
      <c r="AB11" s="51">
        <f t="shared" si="8"/>
        <v>112.08346191527357</v>
      </c>
      <c r="AC11" s="44">
        <f t="shared" si="8"/>
        <v>418.09426925742957</v>
      </c>
      <c r="AD11" s="44">
        <f t="shared" si="9"/>
        <v>711.21051551831033</v>
      </c>
      <c r="AE11" s="44">
        <f t="shared" si="17"/>
        <v>0</v>
      </c>
      <c r="AF11" s="52">
        <f>HLOOKUP(I11,ElecAvoidedCostsWOCC!$A$5:$Q$50,G11+1,FALSE)</f>
        <v>0.74487332198138856</v>
      </c>
      <c r="AG11" s="44">
        <f t="shared" si="10"/>
        <v>264.57900396778922</v>
      </c>
      <c r="AH11" s="52">
        <f>HLOOKUP(I11,ElecAvoidedCostsWOCC!$A$5:$Q$50,T11+1,FALSE)</f>
        <v>0.74487332198138856</v>
      </c>
      <c r="AI11" s="44">
        <f t="shared" si="11"/>
        <v>0</v>
      </c>
      <c r="AJ11" s="44">
        <f t="shared" si="12"/>
        <v>264.57900396778922</v>
      </c>
      <c r="AK11" s="44">
        <f>HLOOKUP(I11,ElecAvoidedCostsWOCC!$A$5:$Q$50,G11+1,FALSE)*J11*L11</f>
        <v>0</v>
      </c>
      <c r="AL11" s="44">
        <f t="shared" si="13"/>
        <v>264.57900396778922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264.57900396778922</v>
      </c>
      <c r="AN11" s="48">
        <f t="shared" si="14"/>
        <v>1002.2474198828785</v>
      </c>
      <c r="AO11" s="47">
        <f t="shared" si="15"/>
        <v>2.3605534612036743</v>
      </c>
      <c r="AP11" s="47">
        <f t="shared" si="16"/>
        <v>2.3971804771755276</v>
      </c>
      <c r="AQ11">
        <v>2021</v>
      </c>
    </row>
    <row r="12" spans="1:43" ht="13.5" customHeight="1">
      <c r="A12" s="55">
        <f>SUM(P5:P1000)</f>
        <v>142453.81999999998</v>
      </c>
      <c r="B12" s="97" t="s">
        <v>15</v>
      </c>
      <c r="C12" s="61">
        <v>18230435</v>
      </c>
      <c r="D12" s="61" t="s">
        <v>52</v>
      </c>
      <c r="E12" s="38" t="s">
        <v>680</v>
      </c>
      <c r="F12" s="39" t="s">
        <v>681</v>
      </c>
      <c r="G12" s="39">
        <v>10</v>
      </c>
      <c r="H12" s="39"/>
      <c r="I12" s="40" t="s">
        <v>265</v>
      </c>
      <c r="J12" s="41">
        <v>9</v>
      </c>
      <c r="K12" s="41">
        <v>13.1</v>
      </c>
      <c r="L12" s="41"/>
      <c r="M12" s="42">
        <v>5</v>
      </c>
      <c r="N12" s="42">
        <v>17.14</v>
      </c>
      <c r="O12" s="43">
        <v>117.9</v>
      </c>
      <c r="P12" s="44">
        <v>45</v>
      </c>
      <c r="Q12" s="44">
        <v>154.26</v>
      </c>
      <c r="R12" s="45">
        <v>3.16</v>
      </c>
      <c r="S12" s="46">
        <v>0</v>
      </c>
      <c r="T12" s="39">
        <f t="shared" si="0"/>
        <v>10</v>
      </c>
      <c r="U12" s="47">
        <f t="shared" si="1"/>
        <v>1.0485075242420675E-3</v>
      </c>
      <c r="V12" s="48">
        <f t="shared" si="2"/>
        <v>12.14</v>
      </c>
      <c r="W12" s="49">
        <f t="shared" si="3"/>
        <v>1.0485075242420675E-4</v>
      </c>
      <c r="X12" s="44">
        <f t="shared" si="4"/>
        <v>20.989466090452936</v>
      </c>
      <c r="Y12" s="44">
        <f t="shared" si="5"/>
        <v>109.25999999999999</v>
      </c>
      <c r="Z12" s="44">
        <f t="shared" si="6"/>
        <v>39.796454332628294</v>
      </c>
      <c r="AA12" s="50">
        <f t="shared" si="7"/>
        <v>175.24946609045293</v>
      </c>
      <c r="AB12" s="51">
        <f t="shared" si="8"/>
        <v>37.203378828296053</v>
      </c>
      <c r="AC12" s="44">
        <f t="shared" si="8"/>
        <v>163.83048152795448</v>
      </c>
      <c r="AD12" s="44">
        <f t="shared" si="9"/>
        <v>200.02795748952479</v>
      </c>
      <c r="AE12" s="44">
        <f t="shared" si="17"/>
        <v>0</v>
      </c>
      <c r="AF12" s="52">
        <f>HLOOKUP(I12,ElecAvoidedCostsWOCC!$A$5:$Q$50,G12+1,FALSE)</f>
        <v>0.74487332198138856</v>
      </c>
      <c r="AG12" s="44">
        <f t="shared" si="10"/>
        <v>87.820564661605701</v>
      </c>
      <c r="AH12" s="52">
        <f>HLOOKUP(I12,ElecAvoidedCostsWOCC!$A$5:$Q$50,T12+1,FALSE)</f>
        <v>0.74487332198138856</v>
      </c>
      <c r="AI12" s="44">
        <f t="shared" si="11"/>
        <v>0</v>
      </c>
      <c r="AJ12" s="44">
        <f t="shared" si="12"/>
        <v>87.820564661605701</v>
      </c>
      <c r="AK12" s="44">
        <f>HLOOKUP(I12,ElecAvoidedCostsWOCC!$A$5:$Q$50,G12+1,FALSE)*J12*L12</f>
        <v>0</v>
      </c>
      <c r="AL12" s="44">
        <f t="shared" si="13"/>
        <v>87.820564661605701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87.820564661605715</v>
      </c>
      <c r="AN12" s="48">
        <f t="shared" si="14"/>
        <v>296.63057861729112</v>
      </c>
      <c r="AO12" s="47">
        <f t="shared" si="15"/>
        <v>2.3605534612036734</v>
      </c>
      <c r="AP12" s="47">
        <f t="shared" si="16"/>
        <v>1.8105945600036395</v>
      </c>
      <c r="AQ12">
        <v>2021</v>
      </c>
    </row>
    <row r="13" spans="1:43" ht="13.5" customHeight="1">
      <c r="A13" s="56" t="s">
        <v>252</v>
      </c>
      <c r="B13" s="97" t="s">
        <v>15</v>
      </c>
      <c r="C13" s="61">
        <v>18230435</v>
      </c>
      <c r="D13" s="61" t="s">
        <v>52</v>
      </c>
      <c r="E13" s="38" t="s">
        <v>682</v>
      </c>
      <c r="F13" s="39" t="s">
        <v>683</v>
      </c>
      <c r="G13" s="39">
        <v>10</v>
      </c>
      <c r="H13" s="39"/>
      <c r="I13" s="40" t="s">
        <v>265</v>
      </c>
      <c r="J13" s="41">
        <v>2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19.27</v>
      </c>
      <c r="S13" s="46">
        <v>0</v>
      </c>
      <c r="T13" s="39">
        <f t="shared" si="0"/>
        <v>10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271.06460905929276</v>
      </c>
      <c r="AE13" s="44">
        <f t="shared" si="17"/>
        <v>0</v>
      </c>
      <c r="AF13" s="52">
        <f>HLOOKUP(I13,ElecAvoidedCostsWOCC!$A$5:$Q$50,G13+1,FALSE)</f>
        <v>0.74487332198138856</v>
      </c>
      <c r="AG13" s="44">
        <f t="shared" si="10"/>
        <v>0</v>
      </c>
      <c r="AH13" s="52">
        <f>HLOOKUP(I13,ElecAvoidedCostsWOCC!$A$5:$Q$50,T13+1,FALSE)</f>
        <v>0.74487332198138856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271.06460905929276</v>
      </c>
      <c r="AO13" s="47">
        <f t="shared" si="15"/>
        <v>0</v>
      </c>
      <c r="AP13" s="47" t="e">
        <f t="shared" si="16"/>
        <v>#DIV/0!</v>
      </c>
      <c r="AQ13">
        <v>2021</v>
      </c>
    </row>
    <row r="14" spans="1:43" ht="13.5" customHeight="1">
      <c r="A14" s="55">
        <f>SUM(Y5:Y1000)</f>
        <v>-57298.799999999996</v>
      </c>
      <c r="B14" s="97" t="s">
        <v>15</v>
      </c>
      <c r="C14" s="61">
        <v>18230435</v>
      </c>
      <c r="D14" s="61" t="s">
        <v>52</v>
      </c>
      <c r="E14" s="38" t="s">
        <v>684</v>
      </c>
      <c r="F14" s="39" t="s">
        <v>685</v>
      </c>
      <c r="G14" s="39">
        <v>10</v>
      </c>
      <c r="H14" s="39"/>
      <c r="I14" s="40" t="s">
        <v>265</v>
      </c>
      <c r="J14" s="41">
        <v>178</v>
      </c>
      <c r="K14" s="41">
        <v>61.3</v>
      </c>
      <c r="L14" s="41"/>
      <c r="M14" s="42">
        <v>21</v>
      </c>
      <c r="N14" s="42">
        <v>14.03</v>
      </c>
      <c r="O14" s="43">
        <v>10911.4</v>
      </c>
      <c r="P14" s="44">
        <v>4005</v>
      </c>
      <c r="Q14" s="44">
        <v>2497.34</v>
      </c>
      <c r="R14" s="45">
        <v>19.27</v>
      </c>
      <c r="S14" s="46">
        <v>0</v>
      </c>
      <c r="T14" s="39">
        <f t="shared" si="0"/>
        <v>10</v>
      </c>
      <c r="U14" s="47">
        <f t="shared" si="1"/>
        <v>9.7037192536173822E-2</v>
      </c>
      <c r="V14" s="48">
        <f t="shared" si="2"/>
        <v>-6.9700000000000006</v>
      </c>
      <c r="W14" s="49">
        <f t="shared" si="3"/>
        <v>9.7037192536173818E-3</v>
      </c>
      <c r="X14" s="44">
        <f t="shared" si="4"/>
        <v>1942.5314698843774</v>
      </c>
      <c r="Y14" s="44">
        <f t="shared" si="5"/>
        <v>-1507.6599999999999</v>
      </c>
      <c r="Z14" s="44">
        <f t="shared" si="6"/>
        <v>3683.0791501699769</v>
      </c>
      <c r="AA14" s="50">
        <f t="shared" si="7"/>
        <v>4439.8714698843778</v>
      </c>
      <c r="AB14" s="51">
        <f t="shared" si="8"/>
        <v>3443.095400738503</v>
      </c>
      <c r="AC14" s="44">
        <f t="shared" si="8"/>
        <v>4150.5763016587616</v>
      </c>
      <c r="AD14" s="44">
        <f t="shared" si="9"/>
        <v>24124.750206277055</v>
      </c>
      <c r="AE14" s="44">
        <f t="shared" si="17"/>
        <v>0</v>
      </c>
      <c r="AF14" s="52">
        <f>HLOOKUP(I14,ElecAvoidedCostsWOCC!$A$5:$Q$50,G14+1,FALSE)</f>
        <v>0.74487332198138856</v>
      </c>
      <c r="AG14" s="44">
        <f t="shared" si="10"/>
        <v>8127.6107654677226</v>
      </c>
      <c r="AH14" s="52">
        <f>HLOOKUP(I14,ElecAvoidedCostsWOCC!$A$5:$Q$50,T14+1,FALSE)</f>
        <v>0.74487332198138856</v>
      </c>
      <c r="AI14" s="44">
        <f t="shared" si="11"/>
        <v>0</v>
      </c>
      <c r="AJ14" s="44">
        <f t="shared" si="12"/>
        <v>8127.6107654677226</v>
      </c>
      <c r="AK14" s="44">
        <f>HLOOKUP(I14,ElecAvoidedCostsWOCC!$A$5:$Q$50,G14+1,FALSE)*J14*L14</f>
        <v>0</v>
      </c>
      <c r="AL14" s="44">
        <f t="shared" si="13"/>
        <v>8127.6107654677226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8127.6107654677226</v>
      </c>
      <c r="AN14" s="48">
        <f t="shared" si="14"/>
        <v>33065.122048291552</v>
      </c>
      <c r="AO14" s="47">
        <f t="shared" si="15"/>
        <v>2.3605534612036734</v>
      </c>
      <c r="AP14" s="47">
        <f t="shared" si="16"/>
        <v>7.9663930127190303</v>
      </c>
      <c r="AQ14">
        <v>2021</v>
      </c>
    </row>
    <row r="15" spans="1:43" ht="13.5" customHeight="1">
      <c r="A15" s="57" t="s">
        <v>253</v>
      </c>
      <c r="B15" s="97" t="s">
        <v>15</v>
      </c>
      <c r="C15" s="61">
        <v>18230435</v>
      </c>
      <c r="D15" s="61" t="s">
        <v>52</v>
      </c>
      <c r="E15" s="38" t="s">
        <v>686</v>
      </c>
      <c r="F15" s="39" t="s">
        <v>687</v>
      </c>
      <c r="G15" s="39">
        <v>10</v>
      </c>
      <c r="H15" s="39"/>
      <c r="I15" s="40" t="s">
        <v>265</v>
      </c>
      <c r="J15" s="41">
        <v>59</v>
      </c>
      <c r="K15" s="41">
        <v>72.2</v>
      </c>
      <c r="L15" s="41"/>
      <c r="M15" s="42">
        <v>30</v>
      </c>
      <c r="N15" s="42">
        <v>20.04</v>
      </c>
      <c r="O15" s="43">
        <v>4259.8</v>
      </c>
      <c r="P15" s="44">
        <v>1770</v>
      </c>
      <c r="Q15" s="44">
        <v>1182.3599999999999</v>
      </c>
      <c r="R15" s="45">
        <v>19.27</v>
      </c>
      <c r="S15" s="46">
        <v>0</v>
      </c>
      <c r="T15" s="39">
        <f t="shared" si="0"/>
        <v>10</v>
      </c>
      <c r="U15" s="47">
        <f t="shared" si="1"/>
        <v>3.7883226053997958E-2</v>
      </c>
      <c r="V15" s="48">
        <f t="shared" si="2"/>
        <v>-9.9600000000000009</v>
      </c>
      <c r="W15" s="49">
        <f t="shared" si="3"/>
        <v>3.7883226053997956E-3</v>
      </c>
      <c r="X15" s="44">
        <f t="shared" si="4"/>
        <v>758.3624058703258</v>
      </c>
      <c r="Y15" s="44">
        <f t="shared" si="5"/>
        <v>-587.6400000000001</v>
      </c>
      <c r="Z15" s="44">
        <f t="shared" si="6"/>
        <v>1437.8705357602205</v>
      </c>
      <c r="AA15" s="50">
        <f t="shared" si="7"/>
        <v>1940.7224058703257</v>
      </c>
      <c r="AB15" s="51">
        <f t="shared" si="8"/>
        <v>1344.1811122372819</v>
      </c>
      <c r="AC15" s="44">
        <f t="shared" si="8"/>
        <v>1814.2679310744372</v>
      </c>
      <c r="AD15" s="44">
        <f t="shared" si="9"/>
        <v>7996.4059672491367</v>
      </c>
      <c r="AE15" s="44">
        <f t="shared" si="17"/>
        <v>0</v>
      </c>
      <c r="AF15" s="52">
        <f>HLOOKUP(I15,ElecAvoidedCostsWOCC!$A$5:$Q$50,G15+1,FALSE)</f>
        <v>0.74487332198138856</v>
      </c>
      <c r="AG15" s="44">
        <f t="shared" si="10"/>
        <v>3173.0113769763188</v>
      </c>
      <c r="AH15" s="52">
        <f>HLOOKUP(I15,ElecAvoidedCostsWOCC!$A$5:$Q$50,T15+1,FALSE)</f>
        <v>0.74487332198138856</v>
      </c>
      <c r="AI15" s="44">
        <f t="shared" si="11"/>
        <v>0</v>
      </c>
      <c r="AJ15" s="44">
        <f t="shared" si="12"/>
        <v>3173.0113769763188</v>
      </c>
      <c r="AK15" s="44">
        <f>HLOOKUP(I15,ElecAvoidedCostsWOCC!$A$5:$Q$50,G15+1,FALSE)*J15*L15</f>
        <v>0</v>
      </c>
      <c r="AL15" s="44">
        <f t="shared" si="13"/>
        <v>3173.0113769763188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3173.0113769763193</v>
      </c>
      <c r="AN15" s="48">
        <f t="shared" si="14"/>
        <v>11486.718481923088</v>
      </c>
      <c r="AO15" s="47">
        <f t="shared" si="15"/>
        <v>2.3605534612036734</v>
      </c>
      <c r="AP15" s="47">
        <f t="shared" si="16"/>
        <v>6.3313242135743852</v>
      </c>
      <c r="AQ15">
        <v>2021</v>
      </c>
    </row>
    <row r="16" spans="1:43" ht="13.5" customHeight="1">
      <c r="A16" s="54">
        <f>SUM(U5:U999)</f>
        <v>10.000000000000004</v>
      </c>
      <c r="B16" s="97" t="s">
        <v>15</v>
      </c>
      <c r="C16" s="61">
        <v>18230435</v>
      </c>
      <c r="D16" s="61" t="s">
        <v>52</v>
      </c>
      <c r="E16" s="38" t="s">
        <v>688</v>
      </c>
      <c r="F16" s="39" t="s">
        <v>689</v>
      </c>
      <c r="G16" s="39">
        <v>10</v>
      </c>
      <c r="H16" s="39"/>
      <c r="I16" s="40" t="s">
        <v>265</v>
      </c>
      <c r="J16" s="41">
        <v>589</v>
      </c>
      <c r="K16" s="41">
        <v>11.1</v>
      </c>
      <c r="L16" s="41"/>
      <c r="M16" s="42">
        <v>3.5</v>
      </c>
      <c r="N16" s="42">
        <v>12</v>
      </c>
      <c r="O16" s="43">
        <v>6537.9000000000096</v>
      </c>
      <c r="P16" s="44">
        <v>3272.5</v>
      </c>
      <c r="Q16" s="44">
        <v>7068</v>
      </c>
      <c r="R16" s="45">
        <v>3.72</v>
      </c>
      <c r="S16" s="46">
        <v>0</v>
      </c>
      <c r="T16" s="39">
        <f t="shared" si="0"/>
        <v>10</v>
      </c>
      <c r="U16" s="47">
        <f t="shared" si="1"/>
        <v>5.8142810371011218E-2</v>
      </c>
      <c r="V16" s="48">
        <f t="shared" si="2"/>
        <v>8.5</v>
      </c>
      <c r="W16" s="49">
        <f t="shared" si="3"/>
        <v>5.8142810371011218E-3</v>
      </c>
      <c r="X16" s="44">
        <f t="shared" si="4"/>
        <v>1163.9273142728789</v>
      </c>
      <c r="Y16" s="44">
        <f t="shared" si="5"/>
        <v>3795.5</v>
      </c>
      <c r="Z16" s="44">
        <f t="shared" si="6"/>
        <v>2206.8298454732048</v>
      </c>
      <c r="AA16" s="50">
        <f t="shared" si="7"/>
        <v>8231.927314272878</v>
      </c>
      <c r="AB16" s="51">
        <f t="shared" si="8"/>
        <v>2063.0362208780075</v>
      </c>
      <c r="AC16" s="44">
        <f t="shared" si="8"/>
        <v>7695.5476435195633</v>
      </c>
      <c r="AD16" s="44">
        <f t="shared" si="9"/>
        <v>15410.592724899718</v>
      </c>
      <c r="AE16" s="44">
        <f t="shared" si="17"/>
        <v>0</v>
      </c>
      <c r="AF16" s="52">
        <f>HLOOKUP(I16,ElecAvoidedCostsWOCC!$A$5:$Q$50,G16+1,FALSE)</f>
        <v>0.74487332198138856</v>
      </c>
      <c r="AG16" s="44">
        <f t="shared" si="10"/>
        <v>4869.9072917821195</v>
      </c>
      <c r="AH16" s="52">
        <f>HLOOKUP(I16,ElecAvoidedCostsWOCC!$A$5:$Q$50,T16+1,FALSE)</f>
        <v>0.74487332198138856</v>
      </c>
      <c r="AI16" s="44">
        <f t="shared" si="11"/>
        <v>0</v>
      </c>
      <c r="AJ16" s="44">
        <f t="shared" si="12"/>
        <v>4869.9072917821195</v>
      </c>
      <c r="AK16" s="44">
        <f>HLOOKUP(I16,ElecAvoidedCostsWOCC!$A$5:$Q$50,G16+1,FALSE)*J16*L16</f>
        <v>0</v>
      </c>
      <c r="AL16" s="44">
        <f t="shared" si="13"/>
        <v>4869.9072917821195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4869.9072917821204</v>
      </c>
      <c r="AN16" s="48">
        <f t="shared" si="14"/>
        <v>20767.49074586005</v>
      </c>
      <c r="AO16" s="47">
        <f t="shared" si="15"/>
        <v>2.3605534612036703</v>
      </c>
      <c r="AP16" s="47">
        <f t="shared" si="16"/>
        <v>2.6986371481110116</v>
      </c>
      <c r="AQ16">
        <v>2021</v>
      </c>
    </row>
    <row r="17" spans="1:43" ht="13.5" customHeight="1">
      <c r="A17" s="58" t="s">
        <v>254</v>
      </c>
      <c r="B17" s="97" t="s">
        <v>15</v>
      </c>
      <c r="C17" s="61">
        <v>18230435</v>
      </c>
      <c r="D17" s="61" t="s">
        <v>52</v>
      </c>
      <c r="E17" s="38" t="s">
        <v>690</v>
      </c>
      <c r="F17" s="39" t="s">
        <v>691</v>
      </c>
      <c r="G17" s="39">
        <v>10</v>
      </c>
      <c r="H17" s="39"/>
      <c r="I17" s="40" t="s">
        <v>265</v>
      </c>
      <c r="J17" s="41">
        <v>194</v>
      </c>
      <c r="K17" s="41">
        <v>13.1</v>
      </c>
      <c r="L17" s="41"/>
      <c r="M17" s="42">
        <v>5</v>
      </c>
      <c r="N17" s="42">
        <v>17.399999999999999</v>
      </c>
      <c r="O17" s="43">
        <v>2541.4</v>
      </c>
      <c r="P17" s="44">
        <v>1690</v>
      </c>
      <c r="Q17" s="44">
        <v>3375.6000000000099</v>
      </c>
      <c r="R17" s="45">
        <v>3.72</v>
      </c>
      <c r="S17" s="46">
        <v>0</v>
      </c>
      <c r="T17" s="39">
        <f t="shared" si="0"/>
        <v>10</v>
      </c>
      <c r="U17" s="47">
        <f t="shared" si="1"/>
        <v>2.2601162189217899E-2</v>
      </c>
      <c r="V17" s="48">
        <f t="shared" si="2"/>
        <v>12.399999999999999</v>
      </c>
      <c r="W17" s="49">
        <f t="shared" si="3"/>
        <v>2.2601162189217899E-3</v>
      </c>
      <c r="X17" s="44">
        <f t="shared" si="4"/>
        <v>452.43960239420767</v>
      </c>
      <c r="Y17" s="44">
        <f t="shared" si="5"/>
        <v>1685.6000000000099</v>
      </c>
      <c r="Z17" s="44">
        <f t="shared" si="6"/>
        <v>857.83468228109859</v>
      </c>
      <c r="AA17" s="50">
        <f t="shared" si="7"/>
        <v>3828.0396023942176</v>
      </c>
      <c r="AB17" s="51">
        <f t="shared" si="8"/>
        <v>801.93949918771477</v>
      </c>
      <c r="AC17" s="44">
        <f t="shared" si="8"/>
        <v>3578.6104537666797</v>
      </c>
      <c r="AD17" s="44">
        <f t="shared" si="9"/>
        <v>5075.8149212742701</v>
      </c>
      <c r="AE17" s="44">
        <f t="shared" si="17"/>
        <v>0</v>
      </c>
      <c r="AF17" s="52">
        <f>HLOOKUP(I17,ElecAvoidedCostsWOCC!$A$5:$Q$50,G17+1,FALSE)</f>
        <v>0.74487332198138856</v>
      </c>
      <c r="AG17" s="44">
        <f t="shared" si="10"/>
        <v>1893.0210604835011</v>
      </c>
      <c r="AH17" s="52">
        <f>HLOOKUP(I17,ElecAvoidedCostsWOCC!$A$5:$Q$50,T17+1,FALSE)</f>
        <v>0.74487332198138856</v>
      </c>
      <c r="AI17" s="44">
        <f t="shared" si="11"/>
        <v>0</v>
      </c>
      <c r="AJ17" s="44">
        <f t="shared" si="12"/>
        <v>1893.0210604835011</v>
      </c>
      <c r="AK17" s="44">
        <f>HLOOKUP(I17,ElecAvoidedCostsWOCC!$A$5:$Q$50,G17+1,FALSE)*J17*L17</f>
        <v>0</v>
      </c>
      <c r="AL17" s="44">
        <f t="shared" si="13"/>
        <v>1893.0210604835011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1893.0210604835008</v>
      </c>
      <c r="AN17" s="48">
        <f t="shared" si="14"/>
        <v>7158.1380878061209</v>
      </c>
      <c r="AO17" s="47">
        <f t="shared" si="15"/>
        <v>2.3605534612036738</v>
      </c>
      <c r="AP17" s="47">
        <f t="shared" si="16"/>
        <v>2.0002562950856513</v>
      </c>
      <c r="AQ17">
        <v>2021</v>
      </c>
    </row>
    <row r="18" spans="1:43" ht="13.5" customHeight="1">
      <c r="A18" s="59">
        <f>A6+A8</f>
        <v>379553.35</v>
      </c>
      <c r="B18" s="97" t="s">
        <v>15</v>
      </c>
      <c r="C18" s="61">
        <v>18230435</v>
      </c>
      <c r="D18" s="61" t="s">
        <v>52</v>
      </c>
      <c r="E18" s="38" t="s">
        <v>692</v>
      </c>
      <c r="F18" s="39" t="s">
        <v>693</v>
      </c>
      <c r="G18" s="39">
        <v>10</v>
      </c>
      <c r="H18" s="39"/>
      <c r="I18" s="40" t="s">
        <v>265</v>
      </c>
      <c r="J18" s="41">
        <v>349</v>
      </c>
      <c r="K18" s="41"/>
      <c r="L18" s="41"/>
      <c r="M18" s="42"/>
      <c r="N18" s="42"/>
      <c r="O18" s="43">
        <v>0</v>
      </c>
      <c r="P18" s="44">
        <v>0</v>
      </c>
      <c r="Q18" s="44">
        <v>0</v>
      </c>
      <c r="R18" s="45">
        <v>3.72</v>
      </c>
      <c r="S18" s="46">
        <v>0</v>
      </c>
      <c r="T18" s="39">
        <f t="shared" si="0"/>
        <v>10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9131.234059405775</v>
      </c>
      <c r="AE18" s="44">
        <f t="shared" si="17"/>
        <v>0</v>
      </c>
      <c r="AF18" s="52">
        <f>HLOOKUP(I18,ElecAvoidedCostsWOCC!$A$5:$Q$50,G18+1,FALSE)</f>
        <v>0.74487332198138856</v>
      </c>
      <c r="AG18" s="44">
        <f t="shared" si="10"/>
        <v>0</v>
      </c>
      <c r="AH18" s="52">
        <f>HLOOKUP(I18,ElecAvoidedCostsWOCC!$A$5:$Q$50,T18+1,FALSE)</f>
        <v>0.74487332198138856</v>
      </c>
      <c r="AI18" s="44">
        <f t="shared" si="11"/>
        <v>0</v>
      </c>
      <c r="AJ18" s="44">
        <f t="shared" si="12"/>
        <v>0</v>
      </c>
      <c r="AK18" s="44">
        <f>HLOOKUP(I18,ElecAvoidedCostsWOCC!$A$5:$Q$50,G18+1,FALSE)*J18*L18</f>
        <v>0</v>
      </c>
      <c r="AL18" s="44">
        <f t="shared" si="13"/>
        <v>0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9131.234059405775</v>
      </c>
      <c r="AO18" s="47">
        <f t="shared" si="15"/>
        <v>0</v>
      </c>
      <c r="AP18" s="47" t="e">
        <f t="shared" si="16"/>
        <v>#DIV/0!</v>
      </c>
      <c r="AQ18">
        <v>2021</v>
      </c>
    </row>
    <row r="19" spans="1:43" ht="13.5" customHeight="1">
      <c r="A19" s="58" t="s">
        <v>231</v>
      </c>
      <c r="B19" s="97" t="s">
        <v>15</v>
      </c>
      <c r="C19" s="100">
        <v>18230435</v>
      </c>
      <c r="D19" s="100" t="s">
        <v>52</v>
      </c>
      <c r="E19" s="38" t="s">
        <v>1911</v>
      </c>
      <c r="F19" s="39" t="s">
        <v>1912</v>
      </c>
      <c r="G19" s="39">
        <v>10</v>
      </c>
      <c r="H19" s="39"/>
      <c r="I19" s="40" t="s">
        <v>265</v>
      </c>
      <c r="J19" s="41">
        <v>555.07000000000005</v>
      </c>
      <c r="K19" s="41">
        <v>61.3</v>
      </c>
      <c r="L19" s="41"/>
      <c r="M19" s="42">
        <v>7</v>
      </c>
      <c r="N19" s="42">
        <v>0.01</v>
      </c>
      <c r="O19" s="43">
        <v>34025.759999999798</v>
      </c>
      <c r="P19" s="44">
        <v>5835.9</v>
      </c>
      <c r="Q19" s="44">
        <v>5.6099999999999497</v>
      </c>
      <c r="R19" s="45">
        <v>14.31</v>
      </c>
      <c r="S19" s="46">
        <v>0</v>
      </c>
      <c r="T19" s="39">
        <f t="shared" si="0"/>
        <v>10</v>
      </c>
      <c r="U19" s="47">
        <f t="shared" si="1"/>
        <v>0.30259767072141269</v>
      </c>
      <c r="V19" s="48">
        <f t="shared" si="2"/>
        <v>-6.99</v>
      </c>
      <c r="W19" s="49">
        <f t="shared" si="3"/>
        <v>3.0259767072141269E-2</v>
      </c>
      <c r="X19" s="44">
        <f t="shared" si="4"/>
        <v>6057.5278687182827</v>
      </c>
      <c r="Y19" s="44">
        <f t="shared" si="5"/>
        <v>-5830.29</v>
      </c>
      <c r="Z19" s="44">
        <f t="shared" si="6"/>
        <v>11485.195962450909</v>
      </c>
      <c r="AA19" s="50">
        <f t="shared" si="7"/>
        <v>6063.1378687182823</v>
      </c>
      <c r="AB19" s="51">
        <f t="shared" si="8"/>
        <v>10736.83833079453</v>
      </c>
      <c r="AC19" s="44">
        <f t="shared" si="8"/>
        <v>5668.0731688494734</v>
      </c>
      <c r="AD19" s="44">
        <f t="shared" si="9"/>
        <v>55866.118417183468</v>
      </c>
      <c r="AE19" s="44">
        <f t="shared" si="17"/>
        <v>0</v>
      </c>
      <c r="AF19" s="52">
        <f>HLOOKUP(I19,ElecAvoidedCostsWOCC!$A$5:$Q$50,G19+1,FALSE)</f>
        <v>0.74487332198138856</v>
      </c>
      <c r="AG19" s="44">
        <f t="shared" si="10"/>
        <v>25344.903975214434</v>
      </c>
      <c r="AH19" s="52">
        <f>HLOOKUP(I19,ElecAvoidedCostsWOCC!$A$5:$Q$50,T19+1,FALSE)</f>
        <v>0.74487332198138856</v>
      </c>
      <c r="AI19" s="44">
        <f t="shared" si="11"/>
        <v>0</v>
      </c>
      <c r="AJ19" s="44">
        <f t="shared" si="12"/>
        <v>25344.903975214434</v>
      </c>
      <c r="AK19" s="44">
        <f>HLOOKUP(I19,ElecAvoidedCostsWOCC!$A$5:$Q$50,G19+1,FALSE)*J19*L19</f>
        <v>0</v>
      </c>
      <c r="AL19" s="44">
        <f t="shared" si="13"/>
        <v>25344.903975214434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25344.903975214434</v>
      </c>
      <c r="AN19" s="48">
        <f t="shared" si="14"/>
        <v>83745.512789919347</v>
      </c>
      <c r="AO19" s="47">
        <f t="shared" si="15"/>
        <v>2.3605556118435942</v>
      </c>
      <c r="AP19" s="47">
        <f t="shared" si="16"/>
        <v>14.774952668248339</v>
      </c>
      <c r="AQ19">
        <v>2020</v>
      </c>
    </row>
    <row r="20" spans="1:43" ht="13.5" customHeight="1">
      <c r="A20" s="59">
        <f>A8+SUM(Q5:Q906)</f>
        <v>285339.23999999993</v>
      </c>
      <c r="B20" s="97" t="s">
        <v>15</v>
      </c>
      <c r="C20" s="100">
        <v>18230435</v>
      </c>
      <c r="D20" s="100" t="s">
        <v>52</v>
      </c>
      <c r="E20" s="38" t="s">
        <v>1913</v>
      </c>
      <c r="F20" s="39" t="s">
        <v>1914</v>
      </c>
      <c r="G20" s="39">
        <v>10</v>
      </c>
      <c r="H20" s="39"/>
      <c r="I20" s="40" t="s">
        <v>265</v>
      </c>
      <c r="J20" s="41">
        <v>1017</v>
      </c>
      <c r="K20" s="41">
        <v>40.1</v>
      </c>
      <c r="L20" s="41"/>
      <c r="M20" s="42">
        <v>7</v>
      </c>
      <c r="N20" s="42">
        <v>0.01</v>
      </c>
      <c r="O20" s="43">
        <v>40781.699999999997</v>
      </c>
      <c r="P20" s="44">
        <v>7119</v>
      </c>
      <c r="Q20" s="44">
        <v>10.17</v>
      </c>
      <c r="R20" s="45">
        <v>9.3000000000000007</v>
      </c>
      <c r="S20" s="46">
        <v>0</v>
      </c>
      <c r="T20" s="39">
        <f t="shared" si="0"/>
        <v>10</v>
      </c>
      <c r="U20" s="47">
        <f t="shared" si="1"/>
        <v>0.36267955302275418</v>
      </c>
      <c r="V20" s="48">
        <f t="shared" si="2"/>
        <v>-6.99</v>
      </c>
      <c r="W20" s="49">
        <f t="shared" si="3"/>
        <v>3.6267955302275418E-2</v>
      </c>
      <c r="X20" s="44">
        <f t="shared" si="4"/>
        <v>7260.2723431808681</v>
      </c>
      <c r="Y20" s="44">
        <f t="shared" si="5"/>
        <v>-7108.83</v>
      </c>
      <c r="Z20" s="44">
        <f t="shared" si="6"/>
        <v>13765.623932628896</v>
      </c>
      <c r="AA20" s="50">
        <f t="shared" si="7"/>
        <v>7270.4423431808682</v>
      </c>
      <c r="AB20" s="51">
        <f t="shared" si="8"/>
        <v>12868.677136233426</v>
      </c>
      <c r="AC20" s="44">
        <f t="shared" si="8"/>
        <v>6796.7115482666795</v>
      </c>
      <c r="AD20" s="44">
        <f t="shared" si="9"/>
        <v>66521.955862576448</v>
      </c>
      <c r="AE20" s="44">
        <f t="shared" si="17"/>
        <v>0</v>
      </c>
      <c r="AF20" s="52">
        <f>HLOOKUP(I20,ElecAvoidedCostsWOCC!$A$5:$Q$50,G20+1,FALSE)</f>
        <v>0.74487332198138856</v>
      </c>
      <c r="AG20" s="44">
        <f t="shared" si="10"/>
        <v>30377.200355048393</v>
      </c>
      <c r="AH20" s="52">
        <f>HLOOKUP(I20,ElecAvoidedCostsWOCC!$A$5:$Q$50,T20+1,FALSE)</f>
        <v>0.74487332198138856</v>
      </c>
      <c r="AI20" s="44">
        <f t="shared" si="11"/>
        <v>0</v>
      </c>
      <c r="AJ20" s="44">
        <f t="shared" si="12"/>
        <v>30377.200355048393</v>
      </c>
      <c r="AK20" s="44">
        <f>HLOOKUP(I20,ElecAvoidedCostsWOCC!$A$5:$Q$50,G20+1,FALSE)*J20*L20</f>
        <v>0</v>
      </c>
      <c r="AL20" s="44">
        <f t="shared" si="13"/>
        <v>30377.200355048393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30377.200355048397</v>
      </c>
      <c r="AN20" s="48">
        <f t="shared" si="14"/>
        <v>99936.876253129682</v>
      </c>
      <c r="AO20" s="47">
        <f t="shared" si="15"/>
        <v>2.3605534612036738</v>
      </c>
      <c r="AP20" s="47">
        <f t="shared" si="16"/>
        <v>14.703710102073689</v>
      </c>
      <c r="AQ20">
        <v>2020</v>
      </c>
    </row>
    <row r="21" spans="1:43" ht="13.5" customHeight="1">
      <c r="A21" s="58" t="s">
        <v>245</v>
      </c>
      <c r="B21" s="97" t="s">
        <v>15</v>
      </c>
      <c r="C21" s="100">
        <v>18230435</v>
      </c>
      <c r="D21" s="100" t="s">
        <v>52</v>
      </c>
      <c r="E21" s="38" t="s">
        <v>1915</v>
      </c>
      <c r="F21" s="39" t="s">
        <v>1916</v>
      </c>
      <c r="G21" s="39">
        <v>10</v>
      </c>
      <c r="H21" s="39"/>
      <c r="I21" s="40" t="s">
        <v>265</v>
      </c>
      <c r="J21" s="41">
        <v>1569.82</v>
      </c>
      <c r="K21" s="41">
        <v>14.9</v>
      </c>
      <c r="L21" s="41"/>
      <c r="M21" s="42">
        <v>2.1</v>
      </c>
      <c r="N21" s="42">
        <v>0.01</v>
      </c>
      <c r="O21" s="43">
        <v>23390.320000000102</v>
      </c>
      <c r="P21" s="44">
        <v>7021.6999999999498</v>
      </c>
      <c r="Q21" s="44">
        <v>15.6999999999998</v>
      </c>
      <c r="R21" s="45">
        <v>3.41</v>
      </c>
      <c r="S21" s="46">
        <v>0</v>
      </c>
      <c r="T21" s="39">
        <f t="shared" si="0"/>
        <v>10</v>
      </c>
      <c r="U21" s="47">
        <f t="shared" si="1"/>
        <v>0.20801464388829363</v>
      </c>
      <c r="V21" s="48">
        <f t="shared" si="2"/>
        <v>-2.0900000000000003</v>
      </c>
      <c r="W21" s="49">
        <f t="shared" si="3"/>
        <v>2.0801464388829363E-2</v>
      </c>
      <c r="X21" s="44">
        <f t="shared" si="4"/>
        <v>4164.1249235355826</v>
      </c>
      <c r="Y21" s="44">
        <f t="shared" si="5"/>
        <v>-7005.99999999995</v>
      </c>
      <c r="Z21" s="44">
        <f t="shared" si="6"/>
        <v>7895.2654936858871</v>
      </c>
      <c r="AA21" s="50">
        <f t="shared" si="7"/>
        <v>4179.8249235355825</v>
      </c>
      <c r="AB21" s="51">
        <f t="shared" ref="AB21:AC24" si="18">Z21/(1+ElecDiscountRate)^1</f>
        <v>7380.8221872355671</v>
      </c>
      <c r="AC21" s="44">
        <f t="shared" si="18"/>
        <v>3907.4739866650293</v>
      </c>
      <c r="AD21" s="44">
        <f t="shared" si="9"/>
        <v>37650.031605181503</v>
      </c>
      <c r="AE21" s="44">
        <f t="shared" si="17"/>
        <v>0</v>
      </c>
      <c r="AF21" s="52">
        <f>HLOOKUP(I21,ElecAvoidedCostsWOCC!$A$5:$Q$50,G21+1,FALSE)</f>
        <v>0.74487332198138856</v>
      </c>
      <c r="AG21" s="44">
        <f t="shared" si="10"/>
        <v>17422.82387086107</v>
      </c>
      <c r="AH21" s="52">
        <f>HLOOKUP(I21,ElecAvoidedCostsWOCC!$A$5:$Q$50,T21+1,FALSE)</f>
        <v>0.74487332198138856</v>
      </c>
      <c r="AI21" s="44">
        <f t="shared" si="11"/>
        <v>0</v>
      </c>
      <c r="AJ21" s="44">
        <f t="shared" si="12"/>
        <v>17422.82387086107</v>
      </c>
      <c r="AK21" s="44">
        <f>HLOOKUP(I21,ElecAvoidedCostsWOCC!$A$5:$Q$50,G21+1,FALSE)*J21*L21</f>
        <v>0</v>
      </c>
      <c r="AL21" s="44">
        <f t="shared" si="13"/>
        <v>17422.82387086107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17422.823870861066</v>
      </c>
      <c r="AN21" s="48">
        <f t="shared" si="14"/>
        <v>56815.137863128679</v>
      </c>
      <c r="AO21" s="47">
        <f t="shared" si="15"/>
        <v>2.3605532593634608</v>
      </c>
      <c r="AP21" s="47">
        <f t="shared" si="16"/>
        <v>14.540119283460553</v>
      </c>
      <c r="AQ21">
        <v>2020</v>
      </c>
    </row>
    <row r="22" spans="1:43" ht="13.5" customHeight="1">
      <c r="A22" s="60">
        <f>(SUM(AM5:AM1000)/(SUM(AB5:AB1000)))</f>
        <v>1.5925169082855231</v>
      </c>
      <c r="B22" s="97" t="s">
        <v>15</v>
      </c>
      <c r="C22" s="100">
        <v>18230435</v>
      </c>
      <c r="D22" s="100" t="s">
        <v>52</v>
      </c>
      <c r="E22" s="38" t="s">
        <v>1917</v>
      </c>
      <c r="F22" s="39" t="s">
        <v>1918</v>
      </c>
      <c r="G22" s="39">
        <v>10</v>
      </c>
      <c r="H22" s="39"/>
      <c r="I22" s="40" t="s">
        <v>265</v>
      </c>
      <c r="J22" s="41">
        <v>235</v>
      </c>
      <c r="K22" s="41">
        <v>74.099999999999994</v>
      </c>
      <c r="L22" s="41"/>
      <c r="M22" s="42">
        <v>10</v>
      </c>
      <c r="N22" s="42">
        <v>0.01</v>
      </c>
      <c r="O22" s="43">
        <v>17413.5</v>
      </c>
      <c r="P22" s="44">
        <v>3159</v>
      </c>
      <c r="Q22" s="44">
        <v>2.35</v>
      </c>
      <c r="R22" s="45">
        <v>14.31</v>
      </c>
      <c r="S22" s="46">
        <v>0</v>
      </c>
      <c r="T22" s="39">
        <f t="shared" si="0"/>
        <v>10</v>
      </c>
      <c r="U22" s="47">
        <f t="shared" si="1"/>
        <v>0.15486162657666869</v>
      </c>
      <c r="V22" s="48">
        <f t="shared" si="2"/>
        <v>-9.99</v>
      </c>
      <c r="W22" s="49">
        <f t="shared" si="3"/>
        <v>1.548616265766687E-2</v>
      </c>
      <c r="X22" s="44">
        <f t="shared" si="4"/>
        <v>3100.0853924181688</v>
      </c>
      <c r="Y22" s="44">
        <f t="shared" si="5"/>
        <v>-3156.65</v>
      </c>
      <c r="Z22" s="44">
        <f t="shared" si="6"/>
        <v>5877.8249153623638</v>
      </c>
      <c r="AA22" s="50">
        <f t="shared" si="7"/>
        <v>3102.4353924181687</v>
      </c>
      <c r="AB22" s="51">
        <f t="shared" si="18"/>
        <v>5494.8349213446418</v>
      </c>
      <c r="AC22" s="44">
        <f t="shared" si="18"/>
        <v>2900.2854935198357</v>
      </c>
      <c r="AD22" s="44">
        <f t="shared" si="9"/>
        <v>23652.039973405361</v>
      </c>
      <c r="AE22" s="44">
        <f t="shared" si="17"/>
        <v>0</v>
      </c>
      <c r="AF22" s="52">
        <f>HLOOKUP(I22,ElecAvoidedCostsWOCC!$A$5:$Q$50,G22+1,FALSE)</f>
        <v>0.74487332198138856</v>
      </c>
      <c r="AG22" s="44">
        <f t="shared" si="10"/>
        <v>12970.85159232291</v>
      </c>
      <c r="AH22" s="52">
        <f>HLOOKUP(I22,ElecAvoidedCostsWOCC!$A$5:$Q$50,T22+1,FALSE)</f>
        <v>0.74487332198138856</v>
      </c>
      <c r="AI22" s="44">
        <f t="shared" si="11"/>
        <v>0</v>
      </c>
      <c r="AJ22" s="44">
        <f t="shared" si="12"/>
        <v>12970.85159232291</v>
      </c>
      <c r="AK22" s="44">
        <f>HLOOKUP(I22,ElecAvoidedCostsWOCC!$A$5:$Q$50,G22+1,FALSE)*J22*L22</f>
        <v>0</v>
      </c>
      <c r="AL22" s="44">
        <f t="shared" si="13"/>
        <v>12970.85159232291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12970.851592322908</v>
      </c>
      <c r="AN22" s="48">
        <f t="shared" si="14"/>
        <v>37919.976724960565</v>
      </c>
      <c r="AO22" s="47">
        <f t="shared" si="15"/>
        <v>2.3605534612036734</v>
      </c>
      <c r="AP22" s="47">
        <f t="shared" si="16"/>
        <v>13.074566903736169</v>
      </c>
      <c r="AQ22">
        <v>2020</v>
      </c>
    </row>
    <row r="23" spans="1:43" ht="13.5" customHeight="1">
      <c r="A23" s="58" t="s">
        <v>246</v>
      </c>
      <c r="B23" s="97" t="s">
        <v>15</v>
      </c>
      <c r="C23" s="100">
        <v>18230435</v>
      </c>
      <c r="D23" s="100" t="s">
        <v>52</v>
      </c>
      <c r="E23" s="38" t="s">
        <v>1919</v>
      </c>
      <c r="F23" s="39" t="s">
        <v>1920</v>
      </c>
      <c r="G23" s="39">
        <v>10</v>
      </c>
      <c r="H23" s="39"/>
      <c r="I23" s="40" t="s">
        <v>265</v>
      </c>
      <c r="J23" s="41">
        <v>516</v>
      </c>
      <c r="K23" s="41">
        <v>48.5</v>
      </c>
      <c r="L23" s="41"/>
      <c r="M23" s="42">
        <v>10</v>
      </c>
      <c r="N23" s="42">
        <v>0.01</v>
      </c>
      <c r="O23" s="43">
        <v>25026</v>
      </c>
      <c r="P23" s="44">
        <v>5160</v>
      </c>
      <c r="Q23" s="44">
        <v>5.16</v>
      </c>
      <c r="R23" s="45">
        <v>9.3000000000000007</v>
      </c>
      <c r="S23" s="46">
        <v>0</v>
      </c>
      <c r="T23" s="39">
        <f t="shared" si="0"/>
        <v>10</v>
      </c>
      <c r="U23" s="47">
        <f t="shared" si="1"/>
        <v>0.22256106277932125</v>
      </c>
      <c r="V23" s="48">
        <f t="shared" si="2"/>
        <v>-9.99</v>
      </c>
      <c r="W23" s="49">
        <f t="shared" si="3"/>
        <v>2.2256106277932126E-2</v>
      </c>
      <c r="X23" s="44">
        <f t="shared" si="4"/>
        <v>4455.3212754849455</v>
      </c>
      <c r="Y23" s="44">
        <f t="shared" si="5"/>
        <v>-5154.84</v>
      </c>
      <c r="Z23" s="44">
        <f t="shared" si="6"/>
        <v>8447.3796957451705</v>
      </c>
      <c r="AA23" s="50">
        <f t="shared" si="7"/>
        <v>4460.4812754849454</v>
      </c>
      <c r="AB23" s="51">
        <f t="shared" si="18"/>
        <v>7896.9614805507799</v>
      </c>
      <c r="AC23" s="44">
        <f t="shared" si="18"/>
        <v>4169.8432041553197</v>
      </c>
      <c r="AD23" s="44">
        <f t="shared" si="9"/>
        <v>33751.55282702994</v>
      </c>
      <c r="AE23" s="44">
        <f t="shared" si="17"/>
        <v>0</v>
      </c>
      <c r="AF23" s="52">
        <f>HLOOKUP(I23,ElecAvoidedCostsWOCC!$A$5:$Q$50,G23+1,FALSE)</f>
        <v>0.74487332198138856</v>
      </c>
      <c r="AG23" s="44">
        <f t="shared" si="10"/>
        <v>18641.199755906229</v>
      </c>
      <c r="AH23" s="52">
        <f>HLOOKUP(I23,ElecAvoidedCostsWOCC!$A$5:$Q$50,T23+1,FALSE)</f>
        <v>0.74487332198138856</v>
      </c>
      <c r="AI23" s="44">
        <f t="shared" si="11"/>
        <v>0</v>
      </c>
      <c r="AJ23" s="44">
        <f t="shared" si="12"/>
        <v>18641.199755906229</v>
      </c>
      <c r="AK23" s="44">
        <f>HLOOKUP(I23,ElecAvoidedCostsWOCC!$A$5:$Q$50,G23+1,FALSE)*J23*L23</f>
        <v>0</v>
      </c>
      <c r="AL23" s="44">
        <f t="shared" si="13"/>
        <v>18641.199755906229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18641.199755906233</v>
      </c>
      <c r="AN23" s="48">
        <f t="shared" si="14"/>
        <v>54256.872558526797</v>
      </c>
      <c r="AO23" s="47">
        <f t="shared" si="15"/>
        <v>2.3605534612036738</v>
      </c>
      <c r="AP23" s="47">
        <f t="shared" si="16"/>
        <v>13.011729674741463</v>
      </c>
      <c r="AQ23">
        <v>2020</v>
      </c>
    </row>
    <row r="24" spans="1:43" ht="13.5" customHeight="1">
      <c r="A24" s="60">
        <f>(SUM(AN5:AN1000)/SUM(AC5:AC1000))</f>
        <v>5.9543020605287014</v>
      </c>
      <c r="B24" s="97" t="s">
        <v>15</v>
      </c>
      <c r="C24" s="61">
        <v>18230435</v>
      </c>
      <c r="D24" s="61" t="s">
        <v>52</v>
      </c>
      <c r="E24" s="38" t="s">
        <v>1921</v>
      </c>
      <c r="F24" s="39" t="s">
        <v>1922</v>
      </c>
      <c r="G24" s="39">
        <v>10</v>
      </c>
      <c r="H24" s="39"/>
      <c r="I24" s="40" t="s">
        <v>265</v>
      </c>
      <c r="J24" s="41">
        <v>716</v>
      </c>
      <c r="K24" s="41">
        <v>18.100000000000001</v>
      </c>
      <c r="L24" s="41"/>
      <c r="M24" s="42">
        <v>3</v>
      </c>
      <c r="N24" s="42">
        <v>0.01</v>
      </c>
      <c r="O24" s="43">
        <v>12959.6</v>
      </c>
      <c r="P24" s="44">
        <v>4770</v>
      </c>
      <c r="Q24" s="44">
        <v>7.1599999999999602</v>
      </c>
      <c r="R24" s="45">
        <v>3.41</v>
      </c>
      <c r="S24" s="46">
        <v>0</v>
      </c>
      <c r="T24" s="39">
        <f t="shared" si="0"/>
        <v>10</v>
      </c>
      <c r="U24" s="47">
        <f t="shared" si="1"/>
        <v>0.11525223164688292</v>
      </c>
      <c r="V24" s="48">
        <f t="shared" si="2"/>
        <v>-2.99</v>
      </c>
      <c r="W24" s="49">
        <f t="shared" si="3"/>
        <v>1.1525223164688292E-2</v>
      </c>
      <c r="X24" s="44">
        <f t="shared" si="4"/>
        <v>2307.167809549057</v>
      </c>
      <c r="Y24" s="44">
        <f t="shared" si="5"/>
        <v>-4762.84</v>
      </c>
      <c r="Z24" s="44">
        <f t="shared" si="6"/>
        <v>4374.4370616550423</v>
      </c>
      <c r="AA24" s="50">
        <f t="shared" si="7"/>
        <v>2314.3278095490568</v>
      </c>
      <c r="AB24" s="51">
        <f t="shared" si="18"/>
        <v>4089.4054984154827</v>
      </c>
      <c r="AC24" s="44">
        <f t="shared" si="18"/>
        <v>2163.5297836300429</v>
      </c>
      <c r="AD24" s="44">
        <f t="shared" si="9"/>
        <v>17172.301683829963</v>
      </c>
      <c r="AE24" s="44">
        <f t="shared" si="17"/>
        <v>0</v>
      </c>
      <c r="AF24" s="52">
        <f>HLOOKUP(I24,ElecAvoidedCostsWOCC!$A$5:$Q$50,G24+1,FALSE)</f>
        <v>0.74487332198138856</v>
      </c>
      <c r="AG24" s="44">
        <f t="shared" si="10"/>
        <v>9653.2603035500033</v>
      </c>
      <c r="AH24" s="52">
        <f>HLOOKUP(I24,ElecAvoidedCostsWOCC!$A$5:$Q$50,T24+1,FALSE)</f>
        <v>0.74487332198138856</v>
      </c>
      <c r="AI24" s="44">
        <f t="shared" si="11"/>
        <v>0</v>
      </c>
      <c r="AJ24" s="44">
        <f t="shared" si="12"/>
        <v>9653.2603035500033</v>
      </c>
      <c r="AK24" s="44">
        <f>HLOOKUP(I24,ElecAvoidedCostsWOCC!$A$5:$Q$50,G24+1,FALSE)*J24*L24</f>
        <v>0</v>
      </c>
      <c r="AL24" s="44">
        <f t="shared" si="13"/>
        <v>9653.2603035500033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9653.2603035500033</v>
      </c>
      <c r="AN24" s="48">
        <f t="shared" si="14"/>
        <v>27790.888017734967</v>
      </c>
      <c r="AO24" s="47">
        <f t="shared" si="15"/>
        <v>2.3605534612036738</v>
      </c>
      <c r="AP24" s="47">
        <f t="shared" si="16"/>
        <v>12.845160823765728</v>
      </c>
      <c r="AQ24">
        <v>2020</v>
      </c>
    </row>
    <row r="25" spans="1:43" ht="13.5" customHeight="1">
      <c r="B25" s="97" t="s">
        <v>15</v>
      </c>
      <c r="C25" s="61">
        <v>18230435</v>
      </c>
      <c r="D25" s="61" t="s">
        <v>52</v>
      </c>
      <c r="E25" s="38" t="s">
        <v>1927</v>
      </c>
      <c r="F25" s="39" t="s">
        <v>1928</v>
      </c>
      <c r="G25" s="39"/>
      <c r="H25" s="39"/>
      <c r="I25" s="40" t="s">
        <v>265</v>
      </c>
      <c r="J25" s="41">
        <v>16</v>
      </c>
      <c r="K25" s="41">
        <v>0</v>
      </c>
      <c r="L25" s="41"/>
      <c r="M25" s="42">
        <v>10</v>
      </c>
      <c r="N25" s="42">
        <v>0.01</v>
      </c>
      <c r="O25" s="43">
        <v>0</v>
      </c>
      <c r="P25" s="44">
        <v>240</v>
      </c>
      <c r="Q25" s="44">
        <v>0.16</v>
      </c>
      <c r="R25" s="45"/>
      <c r="S25" s="46">
        <v>0</v>
      </c>
      <c r="T25" s="39">
        <f t="shared" ref="T25:T60" si="19">G25+H25</f>
        <v>0</v>
      </c>
      <c r="U25" s="47">
        <f t="shared" ref="U25:U60" si="20">(O25/$A$10)*T25</f>
        <v>0</v>
      </c>
      <c r="V25" s="48">
        <f t="shared" ref="V25:V60" si="21">N25-M25</f>
        <v>-9.99</v>
      </c>
      <c r="W25" s="49">
        <f t="shared" ref="W25:W60" si="22">(O25/A$10)</f>
        <v>0</v>
      </c>
      <c r="X25" s="44">
        <f t="shared" ref="X25:X60" si="23">W25*A$8</f>
        <v>0</v>
      </c>
      <c r="Y25" s="44">
        <f t="shared" ref="Y25:Y60" si="24">Q25-P25</f>
        <v>-239.84</v>
      </c>
      <c r="Z25" s="44">
        <f t="shared" ref="Z25:Z60" si="25">X25+(A$6*W25)</f>
        <v>0</v>
      </c>
      <c r="AA25" s="50">
        <f t="shared" ref="AA25:AA60" si="26">Q25+X25</f>
        <v>0.16</v>
      </c>
      <c r="AB25" s="51">
        <f t="shared" ref="AB25:AB60" si="27">Z25/(1+ElecDiscountRate)^1</f>
        <v>0</v>
      </c>
      <c r="AC25" s="44">
        <f t="shared" ref="AC25:AC60" si="28">AA25/(1+ElecDiscountRate)^1</f>
        <v>0.14957464709731699</v>
      </c>
      <c r="AD25" s="44">
        <f t="shared" ref="AD25:AD60" si="29">-PV(ElecDiscountRate,T25,R25)*J25</f>
        <v>0</v>
      </c>
      <c r="AE25" s="44">
        <f t="shared" ref="AE25:AE60" si="30">-PV(ElecDiscountRate,T25,S25)*J25</f>
        <v>0</v>
      </c>
      <c r="AF25" s="52" t="str">
        <f>HLOOKUP(I25,ElecAvoidedCostsWOCC!$A$5:$Q$50,G25+1,FALSE)</f>
        <v>Res Water Heat</v>
      </c>
      <c r="AG25" s="44" t="e">
        <f t="shared" ref="AG25:AG60" si="31">AF25*J25*K25</f>
        <v>#VALUE!</v>
      </c>
      <c r="AH25" s="52" t="str">
        <f>HLOOKUP(I25,ElecAvoidedCostsWOCC!$A$5:$Q$50,T25+1,FALSE)</f>
        <v>Res Water Heat</v>
      </c>
      <c r="AI25" s="44" t="e">
        <f t="shared" ref="AI25:AI60" si="32">AH25*J25*L25</f>
        <v>#VALUE!</v>
      </c>
      <c r="AJ25" s="44" t="e">
        <f t="shared" ref="AJ25:AJ60" si="33">AG25+AI25</f>
        <v>#VALUE!</v>
      </c>
      <c r="AK25" s="44" t="e">
        <f>HLOOKUP(I25,ElecAvoidedCostsWOCC!$A$5:$Q$50,G25+1,FALSE)*J25*L25</f>
        <v>#VALUE!</v>
      </c>
      <c r="AL25" s="44" t="e">
        <f t="shared" ref="AL25:AL60" si="34">AG25+AI25-AK25</f>
        <v>#VALUE!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60" si="35">AM25*1.1+AD25+AE25</f>
        <v>0</v>
      </c>
      <c r="AO25" s="47">
        <f t="shared" ref="AO25:AO60" si="36">IFERROR(AM25/AB25,0)</f>
        <v>0</v>
      </c>
      <c r="AP25" s="47">
        <f t="shared" ref="AP25:AP60" si="37">AN25/AC25</f>
        <v>0</v>
      </c>
      <c r="AQ25">
        <v>2020</v>
      </c>
    </row>
    <row r="26" spans="1:43" ht="13.5" customHeight="1">
      <c r="B26" s="97" t="s">
        <v>15</v>
      </c>
      <c r="C26" s="61">
        <v>18230435</v>
      </c>
      <c r="D26" s="61" t="s">
        <v>52</v>
      </c>
      <c r="E26" s="38" t="s">
        <v>1929</v>
      </c>
      <c r="F26" s="39" t="s">
        <v>1928</v>
      </c>
      <c r="G26" s="39"/>
      <c r="H26" s="39"/>
      <c r="I26" s="40" t="s">
        <v>265</v>
      </c>
      <c r="J26" s="41">
        <v>19</v>
      </c>
      <c r="K26" s="41">
        <v>0</v>
      </c>
      <c r="L26" s="41"/>
      <c r="M26" s="42">
        <v>0</v>
      </c>
      <c r="N26" s="42">
        <v>0</v>
      </c>
      <c r="O26" s="43">
        <v>0</v>
      </c>
      <c r="P26" s="44">
        <v>285</v>
      </c>
      <c r="Q26" s="44">
        <v>0</v>
      </c>
      <c r="R26" s="45">
        <v>0</v>
      </c>
      <c r="S26" s="46">
        <v>0</v>
      </c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-285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str">
        <f>HLOOKUP(I26,ElecAvoidedCostsWOCC!$A$5:$Q$50,G26+1,FALSE)</f>
        <v>Res Water Heat</v>
      </c>
      <c r="AG26" s="44" t="e">
        <f t="shared" si="31"/>
        <v>#VALUE!</v>
      </c>
      <c r="AH26" s="52" t="str">
        <f>HLOOKUP(I26,ElecAvoidedCostsWOCC!$A$5:$Q$50,T26+1,FALSE)</f>
        <v>Res Water Heat</v>
      </c>
      <c r="AI26" s="44" t="e">
        <f t="shared" si="32"/>
        <v>#VALUE!</v>
      </c>
      <c r="AJ26" s="44" t="e">
        <f t="shared" si="33"/>
        <v>#VALUE!</v>
      </c>
      <c r="AK26" s="44" t="e">
        <f>HLOOKUP(I26,ElecAvoidedCostsWOCC!$A$5:$Q$50,G26+1,FALSE)*J26*L26</f>
        <v>#VALUE!</v>
      </c>
      <c r="AL26" s="44" t="e">
        <f t="shared" si="34"/>
        <v>#VALUE!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  <c r="AQ26">
        <v>2020</v>
      </c>
    </row>
    <row r="27" spans="1:43" ht="13.5" customHeight="1">
      <c r="B27" s="97" t="s">
        <v>15</v>
      </c>
      <c r="C27" s="61">
        <v>18230435</v>
      </c>
      <c r="D27" s="61" t="s">
        <v>52</v>
      </c>
      <c r="E27" s="38" t="s">
        <v>1930</v>
      </c>
      <c r="F27" s="39" t="s">
        <v>1931</v>
      </c>
      <c r="G27" s="39">
        <v>10</v>
      </c>
      <c r="H27" s="39"/>
      <c r="I27" s="40" t="s">
        <v>265</v>
      </c>
      <c r="J27" s="41">
        <v>374</v>
      </c>
      <c r="K27" s="41">
        <v>12</v>
      </c>
      <c r="L27" s="41"/>
      <c r="M27" s="42">
        <v>1.81</v>
      </c>
      <c r="N27" s="42">
        <v>1.81</v>
      </c>
      <c r="O27" s="43">
        <v>4488</v>
      </c>
      <c r="P27" s="44">
        <v>224.4</v>
      </c>
      <c r="Q27" s="44">
        <v>676.94000000000096</v>
      </c>
      <c r="R27" s="45">
        <v>2.74</v>
      </c>
      <c r="S27" s="46">
        <v>0</v>
      </c>
      <c r="T27" s="39">
        <f t="shared" si="19"/>
        <v>10</v>
      </c>
      <c r="U27" s="47">
        <f t="shared" si="20"/>
        <v>3.9912652831199311E-2</v>
      </c>
      <c r="V27" s="48">
        <f t="shared" si="21"/>
        <v>0</v>
      </c>
      <c r="W27" s="49">
        <f t="shared" si="22"/>
        <v>3.9912652831199311E-3</v>
      </c>
      <c r="X27" s="44">
        <f t="shared" si="23"/>
        <v>798.9883275144424</v>
      </c>
      <c r="Y27" s="44">
        <f t="shared" si="24"/>
        <v>452.54000000000099</v>
      </c>
      <c r="Z27" s="44">
        <f t="shared" si="25"/>
        <v>1514.898108946868</v>
      </c>
      <c r="AA27" s="50">
        <f t="shared" si="26"/>
        <v>1475.9283275144435</v>
      </c>
      <c r="AB27" s="51">
        <f t="shared" si="27"/>
        <v>1416.189687713254</v>
      </c>
      <c r="AC27" s="44">
        <f t="shared" si="28"/>
        <v>1379.7591170556636</v>
      </c>
      <c r="AD27" s="44">
        <f t="shared" si="29"/>
        <v>7207.4771349143966</v>
      </c>
      <c r="AE27" s="44">
        <f t="shared" si="30"/>
        <v>0</v>
      </c>
      <c r="AF27" s="52">
        <f>HLOOKUP(I27,ElecAvoidedCostsWOCC!$A$5:$Q$50,G27+1,FALSE)</f>
        <v>0.74487332198138856</v>
      </c>
      <c r="AG27" s="44">
        <f t="shared" si="31"/>
        <v>3342.991469052472</v>
      </c>
      <c r="AH27" s="52">
        <f>HLOOKUP(I27,ElecAvoidedCostsWOCC!$A$5:$Q$50,T27+1,FALSE)</f>
        <v>0.74487332198138856</v>
      </c>
      <c r="AI27" s="44">
        <f t="shared" si="32"/>
        <v>0</v>
      </c>
      <c r="AJ27" s="44">
        <f t="shared" si="33"/>
        <v>3342.991469052472</v>
      </c>
      <c r="AK27" s="44">
        <f>HLOOKUP(I27,ElecAvoidedCostsWOCC!$A$5:$Q$50,G27+1,FALSE)*J27*L27</f>
        <v>0</v>
      </c>
      <c r="AL27" s="44">
        <f t="shared" si="34"/>
        <v>3342.991469052472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3342.991469052472</v>
      </c>
      <c r="AN27" s="48">
        <f t="shared" si="35"/>
        <v>10884.767750872117</v>
      </c>
      <c r="AO27" s="47">
        <f t="shared" si="36"/>
        <v>2.3605534612036743</v>
      </c>
      <c r="AP27" s="47">
        <f t="shared" si="37"/>
        <v>7.8888898912294652</v>
      </c>
      <c r="AQ27">
        <v>2020</v>
      </c>
    </row>
    <row r="28" spans="1:43" ht="13.5" customHeight="1">
      <c r="B28" s="97" t="s">
        <v>15</v>
      </c>
      <c r="C28" s="61">
        <v>18230435</v>
      </c>
      <c r="D28" s="61" t="s">
        <v>52</v>
      </c>
      <c r="E28" s="38" t="s">
        <v>1932</v>
      </c>
      <c r="F28" s="39" t="s">
        <v>1931</v>
      </c>
      <c r="G28" s="39">
        <v>10</v>
      </c>
      <c r="H28" s="39"/>
      <c r="I28" s="40" t="s">
        <v>265</v>
      </c>
      <c r="J28" s="41">
        <v>327.12</v>
      </c>
      <c r="K28" s="41">
        <v>10.3</v>
      </c>
      <c r="L28" s="41"/>
      <c r="M28" s="42">
        <v>1.81</v>
      </c>
      <c r="N28" s="42">
        <v>1.81</v>
      </c>
      <c r="O28" s="43">
        <v>3369.3199999999902</v>
      </c>
      <c r="P28" s="44">
        <v>206.4</v>
      </c>
      <c r="Q28" s="44">
        <v>592.1</v>
      </c>
      <c r="R28" s="45">
        <v>2.74</v>
      </c>
      <c r="S28" s="46">
        <v>0</v>
      </c>
      <c r="T28" s="39">
        <f t="shared" si="19"/>
        <v>10</v>
      </c>
      <c r="U28" s="47">
        <f t="shared" si="20"/>
        <v>2.996401502611766E-2</v>
      </c>
      <c r="V28" s="48">
        <f t="shared" si="21"/>
        <v>0</v>
      </c>
      <c r="W28" s="49">
        <f t="shared" si="22"/>
        <v>2.9964015026117661E-3</v>
      </c>
      <c r="X28" s="44">
        <f t="shared" si="23"/>
        <v>599.83229760716426</v>
      </c>
      <c r="Y28" s="44">
        <f t="shared" si="24"/>
        <v>385.70000000000005</v>
      </c>
      <c r="Z28" s="44">
        <f t="shared" si="25"/>
        <v>1137.2942282613294</v>
      </c>
      <c r="AA28" s="50">
        <f t="shared" si="26"/>
        <v>1191.9322976071644</v>
      </c>
      <c r="AB28" s="51">
        <f t="shared" si="27"/>
        <v>1063.1898927375239</v>
      </c>
      <c r="AC28" s="44">
        <f t="shared" si="28"/>
        <v>1114.2678298655364</v>
      </c>
      <c r="AD28" s="44">
        <f t="shared" si="29"/>
        <v>6304.0372202491908</v>
      </c>
      <c r="AE28" s="44">
        <f t="shared" si="30"/>
        <v>0</v>
      </c>
      <c r="AF28" s="52">
        <f>HLOOKUP(I28,ElecAvoidedCostsWOCC!$A$5:$Q$50,G28+1,FALSE)</f>
        <v>0.74487332198138856</v>
      </c>
      <c r="AG28" s="44">
        <f t="shared" si="31"/>
        <v>2509.7284991914839</v>
      </c>
      <c r="AH28" s="52">
        <f>HLOOKUP(I28,ElecAvoidedCostsWOCC!$A$5:$Q$50,T28+1,FALSE)</f>
        <v>0.74487332198138856</v>
      </c>
      <c r="AI28" s="44">
        <f t="shared" si="32"/>
        <v>0</v>
      </c>
      <c r="AJ28" s="44">
        <f t="shared" si="33"/>
        <v>2509.7284991914839</v>
      </c>
      <c r="AK28" s="44">
        <f>HLOOKUP(I28,ElecAvoidedCostsWOCC!$A$5:$Q$50,G28+1,FALSE)*J28*L28</f>
        <v>0</v>
      </c>
      <c r="AL28" s="44">
        <f t="shared" si="34"/>
        <v>2509.7284991914839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2509.7284991914839</v>
      </c>
      <c r="AN28" s="48">
        <f t="shared" si="35"/>
        <v>9064.7385693598226</v>
      </c>
      <c r="AO28" s="47">
        <f t="shared" si="36"/>
        <v>2.3605646708410495</v>
      </c>
      <c r="AP28" s="47">
        <f t="shared" si="37"/>
        <v>8.1351523631923435</v>
      </c>
      <c r="AQ28">
        <v>2020</v>
      </c>
    </row>
    <row r="29" spans="1:43">
      <c r="B29" s="97" t="s">
        <v>15</v>
      </c>
      <c r="C29" s="61">
        <v>18230435</v>
      </c>
      <c r="D29" s="61" t="s">
        <v>52</v>
      </c>
      <c r="E29" s="38" t="s">
        <v>1933</v>
      </c>
      <c r="F29" s="39" t="s">
        <v>1934</v>
      </c>
      <c r="G29" s="39">
        <v>10</v>
      </c>
      <c r="H29" s="39"/>
      <c r="I29" s="40" t="s">
        <v>265</v>
      </c>
      <c r="J29" s="41">
        <v>1020.24</v>
      </c>
      <c r="K29" s="41">
        <v>10</v>
      </c>
      <c r="L29" s="41"/>
      <c r="M29" s="42">
        <v>1.27</v>
      </c>
      <c r="N29" s="42">
        <v>1.27</v>
      </c>
      <c r="O29" s="43">
        <v>10202.4</v>
      </c>
      <c r="P29" s="44">
        <v>448.55999999999699</v>
      </c>
      <c r="Q29" s="44">
        <v>1295.70999999999</v>
      </c>
      <c r="R29" s="45">
        <v>2.74</v>
      </c>
      <c r="S29" s="46">
        <v>0</v>
      </c>
      <c r="T29" s="39">
        <f t="shared" si="19"/>
        <v>10</v>
      </c>
      <c r="U29" s="47">
        <f t="shared" si="20"/>
        <v>9.0731918280977666E-2</v>
      </c>
      <c r="V29" s="48">
        <f t="shared" si="21"/>
        <v>0</v>
      </c>
      <c r="W29" s="49">
        <f t="shared" si="22"/>
        <v>9.073191828097767E-3</v>
      </c>
      <c r="X29" s="44">
        <f t="shared" si="23"/>
        <v>1816.3098290181254</v>
      </c>
      <c r="Y29" s="44">
        <f t="shared" si="24"/>
        <v>847.14999999999304</v>
      </c>
      <c r="Z29" s="44">
        <f t="shared" si="25"/>
        <v>3443.7603535471317</v>
      </c>
      <c r="AA29" s="50">
        <f t="shared" si="26"/>
        <v>3112.0198290181152</v>
      </c>
      <c r="AB29" s="51">
        <f t="shared" si="27"/>
        <v>3219.3702473096487</v>
      </c>
      <c r="AC29" s="44">
        <f t="shared" si="28"/>
        <v>2909.2454230327335</v>
      </c>
      <c r="AD29" s="44">
        <f t="shared" si="29"/>
        <v>19661.380941510866</v>
      </c>
      <c r="AE29" s="44">
        <f t="shared" si="30"/>
        <v>0</v>
      </c>
      <c r="AF29" s="52">
        <f>HLOOKUP(I29,ElecAvoidedCostsWOCC!$A$5:$Q$50,G29+1,FALSE)</f>
        <v>0.74487332198138856</v>
      </c>
      <c r="AG29" s="44">
        <f t="shared" si="31"/>
        <v>7599.4955801829192</v>
      </c>
      <c r="AH29" s="52">
        <f>HLOOKUP(I29,ElecAvoidedCostsWOCC!$A$5:$Q$50,T29+1,FALSE)</f>
        <v>0.74487332198138856</v>
      </c>
      <c r="AI29" s="44">
        <f t="shared" si="32"/>
        <v>0</v>
      </c>
      <c r="AJ29" s="44">
        <f t="shared" si="33"/>
        <v>7599.4955801829192</v>
      </c>
      <c r="AK29" s="44">
        <f>HLOOKUP(I29,ElecAvoidedCostsWOCC!$A$5:$Q$50,G29+1,FALSE)*J29*L29</f>
        <v>0</v>
      </c>
      <c r="AL29" s="44">
        <f t="shared" si="34"/>
        <v>7599.4955801829192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7599.4955801829183</v>
      </c>
      <c r="AN29" s="48">
        <f t="shared" si="35"/>
        <v>28020.826079712075</v>
      </c>
      <c r="AO29" s="47">
        <f t="shared" si="36"/>
        <v>2.3605534612036738</v>
      </c>
      <c r="AP29" s="47">
        <f t="shared" si="37"/>
        <v>9.6316473879683393</v>
      </c>
      <c r="AQ29">
        <v>2020</v>
      </c>
    </row>
    <row r="30" spans="1:43">
      <c r="B30" s="97" t="s">
        <v>15</v>
      </c>
      <c r="C30" s="61">
        <v>18230435</v>
      </c>
      <c r="D30" s="61" t="s">
        <v>52</v>
      </c>
      <c r="E30" s="38" t="s">
        <v>1935</v>
      </c>
      <c r="F30" s="39" t="s">
        <v>1934</v>
      </c>
      <c r="G30" s="39">
        <v>10</v>
      </c>
      <c r="H30" s="39"/>
      <c r="I30" s="40" t="s">
        <v>265</v>
      </c>
      <c r="J30" s="41">
        <v>487.55</v>
      </c>
      <c r="K30" s="41">
        <v>8.6999999999999993</v>
      </c>
      <c r="L30" s="41"/>
      <c r="M30" s="42">
        <v>1.27</v>
      </c>
      <c r="N30" s="42">
        <v>1.27</v>
      </c>
      <c r="O30" s="43">
        <v>4241.7700000000004</v>
      </c>
      <c r="P30" s="44">
        <v>267.26000000000101</v>
      </c>
      <c r="Q30" s="44">
        <v>619.04999999999905</v>
      </c>
      <c r="R30" s="45">
        <v>2.74</v>
      </c>
      <c r="S30" s="46">
        <v>0</v>
      </c>
      <c r="T30" s="39">
        <f t="shared" si="19"/>
        <v>10</v>
      </c>
      <c r="U30" s="47">
        <f t="shared" si="20"/>
        <v>3.7722881773573157E-2</v>
      </c>
      <c r="V30" s="48">
        <f t="shared" si="21"/>
        <v>0</v>
      </c>
      <c r="W30" s="49">
        <f t="shared" si="22"/>
        <v>3.7722881773573154E-3</v>
      </c>
      <c r="X30" s="44">
        <f t="shared" si="23"/>
        <v>755.15256639949575</v>
      </c>
      <c r="Y30" s="44">
        <f t="shared" si="24"/>
        <v>351.78999999999803</v>
      </c>
      <c r="Z30" s="44">
        <f t="shared" si="25"/>
        <v>1431.7846148813633</v>
      </c>
      <c r="AA30" s="50">
        <f t="shared" si="26"/>
        <v>1374.2025663994948</v>
      </c>
      <c r="AB30" s="51">
        <f t="shared" si="27"/>
        <v>1338.491740564049</v>
      </c>
      <c r="AC30" s="44">
        <f t="shared" si="28"/>
        <v>1284.6616494339485</v>
      </c>
      <c r="AD30" s="44">
        <f t="shared" si="29"/>
        <v>9395.7365698596641</v>
      </c>
      <c r="AE30" s="44">
        <f t="shared" si="30"/>
        <v>0</v>
      </c>
      <c r="AF30" s="52">
        <f>HLOOKUP(I30,ElecAvoidedCostsWOCC!$A$5:$Q$50,G30+1,FALSE)</f>
        <v>0.74487332198138856</v>
      </c>
      <c r="AG30" s="44">
        <f t="shared" si="31"/>
        <v>3159.517996748626</v>
      </c>
      <c r="AH30" s="52">
        <f>HLOOKUP(I30,ElecAvoidedCostsWOCC!$A$5:$Q$50,T30+1,FALSE)</f>
        <v>0.74487332198138856</v>
      </c>
      <c r="AI30" s="44">
        <f t="shared" si="32"/>
        <v>0</v>
      </c>
      <c r="AJ30" s="44">
        <f t="shared" si="33"/>
        <v>3159.517996748626</v>
      </c>
      <c r="AK30" s="44">
        <f>HLOOKUP(I30,ElecAvoidedCostsWOCC!$A$5:$Q$50,G30+1,FALSE)*J30*L30</f>
        <v>0</v>
      </c>
      <c r="AL30" s="44">
        <f t="shared" si="34"/>
        <v>3159.517996748626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3159.517996748626</v>
      </c>
      <c r="AN30" s="48">
        <f t="shared" si="35"/>
        <v>12871.206366283153</v>
      </c>
      <c r="AO30" s="47">
        <f t="shared" si="36"/>
        <v>2.3605061585342209</v>
      </c>
      <c r="AP30" s="47">
        <f t="shared" si="37"/>
        <v>10.01914112712441</v>
      </c>
      <c r="AQ30">
        <v>2020</v>
      </c>
    </row>
    <row r="31" spans="1:43">
      <c r="B31" s="97" t="s">
        <v>15</v>
      </c>
      <c r="C31" s="61">
        <v>18230435</v>
      </c>
      <c r="D31" s="61" t="s">
        <v>52</v>
      </c>
      <c r="E31" s="38" t="s">
        <v>1938</v>
      </c>
      <c r="F31" s="39" t="s">
        <v>1939</v>
      </c>
      <c r="G31" s="39">
        <v>10</v>
      </c>
      <c r="H31" s="39"/>
      <c r="I31" s="40" t="s">
        <v>265</v>
      </c>
      <c r="J31" s="41">
        <v>187</v>
      </c>
      <c r="K31" s="41">
        <v>19</v>
      </c>
      <c r="L31" s="41"/>
      <c r="M31" s="42">
        <v>1.81</v>
      </c>
      <c r="N31" s="42">
        <v>1.81</v>
      </c>
      <c r="O31" s="43">
        <v>3553</v>
      </c>
      <c r="P31" s="44">
        <v>280.5</v>
      </c>
      <c r="Q31" s="44">
        <v>338.47</v>
      </c>
      <c r="R31" s="45">
        <v>3.8</v>
      </c>
      <c r="S31" s="46">
        <v>0</v>
      </c>
      <c r="T31" s="39">
        <f t="shared" si="19"/>
        <v>10</v>
      </c>
      <c r="U31" s="47">
        <f t="shared" si="20"/>
        <v>3.1597516824699454E-2</v>
      </c>
      <c r="V31" s="48">
        <f t="shared" si="21"/>
        <v>0</v>
      </c>
      <c r="W31" s="49">
        <f t="shared" si="22"/>
        <v>3.1597516824699453E-3</v>
      </c>
      <c r="X31" s="44">
        <f t="shared" si="23"/>
        <v>632.53242594893356</v>
      </c>
      <c r="Y31" s="44">
        <f t="shared" si="24"/>
        <v>57.970000000000027</v>
      </c>
      <c r="Z31" s="44">
        <f t="shared" si="25"/>
        <v>1199.2943362496039</v>
      </c>
      <c r="AA31" s="50">
        <f t="shared" si="26"/>
        <v>971.00242594893359</v>
      </c>
      <c r="AB31" s="51">
        <f t="shared" si="27"/>
        <v>1121.1501694396595</v>
      </c>
      <c r="AC31" s="44">
        <f t="shared" si="28"/>
        <v>907.73340744969005</v>
      </c>
      <c r="AD31" s="44">
        <f t="shared" si="29"/>
        <v>4997.8856045026832</v>
      </c>
      <c r="AE31" s="44">
        <f t="shared" si="30"/>
        <v>0</v>
      </c>
      <c r="AF31" s="52">
        <f>HLOOKUP(I31,ElecAvoidedCostsWOCC!$A$5:$Q$50,G31+1,FALSE)</f>
        <v>0.74487332198138856</v>
      </c>
      <c r="AG31" s="44">
        <f t="shared" si="31"/>
        <v>2646.5349129998735</v>
      </c>
      <c r="AH31" s="52">
        <f>HLOOKUP(I31,ElecAvoidedCostsWOCC!$A$5:$Q$50,T31+1,FALSE)</f>
        <v>0.74487332198138856</v>
      </c>
      <c r="AI31" s="44">
        <f t="shared" si="32"/>
        <v>0</v>
      </c>
      <c r="AJ31" s="44">
        <f t="shared" si="33"/>
        <v>2646.5349129998735</v>
      </c>
      <c r="AK31" s="44">
        <f>HLOOKUP(I31,ElecAvoidedCostsWOCC!$A$5:$Q$50,G31+1,FALSE)*J31*L31</f>
        <v>0</v>
      </c>
      <c r="AL31" s="44">
        <f t="shared" si="34"/>
        <v>2646.5349129998735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2646.5349129998735</v>
      </c>
      <c r="AN31" s="48">
        <f t="shared" si="35"/>
        <v>7909.074008802545</v>
      </c>
      <c r="AO31" s="47">
        <f t="shared" si="36"/>
        <v>2.3605534612036738</v>
      </c>
      <c r="AP31" s="47">
        <f t="shared" si="37"/>
        <v>8.712992100867341</v>
      </c>
      <c r="AQ31">
        <v>2020</v>
      </c>
    </row>
    <row r="32" spans="1:43">
      <c r="B32" s="97" t="s">
        <v>15</v>
      </c>
      <c r="C32" s="61">
        <v>18230435</v>
      </c>
      <c r="D32" s="61" t="s">
        <v>52</v>
      </c>
      <c r="E32" s="38" t="s">
        <v>1940</v>
      </c>
      <c r="F32" s="39" t="s">
        <v>1939</v>
      </c>
      <c r="G32" s="39">
        <v>10</v>
      </c>
      <c r="H32" s="39"/>
      <c r="I32" s="40" t="s">
        <v>265</v>
      </c>
      <c r="J32" s="41">
        <v>163.57</v>
      </c>
      <c r="K32" s="41">
        <v>16.8</v>
      </c>
      <c r="L32" s="41"/>
      <c r="M32" s="42">
        <v>1.81</v>
      </c>
      <c r="N32" s="42">
        <v>1.81</v>
      </c>
      <c r="O32" s="43">
        <v>2747.97</v>
      </c>
      <c r="P32" s="44">
        <v>258</v>
      </c>
      <c r="Q32" s="44">
        <v>296.06</v>
      </c>
      <c r="R32" s="45">
        <v>3.8</v>
      </c>
      <c r="S32" s="46">
        <v>0</v>
      </c>
      <c r="T32" s="39">
        <f t="shared" si="19"/>
        <v>10</v>
      </c>
      <c r="U32" s="47">
        <f t="shared" si="20"/>
        <v>2.4438229189071022E-2</v>
      </c>
      <c r="V32" s="48">
        <f t="shared" si="21"/>
        <v>0</v>
      </c>
      <c r="W32" s="49">
        <f t="shared" si="22"/>
        <v>2.4438229189071023E-3</v>
      </c>
      <c r="X32" s="44">
        <f t="shared" si="23"/>
        <v>489.21478483954144</v>
      </c>
      <c r="Y32" s="44">
        <f t="shared" si="24"/>
        <v>38.06</v>
      </c>
      <c r="Z32" s="44">
        <f t="shared" si="25"/>
        <v>927.561175677969</v>
      </c>
      <c r="AA32" s="50">
        <f t="shared" si="26"/>
        <v>785.27478483954144</v>
      </c>
      <c r="AB32" s="51">
        <f t="shared" si="27"/>
        <v>867.12272195752917</v>
      </c>
      <c r="AC32" s="44">
        <f t="shared" si="28"/>
        <v>734.1074926049746</v>
      </c>
      <c r="AD32" s="44">
        <f t="shared" si="29"/>
        <v>4371.6799375855817</v>
      </c>
      <c r="AE32" s="44">
        <f t="shared" si="30"/>
        <v>0</v>
      </c>
      <c r="AF32" s="52">
        <f>HLOOKUP(I32,ElecAvoidedCostsWOCC!$A$5:$Q$50,G32+1,FALSE)</f>
        <v>0.74487332198138856</v>
      </c>
      <c r="AG32" s="44">
        <f t="shared" si="31"/>
        <v>2046.8940118451283</v>
      </c>
      <c r="AH32" s="52">
        <f>HLOOKUP(I32,ElecAvoidedCostsWOCC!$A$5:$Q$50,T32+1,FALSE)</f>
        <v>0.74487332198138856</v>
      </c>
      <c r="AI32" s="44">
        <f t="shared" si="32"/>
        <v>0</v>
      </c>
      <c r="AJ32" s="44">
        <f t="shared" si="33"/>
        <v>2046.8940118451283</v>
      </c>
      <c r="AK32" s="44">
        <f>HLOOKUP(I32,ElecAvoidedCostsWOCC!$A$5:$Q$50,G32+1,FALSE)*J32*L32</f>
        <v>0</v>
      </c>
      <c r="AL32" s="44">
        <f t="shared" si="34"/>
        <v>2046.8940118451283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2046.8940118451283</v>
      </c>
      <c r="AN32" s="48">
        <f t="shared" si="35"/>
        <v>6623.2633506152233</v>
      </c>
      <c r="AO32" s="47">
        <f t="shared" si="36"/>
        <v>2.3605586153067999</v>
      </c>
      <c r="AP32" s="47">
        <f t="shared" si="37"/>
        <v>9.0221982711450419</v>
      </c>
      <c r="AQ32">
        <v>2020</v>
      </c>
    </row>
    <row r="33" spans="2:43">
      <c r="B33" s="97" t="s">
        <v>15</v>
      </c>
      <c r="C33" s="61">
        <v>18230435</v>
      </c>
      <c r="D33" s="61" t="s">
        <v>52</v>
      </c>
      <c r="E33" s="38" t="s">
        <v>1941</v>
      </c>
      <c r="F33" s="39" t="s">
        <v>1942</v>
      </c>
      <c r="G33" s="39">
        <v>10</v>
      </c>
      <c r="H33" s="39"/>
      <c r="I33" s="40" t="s">
        <v>265</v>
      </c>
      <c r="J33" s="41">
        <v>510.12</v>
      </c>
      <c r="K33" s="41">
        <v>16</v>
      </c>
      <c r="L33" s="41"/>
      <c r="M33" s="42">
        <v>1.27</v>
      </c>
      <c r="N33" s="42">
        <v>1.27</v>
      </c>
      <c r="O33" s="43">
        <v>8161.92</v>
      </c>
      <c r="P33" s="44">
        <v>560.70000000000095</v>
      </c>
      <c r="Q33" s="44">
        <v>647.86999999999705</v>
      </c>
      <c r="R33" s="45">
        <v>3.8</v>
      </c>
      <c r="S33" s="46">
        <v>0</v>
      </c>
      <c r="T33" s="39">
        <f t="shared" si="19"/>
        <v>10</v>
      </c>
      <c r="U33" s="47">
        <f t="shared" si="20"/>
        <v>7.258553462478215E-2</v>
      </c>
      <c r="V33" s="48">
        <f t="shared" si="21"/>
        <v>0</v>
      </c>
      <c r="W33" s="49">
        <f t="shared" si="22"/>
        <v>7.2585534624782146E-3</v>
      </c>
      <c r="X33" s="44">
        <f t="shared" si="23"/>
        <v>1453.0478632145005</v>
      </c>
      <c r="Y33" s="44">
        <f t="shared" si="24"/>
        <v>87.169999999996094</v>
      </c>
      <c r="Z33" s="44">
        <f t="shared" si="25"/>
        <v>2755.0082828377053</v>
      </c>
      <c r="AA33" s="50">
        <f t="shared" si="26"/>
        <v>2100.9178632144976</v>
      </c>
      <c r="AB33" s="51">
        <f t="shared" si="27"/>
        <v>2575.496197847719</v>
      </c>
      <c r="AC33" s="44">
        <f t="shared" si="28"/>
        <v>1964.0252998172361</v>
      </c>
      <c r="AD33" s="44">
        <f t="shared" si="29"/>
        <v>13633.804302507533</v>
      </c>
      <c r="AE33" s="44">
        <f t="shared" si="30"/>
        <v>0</v>
      </c>
      <c r="AF33" s="52">
        <f>HLOOKUP(I33,ElecAvoidedCostsWOCC!$A$5:$Q$50,G33+1,FALSE)</f>
        <v>0.74487332198138856</v>
      </c>
      <c r="AG33" s="44">
        <f t="shared" si="31"/>
        <v>6079.5964641463352</v>
      </c>
      <c r="AH33" s="52">
        <f>HLOOKUP(I33,ElecAvoidedCostsWOCC!$A$5:$Q$50,T33+1,FALSE)</f>
        <v>0.74487332198138856</v>
      </c>
      <c r="AI33" s="44">
        <f t="shared" si="32"/>
        <v>0</v>
      </c>
      <c r="AJ33" s="44">
        <f t="shared" si="33"/>
        <v>6079.5964641463352</v>
      </c>
      <c r="AK33" s="44">
        <f>HLOOKUP(I33,ElecAvoidedCostsWOCC!$A$5:$Q$50,G33+1,FALSE)*J33*L33</f>
        <v>0</v>
      </c>
      <c r="AL33" s="44">
        <f t="shared" si="34"/>
        <v>6079.5964641463352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6079.5964641463352</v>
      </c>
      <c r="AN33" s="48">
        <f t="shared" si="35"/>
        <v>20321.360413068502</v>
      </c>
      <c r="AO33" s="47">
        <f t="shared" si="36"/>
        <v>2.3605534612036738</v>
      </c>
      <c r="AP33" s="47">
        <f t="shared" si="37"/>
        <v>10.346791568804903</v>
      </c>
      <c r="AQ33">
        <v>2020</v>
      </c>
    </row>
    <row r="34" spans="2:43">
      <c r="B34" s="97" t="s">
        <v>15</v>
      </c>
      <c r="C34" s="61">
        <v>18230435</v>
      </c>
      <c r="D34" s="61" t="s">
        <v>52</v>
      </c>
      <c r="E34" s="38" t="s">
        <v>1943</v>
      </c>
      <c r="F34" s="39" t="s">
        <v>1942</v>
      </c>
      <c r="G34" s="39">
        <v>10</v>
      </c>
      <c r="H34" s="39"/>
      <c r="I34" s="40" t="s">
        <v>265</v>
      </c>
      <c r="J34" s="41">
        <v>243.88</v>
      </c>
      <c r="K34" s="41">
        <v>14.3</v>
      </c>
      <c r="L34" s="41"/>
      <c r="M34" s="42">
        <v>1.27</v>
      </c>
      <c r="N34" s="42">
        <v>1.27</v>
      </c>
      <c r="O34" s="43">
        <v>3487.52</v>
      </c>
      <c r="P34" s="44">
        <v>334.780000000001</v>
      </c>
      <c r="Q34" s="44">
        <v>309.70999999999998</v>
      </c>
      <c r="R34" s="45">
        <v>3.8</v>
      </c>
      <c r="S34" s="46">
        <v>0</v>
      </c>
      <c r="T34" s="39">
        <f t="shared" si="19"/>
        <v>10</v>
      </c>
      <c r="U34" s="47">
        <f t="shared" si="20"/>
        <v>3.1015190508436766E-2</v>
      </c>
      <c r="V34" s="48">
        <f t="shared" si="21"/>
        <v>0</v>
      </c>
      <c r="W34" s="49">
        <f t="shared" si="22"/>
        <v>3.1015190508436766E-3</v>
      </c>
      <c r="X34" s="44">
        <f t="shared" si="23"/>
        <v>620.87517200828165</v>
      </c>
      <c r="Y34" s="44">
        <f t="shared" si="24"/>
        <v>-25.070000000001016</v>
      </c>
      <c r="Z34" s="44">
        <f t="shared" si="25"/>
        <v>1177.1919458365378</v>
      </c>
      <c r="AA34" s="50">
        <f t="shared" si="26"/>
        <v>930.58517200828169</v>
      </c>
      <c r="AB34" s="51">
        <f t="shared" si="27"/>
        <v>1100.4879366519003</v>
      </c>
      <c r="AC34" s="44">
        <f t="shared" si="28"/>
        <v>869.94967935709224</v>
      </c>
      <c r="AD34" s="44">
        <f t="shared" si="29"/>
        <v>6518.0980814230716</v>
      </c>
      <c r="AE34" s="44">
        <f t="shared" si="30"/>
        <v>0</v>
      </c>
      <c r="AF34" s="52">
        <f>HLOOKUP(I34,ElecAvoidedCostsWOCC!$A$5:$Q$50,G34+1,FALSE)</f>
        <v>0.74487332198138856</v>
      </c>
      <c r="AG34" s="44">
        <f t="shared" si="31"/>
        <v>2597.7337924369408</v>
      </c>
      <c r="AH34" s="52">
        <f>HLOOKUP(I34,ElecAvoidedCostsWOCC!$A$5:$Q$50,T34+1,FALSE)</f>
        <v>0.74487332198138856</v>
      </c>
      <c r="AI34" s="44">
        <f t="shared" si="32"/>
        <v>0</v>
      </c>
      <c r="AJ34" s="44">
        <f t="shared" si="33"/>
        <v>2597.7337924369408</v>
      </c>
      <c r="AK34" s="44">
        <f>HLOOKUP(I34,ElecAvoidedCostsWOCC!$A$5:$Q$50,G34+1,FALSE)*J34*L34</f>
        <v>0</v>
      </c>
      <c r="AL34" s="44">
        <f t="shared" si="34"/>
        <v>2597.7337924369408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2597.7337924369408</v>
      </c>
      <c r="AN34" s="48">
        <f t="shared" si="35"/>
        <v>9375.6052531037058</v>
      </c>
      <c r="AO34" s="47">
        <f t="shared" si="36"/>
        <v>2.3605290943399413</v>
      </c>
      <c r="AP34" s="47">
        <f t="shared" si="37"/>
        <v>10.777181112397718</v>
      </c>
      <c r="AQ34">
        <v>2020</v>
      </c>
    </row>
    <row r="35" spans="2:43">
      <c r="B35" s="97" t="s">
        <v>15</v>
      </c>
      <c r="C35" s="61">
        <v>18230435</v>
      </c>
      <c r="D35" s="61" t="s">
        <v>52</v>
      </c>
      <c r="E35" s="38" t="s">
        <v>1946</v>
      </c>
      <c r="F35" s="39" t="s">
        <v>1947</v>
      </c>
      <c r="G35" s="39">
        <v>10</v>
      </c>
      <c r="H35" s="39"/>
      <c r="I35" s="40" t="s">
        <v>265</v>
      </c>
      <c r="J35" s="41">
        <v>32</v>
      </c>
      <c r="K35" s="41">
        <v>0</v>
      </c>
      <c r="L35" s="41"/>
      <c r="M35" s="42">
        <v>1.81</v>
      </c>
      <c r="N35" s="42">
        <v>1.81</v>
      </c>
      <c r="O35" s="43">
        <v>0</v>
      </c>
      <c r="P35" s="44">
        <v>19.2</v>
      </c>
      <c r="Q35" s="44">
        <v>57.92</v>
      </c>
      <c r="R35" s="45">
        <v>0</v>
      </c>
      <c r="S35" s="46">
        <v>0</v>
      </c>
      <c r="T35" s="39">
        <f t="shared" si="19"/>
        <v>10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38.72</v>
      </c>
      <c r="Z35" s="44">
        <f t="shared" si="25"/>
        <v>0</v>
      </c>
      <c r="AA35" s="50">
        <f t="shared" si="26"/>
        <v>57.92</v>
      </c>
      <c r="AB35" s="51">
        <f t="shared" si="27"/>
        <v>0</v>
      </c>
      <c r="AC35" s="44">
        <f t="shared" si="28"/>
        <v>54.14602224922875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0.74487332198138856</v>
      </c>
      <c r="AG35" s="44">
        <f t="shared" si="31"/>
        <v>0</v>
      </c>
      <c r="AH35" s="52">
        <f>HLOOKUP(I35,ElecAvoidedCostsWOCC!$A$5:$Q$50,T35+1,FALSE)</f>
        <v>0.74487332198138856</v>
      </c>
      <c r="AI35" s="44">
        <f t="shared" si="32"/>
        <v>0</v>
      </c>
      <c r="AJ35" s="44">
        <f t="shared" si="33"/>
        <v>0</v>
      </c>
      <c r="AK35" s="44">
        <f>HLOOKUP(I35,ElecAvoidedCostsWOCC!$A$5:$Q$50,G35+1,FALSE)*J35*L35</f>
        <v>0</v>
      </c>
      <c r="AL35" s="44">
        <f t="shared" si="34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>
        <f t="shared" si="37"/>
        <v>0</v>
      </c>
      <c r="AQ35">
        <v>2020</v>
      </c>
    </row>
    <row r="36" spans="2:43">
      <c r="B36" s="97" t="s">
        <v>15</v>
      </c>
      <c r="C36" s="61">
        <v>18230435</v>
      </c>
      <c r="D36" s="61" t="s">
        <v>52</v>
      </c>
      <c r="E36" s="38" t="s">
        <v>1948</v>
      </c>
      <c r="F36" s="39" t="s">
        <v>1947</v>
      </c>
      <c r="G36" s="39"/>
      <c r="H36" s="39"/>
      <c r="I36" s="40" t="s">
        <v>265</v>
      </c>
      <c r="J36" s="41">
        <v>38</v>
      </c>
      <c r="K36" s="41">
        <v>0</v>
      </c>
      <c r="L36" s="41"/>
      <c r="M36" s="42">
        <v>0</v>
      </c>
      <c r="N36" s="42">
        <v>0</v>
      </c>
      <c r="O36" s="43">
        <v>0</v>
      </c>
      <c r="P36" s="44">
        <v>0</v>
      </c>
      <c r="Q36" s="44">
        <v>0</v>
      </c>
      <c r="R36" s="45">
        <v>0</v>
      </c>
      <c r="S36" s="46">
        <v>0</v>
      </c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str">
        <f>HLOOKUP(I36,ElecAvoidedCostsWOCC!$A$5:$Q$50,G36+1,FALSE)</f>
        <v>Res Water Heat</v>
      </c>
      <c r="AG36" s="44" t="e">
        <f t="shared" si="31"/>
        <v>#VALUE!</v>
      </c>
      <c r="AH36" s="52" t="str">
        <f>HLOOKUP(I36,ElecAvoidedCostsWOCC!$A$5:$Q$50,T36+1,FALSE)</f>
        <v>Res Water Heat</v>
      </c>
      <c r="AI36" s="44" t="e">
        <f t="shared" si="32"/>
        <v>#VALUE!</v>
      </c>
      <c r="AJ36" s="44" t="e">
        <f t="shared" si="33"/>
        <v>#VALUE!</v>
      </c>
      <c r="AK36" s="44" t="e">
        <f>HLOOKUP(I36,ElecAvoidedCostsWOCC!$A$5:$Q$50,G36+1,FALSE)*J36*L36</f>
        <v>#VALUE!</v>
      </c>
      <c r="AL36" s="44" t="e">
        <f t="shared" si="34"/>
        <v>#VALUE!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  <c r="AQ36">
        <v>2020</v>
      </c>
    </row>
    <row r="37" spans="2:43">
      <c r="B37" s="97" t="s">
        <v>15</v>
      </c>
      <c r="C37" s="61">
        <v>18230435</v>
      </c>
      <c r="D37" s="61" t="s">
        <v>52</v>
      </c>
      <c r="E37" s="38" t="s">
        <v>1949</v>
      </c>
      <c r="F37" s="39" t="s">
        <v>1950</v>
      </c>
      <c r="G37" s="39">
        <v>10</v>
      </c>
      <c r="H37" s="39"/>
      <c r="I37" s="40" t="s">
        <v>265</v>
      </c>
      <c r="J37" s="41">
        <v>16</v>
      </c>
      <c r="K37" s="41">
        <v>0</v>
      </c>
      <c r="L37" s="41"/>
      <c r="M37" s="42">
        <v>1.81</v>
      </c>
      <c r="N37" s="42">
        <v>1.81</v>
      </c>
      <c r="O37" s="43">
        <v>0</v>
      </c>
      <c r="P37" s="44">
        <v>24</v>
      </c>
      <c r="Q37" s="44">
        <v>28.96</v>
      </c>
      <c r="R37" s="45">
        <v>0</v>
      </c>
      <c r="S37" s="46">
        <v>0</v>
      </c>
      <c r="T37" s="39">
        <f t="shared" si="19"/>
        <v>10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4.9600000000000009</v>
      </c>
      <c r="Z37" s="44">
        <f t="shared" si="25"/>
        <v>0</v>
      </c>
      <c r="AA37" s="50">
        <f t="shared" si="26"/>
        <v>28.96</v>
      </c>
      <c r="AB37" s="51">
        <f t="shared" si="27"/>
        <v>0</v>
      </c>
      <c r="AC37" s="44">
        <f t="shared" si="28"/>
        <v>27.073011124614375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0.74487332198138856</v>
      </c>
      <c r="AG37" s="44">
        <f t="shared" si="31"/>
        <v>0</v>
      </c>
      <c r="AH37" s="52">
        <f>HLOOKUP(I37,ElecAvoidedCostsWOCC!$A$5:$Q$50,T37+1,FALSE)</f>
        <v>0.74487332198138856</v>
      </c>
      <c r="AI37" s="44">
        <f t="shared" si="32"/>
        <v>0</v>
      </c>
      <c r="AJ37" s="44">
        <f t="shared" si="33"/>
        <v>0</v>
      </c>
      <c r="AK37" s="44">
        <f>HLOOKUP(I37,ElecAvoidedCostsWOCC!$A$5:$Q$50,G37+1,FALSE)*J37*L37</f>
        <v>0</v>
      </c>
      <c r="AL37" s="44">
        <f t="shared" si="34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>
        <f t="shared" si="37"/>
        <v>0</v>
      </c>
      <c r="AQ37">
        <v>2020</v>
      </c>
    </row>
    <row r="38" spans="2:43">
      <c r="B38" s="97" t="s">
        <v>15</v>
      </c>
      <c r="C38" s="61">
        <v>18230435</v>
      </c>
      <c r="D38" s="61" t="s">
        <v>52</v>
      </c>
      <c r="E38" s="38" t="s">
        <v>1951</v>
      </c>
      <c r="F38" s="39" t="s">
        <v>1950</v>
      </c>
      <c r="G38" s="39"/>
      <c r="H38" s="39"/>
      <c r="I38" s="40" t="s">
        <v>265</v>
      </c>
      <c r="J38" s="41">
        <v>19</v>
      </c>
      <c r="K38" s="41">
        <v>0</v>
      </c>
      <c r="L38" s="41"/>
      <c r="M38" s="42">
        <v>0</v>
      </c>
      <c r="N38" s="42">
        <v>0</v>
      </c>
      <c r="O38" s="43">
        <v>0</v>
      </c>
      <c r="P38" s="44">
        <v>0</v>
      </c>
      <c r="Q38" s="44">
        <v>0</v>
      </c>
      <c r="R38" s="45">
        <v>0</v>
      </c>
      <c r="S38" s="46">
        <v>0</v>
      </c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str">
        <f>HLOOKUP(I38,ElecAvoidedCostsWOCC!$A$5:$Q$50,G38+1,FALSE)</f>
        <v>Res Water Heat</v>
      </c>
      <c r="AG38" s="44" t="e">
        <f t="shared" si="31"/>
        <v>#VALUE!</v>
      </c>
      <c r="AH38" s="52" t="str">
        <f>HLOOKUP(I38,ElecAvoidedCostsWOCC!$A$5:$Q$50,T38+1,FALSE)</f>
        <v>Res Water Heat</v>
      </c>
      <c r="AI38" s="44" t="e">
        <f t="shared" si="32"/>
        <v>#VALUE!</v>
      </c>
      <c r="AJ38" s="44" t="e">
        <f t="shared" si="33"/>
        <v>#VALUE!</v>
      </c>
      <c r="AK38" s="44" t="e">
        <f>HLOOKUP(I38,ElecAvoidedCostsWOCC!$A$5:$Q$50,G38+1,FALSE)*J38*L38</f>
        <v>#VALUE!</v>
      </c>
      <c r="AL38" s="44" t="e">
        <f t="shared" si="34"/>
        <v>#VALUE!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  <c r="AQ38">
        <v>2020</v>
      </c>
    </row>
    <row r="39" spans="2:43">
      <c r="B39" s="97" t="s">
        <v>15</v>
      </c>
      <c r="C39" s="61">
        <v>18230435</v>
      </c>
      <c r="D39" s="61" t="s">
        <v>52</v>
      </c>
      <c r="E39" s="38" t="s">
        <v>1873</v>
      </c>
      <c r="F39" s="39" t="s">
        <v>1874</v>
      </c>
      <c r="G39" s="39">
        <v>10</v>
      </c>
      <c r="H39" s="39"/>
      <c r="I39" s="40" t="s">
        <v>265</v>
      </c>
      <c r="J39" s="41">
        <v>938</v>
      </c>
      <c r="K39" s="41">
        <v>10</v>
      </c>
      <c r="L39" s="41"/>
      <c r="M39" s="42">
        <v>1.27</v>
      </c>
      <c r="N39" s="42">
        <v>1.27</v>
      </c>
      <c r="O39" s="43">
        <v>9380</v>
      </c>
      <c r="P39" s="44">
        <v>797.30000000000496</v>
      </c>
      <c r="Q39" s="44">
        <v>1191.25999999999</v>
      </c>
      <c r="R39" s="45">
        <v>2.74</v>
      </c>
      <c r="S39" s="46">
        <v>0</v>
      </c>
      <c r="T39" s="39">
        <f t="shared" si="19"/>
        <v>10</v>
      </c>
      <c r="U39" s="47">
        <f t="shared" si="20"/>
        <v>8.3418155872693744E-2</v>
      </c>
      <c r="V39" s="48">
        <f t="shared" si="21"/>
        <v>0</v>
      </c>
      <c r="W39" s="49">
        <f t="shared" si="22"/>
        <v>8.3418155872693744E-3</v>
      </c>
      <c r="X39" s="44">
        <f t="shared" si="23"/>
        <v>1669.8998467213614</v>
      </c>
      <c r="Y39" s="44">
        <f t="shared" si="24"/>
        <v>393.95999999998503</v>
      </c>
      <c r="Z39" s="44">
        <f t="shared" si="25"/>
        <v>3166.1640512303084</v>
      </c>
      <c r="AA39" s="50">
        <f t="shared" si="26"/>
        <v>2861.1598467213516</v>
      </c>
      <c r="AB39" s="51">
        <f t="shared" si="27"/>
        <v>2959.8616913436554</v>
      </c>
      <c r="AC39" s="44">
        <f t="shared" si="28"/>
        <v>2674.7310897647485</v>
      </c>
      <c r="AD39" s="44">
        <f t="shared" si="29"/>
        <v>18076.506824999207</v>
      </c>
      <c r="AE39" s="44">
        <f t="shared" si="30"/>
        <v>0</v>
      </c>
      <c r="AF39" s="52">
        <f>HLOOKUP(I39,ElecAvoidedCostsWOCC!$A$5:$Q$50,G39+1,FALSE)</f>
        <v>0.74487332198138856</v>
      </c>
      <c r="AG39" s="44">
        <f t="shared" si="31"/>
        <v>6986.911760185425</v>
      </c>
      <c r="AH39" s="52">
        <f>HLOOKUP(I39,ElecAvoidedCostsWOCC!$A$5:$Q$50,T39+1,FALSE)</f>
        <v>0.74487332198138856</v>
      </c>
      <c r="AI39" s="44">
        <f t="shared" si="32"/>
        <v>0</v>
      </c>
      <c r="AJ39" s="44">
        <f t="shared" si="33"/>
        <v>6986.911760185425</v>
      </c>
      <c r="AK39" s="44">
        <f>HLOOKUP(I39,ElecAvoidedCostsWOCC!$A$5:$Q$50,G39+1,FALSE)*J39*L39</f>
        <v>0</v>
      </c>
      <c r="AL39" s="44">
        <f t="shared" si="34"/>
        <v>6986.911760185425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6986.9117601854241</v>
      </c>
      <c r="AN39" s="48">
        <f t="shared" si="35"/>
        <v>25762.109761203174</v>
      </c>
      <c r="AO39" s="47">
        <f t="shared" si="36"/>
        <v>2.3605534612036734</v>
      </c>
      <c r="AP39" s="47">
        <f t="shared" si="37"/>
        <v>9.6316634819050311</v>
      </c>
      <c r="AQ39">
        <v>2020</v>
      </c>
    </row>
    <row r="40" spans="2:43">
      <c r="B40" s="97" t="s">
        <v>15</v>
      </c>
      <c r="C40" s="61">
        <v>18230435</v>
      </c>
      <c r="D40" s="61" t="s">
        <v>52</v>
      </c>
      <c r="E40" s="38" t="s">
        <v>1875</v>
      </c>
      <c r="F40" s="39" t="s">
        <v>1876</v>
      </c>
      <c r="G40" s="39">
        <v>10</v>
      </c>
      <c r="H40" s="39"/>
      <c r="I40" s="40" t="s">
        <v>265</v>
      </c>
      <c r="J40" s="41">
        <v>770</v>
      </c>
      <c r="K40" s="41">
        <v>12</v>
      </c>
      <c r="L40" s="41"/>
      <c r="M40" s="42">
        <v>1.81</v>
      </c>
      <c r="N40" s="42">
        <v>1.81</v>
      </c>
      <c r="O40" s="43">
        <v>9240</v>
      </c>
      <c r="P40" s="44">
        <v>770</v>
      </c>
      <c r="Q40" s="44">
        <v>1393.69999999999</v>
      </c>
      <c r="R40" s="45">
        <v>2.74</v>
      </c>
      <c r="S40" s="46">
        <v>0</v>
      </c>
      <c r="T40" s="39">
        <f t="shared" si="19"/>
        <v>10</v>
      </c>
      <c r="U40" s="47">
        <f t="shared" si="20"/>
        <v>8.2173108770116216E-2</v>
      </c>
      <c r="V40" s="48">
        <f t="shared" si="21"/>
        <v>0</v>
      </c>
      <c r="W40" s="49">
        <f t="shared" si="22"/>
        <v>8.2173108770116216E-3</v>
      </c>
      <c r="X40" s="44">
        <f t="shared" si="23"/>
        <v>1644.9759684120872</v>
      </c>
      <c r="Y40" s="44">
        <f t="shared" si="24"/>
        <v>623.69999999999004</v>
      </c>
      <c r="Z40" s="44">
        <f t="shared" si="25"/>
        <v>3118.9078713611989</v>
      </c>
      <c r="AA40" s="50">
        <f t="shared" si="26"/>
        <v>3038.6759684120771</v>
      </c>
      <c r="AB40" s="51">
        <f t="shared" si="27"/>
        <v>2915.6846511743465</v>
      </c>
      <c r="AC40" s="44">
        <f t="shared" si="28"/>
        <v>2840.6805351145899</v>
      </c>
      <c r="AD40" s="44">
        <f t="shared" si="29"/>
        <v>14838.923513059051</v>
      </c>
      <c r="AE40" s="44">
        <f t="shared" si="30"/>
        <v>0</v>
      </c>
      <c r="AF40" s="52">
        <f>HLOOKUP(I40,ElecAvoidedCostsWOCC!$A$5:$Q$50,G40+1,FALSE)</f>
        <v>0.74487332198138856</v>
      </c>
      <c r="AG40" s="44">
        <f t="shared" si="31"/>
        <v>6882.6294951080299</v>
      </c>
      <c r="AH40" s="52">
        <f>HLOOKUP(I40,ElecAvoidedCostsWOCC!$A$5:$Q$50,T40+1,FALSE)</f>
        <v>0.74487332198138856</v>
      </c>
      <c r="AI40" s="44">
        <f t="shared" si="32"/>
        <v>0</v>
      </c>
      <c r="AJ40" s="44">
        <f t="shared" si="33"/>
        <v>6882.6294951080299</v>
      </c>
      <c r="AK40" s="44">
        <f>HLOOKUP(I40,ElecAvoidedCostsWOCC!$A$5:$Q$50,G40+1,FALSE)*J40*L40</f>
        <v>0</v>
      </c>
      <c r="AL40" s="44">
        <f t="shared" si="34"/>
        <v>6882.6294951080299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6882.6294951080308</v>
      </c>
      <c r="AN40" s="48">
        <f t="shared" si="35"/>
        <v>22409.815957677885</v>
      </c>
      <c r="AO40" s="47">
        <f t="shared" si="36"/>
        <v>2.3605534612036743</v>
      </c>
      <c r="AP40" s="47">
        <f t="shared" si="37"/>
        <v>7.8888898912294962</v>
      </c>
      <c r="AQ40">
        <v>2020</v>
      </c>
    </row>
    <row r="41" spans="2:43">
      <c r="B41" s="97" t="s">
        <v>15</v>
      </c>
      <c r="C41" s="61">
        <v>18230435</v>
      </c>
      <c r="D41" s="61" t="s">
        <v>52</v>
      </c>
      <c r="E41" s="38" t="s">
        <v>666</v>
      </c>
      <c r="F41" s="39" t="s">
        <v>667</v>
      </c>
      <c r="G41" s="39">
        <v>3</v>
      </c>
      <c r="H41" s="39">
        <v>7</v>
      </c>
      <c r="I41" s="40" t="s">
        <v>265</v>
      </c>
      <c r="J41" s="41">
        <v>247.88</v>
      </c>
      <c r="K41" s="41">
        <v>74.8</v>
      </c>
      <c r="L41" s="41">
        <v>44.7</v>
      </c>
      <c r="M41" s="42">
        <v>7</v>
      </c>
      <c r="N41" s="42">
        <v>3.71</v>
      </c>
      <c r="O41" s="43">
        <v>18541.43</v>
      </c>
      <c r="P41" s="44">
        <v>3367</v>
      </c>
      <c r="Q41" s="44">
        <v>919.71</v>
      </c>
      <c r="R41" s="45">
        <v>8.8800000000000008</v>
      </c>
      <c r="S41" s="46">
        <v>0</v>
      </c>
      <c r="T41" s="39">
        <f t="shared" si="19"/>
        <v>10</v>
      </c>
      <c r="U41" s="47">
        <f t="shared" si="20"/>
        <v>0.16489252642245628</v>
      </c>
      <c r="V41" s="48">
        <f t="shared" si="21"/>
        <v>-3.29</v>
      </c>
      <c r="W41" s="49">
        <f t="shared" si="22"/>
        <v>1.6489252642245628E-2</v>
      </c>
      <c r="X41" s="44">
        <f t="shared" si="23"/>
        <v>3300.8881785708795</v>
      </c>
      <c r="Y41" s="44">
        <f t="shared" si="24"/>
        <v>-2447.29</v>
      </c>
      <c r="Z41" s="44">
        <f t="shared" si="25"/>
        <v>6258.5510793606791</v>
      </c>
      <c r="AA41" s="50">
        <f t="shared" si="26"/>
        <v>4220.5981785708791</v>
      </c>
      <c r="AB41" s="51">
        <f t="shared" si="27"/>
        <v>5850.7535564744121</v>
      </c>
      <c r="AC41" s="44">
        <f t="shared" si="28"/>
        <v>3945.5905193707381</v>
      </c>
      <c r="AD41" s="44">
        <f t="shared" si="29"/>
        <v>15481.589989811189</v>
      </c>
      <c r="AE41" s="44">
        <f t="shared" si="30"/>
        <v>0</v>
      </c>
      <c r="AF41" s="52">
        <f>HLOOKUP(I41,ElecAvoidedCostsWOCC!$A$5:$Q$50,G41+1,FALSE)</f>
        <v>0.2337612554483032</v>
      </c>
      <c r="AG41" s="44">
        <f t="shared" si="31"/>
        <v>4334.2665520392993</v>
      </c>
      <c r="AH41" s="52">
        <f>HLOOKUP(I41,ElecAvoidedCostsWOCC!$A$5:$Q$50,T41+1,FALSE)</f>
        <v>0.74487332198138856</v>
      </c>
      <c r="AI41" s="44">
        <f t="shared" si="32"/>
        <v>8253.3721976577726</v>
      </c>
      <c r="AJ41" s="44">
        <f t="shared" si="33"/>
        <v>12587.638749697071</v>
      </c>
      <c r="AK41" s="44">
        <f>HLOOKUP(I41,ElecAvoidedCostsWOCC!$A$5:$Q$50,G41+1,FALSE)*J41*L41</f>
        <v>2590.1298780234856</v>
      </c>
      <c r="AL41" s="44">
        <f t="shared" si="34"/>
        <v>9997.5088716735845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9997.5088716735863</v>
      </c>
      <c r="AN41" s="48">
        <f t="shared" si="35"/>
        <v>26478.849748652137</v>
      </c>
      <c r="AO41" s="47">
        <f t="shared" si="36"/>
        <v>1.7087557654193788</v>
      </c>
      <c r="AP41" s="47">
        <f t="shared" si="37"/>
        <v>6.7109979149268417</v>
      </c>
      <c r="AQ41">
        <v>2020</v>
      </c>
    </row>
    <row r="42" spans="2:43">
      <c r="B42" s="97" t="s">
        <v>15</v>
      </c>
      <c r="C42" s="61">
        <v>18230435</v>
      </c>
      <c r="D42" s="61" t="s">
        <v>52</v>
      </c>
      <c r="E42" s="38" t="s">
        <v>668</v>
      </c>
      <c r="F42" s="39" t="s">
        <v>669</v>
      </c>
      <c r="G42" s="39">
        <v>3</v>
      </c>
      <c r="H42" s="39">
        <v>7</v>
      </c>
      <c r="I42" s="40" t="s">
        <v>265</v>
      </c>
      <c r="J42" s="41">
        <v>10058</v>
      </c>
      <c r="K42" s="41">
        <v>56.2</v>
      </c>
      <c r="L42" s="41">
        <v>22.9</v>
      </c>
      <c r="M42" s="42">
        <v>7</v>
      </c>
      <c r="N42" s="42">
        <v>3.71</v>
      </c>
      <c r="O42" s="43">
        <v>565259.6</v>
      </c>
      <c r="P42" s="44">
        <v>56227.5</v>
      </c>
      <c r="Q42" s="44">
        <v>37315.18</v>
      </c>
      <c r="R42" s="45">
        <v>5.34</v>
      </c>
      <c r="S42" s="46">
        <v>0</v>
      </c>
      <c r="T42" s="39">
        <f t="shared" si="19"/>
        <v>10</v>
      </c>
      <c r="U42" s="47">
        <f t="shared" si="20"/>
        <v>5.0269630513151933</v>
      </c>
      <c r="V42" s="48">
        <f t="shared" si="21"/>
        <v>-3.29</v>
      </c>
      <c r="W42" s="49">
        <f t="shared" si="22"/>
        <v>0.50269630513151931</v>
      </c>
      <c r="X42" s="44">
        <f t="shared" si="23"/>
        <v>100631.86773963517</v>
      </c>
      <c r="Y42" s="44">
        <f t="shared" si="24"/>
        <v>-18912.32</v>
      </c>
      <c r="Z42" s="44">
        <f t="shared" si="25"/>
        <v>190800.06664529032</v>
      </c>
      <c r="AA42" s="50">
        <f t="shared" si="26"/>
        <v>137947.04773963516</v>
      </c>
      <c r="AB42" s="51">
        <f t="shared" si="27"/>
        <v>178367.82896633664</v>
      </c>
      <c r="AC42" s="44">
        <f t="shared" si="28"/>
        <v>128958.63114857918</v>
      </c>
      <c r="AD42" s="44">
        <f t="shared" si="29"/>
        <v>377758.28371780168</v>
      </c>
      <c r="AE42" s="44">
        <f t="shared" si="30"/>
        <v>0</v>
      </c>
      <c r="AF42" s="52">
        <f>HLOOKUP(I42,ElecAvoidedCostsWOCC!$A$5:$Q$50,G42+1,FALSE)</f>
        <v>0.2337612554483032</v>
      </c>
      <c r="AG42" s="44">
        <f t="shared" si="31"/>
        <v>132135.79375020569</v>
      </c>
      <c r="AH42" s="52">
        <f>HLOOKUP(I42,ElecAvoidedCostsWOCC!$A$5:$Q$50,T42+1,FALSE)</f>
        <v>0.74487332198138856</v>
      </c>
      <c r="AI42" s="44">
        <f t="shared" si="32"/>
        <v>171565.33147999365</v>
      </c>
      <c r="AJ42" s="44">
        <f t="shared" si="33"/>
        <v>303701.12523019931</v>
      </c>
      <c r="AK42" s="44">
        <f>HLOOKUP(I42,ElecAvoidedCostsWOCC!$A$5:$Q$50,G42+1,FALSE)*J42*L42</f>
        <v>53841.809197147864</v>
      </c>
      <c r="AL42" s="44">
        <f t="shared" si="34"/>
        <v>249859.31603305144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249859.31603305144</v>
      </c>
      <c r="AN42" s="48">
        <f t="shared" si="35"/>
        <v>652603.5313541583</v>
      </c>
      <c r="AO42" s="47">
        <f t="shared" si="36"/>
        <v>1.4008093134340238</v>
      </c>
      <c r="AP42" s="47">
        <f t="shared" si="37"/>
        <v>5.0605649698798656</v>
      </c>
      <c r="AQ42">
        <v>2020</v>
      </c>
    </row>
    <row r="43" spans="2:43">
      <c r="B43" s="97" t="s">
        <v>15</v>
      </c>
      <c r="C43" s="61">
        <v>18230435</v>
      </c>
      <c r="D43" s="61" t="s">
        <v>52</v>
      </c>
      <c r="E43" s="38" t="s">
        <v>670</v>
      </c>
      <c r="F43" s="39" t="s">
        <v>671</v>
      </c>
      <c r="G43" s="39">
        <v>3</v>
      </c>
      <c r="H43" s="39">
        <v>7</v>
      </c>
      <c r="I43" s="40" t="s">
        <v>265</v>
      </c>
      <c r="J43" s="41">
        <v>841</v>
      </c>
      <c r="K43" s="41">
        <v>39.4</v>
      </c>
      <c r="L43" s="41">
        <v>6.8</v>
      </c>
      <c r="M43" s="42">
        <v>3.5</v>
      </c>
      <c r="N43" s="42">
        <v>3.71</v>
      </c>
      <c r="O43" s="43">
        <v>33135.4000000003</v>
      </c>
      <c r="P43" s="44">
        <v>1608.1200000000199</v>
      </c>
      <c r="Q43" s="44">
        <v>3120.1100000000201</v>
      </c>
      <c r="R43" s="45">
        <v>2.5099999999999998</v>
      </c>
      <c r="S43" s="46">
        <v>0</v>
      </c>
      <c r="T43" s="39">
        <f t="shared" si="19"/>
        <v>10</v>
      </c>
      <c r="U43" s="47">
        <f t="shared" si="20"/>
        <v>0.29467952687676774</v>
      </c>
      <c r="V43" s="48">
        <f t="shared" si="21"/>
        <v>0.20999999999999996</v>
      </c>
      <c r="W43" s="49">
        <f t="shared" si="22"/>
        <v>2.9467952687676772E-2</v>
      </c>
      <c r="X43" s="44">
        <f t="shared" si="23"/>
        <v>5899.019123779477</v>
      </c>
      <c r="Y43" s="44">
        <f t="shared" si="24"/>
        <v>1511.9900000000002</v>
      </c>
      <c r="Z43" s="44">
        <f t="shared" si="25"/>
        <v>11184.660160249221</v>
      </c>
      <c r="AA43" s="50">
        <f t="shared" si="26"/>
        <v>9019.1291237794976</v>
      </c>
      <c r="AB43" s="51">
        <f t="shared" si="27"/>
        <v>10455.884977329364</v>
      </c>
      <c r="AC43" s="44">
        <f t="shared" si="28"/>
        <v>8431.4565988403265</v>
      </c>
      <c r="AD43" s="44">
        <f t="shared" si="29"/>
        <v>14846.730511399886</v>
      </c>
      <c r="AE43" s="44">
        <f t="shared" si="30"/>
        <v>0</v>
      </c>
      <c r="AF43" s="52">
        <f>HLOOKUP(I43,ElecAvoidedCostsWOCC!$A$5:$Q$50,G43+1,FALSE)</f>
        <v>0.2337612554483032</v>
      </c>
      <c r="AG43" s="44">
        <f t="shared" si="31"/>
        <v>7745.7727037817058</v>
      </c>
      <c r="AH43" s="52">
        <f>HLOOKUP(I43,ElecAvoidedCostsWOCC!$A$5:$Q$50,T43+1,FALSE)</f>
        <v>0.74487332198138856</v>
      </c>
      <c r="AI43" s="44">
        <f t="shared" si="32"/>
        <v>4259.7815537471652</v>
      </c>
      <c r="AJ43" s="44">
        <f t="shared" si="33"/>
        <v>12005.554257528871</v>
      </c>
      <c r="AK43" s="44">
        <f>HLOOKUP(I43,ElecAvoidedCostsWOCC!$A$5:$Q$50,G43+1,FALSE)*J43*L43</f>
        <v>1336.8338676577564</v>
      </c>
      <c r="AL43" s="44">
        <f t="shared" si="34"/>
        <v>10668.720389871114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10668.720389871114</v>
      </c>
      <c r="AN43" s="48">
        <f t="shared" si="35"/>
        <v>26582.322940258113</v>
      </c>
      <c r="AO43" s="47">
        <f t="shared" si="36"/>
        <v>1.0203555617724587</v>
      </c>
      <c r="AP43" s="47">
        <f t="shared" si="37"/>
        <v>3.1527557105511614</v>
      </c>
      <c r="AQ43">
        <v>2020</v>
      </c>
    </row>
    <row r="44" spans="2:43">
      <c r="B44" s="97" t="s">
        <v>15</v>
      </c>
      <c r="C44" s="61">
        <v>18230435</v>
      </c>
      <c r="D44" s="61" t="s">
        <v>52</v>
      </c>
      <c r="E44" s="38" t="s">
        <v>672</v>
      </c>
      <c r="F44" s="39" t="s">
        <v>673</v>
      </c>
      <c r="G44" s="39">
        <v>3</v>
      </c>
      <c r="H44" s="39">
        <v>7</v>
      </c>
      <c r="I44" s="40" t="s">
        <v>265</v>
      </c>
      <c r="J44" s="41">
        <v>167.57</v>
      </c>
      <c r="K44" s="41">
        <v>87.4</v>
      </c>
      <c r="L44" s="41">
        <v>51.9</v>
      </c>
      <c r="M44" s="42">
        <v>10</v>
      </c>
      <c r="N44" s="42">
        <v>5.29</v>
      </c>
      <c r="O44" s="43">
        <v>14645.62</v>
      </c>
      <c r="P44" s="44">
        <v>2620</v>
      </c>
      <c r="Q44" s="44">
        <v>886.44999999999902</v>
      </c>
      <c r="R44" s="45">
        <v>8.8800000000000008</v>
      </c>
      <c r="S44" s="46">
        <v>0</v>
      </c>
      <c r="T44" s="39">
        <f t="shared" si="19"/>
        <v>10</v>
      </c>
      <c r="U44" s="47">
        <f t="shared" si="20"/>
        <v>0.13024633390322399</v>
      </c>
      <c r="V44" s="48">
        <f t="shared" si="21"/>
        <v>-4.71</v>
      </c>
      <c r="W44" s="49">
        <f t="shared" si="22"/>
        <v>1.3024633390322398E-2</v>
      </c>
      <c r="X44" s="44">
        <f t="shared" si="23"/>
        <v>2607.3260760276444</v>
      </c>
      <c r="Y44" s="44">
        <f t="shared" si="24"/>
        <v>-1733.5500000000011</v>
      </c>
      <c r="Z44" s="44">
        <f t="shared" si="25"/>
        <v>4943.5432358187236</v>
      </c>
      <c r="AA44" s="50">
        <f t="shared" si="26"/>
        <v>3493.7760760276433</v>
      </c>
      <c r="AB44" s="51">
        <f t="shared" si="27"/>
        <v>4621.4295931744628</v>
      </c>
      <c r="AC44" s="44">
        <f t="shared" si="28"/>
        <v>3266.1270225555231</v>
      </c>
      <c r="AD44" s="44">
        <f t="shared" si="29"/>
        <v>10465.749695790952</v>
      </c>
      <c r="AE44" s="44">
        <f t="shared" si="30"/>
        <v>0</v>
      </c>
      <c r="AF44" s="52">
        <f>HLOOKUP(I44,ElecAvoidedCostsWOCC!$A$5:$Q$50,G44+1,FALSE)</f>
        <v>0.2337612554483032</v>
      </c>
      <c r="AG44" s="44">
        <f t="shared" si="31"/>
        <v>3423.5780504962677</v>
      </c>
      <c r="AH44" s="52">
        <f>HLOOKUP(I44,ElecAvoidedCostsWOCC!$A$5:$Q$50,T44+1,FALSE)</f>
        <v>0.74487332198138856</v>
      </c>
      <c r="AI44" s="44">
        <f t="shared" si="32"/>
        <v>6478.076131093464</v>
      </c>
      <c r="AJ44" s="44">
        <f t="shared" si="33"/>
        <v>9901.6541815897326</v>
      </c>
      <c r="AK44" s="44">
        <f>HLOOKUP(I44,ElecAvoidedCostsWOCC!$A$5:$Q$50,G44+1,FALSE)*J44*L44</f>
        <v>2032.9942885670055</v>
      </c>
      <c r="AL44" s="44">
        <f t="shared" si="34"/>
        <v>7868.6598930227274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7868.6598930227256</v>
      </c>
      <c r="AN44" s="48">
        <f t="shared" si="35"/>
        <v>19121.27557811595</v>
      </c>
      <c r="AO44" s="47">
        <f t="shared" si="36"/>
        <v>1.7026462773865907</v>
      </c>
      <c r="AP44" s="47">
        <f t="shared" si="37"/>
        <v>5.8544188410513343</v>
      </c>
      <c r="AQ44">
        <v>2020</v>
      </c>
    </row>
    <row r="45" spans="2:43">
      <c r="B45" s="97" t="s">
        <v>15</v>
      </c>
      <c r="C45" s="61">
        <v>18230435</v>
      </c>
      <c r="D45" s="61" t="s">
        <v>52</v>
      </c>
      <c r="E45" s="38" t="s">
        <v>674</v>
      </c>
      <c r="F45" s="39" t="s">
        <v>675</v>
      </c>
      <c r="G45" s="39">
        <v>3</v>
      </c>
      <c r="H45" s="39">
        <v>7</v>
      </c>
      <c r="I45" s="40" t="s">
        <v>265</v>
      </c>
      <c r="J45" s="41">
        <v>2925</v>
      </c>
      <c r="K45" s="41">
        <v>65.7</v>
      </c>
      <c r="L45" s="41">
        <v>26.5</v>
      </c>
      <c r="M45" s="42">
        <v>10</v>
      </c>
      <c r="N45" s="42">
        <v>5.29</v>
      </c>
      <c r="O45" s="43">
        <v>192172.5</v>
      </c>
      <c r="P45" s="44">
        <v>22765</v>
      </c>
      <c r="Q45" s="44">
        <v>15473.25</v>
      </c>
      <c r="R45" s="45">
        <v>5.34</v>
      </c>
      <c r="S45" s="46">
        <v>0</v>
      </c>
      <c r="T45" s="39">
        <f t="shared" si="19"/>
        <v>10</v>
      </c>
      <c r="U45" s="47">
        <f t="shared" si="20"/>
        <v>1.7090272451434154</v>
      </c>
      <c r="V45" s="48">
        <f t="shared" si="21"/>
        <v>-4.71</v>
      </c>
      <c r="W45" s="49">
        <f t="shared" si="22"/>
        <v>0.17090272451434155</v>
      </c>
      <c r="X45" s="44">
        <f t="shared" si="23"/>
        <v>34212.028602778337</v>
      </c>
      <c r="Y45" s="44">
        <f t="shared" si="24"/>
        <v>-7291.75</v>
      </c>
      <c r="Z45" s="44">
        <f t="shared" si="25"/>
        <v>64866.701613545454</v>
      </c>
      <c r="AA45" s="50">
        <f t="shared" si="26"/>
        <v>49685.278602778337</v>
      </c>
      <c r="AB45" s="51">
        <f t="shared" si="27"/>
        <v>60640.0875138314</v>
      </c>
      <c r="AC45" s="44">
        <f t="shared" si="28"/>
        <v>46447.86258089028</v>
      </c>
      <c r="AD45" s="44">
        <f t="shared" si="29"/>
        <v>109857.12665287034</v>
      </c>
      <c r="AE45" s="44">
        <f t="shared" si="30"/>
        <v>0</v>
      </c>
      <c r="AF45" s="52">
        <f>HLOOKUP(I45,ElecAvoidedCostsWOCC!$A$5:$Q$50,G45+1,FALSE)</f>
        <v>0.2337612554483032</v>
      </c>
      <c r="AG45" s="44">
        <f t="shared" si="31"/>
        <v>44922.484862639052</v>
      </c>
      <c r="AH45" s="52">
        <f>HLOOKUP(I45,ElecAvoidedCostsWOCC!$A$5:$Q$50,T45+1,FALSE)</f>
        <v>0.74487332198138856</v>
      </c>
      <c r="AI45" s="44">
        <f t="shared" si="32"/>
        <v>57736.993370082382</v>
      </c>
      <c r="AJ45" s="44">
        <f t="shared" si="33"/>
        <v>102659.47823272143</v>
      </c>
      <c r="AK45" s="44">
        <f>HLOOKUP(I45,ElecAvoidedCostsWOCC!$A$5:$Q$50,G45+1,FALSE)*J45*L45</f>
        <v>18119.419312936603</v>
      </c>
      <c r="AL45" s="44">
        <f t="shared" si="34"/>
        <v>84540.058919784831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84540.058919784817</v>
      </c>
      <c r="AN45" s="48">
        <f t="shared" si="35"/>
        <v>202851.19146463365</v>
      </c>
      <c r="AO45" s="47">
        <f t="shared" si="36"/>
        <v>1.3941282472671577</v>
      </c>
      <c r="AP45" s="47">
        <f t="shared" si="37"/>
        <v>4.3672879696318105</v>
      </c>
      <c r="AQ45">
        <v>2020</v>
      </c>
    </row>
    <row r="46" spans="2:43">
      <c r="B46" s="97" t="s">
        <v>15</v>
      </c>
      <c r="C46" s="61">
        <v>18230435</v>
      </c>
      <c r="D46" s="61" t="s">
        <v>52</v>
      </c>
      <c r="E46" s="38" t="s">
        <v>676</v>
      </c>
      <c r="F46" s="39" t="s">
        <v>677</v>
      </c>
      <c r="G46" s="39">
        <v>3</v>
      </c>
      <c r="H46" s="39">
        <v>7</v>
      </c>
      <c r="I46" s="40" t="s">
        <v>265</v>
      </c>
      <c r="J46" s="41">
        <v>347.97</v>
      </c>
      <c r="K46" s="41">
        <v>46.1</v>
      </c>
      <c r="L46" s="41">
        <v>6.8</v>
      </c>
      <c r="M46" s="42">
        <v>5</v>
      </c>
      <c r="N46" s="42">
        <v>5.29</v>
      </c>
      <c r="O46" s="43">
        <v>16041.4200000001</v>
      </c>
      <c r="P46" s="44">
        <v>1086</v>
      </c>
      <c r="Q46" s="44">
        <v>1840.75999999999</v>
      </c>
      <c r="R46" s="45">
        <v>2.5099999999999998</v>
      </c>
      <c r="S46" s="46">
        <v>0</v>
      </c>
      <c r="T46" s="39">
        <f t="shared" si="19"/>
        <v>10</v>
      </c>
      <c r="U46" s="47">
        <f t="shared" si="20"/>
        <v>0.14265945351592274</v>
      </c>
      <c r="V46" s="48">
        <f t="shared" si="21"/>
        <v>0.29000000000000004</v>
      </c>
      <c r="W46" s="49">
        <f t="shared" si="22"/>
        <v>1.4265945351592273E-2</v>
      </c>
      <c r="X46" s="44">
        <f t="shared" si="23"/>
        <v>2855.8171427711245</v>
      </c>
      <c r="Y46" s="44">
        <f t="shared" si="24"/>
        <v>754.75999999998999</v>
      </c>
      <c r="Z46" s="44">
        <f t="shared" si="25"/>
        <v>5414.6873491137749</v>
      </c>
      <c r="AA46" s="50">
        <f t="shared" si="26"/>
        <v>4696.5771427711143</v>
      </c>
      <c r="AB46" s="51">
        <f t="shared" si="27"/>
        <v>5061.8746836624987</v>
      </c>
      <c r="AC46" s="44">
        <f t="shared" si="28"/>
        <v>4390.5554293457171</v>
      </c>
      <c r="AD46" s="44">
        <f t="shared" si="29"/>
        <v>6142.9450844849216</v>
      </c>
      <c r="AE46" s="44">
        <f t="shared" si="30"/>
        <v>0</v>
      </c>
      <c r="AF46" s="52">
        <f>HLOOKUP(I46,ElecAvoidedCostsWOCC!$A$5:$Q$50,G46+1,FALSE)</f>
        <v>0.2337612554483032</v>
      </c>
      <c r="AG46" s="44">
        <f t="shared" si="31"/>
        <v>3749.861777089754</v>
      </c>
      <c r="AH46" s="52">
        <f>HLOOKUP(I46,ElecAvoidedCostsWOCC!$A$5:$Q$50,T46+1,FALSE)</f>
        <v>0.74487332198138856</v>
      </c>
      <c r="AI46" s="44">
        <f t="shared" si="32"/>
        <v>1762.5162749790738</v>
      </c>
      <c r="AJ46" s="44">
        <f t="shared" si="33"/>
        <v>5512.3780520688279</v>
      </c>
      <c r="AK46" s="44">
        <f>HLOOKUP(I46,ElecAvoidedCostsWOCC!$A$5:$Q$50,G46+1,FALSE)*J46*L46</f>
        <v>553.12494759675326</v>
      </c>
      <c r="AL46" s="44">
        <f t="shared" si="34"/>
        <v>4959.2531044720745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4959.2531044720745</v>
      </c>
      <c r="AN46" s="48">
        <f t="shared" si="35"/>
        <v>11598.123499404204</v>
      </c>
      <c r="AO46" s="47">
        <f t="shared" si="36"/>
        <v>0.97972656661737567</v>
      </c>
      <c r="AP46" s="47">
        <f t="shared" si="37"/>
        <v>2.6416073515173824</v>
      </c>
      <c r="AQ46">
        <v>2020</v>
      </c>
    </row>
    <row r="47" spans="2:43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3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</sheetData>
  <conditionalFormatting sqref="J5:L60">
    <cfRule type="expression" dxfId="294" priority="4">
      <formula>ISTEXT(J5)</formula>
    </cfRule>
    <cfRule type="notContainsBlanks" dxfId="293" priority="5">
      <formula>LEN(TRIM(J5))&gt;0</formula>
    </cfRule>
  </conditionalFormatting>
  <conditionalFormatting sqref="M5:N60 R5:S60">
    <cfRule type="expression" dxfId="292" priority="2">
      <formula>ISTEXT(M5)</formula>
    </cfRule>
  </conditionalFormatting>
  <conditionalFormatting sqref="M5:N60 R5:S60">
    <cfRule type="notContainsBlanks" dxfId="291" priority="3">
      <formula>LEN(TRIM(M5))&gt;0</formula>
    </cfRule>
  </conditionalFormatting>
  <conditionalFormatting sqref="R5:S60">
    <cfRule type="expression" dxfId="2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515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18230627</v>
      </c>
      <c r="D2" s="20" t="s">
        <v>80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18230627</v>
      </c>
      <c r="D5" s="61" t="s">
        <v>80</v>
      </c>
      <c r="E5" s="38" t="s">
        <v>1786</v>
      </c>
      <c r="F5" s="39" t="s">
        <v>1787</v>
      </c>
      <c r="G5" s="39">
        <v>45</v>
      </c>
      <c r="H5" s="39"/>
      <c r="I5" s="40" t="s">
        <v>269</v>
      </c>
      <c r="J5" s="41">
        <v>3677.94</v>
      </c>
      <c r="K5" s="41">
        <v>15.8</v>
      </c>
      <c r="L5" s="41"/>
      <c r="M5" s="42">
        <v>50</v>
      </c>
      <c r="N5" s="42">
        <v>20.5</v>
      </c>
      <c r="O5" s="43">
        <v>58111.46</v>
      </c>
      <c r="P5" s="44">
        <v>7950</v>
      </c>
      <c r="Q5" s="44">
        <v>75397.759999999995</v>
      </c>
      <c r="R5" s="45">
        <v>0.26</v>
      </c>
      <c r="S5" s="46">
        <v>0</v>
      </c>
      <c r="T5" s="39">
        <f t="shared" ref="T5:T24" si="0">G5+H5</f>
        <v>45</v>
      </c>
      <c r="U5" s="47">
        <f t="shared" ref="U5:U24" si="1">(O5/$A$10)*T5</f>
        <v>0.93977174867368252</v>
      </c>
      <c r="V5" s="48">
        <f t="shared" ref="V5:V24" si="2">N5-M5</f>
        <v>-29.5</v>
      </c>
      <c r="W5" s="49">
        <f t="shared" ref="W5:W24" si="3">(O5/A$10)</f>
        <v>2.0883816637192944E-2</v>
      </c>
      <c r="X5" s="44">
        <f t="shared" ref="X5:X24" si="4">W5*A$8</f>
        <v>6480.5394229248914</v>
      </c>
      <c r="Y5" s="44">
        <f t="shared" ref="Y5:Y24" si="5">Q5-P5</f>
        <v>67447.759999999995</v>
      </c>
      <c r="Z5" s="44">
        <f t="shared" ref="Z5:Z24" si="6">X5+(A$6*W5)</f>
        <v>40108.697644790838</v>
      </c>
      <c r="AA5" s="50">
        <f t="shared" ref="AA5:AA24" si="7">Q5+X5</f>
        <v>81878.299422924887</v>
      </c>
      <c r="AB5" s="51">
        <f t="shared" ref="AB5:AC20" si="8">Z5/(1+ElecDiscountRate)^1</f>
        <v>37495.276848453621</v>
      </c>
      <c r="AC5" s="44">
        <f t="shared" si="8"/>
        <v>76543.235881952773</v>
      </c>
      <c r="AD5" s="44">
        <f t="shared" ref="AD5:AD24" si="9">-PV(ElecDiscountRate,T5,R5)*J5</f>
        <v>13058.179876544553</v>
      </c>
      <c r="AE5" s="44">
        <v>0</v>
      </c>
      <c r="AF5" s="52">
        <f>HLOOKUP(I5,ElecAvoidedCostsWOCC!$A$5:$Q$50,G5+1,FALSE)</f>
        <v>3.4276422079642828</v>
      </c>
      <c r="AG5" s="44">
        <f t="shared" ref="AG5:AG24" si="10">AF5*J5*K5</f>
        <v>199185.26564129046</v>
      </c>
      <c r="AH5" s="52">
        <f>HLOOKUP(I5,ElecAvoidedCostsWOCC!$A$5:$Q$50,T5+1,FALSE)</f>
        <v>3.4276422079642828</v>
      </c>
      <c r="AI5" s="44">
        <f t="shared" ref="AI5:AI24" si="11">AH5*J5*L5</f>
        <v>0</v>
      </c>
      <c r="AJ5" s="44">
        <f>AG5+AI5</f>
        <v>199185.26564129046</v>
      </c>
      <c r="AK5" s="44">
        <f>HLOOKUP(I5,ElecAvoidedCostsWOCC!$A$5:$Q$50,G5+1,FALSE)*J5*L5</f>
        <v>0</v>
      </c>
      <c r="AL5" s="44">
        <f>AG5+AI5-AK5</f>
        <v>199185.26564129046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199185.26564129046</v>
      </c>
      <c r="AN5" s="48">
        <f>AM5*1.1+AD5+AE5</f>
        <v>232161.97208196408</v>
      </c>
      <c r="AO5" s="47">
        <f>IFERROR(AM5/AB5,0)</f>
        <v>5.3122761687117732</v>
      </c>
      <c r="AP5" s="47">
        <f>AN5/AC5</f>
        <v>3.0330827983286608</v>
      </c>
      <c r="AQ5">
        <v>2021</v>
      </c>
    </row>
    <row r="6" spans="1:43" ht="13.5" customHeight="1">
      <c r="A6" s="53">
        <f>SUMIF('Program Costs'!D:D,C2,'Program Costs'!L:L)</f>
        <v>1610249.64</v>
      </c>
      <c r="B6" s="97" t="s">
        <v>15</v>
      </c>
      <c r="C6" s="61">
        <v>18230627</v>
      </c>
      <c r="D6" s="61" t="s">
        <v>80</v>
      </c>
      <c r="E6" s="38" t="s">
        <v>1788</v>
      </c>
      <c r="F6" s="39" t="s">
        <v>1787</v>
      </c>
      <c r="G6" s="39">
        <v>45</v>
      </c>
      <c r="H6" s="39"/>
      <c r="I6" s="40" t="s">
        <v>269</v>
      </c>
      <c r="J6" s="41">
        <v>11836.26</v>
      </c>
      <c r="K6" s="41">
        <v>4.67</v>
      </c>
      <c r="L6" s="41"/>
      <c r="M6" s="42">
        <v>50</v>
      </c>
      <c r="N6" s="42">
        <v>22.6</v>
      </c>
      <c r="O6" s="43">
        <v>55244.55</v>
      </c>
      <c r="P6" s="44">
        <v>31850</v>
      </c>
      <c r="Q6" s="44">
        <v>267499.59000000003</v>
      </c>
      <c r="R6" s="45">
        <v>0</v>
      </c>
      <c r="S6" s="46">
        <v>0</v>
      </c>
      <c r="T6" s="39">
        <f t="shared" si="0"/>
        <v>45</v>
      </c>
      <c r="U6" s="47">
        <f t="shared" si="1"/>
        <v>0.89340841476346811</v>
      </c>
      <c r="V6" s="48">
        <f t="shared" si="2"/>
        <v>-27.4</v>
      </c>
      <c r="W6" s="49">
        <f t="shared" si="3"/>
        <v>1.9853520328077068E-2</v>
      </c>
      <c r="X6" s="44">
        <f t="shared" si="4"/>
        <v>6160.8241158756864</v>
      </c>
      <c r="Y6" s="44">
        <f t="shared" si="5"/>
        <v>235649.59000000003</v>
      </c>
      <c r="Z6" s="44">
        <f t="shared" si="6"/>
        <v>38129.948076894463</v>
      </c>
      <c r="AA6" s="50">
        <f t="shared" si="7"/>
        <v>273660.41411587573</v>
      </c>
      <c r="AB6" s="51">
        <f t="shared" si="8"/>
        <v>35645.459546503189</v>
      </c>
      <c r="AC6" s="44">
        <f t="shared" si="8"/>
        <v>255829.12416179836</v>
      </c>
      <c r="AD6" s="44">
        <f t="shared" si="9"/>
        <v>0</v>
      </c>
      <c r="AE6" s="44">
        <v>0</v>
      </c>
      <c r="AF6" s="52">
        <f>HLOOKUP(I6,ElecAvoidedCostsWOCC!$A$5:$Q$50,G6+1,FALSE)</f>
        <v>3.4276422079642828</v>
      </c>
      <c r="AG6" s="44">
        <f t="shared" si="10"/>
        <v>189464.06856325161</v>
      </c>
      <c r="AH6" s="52">
        <f>HLOOKUP(I6,ElecAvoidedCostsWOCC!$A$5:$Q$50,T6+1,FALSE)</f>
        <v>3.4276422079642828</v>
      </c>
      <c r="AI6" s="44">
        <f t="shared" si="11"/>
        <v>0</v>
      </c>
      <c r="AJ6" s="44">
        <f t="shared" ref="AJ6:AJ24" si="12">AG6+AI6</f>
        <v>189464.06856325161</v>
      </c>
      <c r="AK6" s="44">
        <f>HLOOKUP(I6,ElecAvoidedCostsWOCC!$A$5:$Q$50,G6+1,FALSE)*J6*L6</f>
        <v>0</v>
      </c>
      <c r="AL6" s="44">
        <f t="shared" ref="AL6:AL24" si="13">AG6+AI6-AK6</f>
        <v>189464.06856325161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189464.06856325161</v>
      </c>
      <c r="AN6" s="48">
        <f t="shared" ref="AN6:AN24" si="14">AM6*1.1+AD6+AE6</f>
        <v>208410.47541957677</v>
      </c>
      <c r="AO6" s="47">
        <f t="shared" ref="AO6:AO24" si="15">IFERROR(AM6/AB6,0)</f>
        <v>5.3152370869584704</v>
      </c>
      <c r="AP6" s="47">
        <f t="shared" ref="AP6:AP24" si="16">AN6/AC6</f>
        <v>0.81464718335887432</v>
      </c>
      <c r="AQ6">
        <v>2021</v>
      </c>
    </row>
    <row r="7" spans="1:43" ht="13.5" customHeight="1">
      <c r="A7" s="36" t="s">
        <v>249</v>
      </c>
      <c r="B7" s="97" t="s">
        <v>15</v>
      </c>
      <c r="C7" s="61">
        <v>18230627</v>
      </c>
      <c r="D7" s="61" t="s">
        <v>80</v>
      </c>
      <c r="E7" s="38" t="s">
        <v>1789</v>
      </c>
      <c r="F7" s="39" t="s">
        <v>1790</v>
      </c>
      <c r="G7" s="39">
        <v>45</v>
      </c>
      <c r="H7" s="39"/>
      <c r="I7" s="40" t="s">
        <v>269</v>
      </c>
      <c r="J7" s="41">
        <v>3002.99</v>
      </c>
      <c r="K7" s="41">
        <v>6.99</v>
      </c>
      <c r="L7" s="41"/>
      <c r="M7" s="42">
        <v>50</v>
      </c>
      <c r="N7" s="42">
        <v>20.5</v>
      </c>
      <c r="O7" s="43">
        <v>20990.91</v>
      </c>
      <c r="P7" s="44">
        <v>7850</v>
      </c>
      <c r="Q7" s="44">
        <v>61561.29</v>
      </c>
      <c r="R7" s="45">
        <v>0.11</v>
      </c>
      <c r="S7" s="46">
        <v>0</v>
      </c>
      <c r="T7" s="39">
        <f t="shared" si="0"/>
        <v>45</v>
      </c>
      <c r="U7" s="47">
        <f t="shared" si="1"/>
        <v>0.33946254657776431</v>
      </c>
      <c r="V7" s="48">
        <f t="shared" si="2"/>
        <v>-29.5</v>
      </c>
      <c r="W7" s="49">
        <f t="shared" si="3"/>
        <v>7.5436121461725401E-3</v>
      </c>
      <c r="X7" s="44">
        <f t="shared" si="4"/>
        <v>2340.8880069106563</v>
      </c>
      <c r="Y7" s="44">
        <f t="shared" si="5"/>
        <v>53711.29</v>
      </c>
      <c r="Z7" s="44">
        <f t="shared" si="6"/>
        <v>14487.986749584616</v>
      </c>
      <c r="AA7" s="50">
        <f t="shared" si="7"/>
        <v>63902.178006910661</v>
      </c>
      <c r="AB7" s="51">
        <f t="shared" si="8"/>
        <v>13543.971907623272</v>
      </c>
      <c r="AC7" s="44">
        <f t="shared" si="8"/>
        <v>59738.410775834956</v>
      </c>
      <c r="AD7" s="44">
        <f t="shared" si="9"/>
        <v>4510.7756752432661</v>
      </c>
      <c r="AE7" s="44">
        <v>0</v>
      </c>
      <c r="AF7" s="52">
        <f>HLOOKUP(I7,ElecAvoidedCostsWOCC!$A$5:$Q$50,G7+1,FALSE)</f>
        <v>3.4276422079642828</v>
      </c>
      <c r="AG7" s="44">
        <f t="shared" si="10"/>
        <v>71949.295165921678</v>
      </c>
      <c r="AH7" s="52">
        <f>HLOOKUP(I7,ElecAvoidedCostsWOCC!$A$5:$Q$50,T7+1,FALSE)</f>
        <v>3.4276422079642828</v>
      </c>
      <c r="AI7" s="44">
        <f t="shared" si="11"/>
        <v>0</v>
      </c>
      <c r="AJ7" s="44">
        <f t="shared" si="12"/>
        <v>71949.295165921678</v>
      </c>
      <c r="AK7" s="44">
        <f>HLOOKUP(I7,ElecAvoidedCostsWOCC!$A$5:$Q$50,G7+1,FALSE)*J7*L7</f>
        <v>0</v>
      </c>
      <c r="AL7" s="44">
        <f t="shared" si="13"/>
        <v>71949.295165921678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71949.295165921678</v>
      </c>
      <c r="AN7" s="48">
        <f t="shared" si="14"/>
        <v>83655.000357757119</v>
      </c>
      <c r="AO7" s="47">
        <f t="shared" si="15"/>
        <v>5.3122743945906121</v>
      </c>
      <c r="AP7" s="47">
        <f t="shared" si="16"/>
        <v>1.4003553035862943</v>
      </c>
      <c r="AQ7">
        <v>2021</v>
      </c>
    </row>
    <row r="8" spans="1:43" ht="13.5" customHeight="1">
      <c r="A8" s="53">
        <f>SUMIF('Program Costs'!D:D,C2,'Program Costs'!O:O)</f>
        <v>310313.93999999994</v>
      </c>
      <c r="B8" s="97" t="s">
        <v>15</v>
      </c>
      <c r="C8" s="61">
        <v>18230627</v>
      </c>
      <c r="D8" s="61" t="s">
        <v>80</v>
      </c>
      <c r="E8" s="38" t="s">
        <v>1791</v>
      </c>
      <c r="F8" s="39" t="s">
        <v>1790</v>
      </c>
      <c r="G8" s="39">
        <v>45</v>
      </c>
      <c r="H8" s="39"/>
      <c r="I8" s="40" t="s">
        <v>269</v>
      </c>
      <c r="J8" s="41">
        <v>11473.98</v>
      </c>
      <c r="K8" s="41">
        <v>2.9</v>
      </c>
      <c r="L8" s="41"/>
      <c r="M8" s="42">
        <v>50</v>
      </c>
      <c r="N8" s="42">
        <v>22.6</v>
      </c>
      <c r="O8" s="43">
        <v>33267.68</v>
      </c>
      <c r="P8" s="44">
        <v>31300</v>
      </c>
      <c r="Q8" s="44">
        <v>259311.95</v>
      </c>
      <c r="R8" s="45">
        <v>0</v>
      </c>
      <c r="S8" s="46">
        <v>0</v>
      </c>
      <c r="T8" s="39">
        <f t="shared" si="0"/>
        <v>45</v>
      </c>
      <c r="U8" s="47">
        <f t="shared" si="1"/>
        <v>0.53800103814146971</v>
      </c>
      <c r="V8" s="48">
        <f t="shared" si="2"/>
        <v>-27.4</v>
      </c>
      <c r="W8" s="49">
        <f t="shared" si="3"/>
        <v>1.1955578625365995E-2</v>
      </c>
      <c r="X8" s="44">
        <f t="shared" si="4"/>
        <v>3709.982708217105</v>
      </c>
      <c r="Y8" s="44">
        <f t="shared" si="5"/>
        <v>228011.95</v>
      </c>
      <c r="Z8" s="44">
        <f t="shared" si="6"/>
        <v>22961.448885704391</v>
      </c>
      <c r="AA8" s="50">
        <f t="shared" si="7"/>
        <v>263021.93270821712</v>
      </c>
      <c r="AB8" s="51">
        <f t="shared" si="8"/>
        <v>21465.316337014479</v>
      </c>
      <c r="AC8" s="44">
        <f t="shared" si="8"/>
        <v>245883.82977303647</v>
      </c>
      <c r="AD8" s="44">
        <f t="shared" si="9"/>
        <v>0</v>
      </c>
      <c r="AE8" s="44">
        <v>0</v>
      </c>
      <c r="AF8" s="52">
        <f>HLOOKUP(I8,ElecAvoidedCostsWOCC!$A$5:$Q$50,G8+1,FALSE)</f>
        <v>3.4276422079642828</v>
      </c>
      <c r="AG8" s="44">
        <f t="shared" si="10"/>
        <v>114053.22460988026</v>
      </c>
      <c r="AH8" s="52">
        <f>HLOOKUP(I8,ElecAvoidedCostsWOCC!$A$5:$Q$50,T8+1,FALSE)</f>
        <v>3.4276422079642828</v>
      </c>
      <c r="AI8" s="44">
        <f t="shared" si="11"/>
        <v>0</v>
      </c>
      <c r="AJ8" s="44">
        <f t="shared" si="12"/>
        <v>114053.22460988026</v>
      </c>
      <c r="AK8" s="44">
        <f>HLOOKUP(I8,ElecAvoidedCostsWOCC!$A$5:$Q$50,G8+1,FALSE)*J8*L8</f>
        <v>0</v>
      </c>
      <c r="AL8" s="44">
        <f t="shared" si="13"/>
        <v>114053.22460988026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114053.22460988024</v>
      </c>
      <c r="AN8" s="48">
        <f t="shared" si="14"/>
        <v>125458.54707086827</v>
      </c>
      <c r="AO8" s="47">
        <f t="shared" si="15"/>
        <v>5.3133726435332571</v>
      </c>
      <c r="AP8" s="47">
        <f t="shared" si="16"/>
        <v>0.51023504549556198</v>
      </c>
      <c r="AQ8">
        <v>2021</v>
      </c>
    </row>
    <row r="9" spans="1:43" ht="13.5" customHeight="1">
      <c r="A9" s="36" t="s">
        <v>250</v>
      </c>
      <c r="B9" s="97" t="s">
        <v>15</v>
      </c>
      <c r="C9" s="61">
        <v>18230627</v>
      </c>
      <c r="D9" s="61" t="s">
        <v>80</v>
      </c>
      <c r="E9" s="38" t="s">
        <v>1792</v>
      </c>
      <c r="F9" s="39" t="s">
        <v>1793</v>
      </c>
      <c r="G9" s="39">
        <v>45</v>
      </c>
      <c r="H9" s="39"/>
      <c r="I9" s="40" t="s">
        <v>269</v>
      </c>
      <c r="J9" s="41">
        <v>4802.17</v>
      </c>
      <c r="K9" s="41">
        <v>8.92</v>
      </c>
      <c r="L9" s="41"/>
      <c r="M9" s="42">
        <v>50</v>
      </c>
      <c r="N9" s="42">
        <v>20.5</v>
      </c>
      <c r="O9" s="43">
        <v>42835.34</v>
      </c>
      <c r="P9" s="44">
        <v>14000</v>
      </c>
      <c r="Q9" s="44">
        <v>98444.5</v>
      </c>
      <c r="R9" s="45">
        <v>0.15</v>
      </c>
      <c r="S9" s="46">
        <v>0</v>
      </c>
      <c r="T9" s="39">
        <f t="shared" si="0"/>
        <v>45</v>
      </c>
      <c r="U9" s="47">
        <f t="shared" si="1"/>
        <v>0.69272811897742259</v>
      </c>
      <c r="V9" s="48">
        <f t="shared" si="2"/>
        <v>-29.5</v>
      </c>
      <c r="W9" s="49">
        <f t="shared" si="3"/>
        <v>1.539395819949828E-2</v>
      </c>
      <c r="X9" s="44">
        <f t="shared" si="4"/>
        <v>4776.9598210816166</v>
      </c>
      <c r="Y9" s="44">
        <f t="shared" si="5"/>
        <v>84444.5</v>
      </c>
      <c r="Z9" s="44">
        <f t="shared" si="6"/>
        <v>29565.075469998766</v>
      </c>
      <c r="AA9" s="50">
        <f t="shared" si="7"/>
        <v>103221.45982108162</v>
      </c>
      <c r="AB9" s="51">
        <f t="shared" si="8"/>
        <v>27638.660811441307</v>
      </c>
      <c r="AC9" s="44">
        <f t="shared" si="8"/>
        <v>96495.708910051049</v>
      </c>
      <c r="AD9" s="44">
        <f t="shared" si="9"/>
        <v>9836.3380971433107</v>
      </c>
      <c r="AE9" s="44">
        <f t="shared" ref="AE9:AE24" si="17">-PV(ElecDiscountRate,T9,S9)*J9</f>
        <v>0</v>
      </c>
      <c r="AF9" s="52">
        <f>HLOOKUP(I9,ElecAvoidedCostsWOCC!$A$5:$Q$50,G9+1,FALSE)</f>
        <v>3.4276422079642828</v>
      </c>
      <c r="AG9" s="44">
        <f t="shared" si="10"/>
        <v>146824.27558983298</v>
      </c>
      <c r="AH9" s="52">
        <f>HLOOKUP(I9,ElecAvoidedCostsWOCC!$A$5:$Q$50,T9+1,FALSE)</f>
        <v>3.4276422079642828</v>
      </c>
      <c r="AI9" s="44">
        <f t="shared" si="11"/>
        <v>0</v>
      </c>
      <c r="AJ9" s="44">
        <f t="shared" si="12"/>
        <v>146824.27558983298</v>
      </c>
      <c r="AK9" s="44">
        <f>HLOOKUP(I9,ElecAvoidedCostsWOCC!$A$5:$Q$50,G9+1,FALSE)*J9*L9</f>
        <v>0</v>
      </c>
      <c r="AL9" s="44">
        <f t="shared" si="13"/>
        <v>146824.27558983298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146824.27558983298</v>
      </c>
      <c r="AN9" s="48">
        <f t="shared" si="14"/>
        <v>171343.04124595958</v>
      </c>
      <c r="AO9" s="47">
        <f t="shared" si="15"/>
        <v>5.3122789339002114</v>
      </c>
      <c r="AP9" s="47">
        <f t="shared" si="16"/>
        <v>1.7756545154321612</v>
      </c>
      <c r="AQ9">
        <v>2021</v>
      </c>
    </row>
    <row r="10" spans="1:43" ht="13.5" customHeight="1">
      <c r="A10" s="54">
        <f>SUM(O5:O999)</f>
        <v>2782607.2699999982</v>
      </c>
      <c r="B10" s="97" t="s">
        <v>15</v>
      </c>
      <c r="C10" s="61">
        <v>18230627</v>
      </c>
      <c r="D10" s="61" t="s">
        <v>80</v>
      </c>
      <c r="E10" s="38" t="s">
        <v>1794</v>
      </c>
      <c r="F10" s="39" t="s">
        <v>1793</v>
      </c>
      <c r="G10" s="39">
        <v>45</v>
      </c>
      <c r="H10" s="39"/>
      <c r="I10" s="40" t="s">
        <v>269</v>
      </c>
      <c r="J10" s="41">
        <v>12633.28</v>
      </c>
      <c r="K10" s="41">
        <v>4.43</v>
      </c>
      <c r="L10" s="41"/>
      <c r="M10" s="42">
        <v>50</v>
      </c>
      <c r="N10" s="42">
        <v>22.6</v>
      </c>
      <c r="O10" s="43">
        <v>56014.7</v>
      </c>
      <c r="P10" s="44">
        <v>36250</v>
      </c>
      <c r="Q10" s="44">
        <v>285512.13</v>
      </c>
      <c r="R10" s="45">
        <v>0</v>
      </c>
      <c r="S10" s="46">
        <v>0</v>
      </c>
      <c r="T10" s="39">
        <f t="shared" si="0"/>
        <v>45</v>
      </c>
      <c r="U10" s="47">
        <f t="shared" si="1"/>
        <v>0.90586319067584464</v>
      </c>
      <c r="V10" s="48">
        <f t="shared" si="2"/>
        <v>-27.4</v>
      </c>
      <c r="W10" s="49">
        <f t="shared" si="3"/>
        <v>2.0130293126129881E-2</v>
      </c>
      <c r="X10" s="44">
        <f t="shared" si="4"/>
        <v>6246.7105733242797</v>
      </c>
      <c r="Y10" s="44">
        <f t="shared" si="5"/>
        <v>249262.13</v>
      </c>
      <c r="Z10" s="44">
        <f t="shared" si="6"/>
        <v>38661.507832769392</v>
      </c>
      <c r="AA10" s="50">
        <f t="shared" si="7"/>
        <v>291758.8405733243</v>
      </c>
      <c r="AB10" s="51">
        <f t="shared" si="8"/>
        <v>36142.383689603994</v>
      </c>
      <c r="AC10" s="44">
        <f t="shared" si="8"/>
        <v>272748.28510173346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3.4276422079642828</v>
      </c>
      <c r="AG10" s="44">
        <f t="shared" si="10"/>
        <v>191829.47142592739</v>
      </c>
      <c r="AH10" s="52">
        <f>HLOOKUP(I10,ElecAvoidedCostsWOCC!$A$5:$Q$50,T10+1,FALSE)</f>
        <v>3.4276422079642828</v>
      </c>
      <c r="AI10" s="44">
        <f t="shared" si="11"/>
        <v>0</v>
      </c>
      <c r="AJ10" s="44">
        <f t="shared" si="12"/>
        <v>191829.47142592739</v>
      </c>
      <c r="AK10" s="44">
        <f>HLOOKUP(I10,ElecAvoidedCostsWOCC!$A$5:$Q$50,G10+1,FALSE)*J10*L10</f>
        <v>0</v>
      </c>
      <c r="AL10" s="44">
        <f t="shared" si="13"/>
        <v>191829.47142592739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191829.47142592739</v>
      </c>
      <c r="AN10" s="48">
        <f t="shared" si="14"/>
        <v>211012.41856852014</v>
      </c>
      <c r="AO10" s="47">
        <f t="shared" si="15"/>
        <v>5.3076043094829206</v>
      </c>
      <c r="AP10" s="47">
        <f t="shared" si="16"/>
        <v>0.7736525950651304</v>
      </c>
      <c r="AQ10">
        <v>2021</v>
      </c>
    </row>
    <row r="11" spans="1:43" ht="13.5" customHeight="1">
      <c r="A11" s="36" t="s">
        <v>251</v>
      </c>
      <c r="B11" s="97" t="s">
        <v>15</v>
      </c>
      <c r="C11" s="61">
        <v>18230627</v>
      </c>
      <c r="D11" s="61" t="s">
        <v>80</v>
      </c>
      <c r="E11" s="38" t="s">
        <v>1699</v>
      </c>
      <c r="F11" s="39" t="s">
        <v>1700</v>
      </c>
      <c r="G11" s="39">
        <v>30</v>
      </c>
      <c r="H11" s="39"/>
      <c r="I11" s="40" t="s">
        <v>269</v>
      </c>
      <c r="J11" s="41">
        <v>41</v>
      </c>
      <c r="K11" s="41"/>
      <c r="L11" s="41"/>
      <c r="M11" s="42"/>
      <c r="N11" s="42"/>
      <c r="O11" s="43">
        <v>0</v>
      </c>
      <c r="P11" s="44">
        <v>0</v>
      </c>
      <c r="Q11" s="44">
        <v>0</v>
      </c>
      <c r="R11" s="45">
        <v>0.24</v>
      </c>
      <c r="S11" s="46">
        <v>0</v>
      </c>
      <c r="T11" s="39">
        <f t="shared" si="0"/>
        <v>30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122.47385074939528</v>
      </c>
      <c r="AE11" s="44">
        <f t="shared" si="17"/>
        <v>0</v>
      </c>
      <c r="AF11" s="52">
        <f>HLOOKUP(I11,ElecAvoidedCostsWOCC!$A$5:$Q$50,G11+1,FALSE)</f>
        <v>2.3666688857668672</v>
      </c>
      <c r="AG11" s="44">
        <f t="shared" si="10"/>
        <v>0</v>
      </c>
      <c r="AH11" s="52">
        <f>HLOOKUP(I11,ElecAvoidedCostsWOCC!$A$5:$Q$50,T11+1,FALSE)</f>
        <v>2.3666688857668672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122.47385074939528</v>
      </c>
      <c r="AO11" s="47">
        <f t="shared" si="15"/>
        <v>0</v>
      </c>
      <c r="AP11" s="47" t="e">
        <f t="shared" si="16"/>
        <v>#DIV/0!</v>
      </c>
      <c r="AQ11">
        <v>2021</v>
      </c>
    </row>
    <row r="12" spans="1:43" ht="13.5" customHeight="1">
      <c r="A12" s="55">
        <f>SUM(P5:P1000)</f>
        <v>1602847.0899999994</v>
      </c>
      <c r="B12" s="97" t="s">
        <v>15</v>
      </c>
      <c r="C12" s="61">
        <v>18230627</v>
      </c>
      <c r="D12" s="61" t="s">
        <v>80</v>
      </c>
      <c r="E12" s="38" t="s">
        <v>1701</v>
      </c>
      <c r="F12" s="39" t="s">
        <v>1700</v>
      </c>
      <c r="G12" s="39">
        <v>45</v>
      </c>
      <c r="H12" s="39"/>
      <c r="I12" s="40" t="s">
        <v>269</v>
      </c>
      <c r="J12" s="41">
        <v>35114.79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>
        <v>0</v>
      </c>
      <c r="S12" s="46">
        <v>0</v>
      </c>
      <c r="T12" s="39">
        <f t="shared" si="0"/>
        <v>45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3.4276422079642828</v>
      </c>
      <c r="AG12" s="44">
        <f t="shared" si="10"/>
        <v>0</v>
      </c>
      <c r="AH12" s="52">
        <f>HLOOKUP(I12,ElecAvoidedCostsWOCC!$A$5:$Q$50,T12+1,FALSE)</f>
        <v>3.4276422079642828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  <c r="AQ12">
        <v>2021</v>
      </c>
    </row>
    <row r="13" spans="1:43" ht="13.5" customHeight="1">
      <c r="A13" s="56" t="s">
        <v>252</v>
      </c>
      <c r="B13" s="97" t="s">
        <v>15</v>
      </c>
      <c r="C13" s="61">
        <v>18230627</v>
      </c>
      <c r="D13" s="61" t="s">
        <v>80</v>
      </c>
      <c r="E13" s="38" t="s">
        <v>1702</v>
      </c>
      <c r="F13" s="39" t="s">
        <v>1700</v>
      </c>
      <c r="G13" s="39">
        <v>45</v>
      </c>
      <c r="H13" s="39"/>
      <c r="I13" s="40" t="s">
        <v>269</v>
      </c>
      <c r="J13" s="41">
        <v>124587.22</v>
      </c>
      <c r="K13" s="41">
        <v>0.32</v>
      </c>
      <c r="L13" s="41"/>
      <c r="M13" s="42">
        <v>0</v>
      </c>
      <c r="N13" s="42">
        <v>0</v>
      </c>
      <c r="O13" s="43">
        <v>39656.03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45</v>
      </c>
      <c r="U13" s="47">
        <f t="shared" si="1"/>
        <v>0.64131268872879821</v>
      </c>
      <c r="V13" s="48">
        <f t="shared" si="2"/>
        <v>0</v>
      </c>
      <c r="W13" s="49">
        <f t="shared" si="3"/>
        <v>1.4251393082862183E-2</v>
      </c>
      <c r="X13" s="44">
        <f t="shared" si="4"/>
        <v>4422.4059380317094</v>
      </c>
      <c r="Y13" s="44">
        <f t="shared" si="5"/>
        <v>0</v>
      </c>
      <c r="Z13" s="44">
        <f t="shared" si="6"/>
        <v>27370.706519209027</v>
      </c>
      <c r="AA13" s="50">
        <f t="shared" si="7"/>
        <v>4422.4059380317094</v>
      </c>
      <c r="AB13" s="51">
        <f t="shared" si="8"/>
        <v>25587.273552593273</v>
      </c>
      <c r="AC13" s="44">
        <f t="shared" si="8"/>
        <v>4134.2487968885753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3.4276422079642828</v>
      </c>
      <c r="AG13" s="44">
        <f t="shared" si="10"/>
        <v>136652.93243037819</v>
      </c>
      <c r="AH13" s="52">
        <f>HLOOKUP(I13,ElecAvoidedCostsWOCC!$A$5:$Q$50,T13+1,FALSE)</f>
        <v>3.4276422079642828</v>
      </c>
      <c r="AI13" s="44">
        <f t="shared" si="11"/>
        <v>0</v>
      </c>
      <c r="AJ13" s="44">
        <f t="shared" si="12"/>
        <v>136652.93243037819</v>
      </c>
      <c r="AK13" s="44">
        <f>HLOOKUP(I13,ElecAvoidedCostsWOCC!$A$5:$Q$50,G13+1,FALSE)*J13*L13</f>
        <v>0</v>
      </c>
      <c r="AL13" s="44">
        <f t="shared" si="13"/>
        <v>136652.93243037819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136652.93243037819</v>
      </c>
      <c r="AN13" s="48">
        <f t="shared" si="14"/>
        <v>150318.22567341602</v>
      </c>
      <c r="AO13" s="47">
        <f t="shared" si="15"/>
        <v>5.3406601586329776</v>
      </c>
      <c r="AP13" s="47">
        <f t="shared" si="16"/>
        <v>36.359259700709138</v>
      </c>
      <c r="AQ13">
        <v>2021</v>
      </c>
    </row>
    <row r="14" spans="1:43" ht="13.5" customHeight="1">
      <c r="A14" s="55">
        <f>SUM(Y5:Y1000)</f>
        <v>3535460.8400000003</v>
      </c>
      <c r="B14" s="97" t="s">
        <v>15</v>
      </c>
      <c r="C14" s="61">
        <v>18230627</v>
      </c>
      <c r="D14" s="61" t="s">
        <v>80</v>
      </c>
      <c r="E14" s="38" t="s">
        <v>1795</v>
      </c>
      <c r="F14" s="39" t="s">
        <v>1796</v>
      </c>
      <c r="G14" s="39">
        <v>25</v>
      </c>
      <c r="H14" s="39"/>
      <c r="I14" s="40" t="s">
        <v>269</v>
      </c>
      <c r="J14" s="41">
        <v>2958.74</v>
      </c>
      <c r="K14" s="41">
        <v>9.98</v>
      </c>
      <c r="L14" s="41"/>
      <c r="M14" s="42">
        <v>200</v>
      </c>
      <c r="N14" s="42">
        <v>17.809999999999999</v>
      </c>
      <c r="O14" s="43">
        <v>29528.23</v>
      </c>
      <c r="P14" s="44">
        <v>41366.720000000001</v>
      </c>
      <c r="Q14" s="44">
        <v>52695.15</v>
      </c>
      <c r="R14" s="45">
        <v>0.08</v>
      </c>
      <c r="S14" s="46">
        <v>0</v>
      </c>
      <c r="T14" s="39">
        <f t="shared" si="0"/>
        <v>25</v>
      </c>
      <c r="U14" s="47">
        <f t="shared" si="1"/>
        <v>0.26529282732737219</v>
      </c>
      <c r="V14" s="48">
        <f t="shared" si="2"/>
        <v>-182.19</v>
      </c>
      <c r="W14" s="49">
        <f t="shared" si="3"/>
        <v>1.0611713093094888E-2</v>
      </c>
      <c r="X14" s="44">
        <f t="shared" si="4"/>
        <v>3292.9625000678607</v>
      </c>
      <c r="Y14" s="44">
        <f t="shared" si="5"/>
        <v>11328.43</v>
      </c>
      <c r="Z14" s="44">
        <f t="shared" si="6"/>
        <v>20380.46968800719</v>
      </c>
      <c r="AA14" s="50">
        <f t="shared" si="7"/>
        <v>55988.112500067858</v>
      </c>
      <c r="AB14" s="51">
        <f t="shared" si="8"/>
        <v>19052.509757882759</v>
      </c>
      <c r="AC14" s="44">
        <f t="shared" si="8"/>
        <v>52340.013555265825</v>
      </c>
      <c r="AD14" s="44">
        <f t="shared" si="9"/>
        <v>2765.864577523384</v>
      </c>
      <c r="AE14" s="44">
        <f t="shared" si="17"/>
        <v>0</v>
      </c>
      <c r="AF14" s="52">
        <f>HLOOKUP(I14,ElecAvoidedCostsWOCC!$A$5:$Q$50,G14+1,FALSE)</f>
        <v>2.0508206305871441</v>
      </c>
      <c r="AG14" s="44">
        <f t="shared" si="10"/>
        <v>60557.093424783197</v>
      </c>
      <c r="AH14" s="52">
        <f>HLOOKUP(I14,ElecAvoidedCostsWOCC!$A$5:$Q$50,T14+1,FALSE)</f>
        <v>2.0508206305871441</v>
      </c>
      <c r="AI14" s="44">
        <f t="shared" si="11"/>
        <v>0</v>
      </c>
      <c r="AJ14" s="44">
        <f t="shared" si="12"/>
        <v>60557.093424783197</v>
      </c>
      <c r="AK14" s="44">
        <f>HLOOKUP(I14,ElecAvoidedCostsWOCC!$A$5:$Q$50,G14+1,FALSE)*J14*L14</f>
        <v>0</v>
      </c>
      <c r="AL14" s="44">
        <f t="shared" si="13"/>
        <v>60557.093424783197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60557.093424783205</v>
      </c>
      <c r="AN14" s="48">
        <f t="shared" si="14"/>
        <v>69378.667344784917</v>
      </c>
      <c r="AO14" s="47">
        <f t="shared" si="15"/>
        <v>3.178431303504694</v>
      </c>
      <c r="AP14" s="47">
        <f t="shared" si="16"/>
        <v>1.3255378176684647</v>
      </c>
      <c r="AQ14">
        <v>2021</v>
      </c>
    </row>
    <row r="15" spans="1:43" ht="13.5" customHeight="1">
      <c r="A15" s="57" t="s">
        <v>253</v>
      </c>
      <c r="B15" s="97" t="s">
        <v>15</v>
      </c>
      <c r="C15" s="61">
        <v>18230627</v>
      </c>
      <c r="D15" s="61" t="s">
        <v>80</v>
      </c>
      <c r="E15" s="38" t="s">
        <v>1797</v>
      </c>
      <c r="F15" s="39" t="s">
        <v>1796</v>
      </c>
      <c r="G15" s="39">
        <v>25</v>
      </c>
      <c r="H15" s="39"/>
      <c r="I15" s="40" t="s">
        <v>269</v>
      </c>
      <c r="J15" s="41">
        <v>5885.35</v>
      </c>
      <c r="K15" s="41">
        <v>16.54</v>
      </c>
      <c r="L15" s="41"/>
      <c r="M15" s="42">
        <v>200</v>
      </c>
      <c r="N15" s="42">
        <v>18.53</v>
      </c>
      <c r="O15" s="43">
        <v>97316.02</v>
      </c>
      <c r="P15" s="44">
        <v>78860.09</v>
      </c>
      <c r="Q15" s="44">
        <v>109055.52</v>
      </c>
      <c r="R15" s="45">
        <v>0</v>
      </c>
      <c r="S15" s="46">
        <v>0</v>
      </c>
      <c r="T15" s="39">
        <f t="shared" si="0"/>
        <v>25</v>
      </c>
      <c r="U15" s="47">
        <f t="shared" si="1"/>
        <v>0.87432406514197092</v>
      </c>
      <c r="V15" s="48">
        <f t="shared" si="2"/>
        <v>-181.47</v>
      </c>
      <c r="W15" s="49">
        <f t="shared" si="3"/>
        <v>3.4972962605678837E-2</v>
      </c>
      <c r="X15" s="44">
        <f t="shared" si="4"/>
        <v>10852.597819640865</v>
      </c>
      <c r="Y15" s="44">
        <f t="shared" si="5"/>
        <v>30195.430000000008</v>
      </c>
      <c r="Z15" s="44">
        <f t="shared" si="6"/>
        <v>67167.798265168676</v>
      </c>
      <c r="AA15" s="50">
        <f t="shared" si="7"/>
        <v>119908.11781964087</v>
      </c>
      <c r="AB15" s="51">
        <f t="shared" si="8"/>
        <v>62791.248261352404</v>
      </c>
      <c r="AC15" s="44">
        <f t="shared" si="8"/>
        <v>112095.09004360181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2.0508206305871441</v>
      </c>
      <c r="AG15" s="44">
        <f t="shared" si="10"/>
        <v>199634.44565865886</v>
      </c>
      <c r="AH15" s="52">
        <f>HLOOKUP(I15,ElecAvoidedCostsWOCC!$A$5:$Q$50,T15+1,FALSE)</f>
        <v>2.0508206305871441</v>
      </c>
      <c r="AI15" s="44">
        <f t="shared" si="11"/>
        <v>0</v>
      </c>
      <c r="AJ15" s="44">
        <f t="shared" si="12"/>
        <v>199634.44565865886</v>
      </c>
      <c r="AK15" s="44">
        <f>HLOOKUP(I15,ElecAvoidedCostsWOCC!$A$5:$Q$50,G15+1,FALSE)*J15*L15</f>
        <v>0</v>
      </c>
      <c r="AL15" s="44">
        <f t="shared" si="13"/>
        <v>199634.44565865886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199634.44565865883</v>
      </c>
      <c r="AN15" s="48">
        <f t="shared" si="14"/>
        <v>219597.89022452474</v>
      </c>
      <c r="AO15" s="47">
        <f t="shared" si="15"/>
        <v>3.1793355154803078</v>
      </c>
      <c r="AP15" s="47">
        <f t="shared" si="16"/>
        <v>1.9590321943548767</v>
      </c>
      <c r="AQ15">
        <v>2021</v>
      </c>
    </row>
    <row r="16" spans="1:43" ht="13.5" customHeight="1">
      <c r="A16" s="54">
        <f>SUM(U5:U999)</f>
        <v>36.297323437956813</v>
      </c>
      <c r="B16" s="97" t="s">
        <v>15</v>
      </c>
      <c r="C16" s="61">
        <v>18230627</v>
      </c>
      <c r="D16" s="61" t="s">
        <v>80</v>
      </c>
      <c r="E16" s="38" t="s">
        <v>1703</v>
      </c>
      <c r="F16" s="39" t="s">
        <v>1704</v>
      </c>
      <c r="G16" s="39">
        <v>25</v>
      </c>
      <c r="H16" s="39"/>
      <c r="I16" s="40" t="s">
        <v>269</v>
      </c>
      <c r="J16" s="41">
        <v>234.1</v>
      </c>
      <c r="K16" s="41"/>
      <c r="L16" s="41"/>
      <c r="M16" s="42"/>
      <c r="N16" s="42"/>
      <c r="O16" s="43">
        <v>0</v>
      </c>
      <c r="P16" s="44">
        <v>0</v>
      </c>
      <c r="Q16" s="44">
        <v>0</v>
      </c>
      <c r="R16" s="45">
        <v>0</v>
      </c>
      <c r="S16" s="46">
        <v>0</v>
      </c>
      <c r="T16" s="39">
        <f t="shared" si="0"/>
        <v>25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2.0508206305871441</v>
      </c>
      <c r="AG16" s="44">
        <f t="shared" si="10"/>
        <v>0</v>
      </c>
      <c r="AH16" s="52">
        <f>HLOOKUP(I16,ElecAvoidedCostsWOCC!$A$5:$Q$50,T16+1,FALSE)</f>
        <v>2.0508206305871441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  <c r="AQ16">
        <v>2021</v>
      </c>
    </row>
    <row r="17" spans="1:43" ht="13.5" customHeight="1">
      <c r="A17" s="58" t="s">
        <v>254</v>
      </c>
      <c r="B17" s="97" t="s">
        <v>15</v>
      </c>
      <c r="C17" s="61">
        <v>18230627</v>
      </c>
      <c r="D17" s="61" t="s">
        <v>80</v>
      </c>
      <c r="E17" s="38" t="s">
        <v>1705</v>
      </c>
      <c r="F17" s="39" t="s">
        <v>1704</v>
      </c>
      <c r="G17" s="39">
        <v>25</v>
      </c>
      <c r="H17" s="39"/>
      <c r="I17" s="40" t="s">
        <v>269</v>
      </c>
      <c r="J17" s="41">
        <v>1302.32</v>
      </c>
      <c r="K17" s="41">
        <v>0.56000000000000005</v>
      </c>
      <c r="L17" s="41"/>
      <c r="M17" s="42">
        <v>0</v>
      </c>
      <c r="N17" s="42">
        <v>0</v>
      </c>
      <c r="O17" s="43">
        <v>731.13</v>
      </c>
      <c r="P17" s="44">
        <v>0</v>
      </c>
      <c r="Q17" s="44">
        <v>0</v>
      </c>
      <c r="R17" s="45">
        <v>0</v>
      </c>
      <c r="S17" s="46">
        <v>0</v>
      </c>
      <c r="T17" s="39">
        <f t="shared" si="0"/>
        <v>25</v>
      </c>
      <c r="U17" s="47">
        <f t="shared" si="1"/>
        <v>6.5687494592077348E-3</v>
      </c>
      <c r="V17" s="48">
        <f t="shared" si="2"/>
        <v>0</v>
      </c>
      <c r="W17" s="49">
        <f t="shared" si="3"/>
        <v>2.6274997836830938E-4</v>
      </c>
      <c r="X17" s="44">
        <f t="shared" si="4"/>
        <v>81.534981022384841</v>
      </c>
      <c r="Y17" s="44">
        <f t="shared" si="5"/>
        <v>0</v>
      </c>
      <c r="Z17" s="44">
        <f t="shared" si="6"/>
        <v>504.62803909996279</v>
      </c>
      <c r="AA17" s="50">
        <f t="shared" si="7"/>
        <v>81.534981022384841</v>
      </c>
      <c r="AB17" s="51">
        <f t="shared" si="8"/>
        <v>471.74725539867507</v>
      </c>
      <c r="AC17" s="44">
        <f t="shared" si="8"/>
        <v>76.222287578185316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2.0508206305871441</v>
      </c>
      <c r="AG17" s="44">
        <f t="shared" si="10"/>
        <v>1495.6618452307</v>
      </c>
      <c r="AH17" s="52">
        <f>HLOOKUP(I17,ElecAvoidedCostsWOCC!$A$5:$Q$50,T17+1,FALSE)</f>
        <v>2.0508206305871441</v>
      </c>
      <c r="AI17" s="44">
        <f t="shared" si="11"/>
        <v>0</v>
      </c>
      <c r="AJ17" s="44">
        <f t="shared" si="12"/>
        <v>1495.6618452307</v>
      </c>
      <c r="AK17" s="44">
        <f>HLOOKUP(I17,ElecAvoidedCostsWOCC!$A$5:$Q$50,G17+1,FALSE)*J17*L17</f>
        <v>0</v>
      </c>
      <c r="AL17" s="44">
        <f t="shared" si="13"/>
        <v>1495.6618452307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1495.6618452306998</v>
      </c>
      <c r="AN17" s="48">
        <f t="shared" si="14"/>
        <v>1645.22802975377</v>
      </c>
      <c r="AO17" s="47">
        <f t="shared" si="15"/>
        <v>3.1704728074500643</v>
      </c>
      <c r="AP17" s="47">
        <f t="shared" si="16"/>
        <v>21.584605789562151</v>
      </c>
      <c r="AQ17">
        <v>2021</v>
      </c>
    </row>
    <row r="18" spans="1:43" ht="13.5" customHeight="1">
      <c r="A18" s="59">
        <f>A6+A8</f>
        <v>1920563.5799999998</v>
      </c>
      <c r="B18" s="97" t="s">
        <v>15</v>
      </c>
      <c r="C18" s="61">
        <v>18230627</v>
      </c>
      <c r="D18" s="61" t="s">
        <v>80</v>
      </c>
      <c r="E18" s="38" t="s">
        <v>1798</v>
      </c>
      <c r="F18" s="39" t="s">
        <v>1799</v>
      </c>
      <c r="G18" s="39">
        <v>45</v>
      </c>
      <c r="H18" s="39"/>
      <c r="I18" s="40" t="s">
        <v>269</v>
      </c>
      <c r="J18" s="41">
        <v>13244</v>
      </c>
      <c r="K18" s="41">
        <v>2.35</v>
      </c>
      <c r="L18" s="41"/>
      <c r="M18" s="42">
        <v>0.5</v>
      </c>
      <c r="N18" s="42">
        <v>1.24</v>
      </c>
      <c r="O18" s="43">
        <v>31123.4</v>
      </c>
      <c r="P18" s="44">
        <v>6434.31</v>
      </c>
      <c r="Q18" s="44">
        <v>16422.560000000001</v>
      </c>
      <c r="R18" s="45">
        <v>0.04</v>
      </c>
      <c r="S18" s="46">
        <v>0</v>
      </c>
      <c r="T18" s="39">
        <f t="shared" si="0"/>
        <v>45</v>
      </c>
      <c r="U18" s="47">
        <f t="shared" si="1"/>
        <v>0.5033239922499021</v>
      </c>
      <c r="V18" s="48">
        <f t="shared" si="2"/>
        <v>0.74</v>
      </c>
      <c r="W18" s="49">
        <f t="shared" si="3"/>
        <v>1.1184977605553379E-2</v>
      </c>
      <c r="X18" s="44">
        <f t="shared" si="4"/>
        <v>3470.8544695910341</v>
      </c>
      <c r="Y18" s="44">
        <f t="shared" si="5"/>
        <v>9988.25</v>
      </c>
      <c r="Z18" s="44">
        <f t="shared" si="6"/>
        <v>21481.460632341423</v>
      </c>
      <c r="AA18" s="50">
        <f t="shared" si="7"/>
        <v>19893.414469591036</v>
      </c>
      <c r="AB18" s="51">
        <f t="shared" si="8"/>
        <v>20081.761832608601</v>
      </c>
      <c r="AC18" s="44">
        <f t="shared" si="8"/>
        <v>18597.190305310865</v>
      </c>
      <c r="AD18" s="44">
        <f t="shared" si="9"/>
        <v>7234.0885757100677</v>
      </c>
      <c r="AE18" s="44">
        <f t="shared" si="17"/>
        <v>0</v>
      </c>
      <c r="AF18" s="52">
        <f>HLOOKUP(I18,ElecAvoidedCostsWOCC!$A$5:$Q$50,G18+1,FALSE)</f>
        <v>3.4276422079642828</v>
      </c>
      <c r="AG18" s="44">
        <f t="shared" si="10"/>
        <v>106679.87949535555</v>
      </c>
      <c r="AH18" s="52">
        <f>HLOOKUP(I18,ElecAvoidedCostsWOCC!$A$5:$Q$50,T18+1,FALSE)</f>
        <v>3.4276422079642828</v>
      </c>
      <c r="AI18" s="44">
        <f t="shared" si="11"/>
        <v>0</v>
      </c>
      <c r="AJ18" s="44">
        <f t="shared" si="12"/>
        <v>106679.87949535555</v>
      </c>
      <c r="AK18" s="44">
        <f>HLOOKUP(I18,ElecAvoidedCostsWOCC!$A$5:$Q$50,G18+1,FALSE)*J18*L18</f>
        <v>0</v>
      </c>
      <c r="AL18" s="44">
        <f t="shared" si="13"/>
        <v>106679.87949535555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106679.87949535556</v>
      </c>
      <c r="AN18" s="48">
        <f t="shared" si="14"/>
        <v>124581.9560206012</v>
      </c>
      <c r="AO18" s="47">
        <f t="shared" si="15"/>
        <v>5.3122769000342211</v>
      </c>
      <c r="AP18" s="47">
        <f t="shared" si="16"/>
        <v>6.6989665629771977</v>
      </c>
      <c r="AQ18">
        <v>2021</v>
      </c>
    </row>
    <row r="19" spans="1:43" ht="13.5" customHeight="1">
      <c r="A19" s="58" t="s">
        <v>231</v>
      </c>
      <c r="B19" s="97" t="s">
        <v>15</v>
      </c>
      <c r="C19" s="61">
        <v>18230627</v>
      </c>
      <c r="D19" s="61" t="s">
        <v>80</v>
      </c>
      <c r="E19" s="38" t="s">
        <v>1800</v>
      </c>
      <c r="F19" s="39" t="s">
        <v>1799</v>
      </c>
      <c r="G19" s="39">
        <v>45</v>
      </c>
      <c r="H19" s="39"/>
      <c r="I19" s="40" t="s">
        <v>269</v>
      </c>
      <c r="J19" s="41">
        <v>15925</v>
      </c>
      <c r="K19" s="41">
        <v>1.86</v>
      </c>
      <c r="L19" s="41"/>
      <c r="M19" s="42">
        <v>0.5</v>
      </c>
      <c r="N19" s="42">
        <v>1.49</v>
      </c>
      <c r="O19" s="43">
        <v>29623.68</v>
      </c>
      <c r="P19" s="44">
        <v>7797.46</v>
      </c>
      <c r="Q19" s="44">
        <v>23728.25</v>
      </c>
      <c r="R19" s="45">
        <v>0</v>
      </c>
      <c r="S19" s="46">
        <v>0</v>
      </c>
      <c r="T19" s="39">
        <f t="shared" si="0"/>
        <v>45</v>
      </c>
      <c r="U19" s="47">
        <f t="shared" si="1"/>
        <v>0.47907069544887698</v>
      </c>
      <c r="V19" s="48">
        <f t="shared" si="2"/>
        <v>0.99</v>
      </c>
      <c r="W19" s="49">
        <f t="shared" si="3"/>
        <v>1.0646015454419488E-2</v>
      </c>
      <c r="X19" s="44">
        <f t="shared" si="4"/>
        <v>3303.6070009618011</v>
      </c>
      <c r="Y19" s="44">
        <f t="shared" si="5"/>
        <v>15930.79</v>
      </c>
      <c r="Z19" s="44">
        <f t="shared" si="6"/>
        <v>20446.349553875218</v>
      </c>
      <c r="AA19" s="50">
        <f t="shared" si="7"/>
        <v>27031.857000961802</v>
      </c>
      <c r="AB19" s="51">
        <f t="shared" si="8"/>
        <v>19114.096993432941</v>
      </c>
      <c r="AC19" s="44">
        <f t="shared" si="8"/>
        <v>25270.502945649994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3.4276422079642828</v>
      </c>
      <c r="AG19" s="44">
        <f t="shared" si="10"/>
        <v>101528.47602100605</v>
      </c>
      <c r="AH19" s="52">
        <f>HLOOKUP(I19,ElecAvoidedCostsWOCC!$A$5:$Q$50,T19+1,FALSE)</f>
        <v>3.4276422079642828</v>
      </c>
      <c r="AI19" s="44">
        <f t="shared" si="11"/>
        <v>0</v>
      </c>
      <c r="AJ19" s="44">
        <f t="shared" si="12"/>
        <v>101528.47602100605</v>
      </c>
      <c r="AK19" s="44">
        <f>HLOOKUP(I19,ElecAvoidedCostsWOCC!$A$5:$Q$50,G19+1,FALSE)*J19*L19</f>
        <v>0</v>
      </c>
      <c r="AL19" s="44">
        <f t="shared" si="13"/>
        <v>101528.47602100605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101528.47602100605</v>
      </c>
      <c r="AN19" s="48">
        <f t="shared" si="14"/>
        <v>111681.32362310667</v>
      </c>
      <c r="AO19" s="47">
        <f t="shared" si="15"/>
        <v>5.3117066454087967</v>
      </c>
      <c r="AP19" s="47">
        <f t="shared" si="16"/>
        <v>4.4194341467323754</v>
      </c>
      <c r="AQ19">
        <v>2021</v>
      </c>
    </row>
    <row r="20" spans="1:43" ht="13.5" customHeight="1">
      <c r="A20" s="59">
        <f>A8+SUM(Q5:Q906)</f>
        <v>5448621.8700000029</v>
      </c>
      <c r="B20" s="97" t="s">
        <v>15</v>
      </c>
      <c r="C20" s="61">
        <v>18230627</v>
      </c>
      <c r="D20" s="61" t="s">
        <v>80</v>
      </c>
      <c r="E20" s="38" t="s">
        <v>1706</v>
      </c>
      <c r="F20" s="39" t="s">
        <v>1707</v>
      </c>
      <c r="G20" s="39">
        <v>45</v>
      </c>
      <c r="H20" s="39"/>
      <c r="I20" s="40" t="s">
        <v>269</v>
      </c>
      <c r="J20" s="41">
        <v>76334</v>
      </c>
      <c r="K20" s="41"/>
      <c r="L20" s="41"/>
      <c r="M20" s="42"/>
      <c r="N20" s="42"/>
      <c r="O20" s="43">
        <v>0</v>
      </c>
      <c r="P20" s="44">
        <v>0</v>
      </c>
      <c r="Q20" s="44">
        <v>0</v>
      </c>
      <c r="R20" s="45">
        <v>0</v>
      </c>
      <c r="S20" s="46">
        <v>0</v>
      </c>
      <c r="T20" s="39">
        <f t="shared" si="0"/>
        <v>45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3.4276422079642828</v>
      </c>
      <c r="AG20" s="44">
        <f t="shared" si="10"/>
        <v>0</v>
      </c>
      <c r="AH20" s="52">
        <f>HLOOKUP(I20,ElecAvoidedCostsWOCC!$A$5:$Q$50,T20+1,FALSE)</f>
        <v>3.4276422079642828</v>
      </c>
      <c r="AI20" s="44">
        <f t="shared" si="11"/>
        <v>0</v>
      </c>
      <c r="AJ20" s="44">
        <f t="shared" si="12"/>
        <v>0</v>
      </c>
      <c r="AK20" s="44">
        <f>HLOOKUP(I20,ElecAvoidedCostsWOCC!$A$5:$Q$50,G20+1,FALSE)*J20*L20</f>
        <v>0</v>
      </c>
      <c r="AL20" s="44">
        <f t="shared" si="13"/>
        <v>0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  <c r="AQ20">
        <v>2021</v>
      </c>
    </row>
    <row r="21" spans="1:43" ht="13.5" customHeight="1">
      <c r="A21" s="58" t="s">
        <v>245</v>
      </c>
      <c r="B21" s="97" t="s">
        <v>15</v>
      </c>
      <c r="C21" s="61">
        <v>18230627</v>
      </c>
      <c r="D21" s="61" t="s">
        <v>80</v>
      </c>
      <c r="E21" s="38" t="s">
        <v>1708</v>
      </c>
      <c r="F21" s="39" t="s">
        <v>1707</v>
      </c>
      <c r="G21" s="39">
        <v>45</v>
      </c>
      <c r="H21" s="39"/>
      <c r="I21" s="40" t="s">
        <v>269</v>
      </c>
      <c r="J21" s="41">
        <v>287952</v>
      </c>
      <c r="K21" s="41">
        <v>0.08</v>
      </c>
      <c r="L21" s="41"/>
      <c r="M21" s="42">
        <v>0</v>
      </c>
      <c r="N21" s="42">
        <v>0</v>
      </c>
      <c r="O21" s="43">
        <v>22892.48</v>
      </c>
      <c r="P21" s="44">
        <v>0</v>
      </c>
      <c r="Q21" s="44">
        <v>0</v>
      </c>
      <c r="R21" s="45">
        <v>0</v>
      </c>
      <c r="S21" s="46">
        <v>0</v>
      </c>
      <c r="T21" s="39">
        <f t="shared" si="0"/>
        <v>45</v>
      </c>
      <c r="U21" s="47">
        <f t="shared" si="1"/>
        <v>0.37021451467709299</v>
      </c>
      <c r="V21" s="48">
        <f t="shared" si="2"/>
        <v>0</v>
      </c>
      <c r="W21" s="49">
        <f t="shared" si="3"/>
        <v>8.2269892150465106E-3</v>
      </c>
      <c r="X21" s="44">
        <f t="shared" si="4"/>
        <v>2552.9494376585894</v>
      </c>
      <c r="Y21" s="44">
        <f t="shared" si="5"/>
        <v>0</v>
      </c>
      <c r="Z21" s="44">
        <f t="shared" si="6"/>
        <v>15800.455859471116</v>
      </c>
      <c r="AA21" s="50">
        <f t="shared" si="7"/>
        <v>2552.9494376585894</v>
      </c>
      <c r="AB21" s="51">
        <f t="shared" ref="AB21:AC24" si="18">Z21/(1+ElecDiscountRate)^1</f>
        <v>14770.922557232041</v>
      </c>
      <c r="AC21" s="44">
        <f t="shared" si="18"/>
        <v>2386.6031949692338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3.4276422079642828</v>
      </c>
      <c r="AG21" s="44">
        <f t="shared" si="10"/>
        <v>78959.714325418492</v>
      </c>
      <c r="AH21" s="52">
        <f>HLOOKUP(I21,ElecAvoidedCostsWOCC!$A$5:$Q$50,T21+1,FALSE)</f>
        <v>3.4276422079642828</v>
      </c>
      <c r="AI21" s="44">
        <f t="shared" si="11"/>
        <v>0</v>
      </c>
      <c r="AJ21" s="44">
        <f t="shared" si="12"/>
        <v>78959.714325418492</v>
      </c>
      <c r="AK21" s="44">
        <f>HLOOKUP(I21,ElecAvoidedCostsWOCC!$A$5:$Q$50,G21+1,FALSE)*J21*L21</f>
        <v>0</v>
      </c>
      <c r="AL21" s="44">
        <f t="shared" si="13"/>
        <v>78959.714325418492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78959.714325418492</v>
      </c>
      <c r="AN21" s="48">
        <f t="shared" si="14"/>
        <v>86855.685757960353</v>
      </c>
      <c r="AO21" s="47">
        <f t="shared" si="15"/>
        <v>5.3456183267820849</v>
      </c>
      <c r="AP21" s="47">
        <f t="shared" si="16"/>
        <v>36.393014951561746</v>
      </c>
      <c r="AQ21">
        <v>2021</v>
      </c>
    </row>
    <row r="22" spans="1:43" ht="13.5" customHeight="1">
      <c r="A22" s="60">
        <f>(SUM(AM5:AM1000)/(SUM(AB5:AB1000)))</f>
        <v>4.3749971879180674</v>
      </c>
      <c r="B22" s="97" t="s">
        <v>15</v>
      </c>
      <c r="C22" s="61">
        <v>18230627</v>
      </c>
      <c r="D22" s="61" t="s">
        <v>80</v>
      </c>
      <c r="E22" s="38" t="s">
        <v>1801</v>
      </c>
      <c r="F22" s="39" t="s">
        <v>695</v>
      </c>
      <c r="G22" s="39">
        <v>45</v>
      </c>
      <c r="H22" s="39"/>
      <c r="I22" s="40" t="s">
        <v>269</v>
      </c>
      <c r="J22" s="41">
        <v>4120</v>
      </c>
      <c r="K22" s="41">
        <v>1.33</v>
      </c>
      <c r="L22" s="41"/>
      <c r="M22" s="42">
        <v>0.5</v>
      </c>
      <c r="N22" s="42">
        <v>1.24</v>
      </c>
      <c r="O22" s="43">
        <v>5479.6</v>
      </c>
      <c r="P22" s="44">
        <v>2400</v>
      </c>
      <c r="Q22" s="44">
        <v>5108.8</v>
      </c>
      <c r="R22" s="45">
        <v>0.02</v>
      </c>
      <c r="S22" s="46">
        <v>0</v>
      </c>
      <c r="T22" s="39">
        <f t="shared" si="0"/>
        <v>45</v>
      </c>
      <c r="U22" s="47">
        <f t="shared" si="1"/>
        <v>8.8615451651572877E-2</v>
      </c>
      <c r="V22" s="48">
        <f t="shared" si="2"/>
        <v>0.74</v>
      </c>
      <c r="W22" s="49">
        <f t="shared" si="3"/>
        <v>1.9692322589238416E-3</v>
      </c>
      <c r="X22" s="44">
        <f t="shared" si="4"/>
        <v>611.08022104175734</v>
      </c>
      <c r="Y22" s="44">
        <f t="shared" si="5"/>
        <v>2708.8</v>
      </c>
      <c r="Z22" s="44">
        <f t="shared" si="6"/>
        <v>3782.0357570502597</v>
      </c>
      <c r="AA22" s="50">
        <f t="shared" si="7"/>
        <v>5719.880221041758</v>
      </c>
      <c r="AB22" s="51">
        <f t="shared" si="18"/>
        <v>3535.6041479389169</v>
      </c>
      <c r="AC22" s="44">
        <f t="shared" si="18"/>
        <v>5347.181659382778</v>
      </c>
      <c r="AD22" s="44">
        <f t="shared" si="9"/>
        <v>1125.2055622140394</v>
      </c>
      <c r="AE22" s="44">
        <f t="shared" si="17"/>
        <v>0</v>
      </c>
      <c r="AF22" s="52">
        <f>HLOOKUP(I22,ElecAvoidedCostsWOCC!$A$5:$Q$50,G22+1,FALSE)</f>
        <v>3.4276422079642828</v>
      </c>
      <c r="AG22" s="44">
        <f t="shared" si="10"/>
        <v>18782.108242761085</v>
      </c>
      <c r="AH22" s="52">
        <f>HLOOKUP(I22,ElecAvoidedCostsWOCC!$A$5:$Q$50,T22+1,FALSE)</f>
        <v>3.4276422079642828</v>
      </c>
      <c r="AI22" s="44">
        <f t="shared" si="11"/>
        <v>0</v>
      </c>
      <c r="AJ22" s="44">
        <f t="shared" si="12"/>
        <v>18782.108242761085</v>
      </c>
      <c r="AK22" s="44">
        <f>HLOOKUP(I22,ElecAvoidedCostsWOCC!$A$5:$Q$50,G22+1,FALSE)*J22*L22</f>
        <v>0</v>
      </c>
      <c r="AL22" s="44">
        <f t="shared" si="13"/>
        <v>18782.108242761085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18782.108242761085</v>
      </c>
      <c r="AN22" s="48">
        <f t="shared" si="14"/>
        <v>21785.524629251235</v>
      </c>
      <c r="AO22" s="47">
        <f t="shared" si="15"/>
        <v>5.312276900034222</v>
      </c>
      <c r="AP22" s="47">
        <f t="shared" si="16"/>
        <v>4.0742069405896943</v>
      </c>
      <c r="AQ22">
        <v>2021</v>
      </c>
    </row>
    <row r="23" spans="1:43" ht="13.5" customHeight="1">
      <c r="A23" s="58" t="s">
        <v>246</v>
      </c>
      <c r="B23" s="97" t="s">
        <v>15</v>
      </c>
      <c r="C23" s="61">
        <v>18230627</v>
      </c>
      <c r="D23" s="61" t="s">
        <v>80</v>
      </c>
      <c r="E23" s="38" t="s">
        <v>694</v>
      </c>
      <c r="F23" s="39" t="s">
        <v>695</v>
      </c>
      <c r="G23" s="39">
        <v>45</v>
      </c>
      <c r="H23" s="39"/>
      <c r="I23" s="40" t="s">
        <v>269</v>
      </c>
      <c r="J23" s="41">
        <v>13510</v>
      </c>
      <c r="K23" s="41">
        <v>1.3</v>
      </c>
      <c r="L23" s="41"/>
      <c r="M23" s="42">
        <v>0.5</v>
      </c>
      <c r="N23" s="42">
        <v>1.49</v>
      </c>
      <c r="O23" s="43">
        <v>17577.86</v>
      </c>
      <c r="P23" s="44">
        <v>6544.5</v>
      </c>
      <c r="Q23" s="44">
        <v>20129.900000000001</v>
      </c>
      <c r="R23" s="45">
        <v>0</v>
      </c>
      <c r="S23" s="46">
        <v>0</v>
      </c>
      <c r="T23" s="39">
        <f t="shared" si="0"/>
        <v>45</v>
      </c>
      <c r="U23" s="47">
        <f t="shared" si="1"/>
        <v>0.28426710032997238</v>
      </c>
      <c r="V23" s="48">
        <f t="shared" si="2"/>
        <v>0.99</v>
      </c>
      <c r="W23" s="49">
        <f t="shared" si="3"/>
        <v>6.3170466739993865E-3</v>
      </c>
      <c r="X23" s="44">
        <f t="shared" si="4"/>
        <v>1960.2676425726447</v>
      </c>
      <c r="Y23" s="44">
        <f t="shared" si="5"/>
        <v>13585.400000000001</v>
      </c>
      <c r="Z23" s="44">
        <f t="shared" si="6"/>
        <v>12132.289775243353</v>
      </c>
      <c r="AA23" s="50">
        <f t="shared" si="7"/>
        <v>22090.167642572647</v>
      </c>
      <c r="AB23" s="51">
        <f t="shared" si="18"/>
        <v>11341.768510090074</v>
      </c>
      <c r="AC23" s="44">
        <f t="shared" si="18"/>
        <v>20650.806434114842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3.4276422079642828</v>
      </c>
      <c r="AG23" s="44">
        <f t="shared" si="10"/>
        <v>60199.680098476696</v>
      </c>
      <c r="AH23" s="52">
        <f>HLOOKUP(I23,ElecAvoidedCostsWOCC!$A$5:$Q$50,T23+1,FALSE)</f>
        <v>3.4276422079642828</v>
      </c>
      <c r="AI23" s="44">
        <f t="shared" si="11"/>
        <v>0</v>
      </c>
      <c r="AJ23" s="44">
        <f t="shared" si="12"/>
        <v>60199.680098476696</v>
      </c>
      <c r="AK23" s="44">
        <f>HLOOKUP(I23,ElecAvoidedCostsWOCC!$A$5:$Q$50,G23+1,FALSE)*J23*L23</f>
        <v>0</v>
      </c>
      <c r="AL23" s="44">
        <f t="shared" si="13"/>
        <v>60199.680098476696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60199.680098476703</v>
      </c>
      <c r="AN23" s="48">
        <f t="shared" si="14"/>
        <v>66219.648108324385</v>
      </c>
      <c r="AO23" s="47">
        <f t="shared" si="15"/>
        <v>5.307785998710937</v>
      </c>
      <c r="AP23" s="47">
        <f t="shared" si="16"/>
        <v>3.2066373930526249</v>
      </c>
      <c r="AQ23">
        <v>2021</v>
      </c>
    </row>
    <row r="24" spans="1:43" ht="13.5" customHeight="1">
      <c r="A24" s="60">
        <f>(SUM(AN5:AN1000)/SUM(AC5:AC1000))</f>
        <v>1.7629633941704246</v>
      </c>
      <c r="B24" s="97" t="s">
        <v>15</v>
      </c>
      <c r="C24" s="61">
        <v>18230627</v>
      </c>
      <c r="D24" s="61" t="s">
        <v>80</v>
      </c>
      <c r="E24" s="38" t="s">
        <v>696</v>
      </c>
      <c r="F24" s="39" t="s">
        <v>697</v>
      </c>
      <c r="G24" s="39">
        <v>45</v>
      </c>
      <c r="H24" s="39"/>
      <c r="I24" s="40" t="s">
        <v>269</v>
      </c>
      <c r="J24" s="41">
        <v>5701</v>
      </c>
      <c r="K24" s="41">
        <v>2.16</v>
      </c>
      <c r="L24" s="41"/>
      <c r="M24" s="42">
        <v>0.5</v>
      </c>
      <c r="N24" s="42">
        <v>1.24</v>
      </c>
      <c r="O24" s="43">
        <v>12314.16</v>
      </c>
      <c r="P24" s="44">
        <v>3276.87</v>
      </c>
      <c r="Q24" s="44">
        <v>7069.24</v>
      </c>
      <c r="R24" s="45">
        <v>0.04</v>
      </c>
      <c r="S24" s="46">
        <v>0</v>
      </c>
      <c r="T24" s="39">
        <f t="shared" si="0"/>
        <v>45</v>
      </c>
      <c r="U24" s="47">
        <f t="shared" si="1"/>
        <v>0.19914315827975265</v>
      </c>
      <c r="V24" s="48">
        <f t="shared" si="2"/>
        <v>0.74</v>
      </c>
      <c r="W24" s="49">
        <f t="shared" si="3"/>
        <v>4.4254035173278364E-3</v>
      </c>
      <c r="X24" s="44">
        <f t="shared" si="4"/>
        <v>1373.264401551859</v>
      </c>
      <c r="Y24" s="44">
        <f t="shared" si="5"/>
        <v>3792.37</v>
      </c>
      <c r="Z24" s="44">
        <f t="shared" si="6"/>
        <v>8499.2688221837416</v>
      </c>
      <c r="AA24" s="50">
        <f t="shared" si="7"/>
        <v>8442.5044015518579</v>
      </c>
      <c r="AB24" s="51">
        <f t="shared" si="18"/>
        <v>7945.4695916460132</v>
      </c>
      <c r="AC24" s="44">
        <f t="shared" si="18"/>
        <v>7892.4038529979034</v>
      </c>
      <c r="AD24" s="44">
        <f t="shared" si="9"/>
        <v>3113.9790826127373</v>
      </c>
      <c r="AE24" s="44">
        <f t="shared" si="17"/>
        <v>0</v>
      </c>
      <c r="AF24" s="52">
        <f>HLOOKUP(I24,ElecAvoidedCostsWOCC!$A$5:$Q$50,G24+1,FALSE)</f>
        <v>3.4276422079642828</v>
      </c>
      <c r="AG24" s="44">
        <f t="shared" si="10"/>
        <v>42208.534571625452</v>
      </c>
      <c r="AH24" s="52">
        <f>HLOOKUP(I24,ElecAvoidedCostsWOCC!$A$5:$Q$50,T24+1,FALSE)</f>
        <v>3.4276422079642828</v>
      </c>
      <c r="AI24" s="44">
        <f t="shared" si="11"/>
        <v>0</v>
      </c>
      <c r="AJ24" s="44">
        <f t="shared" si="12"/>
        <v>42208.534571625452</v>
      </c>
      <c r="AK24" s="44">
        <f>HLOOKUP(I24,ElecAvoidedCostsWOCC!$A$5:$Q$50,G24+1,FALSE)*J24*L24</f>
        <v>0</v>
      </c>
      <c r="AL24" s="44">
        <f t="shared" si="13"/>
        <v>42208.534571625452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42208.53457162546</v>
      </c>
      <c r="AN24" s="48">
        <f t="shared" si="14"/>
        <v>49543.367111400745</v>
      </c>
      <c r="AO24" s="47">
        <f t="shared" si="15"/>
        <v>5.312276900034222</v>
      </c>
      <c r="AP24" s="47">
        <f t="shared" si="16"/>
        <v>6.2773481988737645</v>
      </c>
      <c r="AQ24">
        <v>2021</v>
      </c>
    </row>
    <row r="25" spans="1:43" ht="13.5" customHeight="1">
      <c r="B25" s="97" t="s">
        <v>15</v>
      </c>
      <c r="C25" s="61">
        <v>18230627</v>
      </c>
      <c r="D25" s="61" t="s">
        <v>80</v>
      </c>
      <c r="E25" s="38" t="s">
        <v>698</v>
      </c>
      <c r="F25" s="39" t="s">
        <v>697</v>
      </c>
      <c r="G25" s="39">
        <v>45</v>
      </c>
      <c r="H25" s="39"/>
      <c r="I25" s="40" t="s">
        <v>269</v>
      </c>
      <c r="J25" s="41">
        <v>21553</v>
      </c>
      <c r="K25" s="41">
        <v>1.2</v>
      </c>
      <c r="L25" s="41"/>
      <c r="M25" s="42">
        <v>0.5</v>
      </c>
      <c r="N25" s="42">
        <v>1.49</v>
      </c>
      <c r="O25" s="43">
        <v>25934.73</v>
      </c>
      <c r="P25" s="44">
        <v>12539.85</v>
      </c>
      <c r="Q25" s="44">
        <v>32113.97</v>
      </c>
      <c r="R25" s="45">
        <v>0</v>
      </c>
      <c r="S25" s="46">
        <v>0</v>
      </c>
      <c r="T25" s="39">
        <f t="shared" ref="T25:T67" si="19">G25+H25</f>
        <v>45</v>
      </c>
      <c r="U25" s="47">
        <f t="shared" ref="U25:U67" si="20">(O25/$A$10)*T25</f>
        <v>0.41941342660259801</v>
      </c>
      <c r="V25" s="48">
        <f t="shared" ref="V25:V67" si="21">N25-M25</f>
        <v>0.99</v>
      </c>
      <c r="W25" s="49">
        <f t="shared" ref="W25:W67" si="22">(O25/A$10)</f>
        <v>9.3202983689466227E-3</v>
      </c>
      <c r="X25" s="44">
        <f t="shared" ref="X25:X67" si="23">W25*A$8</f>
        <v>2892.2185088433998</v>
      </c>
      <c r="Y25" s="44">
        <f t="shared" ref="Y25:Y67" si="24">Q25-P25</f>
        <v>19574.120000000003</v>
      </c>
      <c r="Z25" s="44">
        <f t="shared" ref="Z25:Z67" si="25">X25+(A$6*W25)</f>
        <v>17900.225602132283</v>
      </c>
      <c r="AA25" s="50">
        <f t="shared" ref="AA25:AA67" si="26">Q25+X25</f>
        <v>35006.188508843399</v>
      </c>
      <c r="AB25" s="51">
        <f t="shared" ref="AB25:AB67" si="27">Z25/(1+ElecDiscountRate)^1</f>
        <v>16733.874546258092</v>
      </c>
      <c r="AC25" s="44">
        <f t="shared" ref="AC25:AC67" si="28">AA25/(1+ElecDiscountRate)^1</f>
        <v>32725.239327702529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>
        <f>HLOOKUP(I25,ElecAvoidedCostsWOCC!$A$5:$Q$50,G25+1,FALSE)</f>
        <v>3.4276422079642828</v>
      </c>
      <c r="AG25" s="44">
        <f t="shared" ref="AG25:AG67" si="31">AF25*J25*K25</f>
        <v>88651.167009905024</v>
      </c>
      <c r="AH25" s="52">
        <f>HLOOKUP(I25,ElecAvoidedCostsWOCC!$A$5:$Q$50,T25+1,FALSE)</f>
        <v>3.4276422079642828</v>
      </c>
      <c r="AI25" s="44">
        <f t="shared" ref="AI25:AI67" si="32">AH25*J25*L25</f>
        <v>0</v>
      </c>
      <c r="AJ25" s="44">
        <f t="shared" ref="AJ25:AJ67" si="33">AG25+AI25</f>
        <v>88651.167009905024</v>
      </c>
      <c r="AK25" s="44">
        <f>HLOOKUP(I25,ElecAvoidedCostsWOCC!$A$5:$Q$50,G25+1,FALSE)*J25*L25</f>
        <v>0</v>
      </c>
      <c r="AL25" s="44">
        <f t="shared" ref="AL25:AL67" si="34">AG25+AI25-AK25</f>
        <v>88651.167009905024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88651.16700990501</v>
      </c>
      <c r="AN25" s="48">
        <f t="shared" ref="AN25:AN67" si="35">AM25*1.1+AD25+AE25</f>
        <v>97516.283710895514</v>
      </c>
      <c r="AO25" s="47">
        <f t="shared" ref="AO25:AO67" si="36">IFERROR(AM25/AB25,0)</f>
        <v>5.297707160696298</v>
      </c>
      <c r="AP25" s="47">
        <f t="shared" ref="AP25:AP67" si="37">AN25/AC25</f>
        <v>2.9798493674680677</v>
      </c>
      <c r="AQ25">
        <v>2021</v>
      </c>
    </row>
    <row r="26" spans="1:43" ht="13.5" customHeight="1">
      <c r="B26" s="97" t="s">
        <v>15</v>
      </c>
      <c r="C26" s="61">
        <v>18230627</v>
      </c>
      <c r="D26" s="61" t="s">
        <v>80</v>
      </c>
      <c r="E26" s="38" t="s">
        <v>699</v>
      </c>
      <c r="F26" s="39" t="s">
        <v>700</v>
      </c>
      <c r="G26" s="39">
        <v>45</v>
      </c>
      <c r="H26" s="39"/>
      <c r="I26" s="40" t="s">
        <v>269</v>
      </c>
      <c r="J26" s="41">
        <v>9568</v>
      </c>
      <c r="K26" s="41">
        <v>0.62</v>
      </c>
      <c r="L26" s="41"/>
      <c r="M26" s="42">
        <v>0.5</v>
      </c>
      <c r="N26" s="42">
        <v>1.0900000000000001</v>
      </c>
      <c r="O26" s="43">
        <v>5932.16</v>
      </c>
      <c r="P26" s="44">
        <v>4800</v>
      </c>
      <c r="Q26" s="44">
        <v>10429.120000000001</v>
      </c>
      <c r="R26" s="45">
        <v>0.01</v>
      </c>
      <c r="S26" s="46">
        <v>0</v>
      </c>
      <c r="T26" s="39">
        <f t="shared" si="19"/>
        <v>45</v>
      </c>
      <c r="U26" s="47">
        <f t="shared" si="20"/>
        <v>9.5934199151287397E-2</v>
      </c>
      <c r="V26" s="48">
        <f t="shared" si="21"/>
        <v>0.59000000000000008</v>
      </c>
      <c r="W26" s="49">
        <f t="shared" si="22"/>
        <v>2.1318710922508311E-3</v>
      </c>
      <c r="X26" s="44">
        <f t="shared" si="23"/>
        <v>661.54931820845877</v>
      </c>
      <c r="Y26" s="44">
        <f t="shared" si="24"/>
        <v>5629.1200000000008</v>
      </c>
      <c r="Z26" s="44">
        <f t="shared" si="25"/>
        <v>4094.3939770317661</v>
      </c>
      <c r="AA26" s="50">
        <f t="shared" si="26"/>
        <v>11090.66931820846</v>
      </c>
      <c r="AB26" s="51">
        <f t="shared" si="27"/>
        <v>3827.6095886994162</v>
      </c>
      <c r="AC26" s="44">
        <f t="shared" si="28"/>
        <v>10368.018433400448</v>
      </c>
      <c r="AD26" s="44">
        <f t="shared" si="29"/>
        <v>1306.5493712698944</v>
      </c>
      <c r="AE26" s="44">
        <f t="shared" si="30"/>
        <v>0</v>
      </c>
      <c r="AF26" s="52">
        <f>HLOOKUP(I26,ElecAvoidedCostsWOCC!$A$5:$Q$50,G26+1,FALSE)</f>
        <v>3.4276422079642828</v>
      </c>
      <c r="AG26" s="44">
        <f t="shared" si="31"/>
        <v>20333.322000397398</v>
      </c>
      <c r="AH26" s="52">
        <f>HLOOKUP(I26,ElecAvoidedCostsWOCC!$A$5:$Q$50,T26+1,FALSE)</f>
        <v>3.4276422079642828</v>
      </c>
      <c r="AI26" s="44">
        <f t="shared" si="32"/>
        <v>0</v>
      </c>
      <c r="AJ26" s="44">
        <f t="shared" si="33"/>
        <v>20333.322000397398</v>
      </c>
      <c r="AK26" s="44">
        <f>HLOOKUP(I26,ElecAvoidedCostsWOCC!$A$5:$Q$50,G26+1,FALSE)*J26*L26</f>
        <v>0</v>
      </c>
      <c r="AL26" s="44">
        <f t="shared" si="34"/>
        <v>20333.322000397398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20333.322000397402</v>
      </c>
      <c r="AN26" s="48">
        <f t="shared" si="35"/>
        <v>23673.203571707039</v>
      </c>
      <c r="AO26" s="47">
        <f t="shared" si="36"/>
        <v>5.3122769000342229</v>
      </c>
      <c r="AP26" s="47">
        <f t="shared" si="37"/>
        <v>2.2832910380872873</v>
      </c>
      <c r="AQ26">
        <v>2021</v>
      </c>
    </row>
    <row r="27" spans="1:43" ht="13.5" customHeight="1">
      <c r="B27" s="97" t="s">
        <v>15</v>
      </c>
      <c r="C27" s="61">
        <v>18230627</v>
      </c>
      <c r="D27" s="61" t="s">
        <v>80</v>
      </c>
      <c r="E27" s="38" t="s">
        <v>701</v>
      </c>
      <c r="F27" s="39" t="s">
        <v>700</v>
      </c>
      <c r="G27" s="39">
        <v>45</v>
      </c>
      <c r="H27" s="39"/>
      <c r="I27" s="40" t="s">
        <v>269</v>
      </c>
      <c r="J27" s="41">
        <v>42780</v>
      </c>
      <c r="K27" s="41">
        <v>0.44</v>
      </c>
      <c r="L27" s="41"/>
      <c r="M27" s="42">
        <v>0.5</v>
      </c>
      <c r="N27" s="42">
        <v>1.24</v>
      </c>
      <c r="O27" s="43">
        <v>18921.62</v>
      </c>
      <c r="P27" s="44">
        <v>21000</v>
      </c>
      <c r="Q27" s="44">
        <v>53047.199999999997</v>
      </c>
      <c r="R27" s="45">
        <v>0</v>
      </c>
      <c r="S27" s="46">
        <v>0</v>
      </c>
      <c r="T27" s="39">
        <f t="shared" si="19"/>
        <v>45</v>
      </c>
      <c r="U27" s="47">
        <f t="shared" si="20"/>
        <v>0.30599823021378098</v>
      </c>
      <c r="V27" s="48">
        <f t="shared" si="21"/>
        <v>0.74</v>
      </c>
      <c r="W27" s="49">
        <f t="shared" si="22"/>
        <v>6.7999606714173547E-3</v>
      </c>
      <c r="X27" s="44">
        <f t="shared" si="23"/>
        <v>2110.1225877925644</v>
      </c>
      <c r="Y27" s="44">
        <f t="shared" si="24"/>
        <v>32047.199999999997</v>
      </c>
      <c r="Z27" s="44">
        <f t="shared" si="25"/>
        <v>13059.756810956518</v>
      </c>
      <c r="AA27" s="50">
        <f t="shared" si="26"/>
        <v>55157.322587792558</v>
      </c>
      <c r="AB27" s="51">
        <f t="shared" si="27"/>
        <v>12208.80322609752</v>
      </c>
      <c r="AC27" s="44">
        <f t="shared" si="28"/>
        <v>51563.356630637143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3.4276422079642828</v>
      </c>
      <c r="AG27" s="44">
        <f t="shared" si="31"/>
        <v>64519.194808953282</v>
      </c>
      <c r="AH27" s="52">
        <f>HLOOKUP(I27,ElecAvoidedCostsWOCC!$A$5:$Q$50,T27+1,FALSE)</f>
        <v>3.4276422079642828</v>
      </c>
      <c r="AI27" s="44">
        <f t="shared" si="32"/>
        <v>0</v>
      </c>
      <c r="AJ27" s="44">
        <f t="shared" si="33"/>
        <v>64519.194808953282</v>
      </c>
      <c r="AK27" s="44">
        <f>HLOOKUP(I27,ElecAvoidedCostsWOCC!$A$5:$Q$50,G27+1,FALSE)*J27*L27</f>
        <v>0</v>
      </c>
      <c r="AL27" s="44">
        <f t="shared" si="34"/>
        <v>64519.194808953282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64519.194808953282</v>
      </c>
      <c r="AN27" s="48">
        <f t="shared" si="35"/>
        <v>70971.114289848614</v>
      </c>
      <c r="AO27" s="47">
        <f t="shared" si="36"/>
        <v>5.2846453181452828</v>
      </c>
      <c r="AP27" s="47">
        <f t="shared" si="37"/>
        <v>1.3763866227374355</v>
      </c>
      <c r="AQ27">
        <v>2021</v>
      </c>
    </row>
    <row r="28" spans="1:43" ht="13.5" customHeight="1">
      <c r="B28" s="97" t="s">
        <v>15</v>
      </c>
      <c r="C28" s="61">
        <v>18230627</v>
      </c>
      <c r="D28" s="61" t="s">
        <v>80</v>
      </c>
      <c r="E28" s="38" t="s">
        <v>702</v>
      </c>
      <c r="F28" s="39" t="s">
        <v>703</v>
      </c>
      <c r="G28" s="39">
        <v>45</v>
      </c>
      <c r="H28" s="39"/>
      <c r="I28" s="40" t="s">
        <v>269</v>
      </c>
      <c r="J28" s="41">
        <v>93886</v>
      </c>
      <c r="K28" s="41"/>
      <c r="L28" s="41"/>
      <c r="M28" s="42"/>
      <c r="N28" s="42"/>
      <c r="O28" s="43">
        <v>0</v>
      </c>
      <c r="P28" s="44">
        <v>0</v>
      </c>
      <c r="Q28" s="44">
        <v>0</v>
      </c>
      <c r="R28" s="45">
        <v>0</v>
      </c>
      <c r="S28" s="46">
        <v>0</v>
      </c>
      <c r="T28" s="39">
        <f t="shared" si="19"/>
        <v>45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3.4276422079642828</v>
      </c>
      <c r="AG28" s="44">
        <f t="shared" si="31"/>
        <v>0</v>
      </c>
      <c r="AH28" s="52">
        <f>HLOOKUP(I28,ElecAvoidedCostsWOCC!$A$5:$Q$50,T28+1,FALSE)</f>
        <v>3.4276422079642828</v>
      </c>
      <c r="AI28" s="44">
        <f t="shared" si="32"/>
        <v>0</v>
      </c>
      <c r="AJ28" s="44">
        <f t="shared" si="33"/>
        <v>0</v>
      </c>
      <c r="AK28" s="44">
        <f>HLOOKUP(I28,ElecAvoidedCostsWOCC!$A$5:$Q$50,G28+1,FALSE)*J28*L28</f>
        <v>0</v>
      </c>
      <c r="AL28" s="44">
        <f t="shared" si="34"/>
        <v>0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  <c r="AQ28">
        <v>2021</v>
      </c>
    </row>
    <row r="29" spans="1:43">
      <c r="B29" s="97" t="s">
        <v>15</v>
      </c>
      <c r="C29" s="61">
        <v>18230627</v>
      </c>
      <c r="D29" s="61" t="s">
        <v>80</v>
      </c>
      <c r="E29" s="38" t="s">
        <v>704</v>
      </c>
      <c r="F29" s="39" t="s">
        <v>703</v>
      </c>
      <c r="G29" s="39">
        <v>45</v>
      </c>
      <c r="H29" s="39"/>
      <c r="I29" s="40" t="s">
        <v>269</v>
      </c>
      <c r="J29" s="41">
        <v>419368</v>
      </c>
      <c r="K29" s="41">
        <v>0.03</v>
      </c>
      <c r="L29" s="41"/>
      <c r="M29" s="42">
        <v>0</v>
      </c>
      <c r="N29" s="42">
        <v>0</v>
      </c>
      <c r="O29" s="43">
        <v>12035.97</v>
      </c>
      <c r="P29" s="44">
        <v>0</v>
      </c>
      <c r="Q29" s="44">
        <v>0</v>
      </c>
      <c r="R29" s="45">
        <v>0</v>
      </c>
      <c r="S29" s="46">
        <v>0</v>
      </c>
      <c r="T29" s="39">
        <f t="shared" si="19"/>
        <v>45</v>
      </c>
      <c r="U29" s="47">
        <f t="shared" si="20"/>
        <v>0.19464430206854175</v>
      </c>
      <c r="V29" s="48">
        <f t="shared" si="21"/>
        <v>0</v>
      </c>
      <c r="W29" s="49">
        <f t="shared" si="22"/>
        <v>4.3254289348564831E-3</v>
      </c>
      <c r="X29" s="44">
        <f t="shared" si="23"/>
        <v>1342.2408949653184</v>
      </c>
      <c r="Y29" s="44">
        <f t="shared" si="24"/>
        <v>0</v>
      </c>
      <c r="Z29" s="44">
        <f t="shared" si="25"/>
        <v>8307.2612801635532</v>
      </c>
      <c r="AA29" s="50">
        <f t="shared" si="26"/>
        <v>1342.2408949653184</v>
      </c>
      <c r="AB29" s="51">
        <f t="shared" si="27"/>
        <v>7765.9729645354328</v>
      </c>
      <c r="AC29" s="44">
        <f t="shared" si="28"/>
        <v>1254.7825511501526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3.4276422079642828</v>
      </c>
      <c r="AG29" s="44">
        <f t="shared" si="31"/>
        <v>43123.30372408696</v>
      </c>
      <c r="AH29" s="52">
        <f>HLOOKUP(I29,ElecAvoidedCostsWOCC!$A$5:$Q$50,T29+1,FALSE)</f>
        <v>3.4276422079642828</v>
      </c>
      <c r="AI29" s="44">
        <f t="shared" si="32"/>
        <v>0</v>
      </c>
      <c r="AJ29" s="44">
        <f t="shared" si="33"/>
        <v>43123.30372408696</v>
      </c>
      <c r="AK29" s="44">
        <f>HLOOKUP(I29,ElecAvoidedCostsWOCC!$A$5:$Q$50,G29+1,FALSE)*J29*L29</f>
        <v>0</v>
      </c>
      <c r="AL29" s="44">
        <f t="shared" si="34"/>
        <v>43123.30372408696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43123.30372408696</v>
      </c>
      <c r="AN29" s="48">
        <f t="shared" si="35"/>
        <v>47435.634096495662</v>
      </c>
      <c r="AO29" s="47">
        <f t="shared" si="36"/>
        <v>5.5528526716506068</v>
      </c>
      <c r="AP29" s="47">
        <f t="shared" si="37"/>
        <v>37.803868130789233</v>
      </c>
      <c r="AQ29">
        <v>2021</v>
      </c>
    </row>
    <row r="30" spans="1:43">
      <c r="B30" s="97" t="s">
        <v>15</v>
      </c>
      <c r="C30" s="61">
        <v>18230627</v>
      </c>
      <c r="D30" s="61" t="s">
        <v>80</v>
      </c>
      <c r="E30" s="38" t="s">
        <v>705</v>
      </c>
      <c r="F30" s="39" t="s">
        <v>706</v>
      </c>
      <c r="G30" s="39">
        <v>45</v>
      </c>
      <c r="H30" s="39"/>
      <c r="I30" s="40" t="s">
        <v>269</v>
      </c>
      <c r="J30" s="41">
        <v>11275</v>
      </c>
      <c r="K30" s="41">
        <v>0.26</v>
      </c>
      <c r="L30" s="41"/>
      <c r="M30" s="42">
        <v>0.5</v>
      </c>
      <c r="N30" s="42">
        <v>1.0900000000000001</v>
      </c>
      <c r="O30" s="43">
        <v>2931.5</v>
      </c>
      <c r="P30" s="44">
        <v>5400</v>
      </c>
      <c r="Q30" s="44">
        <v>12289.75</v>
      </c>
      <c r="R30" s="45">
        <v>0.02</v>
      </c>
      <c r="S30" s="46">
        <v>0</v>
      </c>
      <c r="T30" s="39">
        <f t="shared" si="19"/>
        <v>45</v>
      </c>
      <c r="U30" s="47">
        <f t="shared" si="20"/>
        <v>4.7407875851628929E-2</v>
      </c>
      <c r="V30" s="48">
        <f t="shared" si="21"/>
        <v>0.59000000000000008</v>
      </c>
      <c r="W30" s="49">
        <f t="shared" si="22"/>
        <v>1.0535083522584207E-3</v>
      </c>
      <c r="X30" s="44">
        <f t="shared" si="23"/>
        <v>326.91832761221838</v>
      </c>
      <c r="Y30" s="44">
        <f t="shared" si="24"/>
        <v>6889.75</v>
      </c>
      <c r="Z30" s="44">
        <f t="shared" si="25"/>
        <v>2023.3297725733332</v>
      </c>
      <c r="AA30" s="50">
        <f t="shared" si="26"/>
        <v>12616.668327612218</v>
      </c>
      <c r="AB30" s="51">
        <f t="shared" si="27"/>
        <v>1891.4927293384435</v>
      </c>
      <c r="AC30" s="44">
        <f t="shared" si="28"/>
        <v>11794.585704040588</v>
      </c>
      <c r="AD30" s="44">
        <f t="shared" si="29"/>
        <v>3079.2943480493436</v>
      </c>
      <c r="AE30" s="44">
        <f t="shared" si="30"/>
        <v>0</v>
      </c>
      <c r="AF30" s="52">
        <f>HLOOKUP(I30,ElecAvoidedCostsWOCC!$A$5:$Q$50,G30+1,FALSE)</f>
        <v>3.4276422079642828</v>
      </c>
      <c r="AG30" s="44">
        <f t="shared" si="31"/>
        <v>10048.133132647295</v>
      </c>
      <c r="AH30" s="52">
        <f>HLOOKUP(I30,ElecAvoidedCostsWOCC!$A$5:$Q$50,T30+1,FALSE)</f>
        <v>3.4276422079642828</v>
      </c>
      <c r="AI30" s="44">
        <f t="shared" si="32"/>
        <v>0</v>
      </c>
      <c r="AJ30" s="44">
        <f t="shared" si="33"/>
        <v>10048.133132647295</v>
      </c>
      <c r="AK30" s="44">
        <f>HLOOKUP(I30,ElecAvoidedCostsWOCC!$A$5:$Q$50,G30+1,FALSE)*J30*L30</f>
        <v>0</v>
      </c>
      <c r="AL30" s="44">
        <f t="shared" si="34"/>
        <v>10048.133132647295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10048.133132647295</v>
      </c>
      <c r="AN30" s="48">
        <f t="shared" si="35"/>
        <v>14132.240793961369</v>
      </c>
      <c r="AO30" s="47">
        <f t="shared" si="36"/>
        <v>5.3122769000342211</v>
      </c>
      <c r="AP30" s="47">
        <f t="shared" si="37"/>
        <v>1.1981973041342138</v>
      </c>
      <c r="AQ30">
        <v>2021</v>
      </c>
    </row>
    <row r="31" spans="1:43">
      <c r="B31" s="97" t="s">
        <v>15</v>
      </c>
      <c r="C31" s="61">
        <v>18230627</v>
      </c>
      <c r="D31" s="61" t="s">
        <v>80</v>
      </c>
      <c r="E31" s="38" t="s">
        <v>707</v>
      </c>
      <c r="F31" s="39" t="s">
        <v>706</v>
      </c>
      <c r="G31" s="39">
        <v>45</v>
      </c>
      <c r="H31" s="39"/>
      <c r="I31" s="40" t="s">
        <v>269</v>
      </c>
      <c r="J31" s="41">
        <v>25388</v>
      </c>
      <c r="K31" s="41">
        <v>0.33</v>
      </c>
      <c r="L31" s="41"/>
      <c r="M31" s="42">
        <v>0.5</v>
      </c>
      <c r="N31" s="42">
        <v>1.24</v>
      </c>
      <c r="O31" s="43">
        <v>8405.9599999999991</v>
      </c>
      <c r="P31" s="44">
        <v>13088.43</v>
      </c>
      <c r="Q31" s="44">
        <v>31481.119999999999</v>
      </c>
      <c r="R31" s="45">
        <v>0</v>
      </c>
      <c r="S31" s="46">
        <v>0</v>
      </c>
      <c r="T31" s="39">
        <f t="shared" si="19"/>
        <v>45</v>
      </c>
      <c r="U31" s="47">
        <f t="shared" si="20"/>
        <v>0.13594020402311396</v>
      </c>
      <c r="V31" s="48">
        <f t="shared" si="21"/>
        <v>0.74</v>
      </c>
      <c r="W31" s="49">
        <f t="shared" si="22"/>
        <v>3.020893422735866E-3</v>
      </c>
      <c r="X31" s="44">
        <f t="shared" si="23"/>
        <v>937.42534032925198</v>
      </c>
      <c r="Y31" s="44">
        <f t="shared" si="24"/>
        <v>18392.689999999999</v>
      </c>
      <c r="Z31" s="44">
        <f t="shared" si="25"/>
        <v>5801.8178867680481</v>
      </c>
      <c r="AA31" s="50">
        <f t="shared" si="26"/>
        <v>32418.545340329252</v>
      </c>
      <c r="AB31" s="51">
        <f t="shared" si="27"/>
        <v>5423.7803933514515</v>
      </c>
      <c r="AC31" s="44">
        <f t="shared" si="28"/>
        <v>30306.202991800739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3.4276422079642828</v>
      </c>
      <c r="AG31" s="44">
        <f t="shared" si="31"/>
        <v>28716.92352401308</v>
      </c>
      <c r="AH31" s="52">
        <f>HLOOKUP(I31,ElecAvoidedCostsWOCC!$A$5:$Q$50,T31+1,FALSE)</f>
        <v>3.4276422079642828</v>
      </c>
      <c r="AI31" s="44">
        <f t="shared" si="32"/>
        <v>0</v>
      </c>
      <c r="AJ31" s="44">
        <f t="shared" si="33"/>
        <v>28716.92352401308</v>
      </c>
      <c r="AK31" s="44">
        <f>HLOOKUP(I31,ElecAvoidedCostsWOCC!$A$5:$Q$50,G31+1,FALSE)*J31*L31</f>
        <v>0</v>
      </c>
      <c r="AL31" s="44">
        <f t="shared" si="34"/>
        <v>28716.92352401308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28716.923524013077</v>
      </c>
      <c r="AN31" s="48">
        <f t="shared" si="35"/>
        <v>31588.615876414387</v>
      </c>
      <c r="AO31" s="47">
        <f t="shared" si="36"/>
        <v>5.2946324226575801</v>
      </c>
      <c r="AP31" s="47">
        <f t="shared" si="37"/>
        <v>1.0423151948451148</v>
      </c>
      <c r="AQ31">
        <v>2021</v>
      </c>
    </row>
    <row r="32" spans="1:43">
      <c r="B32" s="97" t="s">
        <v>15</v>
      </c>
      <c r="C32" s="61">
        <v>18230627</v>
      </c>
      <c r="D32" s="61" t="s">
        <v>80</v>
      </c>
      <c r="E32" s="38" t="s">
        <v>708</v>
      </c>
      <c r="F32" s="39" t="s">
        <v>709</v>
      </c>
      <c r="G32" s="39">
        <v>45</v>
      </c>
      <c r="H32" s="39"/>
      <c r="I32" s="40" t="s">
        <v>269</v>
      </c>
      <c r="J32" s="41">
        <v>14052</v>
      </c>
      <c r="K32" s="41">
        <v>0.44</v>
      </c>
      <c r="L32" s="41"/>
      <c r="M32" s="42">
        <v>0.5</v>
      </c>
      <c r="N32" s="42">
        <v>1.0900000000000001</v>
      </c>
      <c r="O32" s="43">
        <v>6182.88</v>
      </c>
      <c r="P32" s="44">
        <v>6600</v>
      </c>
      <c r="Q32" s="44">
        <v>15316.68</v>
      </c>
      <c r="R32" s="45">
        <v>0.01</v>
      </c>
      <c r="S32" s="46">
        <v>0</v>
      </c>
      <c r="T32" s="39">
        <f t="shared" si="19"/>
        <v>45</v>
      </c>
      <c r="U32" s="47">
        <f t="shared" si="20"/>
        <v>9.9988813728643849E-2</v>
      </c>
      <c r="V32" s="48">
        <f t="shared" si="21"/>
        <v>0.59000000000000008</v>
      </c>
      <c r="W32" s="49">
        <f t="shared" si="22"/>
        <v>2.2219736384143079E-3</v>
      </c>
      <c r="X32" s="44">
        <f t="shared" si="23"/>
        <v>689.50939431247912</v>
      </c>
      <c r="Y32" s="44">
        <f t="shared" si="24"/>
        <v>8716.68</v>
      </c>
      <c r="Z32" s="44">
        <f t="shared" si="25"/>
        <v>4267.4416456586086</v>
      </c>
      <c r="AA32" s="50">
        <f t="shared" si="26"/>
        <v>16006.18939431248</v>
      </c>
      <c r="AB32" s="51">
        <f t="shared" si="27"/>
        <v>3989.3817384861254</v>
      </c>
      <c r="AC32" s="44">
        <f t="shared" si="28"/>
        <v>14963.250812669419</v>
      </c>
      <c r="AD32" s="44">
        <f t="shared" si="29"/>
        <v>1918.8578349795732</v>
      </c>
      <c r="AE32" s="44">
        <f t="shared" si="30"/>
        <v>0</v>
      </c>
      <c r="AF32" s="52">
        <f>HLOOKUP(I32,ElecAvoidedCostsWOCC!$A$5:$Q$50,G32+1,FALSE)</f>
        <v>3.4276422079642828</v>
      </c>
      <c r="AG32" s="44">
        <f t="shared" si="31"/>
        <v>21192.700454778205</v>
      </c>
      <c r="AH32" s="52">
        <f>HLOOKUP(I32,ElecAvoidedCostsWOCC!$A$5:$Q$50,T32+1,FALSE)</f>
        <v>3.4276422079642828</v>
      </c>
      <c r="AI32" s="44">
        <f t="shared" si="32"/>
        <v>0</v>
      </c>
      <c r="AJ32" s="44">
        <f t="shared" si="33"/>
        <v>21192.700454778205</v>
      </c>
      <c r="AK32" s="44">
        <f>HLOOKUP(I32,ElecAvoidedCostsWOCC!$A$5:$Q$50,G32+1,FALSE)*J32*L32</f>
        <v>0</v>
      </c>
      <c r="AL32" s="44">
        <f t="shared" si="34"/>
        <v>21192.700454778205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21192.700454778205</v>
      </c>
      <c r="AN32" s="48">
        <f t="shared" si="35"/>
        <v>25230.828335235601</v>
      </c>
      <c r="AO32" s="47">
        <f t="shared" si="36"/>
        <v>5.3122769000342211</v>
      </c>
      <c r="AP32" s="47">
        <f t="shared" si="37"/>
        <v>1.6861862873990323</v>
      </c>
      <c r="AQ32">
        <v>2021</v>
      </c>
    </row>
    <row r="33" spans="2:43">
      <c r="B33" s="97" t="s">
        <v>15</v>
      </c>
      <c r="C33" s="61">
        <v>18230627</v>
      </c>
      <c r="D33" s="61" t="s">
        <v>80</v>
      </c>
      <c r="E33" s="38" t="s">
        <v>710</v>
      </c>
      <c r="F33" s="39" t="s">
        <v>709</v>
      </c>
      <c r="G33" s="39">
        <v>45</v>
      </c>
      <c r="H33" s="39"/>
      <c r="I33" s="40" t="s">
        <v>269</v>
      </c>
      <c r="J33" s="41">
        <v>30485</v>
      </c>
      <c r="K33" s="41">
        <v>0.43</v>
      </c>
      <c r="L33" s="41"/>
      <c r="M33" s="42">
        <v>0.5</v>
      </c>
      <c r="N33" s="42">
        <v>1.24</v>
      </c>
      <c r="O33" s="43">
        <v>13227.45</v>
      </c>
      <c r="P33" s="44">
        <v>17964.84</v>
      </c>
      <c r="Q33" s="44">
        <v>37801.4</v>
      </c>
      <c r="R33" s="45">
        <v>0</v>
      </c>
      <c r="S33" s="46">
        <v>0</v>
      </c>
      <c r="T33" s="39">
        <f t="shared" si="19"/>
        <v>45</v>
      </c>
      <c r="U33" s="47">
        <f t="shared" si="20"/>
        <v>0.2139127775656248</v>
      </c>
      <c r="V33" s="48">
        <f t="shared" si="21"/>
        <v>0.74</v>
      </c>
      <c r="W33" s="49">
        <f t="shared" si="22"/>
        <v>4.7536172792361064E-3</v>
      </c>
      <c r="X33" s="44">
        <f t="shared" si="23"/>
        <v>1475.113707171836</v>
      </c>
      <c r="Y33" s="44">
        <f t="shared" si="24"/>
        <v>19836.560000000001</v>
      </c>
      <c r="Z33" s="44">
        <f t="shared" si="25"/>
        <v>9129.6242197595548</v>
      </c>
      <c r="AA33" s="50">
        <f t="shared" si="26"/>
        <v>39276.513707171835</v>
      </c>
      <c r="AB33" s="51">
        <f t="shared" si="27"/>
        <v>8534.752005010334</v>
      </c>
      <c r="AC33" s="44">
        <f t="shared" si="28"/>
        <v>36717.316731019753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3.4276422079642828</v>
      </c>
      <c r="AG33" s="44">
        <f t="shared" si="31"/>
        <v>44931.419265210199</v>
      </c>
      <c r="AH33" s="52">
        <f>HLOOKUP(I33,ElecAvoidedCostsWOCC!$A$5:$Q$50,T33+1,FALSE)</f>
        <v>3.4276422079642828</v>
      </c>
      <c r="AI33" s="44">
        <f t="shared" si="32"/>
        <v>0</v>
      </c>
      <c r="AJ33" s="44">
        <f t="shared" si="33"/>
        <v>44931.419265210199</v>
      </c>
      <c r="AK33" s="44">
        <f>HLOOKUP(I33,ElecAvoidedCostsWOCC!$A$5:$Q$50,G33+1,FALSE)*J33*L33</f>
        <v>0</v>
      </c>
      <c r="AL33" s="44">
        <f t="shared" si="34"/>
        <v>44931.419265210199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44931.419265210199</v>
      </c>
      <c r="AN33" s="48">
        <f t="shared" si="35"/>
        <v>49424.56119173122</v>
      </c>
      <c r="AO33" s="47">
        <f t="shared" si="36"/>
        <v>5.264525464692257</v>
      </c>
      <c r="AP33" s="47">
        <f t="shared" si="37"/>
        <v>1.3460831452853976</v>
      </c>
      <c r="AQ33">
        <v>2021</v>
      </c>
    </row>
    <row r="34" spans="2:43">
      <c r="B34" s="97" t="s">
        <v>15</v>
      </c>
      <c r="C34" s="61">
        <v>18230627</v>
      </c>
      <c r="D34" s="61" t="s">
        <v>80</v>
      </c>
      <c r="E34" s="38" t="s">
        <v>711</v>
      </c>
      <c r="F34" s="39" t="s">
        <v>712</v>
      </c>
      <c r="G34" s="39">
        <v>5</v>
      </c>
      <c r="H34" s="39"/>
      <c r="I34" s="40" t="s">
        <v>269</v>
      </c>
      <c r="J34" s="41">
        <v>42</v>
      </c>
      <c r="K34" s="41"/>
      <c r="L34" s="41"/>
      <c r="M34" s="42"/>
      <c r="N34" s="42"/>
      <c r="O34" s="43">
        <v>0</v>
      </c>
      <c r="P34" s="44">
        <v>0</v>
      </c>
      <c r="Q34" s="44"/>
      <c r="R34" s="45">
        <v>0</v>
      </c>
      <c r="S34" s="46">
        <v>0</v>
      </c>
      <c r="T34" s="39">
        <f t="shared" si="19"/>
        <v>5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0.5120569885699936</v>
      </c>
      <c r="AG34" s="44">
        <f t="shared" si="31"/>
        <v>0</v>
      </c>
      <c r="AH34" s="52">
        <f>HLOOKUP(I34,ElecAvoidedCostsWOCC!$A$5:$Q$50,T34+1,FALSE)</f>
        <v>0.5120569885699936</v>
      </c>
      <c r="AI34" s="44">
        <f t="shared" si="32"/>
        <v>0</v>
      </c>
      <c r="AJ34" s="44">
        <f t="shared" si="33"/>
        <v>0</v>
      </c>
      <c r="AK34" s="44">
        <f>HLOOKUP(I34,ElecAvoidedCostsWOCC!$A$5:$Q$50,G34+1,FALSE)*J34*L34</f>
        <v>0</v>
      </c>
      <c r="AL34" s="44">
        <f t="shared" si="34"/>
        <v>0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  <c r="AQ34">
        <v>2021</v>
      </c>
    </row>
    <row r="35" spans="2:43">
      <c r="B35" s="97" t="s">
        <v>15</v>
      </c>
      <c r="C35" s="61">
        <v>18230627</v>
      </c>
      <c r="D35" s="61" t="s">
        <v>80</v>
      </c>
      <c r="E35" s="38" t="s">
        <v>713</v>
      </c>
      <c r="F35" s="39" t="s">
        <v>712</v>
      </c>
      <c r="G35" s="39">
        <v>5</v>
      </c>
      <c r="H35" s="39"/>
      <c r="I35" s="40" t="s">
        <v>269</v>
      </c>
      <c r="J35" s="41">
        <v>480</v>
      </c>
      <c r="K35" s="41"/>
      <c r="L35" s="41"/>
      <c r="M35" s="42"/>
      <c r="N35" s="42"/>
      <c r="O35" s="43">
        <v>0</v>
      </c>
      <c r="P35" s="44">
        <v>0</v>
      </c>
      <c r="Q35" s="44"/>
      <c r="R35" s="45">
        <v>0</v>
      </c>
      <c r="S35" s="46">
        <v>0</v>
      </c>
      <c r="T35" s="39">
        <f t="shared" si="19"/>
        <v>5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0.5120569885699936</v>
      </c>
      <c r="AG35" s="44">
        <f t="shared" si="31"/>
        <v>0</v>
      </c>
      <c r="AH35" s="52">
        <f>HLOOKUP(I35,ElecAvoidedCostsWOCC!$A$5:$Q$50,T35+1,FALSE)</f>
        <v>0.5120569885699936</v>
      </c>
      <c r="AI35" s="44">
        <f t="shared" si="32"/>
        <v>0</v>
      </c>
      <c r="AJ35" s="44">
        <f t="shared" si="33"/>
        <v>0</v>
      </c>
      <c r="AK35" s="44">
        <f>HLOOKUP(I35,ElecAvoidedCostsWOCC!$A$5:$Q$50,G35+1,FALSE)*J35*L35</f>
        <v>0</v>
      </c>
      <c r="AL35" s="44">
        <f t="shared" si="34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  <c r="AQ35">
        <v>2021</v>
      </c>
    </row>
    <row r="36" spans="2:43">
      <c r="B36" s="97" t="s">
        <v>15</v>
      </c>
      <c r="C36" s="61">
        <v>18230627</v>
      </c>
      <c r="D36" s="61" t="s">
        <v>80</v>
      </c>
      <c r="E36" s="38" t="s">
        <v>714</v>
      </c>
      <c r="F36" s="39" t="s">
        <v>715</v>
      </c>
      <c r="G36" s="39">
        <v>25</v>
      </c>
      <c r="H36" s="39"/>
      <c r="I36" s="40" t="s">
        <v>269</v>
      </c>
      <c r="J36" s="41">
        <v>9356</v>
      </c>
      <c r="K36" s="41">
        <v>0.31</v>
      </c>
      <c r="L36" s="41"/>
      <c r="M36" s="42">
        <v>1.39</v>
      </c>
      <c r="N36" s="42">
        <v>2.3199999999999998</v>
      </c>
      <c r="O36" s="43">
        <v>2935.92</v>
      </c>
      <c r="P36" s="44">
        <v>9600</v>
      </c>
      <c r="Q36" s="44">
        <v>21705.919999999998</v>
      </c>
      <c r="R36" s="45">
        <v>0</v>
      </c>
      <c r="S36" s="46">
        <v>0</v>
      </c>
      <c r="T36" s="39">
        <f t="shared" si="19"/>
        <v>25</v>
      </c>
      <c r="U36" s="47">
        <f t="shared" si="20"/>
        <v>2.6377419764306173E-2</v>
      </c>
      <c r="V36" s="48">
        <f t="shared" si="21"/>
        <v>0.92999999999999994</v>
      </c>
      <c r="W36" s="49">
        <f t="shared" si="22"/>
        <v>1.0550967905722469E-3</v>
      </c>
      <c r="X36" s="44">
        <f t="shared" si="23"/>
        <v>327.41124216382872</v>
      </c>
      <c r="Y36" s="44">
        <f t="shared" si="24"/>
        <v>12105.919999999998</v>
      </c>
      <c r="Z36" s="44">
        <f t="shared" si="25"/>
        <v>2026.3804693479447</v>
      </c>
      <c r="AA36" s="50">
        <f t="shared" si="26"/>
        <v>22033.331242163826</v>
      </c>
      <c r="AB36" s="51">
        <f t="shared" si="27"/>
        <v>1894.34464742259</v>
      </c>
      <c r="AC36" s="44">
        <f t="shared" si="28"/>
        <v>20597.673405780894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2.0508206305871441</v>
      </c>
      <c r="AG36" s="44">
        <f t="shared" si="31"/>
        <v>5948.1181241297299</v>
      </c>
      <c r="AH36" s="52">
        <f>HLOOKUP(I36,ElecAvoidedCostsWOCC!$A$5:$Q$50,T36+1,FALSE)</f>
        <v>2.0508206305871441</v>
      </c>
      <c r="AI36" s="44">
        <f t="shared" si="32"/>
        <v>0</v>
      </c>
      <c r="AJ36" s="44">
        <f t="shared" si="33"/>
        <v>5948.1181241297299</v>
      </c>
      <c r="AK36" s="44">
        <f>HLOOKUP(I36,ElecAvoidedCostsWOCC!$A$5:$Q$50,G36+1,FALSE)*J36*L36</f>
        <v>0</v>
      </c>
      <c r="AL36" s="44">
        <f t="shared" si="34"/>
        <v>5948.1181241297299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5948.1181241297299</v>
      </c>
      <c r="AN36" s="48">
        <f t="shared" si="35"/>
        <v>6542.9299365427032</v>
      </c>
      <c r="AO36" s="47">
        <f t="shared" si="36"/>
        <v>3.1399345056997037</v>
      </c>
      <c r="AP36" s="47">
        <f t="shared" si="37"/>
        <v>0.31765383437463285</v>
      </c>
      <c r="AQ36">
        <v>2021</v>
      </c>
    </row>
    <row r="37" spans="2:43">
      <c r="B37" s="97" t="s">
        <v>15</v>
      </c>
      <c r="C37" s="61">
        <v>18230627</v>
      </c>
      <c r="D37" s="61" t="s">
        <v>80</v>
      </c>
      <c r="E37" s="38" t="s">
        <v>716</v>
      </c>
      <c r="F37" s="39" t="s">
        <v>717</v>
      </c>
      <c r="G37" s="39">
        <v>25</v>
      </c>
      <c r="H37" s="39"/>
      <c r="I37" s="40" t="s">
        <v>269</v>
      </c>
      <c r="J37" s="41">
        <v>18449</v>
      </c>
      <c r="K37" s="41">
        <v>0.46</v>
      </c>
      <c r="L37" s="41"/>
      <c r="M37" s="42">
        <v>1.39</v>
      </c>
      <c r="N37" s="42">
        <v>1.39</v>
      </c>
      <c r="O37" s="43">
        <v>8486.5400000000009</v>
      </c>
      <c r="P37" s="44">
        <v>15370.46</v>
      </c>
      <c r="Q37" s="44">
        <v>25644.11</v>
      </c>
      <c r="R37" s="45">
        <v>0</v>
      </c>
      <c r="S37" s="46">
        <v>0</v>
      </c>
      <c r="T37" s="39">
        <f t="shared" si="19"/>
        <v>25</v>
      </c>
      <c r="U37" s="47">
        <f t="shared" si="20"/>
        <v>7.6246296876813724E-2</v>
      </c>
      <c r="V37" s="48">
        <f t="shared" si="21"/>
        <v>0</v>
      </c>
      <c r="W37" s="49">
        <f t="shared" si="22"/>
        <v>3.0498518750725488E-3</v>
      </c>
      <c r="X37" s="44">
        <f t="shared" si="23"/>
        <v>946.41155177015025</v>
      </c>
      <c r="Y37" s="44">
        <f t="shared" si="24"/>
        <v>10273.650000000001</v>
      </c>
      <c r="Z37" s="44">
        <f t="shared" si="25"/>
        <v>5857.4344356590464</v>
      </c>
      <c r="AA37" s="50">
        <f t="shared" si="26"/>
        <v>26590.521551770151</v>
      </c>
      <c r="AB37" s="51">
        <f t="shared" si="27"/>
        <v>5475.7730538085871</v>
      </c>
      <c r="AC37" s="44">
        <f t="shared" si="28"/>
        <v>24857.924232747639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2.0508206305871441</v>
      </c>
      <c r="AG37" s="44">
        <f t="shared" si="31"/>
        <v>17404.371314303022</v>
      </c>
      <c r="AH37" s="52">
        <f>HLOOKUP(I37,ElecAvoidedCostsWOCC!$A$5:$Q$50,T37+1,FALSE)</f>
        <v>2.0508206305871441</v>
      </c>
      <c r="AI37" s="44">
        <f t="shared" si="32"/>
        <v>0</v>
      </c>
      <c r="AJ37" s="44">
        <f t="shared" si="33"/>
        <v>17404.371314303022</v>
      </c>
      <c r="AK37" s="44">
        <f>HLOOKUP(I37,ElecAvoidedCostsWOCC!$A$5:$Q$50,G37+1,FALSE)*J37*L37</f>
        <v>0</v>
      </c>
      <c r="AL37" s="44">
        <f t="shared" si="34"/>
        <v>17404.371314303022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17404.371314303022</v>
      </c>
      <c r="AN37" s="48">
        <f t="shared" si="35"/>
        <v>19144.808445733324</v>
      </c>
      <c r="AO37" s="47">
        <f t="shared" si="36"/>
        <v>3.1784318201788309</v>
      </c>
      <c r="AP37" s="47">
        <f t="shared" si="37"/>
        <v>0.77016923321827901</v>
      </c>
      <c r="AQ37">
        <v>2021</v>
      </c>
    </row>
    <row r="38" spans="2:43">
      <c r="B38" s="97" t="s">
        <v>15</v>
      </c>
      <c r="C38" s="61">
        <v>18230627</v>
      </c>
      <c r="D38" s="61" t="s">
        <v>80</v>
      </c>
      <c r="E38" s="38" t="s">
        <v>718</v>
      </c>
      <c r="F38" s="39" t="s">
        <v>717</v>
      </c>
      <c r="G38" s="39">
        <v>25</v>
      </c>
      <c r="H38" s="39"/>
      <c r="I38" s="40" t="s">
        <v>269</v>
      </c>
      <c r="J38" s="41">
        <v>41780</v>
      </c>
      <c r="K38" s="41">
        <v>0.8</v>
      </c>
      <c r="L38" s="41"/>
      <c r="M38" s="42">
        <v>1.39</v>
      </c>
      <c r="N38" s="42">
        <v>2.3199999999999998</v>
      </c>
      <c r="O38" s="43">
        <v>33570.26</v>
      </c>
      <c r="P38" s="44">
        <v>37035.71</v>
      </c>
      <c r="Q38" s="44">
        <v>96929.600000000006</v>
      </c>
      <c r="R38" s="45">
        <v>0</v>
      </c>
      <c r="S38" s="46">
        <v>0</v>
      </c>
      <c r="T38" s="39">
        <f t="shared" si="19"/>
        <v>25</v>
      </c>
      <c r="U38" s="47">
        <f t="shared" si="20"/>
        <v>0.30160795921445305</v>
      </c>
      <c r="V38" s="48">
        <f t="shared" si="21"/>
        <v>0.92999999999999994</v>
      </c>
      <c r="W38" s="49">
        <f t="shared" si="22"/>
        <v>1.2064318368578122E-2</v>
      </c>
      <c r="X38" s="44">
        <f t="shared" si="23"/>
        <v>3743.7261663678487</v>
      </c>
      <c r="Y38" s="44">
        <f t="shared" si="24"/>
        <v>59893.890000000007</v>
      </c>
      <c r="Z38" s="44">
        <f t="shared" si="25"/>
        <v>23170.290476216156</v>
      </c>
      <c r="AA38" s="50">
        <f t="shared" si="26"/>
        <v>100673.32616636786</v>
      </c>
      <c r="AB38" s="51">
        <f t="shared" si="27"/>
        <v>21660.550132014727</v>
      </c>
      <c r="AC38" s="44">
        <f t="shared" si="28"/>
        <v>94113.607709047254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2.0508206305871441</v>
      </c>
      <c r="AG38" s="44">
        <f t="shared" si="31"/>
        <v>68546.628756744714</v>
      </c>
      <c r="AH38" s="52">
        <f>HLOOKUP(I38,ElecAvoidedCostsWOCC!$A$5:$Q$50,T38+1,FALSE)</f>
        <v>2.0508206305871441</v>
      </c>
      <c r="AI38" s="44">
        <f t="shared" si="32"/>
        <v>0</v>
      </c>
      <c r="AJ38" s="44">
        <f t="shared" si="33"/>
        <v>68546.628756744714</v>
      </c>
      <c r="AK38" s="44">
        <f>HLOOKUP(I38,ElecAvoidedCostsWOCC!$A$5:$Q$50,G38+1,FALSE)*J38*L38</f>
        <v>0</v>
      </c>
      <c r="AL38" s="44">
        <f t="shared" si="34"/>
        <v>68546.628756744714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68546.628756744714</v>
      </c>
      <c r="AN38" s="48">
        <f t="shared" si="35"/>
        <v>75401.29163241919</v>
      </c>
      <c r="AO38" s="47">
        <f t="shared" si="36"/>
        <v>3.1645839251068431</v>
      </c>
      <c r="AP38" s="47">
        <f t="shared" si="37"/>
        <v>0.80117310841512634</v>
      </c>
      <c r="AQ38">
        <v>2021</v>
      </c>
    </row>
    <row r="39" spans="2:43">
      <c r="B39" s="97" t="s">
        <v>15</v>
      </c>
      <c r="C39" s="61">
        <v>18230627</v>
      </c>
      <c r="D39" s="61" t="s">
        <v>80</v>
      </c>
      <c r="E39" s="38" t="s">
        <v>719</v>
      </c>
      <c r="F39" s="39" t="s">
        <v>720</v>
      </c>
      <c r="G39" s="39">
        <v>25</v>
      </c>
      <c r="H39" s="39"/>
      <c r="I39" s="40" t="s">
        <v>269</v>
      </c>
      <c r="J39" s="41">
        <v>1364</v>
      </c>
      <c r="K39" s="41"/>
      <c r="L39" s="41"/>
      <c r="M39" s="42"/>
      <c r="N39" s="42"/>
      <c r="O39" s="43">
        <v>0</v>
      </c>
      <c r="P39" s="44">
        <v>0</v>
      </c>
      <c r="Q39" s="44">
        <v>0</v>
      </c>
      <c r="R39" s="45">
        <v>0</v>
      </c>
      <c r="S39" s="46">
        <v>0</v>
      </c>
      <c r="T39" s="39">
        <f t="shared" si="19"/>
        <v>25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2.0508206305871441</v>
      </c>
      <c r="AG39" s="44">
        <f t="shared" si="31"/>
        <v>0</v>
      </c>
      <c r="AH39" s="52">
        <f>HLOOKUP(I39,ElecAvoidedCostsWOCC!$A$5:$Q$50,T39+1,FALSE)</f>
        <v>2.0508206305871441</v>
      </c>
      <c r="AI39" s="44">
        <f t="shared" si="32"/>
        <v>0</v>
      </c>
      <c r="AJ39" s="44">
        <f t="shared" si="33"/>
        <v>0</v>
      </c>
      <c r="AK39" s="44">
        <f>HLOOKUP(I39,ElecAvoidedCostsWOCC!$A$5:$Q$50,G39+1,FALSE)*J39*L39</f>
        <v>0</v>
      </c>
      <c r="AL39" s="44">
        <f t="shared" si="34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  <c r="AQ39">
        <v>2021</v>
      </c>
    </row>
    <row r="40" spans="2:43">
      <c r="B40" s="97" t="s">
        <v>15</v>
      </c>
      <c r="C40" s="61">
        <v>18230627</v>
      </c>
      <c r="D40" s="61" t="s">
        <v>80</v>
      </c>
      <c r="E40" s="38" t="s">
        <v>721</v>
      </c>
      <c r="F40" s="39" t="s">
        <v>722</v>
      </c>
      <c r="G40" s="39">
        <v>45</v>
      </c>
      <c r="H40" s="39"/>
      <c r="I40" s="40" t="s">
        <v>269</v>
      </c>
      <c r="J40" s="41">
        <v>25867</v>
      </c>
      <c r="K40" s="41">
        <v>1</v>
      </c>
      <c r="L40" s="41"/>
      <c r="M40" s="42">
        <v>0.25</v>
      </c>
      <c r="N40" s="42">
        <v>1.46</v>
      </c>
      <c r="O40" s="43">
        <v>25867</v>
      </c>
      <c r="P40" s="44">
        <v>4400</v>
      </c>
      <c r="Q40" s="44">
        <v>37765.82</v>
      </c>
      <c r="R40" s="45">
        <v>0.02</v>
      </c>
      <c r="S40" s="46">
        <v>0</v>
      </c>
      <c r="T40" s="39">
        <f t="shared" si="19"/>
        <v>45</v>
      </c>
      <c r="U40" s="47">
        <f t="shared" si="20"/>
        <v>0.41831810494766686</v>
      </c>
      <c r="V40" s="48">
        <f t="shared" si="21"/>
        <v>1.21</v>
      </c>
      <c r="W40" s="49">
        <f t="shared" si="22"/>
        <v>9.2959578877259297E-3</v>
      </c>
      <c r="X40" s="44">
        <f t="shared" si="23"/>
        <v>2884.6653182143104</v>
      </c>
      <c r="Y40" s="44">
        <f t="shared" si="24"/>
        <v>33365.82</v>
      </c>
      <c r="Z40" s="44">
        <f t="shared" si="25"/>
        <v>17853.478160380149</v>
      </c>
      <c r="AA40" s="50">
        <f t="shared" si="26"/>
        <v>40650.485318214312</v>
      </c>
      <c r="AB40" s="51">
        <f t="shared" si="27"/>
        <v>16690.17309561573</v>
      </c>
      <c r="AC40" s="44">
        <f t="shared" si="28"/>
        <v>38001.762473791074</v>
      </c>
      <c r="AD40" s="44">
        <f t="shared" si="29"/>
        <v>7064.4884169394563</v>
      </c>
      <c r="AE40" s="44">
        <f t="shared" si="30"/>
        <v>0</v>
      </c>
      <c r="AF40" s="52">
        <f>HLOOKUP(I40,ElecAvoidedCostsWOCC!$A$5:$Q$50,G40+1,FALSE)</f>
        <v>3.4276422079642828</v>
      </c>
      <c r="AG40" s="44">
        <f t="shared" si="31"/>
        <v>88662.820993412097</v>
      </c>
      <c r="AH40" s="52">
        <f>HLOOKUP(I40,ElecAvoidedCostsWOCC!$A$5:$Q$50,T40+1,FALSE)</f>
        <v>3.4276422079642828</v>
      </c>
      <c r="AI40" s="44">
        <f t="shared" si="32"/>
        <v>0</v>
      </c>
      <c r="AJ40" s="44">
        <f t="shared" si="33"/>
        <v>88662.820993412097</v>
      </c>
      <c r="AK40" s="44">
        <f>HLOOKUP(I40,ElecAvoidedCostsWOCC!$A$5:$Q$50,G40+1,FALSE)*J40*L40</f>
        <v>0</v>
      </c>
      <c r="AL40" s="44">
        <f t="shared" si="34"/>
        <v>88662.820993412097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88662.820993412097</v>
      </c>
      <c r="AN40" s="48">
        <f t="shared" si="35"/>
        <v>104593.59150969276</v>
      </c>
      <c r="AO40" s="47">
        <f t="shared" si="36"/>
        <v>5.3122769000342211</v>
      </c>
      <c r="AP40" s="47">
        <f t="shared" si="37"/>
        <v>2.7523352787078892</v>
      </c>
      <c r="AQ40">
        <v>2021</v>
      </c>
    </row>
    <row r="41" spans="2:43">
      <c r="B41" s="97" t="s">
        <v>15</v>
      </c>
      <c r="C41" s="61">
        <v>18230627</v>
      </c>
      <c r="D41" s="61" t="s">
        <v>80</v>
      </c>
      <c r="E41" s="38" t="s">
        <v>723</v>
      </c>
      <c r="F41" s="39" t="s">
        <v>722</v>
      </c>
      <c r="G41" s="39">
        <v>45</v>
      </c>
      <c r="H41" s="39"/>
      <c r="I41" s="40" t="s">
        <v>269</v>
      </c>
      <c r="J41" s="41">
        <v>94244</v>
      </c>
      <c r="K41" s="41">
        <v>0.34</v>
      </c>
      <c r="L41" s="41"/>
      <c r="M41" s="42">
        <v>0.25</v>
      </c>
      <c r="N41" s="42">
        <v>1.41</v>
      </c>
      <c r="O41" s="43">
        <v>32052.37</v>
      </c>
      <c r="P41" s="44">
        <v>14832.11</v>
      </c>
      <c r="Q41" s="44">
        <v>132884.04</v>
      </c>
      <c r="R41" s="45">
        <v>0</v>
      </c>
      <c r="S41" s="46">
        <v>0</v>
      </c>
      <c r="T41" s="39">
        <f t="shared" si="19"/>
        <v>45</v>
      </c>
      <c r="U41" s="47">
        <f t="shared" si="20"/>
        <v>0.51834718666569179</v>
      </c>
      <c r="V41" s="48">
        <f t="shared" si="21"/>
        <v>1.1599999999999999</v>
      </c>
      <c r="W41" s="49">
        <f t="shared" si="22"/>
        <v>1.1518826370348706E-2</v>
      </c>
      <c r="X41" s="44">
        <f t="shared" si="23"/>
        <v>3574.4523951588053</v>
      </c>
      <c r="Y41" s="44">
        <f t="shared" si="24"/>
        <v>118051.93000000001</v>
      </c>
      <c r="Z41" s="44">
        <f t="shared" si="25"/>
        <v>22122.638411235315</v>
      </c>
      <c r="AA41" s="50">
        <f t="shared" si="26"/>
        <v>136458.4923951588</v>
      </c>
      <c r="AB41" s="51">
        <f t="shared" si="27"/>
        <v>20681.161457637947</v>
      </c>
      <c r="AC41" s="44">
        <f t="shared" si="28"/>
        <v>127567.0677714862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3.4276422079642828</v>
      </c>
      <c r="AG41" s="44">
        <f t="shared" si="31"/>
        <v>109831.8021641112</v>
      </c>
      <c r="AH41" s="52">
        <f>HLOOKUP(I41,ElecAvoidedCostsWOCC!$A$5:$Q$50,T41+1,FALSE)</f>
        <v>3.4276422079642828</v>
      </c>
      <c r="AI41" s="44">
        <f t="shared" si="32"/>
        <v>0</v>
      </c>
      <c r="AJ41" s="44">
        <f t="shared" si="33"/>
        <v>109831.8021641112</v>
      </c>
      <c r="AK41" s="44">
        <f>HLOOKUP(I41,ElecAvoidedCostsWOCC!$A$5:$Q$50,G41+1,FALSE)*J41*L41</f>
        <v>0</v>
      </c>
      <c r="AL41" s="44">
        <f t="shared" si="34"/>
        <v>109831.8021641112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109831.8021641112</v>
      </c>
      <c r="AN41" s="48">
        <f t="shared" si="35"/>
        <v>120814.98238052233</v>
      </c>
      <c r="AO41" s="47">
        <f t="shared" si="36"/>
        <v>5.3107173109732777</v>
      </c>
      <c r="AP41" s="47">
        <f t="shared" si="37"/>
        <v>0.94707030968949579</v>
      </c>
      <c r="AQ41">
        <v>2021</v>
      </c>
    </row>
    <row r="42" spans="2:43">
      <c r="B42" s="97" t="s">
        <v>15</v>
      </c>
      <c r="C42" s="61">
        <v>18230627</v>
      </c>
      <c r="D42" s="61" t="s">
        <v>80</v>
      </c>
      <c r="E42" s="38" t="s">
        <v>724</v>
      </c>
      <c r="F42" s="39" t="s">
        <v>725</v>
      </c>
      <c r="G42" s="39">
        <v>45</v>
      </c>
      <c r="H42" s="39"/>
      <c r="I42" s="40" t="s">
        <v>269</v>
      </c>
      <c r="J42" s="41">
        <v>174398</v>
      </c>
      <c r="K42" s="41"/>
      <c r="L42" s="41"/>
      <c r="M42" s="42"/>
      <c r="N42" s="42"/>
      <c r="O42" s="43">
        <v>0</v>
      </c>
      <c r="P42" s="44">
        <v>0</v>
      </c>
      <c r="Q42" s="44">
        <v>0</v>
      </c>
      <c r="R42" s="45">
        <v>0</v>
      </c>
      <c r="S42" s="46">
        <v>0</v>
      </c>
      <c r="T42" s="39">
        <f t="shared" si="19"/>
        <v>45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3.4276422079642828</v>
      </c>
      <c r="AG42" s="44">
        <f t="shared" si="31"/>
        <v>0</v>
      </c>
      <c r="AH42" s="52">
        <f>HLOOKUP(I42,ElecAvoidedCostsWOCC!$A$5:$Q$50,T42+1,FALSE)</f>
        <v>3.4276422079642828</v>
      </c>
      <c r="AI42" s="44">
        <f t="shared" si="32"/>
        <v>0</v>
      </c>
      <c r="AJ42" s="44">
        <f t="shared" si="33"/>
        <v>0</v>
      </c>
      <c r="AK42" s="44">
        <f>HLOOKUP(I42,ElecAvoidedCostsWOCC!$A$5:$Q$50,G42+1,FALSE)*J42*L42</f>
        <v>0</v>
      </c>
      <c r="AL42" s="44">
        <f t="shared" si="34"/>
        <v>0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  <c r="AQ42">
        <v>2021</v>
      </c>
    </row>
    <row r="43" spans="2:43">
      <c r="B43" s="97" t="s">
        <v>15</v>
      </c>
      <c r="C43" s="61">
        <v>18230627</v>
      </c>
      <c r="D43" s="61" t="s">
        <v>80</v>
      </c>
      <c r="E43" s="38" t="s">
        <v>726</v>
      </c>
      <c r="F43" s="39" t="s">
        <v>725</v>
      </c>
      <c r="G43" s="39">
        <v>45</v>
      </c>
      <c r="H43" s="39"/>
      <c r="I43" s="40" t="s">
        <v>269</v>
      </c>
      <c r="J43" s="41">
        <v>852039</v>
      </c>
      <c r="K43" s="41">
        <v>0.03</v>
      </c>
      <c r="L43" s="41"/>
      <c r="M43" s="42">
        <v>0</v>
      </c>
      <c r="N43" s="42">
        <v>0</v>
      </c>
      <c r="O43" s="43">
        <v>28628.49</v>
      </c>
      <c r="P43" s="44">
        <v>0</v>
      </c>
      <c r="Q43" s="44">
        <v>0</v>
      </c>
      <c r="R43" s="45">
        <v>0</v>
      </c>
      <c r="S43" s="46">
        <v>0</v>
      </c>
      <c r="T43" s="39">
        <f t="shared" si="19"/>
        <v>45</v>
      </c>
      <c r="U43" s="47">
        <f t="shared" si="20"/>
        <v>0.46297659892191723</v>
      </c>
      <c r="V43" s="48">
        <f t="shared" si="21"/>
        <v>0</v>
      </c>
      <c r="W43" s="49">
        <f t="shared" si="22"/>
        <v>1.0288368864931494E-2</v>
      </c>
      <c r="X43" s="44">
        <f t="shared" si="23"/>
        <v>3192.6242786502189</v>
      </c>
      <c r="Y43" s="44">
        <f t="shared" si="24"/>
        <v>0</v>
      </c>
      <c r="Z43" s="44">
        <f t="shared" si="25"/>
        <v>19759.466539593363</v>
      </c>
      <c r="AA43" s="50">
        <f t="shared" si="26"/>
        <v>3192.6242786502189</v>
      </c>
      <c r="AB43" s="51">
        <f t="shared" si="27"/>
        <v>18471.970215568253</v>
      </c>
      <c r="AC43" s="44">
        <f t="shared" si="28"/>
        <v>2984.5978112089547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3.4276422079642828</v>
      </c>
      <c r="AG43" s="44">
        <f t="shared" si="31"/>
        <v>87614.545176950385</v>
      </c>
      <c r="AH43" s="52">
        <f>HLOOKUP(I43,ElecAvoidedCostsWOCC!$A$5:$Q$50,T43+1,FALSE)</f>
        <v>3.4276422079642828</v>
      </c>
      <c r="AI43" s="44">
        <f t="shared" si="32"/>
        <v>0</v>
      </c>
      <c r="AJ43" s="44">
        <f t="shared" si="33"/>
        <v>87614.545176950385</v>
      </c>
      <c r="AK43" s="44">
        <f>HLOOKUP(I43,ElecAvoidedCostsWOCC!$A$5:$Q$50,G43+1,FALSE)*J43*L43</f>
        <v>0</v>
      </c>
      <c r="AL43" s="44">
        <f t="shared" si="34"/>
        <v>87614.545176950385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87614.545176950385</v>
      </c>
      <c r="AN43" s="48">
        <f t="shared" si="35"/>
        <v>96375.999694645434</v>
      </c>
      <c r="AO43" s="47">
        <f t="shared" si="36"/>
        <v>4.7431077548570579</v>
      </c>
      <c r="AP43" s="47">
        <f t="shared" si="37"/>
        <v>32.291117862747122</v>
      </c>
      <c r="AQ43">
        <v>2021</v>
      </c>
    </row>
    <row r="44" spans="2:43">
      <c r="B44" s="97" t="s">
        <v>15</v>
      </c>
      <c r="C44" s="61">
        <v>18230627</v>
      </c>
      <c r="D44" s="61" t="s">
        <v>80</v>
      </c>
      <c r="E44" s="38" t="s">
        <v>727</v>
      </c>
      <c r="F44" s="39" t="s">
        <v>728</v>
      </c>
      <c r="G44" s="39">
        <v>45</v>
      </c>
      <c r="H44" s="39"/>
      <c r="I44" s="40" t="s">
        <v>269</v>
      </c>
      <c r="J44" s="41">
        <v>14763</v>
      </c>
      <c r="K44" s="41">
        <v>0.18</v>
      </c>
      <c r="L44" s="41"/>
      <c r="M44" s="42">
        <v>0.25</v>
      </c>
      <c r="N44" s="42">
        <v>1.46</v>
      </c>
      <c r="O44" s="43">
        <v>2657.34</v>
      </c>
      <c r="P44" s="44">
        <v>2600</v>
      </c>
      <c r="Q44" s="44">
        <v>21553.98</v>
      </c>
      <c r="R44" s="45">
        <v>0</v>
      </c>
      <c r="S44" s="46">
        <v>0</v>
      </c>
      <c r="T44" s="39">
        <f t="shared" si="19"/>
        <v>45</v>
      </c>
      <c r="U44" s="47">
        <f t="shared" si="20"/>
        <v>4.2974192330058884E-2</v>
      </c>
      <c r="V44" s="48">
        <f t="shared" si="21"/>
        <v>1.21</v>
      </c>
      <c r="W44" s="49">
        <f t="shared" si="22"/>
        <v>9.5498205177908628E-4</v>
      </c>
      <c r="X44" s="44">
        <f t="shared" si="23"/>
        <v>296.34424311685223</v>
      </c>
      <c r="Y44" s="44">
        <f t="shared" si="24"/>
        <v>18953.98</v>
      </c>
      <c r="Z44" s="44">
        <f t="shared" si="25"/>
        <v>1834.1037482005872</v>
      </c>
      <c r="AA44" s="50">
        <f t="shared" si="26"/>
        <v>21850.324243116851</v>
      </c>
      <c r="AB44" s="51">
        <f t="shared" si="27"/>
        <v>1714.5963804810574</v>
      </c>
      <c r="AC44" s="44">
        <f t="shared" si="28"/>
        <v>20426.590860163455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3.4276422079642828</v>
      </c>
      <c r="AG44" s="44">
        <f t="shared" si="31"/>
        <v>9108.4107449118055</v>
      </c>
      <c r="AH44" s="52">
        <f>HLOOKUP(I44,ElecAvoidedCostsWOCC!$A$5:$Q$50,T44+1,FALSE)</f>
        <v>3.4276422079642828</v>
      </c>
      <c r="AI44" s="44">
        <f t="shared" si="32"/>
        <v>0</v>
      </c>
      <c r="AJ44" s="44">
        <f t="shared" si="33"/>
        <v>9108.4107449118055</v>
      </c>
      <c r="AK44" s="44">
        <f>HLOOKUP(I44,ElecAvoidedCostsWOCC!$A$5:$Q$50,G44+1,FALSE)*J44*L44</f>
        <v>0</v>
      </c>
      <c r="AL44" s="44">
        <f t="shared" si="34"/>
        <v>9108.4107449118055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9108.4107449118073</v>
      </c>
      <c r="AN44" s="48">
        <f t="shared" si="35"/>
        <v>10019.251819402989</v>
      </c>
      <c r="AO44" s="47">
        <f t="shared" si="36"/>
        <v>5.3122769000342211</v>
      </c>
      <c r="AP44" s="47">
        <f t="shared" si="37"/>
        <v>0.49050044072419507</v>
      </c>
      <c r="AQ44">
        <v>2021</v>
      </c>
    </row>
    <row r="45" spans="2:43">
      <c r="B45" s="97" t="s">
        <v>15</v>
      </c>
      <c r="C45" s="61">
        <v>18230627</v>
      </c>
      <c r="D45" s="61" t="s">
        <v>80</v>
      </c>
      <c r="E45" s="38" t="s">
        <v>729</v>
      </c>
      <c r="F45" s="39" t="s">
        <v>728</v>
      </c>
      <c r="G45" s="39">
        <v>45</v>
      </c>
      <c r="H45" s="39"/>
      <c r="I45" s="40" t="s">
        <v>269</v>
      </c>
      <c r="J45" s="41">
        <v>88814</v>
      </c>
      <c r="K45" s="41">
        <v>0.18</v>
      </c>
      <c r="L45" s="41"/>
      <c r="M45" s="42">
        <v>0.25</v>
      </c>
      <c r="N45" s="42">
        <v>1.41</v>
      </c>
      <c r="O45" s="43">
        <v>16306.23</v>
      </c>
      <c r="P45" s="44">
        <v>12600</v>
      </c>
      <c r="Q45" s="44">
        <v>125227.74</v>
      </c>
      <c r="R45" s="45">
        <v>0</v>
      </c>
      <c r="S45" s="46">
        <v>0</v>
      </c>
      <c r="T45" s="39">
        <f t="shared" si="19"/>
        <v>45</v>
      </c>
      <c r="U45" s="47">
        <f t="shared" si="20"/>
        <v>0.26370244838755141</v>
      </c>
      <c r="V45" s="48">
        <f t="shared" si="21"/>
        <v>1.1599999999999999</v>
      </c>
      <c r="W45" s="49">
        <f t="shared" si="22"/>
        <v>5.8600544086122542E-3</v>
      </c>
      <c r="X45" s="44">
        <f t="shared" si="23"/>
        <v>1818.4565721508382</v>
      </c>
      <c r="Y45" s="44">
        <f t="shared" si="24"/>
        <v>112627.74</v>
      </c>
      <c r="Z45" s="44">
        <f t="shared" si="25"/>
        <v>11254.607073999134</v>
      </c>
      <c r="AA45" s="50">
        <f t="shared" si="26"/>
        <v>127046.19657215085</v>
      </c>
      <c r="AB45" s="51">
        <f t="shared" si="27"/>
        <v>10521.274258202424</v>
      </c>
      <c r="AC45" s="44">
        <f t="shared" si="28"/>
        <v>118768.06260834892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3.4276422079642828</v>
      </c>
      <c r="AG45" s="44">
        <f t="shared" si="31"/>
        <v>54796.070710465159</v>
      </c>
      <c r="AH45" s="52">
        <f>HLOOKUP(I45,ElecAvoidedCostsWOCC!$A$5:$Q$50,T45+1,FALSE)</f>
        <v>3.4276422079642828</v>
      </c>
      <c r="AI45" s="44">
        <f t="shared" si="32"/>
        <v>0</v>
      </c>
      <c r="AJ45" s="44">
        <f t="shared" si="33"/>
        <v>54796.070710465159</v>
      </c>
      <c r="AK45" s="44">
        <f>HLOOKUP(I45,ElecAvoidedCostsWOCC!$A$5:$Q$50,G45+1,FALSE)*J45*L45</f>
        <v>0</v>
      </c>
      <c r="AL45" s="44">
        <f t="shared" si="34"/>
        <v>54796.070710465159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54796.070710465166</v>
      </c>
      <c r="AN45" s="48">
        <f t="shared" si="35"/>
        <v>60275.677781511687</v>
      </c>
      <c r="AO45" s="47">
        <f t="shared" si="36"/>
        <v>5.20812112351752</v>
      </c>
      <c r="AP45" s="47">
        <f t="shared" si="37"/>
        <v>0.50750745998339242</v>
      </c>
      <c r="AQ45">
        <v>2021</v>
      </c>
    </row>
    <row r="46" spans="2:43">
      <c r="B46" s="97" t="s">
        <v>15</v>
      </c>
      <c r="C46" s="61">
        <v>18230627</v>
      </c>
      <c r="D46" s="61" t="s">
        <v>80</v>
      </c>
      <c r="E46" s="38" t="s">
        <v>730</v>
      </c>
      <c r="F46" s="39" t="s">
        <v>731</v>
      </c>
      <c r="G46" s="39">
        <v>45</v>
      </c>
      <c r="H46" s="39"/>
      <c r="I46" s="40" t="s">
        <v>269</v>
      </c>
      <c r="J46" s="41">
        <v>17462</v>
      </c>
      <c r="K46" s="41">
        <v>1.03</v>
      </c>
      <c r="L46" s="41"/>
      <c r="M46" s="42">
        <v>0.25</v>
      </c>
      <c r="N46" s="42">
        <v>1.46</v>
      </c>
      <c r="O46" s="43">
        <v>17985.86</v>
      </c>
      <c r="P46" s="44">
        <v>3600</v>
      </c>
      <c r="Q46" s="44">
        <v>25494.52</v>
      </c>
      <c r="R46" s="45">
        <v>0.02</v>
      </c>
      <c r="S46" s="46">
        <v>0</v>
      </c>
      <c r="T46" s="39">
        <f t="shared" si="19"/>
        <v>45</v>
      </c>
      <c r="U46" s="47">
        <f t="shared" si="20"/>
        <v>0.2908652287104822</v>
      </c>
      <c r="V46" s="48">
        <f t="shared" si="21"/>
        <v>1.21</v>
      </c>
      <c r="W46" s="49">
        <f t="shared" si="22"/>
        <v>6.4636717491218269E-3</v>
      </c>
      <c r="X46" s="44">
        <f t="shared" si="23"/>
        <v>2005.7674473366853</v>
      </c>
      <c r="Y46" s="44">
        <f t="shared" si="24"/>
        <v>21894.52</v>
      </c>
      <c r="Z46" s="44">
        <f t="shared" si="25"/>
        <v>12413.892554438278</v>
      </c>
      <c r="AA46" s="50">
        <f t="shared" si="26"/>
        <v>27500.287447336686</v>
      </c>
      <c r="AB46" s="51">
        <f t="shared" si="27"/>
        <v>11605.022487088228</v>
      </c>
      <c r="AC46" s="44">
        <f t="shared" si="28"/>
        <v>25708.411187563506</v>
      </c>
      <c r="AD46" s="44">
        <f t="shared" si="29"/>
        <v>4769.0144483935819</v>
      </c>
      <c r="AE46" s="44">
        <f t="shared" si="30"/>
        <v>0</v>
      </c>
      <c r="AF46" s="52">
        <f>HLOOKUP(I46,ElecAvoidedCostsWOCC!$A$5:$Q$50,G46+1,FALSE)</f>
        <v>3.4276422079642828</v>
      </c>
      <c r="AG46" s="44">
        <f t="shared" si="31"/>
        <v>61649.092882536483</v>
      </c>
      <c r="AH46" s="52">
        <f>HLOOKUP(I46,ElecAvoidedCostsWOCC!$A$5:$Q$50,T46+1,FALSE)</f>
        <v>3.4276422079642828</v>
      </c>
      <c r="AI46" s="44">
        <f t="shared" si="32"/>
        <v>0</v>
      </c>
      <c r="AJ46" s="44">
        <f t="shared" si="33"/>
        <v>61649.092882536483</v>
      </c>
      <c r="AK46" s="44">
        <f>HLOOKUP(I46,ElecAvoidedCostsWOCC!$A$5:$Q$50,G46+1,FALSE)*J46*L46</f>
        <v>0</v>
      </c>
      <c r="AL46" s="44">
        <f t="shared" si="34"/>
        <v>61649.092882536483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61649.092882536475</v>
      </c>
      <c r="AN46" s="48">
        <f t="shared" si="35"/>
        <v>72583.01661918372</v>
      </c>
      <c r="AO46" s="47">
        <f t="shared" si="36"/>
        <v>5.3122769000342203</v>
      </c>
      <c r="AP46" s="47">
        <f t="shared" si="37"/>
        <v>2.8233178662668932</v>
      </c>
      <c r="AQ46">
        <v>2021</v>
      </c>
    </row>
    <row r="47" spans="2:43">
      <c r="B47" s="97" t="s">
        <v>15</v>
      </c>
      <c r="C47" s="61">
        <v>18230627</v>
      </c>
      <c r="D47" s="61" t="s">
        <v>80</v>
      </c>
      <c r="E47" s="38" t="s">
        <v>732</v>
      </c>
      <c r="F47" s="39" t="s">
        <v>731</v>
      </c>
      <c r="G47" s="39">
        <v>45</v>
      </c>
      <c r="H47" s="39"/>
      <c r="I47" s="40" t="s">
        <v>269</v>
      </c>
      <c r="J47" s="41">
        <v>73417</v>
      </c>
      <c r="K47" s="41">
        <v>0.62</v>
      </c>
      <c r="L47" s="41"/>
      <c r="M47" s="42">
        <v>0.25</v>
      </c>
      <c r="N47" s="42">
        <v>1.41</v>
      </c>
      <c r="O47" s="43">
        <v>45746.16</v>
      </c>
      <c r="P47" s="44">
        <v>14400</v>
      </c>
      <c r="Q47" s="44">
        <v>103517.97</v>
      </c>
      <c r="R47" s="45">
        <v>0</v>
      </c>
      <c r="S47" s="46">
        <v>0</v>
      </c>
      <c r="T47" s="39">
        <f t="shared" si="19"/>
        <v>45</v>
      </c>
      <c r="U47" s="47">
        <f t="shared" si="20"/>
        <v>0.73980156028270616</v>
      </c>
      <c r="V47" s="48">
        <f t="shared" si="21"/>
        <v>1.1599999999999999</v>
      </c>
      <c r="W47" s="49">
        <f t="shared" si="22"/>
        <v>1.6440034672949026E-2</v>
      </c>
      <c r="X47" s="44">
        <f t="shared" si="23"/>
        <v>5101.5719330994225</v>
      </c>
      <c r="Y47" s="44">
        <f t="shared" si="24"/>
        <v>89117.97</v>
      </c>
      <c r="Z47" s="44">
        <f t="shared" si="25"/>
        <v>31574.131846803106</v>
      </c>
      <c r="AA47" s="50">
        <f t="shared" si="26"/>
        <v>108619.54193309942</v>
      </c>
      <c r="AB47" s="51">
        <f t="shared" si="27"/>
        <v>29516.810177435826</v>
      </c>
      <c r="AC47" s="44">
        <f t="shared" si="28"/>
        <v>101542.06032822232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3.4276422079642828</v>
      </c>
      <c r="AG47" s="44">
        <f t="shared" si="31"/>
        <v>156021.26894891053</v>
      </c>
      <c r="AH47" s="52">
        <f>HLOOKUP(I47,ElecAvoidedCostsWOCC!$A$5:$Q$50,T47+1,FALSE)</f>
        <v>3.4276422079642828</v>
      </c>
      <c r="AI47" s="44">
        <f t="shared" si="32"/>
        <v>0</v>
      </c>
      <c r="AJ47" s="44">
        <f t="shared" si="33"/>
        <v>156021.26894891053</v>
      </c>
      <c r="AK47" s="44">
        <f>HLOOKUP(I47,ElecAvoidedCostsWOCC!$A$5:$Q$50,G47+1,FALSE)*J47*L47</f>
        <v>0</v>
      </c>
      <c r="AL47" s="44">
        <f t="shared" si="34"/>
        <v>156021.26894891053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156021.26894891053</v>
      </c>
      <c r="AN47" s="48">
        <f t="shared" si="35"/>
        <v>171623.39584380158</v>
      </c>
      <c r="AO47" s="47">
        <f t="shared" si="36"/>
        <v>5.2858445072828788</v>
      </c>
      <c r="AP47" s="47">
        <f t="shared" si="37"/>
        <v>1.6901705095312218</v>
      </c>
      <c r="AQ47">
        <v>2021</v>
      </c>
    </row>
    <row r="48" spans="2:43">
      <c r="B48" s="97" t="s">
        <v>15</v>
      </c>
      <c r="C48" s="61">
        <v>18230627</v>
      </c>
      <c r="D48" s="61" t="s">
        <v>80</v>
      </c>
      <c r="E48" s="38" t="s">
        <v>733</v>
      </c>
      <c r="F48" s="39" t="s">
        <v>734</v>
      </c>
      <c r="G48" s="39">
        <v>20</v>
      </c>
      <c r="H48" s="39"/>
      <c r="I48" s="40" t="s">
        <v>269</v>
      </c>
      <c r="J48" s="41">
        <v>26</v>
      </c>
      <c r="K48" s="41">
        <v>1253</v>
      </c>
      <c r="L48" s="41"/>
      <c r="M48" s="42">
        <v>400</v>
      </c>
      <c r="N48" s="42">
        <v>1000</v>
      </c>
      <c r="O48" s="43">
        <v>32578</v>
      </c>
      <c r="P48" s="44">
        <v>9284.74</v>
      </c>
      <c r="Q48" s="44">
        <v>26000</v>
      </c>
      <c r="R48" s="45">
        <v>0</v>
      </c>
      <c r="S48" s="46">
        <v>0</v>
      </c>
      <c r="T48" s="39">
        <f t="shared" si="19"/>
        <v>20</v>
      </c>
      <c r="U48" s="47">
        <f t="shared" si="20"/>
        <v>0.23415449496759219</v>
      </c>
      <c r="V48" s="48">
        <f t="shared" si="21"/>
        <v>600</v>
      </c>
      <c r="W48" s="49">
        <f t="shared" si="22"/>
        <v>1.1707724748379609E-2</v>
      </c>
      <c r="X48" s="44">
        <f t="shared" si="23"/>
        <v>3633.0701951051847</v>
      </c>
      <c r="Y48" s="44">
        <f t="shared" si="24"/>
        <v>16715.260000000002</v>
      </c>
      <c r="Z48" s="44">
        <f t="shared" si="25"/>
        <v>22485.42975640254</v>
      </c>
      <c r="AA48" s="50">
        <f t="shared" si="26"/>
        <v>29633.070195105185</v>
      </c>
      <c r="AB48" s="51">
        <f t="shared" si="27"/>
        <v>21020.313879033878</v>
      </c>
      <c r="AC48" s="44">
        <f t="shared" si="28"/>
        <v>27702.225105268004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1.727945421646023</v>
      </c>
      <c r="AG48" s="44">
        <f t="shared" si="31"/>
        <v>56293.005946384139</v>
      </c>
      <c r="AH48" s="52">
        <f>HLOOKUP(I48,ElecAvoidedCostsWOCC!$A$5:$Q$50,T48+1,FALSE)</f>
        <v>1.727945421646023</v>
      </c>
      <c r="AI48" s="44">
        <f t="shared" si="32"/>
        <v>0</v>
      </c>
      <c r="AJ48" s="44">
        <f t="shared" si="33"/>
        <v>56293.005946384139</v>
      </c>
      <c r="AK48" s="44">
        <f>HLOOKUP(I48,ElecAvoidedCostsWOCC!$A$5:$Q$50,G48+1,FALSE)*J48*L48</f>
        <v>0</v>
      </c>
      <c r="AL48" s="44">
        <f t="shared" si="34"/>
        <v>56293.005946384139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56293.005946384132</v>
      </c>
      <c r="AN48" s="48">
        <f t="shared" si="35"/>
        <v>61922.306541022546</v>
      </c>
      <c r="AO48" s="47">
        <f t="shared" si="36"/>
        <v>2.6780287996808654</v>
      </c>
      <c r="AP48" s="47">
        <f t="shared" si="37"/>
        <v>2.2352827726191231</v>
      </c>
      <c r="AQ48">
        <v>2021</v>
      </c>
    </row>
    <row r="49" spans="2:43">
      <c r="B49" s="97" t="s">
        <v>15</v>
      </c>
      <c r="C49" s="61">
        <v>18230627</v>
      </c>
      <c r="D49" s="61" t="s">
        <v>80</v>
      </c>
      <c r="E49" s="38" t="s">
        <v>735</v>
      </c>
      <c r="F49" s="39" t="s">
        <v>734</v>
      </c>
      <c r="G49" s="39">
        <v>20</v>
      </c>
      <c r="H49" s="39"/>
      <c r="I49" s="40" t="s">
        <v>269</v>
      </c>
      <c r="J49" s="41">
        <v>137</v>
      </c>
      <c r="K49" s="41">
        <v>1252</v>
      </c>
      <c r="L49" s="41"/>
      <c r="M49" s="42">
        <v>400</v>
      </c>
      <c r="N49" s="42">
        <v>1000</v>
      </c>
      <c r="O49" s="43">
        <v>171524</v>
      </c>
      <c r="P49" s="44">
        <v>53213.62</v>
      </c>
      <c r="Q49" s="44">
        <v>137000</v>
      </c>
      <c r="R49" s="45">
        <v>0</v>
      </c>
      <c r="S49" s="46">
        <v>0</v>
      </c>
      <c r="T49" s="39">
        <f t="shared" si="19"/>
        <v>20</v>
      </c>
      <c r="U49" s="47">
        <f t="shared" si="20"/>
        <v>1.2328293816324294</v>
      </c>
      <c r="V49" s="48">
        <f t="shared" si="21"/>
        <v>600</v>
      </c>
      <c r="W49" s="49">
        <f t="shared" si="22"/>
        <v>6.1641469081621464E-2</v>
      </c>
      <c r="X49" s="44">
        <f t="shared" si="23"/>
        <v>19128.207138106136</v>
      </c>
      <c r="Y49" s="44">
        <f t="shared" si="24"/>
        <v>83786.38</v>
      </c>
      <c r="Z49" s="44">
        <f t="shared" si="25"/>
        <v>118386.36053585823</v>
      </c>
      <c r="AA49" s="50">
        <f t="shared" si="26"/>
        <v>156128.20713810614</v>
      </c>
      <c r="AB49" s="51">
        <f t="shared" si="27"/>
        <v>110672.48811429206</v>
      </c>
      <c r="AC49" s="44">
        <f t="shared" si="28"/>
        <v>145955.13427886897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1.727945421646023</v>
      </c>
      <c r="AG49" s="44">
        <f t="shared" si="31"/>
        <v>296384.11050241243</v>
      </c>
      <c r="AH49" s="52">
        <f>HLOOKUP(I49,ElecAvoidedCostsWOCC!$A$5:$Q$50,T49+1,FALSE)</f>
        <v>1.727945421646023</v>
      </c>
      <c r="AI49" s="44">
        <f t="shared" si="32"/>
        <v>0</v>
      </c>
      <c r="AJ49" s="44">
        <f t="shared" si="33"/>
        <v>296384.11050241243</v>
      </c>
      <c r="AK49" s="44">
        <f>HLOOKUP(I49,ElecAvoidedCostsWOCC!$A$5:$Q$50,G49+1,FALSE)*J49*L49</f>
        <v>0</v>
      </c>
      <c r="AL49" s="44">
        <f t="shared" si="34"/>
        <v>296384.11050241243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296384.11050241243</v>
      </c>
      <c r="AN49" s="48">
        <f t="shared" si="35"/>
        <v>326022.52155265369</v>
      </c>
      <c r="AO49" s="47">
        <f t="shared" si="36"/>
        <v>2.6780287996808654</v>
      </c>
      <c r="AP49" s="47">
        <f t="shared" si="37"/>
        <v>2.2337173896859239</v>
      </c>
      <c r="AQ49">
        <v>2021</v>
      </c>
    </row>
    <row r="50" spans="2:43">
      <c r="B50" s="97" t="s">
        <v>15</v>
      </c>
      <c r="C50" s="61">
        <v>18230627</v>
      </c>
      <c r="D50" s="61" t="s">
        <v>80</v>
      </c>
      <c r="E50" s="38" t="s">
        <v>736</v>
      </c>
      <c r="F50" s="39" t="s">
        <v>737</v>
      </c>
      <c r="G50" s="39">
        <v>20</v>
      </c>
      <c r="H50" s="39"/>
      <c r="I50" s="40" t="s">
        <v>269</v>
      </c>
      <c r="J50" s="41">
        <v>163</v>
      </c>
      <c r="K50" s="41"/>
      <c r="L50" s="41"/>
      <c r="M50" s="42"/>
      <c r="N50" s="42"/>
      <c r="O50" s="43">
        <v>0</v>
      </c>
      <c r="P50" s="44">
        <v>0</v>
      </c>
      <c r="Q50" s="44">
        <v>0</v>
      </c>
      <c r="R50" s="45">
        <v>0</v>
      </c>
      <c r="S50" s="46">
        <v>0</v>
      </c>
      <c r="T50" s="39">
        <f t="shared" si="19"/>
        <v>20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1.727945421646023</v>
      </c>
      <c r="AG50" s="44">
        <f t="shared" si="31"/>
        <v>0</v>
      </c>
      <c r="AH50" s="52">
        <f>HLOOKUP(I50,ElecAvoidedCostsWOCC!$A$5:$Q$50,T50+1,FALSE)</f>
        <v>1.727945421646023</v>
      </c>
      <c r="AI50" s="44">
        <f t="shared" si="32"/>
        <v>0</v>
      </c>
      <c r="AJ50" s="44">
        <f t="shared" si="33"/>
        <v>0</v>
      </c>
      <c r="AK50" s="44">
        <f>HLOOKUP(I50,ElecAvoidedCostsWOCC!$A$5:$Q$50,G50+1,FALSE)*J50*L50</f>
        <v>0</v>
      </c>
      <c r="AL50" s="44">
        <f t="shared" si="34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  <c r="AQ50">
        <v>2021</v>
      </c>
    </row>
    <row r="51" spans="2:43">
      <c r="B51" s="97" t="s">
        <v>15</v>
      </c>
      <c r="C51" s="61">
        <v>18230627</v>
      </c>
      <c r="D51" s="61" t="s">
        <v>80</v>
      </c>
      <c r="E51" s="38" t="s">
        <v>738</v>
      </c>
      <c r="F51" s="39" t="s">
        <v>737</v>
      </c>
      <c r="G51" s="39">
        <v>20</v>
      </c>
      <c r="H51" s="39"/>
      <c r="I51" s="40" t="s">
        <v>269</v>
      </c>
      <c r="J51" s="41">
        <v>904</v>
      </c>
      <c r="K51" s="41"/>
      <c r="L51" s="41"/>
      <c r="M51" s="42"/>
      <c r="N51" s="42"/>
      <c r="O51" s="43">
        <v>0</v>
      </c>
      <c r="P51" s="44">
        <v>0</v>
      </c>
      <c r="Q51" s="44">
        <v>0</v>
      </c>
      <c r="R51" s="45">
        <v>0</v>
      </c>
      <c r="S51" s="46">
        <v>0</v>
      </c>
      <c r="T51" s="39">
        <f t="shared" si="19"/>
        <v>20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1.727945421646023</v>
      </c>
      <c r="AG51" s="44">
        <f t="shared" si="31"/>
        <v>0</v>
      </c>
      <c r="AH51" s="52">
        <f>HLOOKUP(I51,ElecAvoidedCostsWOCC!$A$5:$Q$50,T51+1,FALSE)</f>
        <v>1.727945421646023</v>
      </c>
      <c r="AI51" s="44">
        <f t="shared" si="32"/>
        <v>0</v>
      </c>
      <c r="AJ51" s="44">
        <f t="shared" si="33"/>
        <v>0</v>
      </c>
      <c r="AK51" s="44">
        <f>HLOOKUP(I51,ElecAvoidedCostsWOCC!$A$5:$Q$50,G51+1,FALSE)*J51*L51</f>
        <v>0</v>
      </c>
      <c r="AL51" s="44">
        <f t="shared" si="34"/>
        <v>0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  <c r="AQ51">
        <v>2021</v>
      </c>
    </row>
    <row r="52" spans="2:43">
      <c r="B52" s="97" t="s">
        <v>15</v>
      </c>
      <c r="C52" s="61">
        <v>18230627</v>
      </c>
      <c r="D52" s="61" t="s">
        <v>80</v>
      </c>
      <c r="E52" s="38" t="s">
        <v>739</v>
      </c>
      <c r="F52" s="39" t="s">
        <v>740</v>
      </c>
      <c r="G52" s="39">
        <v>20</v>
      </c>
      <c r="H52" s="39"/>
      <c r="I52" s="40" t="s">
        <v>269</v>
      </c>
      <c r="J52" s="41">
        <v>11</v>
      </c>
      <c r="K52" s="41">
        <v>1254</v>
      </c>
      <c r="L52" s="41"/>
      <c r="M52" s="42">
        <v>300</v>
      </c>
      <c r="N52" s="42">
        <v>631.58000000000004</v>
      </c>
      <c r="O52" s="43">
        <v>13794</v>
      </c>
      <c r="P52" s="44">
        <v>3176.11</v>
      </c>
      <c r="Q52" s="44">
        <v>6947.38</v>
      </c>
      <c r="R52" s="45">
        <v>0</v>
      </c>
      <c r="S52" s="46">
        <v>0</v>
      </c>
      <c r="T52" s="39">
        <f t="shared" si="19"/>
        <v>20</v>
      </c>
      <c r="U52" s="47">
        <f t="shared" si="20"/>
        <v>9.9144425796026961E-2</v>
      </c>
      <c r="V52" s="48">
        <f t="shared" si="21"/>
        <v>331.58000000000004</v>
      </c>
      <c r="W52" s="49">
        <f t="shared" si="22"/>
        <v>4.9572212898013482E-3</v>
      </c>
      <c r="X52" s="44">
        <f t="shared" si="23"/>
        <v>1538.294869890138</v>
      </c>
      <c r="Y52" s="44">
        <f t="shared" si="24"/>
        <v>3771.27</v>
      </c>
      <c r="Z52" s="44">
        <f t="shared" si="25"/>
        <v>9520.6586671930945</v>
      </c>
      <c r="AA52" s="50">
        <f t="shared" si="26"/>
        <v>8485.6748698901374</v>
      </c>
      <c r="AB52" s="51">
        <f t="shared" si="27"/>
        <v>8900.3072517463715</v>
      </c>
      <c r="AC52" s="44">
        <f t="shared" si="28"/>
        <v>7932.761400289929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1.727945421646023</v>
      </c>
      <c r="AG52" s="44">
        <f t="shared" si="31"/>
        <v>23835.279146185243</v>
      </c>
      <c r="AH52" s="52">
        <f>HLOOKUP(I52,ElecAvoidedCostsWOCC!$A$5:$Q$50,T52+1,FALSE)</f>
        <v>1.727945421646023</v>
      </c>
      <c r="AI52" s="44">
        <f t="shared" si="32"/>
        <v>0</v>
      </c>
      <c r="AJ52" s="44">
        <f t="shared" si="33"/>
        <v>23835.279146185243</v>
      </c>
      <c r="AK52" s="44">
        <f>HLOOKUP(I52,ElecAvoidedCostsWOCC!$A$5:$Q$50,G52+1,FALSE)*J52*L52</f>
        <v>0</v>
      </c>
      <c r="AL52" s="44">
        <f t="shared" si="34"/>
        <v>23835.279146185243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23835.279146185243</v>
      </c>
      <c r="AN52" s="48">
        <f t="shared" si="35"/>
        <v>26218.807060803771</v>
      </c>
      <c r="AO52" s="47">
        <f t="shared" si="36"/>
        <v>2.6780287996808658</v>
      </c>
      <c r="AP52" s="47">
        <f t="shared" si="37"/>
        <v>3.3051299210695428</v>
      </c>
      <c r="AQ52">
        <v>2021</v>
      </c>
    </row>
    <row r="53" spans="2:43">
      <c r="B53" s="97" t="s">
        <v>15</v>
      </c>
      <c r="C53" s="61">
        <v>18230627</v>
      </c>
      <c r="D53" s="61" t="s">
        <v>80</v>
      </c>
      <c r="E53" s="38" t="s">
        <v>741</v>
      </c>
      <c r="F53" s="39" t="s">
        <v>742</v>
      </c>
      <c r="G53" s="39">
        <v>20</v>
      </c>
      <c r="H53" s="39"/>
      <c r="I53" s="40" t="s">
        <v>269</v>
      </c>
      <c r="J53" s="41">
        <v>170</v>
      </c>
      <c r="K53" s="41"/>
      <c r="L53" s="41"/>
      <c r="M53" s="42"/>
      <c r="N53" s="42"/>
      <c r="O53" s="43">
        <v>0</v>
      </c>
      <c r="P53" s="44">
        <v>0</v>
      </c>
      <c r="Q53" s="44">
        <v>0</v>
      </c>
      <c r="R53" s="45">
        <v>0</v>
      </c>
      <c r="S53" s="46">
        <v>0</v>
      </c>
      <c r="T53" s="39">
        <f t="shared" si="19"/>
        <v>20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1.727945421646023</v>
      </c>
      <c r="AG53" s="44">
        <f t="shared" si="31"/>
        <v>0</v>
      </c>
      <c r="AH53" s="52">
        <f>HLOOKUP(I53,ElecAvoidedCostsWOCC!$A$5:$Q$50,T53+1,FALSE)</f>
        <v>1.727945421646023</v>
      </c>
      <c r="AI53" s="44">
        <f t="shared" si="32"/>
        <v>0</v>
      </c>
      <c r="AJ53" s="44">
        <f t="shared" si="33"/>
        <v>0</v>
      </c>
      <c r="AK53" s="44">
        <f>HLOOKUP(I53,ElecAvoidedCostsWOCC!$A$5:$Q$50,G53+1,FALSE)*J53*L53</f>
        <v>0</v>
      </c>
      <c r="AL53" s="44">
        <f t="shared" si="34"/>
        <v>0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  <c r="AQ53">
        <v>2021</v>
      </c>
    </row>
    <row r="54" spans="2:43">
      <c r="B54" s="97" t="s">
        <v>15</v>
      </c>
      <c r="C54" s="61">
        <v>18230627</v>
      </c>
      <c r="D54" s="61" t="s">
        <v>80</v>
      </c>
      <c r="E54" s="38" t="s">
        <v>743</v>
      </c>
      <c r="F54" s="39" t="s">
        <v>744</v>
      </c>
      <c r="G54" s="39">
        <v>20</v>
      </c>
      <c r="H54" s="39"/>
      <c r="I54" s="40" t="s">
        <v>269</v>
      </c>
      <c r="J54" s="41">
        <v>9</v>
      </c>
      <c r="K54" s="41">
        <v>848</v>
      </c>
      <c r="L54" s="41"/>
      <c r="M54" s="42">
        <v>300</v>
      </c>
      <c r="N54" s="42">
        <v>631.58000000000004</v>
      </c>
      <c r="O54" s="43">
        <v>7632</v>
      </c>
      <c r="P54" s="44">
        <v>2413.16</v>
      </c>
      <c r="Q54" s="44">
        <v>5684.22</v>
      </c>
      <c r="R54" s="45">
        <v>0</v>
      </c>
      <c r="S54" s="46">
        <v>0</v>
      </c>
      <c r="T54" s="39">
        <f t="shared" si="19"/>
        <v>20</v>
      </c>
      <c r="U54" s="47">
        <f t="shared" si="20"/>
        <v>5.4855028104630846E-2</v>
      </c>
      <c r="V54" s="48">
        <f t="shared" si="21"/>
        <v>331.58000000000004</v>
      </c>
      <c r="W54" s="49">
        <f t="shared" si="22"/>
        <v>2.7427514052315422E-3</v>
      </c>
      <c r="X54" s="44">
        <f t="shared" si="23"/>
        <v>851.11399499793629</v>
      </c>
      <c r="Y54" s="44">
        <f t="shared" si="24"/>
        <v>3271.0600000000004</v>
      </c>
      <c r="Z54" s="44">
        <f t="shared" si="25"/>
        <v>5267.6284578815212</v>
      </c>
      <c r="AA54" s="50">
        <f t="shared" si="26"/>
        <v>6535.3339949979363</v>
      </c>
      <c r="AB54" s="51">
        <f t="shared" si="27"/>
        <v>4924.3979226713291</v>
      </c>
      <c r="AC54" s="44">
        <f t="shared" si="28"/>
        <v>6109.50172478072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1.727945421646023</v>
      </c>
      <c r="AG54" s="44">
        <f t="shared" si="31"/>
        <v>13187.679458002447</v>
      </c>
      <c r="AH54" s="52">
        <f>HLOOKUP(I54,ElecAvoidedCostsWOCC!$A$5:$Q$50,T54+1,FALSE)</f>
        <v>1.727945421646023</v>
      </c>
      <c r="AI54" s="44">
        <f t="shared" si="32"/>
        <v>0</v>
      </c>
      <c r="AJ54" s="44">
        <f t="shared" si="33"/>
        <v>13187.679458002447</v>
      </c>
      <c r="AK54" s="44">
        <f>HLOOKUP(I54,ElecAvoidedCostsWOCC!$A$5:$Q$50,G54+1,FALSE)*J54*L54</f>
        <v>0</v>
      </c>
      <c r="AL54" s="44">
        <f t="shared" si="34"/>
        <v>13187.679458002447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13187.679458002449</v>
      </c>
      <c r="AN54" s="48">
        <f t="shared" si="35"/>
        <v>14506.447403802695</v>
      </c>
      <c r="AO54" s="47">
        <f t="shared" si="36"/>
        <v>2.6780287996808658</v>
      </c>
      <c r="AP54" s="47">
        <f t="shared" si="37"/>
        <v>2.3744076124838731</v>
      </c>
      <c r="AQ54">
        <v>2021</v>
      </c>
    </row>
    <row r="55" spans="2:43">
      <c r="B55" s="97" t="s">
        <v>15</v>
      </c>
      <c r="C55" s="61">
        <v>18230627</v>
      </c>
      <c r="D55" s="61" t="s">
        <v>80</v>
      </c>
      <c r="E55" s="38" t="s">
        <v>745</v>
      </c>
      <c r="F55" s="39" t="s">
        <v>746</v>
      </c>
      <c r="G55" s="39">
        <v>45</v>
      </c>
      <c r="H55" s="39"/>
      <c r="I55" s="40" t="s">
        <v>269</v>
      </c>
      <c r="J55" s="41">
        <v>640</v>
      </c>
      <c r="K55" s="41">
        <v>2.23</v>
      </c>
      <c r="L55" s="41"/>
      <c r="M55" s="42">
        <v>0.75</v>
      </c>
      <c r="N55" s="42">
        <v>1.54</v>
      </c>
      <c r="O55" s="43">
        <v>1427.2</v>
      </c>
      <c r="P55" s="44">
        <v>666.01</v>
      </c>
      <c r="Q55" s="44">
        <v>985.6</v>
      </c>
      <c r="R55" s="45">
        <v>0.04</v>
      </c>
      <c r="S55" s="46">
        <v>0</v>
      </c>
      <c r="T55" s="39">
        <f t="shared" si="19"/>
        <v>45</v>
      </c>
      <c r="U55" s="47">
        <f t="shared" si="20"/>
        <v>2.3080511825155997E-2</v>
      </c>
      <c r="V55" s="48">
        <f t="shared" si="21"/>
        <v>0.79</v>
      </c>
      <c r="W55" s="49">
        <f t="shared" si="22"/>
        <v>5.1290026278124441E-4</v>
      </c>
      <c r="X55" s="44">
        <f t="shared" si="23"/>
        <v>159.16010137068329</v>
      </c>
      <c r="Y55" s="44">
        <f t="shared" si="24"/>
        <v>319.59000000000003</v>
      </c>
      <c r="Z55" s="44">
        <f t="shared" si="25"/>
        <v>985.05756487008739</v>
      </c>
      <c r="AA55" s="50">
        <f t="shared" si="26"/>
        <v>1144.7601013706833</v>
      </c>
      <c r="AB55" s="51">
        <f t="shared" si="27"/>
        <v>920.87273522491103</v>
      </c>
      <c r="AC55" s="44">
        <f t="shared" si="28"/>
        <v>1070.1693010850549</v>
      </c>
      <c r="AD55" s="44">
        <f t="shared" si="29"/>
        <v>349.57842709562391</v>
      </c>
      <c r="AE55" s="44">
        <f t="shared" si="30"/>
        <v>0</v>
      </c>
      <c r="AF55" s="52">
        <f>HLOOKUP(I55,ElecAvoidedCostsWOCC!$A$5:$Q$50,G55+1,FALSE)</f>
        <v>3.4276422079642828</v>
      </c>
      <c r="AG55" s="44">
        <f t="shared" si="31"/>
        <v>4891.9309592066247</v>
      </c>
      <c r="AH55" s="52">
        <f>HLOOKUP(I55,ElecAvoidedCostsWOCC!$A$5:$Q$50,T55+1,FALSE)</f>
        <v>3.4276422079642828</v>
      </c>
      <c r="AI55" s="44">
        <f t="shared" si="32"/>
        <v>0</v>
      </c>
      <c r="AJ55" s="44">
        <f t="shared" si="33"/>
        <v>4891.9309592066247</v>
      </c>
      <c r="AK55" s="44">
        <f>HLOOKUP(I55,ElecAvoidedCostsWOCC!$A$5:$Q$50,G55+1,FALSE)*J55*L55</f>
        <v>0</v>
      </c>
      <c r="AL55" s="44">
        <f t="shared" si="34"/>
        <v>4891.9309592066247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4891.9309592066238</v>
      </c>
      <c r="AN55" s="48">
        <f t="shared" si="35"/>
        <v>5730.7024822229105</v>
      </c>
      <c r="AO55" s="47">
        <f t="shared" si="36"/>
        <v>5.3122769000342203</v>
      </c>
      <c r="AP55" s="47">
        <f t="shared" si="37"/>
        <v>5.3549494238084536</v>
      </c>
      <c r="AQ55">
        <v>2021</v>
      </c>
    </row>
    <row r="56" spans="2:43">
      <c r="B56" s="97" t="s">
        <v>15</v>
      </c>
      <c r="C56" s="61">
        <v>18230627</v>
      </c>
      <c r="D56" s="61" t="s">
        <v>80</v>
      </c>
      <c r="E56" s="38" t="s">
        <v>747</v>
      </c>
      <c r="F56" s="39" t="s">
        <v>746</v>
      </c>
      <c r="G56" s="39">
        <v>45</v>
      </c>
      <c r="H56" s="39"/>
      <c r="I56" s="40" t="s">
        <v>269</v>
      </c>
      <c r="J56" s="41">
        <v>4640</v>
      </c>
      <c r="K56" s="41">
        <v>1.04</v>
      </c>
      <c r="L56" s="41"/>
      <c r="M56" s="42">
        <v>0.75</v>
      </c>
      <c r="N56" s="42">
        <v>1.56</v>
      </c>
      <c r="O56" s="43">
        <v>4839.0600000000004</v>
      </c>
      <c r="P56" s="44">
        <v>2074.29</v>
      </c>
      <c r="Q56" s="44">
        <v>7238.4</v>
      </c>
      <c r="R56" s="45">
        <v>0</v>
      </c>
      <c r="S56" s="46">
        <v>0</v>
      </c>
      <c r="T56" s="39">
        <f t="shared" si="19"/>
        <v>45</v>
      </c>
      <c r="U56" s="47">
        <f t="shared" si="20"/>
        <v>7.8256713531838135E-2</v>
      </c>
      <c r="V56" s="48">
        <f t="shared" si="21"/>
        <v>0.81</v>
      </c>
      <c r="W56" s="49">
        <f t="shared" si="22"/>
        <v>1.7390380784852919E-3</v>
      </c>
      <c r="X56" s="44">
        <f t="shared" si="23"/>
        <v>539.64775794480011</v>
      </c>
      <c r="Y56" s="44">
        <f t="shared" si="24"/>
        <v>5164.1099999999997</v>
      </c>
      <c r="Z56" s="44">
        <f t="shared" si="25"/>
        <v>3339.9331977720331</v>
      </c>
      <c r="AA56" s="50">
        <f t="shared" si="26"/>
        <v>7778.0477579447997</v>
      </c>
      <c r="AB56" s="51">
        <f t="shared" si="27"/>
        <v>3122.308308658533</v>
      </c>
      <c r="AC56" s="44">
        <f t="shared" si="28"/>
        <v>7271.2421781291941</v>
      </c>
      <c r="AD56" s="44">
        <f t="shared" si="29"/>
        <v>0</v>
      </c>
      <c r="AE56" s="44">
        <f t="shared" si="30"/>
        <v>0</v>
      </c>
      <c r="AF56" s="52">
        <f>HLOOKUP(I56,ElecAvoidedCostsWOCC!$A$5:$Q$50,G56+1,FALSE)</f>
        <v>3.4276422079642828</v>
      </c>
      <c r="AG56" s="44">
        <f t="shared" si="31"/>
        <v>16540.430238752444</v>
      </c>
      <c r="AH56" s="52">
        <f>HLOOKUP(I56,ElecAvoidedCostsWOCC!$A$5:$Q$50,T56+1,FALSE)</f>
        <v>3.4276422079642828</v>
      </c>
      <c r="AI56" s="44">
        <f t="shared" si="32"/>
        <v>0</v>
      </c>
      <c r="AJ56" s="44">
        <f t="shared" si="33"/>
        <v>16540.430238752444</v>
      </c>
      <c r="AK56" s="44">
        <f>HLOOKUP(I56,ElecAvoidedCostsWOCC!$A$5:$Q$50,G56+1,FALSE)*J56*L56</f>
        <v>0</v>
      </c>
      <c r="AL56" s="44">
        <f t="shared" si="34"/>
        <v>16540.430238752444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16540.430238752444</v>
      </c>
      <c r="AN56" s="48">
        <f t="shared" si="35"/>
        <v>18194.473262627689</v>
      </c>
      <c r="AO56" s="47">
        <f t="shared" si="36"/>
        <v>5.2975006321072975</v>
      </c>
      <c r="AP56" s="47">
        <f t="shared" si="37"/>
        <v>2.5022510345417919</v>
      </c>
      <c r="AQ56">
        <v>2021</v>
      </c>
    </row>
    <row r="57" spans="2:43">
      <c r="B57" s="97" t="s">
        <v>15</v>
      </c>
      <c r="C57" s="61">
        <v>18230627</v>
      </c>
      <c r="D57" s="61" t="s">
        <v>80</v>
      </c>
      <c r="E57" s="38" t="s">
        <v>748</v>
      </c>
      <c r="F57" s="39" t="s">
        <v>749</v>
      </c>
      <c r="G57" s="39">
        <v>45</v>
      </c>
      <c r="H57" s="39"/>
      <c r="I57" s="40" t="s">
        <v>269</v>
      </c>
      <c r="J57" s="41">
        <v>36373</v>
      </c>
      <c r="K57" s="41"/>
      <c r="L57" s="41"/>
      <c r="M57" s="42"/>
      <c r="N57" s="42"/>
      <c r="O57" s="43">
        <v>0</v>
      </c>
      <c r="P57" s="44">
        <v>0</v>
      </c>
      <c r="Q57" s="44">
        <v>0</v>
      </c>
      <c r="R57" s="45">
        <v>0</v>
      </c>
      <c r="S57" s="46">
        <v>0</v>
      </c>
      <c r="T57" s="39">
        <f t="shared" si="19"/>
        <v>45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3.4276422079642828</v>
      </c>
      <c r="AG57" s="44">
        <f t="shared" si="31"/>
        <v>0</v>
      </c>
      <c r="AH57" s="52">
        <f>HLOOKUP(I57,ElecAvoidedCostsWOCC!$A$5:$Q$50,T57+1,FALSE)</f>
        <v>3.4276422079642828</v>
      </c>
      <c r="AI57" s="44">
        <f t="shared" si="32"/>
        <v>0</v>
      </c>
      <c r="AJ57" s="44">
        <f t="shared" si="33"/>
        <v>0</v>
      </c>
      <c r="AK57" s="44">
        <f>HLOOKUP(I57,ElecAvoidedCostsWOCC!$A$5:$Q$50,G57+1,FALSE)*J57*L57</f>
        <v>0</v>
      </c>
      <c r="AL57" s="44">
        <f t="shared" si="34"/>
        <v>0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  <c r="AQ57">
        <v>2021</v>
      </c>
    </row>
    <row r="58" spans="2:43">
      <c r="B58" s="97" t="s">
        <v>15</v>
      </c>
      <c r="C58" s="61">
        <v>18230627</v>
      </c>
      <c r="D58" s="61" t="s">
        <v>80</v>
      </c>
      <c r="E58" s="38" t="s">
        <v>750</v>
      </c>
      <c r="F58" s="39" t="s">
        <v>749</v>
      </c>
      <c r="G58" s="39">
        <v>45</v>
      </c>
      <c r="H58" s="39"/>
      <c r="I58" s="40" t="s">
        <v>269</v>
      </c>
      <c r="J58" s="41">
        <v>110981</v>
      </c>
      <c r="K58" s="41">
        <v>0.06</v>
      </c>
      <c r="L58" s="41"/>
      <c r="M58" s="42">
        <v>0</v>
      </c>
      <c r="N58" s="42">
        <v>0</v>
      </c>
      <c r="O58" s="43">
        <v>6958.55</v>
      </c>
      <c r="P58" s="44">
        <v>0</v>
      </c>
      <c r="Q58" s="44">
        <v>0</v>
      </c>
      <c r="R58" s="45">
        <v>0</v>
      </c>
      <c r="S58" s="46">
        <v>0</v>
      </c>
      <c r="T58" s="39">
        <f t="shared" si="19"/>
        <v>45</v>
      </c>
      <c r="U58" s="47">
        <f t="shared" si="20"/>
        <v>0.11253285843675677</v>
      </c>
      <c r="V58" s="48">
        <f t="shared" si="21"/>
        <v>0</v>
      </c>
      <c r="W58" s="49">
        <f t="shared" si="22"/>
        <v>2.5007301874834837E-3</v>
      </c>
      <c r="X58" s="44">
        <f t="shared" si="23"/>
        <v>776.01143735493838</v>
      </c>
      <c r="Y58" s="44">
        <f t="shared" si="24"/>
        <v>0</v>
      </c>
      <c r="Z58" s="44">
        <f t="shared" si="25"/>
        <v>4802.8113214873501</v>
      </c>
      <c r="AA58" s="50">
        <f t="shared" si="26"/>
        <v>776.01143735493838</v>
      </c>
      <c r="AB58" s="51">
        <f t="shared" si="27"/>
        <v>4489.8675530404316</v>
      </c>
      <c r="AC58" s="44">
        <f t="shared" si="28"/>
        <v>725.44773053654137</v>
      </c>
      <c r="AD58" s="44">
        <f t="shared" si="29"/>
        <v>0</v>
      </c>
      <c r="AE58" s="44">
        <f t="shared" si="30"/>
        <v>0</v>
      </c>
      <c r="AF58" s="52">
        <f>HLOOKUP(I58,ElecAvoidedCostsWOCC!$A$5:$Q$50,G58+1,FALSE)</f>
        <v>3.4276422079642828</v>
      </c>
      <c r="AG58" s="44">
        <f t="shared" si="31"/>
        <v>22824.189592925042</v>
      </c>
      <c r="AH58" s="52">
        <f>HLOOKUP(I58,ElecAvoidedCostsWOCC!$A$5:$Q$50,T58+1,FALSE)</f>
        <v>3.4276422079642828</v>
      </c>
      <c r="AI58" s="44">
        <f t="shared" si="32"/>
        <v>0</v>
      </c>
      <c r="AJ58" s="44">
        <f t="shared" si="33"/>
        <v>22824.189592925042</v>
      </c>
      <c r="AK58" s="44">
        <f>HLOOKUP(I58,ElecAvoidedCostsWOCC!$A$5:$Q$50,G58+1,FALSE)*J58*L58</f>
        <v>0</v>
      </c>
      <c r="AL58" s="44">
        <f t="shared" si="34"/>
        <v>22824.189592925042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22824.189592925042</v>
      </c>
      <c r="AN58" s="48">
        <f t="shared" si="35"/>
        <v>25106.608552217549</v>
      </c>
      <c r="AO58" s="47">
        <f t="shared" si="36"/>
        <v>5.0834883932086248</v>
      </c>
      <c r="AP58" s="47">
        <f t="shared" si="37"/>
        <v>34.608432138382589</v>
      </c>
      <c r="AQ58">
        <v>2021</v>
      </c>
    </row>
    <row r="59" spans="2:43">
      <c r="B59" s="97" t="s">
        <v>15</v>
      </c>
      <c r="C59" s="61">
        <v>18230627</v>
      </c>
      <c r="D59" s="61" t="s">
        <v>80</v>
      </c>
      <c r="E59" s="38" t="s">
        <v>751</v>
      </c>
      <c r="F59" s="39" t="s">
        <v>752</v>
      </c>
      <c r="G59" s="39">
        <v>45</v>
      </c>
      <c r="H59" s="39"/>
      <c r="I59" s="40" t="s">
        <v>269</v>
      </c>
      <c r="J59" s="41">
        <v>2395</v>
      </c>
      <c r="K59" s="41">
        <v>0.96</v>
      </c>
      <c r="L59" s="41"/>
      <c r="M59" s="42">
        <v>0.75</v>
      </c>
      <c r="N59" s="42">
        <v>1.54</v>
      </c>
      <c r="O59" s="43">
        <v>2299.1999999999998</v>
      </c>
      <c r="P59" s="44">
        <v>800</v>
      </c>
      <c r="Q59" s="44">
        <v>3688.3</v>
      </c>
      <c r="R59" s="45">
        <v>0.02</v>
      </c>
      <c r="S59" s="46">
        <v>0</v>
      </c>
      <c r="T59" s="39">
        <f t="shared" si="19"/>
        <v>45</v>
      </c>
      <c r="U59" s="47">
        <f t="shared" si="20"/>
        <v>3.7182394050167225E-2</v>
      </c>
      <c r="V59" s="48">
        <f t="shared" si="21"/>
        <v>0.79</v>
      </c>
      <c r="W59" s="49">
        <f t="shared" si="22"/>
        <v>8.2627542333704946E-4</v>
      </c>
      <c r="X59" s="44">
        <f t="shared" si="23"/>
        <v>256.40478214088773</v>
      </c>
      <c r="Y59" s="44">
        <f t="shared" si="24"/>
        <v>2888.3</v>
      </c>
      <c r="Z59" s="44">
        <f t="shared" si="25"/>
        <v>1586.9144851102192</v>
      </c>
      <c r="AA59" s="50">
        <f t="shared" si="26"/>
        <v>3944.7047821408878</v>
      </c>
      <c r="AB59" s="51">
        <f t="shared" si="27"/>
        <v>1483.5135880248845</v>
      </c>
      <c r="AC59" s="44">
        <f t="shared" si="28"/>
        <v>3687.6739105738875</v>
      </c>
      <c r="AD59" s="44">
        <f t="shared" si="29"/>
        <v>654.09401007345252</v>
      </c>
      <c r="AE59" s="44">
        <f t="shared" si="30"/>
        <v>0</v>
      </c>
      <c r="AF59" s="52">
        <f>HLOOKUP(I59,ElecAvoidedCostsWOCC!$A$5:$Q$50,G59+1,FALSE)</f>
        <v>3.4276422079642828</v>
      </c>
      <c r="AG59" s="44">
        <f t="shared" si="31"/>
        <v>7880.8349645514782</v>
      </c>
      <c r="AH59" s="52">
        <f>HLOOKUP(I59,ElecAvoidedCostsWOCC!$A$5:$Q$50,T59+1,FALSE)</f>
        <v>3.4276422079642828</v>
      </c>
      <c r="AI59" s="44">
        <f t="shared" si="32"/>
        <v>0</v>
      </c>
      <c r="AJ59" s="44">
        <f t="shared" si="33"/>
        <v>7880.8349645514782</v>
      </c>
      <c r="AK59" s="44">
        <f>HLOOKUP(I59,ElecAvoidedCostsWOCC!$A$5:$Q$50,G59+1,FALSE)*J59*L59</f>
        <v>0</v>
      </c>
      <c r="AL59" s="44">
        <f t="shared" si="34"/>
        <v>7880.8349645514782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7880.8349645514782</v>
      </c>
      <c r="AN59" s="48">
        <f t="shared" si="35"/>
        <v>9323.0124710800792</v>
      </c>
      <c r="AO59" s="47">
        <f t="shared" si="36"/>
        <v>5.3122769000342211</v>
      </c>
      <c r="AP59" s="47">
        <f t="shared" si="37"/>
        <v>2.5281553350874244</v>
      </c>
      <c r="AQ59">
        <v>2021</v>
      </c>
    </row>
    <row r="60" spans="2:43">
      <c r="B60" s="97" t="s">
        <v>15</v>
      </c>
      <c r="C60" s="61">
        <v>18230627</v>
      </c>
      <c r="D60" s="61" t="s">
        <v>80</v>
      </c>
      <c r="E60" s="38" t="s">
        <v>753</v>
      </c>
      <c r="F60" s="39" t="s">
        <v>752</v>
      </c>
      <c r="G60" s="39">
        <v>45</v>
      </c>
      <c r="H60" s="39"/>
      <c r="I60" s="40" t="s">
        <v>269</v>
      </c>
      <c r="J60" s="41">
        <v>9961</v>
      </c>
      <c r="K60" s="41">
        <v>0.59</v>
      </c>
      <c r="L60" s="41"/>
      <c r="M60" s="42">
        <v>0.75</v>
      </c>
      <c r="N60" s="42">
        <v>1.56</v>
      </c>
      <c r="O60" s="43">
        <v>5925.8</v>
      </c>
      <c r="P60" s="44">
        <v>3200</v>
      </c>
      <c r="Q60" s="44">
        <v>15539.16</v>
      </c>
      <c r="R60" s="45">
        <v>0</v>
      </c>
      <c r="S60" s="46">
        <v>0</v>
      </c>
      <c r="T60" s="39">
        <f t="shared" si="19"/>
        <v>45</v>
      </c>
      <c r="U60" s="47">
        <f t="shared" si="20"/>
        <v>9.5831345973591234E-2</v>
      </c>
      <c r="V60" s="48">
        <f t="shared" si="21"/>
        <v>0.81</v>
      </c>
      <c r="W60" s="49">
        <f t="shared" si="22"/>
        <v>2.1295854660798052E-3</v>
      </c>
      <c r="X60" s="44">
        <f t="shared" si="23"/>
        <v>660.84005654596058</v>
      </c>
      <c r="Y60" s="44">
        <f t="shared" si="24"/>
        <v>12339.16</v>
      </c>
      <c r="Z60" s="44">
        <f t="shared" si="25"/>
        <v>4090.004286650199</v>
      </c>
      <c r="AA60" s="50">
        <f t="shared" si="26"/>
        <v>16200.00005654596</v>
      </c>
      <c r="AB60" s="51">
        <f t="shared" si="27"/>
        <v>3823.5059237638579</v>
      </c>
      <c r="AC60" s="44">
        <f t="shared" si="28"/>
        <v>15144.433071464857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3.4276422079642828</v>
      </c>
      <c r="AG60" s="44">
        <f t="shared" si="31"/>
        <v>20144.218979784007</v>
      </c>
      <c r="AH60" s="52">
        <f>HLOOKUP(I60,ElecAvoidedCostsWOCC!$A$5:$Q$50,T60+1,FALSE)</f>
        <v>3.4276422079642828</v>
      </c>
      <c r="AI60" s="44">
        <f t="shared" si="32"/>
        <v>0</v>
      </c>
      <c r="AJ60" s="44">
        <f t="shared" si="33"/>
        <v>20144.218979784007</v>
      </c>
      <c r="AK60" s="44">
        <f>HLOOKUP(I60,ElecAvoidedCostsWOCC!$A$5:$Q$50,G60+1,FALSE)*J60*L60</f>
        <v>0</v>
      </c>
      <c r="AL60" s="44">
        <f t="shared" si="34"/>
        <v>20144.218979784007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20144.218979784011</v>
      </c>
      <c r="AN60" s="48">
        <f t="shared" si="35"/>
        <v>22158.640877762413</v>
      </c>
      <c r="AO60" s="47">
        <f t="shared" si="36"/>
        <v>5.268520405469661</v>
      </c>
      <c r="AP60" s="47">
        <f t="shared" si="37"/>
        <v>1.4631542014942591</v>
      </c>
      <c r="AQ60">
        <v>2021</v>
      </c>
    </row>
    <row r="61" spans="2:43">
      <c r="B61" s="97" t="s">
        <v>15</v>
      </c>
      <c r="C61" s="61">
        <v>18230627</v>
      </c>
      <c r="D61" s="61" t="s">
        <v>80</v>
      </c>
      <c r="E61" s="38" t="s">
        <v>754</v>
      </c>
      <c r="F61" s="39" t="s">
        <v>755</v>
      </c>
      <c r="G61" s="39">
        <v>45</v>
      </c>
      <c r="H61" s="39"/>
      <c r="I61" s="40" t="s">
        <v>269</v>
      </c>
      <c r="J61" s="41">
        <v>0</v>
      </c>
      <c r="K61" s="41">
        <v>1.53</v>
      </c>
      <c r="L61" s="41"/>
      <c r="M61" s="42">
        <v>0.75</v>
      </c>
      <c r="N61" s="42">
        <v>1.39</v>
      </c>
      <c r="O61" s="43">
        <v>0</v>
      </c>
      <c r="P61" s="44">
        <v>0</v>
      </c>
      <c r="Q61" s="44">
        <v>0</v>
      </c>
      <c r="R61" s="45">
        <v>0.03</v>
      </c>
      <c r="S61" s="46">
        <v>0</v>
      </c>
      <c r="T61" s="39">
        <f t="shared" si="19"/>
        <v>45</v>
      </c>
      <c r="U61" s="47">
        <f t="shared" si="20"/>
        <v>0</v>
      </c>
      <c r="V61" s="48">
        <f t="shared" si="21"/>
        <v>0.6399999999999999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3.4276422079642828</v>
      </c>
      <c r="AG61" s="44">
        <f t="shared" si="31"/>
        <v>0</v>
      </c>
      <c r="AH61" s="52">
        <f>HLOOKUP(I61,ElecAvoidedCostsWOCC!$A$5:$Q$50,T61+1,FALSE)</f>
        <v>3.4276422079642828</v>
      </c>
      <c r="AI61" s="44">
        <f t="shared" si="32"/>
        <v>0</v>
      </c>
      <c r="AJ61" s="44">
        <f t="shared" si="33"/>
        <v>0</v>
      </c>
      <c r="AK61" s="44">
        <f>HLOOKUP(I61,ElecAvoidedCostsWOCC!$A$5:$Q$50,G61+1,FALSE)*J61*L61</f>
        <v>0</v>
      </c>
      <c r="AL61" s="44">
        <f t="shared" si="34"/>
        <v>0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  <c r="AQ61">
        <v>2021</v>
      </c>
    </row>
    <row r="62" spans="2:43">
      <c r="B62" s="97" t="s">
        <v>15</v>
      </c>
      <c r="C62" s="61">
        <v>18230627</v>
      </c>
      <c r="D62" s="61" t="s">
        <v>80</v>
      </c>
      <c r="E62" s="38" t="s">
        <v>756</v>
      </c>
      <c r="F62" s="39" t="s">
        <v>755</v>
      </c>
      <c r="G62" s="39">
        <v>45</v>
      </c>
      <c r="H62" s="39"/>
      <c r="I62" s="40" t="s">
        <v>269</v>
      </c>
      <c r="J62" s="41">
        <v>5488</v>
      </c>
      <c r="K62" s="41">
        <v>0.84</v>
      </c>
      <c r="L62" s="41"/>
      <c r="M62" s="42">
        <v>0.75</v>
      </c>
      <c r="N62" s="42">
        <v>1.56</v>
      </c>
      <c r="O62" s="43">
        <v>4624.1899999999996</v>
      </c>
      <c r="P62" s="44">
        <v>3313.38</v>
      </c>
      <c r="Q62" s="44">
        <v>8561.2800000000007</v>
      </c>
      <c r="R62" s="45">
        <v>0</v>
      </c>
      <c r="S62" s="46">
        <v>0</v>
      </c>
      <c r="T62" s="39">
        <f t="shared" si="19"/>
        <v>45</v>
      </c>
      <c r="U62" s="47">
        <f t="shared" si="20"/>
        <v>7.4781860970269134E-2</v>
      </c>
      <c r="V62" s="48">
        <f t="shared" si="21"/>
        <v>0.81</v>
      </c>
      <c r="W62" s="49">
        <f t="shared" si="22"/>
        <v>1.6618191326726473E-3</v>
      </c>
      <c r="X62" s="44">
        <f t="shared" si="23"/>
        <v>515.68564262703183</v>
      </c>
      <c r="Y62" s="44">
        <f t="shared" si="24"/>
        <v>5247.9000000000005</v>
      </c>
      <c r="Z62" s="44">
        <f t="shared" si="25"/>
        <v>3191.6293027582742</v>
      </c>
      <c r="AA62" s="50">
        <f t="shared" si="26"/>
        <v>9076.9656426270321</v>
      </c>
      <c r="AB62" s="51">
        <f t="shared" si="27"/>
        <v>2983.6676664095298</v>
      </c>
      <c r="AC62" s="44">
        <f t="shared" si="28"/>
        <v>8485.5245794400598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3.4276422079642828</v>
      </c>
      <c r="AG62" s="44">
        <f t="shared" si="31"/>
        <v>15801.156367338706</v>
      </c>
      <c r="AH62" s="52">
        <f>HLOOKUP(I62,ElecAvoidedCostsWOCC!$A$5:$Q$50,T62+1,FALSE)</f>
        <v>3.4276422079642828</v>
      </c>
      <c r="AI62" s="44">
        <f t="shared" si="32"/>
        <v>0</v>
      </c>
      <c r="AJ62" s="44">
        <f t="shared" si="33"/>
        <v>15801.156367338706</v>
      </c>
      <c r="AK62" s="44">
        <f>HLOOKUP(I62,ElecAvoidedCostsWOCC!$A$5:$Q$50,G62+1,FALSE)*J62*L62</f>
        <v>0</v>
      </c>
      <c r="AL62" s="44">
        <f t="shared" si="34"/>
        <v>15801.156367338706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15801.156367338706</v>
      </c>
      <c r="AN62" s="48">
        <f t="shared" si="35"/>
        <v>17381.27200407258</v>
      </c>
      <c r="AO62" s="47">
        <f t="shared" si="36"/>
        <v>5.2958835011117102</v>
      </c>
      <c r="AP62" s="47">
        <f t="shared" si="37"/>
        <v>2.0483438403073402</v>
      </c>
      <c r="AQ62">
        <v>2021</v>
      </c>
    </row>
    <row r="63" spans="2:43">
      <c r="B63" s="97" t="s">
        <v>15</v>
      </c>
      <c r="C63" s="61">
        <v>18230627</v>
      </c>
      <c r="D63" s="61" t="s">
        <v>80</v>
      </c>
      <c r="E63" s="38" t="s">
        <v>757</v>
      </c>
      <c r="F63" s="39" t="s">
        <v>758</v>
      </c>
      <c r="G63" s="39">
        <v>25</v>
      </c>
      <c r="H63" s="39"/>
      <c r="I63" s="40" t="s">
        <v>269</v>
      </c>
      <c r="J63" s="41">
        <v>3262</v>
      </c>
      <c r="K63" s="41">
        <v>0.68</v>
      </c>
      <c r="L63" s="41"/>
      <c r="M63" s="42">
        <v>0.86</v>
      </c>
      <c r="N63" s="42">
        <v>3.25</v>
      </c>
      <c r="O63" s="43">
        <v>2228.92</v>
      </c>
      <c r="P63" s="44">
        <v>2400</v>
      </c>
      <c r="Q63" s="44">
        <v>10601.5</v>
      </c>
      <c r="R63" s="45">
        <v>0</v>
      </c>
      <c r="S63" s="46">
        <v>0</v>
      </c>
      <c r="T63" s="39">
        <f t="shared" si="19"/>
        <v>25</v>
      </c>
      <c r="U63" s="47">
        <f t="shared" si="20"/>
        <v>2.0025463384921019E-2</v>
      </c>
      <c r="V63" s="48">
        <f t="shared" si="21"/>
        <v>2.39</v>
      </c>
      <c r="W63" s="49">
        <f t="shared" si="22"/>
        <v>8.0101853539684081E-4</v>
      </c>
      <c r="X63" s="44">
        <f t="shared" si="23"/>
        <v>248.5672177320231</v>
      </c>
      <c r="Y63" s="44">
        <f t="shared" si="24"/>
        <v>8201.5</v>
      </c>
      <c r="Z63" s="44">
        <f t="shared" si="25"/>
        <v>1538.4070259881132</v>
      </c>
      <c r="AA63" s="50">
        <f t="shared" si="26"/>
        <v>10850.067217732023</v>
      </c>
      <c r="AB63" s="51">
        <f t="shared" si="27"/>
        <v>1438.1668000262812</v>
      </c>
      <c r="AC63" s="44">
        <f t="shared" si="28"/>
        <v>10143.093594215221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2.0508206305871441</v>
      </c>
      <c r="AG63" s="44">
        <f t="shared" si="31"/>
        <v>4549.04828994318</v>
      </c>
      <c r="AH63" s="52">
        <f>HLOOKUP(I63,ElecAvoidedCostsWOCC!$A$5:$Q$50,T63+1,FALSE)</f>
        <v>2.0508206305871441</v>
      </c>
      <c r="AI63" s="44">
        <f t="shared" si="32"/>
        <v>0</v>
      </c>
      <c r="AJ63" s="44">
        <f t="shared" si="33"/>
        <v>4549.04828994318</v>
      </c>
      <c r="AK63" s="44">
        <f>HLOOKUP(I63,ElecAvoidedCostsWOCC!$A$5:$Q$50,G63+1,FALSE)*J63*L63</f>
        <v>0</v>
      </c>
      <c r="AL63" s="44">
        <f t="shared" si="34"/>
        <v>4549.04828994318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4549.04828994318</v>
      </c>
      <c r="AN63" s="48">
        <f t="shared" si="35"/>
        <v>5003.9531189374984</v>
      </c>
      <c r="AO63" s="47">
        <f t="shared" si="36"/>
        <v>3.163088099280313</v>
      </c>
      <c r="AP63" s="47">
        <f t="shared" si="37"/>
        <v>0.49333598989871669</v>
      </c>
      <c r="AQ63">
        <v>2021</v>
      </c>
    </row>
    <row r="64" spans="2:43">
      <c r="B64" s="97" t="s">
        <v>15</v>
      </c>
      <c r="C64" s="61">
        <v>18230627</v>
      </c>
      <c r="D64" s="61" t="s">
        <v>80</v>
      </c>
      <c r="E64" s="38" t="s">
        <v>759</v>
      </c>
      <c r="F64" s="39" t="s">
        <v>760</v>
      </c>
      <c r="G64" s="39">
        <v>25</v>
      </c>
      <c r="H64" s="39"/>
      <c r="I64" s="40" t="s">
        <v>269</v>
      </c>
      <c r="J64" s="41">
        <v>1508.42</v>
      </c>
      <c r="K64" s="41">
        <v>3.95</v>
      </c>
      <c r="L64" s="41"/>
      <c r="M64" s="42">
        <v>200</v>
      </c>
      <c r="N64" s="42">
        <v>17.809999999999999</v>
      </c>
      <c r="O64" s="43">
        <v>5958.24</v>
      </c>
      <c r="P64" s="44">
        <v>18876</v>
      </c>
      <c r="Q64" s="44">
        <v>26864.95</v>
      </c>
      <c r="R64" s="45">
        <v>0.03</v>
      </c>
      <c r="S64" s="46">
        <v>0</v>
      </c>
      <c r="T64" s="39">
        <f t="shared" si="19"/>
        <v>25</v>
      </c>
      <c r="U64" s="47">
        <f t="shared" si="20"/>
        <v>5.3531089926319386E-2</v>
      </c>
      <c r="V64" s="48">
        <f t="shared" si="21"/>
        <v>-182.19</v>
      </c>
      <c r="W64" s="49">
        <f t="shared" si="22"/>
        <v>2.1412435970527754E-3</v>
      </c>
      <c r="X64" s="44">
        <f t="shared" si="23"/>
        <v>664.45773710121898</v>
      </c>
      <c r="Y64" s="44">
        <f t="shared" si="24"/>
        <v>7988.9500000000007</v>
      </c>
      <c r="Z64" s="44">
        <f t="shared" si="25"/>
        <v>4112.3944684077551</v>
      </c>
      <c r="AA64" s="50">
        <f t="shared" si="26"/>
        <v>27529.407737101221</v>
      </c>
      <c r="AB64" s="51">
        <f t="shared" si="27"/>
        <v>3844.437195856553</v>
      </c>
      <c r="AC64" s="44">
        <f t="shared" si="28"/>
        <v>25735.634044219143</v>
      </c>
      <c r="AD64" s="44">
        <f t="shared" si="29"/>
        <v>528.78321253656418</v>
      </c>
      <c r="AE64" s="44">
        <f t="shared" si="30"/>
        <v>0</v>
      </c>
      <c r="AF64" s="52">
        <f>HLOOKUP(I64,ElecAvoidedCostsWOCC!$A$5:$Q$50,G64+1,FALSE)</f>
        <v>2.0508206305871441</v>
      </c>
      <c r="AG64" s="44">
        <f t="shared" si="31"/>
        <v>12219.320479581527</v>
      </c>
      <c r="AH64" s="52">
        <f>HLOOKUP(I64,ElecAvoidedCostsWOCC!$A$5:$Q$50,T64+1,FALSE)</f>
        <v>2.0508206305871441</v>
      </c>
      <c r="AI64" s="44">
        <f t="shared" si="32"/>
        <v>0</v>
      </c>
      <c r="AJ64" s="44">
        <f t="shared" si="33"/>
        <v>12219.320479581527</v>
      </c>
      <c r="AK64" s="44">
        <f>HLOOKUP(I64,ElecAvoidedCostsWOCC!$A$5:$Q$50,G64+1,FALSE)*J64*L64</f>
        <v>0</v>
      </c>
      <c r="AL64" s="44">
        <f t="shared" si="34"/>
        <v>12219.320479581527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12219.320479581527</v>
      </c>
      <c r="AN64" s="48">
        <f t="shared" si="35"/>
        <v>13970.035740076244</v>
      </c>
      <c r="AO64" s="47">
        <f t="shared" si="36"/>
        <v>3.1784419557565493</v>
      </c>
      <c r="AP64" s="47">
        <f t="shared" si="37"/>
        <v>0.54282850448031839</v>
      </c>
      <c r="AQ64">
        <v>2021</v>
      </c>
    </row>
    <row r="65" spans="2:43">
      <c r="B65" s="97" t="s">
        <v>15</v>
      </c>
      <c r="C65" s="61">
        <v>18230627</v>
      </c>
      <c r="D65" s="61" t="s">
        <v>80</v>
      </c>
      <c r="E65" s="38" t="s">
        <v>761</v>
      </c>
      <c r="F65" s="39" t="s">
        <v>760</v>
      </c>
      <c r="G65" s="39">
        <v>25</v>
      </c>
      <c r="H65" s="39"/>
      <c r="I65" s="40" t="s">
        <v>269</v>
      </c>
      <c r="J65" s="41">
        <v>6046.2</v>
      </c>
      <c r="K65" s="41">
        <v>6.71</v>
      </c>
      <c r="L65" s="41"/>
      <c r="M65" s="42">
        <v>200</v>
      </c>
      <c r="N65" s="42">
        <v>18.53</v>
      </c>
      <c r="O65" s="43">
        <v>40599.03</v>
      </c>
      <c r="P65" s="44">
        <v>61735.17</v>
      </c>
      <c r="Q65" s="44">
        <v>112036.09</v>
      </c>
      <c r="R65" s="45">
        <v>0</v>
      </c>
      <c r="S65" s="46">
        <v>0</v>
      </c>
      <c r="T65" s="39">
        <f t="shared" si="19"/>
        <v>25</v>
      </c>
      <c r="U65" s="47">
        <f t="shared" si="20"/>
        <v>0.36475709703726916</v>
      </c>
      <c r="V65" s="48">
        <f t="shared" si="21"/>
        <v>-181.47</v>
      </c>
      <c r="W65" s="49">
        <f t="shared" si="22"/>
        <v>1.4590283881490767E-2</v>
      </c>
      <c r="X65" s="44">
        <f t="shared" si="23"/>
        <v>4527.5684769838917</v>
      </c>
      <c r="Y65" s="44">
        <f t="shared" si="24"/>
        <v>50300.92</v>
      </c>
      <c r="Z65" s="44">
        <f t="shared" si="25"/>
        <v>28021.5678446522</v>
      </c>
      <c r="AA65" s="50">
        <f t="shared" si="26"/>
        <v>116563.6584769839</v>
      </c>
      <c r="AB65" s="51">
        <f t="shared" si="27"/>
        <v>26195.725759233614</v>
      </c>
      <c r="AC65" s="44">
        <f t="shared" si="28"/>
        <v>108968.55050666905</v>
      </c>
      <c r="AD65" s="44">
        <f t="shared" si="29"/>
        <v>0</v>
      </c>
      <c r="AE65" s="44">
        <f t="shared" si="30"/>
        <v>0</v>
      </c>
      <c r="AF65" s="52">
        <f>HLOOKUP(I65,ElecAvoidedCostsWOCC!$A$5:$Q$50,G65+1,FALSE)</f>
        <v>2.0508206305871441</v>
      </c>
      <c r="AG65" s="44">
        <f t="shared" si="31"/>
        <v>83201.797084561695</v>
      </c>
      <c r="AH65" s="52">
        <f>HLOOKUP(I65,ElecAvoidedCostsWOCC!$A$5:$Q$50,T65+1,FALSE)</f>
        <v>2.0508206305871441</v>
      </c>
      <c r="AI65" s="44">
        <f t="shared" si="32"/>
        <v>0</v>
      </c>
      <c r="AJ65" s="44">
        <f t="shared" si="33"/>
        <v>83201.797084561695</v>
      </c>
      <c r="AK65" s="44">
        <f>HLOOKUP(I65,ElecAvoidedCostsWOCC!$A$5:$Q$50,G65+1,FALSE)*J65*L65</f>
        <v>0</v>
      </c>
      <c r="AL65" s="44">
        <f t="shared" si="34"/>
        <v>83201.797084561695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83201.797084561695</v>
      </c>
      <c r="AN65" s="48">
        <f t="shared" si="35"/>
        <v>91521.976793017879</v>
      </c>
      <c r="AO65" s="47">
        <f t="shared" si="36"/>
        <v>3.1761592654188733</v>
      </c>
      <c r="AP65" s="47">
        <f t="shared" si="37"/>
        <v>0.8398934955771169</v>
      </c>
      <c r="AQ65">
        <v>2021</v>
      </c>
    </row>
    <row r="66" spans="2:43">
      <c r="B66" s="97" t="s">
        <v>15</v>
      </c>
      <c r="C66" s="61">
        <v>18230627</v>
      </c>
      <c r="D66" s="61" t="s">
        <v>80</v>
      </c>
      <c r="E66" s="38" t="s">
        <v>762</v>
      </c>
      <c r="F66" s="39" t="s">
        <v>763</v>
      </c>
      <c r="G66" s="39">
        <v>25</v>
      </c>
      <c r="H66" s="39"/>
      <c r="I66" s="40" t="s">
        <v>269</v>
      </c>
      <c r="J66" s="41">
        <v>126.62</v>
      </c>
      <c r="K66" s="41">
        <v>3.95</v>
      </c>
      <c r="L66" s="41"/>
      <c r="M66" s="42">
        <v>200</v>
      </c>
      <c r="N66" s="42">
        <v>17.809999999999999</v>
      </c>
      <c r="O66" s="43">
        <v>500.15</v>
      </c>
      <c r="P66" s="44">
        <v>1800</v>
      </c>
      <c r="Q66" s="44">
        <v>2255.1</v>
      </c>
      <c r="R66" s="45">
        <v>0.03</v>
      </c>
      <c r="S66" s="46">
        <v>0</v>
      </c>
      <c r="T66" s="39">
        <f t="shared" si="19"/>
        <v>25</v>
      </c>
      <c r="U66" s="47">
        <f t="shared" si="20"/>
        <v>4.4935374584858349E-3</v>
      </c>
      <c r="V66" s="48">
        <f t="shared" si="21"/>
        <v>-182.19</v>
      </c>
      <c r="W66" s="49">
        <f t="shared" si="22"/>
        <v>1.7974149833943341E-4</v>
      </c>
      <c r="X66" s="44">
        <f t="shared" si="23"/>
        <v>55.776292531213031</v>
      </c>
      <c r="Y66" s="44">
        <f t="shared" si="24"/>
        <v>455.09999999999991</v>
      </c>
      <c r="Z66" s="44">
        <f t="shared" si="25"/>
        <v>345.20497552534624</v>
      </c>
      <c r="AA66" s="50">
        <f t="shared" si="26"/>
        <v>2310.876292531213</v>
      </c>
      <c r="AB66" s="51">
        <f t="shared" si="27"/>
        <v>322.71195244026006</v>
      </c>
      <c r="AC66" s="44">
        <f t="shared" si="28"/>
        <v>2160.3031621307027</v>
      </c>
      <c r="AD66" s="44">
        <f t="shared" si="29"/>
        <v>44.387193468251382</v>
      </c>
      <c r="AE66" s="44">
        <f t="shared" si="30"/>
        <v>0</v>
      </c>
      <c r="AF66" s="52">
        <f>HLOOKUP(I66,ElecAvoidedCostsWOCC!$A$5:$Q$50,G66+1,FALSE)</f>
        <v>2.0508206305871441</v>
      </c>
      <c r="AG66" s="44">
        <f t="shared" si="31"/>
        <v>1025.7158875675298</v>
      </c>
      <c r="AH66" s="52">
        <f>HLOOKUP(I66,ElecAvoidedCostsWOCC!$A$5:$Q$50,T66+1,FALSE)</f>
        <v>2.0508206305871441</v>
      </c>
      <c r="AI66" s="44">
        <f t="shared" si="32"/>
        <v>0</v>
      </c>
      <c r="AJ66" s="44">
        <f t="shared" si="33"/>
        <v>1025.7158875675298</v>
      </c>
      <c r="AK66" s="44">
        <f>HLOOKUP(I66,ElecAvoidedCostsWOCC!$A$5:$Q$50,G66+1,FALSE)*J66*L66</f>
        <v>0</v>
      </c>
      <c r="AL66" s="44">
        <f t="shared" si="34"/>
        <v>1025.7158875675298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1025.7158875675295</v>
      </c>
      <c r="AN66" s="48">
        <f t="shared" si="35"/>
        <v>1172.6746697925339</v>
      </c>
      <c r="AO66" s="47">
        <f t="shared" si="36"/>
        <v>3.1784254652216779</v>
      </c>
      <c r="AP66" s="47">
        <f t="shared" si="37"/>
        <v>0.54282875216269522</v>
      </c>
      <c r="AQ66">
        <v>2021</v>
      </c>
    </row>
    <row r="67" spans="2:43">
      <c r="B67" s="97" t="s">
        <v>15</v>
      </c>
      <c r="C67" s="61">
        <v>18230627</v>
      </c>
      <c r="D67" s="61" t="s">
        <v>80</v>
      </c>
      <c r="E67" s="38" t="s">
        <v>764</v>
      </c>
      <c r="F67" s="39" t="s">
        <v>763</v>
      </c>
      <c r="G67" s="39">
        <v>25</v>
      </c>
      <c r="H67" s="39"/>
      <c r="I67" s="40" t="s">
        <v>269</v>
      </c>
      <c r="J67" s="41">
        <v>1567.05</v>
      </c>
      <c r="K67" s="41">
        <v>5.16</v>
      </c>
      <c r="L67" s="41"/>
      <c r="M67" s="42">
        <v>200</v>
      </c>
      <c r="N67" s="42">
        <v>18.53</v>
      </c>
      <c r="O67" s="43">
        <v>8092.58</v>
      </c>
      <c r="P67" s="44">
        <v>18000</v>
      </c>
      <c r="Q67" s="44">
        <v>29037.43</v>
      </c>
      <c r="R67" s="45">
        <v>0</v>
      </c>
      <c r="S67" s="46">
        <v>0</v>
      </c>
      <c r="T67" s="39">
        <f t="shared" si="19"/>
        <v>25</v>
      </c>
      <c r="U67" s="47">
        <f t="shared" si="20"/>
        <v>7.2706810688380086E-2</v>
      </c>
      <c r="V67" s="48">
        <f t="shared" si="21"/>
        <v>-181.47</v>
      </c>
      <c r="W67" s="49">
        <f t="shared" si="22"/>
        <v>2.9082724275352034E-3</v>
      </c>
      <c r="X67" s="44">
        <f t="shared" si="23"/>
        <v>902.47747558181334</v>
      </c>
      <c r="Y67" s="44">
        <f t="shared" si="24"/>
        <v>11037.43</v>
      </c>
      <c r="Z67" s="44">
        <f t="shared" si="25"/>
        <v>5585.5221050423006</v>
      </c>
      <c r="AA67" s="50">
        <f t="shared" si="26"/>
        <v>29939.907475581815</v>
      </c>
      <c r="AB67" s="51">
        <f t="shared" si="27"/>
        <v>5221.5781107247831</v>
      </c>
      <c r="AC67" s="44">
        <f t="shared" si="28"/>
        <v>27989.069342415456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2.0508206305871441</v>
      </c>
      <c r="AG67" s="44">
        <f t="shared" si="31"/>
        <v>16582.890500873775</v>
      </c>
      <c r="AH67" s="52">
        <f>HLOOKUP(I67,ElecAvoidedCostsWOCC!$A$5:$Q$50,T67+1,FALSE)</f>
        <v>2.0508206305871441</v>
      </c>
      <c r="AI67" s="44">
        <f t="shared" si="32"/>
        <v>0</v>
      </c>
      <c r="AJ67" s="44">
        <f t="shared" si="33"/>
        <v>16582.890500873775</v>
      </c>
      <c r="AK67" s="44">
        <f>HLOOKUP(I67,ElecAvoidedCostsWOCC!$A$5:$Q$50,G67+1,FALSE)*J67*L67</f>
        <v>0</v>
      </c>
      <c r="AL67" s="44">
        <f t="shared" si="34"/>
        <v>16582.890500873775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16582.890500873775</v>
      </c>
      <c r="AN67" s="48">
        <f t="shared" si="35"/>
        <v>18241.179550961155</v>
      </c>
      <c r="AO67" s="47">
        <f t="shared" si="36"/>
        <v>3.1758388267358466</v>
      </c>
      <c r="AP67" s="47">
        <f t="shared" si="37"/>
        <v>0.65172511910990683</v>
      </c>
      <c r="AQ67">
        <v>2021</v>
      </c>
    </row>
    <row r="68" spans="2:43">
      <c r="B68" s="97" t="s">
        <v>15</v>
      </c>
      <c r="C68" s="61">
        <v>18230627</v>
      </c>
      <c r="D68" s="61" t="s">
        <v>80</v>
      </c>
      <c r="E68" s="38" t="s">
        <v>765</v>
      </c>
      <c r="F68" s="39" t="s">
        <v>766</v>
      </c>
      <c r="G68" s="39">
        <v>25</v>
      </c>
      <c r="H68" s="39"/>
      <c r="I68" s="40" t="s">
        <v>269</v>
      </c>
      <c r="J68" s="41">
        <v>274.07</v>
      </c>
      <c r="K68" s="41"/>
      <c r="L68" s="41"/>
      <c r="M68" s="42"/>
      <c r="N68" s="42"/>
      <c r="O68" s="43">
        <v>0</v>
      </c>
      <c r="P68" s="44">
        <v>0</v>
      </c>
      <c r="Q68" s="44">
        <v>0</v>
      </c>
      <c r="R68" s="45">
        <v>0</v>
      </c>
      <c r="S68" s="46">
        <v>0</v>
      </c>
      <c r="T68" s="39">
        <f t="shared" ref="T68:T131" si="38">G68+H68</f>
        <v>25</v>
      </c>
      <c r="U68" s="47">
        <f t="shared" ref="U68:U131" si="39">(O68/$A$10)*T68</f>
        <v>0</v>
      </c>
      <c r="V68" s="48">
        <f t="shared" ref="V68:V131" si="40">N68-M68</f>
        <v>0</v>
      </c>
      <c r="W68" s="49">
        <f t="shared" ref="W68:W131" si="41">(O68/A$10)</f>
        <v>0</v>
      </c>
      <c r="X68" s="44">
        <f t="shared" ref="X68:X131" si="42">W68*A$8</f>
        <v>0</v>
      </c>
      <c r="Y68" s="44">
        <f t="shared" ref="Y68:Y131" si="43">Q68-P68</f>
        <v>0</v>
      </c>
      <c r="Z68" s="44">
        <f t="shared" ref="Z68:Z131" si="44">X68+(A$6*W68)</f>
        <v>0</v>
      </c>
      <c r="AA68" s="50">
        <f t="shared" ref="AA68:AA131" si="45">Q68+X68</f>
        <v>0</v>
      </c>
      <c r="AB68" s="51">
        <f t="shared" ref="AB68:AB131" si="46">Z68/(1+ElecDiscountRate)^1</f>
        <v>0</v>
      </c>
      <c r="AC68" s="44">
        <f t="shared" ref="AC68:AC131" si="47">AA68/(1+ElecDiscountRate)^1</f>
        <v>0</v>
      </c>
      <c r="AD68" s="44">
        <f t="shared" ref="AD68:AD131" si="48">-PV(ElecDiscountRate,T68,R68)*J68</f>
        <v>0</v>
      </c>
      <c r="AE68" s="44">
        <f t="shared" ref="AE68:AE131" si="49">-PV(ElecDiscountRate,T68,S68)*J68</f>
        <v>0</v>
      </c>
      <c r="AF68" s="52">
        <f>HLOOKUP(I68,ElecAvoidedCostsWOCC!$A$5:$Q$50,G68+1,FALSE)</f>
        <v>2.0508206305871441</v>
      </c>
      <c r="AG68" s="44">
        <f t="shared" ref="AG68:AG131" si="50">AF68*J68*K68</f>
        <v>0</v>
      </c>
      <c r="AH68" s="52">
        <f>HLOOKUP(I68,ElecAvoidedCostsWOCC!$A$5:$Q$50,T68+1,FALSE)</f>
        <v>2.0508206305871441</v>
      </c>
      <c r="AI68" s="44">
        <f t="shared" ref="AI68:AI131" si="51">AH68*J68*L68</f>
        <v>0</v>
      </c>
      <c r="AJ68" s="44">
        <f t="shared" ref="AJ68:AJ131" si="52">AG68+AI68</f>
        <v>0</v>
      </c>
      <c r="AK68" s="44">
        <f>HLOOKUP(I68,ElecAvoidedCostsWOCC!$A$5:$Q$50,G68+1,FALSE)*J68*L68</f>
        <v>0</v>
      </c>
      <c r="AL68" s="44">
        <f t="shared" ref="AL68:AL131" si="53">AG68+AI68-AK68</f>
        <v>0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ref="AN68:AN131" si="54">AM68*1.1+AD68+AE68</f>
        <v>0</v>
      </c>
      <c r="AO68" s="47">
        <f t="shared" ref="AO68:AO131" si="55">IFERROR(AM68/AB68,0)</f>
        <v>0</v>
      </c>
      <c r="AP68" s="47" t="e">
        <f t="shared" ref="AP68:AP131" si="56">AN68/AC68</f>
        <v>#DIV/0!</v>
      </c>
      <c r="AQ68">
        <v>2021</v>
      </c>
    </row>
    <row r="69" spans="2:43">
      <c r="B69" s="97" t="s">
        <v>15</v>
      </c>
      <c r="C69" s="61">
        <v>18230627</v>
      </c>
      <c r="D69" s="61" t="s">
        <v>80</v>
      </c>
      <c r="E69" s="38" t="s">
        <v>767</v>
      </c>
      <c r="F69" s="39" t="s">
        <v>766</v>
      </c>
      <c r="G69" s="39">
        <v>25</v>
      </c>
      <c r="H69" s="39"/>
      <c r="I69" s="40" t="s">
        <v>269</v>
      </c>
      <c r="J69" s="41">
        <v>761.45</v>
      </c>
      <c r="K69" s="41">
        <v>0.21</v>
      </c>
      <c r="L69" s="41"/>
      <c r="M69" s="42">
        <v>0</v>
      </c>
      <c r="N69" s="42">
        <v>0</v>
      </c>
      <c r="O69" s="43">
        <v>157.99</v>
      </c>
      <c r="P69" s="44">
        <v>0</v>
      </c>
      <c r="Q69" s="44">
        <v>0</v>
      </c>
      <c r="R69" s="45">
        <v>0</v>
      </c>
      <c r="S69" s="46">
        <v>0</v>
      </c>
      <c r="T69" s="39">
        <f t="shared" si="38"/>
        <v>25</v>
      </c>
      <c r="U69" s="47">
        <f t="shared" si="39"/>
        <v>1.4194421334923065E-3</v>
      </c>
      <c r="V69" s="48">
        <f t="shared" si="40"/>
        <v>0</v>
      </c>
      <c r="W69" s="49">
        <f t="shared" si="41"/>
        <v>5.6777685339692266E-5</v>
      </c>
      <c r="X69" s="44">
        <f t="shared" si="42"/>
        <v>17.618907241840141</v>
      </c>
      <c r="Y69" s="44">
        <f t="shared" si="43"/>
        <v>0</v>
      </c>
      <c r="Z69" s="44">
        <f t="shared" si="44"/>
        <v>109.0451546201129</v>
      </c>
      <c r="AA69" s="50">
        <f t="shared" si="45"/>
        <v>17.618907241840141</v>
      </c>
      <c r="AB69" s="51">
        <f t="shared" si="46"/>
        <v>101.93994074984845</v>
      </c>
      <c r="AC69" s="44">
        <f t="shared" si="47"/>
        <v>16.47088645586626</v>
      </c>
      <c r="AD69" s="44">
        <f t="shared" si="48"/>
        <v>0</v>
      </c>
      <c r="AE69" s="44">
        <f t="shared" si="49"/>
        <v>0</v>
      </c>
      <c r="AF69" s="52">
        <f>HLOOKUP(I69,ElecAvoidedCostsWOCC!$A$5:$Q$50,G69+1,FALSE)</f>
        <v>2.0508206305871441</v>
      </c>
      <c r="AG69" s="44">
        <f t="shared" si="50"/>
        <v>327.93544752372196</v>
      </c>
      <c r="AH69" s="52">
        <f>HLOOKUP(I69,ElecAvoidedCostsWOCC!$A$5:$Q$50,T69+1,FALSE)</f>
        <v>2.0508206305871441</v>
      </c>
      <c r="AI69" s="44">
        <f t="shared" si="51"/>
        <v>0</v>
      </c>
      <c r="AJ69" s="44">
        <f t="shared" si="52"/>
        <v>327.93544752372196</v>
      </c>
      <c r="AK69" s="44">
        <f>HLOOKUP(I69,ElecAvoidedCostsWOCC!$A$5:$Q$50,G69+1,FALSE)*J69*L69</f>
        <v>0</v>
      </c>
      <c r="AL69" s="44">
        <f t="shared" si="53"/>
        <v>327.93544752372196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327.93544752372202</v>
      </c>
      <c r="AN69" s="48">
        <f t="shared" si="54"/>
        <v>360.72899227609423</v>
      </c>
      <c r="AO69" s="47">
        <f t="shared" si="55"/>
        <v>3.2169475978845865</v>
      </c>
      <c r="AP69" s="47">
        <f t="shared" si="56"/>
        <v>21.901006557398567</v>
      </c>
      <c r="AQ69">
        <v>2021</v>
      </c>
    </row>
    <row r="70" spans="2:43">
      <c r="B70" s="97" t="s">
        <v>15</v>
      </c>
      <c r="C70" s="61">
        <v>18230627</v>
      </c>
      <c r="D70" s="61" t="s">
        <v>80</v>
      </c>
      <c r="E70" s="38" t="s">
        <v>768</v>
      </c>
      <c r="F70" s="39" t="s">
        <v>769</v>
      </c>
      <c r="G70" s="39"/>
      <c r="H70" s="39"/>
      <c r="I70" s="40"/>
      <c r="J70" s="41">
        <v>64</v>
      </c>
      <c r="K70" s="41">
        <v>0</v>
      </c>
      <c r="L70" s="41"/>
      <c r="M70" s="42">
        <v>250</v>
      </c>
      <c r="N70" s="42">
        <v>0</v>
      </c>
      <c r="O70" s="43">
        <v>0</v>
      </c>
      <c r="P70" s="44">
        <v>16000</v>
      </c>
      <c r="Q70" s="44">
        <v>0</v>
      </c>
      <c r="R70" s="45">
        <v>0</v>
      </c>
      <c r="S70" s="46">
        <v>0</v>
      </c>
      <c r="T70" s="39">
        <f t="shared" si="38"/>
        <v>0</v>
      </c>
      <c r="U70" s="47">
        <f t="shared" si="39"/>
        <v>0</v>
      </c>
      <c r="V70" s="48">
        <f t="shared" si="40"/>
        <v>-250</v>
      </c>
      <c r="W70" s="49">
        <f t="shared" si="41"/>
        <v>0</v>
      </c>
      <c r="X70" s="44">
        <f t="shared" si="42"/>
        <v>0</v>
      </c>
      <c r="Y70" s="44">
        <f t="shared" si="43"/>
        <v>-16000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HLOOKUP(I70,ElecAvoidedCostsWOCC!$A$5:$Q$50,G70+1,FALSE)</f>
        <v>#N/A</v>
      </c>
      <c r="AG70" s="44" t="e">
        <f t="shared" si="50"/>
        <v>#N/A</v>
      </c>
      <c r="AH70" s="52" t="e">
        <f>HLOOKUP(I70,ElecAvoidedCostsWOCC!$A$5:$Q$50,T70+1,FALSE)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HLOOKUP(I70,ElecAvoidedCostsWOCC!$A$5:$Q$50,G70+1,FALSE)*J70*L70</f>
        <v>#N/A</v>
      </c>
      <c r="AL70" s="44" t="e">
        <f t="shared" si="53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  <c r="AQ70">
        <v>2021</v>
      </c>
    </row>
    <row r="71" spans="2:43">
      <c r="B71" s="97" t="s">
        <v>15</v>
      </c>
      <c r="C71" s="61">
        <v>18230627</v>
      </c>
      <c r="D71" s="61" t="s">
        <v>80</v>
      </c>
      <c r="E71" s="38" t="s">
        <v>770</v>
      </c>
      <c r="F71" s="39" t="s">
        <v>769</v>
      </c>
      <c r="G71" s="39"/>
      <c r="H71" s="39"/>
      <c r="I71" s="40" t="s">
        <v>269</v>
      </c>
      <c r="J71" s="41">
        <v>65</v>
      </c>
      <c r="K71" s="41">
        <v>0</v>
      </c>
      <c r="L71" s="41"/>
      <c r="M71" s="42">
        <v>400</v>
      </c>
      <c r="N71" s="42">
        <v>0</v>
      </c>
      <c r="O71" s="43">
        <v>0</v>
      </c>
      <c r="P71" s="44">
        <v>25850</v>
      </c>
      <c r="Q71" s="44">
        <v>0</v>
      </c>
      <c r="R71" s="45">
        <v>0</v>
      </c>
      <c r="S71" s="46">
        <v>0</v>
      </c>
      <c r="T71" s="39">
        <f t="shared" si="38"/>
        <v>0</v>
      </c>
      <c r="U71" s="47">
        <f t="shared" si="39"/>
        <v>0</v>
      </c>
      <c r="V71" s="48">
        <f t="shared" si="40"/>
        <v>-400</v>
      </c>
      <c r="W71" s="49">
        <f t="shared" si="41"/>
        <v>0</v>
      </c>
      <c r="X71" s="44">
        <f t="shared" si="42"/>
        <v>0</v>
      </c>
      <c r="Y71" s="44">
        <f t="shared" si="43"/>
        <v>-25850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str">
        <f>HLOOKUP(I71,ElecAvoidedCostsWOCC!$A$5:$Q$50,G71+1,FALSE)</f>
        <v>SF Space Heat</v>
      </c>
      <c r="AG71" s="44" t="e">
        <f t="shared" si="50"/>
        <v>#VALUE!</v>
      </c>
      <c r="AH71" s="52" t="str">
        <f>HLOOKUP(I71,ElecAvoidedCostsWOCC!$A$5:$Q$50,T71+1,FALSE)</f>
        <v>SF Space Heat</v>
      </c>
      <c r="AI71" s="44" t="e">
        <f t="shared" si="51"/>
        <v>#VALUE!</v>
      </c>
      <c r="AJ71" s="44" t="e">
        <f t="shared" si="52"/>
        <v>#VALUE!</v>
      </c>
      <c r="AK71" s="44" t="e">
        <f>HLOOKUP(I71,ElecAvoidedCostsWOCC!$A$5:$Q$50,G71+1,FALSE)*J71*L71</f>
        <v>#VALUE!</v>
      </c>
      <c r="AL71" s="44" t="e">
        <f t="shared" si="53"/>
        <v>#VALUE!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  <c r="AQ71">
        <v>2021</v>
      </c>
    </row>
    <row r="72" spans="2:43">
      <c r="B72" s="97" t="s">
        <v>15</v>
      </c>
      <c r="C72" s="61">
        <v>18230627</v>
      </c>
      <c r="D72" s="61" t="s">
        <v>80</v>
      </c>
      <c r="E72" s="38" t="s">
        <v>771</v>
      </c>
      <c r="F72" s="39" t="s">
        <v>772</v>
      </c>
      <c r="G72" s="39"/>
      <c r="H72" s="39"/>
      <c r="I72" s="40"/>
      <c r="J72" s="41">
        <v>290</v>
      </c>
      <c r="K72" s="41"/>
      <c r="L72" s="41"/>
      <c r="M72" s="42"/>
      <c r="N72" s="42"/>
      <c r="O72" s="43">
        <v>0</v>
      </c>
      <c r="P72" s="44">
        <v>0</v>
      </c>
      <c r="Q72" s="44">
        <v>0</v>
      </c>
      <c r="R72" s="45">
        <v>0</v>
      </c>
      <c r="S72" s="46">
        <v>0</v>
      </c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HLOOKUP(I72,ElecAvoidedCostsWOCC!$A$5:$Q$50,G72+1,FALSE)</f>
        <v>#N/A</v>
      </c>
      <c r="AG72" s="44" t="e">
        <f t="shared" si="50"/>
        <v>#N/A</v>
      </c>
      <c r="AH72" s="52" t="e">
        <f>HLOOKUP(I72,ElecAvoidedCostsWOCC!$A$5:$Q$50,T72+1,FALSE)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HLOOKUP(I72,ElecAvoidedCostsWOCC!$A$5:$Q$50,G72+1,FALSE)*J72*L72</f>
        <v>#N/A</v>
      </c>
      <c r="AL72" s="44" t="e">
        <f t="shared" si="53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  <c r="AQ72">
        <v>2021</v>
      </c>
    </row>
    <row r="73" spans="2:43">
      <c r="B73" s="97" t="s">
        <v>15</v>
      </c>
      <c r="C73" s="61">
        <v>18230627</v>
      </c>
      <c r="D73" s="61" t="s">
        <v>80</v>
      </c>
      <c r="E73" s="38" t="s">
        <v>773</v>
      </c>
      <c r="F73" s="39" t="s">
        <v>772</v>
      </c>
      <c r="G73" s="39"/>
      <c r="H73" s="39"/>
      <c r="I73" s="40" t="s">
        <v>269</v>
      </c>
      <c r="J73" s="41">
        <v>370</v>
      </c>
      <c r="K73" s="41"/>
      <c r="L73" s="41"/>
      <c r="M73" s="42"/>
      <c r="N73" s="42"/>
      <c r="O73" s="43">
        <v>0</v>
      </c>
      <c r="P73" s="44">
        <v>0</v>
      </c>
      <c r="Q73" s="44">
        <v>0</v>
      </c>
      <c r="R73" s="45">
        <v>0</v>
      </c>
      <c r="S73" s="46">
        <v>0</v>
      </c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str">
        <f>HLOOKUP(I73,ElecAvoidedCostsWOCC!$A$5:$Q$50,G73+1,FALSE)</f>
        <v>SF Space Heat</v>
      </c>
      <c r="AG73" s="44" t="e">
        <f t="shared" si="50"/>
        <v>#VALUE!</v>
      </c>
      <c r="AH73" s="52" t="str">
        <f>HLOOKUP(I73,ElecAvoidedCostsWOCC!$A$5:$Q$50,T73+1,FALSE)</f>
        <v>SF Space Heat</v>
      </c>
      <c r="AI73" s="44" t="e">
        <f t="shared" si="51"/>
        <v>#VALUE!</v>
      </c>
      <c r="AJ73" s="44" t="e">
        <f t="shared" si="52"/>
        <v>#VALUE!</v>
      </c>
      <c r="AK73" s="44" t="e">
        <f>HLOOKUP(I73,ElecAvoidedCostsWOCC!$A$5:$Q$50,G73+1,FALSE)*J73*L73</f>
        <v>#VALUE!</v>
      </c>
      <c r="AL73" s="44" t="e">
        <f t="shared" si="53"/>
        <v>#VALUE!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  <c r="AQ73">
        <v>2021</v>
      </c>
    </row>
    <row r="74" spans="2:43">
      <c r="B74" s="97" t="s">
        <v>15</v>
      </c>
      <c r="C74" s="61">
        <v>18230627</v>
      </c>
      <c r="D74" s="61" t="s">
        <v>80</v>
      </c>
      <c r="E74" s="38" t="s">
        <v>774</v>
      </c>
      <c r="F74" s="39" t="s">
        <v>775</v>
      </c>
      <c r="G74" s="39"/>
      <c r="H74" s="39"/>
      <c r="I74" s="40"/>
      <c r="J74" s="41">
        <v>14</v>
      </c>
      <c r="K74" s="41">
        <v>0</v>
      </c>
      <c r="L74" s="41"/>
      <c r="M74" s="42">
        <v>400</v>
      </c>
      <c r="N74" s="42">
        <v>0</v>
      </c>
      <c r="O74" s="43">
        <v>0</v>
      </c>
      <c r="P74" s="44">
        <v>5600</v>
      </c>
      <c r="Q74" s="44">
        <v>0</v>
      </c>
      <c r="R74" s="45">
        <v>0</v>
      </c>
      <c r="S74" s="46">
        <v>0</v>
      </c>
      <c r="T74" s="39">
        <f t="shared" si="38"/>
        <v>0</v>
      </c>
      <c r="U74" s="47">
        <f t="shared" si="39"/>
        <v>0</v>
      </c>
      <c r="V74" s="48">
        <f t="shared" si="40"/>
        <v>-400</v>
      </c>
      <c r="W74" s="49">
        <f t="shared" si="41"/>
        <v>0</v>
      </c>
      <c r="X74" s="44">
        <f t="shared" si="42"/>
        <v>0</v>
      </c>
      <c r="Y74" s="44">
        <f t="shared" si="43"/>
        <v>-5600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HLOOKUP(I74,ElecAvoidedCostsWOCC!$A$5:$Q$50,G74+1,FALSE)</f>
        <v>#N/A</v>
      </c>
      <c r="AG74" s="44" t="e">
        <f t="shared" si="50"/>
        <v>#N/A</v>
      </c>
      <c r="AH74" s="52" t="e">
        <f>HLOOKUP(I74,ElecAvoidedCostsWOCC!$A$5:$Q$50,T74+1,FALSE)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HLOOKUP(I74,ElecAvoidedCostsWOCC!$A$5:$Q$50,G74+1,FALSE)*J74*L74</f>
        <v>#N/A</v>
      </c>
      <c r="AL74" s="44" t="e">
        <f t="shared" si="53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  <c r="AQ74">
        <v>2021</v>
      </c>
    </row>
    <row r="75" spans="2:43">
      <c r="B75" s="97" t="s">
        <v>15</v>
      </c>
      <c r="C75" s="61">
        <v>18230627</v>
      </c>
      <c r="D75" s="61" t="s">
        <v>80</v>
      </c>
      <c r="E75" s="38" t="s">
        <v>776</v>
      </c>
      <c r="F75" s="39" t="s">
        <v>775</v>
      </c>
      <c r="G75" s="39"/>
      <c r="H75" s="39"/>
      <c r="I75" s="40" t="s">
        <v>269</v>
      </c>
      <c r="J75" s="41">
        <v>10</v>
      </c>
      <c r="K75" s="41">
        <v>0</v>
      </c>
      <c r="L75" s="41"/>
      <c r="M75" s="42">
        <v>600</v>
      </c>
      <c r="N75" s="42">
        <v>0</v>
      </c>
      <c r="O75" s="43">
        <v>0</v>
      </c>
      <c r="P75" s="44">
        <v>6000</v>
      </c>
      <c r="Q75" s="44">
        <v>0</v>
      </c>
      <c r="R75" s="45">
        <v>0</v>
      </c>
      <c r="S75" s="46">
        <v>0</v>
      </c>
      <c r="T75" s="39">
        <f t="shared" si="38"/>
        <v>0</v>
      </c>
      <c r="U75" s="47">
        <f t="shared" si="39"/>
        <v>0</v>
      </c>
      <c r="V75" s="48">
        <f t="shared" si="40"/>
        <v>-600</v>
      </c>
      <c r="W75" s="49">
        <f t="shared" si="41"/>
        <v>0</v>
      </c>
      <c r="X75" s="44">
        <f t="shared" si="42"/>
        <v>0</v>
      </c>
      <c r="Y75" s="44">
        <f t="shared" si="43"/>
        <v>-6000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str">
        <f>HLOOKUP(I75,ElecAvoidedCostsWOCC!$A$5:$Q$50,G75+1,FALSE)</f>
        <v>SF Space Heat</v>
      </c>
      <c r="AG75" s="44" t="e">
        <f t="shared" si="50"/>
        <v>#VALUE!</v>
      </c>
      <c r="AH75" s="52" t="str">
        <f>HLOOKUP(I75,ElecAvoidedCostsWOCC!$A$5:$Q$50,T75+1,FALSE)</f>
        <v>SF Space Heat</v>
      </c>
      <c r="AI75" s="44" t="e">
        <f t="shared" si="51"/>
        <v>#VALUE!</v>
      </c>
      <c r="AJ75" s="44" t="e">
        <f t="shared" si="52"/>
        <v>#VALUE!</v>
      </c>
      <c r="AK75" s="44" t="e">
        <f>HLOOKUP(I75,ElecAvoidedCostsWOCC!$A$5:$Q$50,G75+1,FALSE)*J75*L75</f>
        <v>#VALUE!</v>
      </c>
      <c r="AL75" s="44" t="e">
        <f t="shared" si="53"/>
        <v>#VALUE!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  <c r="AQ75">
        <v>2021</v>
      </c>
    </row>
    <row r="76" spans="2:43">
      <c r="B76" s="97" t="s">
        <v>15</v>
      </c>
      <c r="C76" s="61">
        <v>18230627</v>
      </c>
      <c r="D76" s="61" t="s">
        <v>80</v>
      </c>
      <c r="E76" s="38" t="s">
        <v>777</v>
      </c>
      <c r="F76" s="39" t="s">
        <v>778</v>
      </c>
      <c r="G76" s="39"/>
      <c r="H76" s="39"/>
      <c r="I76" s="40"/>
      <c r="J76" s="41">
        <v>71</v>
      </c>
      <c r="K76" s="41"/>
      <c r="L76" s="41"/>
      <c r="M76" s="42"/>
      <c r="N76" s="42"/>
      <c r="O76" s="43">
        <v>0</v>
      </c>
      <c r="P76" s="44">
        <v>0</v>
      </c>
      <c r="Q76" s="44">
        <v>0</v>
      </c>
      <c r="R76" s="45">
        <v>0</v>
      </c>
      <c r="S76" s="46">
        <v>0</v>
      </c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HLOOKUP(I76,ElecAvoidedCostsWOCC!$A$5:$Q$50,G76+1,FALSE)</f>
        <v>#N/A</v>
      </c>
      <c r="AG76" s="44" t="e">
        <f t="shared" si="50"/>
        <v>#N/A</v>
      </c>
      <c r="AH76" s="52" t="e">
        <f>HLOOKUP(I76,ElecAvoidedCostsWOCC!$A$5:$Q$50,T76+1,FALSE)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HLOOKUP(I76,ElecAvoidedCostsWOCC!$A$5:$Q$50,G76+1,FALSE)*J76*L76</f>
        <v>#N/A</v>
      </c>
      <c r="AL76" s="44" t="e">
        <f t="shared" si="53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  <c r="AQ76">
        <v>2021</v>
      </c>
    </row>
    <row r="77" spans="2:43">
      <c r="B77" s="97" t="s">
        <v>15</v>
      </c>
      <c r="C77" s="61">
        <v>18230627</v>
      </c>
      <c r="D77" s="61" t="s">
        <v>80</v>
      </c>
      <c r="E77" s="38" t="s">
        <v>779</v>
      </c>
      <c r="F77" s="39" t="s">
        <v>778</v>
      </c>
      <c r="G77" s="39"/>
      <c r="H77" s="39"/>
      <c r="I77" s="40" t="s">
        <v>269</v>
      </c>
      <c r="J77" s="41">
        <v>82</v>
      </c>
      <c r="K77" s="41"/>
      <c r="L77" s="41"/>
      <c r="M77" s="42"/>
      <c r="N77" s="42"/>
      <c r="O77" s="43">
        <v>0</v>
      </c>
      <c r="P77" s="44">
        <v>0</v>
      </c>
      <c r="Q77" s="44">
        <v>0</v>
      </c>
      <c r="R77" s="45">
        <v>0</v>
      </c>
      <c r="S77" s="46">
        <v>0</v>
      </c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str">
        <f>HLOOKUP(I77,ElecAvoidedCostsWOCC!$A$5:$Q$50,G77+1,FALSE)</f>
        <v>SF Space Heat</v>
      </c>
      <c r="AG77" s="44" t="e">
        <f t="shared" si="50"/>
        <v>#VALUE!</v>
      </c>
      <c r="AH77" s="52" t="str">
        <f>HLOOKUP(I77,ElecAvoidedCostsWOCC!$A$5:$Q$50,T77+1,FALSE)</f>
        <v>SF Space Heat</v>
      </c>
      <c r="AI77" s="44" t="e">
        <f t="shared" si="51"/>
        <v>#VALUE!</v>
      </c>
      <c r="AJ77" s="44" t="e">
        <f t="shared" si="52"/>
        <v>#VALUE!</v>
      </c>
      <c r="AK77" s="44" t="e">
        <f>HLOOKUP(I77,ElecAvoidedCostsWOCC!$A$5:$Q$50,G77+1,FALSE)*J77*L77</f>
        <v>#VALUE!</v>
      </c>
      <c r="AL77" s="44" t="e">
        <f t="shared" si="53"/>
        <v>#VALUE!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  <c r="AQ77">
        <v>2021</v>
      </c>
    </row>
    <row r="78" spans="2:43">
      <c r="B78" s="97" t="s">
        <v>15</v>
      </c>
      <c r="C78" s="61">
        <v>18230627</v>
      </c>
      <c r="D78" s="61" t="s">
        <v>80</v>
      </c>
      <c r="E78" s="38" t="s">
        <v>780</v>
      </c>
      <c r="F78" s="39" t="s">
        <v>781</v>
      </c>
      <c r="G78" s="39">
        <v>10</v>
      </c>
      <c r="H78" s="39"/>
      <c r="I78" s="40" t="s">
        <v>263</v>
      </c>
      <c r="J78" s="41">
        <v>5</v>
      </c>
      <c r="K78" s="41">
        <v>131</v>
      </c>
      <c r="L78" s="41"/>
      <c r="M78" s="42">
        <v>50</v>
      </c>
      <c r="N78" s="42">
        <v>50</v>
      </c>
      <c r="O78" s="43">
        <v>655</v>
      </c>
      <c r="P78" s="44">
        <v>250</v>
      </c>
      <c r="Q78" s="44">
        <v>250</v>
      </c>
      <c r="R78" s="45">
        <v>0</v>
      </c>
      <c r="S78" s="46">
        <v>0</v>
      </c>
      <c r="T78" s="39">
        <f t="shared" si="38"/>
        <v>10</v>
      </c>
      <c r="U78" s="47">
        <f t="shared" si="39"/>
        <v>2.3539074560097748E-3</v>
      </c>
      <c r="V78" s="48">
        <f t="shared" si="40"/>
        <v>0</v>
      </c>
      <c r="W78" s="49">
        <f t="shared" si="41"/>
        <v>2.3539074560097748E-4</v>
      </c>
      <c r="X78" s="44">
        <f t="shared" si="42"/>
        <v>73.045029706976976</v>
      </c>
      <c r="Y78" s="44">
        <f t="shared" si="43"/>
        <v>0</v>
      </c>
      <c r="Z78" s="44">
        <f t="shared" si="44"/>
        <v>452.08289307028247</v>
      </c>
      <c r="AA78" s="50">
        <f t="shared" si="45"/>
        <v>323.04502970697695</v>
      </c>
      <c r="AB78" s="51">
        <f t="shared" si="46"/>
        <v>422.62586993575997</v>
      </c>
      <c r="AC78" s="44">
        <f t="shared" si="47"/>
        <v>301.99591446852099</v>
      </c>
      <c r="AD78" s="44">
        <f t="shared" si="48"/>
        <v>0</v>
      </c>
      <c r="AE78" s="44">
        <f t="shared" si="49"/>
        <v>0</v>
      </c>
      <c r="AF78" s="52">
        <f>HLOOKUP(I78,ElecAvoidedCostsWOCC!$A$5:$Q$50,G78+1,FALSE)</f>
        <v>0.73512510012695687</v>
      </c>
      <c r="AG78" s="44">
        <f t="shared" si="50"/>
        <v>481.50694058315673</v>
      </c>
      <c r="AH78" s="52">
        <f>HLOOKUP(I78,ElecAvoidedCostsWOCC!$A$5:$Q$50,T78+1,FALSE)</f>
        <v>0.73512510012695687</v>
      </c>
      <c r="AI78" s="44">
        <f t="shared" si="51"/>
        <v>0</v>
      </c>
      <c r="AJ78" s="44">
        <f t="shared" si="52"/>
        <v>481.50694058315673</v>
      </c>
      <c r="AK78" s="44">
        <f>HLOOKUP(I78,ElecAvoidedCostsWOCC!$A$5:$Q$50,G78+1,FALSE)*J78*L78</f>
        <v>0</v>
      </c>
      <c r="AL78" s="44">
        <f t="shared" si="53"/>
        <v>481.50694058315673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481.50694058315673</v>
      </c>
      <c r="AN78" s="48">
        <f t="shared" si="54"/>
        <v>529.65763464147244</v>
      </c>
      <c r="AO78" s="47">
        <f t="shared" si="55"/>
        <v>1.1393219744365077</v>
      </c>
      <c r="AP78" s="47">
        <f t="shared" si="56"/>
        <v>1.7538569539048585</v>
      </c>
      <c r="AQ78">
        <v>2021</v>
      </c>
    </row>
    <row r="79" spans="2:43">
      <c r="B79" s="97" t="s">
        <v>15</v>
      </c>
      <c r="C79" s="61">
        <v>18230627</v>
      </c>
      <c r="D79" s="61" t="s">
        <v>80</v>
      </c>
      <c r="E79" s="38" t="s">
        <v>782</v>
      </c>
      <c r="F79" s="39" t="s">
        <v>783</v>
      </c>
      <c r="G79" s="39">
        <v>45</v>
      </c>
      <c r="H79" s="39"/>
      <c r="I79" s="40" t="s">
        <v>269</v>
      </c>
      <c r="J79" s="41">
        <v>1250</v>
      </c>
      <c r="K79" s="41"/>
      <c r="L79" s="41"/>
      <c r="M79" s="42"/>
      <c r="N79" s="42"/>
      <c r="O79" s="43">
        <v>0</v>
      </c>
      <c r="P79" s="44">
        <v>0</v>
      </c>
      <c r="Q79" s="44">
        <v>0</v>
      </c>
      <c r="R79" s="45">
        <v>0</v>
      </c>
      <c r="S79" s="46">
        <v>0</v>
      </c>
      <c r="T79" s="39">
        <f t="shared" si="38"/>
        <v>45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>
        <f>HLOOKUP(I79,ElecAvoidedCostsWOCC!$A$5:$Q$50,G79+1,FALSE)</f>
        <v>3.4276422079642828</v>
      </c>
      <c r="AG79" s="44">
        <f t="shared" si="50"/>
        <v>0</v>
      </c>
      <c r="AH79" s="52">
        <f>HLOOKUP(I79,ElecAvoidedCostsWOCC!$A$5:$Q$50,T79+1,FALSE)</f>
        <v>3.4276422079642828</v>
      </c>
      <c r="AI79" s="44">
        <f t="shared" si="51"/>
        <v>0</v>
      </c>
      <c r="AJ79" s="44">
        <f t="shared" si="52"/>
        <v>0</v>
      </c>
      <c r="AK79" s="44">
        <f>HLOOKUP(I79,ElecAvoidedCostsWOCC!$A$5:$Q$50,G79+1,FALSE)*J79*L79</f>
        <v>0</v>
      </c>
      <c r="AL79" s="44">
        <f t="shared" si="53"/>
        <v>0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  <c r="AQ79">
        <v>2021</v>
      </c>
    </row>
    <row r="80" spans="2:43">
      <c r="B80" s="97" t="s">
        <v>15</v>
      </c>
      <c r="C80" s="61">
        <v>18230627</v>
      </c>
      <c r="D80" s="61" t="s">
        <v>80</v>
      </c>
      <c r="E80" s="38" t="s">
        <v>784</v>
      </c>
      <c r="F80" s="39" t="s">
        <v>783</v>
      </c>
      <c r="G80" s="39">
        <v>45</v>
      </c>
      <c r="H80" s="39"/>
      <c r="I80" s="40" t="s">
        <v>269</v>
      </c>
      <c r="J80" s="41">
        <v>4902</v>
      </c>
      <c r="K80" s="41">
        <v>0.08</v>
      </c>
      <c r="L80" s="41"/>
      <c r="M80" s="42">
        <v>0</v>
      </c>
      <c r="N80" s="42">
        <v>0</v>
      </c>
      <c r="O80" s="43">
        <v>389.71</v>
      </c>
      <c r="P80" s="44">
        <v>0</v>
      </c>
      <c r="Q80" s="44">
        <v>0</v>
      </c>
      <c r="R80" s="45">
        <v>0</v>
      </c>
      <c r="S80" s="46">
        <v>0</v>
      </c>
      <c r="T80" s="39">
        <f t="shared" si="38"/>
        <v>45</v>
      </c>
      <c r="U80" s="47">
        <f t="shared" si="39"/>
        <v>6.3023446352168874E-3</v>
      </c>
      <c r="V80" s="48">
        <f t="shared" si="40"/>
        <v>0</v>
      </c>
      <c r="W80" s="49">
        <f t="shared" si="41"/>
        <v>1.4005210300481973E-4</v>
      </c>
      <c r="X80" s="44">
        <f t="shared" si="42"/>
        <v>43.460119888711439</v>
      </c>
      <c r="Y80" s="44">
        <f t="shared" si="43"/>
        <v>0</v>
      </c>
      <c r="Z80" s="44">
        <f t="shared" si="44"/>
        <v>268.97896833346533</v>
      </c>
      <c r="AA80" s="50">
        <f t="shared" si="45"/>
        <v>43.460119888711439</v>
      </c>
      <c r="AB80" s="51">
        <f t="shared" si="46"/>
        <v>251.45271415674048</v>
      </c>
      <c r="AC80" s="44">
        <f t="shared" si="47"/>
        <v>40.62832559475688</v>
      </c>
      <c r="AD80" s="44">
        <f t="shared" si="48"/>
        <v>0</v>
      </c>
      <c r="AE80" s="44">
        <f t="shared" si="49"/>
        <v>0</v>
      </c>
      <c r="AF80" s="52">
        <f>HLOOKUP(I80,ElecAvoidedCostsWOCC!$A$5:$Q$50,G80+1,FALSE)</f>
        <v>3.4276422079642828</v>
      </c>
      <c r="AG80" s="44">
        <f t="shared" si="50"/>
        <v>1344.1841682752731</v>
      </c>
      <c r="AH80" s="52">
        <f>HLOOKUP(I80,ElecAvoidedCostsWOCC!$A$5:$Q$50,T80+1,FALSE)</f>
        <v>3.4276422079642828</v>
      </c>
      <c r="AI80" s="44">
        <f t="shared" si="51"/>
        <v>0</v>
      </c>
      <c r="AJ80" s="44">
        <f t="shared" si="52"/>
        <v>1344.1841682752731</v>
      </c>
      <c r="AK80" s="44">
        <f>HLOOKUP(I80,ElecAvoidedCostsWOCC!$A$5:$Q$50,G80+1,FALSE)*J80*L80</f>
        <v>0</v>
      </c>
      <c r="AL80" s="44">
        <f t="shared" si="53"/>
        <v>1344.1841682752731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1344.1841682752731</v>
      </c>
      <c r="AN80" s="48">
        <f t="shared" si="54"/>
        <v>1478.6025851028005</v>
      </c>
      <c r="AO80" s="47">
        <f t="shared" si="55"/>
        <v>5.3456737294845409</v>
      </c>
      <c r="AP80" s="47">
        <f t="shared" si="56"/>
        <v>36.393392133630421</v>
      </c>
      <c r="AQ80">
        <v>2021</v>
      </c>
    </row>
    <row r="81" spans="2:43">
      <c r="B81" s="97" t="s">
        <v>15</v>
      </c>
      <c r="C81" s="61">
        <v>18230627</v>
      </c>
      <c r="D81" s="61" t="s">
        <v>80</v>
      </c>
      <c r="E81" s="38" t="s">
        <v>785</v>
      </c>
      <c r="F81" s="39" t="s">
        <v>786</v>
      </c>
      <c r="G81" s="39">
        <v>45</v>
      </c>
      <c r="H81" s="39"/>
      <c r="I81" s="40" t="s">
        <v>269</v>
      </c>
      <c r="J81" s="41">
        <v>534</v>
      </c>
      <c r="K81" s="41">
        <v>1.33</v>
      </c>
      <c r="L81" s="41"/>
      <c r="M81" s="42">
        <v>1</v>
      </c>
      <c r="N81" s="42">
        <v>1.24</v>
      </c>
      <c r="O81" s="43">
        <v>710.22</v>
      </c>
      <c r="P81" s="44">
        <v>1200</v>
      </c>
      <c r="Q81" s="44">
        <v>662.16</v>
      </c>
      <c r="R81" s="45">
        <v>0.02</v>
      </c>
      <c r="S81" s="46">
        <v>0</v>
      </c>
      <c r="T81" s="39">
        <f t="shared" si="38"/>
        <v>45</v>
      </c>
      <c r="U81" s="47">
        <f t="shared" si="39"/>
        <v>1.1485594947072793E-2</v>
      </c>
      <c r="V81" s="48">
        <f t="shared" si="40"/>
        <v>0.24</v>
      </c>
      <c r="W81" s="49">
        <f t="shared" si="41"/>
        <v>2.5523544326828431E-4</v>
      </c>
      <c r="X81" s="44">
        <f t="shared" si="42"/>
        <v>79.203116028227768</v>
      </c>
      <c r="Y81" s="44">
        <f t="shared" si="43"/>
        <v>-537.84</v>
      </c>
      <c r="Z81" s="44">
        <f t="shared" si="44"/>
        <v>490.19589666622301</v>
      </c>
      <c r="AA81" s="50">
        <f t="shared" si="45"/>
        <v>741.36311602822775</v>
      </c>
      <c r="AB81" s="51">
        <f t="shared" si="46"/>
        <v>458.25548907751983</v>
      </c>
      <c r="AC81" s="44">
        <f t="shared" si="47"/>
        <v>693.05704031805897</v>
      </c>
      <c r="AD81" s="44">
        <f t="shared" si="48"/>
        <v>145.83975005395561</v>
      </c>
      <c r="AE81" s="44">
        <f t="shared" si="49"/>
        <v>0</v>
      </c>
      <c r="AF81" s="52">
        <f>HLOOKUP(I81,ElecAvoidedCostsWOCC!$A$5:$Q$50,G81+1,FALSE)</f>
        <v>3.4276422079642828</v>
      </c>
      <c r="AG81" s="44">
        <f t="shared" si="50"/>
        <v>2434.380048940393</v>
      </c>
      <c r="AH81" s="52">
        <f>HLOOKUP(I81,ElecAvoidedCostsWOCC!$A$5:$Q$50,T81+1,FALSE)</f>
        <v>3.4276422079642828</v>
      </c>
      <c r="AI81" s="44">
        <f t="shared" si="51"/>
        <v>0</v>
      </c>
      <c r="AJ81" s="44">
        <f t="shared" si="52"/>
        <v>2434.380048940393</v>
      </c>
      <c r="AK81" s="44">
        <f>HLOOKUP(I81,ElecAvoidedCostsWOCC!$A$5:$Q$50,G81+1,FALSE)*J81*L81</f>
        <v>0</v>
      </c>
      <c r="AL81" s="44">
        <f t="shared" si="53"/>
        <v>2434.380048940393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2434.380048940393</v>
      </c>
      <c r="AN81" s="48">
        <f t="shared" si="54"/>
        <v>2823.6578038883877</v>
      </c>
      <c r="AO81" s="47">
        <f t="shared" si="55"/>
        <v>5.3122769000342211</v>
      </c>
      <c r="AP81" s="47">
        <f t="shared" si="56"/>
        <v>4.0742069405896943</v>
      </c>
      <c r="AQ81">
        <v>2021</v>
      </c>
    </row>
    <row r="82" spans="2:43">
      <c r="B82" s="97" t="s">
        <v>15</v>
      </c>
      <c r="C82" s="61">
        <v>18230627</v>
      </c>
      <c r="D82" s="61" t="s">
        <v>80</v>
      </c>
      <c r="E82" s="38" t="s">
        <v>787</v>
      </c>
      <c r="F82" s="39" t="s">
        <v>788</v>
      </c>
      <c r="G82" s="39">
        <v>45</v>
      </c>
      <c r="H82" s="39"/>
      <c r="I82" s="40" t="s">
        <v>269</v>
      </c>
      <c r="J82" s="41">
        <v>1130</v>
      </c>
      <c r="K82" s="41">
        <v>0.62</v>
      </c>
      <c r="L82" s="41"/>
      <c r="M82" s="42">
        <v>1</v>
      </c>
      <c r="N82" s="42">
        <v>1.0900000000000001</v>
      </c>
      <c r="O82" s="43">
        <v>700.6</v>
      </c>
      <c r="P82" s="44">
        <v>1200</v>
      </c>
      <c r="Q82" s="44">
        <v>1231.7</v>
      </c>
      <c r="R82" s="45">
        <v>0.01</v>
      </c>
      <c r="S82" s="46">
        <v>0</v>
      </c>
      <c r="T82" s="39">
        <f t="shared" si="38"/>
        <v>45</v>
      </c>
      <c r="U82" s="47">
        <f t="shared" si="39"/>
        <v>1.1330021429865675E-2</v>
      </c>
      <c r="V82" s="48">
        <f t="shared" si="40"/>
        <v>9.000000000000008E-2</v>
      </c>
      <c r="W82" s="49">
        <f t="shared" si="41"/>
        <v>2.5177825399701502E-4</v>
      </c>
      <c r="X82" s="44">
        <f t="shared" si="42"/>
        <v>78.130302004134464</v>
      </c>
      <c r="Y82" s="44">
        <f t="shared" si="43"/>
        <v>31.700000000000045</v>
      </c>
      <c r="Z82" s="44">
        <f t="shared" si="44"/>
        <v>483.55614486265642</v>
      </c>
      <c r="AA82" s="50">
        <f t="shared" si="45"/>
        <v>1309.8303020041344</v>
      </c>
      <c r="AB82" s="51">
        <f t="shared" si="46"/>
        <v>452.0483732473183</v>
      </c>
      <c r="AC82" s="44">
        <f t="shared" si="47"/>
        <v>1224.4837823727535</v>
      </c>
      <c r="AD82" s="44">
        <f t="shared" si="48"/>
        <v>154.30610258517774</v>
      </c>
      <c r="AE82" s="44">
        <f t="shared" si="49"/>
        <v>0</v>
      </c>
      <c r="AF82" s="52">
        <f>HLOOKUP(I82,ElecAvoidedCostsWOCC!$A$5:$Q$50,G82+1,FALSE)</f>
        <v>3.4276422079642828</v>
      </c>
      <c r="AG82" s="44">
        <f t="shared" si="50"/>
        <v>2401.4061308997766</v>
      </c>
      <c r="AH82" s="52">
        <f>HLOOKUP(I82,ElecAvoidedCostsWOCC!$A$5:$Q$50,T82+1,FALSE)</f>
        <v>3.4276422079642828</v>
      </c>
      <c r="AI82" s="44">
        <f t="shared" si="51"/>
        <v>0</v>
      </c>
      <c r="AJ82" s="44">
        <f t="shared" si="52"/>
        <v>2401.4061308997766</v>
      </c>
      <c r="AK82" s="44">
        <f>HLOOKUP(I82,ElecAvoidedCostsWOCC!$A$5:$Q$50,G82+1,FALSE)*J82*L82</f>
        <v>0</v>
      </c>
      <c r="AL82" s="44">
        <f t="shared" si="53"/>
        <v>2401.4061308997766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2401.4061308997766</v>
      </c>
      <c r="AN82" s="48">
        <f t="shared" si="54"/>
        <v>2795.8528465749318</v>
      </c>
      <c r="AO82" s="47">
        <f t="shared" si="55"/>
        <v>5.3122769000342211</v>
      </c>
      <c r="AP82" s="47">
        <f t="shared" si="56"/>
        <v>2.2832910380872868</v>
      </c>
      <c r="AQ82">
        <v>2021</v>
      </c>
    </row>
    <row r="83" spans="2:43">
      <c r="B83" s="97" t="s">
        <v>15</v>
      </c>
      <c r="C83" s="61">
        <v>18230627</v>
      </c>
      <c r="D83" s="61" t="s">
        <v>80</v>
      </c>
      <c r="E83" s="38" t="s">
        <v>789</v>
      </c>
      <c r="F83" s="39" t="s">
        <v>790</v>
      </c>
      <c r="G83" s="39">
        <v>45</v>
      </c>
      <c r="H83" s="39"/>
      <c r="I83" s="40" t="s">
        <v>269</v>
      </c>
      <c r="J83" s="41">
        <v>2405</v>
      </c>
      <c r="K83" s="41"/>
      <c r="L83" s="41"/>
      <c r="M83" s="42"/>
      <c r="N83" s="42"/>
      <c r="O83" s="43">
        <v>0</v>
      </c>
      <c r="P83" s="44">
        <v>0</v>
      </c>
      <c r="Q83" s="44">
        <v>0</v>
      </c>
      <c r="R83" s="45">
        <v>0</v>
      </c>
      <c r="S83" s="46">
        <v>0</v>
      </c>
      <c r="T83" s="39">
        <f t="shared" si="38"/>
        <v>45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>
        <f>HLOOKUP(I83,ElecAvoidedCostsWOCC!$A$5:$Q$50,G83+1,FALSE)</f>
        <v>3.4276422079642828</v>
      </c>
      <c r="AG83" s="44">
        <f t="shared" si="50"/>
        <v>0</v>
      </c>
      <c r="AH83" s="52">
        <f>HLOOKUP(I83,ElecAvoidedCostsWOCC!$A$5:$Q$50,T83+1,FALSE)</f>
        <v>3.4276422079642828</v>
      </c>
      <c r="AI83" s="44">
        <f t="shared" si="51"/>
        <v>0</v>
      </c>
      <c r="AJ83" s="44">
        <f t="shared" si="52"/>
        <v>0</v>
      </c>
      <c r="AK83" s="44">
        <f>HLOOKUP(I83,ElecAvoidedCostsWOCC!$A$5:$Q$50,G83+1,FALSE)*J83*L83</f>
        <v>0</v>
      </c>
      <c r="AL83" s="44">
        <f t="shared" si="53"/>
        <v>0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  <c r="AQ83">
        <v>2021</v>
      </c>
    </row>
    <row r="84" spans="2:43">
      <c r="B84" s="97" t="s">
        <v>15</v>
      </c>
      <c r="C84" s="61">
        <v>18230627</v>
      </c>
      <c r="D84" s="61" t="s">
        <v>80</v>
      </c>
      <c r="E84" s="38" t="s">
        <v>791</v>
      </c>
      <c r="F84" s="39" t="s">
        <v>790</v>
      </c>
      <c r="G84" s="39">
        <v>45</v>
      </c>
      <c r="H84" s="39"/>
      <c r="I84" s="40" t="s">
        <v>269</v>
      </c>
      <c r="J84" s="41">
        <v>7800</v>
      </c>
      <c r="K84" s="41">
        <v>0.03</v>
      </c>
      <c r="L84" s="41"/>
      <c r="M84" s="42">
        <v>0</v>
      </c>
      <c r="N84" s="42">
        <v>0</v>
      </c>
      <c r="O84" s="43">
        <v>223.86</v>
      </c>
      <c r="P84" s="44">
        <v>0</v>
      </c>
      <c r="Q84" s="44">
        <v>0</v>
      </c>
      <c r="R84" s="45">
        <v>0</v>
      </c>
      <c r="S84" s="46">
        <v>0</v>
      </c>
      <c r="T84" s="39">
        <f t="shared" si="38"/>
        <v>45</v>
      </c>
      <c r="U84" s="47">
        <f t="shared" si="39"/>
        <v>3.6202377923062086E-3</v>
      </c>
      <c r="V84" s="48">
        <f t="shared" si="40"/>
        <v>0</v>
      </c>
      <c r="W84" s="49">
        <f t="shared" si="41"/>
        <v>8.0449728717915751E-5</v>
      </c>
      <c r="X84" s="44">
        <f t="shared" si="42"/>
        <v>24.964672290387579</v>
      </c>
      <c r="Y84" s="44">
        <f t="shared" si="43"/>
        <v>0</v>
      </c>
      <c r="Z84" s="44">
        <f t="shared" si="44"/>
        <v>154.50881899650906</v>
      </c>
      <c r="AA84" s="50">
        <f t="shared" si="45"/>
        <v>24.964672290387579</v>
      </c>
      <c r="AB84" s="51">
        <f t="shared" si="46"/>
        <v>144.44126296766294</v>
      </c>
      <c r="AC84" s="44">
        <f t="shared" si="47"/>
        <v>23.338012798343065</v>
      </c>
      <c r="AD84" s="44">
        <f t="shared" si="48"/>
        <v>0</v>
      </c>
      <c r="AE84" s="44">
        <f t="shared" si="49"/>
        <v>0</v>
      </c>
      <c r="AF84" s="52">
        <f>HLOOKUP(I84,ElecAvoidedCostsWOCC!$A$5:$Q$50,G84+1,FALSE)</f>
        <v>3.4276422079642828</v>
      </c>
      <c r="AG84" s="44">
        <f t="shared" si="50"/>
        <v>802.06827666364211</v>
      </c>
      <c r="AH84" s="52">
        <f>HLOOKUP(I84,ElecAvoidedCostsWOCC!$A$5:$Q$50,T84+1,FALSE)</f>
        <v>3.4276422079642828</v>
      </c>
      <c r="AI84" s="44">
        <f t="shared" si="51"/>
        <v>0</v>
      </c>
      <c r="AJ84" s="44">
        <f t="shared" si="52"/>
        <v>802.06827666364211</v>
      </c>
      <c r="AK84" s="44">
        <f>HLOOKUP(I84,ElecAvoidedCostsWOCC!$A$5:$Q$50,G84+1,FALSE)*J84*L84</f>
        <v>0</v>
      </c>
      <c r="AL84" s="44">
        <f t="shared" si="53"/>
        <v>802.06827666364211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802.06827666364211</v>
      </c>
      <c r="AN84" s="48">
        <f t="shared" si="54"/>
        <v>882.27510433000634</v>
      </c>
      <c r="AO84" s="47">
        <f t="shared" si="55"/>
        <v>5.5529026829626007</v>
      </c>
      <c r="AP84" s="47">
        <f t="shared" si="56"/>
        <v>37.804208608225863</v>
      </c>
      <c r="AQ84">
        <v>2021</v>
      </c>
    </row>
    <row r="85" spans="2:43">
      <c r="B85" s="97" t="s">
        <v>15</v>
      </c>
      <c r="C85" s="61">
        <v>18230627</v>
      </c>
      <c r="D85" s="61" t="s">
        <v>80</v>
      </c>
      <c r="E85" s="38" t="s">
        <v>792</v>
      </c>
      <c r="F85" s="39" t="s">
        <v>793</v>
      </c>
      <c r="G85" s="39">
        <v>45</v>
      </c>
      <c r="H85" s="39"/>
      <c r="I85" s="40" t="s">
        <v>269</v>
      </c>
      <c r="J85" s="41">
        <v>1224</v>
      </c>
      <c r="K85" s="41">
        <v>0.26</v>
      </c>
      <c r="L85" s="41"/>
      <c r="M85" s="42">
        <v>1</v>
      </c>
      <c r="N85" s="42">
        <v>1.0900000000000001</v>
      </c>
      <c r="O85" s="43">
        <v>318.24</v>
      </c>
      <c r="P85" s="44">
        <v>2400</v>
      </c>
      <c r="Q85" s="44">
        <v>1334.16</v>
      </c>
      <c r="R85" s="45">
        <v>0.02</v>
      </c>
      <c r="S85" s="46">
        <v>0</v>
      </c>
      <c r="T85" s="39">
        <f t="shared" si="38"/>
        <v>45</v>
      </c>
      <c r="U85" s="47">
        <f t="shared" si="39"/>
        <v>5.1465401367976771E-3</v>
      </c>
      <c r="V85" s="48">
        <f t="shared" si="40"/>
        <v>9.000000000000008E-2</v>
      </c>
      <c r="W85" s="49">
        <f t="shared" si="41"/>
        <v>1.1436755859550393E-4</v>
      </c>
      <c r="X85" s="44">
        <f t="shared" si="42"/>
        <v>35.489847715951683</v>
      </c>
      <c r="Y85" s="44">
        <f t="shared" si="43"/>
        <v>-1065.8399999999999</v>
      </c>
      <c r="Z85" s="44">
        <f t="shared" si="44"/>
        <v>219.65016777204079</v>
      </c>
      <c r="AA85" s="50">
        <f t="shared" si="45"/>
        <v>1369.6498477159519</v>
      </c>
      <c r="AB85" s="51">
        <f t="shared" si="46"/>
        <v>205.3381020585592</v>
      </c>
      <c r="AC85" s="44">
        <f t="shared" si="47"/>
        <v>1280.4055788687965</v>
      </c>
      <c r="AD85" s="44">
        <f t="shared" si="48"/>
        <v>334.28437091019038</v>
      </c>
      <c r="AE85" s="44">
        <f t="shared" si="49"/>
        <v>0</v>
      </c>
      <c r="AF85" s="52">
        <f>HLOOKUP(I85,ElecAvoidedCostsWOCC!$A$5:$Q$50,G85+1,FALSE)</f>
        <v>3.4276422079642828</v>
      </c>
      <c r="AG85" s="44">
        <f t="shared" si="50"/>
        <v>1090.8128562625534</v>
      </c>
      <c r="AH85" s="52">
        <f>HLOOKUP(I85,ElecAvoidedCostsWOCC!$A$5:$Q$50,T85+1,FALSE)</f>
        <v>3.4276422079642828</v>
      </c>
      <c r="AI85" s="44">
        <f t="shared" si="51"/>
        <v>0</v>
      </c>
      <c r="AJ85" s="44">
        <f t="shared" si="52"/>
        <v>1090.8128562625534</v>
      </c>
      <c r="AK85" s="44">
        <f>HLOOKUP(I85,ElecAvoidedCostsWOCC!$A$5:$Q$50,G85+1,FALSE)*J85*L85</f>
        <v>0</v>
      </c>
      <c r="AL85" s="44">
        <f t="shared" si="53"/>
        <v>1090.8128562625534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1090.8128562625534</v>
      </c>
      <c r="AN85" s="48">
        <f t="shared" si="54"/>
        <v>1534.1785127989992</v>
      </c>
      <c r="AO85" s="47">
        <f t="shared" si="55"/>
        <v>5.3122769000342211</v>
      </c>
      <c r="AP85" s="47">
        <f t="shared" si="56"/>
        <v>1.1981973041342135</v>
      </c>
      <c r="AQ85">
        <v>2021</v>
      </c>
    </row>
    <row r="86" spans="2:43">
      <c r="B86" s="97" t="s">
        <v>15</v>
      </c>
      <c r="C86" s="61">
        <v>18230627</v>
      </c>
      <c r="D86" s="61" t="s">
        <v>80</v>
      </c>
      <c r="E86" s="38" t="s">
        <v>794</v>
      </c>
      <c r="F86" s="39" t="s">
        <v>793</v>
      </c>
      <c r="G86" s="39">
        <v>45</v>
      </c>
      <c r="H86" s="39"/>
      <c r="I86" s="40" t="s">
        <v>269</v>
      </c>
      <c r="J86" s="41">
        <v>1256</v>
      </c>
      <c r="K86" s="41">
        <v>0.33</v>
      </c>
      <c r="L86" s="41"/>
      <c r="M86" s="42">
        <v>1</v>
      </c>
      <c r="N86" s="42">
        <v>1.24</v>
      </c>
      <c r="O86" s="43">
        <v>415.86</v>
      </c>
      <c r="P86" s="44">
        <v>1200</v>
      </c>
      <c r="Q86" s="44">
        <v>1557.44</v>
      </c>
      <c r="R86" s="45">
        <v>0</v>
      </c>
      <c r="S86" s="46">
        <v>0</v>
      </c>
      <c r="T86" s="39">
        <f t="shared" si="38"/>
        <v>45</v>
      </c>
      <c r="U86" s="47">
        <f t="shared" si="39"/>
        <v>6.7252393831343698E-3</v>
      </c>
      <c r="V86" s="48">
        <f t="shared" si="40"/>
        <v>0.24</v>
      </c>
      <c r="W86" s="49">
        <f t="shared" si="41"/>
        <v>1.4944976406965267E-4</v>
      </c>
      <c r="X86" s="44">
        <f t="shared" si="42"/>
        <v>46.376345120524348</v>
      </c>
      <c r="Y86" s="44">
        <f t="shared" si="43"/>
        <v>357.44000000000005</v>
      </c>
      <c r="Z86" s="44">
        <f t="shared" si="44"/>
        <v>287.02777391176744</v>
      </c>
      <c r="AA86" s="50">
        <f t="shared" si="45"/>
        <v>1603.8163451205244</v>
      </c>
      <c r="AB86" s="51">
        <f t="shared" si="46"/>
        <v>268.32548743738192</v>
      </c>
      <c r="AC86" s="44">
        <f t="shared" si="47"/>
        <v>1499.314148939445</v>
      </c>
      <c r="AD86" s="44">
        <f t="shared" si="48"/>
        <v>0</v>
      </c>
      <c r="AE86" s="44">
        <f t="shared" si="49"/>
        <v>0</v>
      </c>
      <c r="AF86" s="52">
        <f>HLOOKUP(I86,ElecAvoidedCostsWOCC!$A$5:$Q$50,G86+1,FALSE)</f>
        <v>3.4276422079642828</v>
      </c>
      <c r="AG86" s="44">
        <f t="shared" si="50"/>
        <v>1420.689142357036</v>
      </c>
      <c r="AH86" s="52">
        <f>HLOOKUP(I86,ElecAvoidedCostsWOCC!$A$5:$Q$50,T86+1,FALSE)</f>
        <v>3.4276422079642828</v>
      </c>
      <c r="AI86" s="44">
        <f t="shared" si="51"/>
        <v>0</v>
      </c>
      <c r="AJ86" s="44">
        <f t="shared" si="52"/>
        <v>1420.689142357036</v>
      </c>
      <c r="AK86" s="44">
        <f>HLOOKUP(I86,ElecAvoidedCostsWOCC!$A$5:$Q$50,G86+1,FALSE)*J86*L86</f>
        <v>0</v>
      </c>
      <c r="AL86" s="44">
        <f t="shared" si="53"/>
        <v>1420.689142357036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1420.689142357036</v>
      </c>
      <c r="AN86" s="48">
        <f t="shared" si="54"/>
        <v>1562.7580565927396</v>
      </c>
      <c r="AO86" s="47">
        <f t="shared" si="55"/>
        <v>5.2946485103789351</v>
      </c>
      <c r="AP86" s="47">
        <f t="shared" si="56"/>
        <v>1.0423152864249112</v>
      </c>
      <c r="AQ86">
        <v>2021</v>
      </c>
    </row>
    <row r="87" spans="2:43">
      <c r="B87" s="97" t="s">
        <v>15</v>
      </c>
      <c r="C87" s="61">
        <v>18230627</v>
      </c>
      <c r="D87" s="61" t="s">
        <v>80</v>
      </c>
      <c r="E87" s="38" t="s">
        <v>795</v>
      </c>
      <c r="F87" s="39" t="s">
        <v>796</v>
      </c>
      <c r="G87" s="39">
        <v>45</v>
      </c>
      <c r="H87" s="39"/>
      <c r="I87" s="40" t="s">
        <v>269</v>
      </c>
      <c r="J87" s="41">
        <v>5110</v>
      </c>
      <c r="K87" s="41">
        <v>0.43</v>
      </c>
      <c r="L87" s="41"/>
      <c r="M87" s="42">
        <v>1</v>
      </c>
      <c r="N87" s="42">
        <v>1.24</v>
      </c>
      <c r="O87" s="43">
        <v>2217.23</v>
      </c>
      <c r="P87" s="44">
        <v>4800</v>
      </c>
      <c r="Q87" s="44">
        <v>6336.4</v>
      </c>
      <c r="R87" s="45">
        <v>0</v>
      </c>
      <c r="S87" s="46">
        <v>0</v>
      </c>
      <c r="T87" s="39">
        <f t="shared" si="38"/>
        <v>45</v>
      </c>
      <c r="U87" s="47">
        <f t="shared" si="39"/>
        <v>3.5856784777249601E-2</v>
      </c>
      <c r="V87" s="48">
        <f t="shared" si="40"/>
        <v>0.24</v>
      </c>
      <c r="W87" s="49">
        <f t="shared" si="41"/>
        <v>7.9681743949443554E-4</v>
      </c>
      <c r="X87" s="44">
        <f t="shared" si="42"/>
        <v>247.26355911022986</v>
      </c>
      <c r="Y87" s="44">
        <f t="shared" si="43"/>
        <v>1536.3999999999996</v>
      </c>
      <c r="Z87" s="44">
        <f t="shared" si="44"/>
        <v>1530.3385542018664</v>
      </c>
      <c r="AA87" s="50">
        <f t="shared" si="45"/>
        <v>6583.6635591102295</v>
      </c>
      <c r="AB87" s="51">
        <f t="shared" si="46"/>
        <v>1430.6240574010155</v>
      </c>
      <c r="AC87" s="44">
        <f t="shared" si="47"/>
        <v>6154.6822091336162</v>
      </c>
      <c r="AD87" s="44">
        <f t="shared" si="48"/>
        <v>0</v>
      </c>
      <c r="AE87" s="44">
        <f t="shared" si="49"/>
        <v>0</v>
      </c>
      <c r="AF87" s="52">
        <f>HLOOKUP(I87,ElecAvoidedCostsWOCC!$A$5:$Q$50,G87+1,FALSE)</f>
        <v>3.4276422079642828</v>
      </c>
      <c r="AG87" s="44">
        <f t="shared" si="50"/>
        <v>7531.5582235599186</v>
      </c>
      <c r="AH87" s="52">
        <f>HLOOKUP(I87,ElecAvoidedCostsWOCC!$A$5:$Q$50,T87+1,FALSE)</f>
        <v>3.4276422079642828</v>
      </c>
      <c r="AI87" s="44">
        <f t="shared" si="51"/>
        <v>0</v>
      </c>
      <c r="AJ87" s="44">
        <f t="shared" si="52"/>
        <v>7531.5582235599186</v>
      </c>
      <c r="AK87" s="44">
        <f>HLOOKUP(I87,ElecAvoidedCostsWOCC!$A$5:$Q$50,G87+1,FALSE)*J87*L87</f>
        <v>0</v>
      </c>
      <c r="AL87" s="44">
        <f t="shared" si="53"/>
        <v>7531.5582235599186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7531.5582235599186</v>
      </c>
      <c r="AN87" s="48">
        <f t="shared" si="54"/>
        <v>8284.7140459159109</v>
      </c>
      <c r="AO87" s="47">
        <f t="shared" si="55"/>
        <v>5.2645264733226567</v>
      </c>
      <c r="AP87" s="47">
        <f t="shared" si="56"/>
        <v>1.3460831549712353</v>
      </c>
      <c r="AQ87">
        <v>2021</v>
      </c>
    </row>
    <row r="88" spans="2:43">
      <c r="B88" s="97" t="s">
        <v>15</v>
      </c>
      <c r="C88" s="61">
        <v>18230627</v>
      </c>
      <c r="D88" s="61" t="s">
        <v>80</v>
      </c>
      <c r="E88" s="38" t="s">
        <v>797</v>
      </c>
      <c r="F88" s="39" t="s">
        <v>798</v>
      </c>
      <c r="G88" s="39">
        <v>45</v>
      </c>
      <c r="H88" s="39"/>
      <c r="I88" s="40" t="s">
        <v>269</v>
      </c>
      <c r="J88" s="41">
        <v>1640</v>
      </c>
      <c r="K88" s="41">
        <v>1</v>
      </c>
      <c r="L88" s="41"/>
      <c r="M88" s="42">
        <v>0.5</v>
      </c>
      <c r="N88" s="42">
        <v>1.46</v>
      </c>
      <c r="O88" s="43">
        <v>1640</v>
      </c>
      <c r="P88" s="44">
        <v>400</v>
      </c>
      <c r="Q88" s="44">
        <v>2394.4</v>
      </c>
      <c r="R88" s="45">
        <v>0.02</v>
      </c>
      <c r="S88" s="46">
        <v>0</v>
      </c>
      <c r="T88" s="39">
        <f t="shared" si="38"/>
        <v>45</v>
      </c>
      <c r="U88" s="47">
        <f t="shared" si="39"/>
        <v>2.6521888588323873E-2</v>
      </c>
      <c r="V88" s="48">
        <f t="shared" si="40"/>
        <v>0.96</v>
      </c>
      <c r="W88" s="49">
        <f t="shared" si="41"/>
        <v>5.8937530196275271E-4</v>
      </c>
      <c r="X88" s="44">
        <f t="shared" si="42"/>
        <v>182.8913720907515</v>
      </c>
      <c r="Y88" s="44">
        <f t="shared" si="43"/>
        <v>1994.4</v>
      </c>
      <c r="Z88" s="44">
        <f t="shared" si="44"/>
        <v>1131.9327399011654</v>
      </c>
      <c r="AA88" s="50">
        <f t="shared" si="45"/>
        <v>2577.2913720907518</v>
      </c>
      <c r="AB88" s="51">
        <f t="shared" si="46"/>
        <v>1058.1777506788494</v>
      </c>
      <c r="AC88" s="44">
        <f t="shared" si="47"/>
        <v>2409.3590465464631</v>
      </c>
      <c r="AD88" s="44">
        <f t="shared" si="48"/>
        <v>447.89735971626817</v>
      </c>
      <c r="AE88" s="44">
        <f t="shared" si="49"/>
        <v>0</v>
      </c>
      <c r="AF88" s="52">
        <f>HLOOKUP(I88,ElecAvoidedCostsWOCC!$A$5:$Q$50,G88+1,FALSE)</f>
        <v>3.4276422079642828</v>
      </c>
      <c r="AG88" s="44">
        <f t="shared" si="50"/>
        <v>5621.3332210614235</v>
      </c>
      <c r="AH88" s="52">
        <f>HLOOKUP(I88,ElecAvoidedCostsWOCC!$A$5:$Q$50,T88+1,FALSE)</f>
        <v>3.4276422079642828</v>
      </c>
      <c r="AI88" s="44">
        <f t="shared" si="51"/>
        <v>0</v>
      </c>
      <c r="AJ88" s="44">
        <f t="shared" si="52"/>
        <v>5621.3332210614235</v>
      </c>
      <c r="AK88" s="44">
        <f>HLOOKUP(I88,ElecAvoidedCostsWOCC!$A$5:$Q$50,G88+1,FALSE)*J88*L88</f>
        <v>0</v>
      </c>
      <c r="AL88" s="44">
        <f t="shared" si="53"/>
        <v>5621.3332210614235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5621.3332210614235</v>
      </c>
      <c r="AN88" s="48">
        <f t="shared" si="54"/>
        <v>6631.3639028838352</v>
      </c>
      <c r="AO88" s="47">
        <f t="shared" si="55"/>
        <v>5.3122769000342211</v>
      </c>
      <c r="AP88" s="47">
        <f t="shared" si="56"/>
        <v>2.7523352787078896</v>
      </c>
      <c r="AQ88">
        <v>2021</v>
      </c>
    </row>
    <row r="89" spans="2:43">
      <c r="B89" s="97" t="s">
        <v>15</v>
      </c>
      <c r="C89" s="61">
        <v>18230627</v>
      </c>
      <c r="D89" s="61" t="s">
        <v>80</v>
      </c>
      <c r="E89" s="38" t="s">
        <v>799</v>
      </c>
      <c r="F89" s="39" t="s">
        <v>800</v>
      </c>
      <c r="G89" s="39">
        <v>45</v>
      </c>
      <c r="H89" s="39"/>
      <c r="I89" s="40" t="s">
        <v>269</v>
      </c>
      <c r="J89" s="41">
        <v>3520</v>
      </c>
      <c r="K89" s="41"/>
      <c r="L89" s="41"/>
      <c r="M89" s="42"/>
      <c r="N89" s="42"/>
      <c r="O89" s="43">
        <v>0</v>
      </c>
      <c r="P89" s="44">
        <v>0</v>
      </c>
      <c r="Q89" s="44">
        <v>0</v>
      </c>
      <c r="R89" s="45">
        <v>0</v>
      </c>
      <c r="S89" s="46">
        <v>0</v>
      </c>
      <c r="T89" s="39">
        <f t="shared" si="38"/>
        <v>45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>
        <f>HLOOKUP(I89,ElecAvoidedCostsWOCC!$A$5:$Q$50,G89+1,FALSE)</f>
        <v>3.4276422079642828</v>
      </c>
      <c r="AG89" s="44">
        <f t="shared" si="50"/>
        <v>0</v>
      </c>
      <c r="AH89" s="52">
        <f>HLOOKUP(I89,ElecAvoidedCostsWOCC!$A$5:$Q$50,T89+1,FALSE)</f>
        <v>3.4276422079642828</v>
      </c>
      <c r="AI89" s="44">
        <f t="shared" si="51"/>
        <v>0</v>
      </c>
      <c r="AJ89" s="44">
        <f t="shared" si="52"/>
        <v>0</v>
      </c>
      <c r="AK89" s="44">
        <f>HLOOKUP(I89,ElecAvoidedCostsWOCC!$A$5:$Q$50,G89+1,FALSE)*J89*L89</f>
        <v>0</v>
      </c>
      <c r="AL89" s="44">
        <f t="shared" si="53"/>
        <v>0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  <c r="AQ89">
        <v>2021</v>
      </c>
    </row>
    <row r="90" spans="2:43">
      <c r="B90" s="97" t="s">
        <v>15</v>
      </c>
      <c r="C90" s="61">
        <v>18230627</v>
      </c>
      <c r="D90" s="61" t="s">
        <v>80</v>
      </c>
      <c r="E90" s="38" t="s">
        <v>801</v>
      </c>
      <c r="F90" s="39" t="s">
        <v>800</v>
      </c>
      <c r="G90" s="39">
        <v>45</v>
      </c>
      <c r="H90" s="39"/>
      <c r="I90" s="40" t="s">
        <v>269</v>
      </c>
      <c r="J90" s="41">
        <v>12124</v>
      </c>
      <c r="K90" s="41">
        <v>0.03</v>
      </c>
      <c r="L90" s="41"/>
      <c r="M90" s="42">
        <v>0</v>
      </c>
      <c r="N90" s="42">
        <v>0</v>
      </c>
      <c r="O90" s="43">
        <v>407.36</v>
      </c>
      <c r="P90" s="44">
        <v>0</v>
      </c>
      <c r="Q90" s="44">
        <v>0</v>
      </c>
      <c r="R90" s="45">
        <v>0</v>
      </c>
      <c r="S90" s="46">
        <v>0</v>
      </c>
      <c r="T90" s="39">
        <f t="shared" si="38"/>
        <v>45</v>
      </c>
      <c r="U90" s="47">
        <f t="shared" si="39"/>
        <v>6.5877783752070823E-3</v>
      </c>
      <c r="V90" s="48">
        <f t="shared" si="40"/>
        <v>0</v>
      </c>
      <c r="W90" s="49">
        <f t="shared" si="41"/>
        <v>1.4639507500460182E-4</v>
      </c>
      <c r="X90" s="44">
        <f t="shared" si="42"/>
        <v>45.4284325212735</v>
      </c>
      <c r="Y90" s="44">
        <f t="shared" si="43"/>
        <v>0</v>
      </c>
      <c r="Z90" s="44">
        <f t="shared" si="44"/>
        <v>281.16104934520655</v>
      </c>
      <c r="AA90" s="50">
        <f t="shared" si="45"/>
        <v>45.4284325212735</v>
      </c>
      <c r="AB90" s="51">
        <f t="shared" si="46"/>
        <v>262.84102958325371</v>
      </c>
      <c r="AC90" s="44">
        <f t="shared" si="47"/>
        <v>42.468386015961016</v>
      </c>
      <c r="AD90" s="44">
        <f t="shared" si="48"/>
        <v>0</v>
      </c>
      <c r="AE90" s="44">
        <f t="shared" si="49"/>
        <v>0</v>
      </c>
      <c r="AF90" s="52">
        <f>HLOOKUP(I90,ElecAvoidedCostsWOCC!$A$5:$Q$50,G90+1,FALSE)</f>
        <v>3.4276422079642828</v>
      </c>
      <c r="AG90" s="44">
        <f t="shared" si="50"/>
        <v>1246.7020238807688</v>
      </c>
      <c r="AH90" s="52">
        <f>HLOOKUP(I90,ElecAvoidedCostsWOCC!$A$5:$Q$50,T90+1,FALSE)</f>
        <v>3.4276422079642828</v>
      </c>
      <c r="AI90" s="44">
        <f t="shared" si="51"/>
        <v>0</v>
      </c>
      <c r="AJ90" s="44">
        <f t="shared" si="52"/>
        <v>1246.7020238807688</v>
      </c>
      <c r="AK90" s="44">
        <f>HLOOKUP(I90,ElecAvoidedCostsWOCC!$A$5:$Q$50,G90+1,FALSE)*J90*L90</f>
        <v>0</v>
      </c>
      <c r="AL90" s="44">
        <f t="shared" si="53"/>
        <v>1246.7020238807688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1246.7020238807688</v>
      </c>
      <c r="AN90" s="48">
        <f t="shared" si="54"/>
        <v>1371.3722262688459</v>
      </c>
      <c r="AO90" s="47">
        <f t="shared" si="55"/>
        <v>4.7431788935596204</v>
      </c>
      <c r="AP90" s="47">
        <f t="shared" si="56"/>
        <v>32.291602175638111</v>
      </c>
      <c r="AQ90">
        <v>2021</v>
      </c>
    </row>
    <row r="91" spans="2:43">
      <c r="B91" s="97" t="s">
        <v>15</v>
      </c>
      <c r="C91" s="61">
        <v>18230627</v>
      </c>
      <c r="D91" s="61" t="s">
        <v>80</v>
      </c>
      <c r="E91" s="38" t="s">
        <v>802</v>
      </c>
      <c r="F91" s="39" t="s">
        <v>803</v>
      </c>
      <c r="G91" s="39">
        <v>45</v>
      </c>
      <c r="H91" s="39"/>
      <c r="I91" s="40" t="s">
        <v>269</v>
      </c>
      <c r="J91" s="41">
        <v>3072</v>
      </c>
      <c r="K91" s="41">
        <v>0.18</v>
      </c>
      <c r="L91" s="41"/>
      <c r="M91" s="42">
        <v>0.5</v>
      </c>
      <c r="N91" s="42">
        <v>1.46</v>
      </c>
      <c r="O91" s="43">
        <v>552.96</v>
      </c>
      <c r="P91" s="44">
        <v>1200</v>
      </c>
      <c r="Q91" s="44">
        <v>4485.12</v>
      </c>
      <c r="R91" s="45">
        <v>0</v>
      </c>
      <c r="S91" s="46">
        <v>0</v>
      </c>
      <c r="T91" s="39">
        <f t="shared" si="38"/>
        <v>45</v>
      </c>
      <c r="U91" s="47">
        <f t="shared" si="39"/>
        <v>8.942404581585104E-3</v>
      </c>
      <c r="V91" s="48">
        <f t="shared" si="40"/>
        <v>0.96</v>
      </c>
      <c r="W91" s="49">
        <f t="shared" si="41"/>
        <v>1.9872010181300231E-4</v>
      </c>
      <c r="X91" s="44">
        <f t="shared" si="42"/>
        <v>61.665617750793878</v>
      </c>
      <c r="Y91" s="44">
        <f t="shared" si="43"/>
        <v>3285.12</v>
      </c>
      <c r="Z91" s="44">
        <f t="shared" si="44"/>
        <v>381.65459015594416</v>
      </c>
      <c r="AA91" s="50">
        <f t="shared" si="45"/>
        <v>4546.7856177507938</v>
      </c>
      <c r="AB91" s="51">
        <f t="shared" si="46"/>
        <v>356.78656647279064</v>
      </c>
      <c r="AC91" s="44">
        <f t="shared" si="47"/>
        <v>4250.5240887639466</v>
      </c>
      <c r="AD91" s="44">
        <f t="shared" si="48"/>
        <v>0</v>
      </c>
      <c r="AE91" s="44">
        <f t="shared" si="49"/>
        <v>0</v>
      </c>
      <c r="AF91" s="52">
        <f>HLOOKUP(I91,ElecAvoidedCostsWOCC!$A$5:$Q$50,G91+1,FALSE)</f>
        <v>3.4276422079642828</v>
      </c>
      <c r="AG91" s="44">
        <f t="shared" si="50"/>
        <v>1895.3490353159298</v>
      </c>
      <c r="AH91" s="52">
        <f>HLOOKUP(I91,ElecAvoidedCostsWOCC!$A$5:$Q$50,T91+1,FALSE)</f>
        <v>3.4276422079642828</v>
      </c>
      <c r="AI91" s="44">
        <f t="shared" si="51"/>
        <v>0</v>
      </c>
      <c r="AJ91" s="44">
        <f t="shared" si="52"/>
        <v>1895.3490353159298</v>
      </c>
      <c r="AK91" s="44">
        <f>HLOOKUP(I91,ElecAvoidedCostsWOCC!$A$5:$Q$50,G91+1,FALSE)*J91*L91</f>
        <v>0</v>
      </c>
      <c r="AL91" s="44">
        <f t="shared" si="53"/>
        <v>1895.3490353159298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1895.3490353159298</v>
      </c>
      <c r="AN91" s="48">
        <f t="shared" si="54"/>
        <v>2084.883938847523</v>
      </c>
      <c r="AO91" s="47">
        <f t="shared" si="55"/>
        <v>5.3122769000342211</v>
      </c>
      <c r="AP91" s="47">
        <f t="shared" si="56"/>
        <v>0.49050044072419496</v>
      </c>
      <c r="AQ91">
        <v>2021</v>
      </c>
    </row>
    <row r="92" spans="2:43">
      <c r="B92" s="97" t="s">
        <v>15</v>
      </c>
      <c r="C92" s="61">
        <v>18230627</v>
      </c>
      <c r="D92" s="61" t="s">
        <v>80</v>
      </c>
      <c r="E92" s="38" t="s">
        <v>804</v>
      </c>
      <c r="F92" s="39" t="s">
        <v>803</v>
      </c>
      <c r="G92" s="39">
        <v>45</v>
      </c>
      <c r="H92" s="39"/>
      <c r="I92" s="40" t="s">
        <v>269</v>
      </c>
      <c r="J92" s="41">
        <v>1200</v>
      </c>
      <c r="K92" s="41">
        <v>0.18</v>
      </c>
      <c r="L92" s="41"/>
      <c r="M92" s="42">
        <v>0.5</v>
      </c>
      <c r="N92" s="42">
        <v>1.41</v>
      </c>
      <c r="O92" s="43">
        <v>220.32</v>
      </c>
      <c r="P92" s="44">
        <v>400</v>
      </c>
      <c r="Q92" s="44">
        <v>1692</v>
      </c>
      <c r="R92" s="45">
        <v>0</v>
      </c>
      <c r="S92" s="46">
        <v>0</v>
      </c>
      <c r="T92" s="39">
        <f t="shared" si="38"/>
        <v>45</v>
      </c>
      <c r="U92" s="47">
        <f t="shared" si="39"/>
        <v>3.5629893254753146E-3</v>
      </c>
      <c r="V92" s="48">
        <f t="shared" si="40"/>
        <v>0.90999999999999992</v>
      </c>
      <c r="W92" s="49">
        <f t="shared" si="41"/>
        <v>7.9177540566118104E-5</v>
      </c>
      <c r="X92" s="44">
        <f t="shared" si="42"/>
        <v>24.569894572581934</v>
      </c>
      <c r="Y92" s="44">
        <f t="shared" si="43"/>
        <v>1292</v>
      </c>
      <c r="Z92" s="44">
        <f t="shared" si="44"/>
        <v>152.065500765259</v>
      </c>
      <c r="AA92" s="50">
        <f t="shared" si="45"/>
        <v>1716.5698945725819</v>
      </c>
      <c r="AB92" s="51">
        <f t="shared" si="46"/>
        <v>142.15714757900253</v>
      </c>
      <c r="AC92" s="44">
        <f t="shared" si="47"/>
        <v>1604.7208512410787</v>
      </c>
      <c r="AD92" s="44">
        <f t="shared" si="48"/>
        <v>0</v>
      </c>
      <c r="AE92" s="44">
        <f t="shared" si="49"/>
        <v>0</v>
      </c>
      <c r="AF92" s="52">
        <f>HLOOKUP(I92,ElecAvoidedCostsWOCC!$A$5:$Q$50,G92+1,FALSE)</f>
        <v>3.4276422079642828</v>
      </c>
      <c r="AG92" s="44">
        <f t="shared" si="50"/>
        <v>740.37071692028508</v>
      </c>
      <c r="AH92" s="52">
        <f>HLOOKUP(I92,ElecAvoidedCostsWOCC!$A$5:$Q$50,T92+1,FALSE)</f>
        <v>3.4276422079642828</v>
      </c>
      <c r="AI92" s="44">
        <f t="shared" si="51"/>
        <v>0</v>
      </c>
      <c r="AJ92" s="44">
        <f t="shared" si="52"/>
        <v>740.37071692028508</v>
      </c>
      <c r="AK92" s="44">
        <f>HLOOKUP(I92,ElecAvoidedCostsWOCC!$A$5:$Q$50,G92+1,FALSE)*J92*L92</f>
        <v>0</v>
      </c>
      <c r="AL92" s="44">
        <f t="shared" si="53"/>
        <v>740.37071692028508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740.37071692028508</v>
      </c>
      <c r="AN92" s="48">
        <f t="shared" si="54"/>
        <v>814.40778861231365</v>
      </c>
      <c r="AO92" s="47">
        <f t="shared" si="55"/>
        <v>5.2081146078766869</v>
      </c>
      <c r="AP92" s="47">
        <f t="shared" si="56"/>
        <v>0.50750745089556037</v>
      </c>
      <c r="AQ92">
        <v>2021</v>
      </c>
    </row>
    <row r="93" spans="2:43">
      <c r="B93" s="97" t="s">
        <v>15</v>
      </c>
      <c r="C93" s="61">
        <v>18230627</v>
      </c>
      <c r="D93" s="61" t="s">
        <v>80</v>
      </c>
      <c r="E93" s="38" t="s">
        <v>805</v>
      </c>
      <c r="F93" s="39" t="s">
        <v>806</v>
      </c>
      <c r="G93" s="39">
        <v>45</v>
      </c>
      <c r="H93" s="39"/>
      <c r="I93" s="40" t="s">
        <v>269</v>
      </c>
      <c r="J93" s="41">
        <v>1170</v>
      </c>
      <c r="K93" s="41">
        <v>0.62</v>
      </c>
      <c r="L93" s="41"/>
      <c r="M93" s="42">
        <v>0.5</v>
      </c>
      <c r="N93" s="42">
        <v>1.41</v>
      </c>
      <c r="O93" s="43">
        <v>729.03</v>
      </c>
      <c r="P93" s="44">
        <v>400</v>
      </c>
      <c r="Q93" s="44">
        <v>1649.7</v>
      </c>
      <c r="R93" s="45">
        <v>0</v>
      </c>
      <c r="S93" s="46">
        <v>0</v>
      </c>
      <c r="T93" s="39">
        <f t="shared" si="38"/>
        <v>45</v>
      </c>
      <c r="U93" s="47">
        <f t="shared" si="39"/>
        <v>1.1789788071674238E-2</v>
      </c>
      <c r="V93" s="48">
        <f t="shared" si="40"/>
        <v>0.90999999999999992</v>
      </c>
      <c r="W93" s="49">
        <f t="shared" si="41"/>
        <v>2.6199529048164975E-4</v>
      </c>
      <c r="X93" s="44">
        <f t="shared" si="42"/>
        <v>81.300790850805214</v>
      </c>
      <c r="Y93" s="44">
        <f t="shared" si="43"/>
        <v>1249.7</v>
      </c>
      <c r="Z93" s="44">
        <f t="shared" si="44"/>
        <v>503.17861303057714</v>
      </c>
      <c r="AA93" s="50">
        <f t="shared" si="45"/>
        <v>1731.0007908508053</v>
      </c>
      <c r="AB93" s="51">
        <f t="shared" si="46"/>
        <v>470.39227169353751</v>
      </c>
      <c r="AC93" s="44">
        <f t="shared" si="47"/>
        <v>1618.2114526042865</v>
      </c>
      <c r="AD93" s="44">
        <f t="shared" si="48"/>
        <v>0</v>
      </c>
      <c r="AE93" s="44">
        <f t="shared" si="49"/>
        <v>0</v>
      </c>
      <c r="AF93" s="52">
        <f>HLOOKUP(I93,ElecAvoidedCostsWOCC!$A$5:$Q$50,G93+1,FALSE)</f>
        <v>3.4276422079642828</v>
      </c>
      <c r="AG93" s="44">
        <f t="shared" si="50"/>
        <v>2486.4116576572906</v>
      </c>
      <c r="AH93" s="52">
        <f>HLOOKUP(I93,ElecAvoidedCostsWOCC!$A$5:$Q$50,T93+1,FALSE)</f>
        <v>3.4276422079642828</v>
      </c>
      <c r="AI93" s="44">
        <f t="shared" si="51"/>
        <v>0</v>
      </c>
      <c r="AJ93" s="44">
        <f t="shared" si="52"/>
        <v>2486.4116576572906</v>
      </c>
      <c r="AK93" s="44">
        <f>HLOOKUP(I93,ElecAvoidedCostsWOCC!$A$5:$Q$50,G93+1,FALSE)*J93*L93</f>
        <v>0</v>
      </c>
      <c r="AL93" s="44">
        <f t="shared" si="53"/>
        <v>2486.4116576572906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2486.411657657291</v>
      </c>
      <c r="AN93" s="48">
        <f t="shared" si="54"/>
        <v>2735.0528234230205</v>
      </c>
      <c r="AO93" s="47">
        <f t="shared" si="55"/>
        <v>5.2858259101612077</v>
      </c>
      <c r="AP93" s="47">
        <f t="shared" si="56"/>
        <v>1.6901702302386583</v>
      </c>
      <c r="AQ93">
        <v>2021</v>
      </c>
    </row>
    <row r="94" spans="2:43">
      <c r="B94" s="97" t="s">
        <v>15</v>
      </c>
      <c r="C94" s="61">
        <v>18230627</v>
      </c>
      <c r="D94" s="61" t="s">
        <v>80</v>
      </c>
      <c r="E94" s="38" t="s">
        <v>807</v>
      </c>
      <c r="F94" s="39" t="s">
        <v>808</v>
      </c>
      <c r="G94" s="39">
        <v>45</v>
      </c>
      <c r="H94" s="39"/>
      <c r="I94" s="40" t="s">
        <v>269</v>
      </c>
      <c r="J94" s="41">
        <v>825</v>
      </c>
      <c r="K94" s="41"/>
      <c r="L94" s="41"/>
      <c r="M94" s="42"/>
      <c r="N94" s="42"/>
      <c r="O94" s="43">
        <v>0</v>
      </c>
      <c r="P94" s="44">
        <v>0</v>
      </c>
      <c r="Q94" s="44">
        <v>0</v>
      </c>
      <c r="R94" s="45">
        <v>0</v>
      </c>
      <c r="S94" s="46">
        <v>0</v>
      </c>
      <c r="T94" s="39">
        <f t="shared" si="38"/>
        <v>45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>
        <f>HLOOKUP(I94,ElecAvoidedCostsWOCC!$A$5:$Q$50,G94+1,FALSE)</f>
        <v>3.4276422079642828</v>
      </c>
      <c r="AG94" s="44">
        <f t="shared" si="50"/>
        <v>0</v>
      </c>
      <c r="AH94" s="52">
        <f>HLOOKUP(I94,ElecAvoidedCostsWOCC!$A$5:$Q$50,T94+1,FALSE)</f>
        <v>3.4276422079642828</v>
      </c>
      <c r="AI94" s="44">
        <f t="shared" si="51"/>
        <v>0</v>
      </c>
      <c r="AJ94" s="44">
        <f t="shared" si="52"/>
        <v>0</v>
      </c>
      <c r="AK94" s="44">
        <f>HLOOKUP(I94,ElecAvoidedCostsWOCC!$A$5:$Q$50,G94+1,FALSE)*J94*L94</f>
        <v>0</v>
      </c>
      <c r="AL94" s="44">
        <f t="shared" si="53"/>
        <v>0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  <c r="AQ94">
        <v>2021</v>
      </c>
    </row>
    <row r="95" spans="2:43">
      <c r="B95" s="97" t="s">
        <v>15</v>
      </c>
      <c r="C95" s="61">
        <v>18230627</v>
      </c>
      <c r="D95" s="61" t="s">
        <v>80</v>
      </c>
      <c r="E95" s="38" t="s">
        <v>809</v>
      </c>
      <c r="F95" s="39" t="s">
        <v>808</v>
      </c>
      <c r="G95" s="39">
        <v>45</v>
      </c>
      <c r="H95" s="39"/>
      <c r="I95" s="40" t="s">
        <v>269</v>
      </c>
      <c r="J95" s="41">
        <v>1992</v>
      </c>
      <c r="K95" s="41">
        <v>0.06</v>
      </c>
      <c r="L95" s="41"/>
      <c r="M95" s="42">
        <v>0</v>
      </c>
      <c r="N95" s="42">
        <v>0</v>
      </c>
      <c r="O95" s="43">
        <v>124.9</v>
      </c>
      <c r="P95" s="44">
        <v>0</v>
      </c>
      <c r="Q95" s="44">
        <v>0</v>
      </c>
      <c r="R95" s="45">
        <v>0</v>
      </c>
      <c r="S95" s="46">
        <v>0</v>
      </c>
      <c r="T95" s="39">
        <f t="shared" si="38"/>
        <v>45</v>
      </c>
      <c r="U95" s="47">
        <f t="shared" si="39"/>
        <v>2.0198682223668608E-3</v>
      </c>
      <c r="V95" s="48">
        <f t="shared" si="40"/>
        <v>0</v>
      </c>
      <c r="W95" s="49">
        <f t="shared" si="41"/>
        <v>4.4885960497041353E-5</v>
      </c>
      <c r="X95" s="44">
        <f t="shared" si="42"/>
        <v>13.928739252521257</v>
      </c>
      <c r="Y95" s="44">
        <f t="shared" si="43"/>
        <v>0</v>
      </c>
      <c r="Z95" s="44">
        <f t="shared" si="44"/>
        <v>86.206340983936315</v>
      </c>
      <c r="AA95" s="50">
        <f t="shared" si="45"/>
        <v>13.928739252521257</v>
      </c>
      <c r="AB95" s="51">
        <f t="shared" si="46"/>
        <v>80.589268938895302</v>
      </c>
      <c r="AC95" s="44">
        <f t="shared" si="47"/>
        <v>13.021164113790087</v>
      </c>
      <c r="AD95" s="44">
        <f t="shared" si="48"/>
        <v>0</v>
      </c>
      <c r="AE95" s="44">
        <f t="shared" si="49"/>
        <v>0</v>
      </c>
      <c r="AF95" s="52">
        <f>HLOOKUP(I95,ElecAvoidedCostsWOCC!$A$5:$Q$50,G95+1,FALSE)</f>
        <v>3.4276422079642828</v>
      </c>
      <c r="AG95" s="44">
        <f t="shared" si="50"/>
        <v>409.67179669589103</v>
      </c>
      <c r="AH95" s="52">
        <f>HLOOKUP(I95,ElecAvoidedCostsWOCC!$A$5:$Q$50,T95+1,FALSE)</f>
        <v>3.4276422079642828</v>
      </c>
      <c r="AI95" s="44">
        <f t="shared" si="51"/>
        <v>0</v>
      </c>
      <c r="AJ95" s="44">
        <f t="shared" si="52"/>
        <v>409.67179669589103</v>
      </c>
      <c r="AK95" s="44">
        <f>HLOOKUP(I95,ElecAvoidedCostsWOCC!$A$5:$Q$50,G95+1,FALSE)*J95*L95</f>
        <v>0</v>
      </c>
      <c r="AL95" s="44">
        <f t="shared" si="53"/>
        <v>409.67179669589103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409.67179669589103</v>
      </c>
      <c r="AN95" s="48">
        <f t="shared" si="54"/>
        <v>450.63897636548018</v>
      </c>
      <c r="AO95" s="47">
        <f t="shared" si="55"/>
        <v>5.0834534434915142</v>
      </c>
      <c r="AP95" s="47">
        <f t="shared" si="56"/>
        <v>34.608194200411788</v>
      </c>
      <c r="AQ95">
        <v>2021</v>
      </c>
    </row>
    <row r="96" spans="2:43">
      <c r="B96" s="97" t="s">
        <v>15</v>
      </c>
      <c r="C96" s="61">
        <v>18230627</v>
      </c>
      <c r="D96" s="61" t="s">
        <v>80</v>
      </c>
      <c r="E96" s="38" t="s">
        <v>810</v>
      </c>
      <c r="F96" s="39" t="s">
        <v>811</v>
      </c>
      <c r="G96" s="39">
        <v>45</v>
      </c>
      <c r="H96" s="39"/>
      <c r="I96" s="40" t="s">
        <v>269</v>
      </c>
      <c r="J96" s="41">
        <v>400</v>
      </c>
      <c r="K96" s="41">
        <v>0.96</v>
      </c>
      <c r="L96" s="41"/>
      <c r="M96" s="42">
        <v>1.54</v>
      </c>
      <c r="N96" s="42">
        <v>1.54</v>
      </c>
      <c r="O96" s="43">
        <v>384</v>
      </c>
      <c r="P96" s="44">
        <v>800</v>
      </c>
      <c r="Q96" s="44">
        <v>616</v>
      </c>
      <c r="R96" s="45">
        <v>0.02</v>
      </c>
      <c r="S96" s="46">
        <v>0</v>
      </c>
      <c r="T96" s="39">
        <f t="shared" si="38"/>
        <v>45</v>
      </c>
      <c r="U96" s="47">
        <f t="shared" si="39"/>
        <v>6.2100031816563215E-3</v>
      </c>
      <c r="V96" s="48">
        <f t="shared" si="40"/>
        <v>0</v>
      </c>
      <c r="W96" s="49">
        <f t="shared" si="41"/>
        <v>1.380000707034738E-4</v>
      </c>
      <c r="X96" s="44">
        <f t="shared" si="42"/>
        <v>42.823345660273517</v>
      </c>
      <c r="Y96" s="44">
        <f t="shared" si="43"/>
        <v>-184</v>
      </c>
      <c r="Z96" s="44">
        <f t="shared" si="44"/>
        <v>265.03790983051675</v>
      </c>
      <c r="AA96" s="50">
        <f t="shared" si="45"/>
        <v>658.8233456602735</v>
      </c>
      <c r="AB96" s="51">
        <f t="shared" si="46"/>
        <v>247.76844893943792</v>
      </c>
      <c r="AC96" s="44">
        <f t="shared" si="47"/>
        <v>615.89543391630684</v>
      </c>
      <c r="AD96" s="44">
        <f t="shared" si="48"/>
        <v>109.24325846738247</v>
      </c>
      <c r="AE96" s="44">
        <f t="shared" si="49"/>
        <v>0</v>
      </c>
      <c r="AF96" s="52">
        <f>HLOOKUP(I96,ElecAvoidedCostsWOCC!$A$5:$Q$50,G96+1,FALSE)</f>
        <v>3.4276422079642828</v>
      </c>
      <c r="AG96" s="44">
        <f t="shared" si="50"/>
        <v>1316.2146078582846</v>
      </c>
      <c r="AH96" s="52">
        <f>HLOOKUP(I96,ElecAvoidedCostsWOCC!$A$5:$Q$50,T96+1,FALSE)</f>
        <v>3.4276422079642828</v>
      </c>
      <c r="AI96" s="44">
        <f t="shared" si="51"/>
        <v>0</v>
      </c>
      <c r="AJ96" s="44">
        <f t="shared" si="52"/>
        <v>1316.2146078582846</v>
      </c>
      <c r="AK96" s="44">
        <f>HLOOKUP(I96,ElecAvoidedCostsWOCC!$A$5:$Q$50,G96+1,FALSE)*J96*L96</f>
        <v>0</v>
      </c>
      <c r="AL96" s="44">
        <f t="shared" si="53"/>
        <v>1316.2146078582846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1316.2146078582846</v>
      </c>
      <c r="AN96" s="48">
        <f t="shared" si="54"/>
        <v>1557.0793271114956</v>
      </c>
      <c r="AO96" s="47">
        <f t="shared" si="55"/>
        <v>5.312276900034222</v>
      </c>
      <c r="AP96" s="47">
        <f t="shared" si="56"/>
        <v>2.5281553350874248</v>
      </c>
      <c r="AQ96">
        <v>2021</v>
      </c>
    </row>
    <row r="97" spans="2:43">
      <c r="B97" s="97" t="s">
        <v>15</v>
      </c>
      <c r="C97" s="61">
        <v>18230627</v>
      </c>
      <c r="D97" s="61" t="s">
        <v>80</v>
      </c>
      <c r="E97" s="38" t="s">
        <v>812</v>
      </c>
      <c r="F97" s="39" t="s">
        <v>813</v>
      </c>
      <c r="G97" s="39">
        <v>45</v>
      </c>
      <c r="H97" s="39"/>
      <c r="I97" s="40" t="s">
        <v>269</v>
      </c>
      <c r="J97" s="41">
        <v>340.47</v>
      </c>
      <c r="K97" s="41">
        <v>4.67</v>
      </c>
      <c r="L97" s="41"/>
      <c r="M97" s="42">
        <v>200</v>
      </c>
      <c r="N97" s="42">
        <v>22.6</v>
      </c>
      <c r="O97" s="43">
        <v>1589.1</v>
      </c>
      <c r="P97" s="44">
        <v>4200</v>
      </c>
      <c r="Q97" s="44">
        <v>7694.62</v>
      </c>
      <c r="R97" s="45">
        <v>0</v>
      </c>
      <c r="S97" s="46">
        <v>0</v>
      </c>
      <c r="T97" s="39">
        <f t="shared" si="38"/>
        <v>45</v>
      </c>
      <c r="U97" s="47">
        <f t="shared" si="39"/>
        <v>2.5698739729088697E-2</v>
      </c>
      <c r="V97" s="48">
        <f t="shared" si="40"/>
        <v>-177.4</v>
      </c>
      <c r="W97" s="49">
        <f t="shared" si="41"/>
        <v>5.7108310509085996E-4</v>
      </c>
      <c r="X97" s="44">
        <f t="shared" si="42"/>
        <v>177.21504840817877</v>
      </c>
      <c r="Y97" s="44">
        <f t="shared" si="43"/>
        <v>3494.62</v>
      </c>
      <c r="Z97" s="44">
        <f t="shared" si="44"/>
        <v>1096.8014127908182</v>
      </c>
      <c r="AA97" s="50">
        <f t="shared" si="45"/>
        <v>7871.8350484081784</v>
      </c>
      <c r="AB97" s="51">
        <f t="shared" si="46"/>
        <v>1025.3355265876583</v>
      </c>
      <c r="AC97" s="44">
        <f t="shared" si="47"/>
        <v>7358.9184335871532</v>
      </c>
      <c r="AD97" s="44">
        <f t="shared" si="48"/>
        <v>0</v>
      </c>
      <c r="AE97" s="44">
        <f t="shared" si="49"/>
        <v>0</v>
      </c>
      <c r="AF97" s="52">
        <f>HLOOKUP(I97,ElecAvoidedCostsWOCC!$A$5:$Q$50,G97+1,FALSE)</f>
        <v>3.4276422079642828</v>
      </c>
      <c r="AG97" s="44">
        <f t="shared" si="50"/>
        <v>5449.9336296879492</v>
      </c>
      <c r="AH97" s="52">
        <f>HLOOKUP(I97,ElecAvoidedCostsWOCC!$A$5:$Q$50,T97+1,FALSE)</f>
        <v>3.4276422079642828</v>
      </c>
      <c r="AI97" s="44">
        <f t="shared" si="51"/>
        <v>0</v>
      </c>
      <c r="AJ97" s="44">
        <f t="shared" si="52"/>
        <v>5449.9336296879492</v>
      </c>
      <c r="AK97" s="44">
        <f>HLOOKUP(I97,ElecAvoidedCostsWOCC!$A$5:$Q$50,G97+1,FALSE)*J97*L97</f>
        <v>0</v>
      </c>
      <c r="AL97" s="44">
        <f t="shared" si="53"/>
        <v>5449.9336296879492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5449.9336296879492</v>
      </c>
      <c r="AN97" s="48">
        <f t="shared" si="54"/>
        <v>5994.9269926567449</v>
      </c>
      <c r="AO97" s="47">
        <f t="shared" si="55"/>
        <v>5.3152685032044698</v>
      </c>
      <c r="AP97" s="47">
        <f t="shared" si="56"/>
        <v>0.81464783809738173</v>
      </c>
      <c r="AQ97">
        <v>2021</v>
      </c>
    </row>
    <row r="98" spans="2:43">
      <c r="B98" s="97" t="s">
        <v>15</v>
      </c>
      <c r="C98" s="61">
        <v>18230627</v>
      </c>
      <c r="D98" s="61" t="s">
        <v>80</v>
      </c>
      <c r="E98" s="38" t="s">
        <v>814</v>
      </c>
      <c r="F98" s="39" t="s">
        <v>815</v>
      </c>
      <c r="G98" s="39">
        <v>45</v>
      </c>
      <c r="H98" s="39"/>
      <c r="I98" s="40" t="s">
        <v>269</v>
      </c>
      <c r="J98" s="41">
        <v>662.15</v>
      </c>
      <c r="K98" s="41"/>
      <c r="L98" s="41"/>
      <c r="M98" s="42"/>
      <c r="N98" s="42"/>
      <c r="O98" s="43">
        <v>0</v>
      </c>
      <c r="P98" s="44">
        <v>0</v>
      </c>
      <c r="Q98" s="44">
        <v>0</v>
      </c>
      <c r="R98" s="45">
        <v>0</v>
      </c>
      <c r="S98" s="46">
        <v>0</v>
      </c>
      <c r="T98" s="39">
        <f t="shared" si="38"/>
        <v>45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>
        <f>HLOOKUP(I98,ElecAvoidedCostsWOCC!$A$5:$Q$50,G98+1,FALSE)</f>
        <v>3.4276422079642828</v>
      </c>
      <c r="AG98" s="44">
        <f t="shared" si="50"/>
        <v>0</v>
      </c>
      <c r="AH98" s="52">
        <f>HLOOKUP(I98,ElecAvoidedCostsWOCC!$A$5:$Q$50,T98+1,FALSE)</f>
        <v>3.4276422079642828</v>
      </c>
      <c r="AI98" s="44">
        <f t="shared" si="51"/>
        <v>0</v>
      </c>
      <c r="AJ98" s="44">
        <f t="shared" si="52"/>
        <v>0</v>
      </c>
      <c r="AK98" s="44">
        <f>HLOOKUP(I98,ElecAvoidedCostsWOCC!$A$5:$Q$50,G98+1,FALSE)*J98*L98</f>
        <v>0</v>
      </c>
      <c r="AL98" s="44">
        <f t="shared" si="53"/>
        <v>0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  <c r="AQ98">
        <v>2021</v>
      </c>
    </row>
    <row r="99" spans="2:43">
      <c r="B99" s="97" t="s">
        <v>15</v>
      </c>
      <c r="C99" s="61">
        <v>18230627</v>
      </c>
      <c r="D99" s="61" t="s">
        <v>80</v>
      </c>
      <c r="E99" s="38" t="s">
        <v>816</v>
      </c>
      <c r="F99" s="39" t="s">
        <v>815</v>
      </c>
      <c r="G99" s="39">
        <v>45</v>
      </c>
      <c r="H99" s="39"/>
      <c r="I99" s="40" t="s">
        <v>269</v>
      </c>
      <c r="J99" s="41">
        <v>2832.68</v>
      </c>
      <c r="K99" s="41">
        <v>0.32</v>
      </c>
      <c r="L99" s="41"/>
      <c r="M99" s="42">
        <v>0</v>
      </c>
      <c r="N99" s="42">
        <v>0</v>
      </c>
      <c r="O99" s="43">
        <v>901.65</v>
      </c>
      <c r="P99" s="44">
        <v>0</v>
      </c>
      <c r="Q99" s="44">
        <v>0</v>
      </c>
      <c r="R99" s="45">
        <v>0</v>
      </c>
      <c r="S99" s="46">
        <v>0</v>
      </c>
      <c r="T99" s="39">
        <f t="shared" si="38"/>
        <v>45</v>
      </c>
      <c r="U99" s="47">
        <f t="shared" si="39"/>
        <v>1.4581378564428184E-2</v>
      </c>
      <c r="V99" s="48">
        <f t="shared" si="40"/>
        <v>0</v>
      </c>
      <c r="W99" s="49">
        <f t="shared" si="41"/>
        <v>3.2403063476507075E-4</v>
      </c>
      <c r="X99" s="44">
        <f t="shared" si="42"/>
        <v>100.55122295465006</v>
      </c>
      <c r="Y99" s="44">
        <f t="shared" si="43"/>
        <v>0</v>
      </c>
      <c r="Z99" s="44">
        <f t="shared" si="44"/>
        <v>622.3214359340767</v>
      </c>
      <c r="AA99" s="50">
        <f t="shared" si="45"/>
        <v>100.55122295465006</v>
      </c>
      <c r="AB99" s="51">
        <f t="shared" si="46"/>
        <v>581.77193225584426</v>
      </c>
      <c r="AC99" s="44">
        <f t="shared" si="47"/>
        <v>93.999460554033888</v>
      </c>
      <c r="AD99" s="44">
        <f t="shared" si="48"/>
        <v>0</v>
      </c>
      <c r="AE99" s="44">
        <f t="shared" si="49"/>
        <v>0</v>
      </c>
      <c r="AF99" s="52">
        <f>HLOOKUP(I99,ElecAvoidedCostsWOCC!$A$5:$Q$50,G99+1,FALSE)</f>
        <v>3.4276422079642828</v>
      </c>
      <c r="AG99" s="44">
        <f t="shared" si="50"/>
        <v>3107.0123294900045</v>
      </c>
      <c r="AH99" s="52">
        <f>HLOOKUP(I99,ElecAvoidedCostsWOCC!$A$5:$Q$50,T99+1,FALSE)</f>
        <v>3.4276422079642828</v>
      </c>
      <c r="AI99" s="44">
        <f t="shared" si="51"/>
        <v>0</v>
      </c>
      <c r="AJ99" s="44">
        <f t="shared" si="52"/>
        <v>3107.0123294900045</v>
      </c>
      <c r="AK99" s="44">
        <f>HLOOKUP(I99,ElecAvoidedCostsWOCC!$A$5:$Q$50,G99+1,FALSE)*J99*L99</f>
        <v>0</v>
      </c>
      <c r="AL99" s="44">
        <f t="shared" si="53"/>
        <v>3107.0123294900045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3107.0123294900045</v>
      </c>
      <c r="AN99" s="48">
        <f t="shared" si="54"/>
        <v>3417.7135624390053</v>
      </c>
      <c r="AO99" s="47">
        <f t="shared" si="55"/>
        <v>5.340601973427006</v>
      </c>
      <c r="AP99" s="47">
        <f t="shared" si="56"/>
        <v>36.358863575332911</v>
      </c>
      <c r="AQ99">
        <v>2021</v>
      </c>
    </row>
    <row r="100" spans="2:43">
      <c r="B100" s="97" t="s">
        <v>15</v>
      </c>
      <c r="C100" s="61">
        <v>18230627</v>
      </c>
      <c r="D100" s="61" t="s">
        <v>80</v>
      </c>
      <c r="E100" s="38" t="s">
        <v>817</v>
      </c>
      <c r="F100" s="39" t="s">
        <v>818</v>
      </c>
      <c r="G100" s="39">
        <v>25</v>
      </c>
      <c r="H100" s="39"/>
      <c r="I100" s="40" t="s">
        <v>269</v>
      </c>
      <c r="J100" s="41">
        <v>976.11</v>
      </c>
      <c r="K100" s="41">
        <v>9.98</v>
      </c>
      <c r="L100" s="41"/>
      <c r="M100" s="42">
        <v>200</v>
      </c>
      <c r="N100" s="42">
        <v>17.809999999999999</v>
      </c>
      <c r="O100" s="43">
        <v>9741.58</v>
      </c>
      <c r="P100" s="44">
        <v>11400</v>
      </c>
      <c r="Q100" s="44">
        <v>17384.52</v>
      </c>
      <c r="R100" s="45">
        <v>0.08</v>
      </c>
      <c r="S100" s="46">
        <v>0</v>
      </c>
      <c r="T100" s="39">
        <f t="shared" si="38"/>
        <v>25</v>
      </c>
      <c r="U100" s="47">
        <f t="shared" si="39"/>
        <v>8.752205265387672E-2</v>
      </c>
      <c r="V100" s="48">
        <f t="shared" si="40"/>
        <v>-182.19</v>
      </c>
      <c r="W100" s="49">
        <f t="shared" si="41"/>
        <v>3.500882106155069E-3</v>
      </c>
      <c r="X100" s="44">
        <f t="shared" si="42"/>
        <v>1086.3725198364775</v>
      </c>
      <c r="Y100" s="44">
        <f t="shared" si="43"/>
        <v>5984.52</v>
      </c>
      <c r="Z100" s="44">
        <f t="shared" si="44"/>
        <v>6723.6666709551182</v>
      </c>
      <c r="AA100" s="50">
        <f t="shared" si="45"/>
        <v>18470.892519836478</v>
      </c>
      <c r="AB100" s="51">
        <f t="shared" si="46"/>
        <v>6285.5629344256495</v>
      </c>
      <c r="AC100" s="44">
        <f t="shared" si="47"/>
        <v>17267.357688918833</v>
      </c>
      <c r="AD100" s="44">
        <f t="shared" si="48"/>
        <v>912.47898523234574</v>
      </c>
      <c r="AE100" s="44">
        <f t="shared" si="49"/>
        <v>0</v>
      </c>
      <c r="AF100" s="52">
        <f>HLOOKUP(I100,ElecAvoidedCostsWOCC!$A$5:$Q$50,G100+1,FALSE)</f>
        <v>2.0508206305871441</v>
      </c>
      <c r="AG100" s="44">
        <f t="shared" si="50"/>
        <v>19978.228726709724</v>
      </c>
      <c r="AH100" s="52">
        <f>HLOOKUP(I100,ElecAvoidedCostsWOCC!$A$5:$Q$50,T100+1,FALSE)</f>
        <v>2.0508206305871441</v>
      </c>
      <c r="AI100" s="44">
        <f t="shared" si="51"/>
        <v>0</v>
      </c>
      <c r="AJ100" s="44">
        <f t="shared" si="52"/>
        <v>19978.228726709724</v>
      </c>
      <c r="AK100" s="44">
        <f>HLOOKUP(I100,ElecAvoidedCostsWOCC!$A$5:$Q$50,G100+1,FALSE)*J100*L100</f>
        <v>0</v>
      </c>
      <c r="AL100" s="44">
        <f t="shared" si="53"/>
        <v>19978.228726709724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19978.228726709727</v>
      </c>
      <c r="AN100" s="48">
        <f t="shared" si="54"/>
        <v>22888.530584613047</v>
      </c>
      <c r="AO100" s="47">
        <f t="shared" si="55"/>
        <v>3.178431102374327</v>
      </c>
      <c r="AP100" s="47">
        <f t="shared" si="56"/>
        <v>1.3255375255996202</v>
      </c>
      <c r="AQ100">
        <v>2021</v>
      </c>
    </row>
    <row r="101" spans="2:43">
      <c r="B101" s="97" t="s">
        <v>15</v>
      </c>
      <c r="C101" s="61">
        <v>18230627</v>
      </c>
      <c r="D101" s="61" t="s">
        <v>80</v>
      </c>
      <c r="E101" s="38" t="s">
        <v>819</v>
      </c>
      <c r="F101" s="39" t="s">
        <v>818</v>
      </c>
      <c r="G101" s="39">
        <v>25</v>
      </c>
      <c r="H101" s="39"/>
      <c r="I101" s="40" t="s">
        <v>269</v>
      </c>
      <c r="J101" s="41">
        <v>2952.55</v>
      </c>
      <c r="K101" s="41">
        <v>10.02</v>
      </c>
      <c r="L101" s="41"/>
      <c r="M101" s="42">
        <v>200</v>
      </c>
      <c r="N101" s="42">
        <v>18.53</v>
      </c>
      <c r="O101" s="43">
        <v>29597.27</v>
      </c>
      <c r="P101" s="44">
        <v>32929</v>
      </c>
      <c r="Q101" s="44">
        <v>54710.76</v>
      </c>
      <c r="R101" s="45">
        <v>0</v>
      </c>
      <c r="S101" s="46">
        <v>0</v>
      </c>
      <c r="T101" s="39">
        <f t="shared" si="38"/>
        <v>25</v>
      </c>
      <c r="U101" s="47">
        <f t="shared" si="39"/>
        <v>0.26591310889516956</v>
      </c>
      <c r="V101" s="48">
        <f t="shared" si="40"/>
        <v>-181.47</v>
      </c>
      <c r="W101" s="49">
        <f t="shared" si="41"/>
        <v>1.0636524355806783E-2</v>
      </c>
      <c r="X101" s="44">
        <f t="shared" si="42"/>
        <v>3300.6617807563639</v>
      </c>
      <c r="Y101" s="44">
        <f t="shared" si="43"/>
        <v>21781.760000000002</v>
      </c>
      <c r="Z101" s="44">
        <f t="shared" si="44"/>
        <v>20428.121295545465</v>
      </c>
      <c r="AA101" s="50">
        <f t="shared" si="45"/>
        <v>58011.421780756369</v>
      </c>
      <c r="AB101" s="51">
        <f t="shared" si="46"/>
        <v>19097.056460264994</v>
      </c>
      <c r="AC101" s="44">
        <f t="shared" si="47"/>
        <v>54231.487127939014</v>
      </c>
      <c r="AD101" s="44">
        <f t="shared" si="48"/>
        <v>0</v>
      </c>
      <c r="AE101" s="44">
        <f t="shared" si="49"/>
        <v>0</v>
      </c>
      <c r="AF101" s="52">
        <f>HLOOKUP(I101,ElecAvoidedCostsWOCC!$A$5:$Q$50,G101+1,FALSE)</f>
        <v>2.0508206305871441</v>
      </c>
      <c r="AG101" s="44">
        <f t="shared" si="50"/>
        <v>60672.60753745753</v>
      </c>
      <c r="AH101" s="52">
        <f>HLOOKUP(I101,ElecAvoidedCostsWOCC!$A$5:$Q$50,T101+1,FALSE)</f>
        <v>2.0508206305871441</v>
      </c>
      <c r="AI101" s="44">
        <f t="shared" si="51"/>
        <v>0</v>
      </c>
      <c r="AJ101" s="44">
        <f t="shared" si="52"/>
        <v>60672.60753745753</v>
      </c>
      <c r="AK101" s="44">
        <f>HLOOKUP(I101,ElecAvoidedCostsWOCC!$A$5:$Q$50,G101+1,FALSE)*J101*L101</f>
        <v>0</v>
      </c>
      <c r="AL101" s="44">
        <f t="shared" si="53"/>
        <v>60672.60753745753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60672.607537457523</v>
      </c>
      <c r="AN101" s="48">
        <f t="shared" si="54"/>
        <v>66739.868291203282</v>
      </c>
      <c r="AO101" s="47">
        <f t="shared" si="55"/>
        <v>3.1770659349360075</v>
      </c>
      <c r="AP101" s="47">
        <f t="shared" si="56"/>
        <v>1.2306479468976279</v>
      </c>
      <c r="AQ101">
        <v>2021</v>
      </c>
    </row>
    <row r="102" spans="2:43">
      <c r="B102" s="97" t="s">
        <v>15</v>
      </c>
      <c r="C102" s="61">
        <v>18230627</v>
      </c>
      <c r="D102" s="61" t="s">
        <v>80</v>
      </c>
      <c r="E102" s="38" t="s">
        <v>820</v>
      </c>
      <c r="F102" s="39" t="s">
        <v>821</v>
      </c>
      <c r="G102" s="39">
        <v>45</v>
      </c>
      <c r="H102" s="39"/>
      <c r="I102" s="40" t="s">
        <v>269</v>
      </c>
      <c r="J102" s="41">
        <v>220.76</v>
      </c>
      <c r="K102" s="41">
        <v>6.99</v>
      </c>
      <c r="L102" s="41"/>
      <c r="M102" s="42">
        <v>200</v>
      </c>
      <c r="N102" s="42">
        <v>20.5</v>
      </c>
      <c r="O102" s="43">
        <v>1543.11</v>
      </c>
      <c r="P102" s="44">
        <v>1800</v>
      </c>
      <c r="Q102" s="44">
        <v>4525.58</v>
      </c>
      <c r="R102" s="45">
        <v>0.11</v>
      </c>
      <c r="S102" s="46">
        <v>0</v>
      </c>
      <c r="T102" s="39">
        <f t="shared" si="38"/>
        <v>45</v>
      </c>
      <c r="U102" s="47">
        <f t="shared" si="39"/>
        <v>2.4954994816785637E-2</v>
      </c>
      <c r="V102" s="48">
        <f t="shared" si="40"/>
        <v>-179.5</v>
      </c>
      <c r="W102" s="49">
        <f t="shared" si="41"/>
        <v>5.5455544037301418E-4</v>
      </c>
      <c r="X102" s="44">
        <f t="shared" si="42"/>
        <v>172.08628365058507</v>
      </c>
      <c r="Y102" s="44">
        <f t="shared" si="43"/>
        <v>2725.58</v>
      </c>
      <c r="Z102" s="44">
        <f t="shared" si="44"/>
        <v>1065.0589818712724</v>
      </c>
      <c r="AA102" s="50">
        <f t="shared" si="45"/>
        <v>4697.6662836505848</v>
      </c>
      <c r="AB102" s="51">
        <f t="shared" si="46"/>
        <v>995.6613834451457</v>
      </c>
      <c r="AC102" s="44">
        <f t="shared" si="47"/>
        <v>4391.5736034875054</v>
      </c>
      <c r="AD102" s="44">
        <f t="shared" si="48"/>
        <v>331.60244891481608</v>
      </c>
      <c r="AE102" s="44">
        <f t="shared" si="49"/>
        <v>0</v>
      </c>
      <c r="AF102" s="52">
        <f>HLOOKUP(I102,ElecAvoidedCostsWOCC!$A$5:$Q$50,G102+1,FALSE)</f>
        <v>3.4276422079642828</v>
      </c>
      <c r="AG102" s="44">
        <f t="shared" si="50"/>
        <v>5289.2371938730639</v>
      </c>
      <c r="AH102" s="52">
        <f>HLOOKUP(I102,ElecAvoidedCostsWOCC!$A$5:$Q$50,T102+1,FALSE)</f>
        <v>3.4276422079642828</v>
      </c>
      <c r="AI102" s="44">
        <f t="shared" si="51"/>
        <v>0</v>
      </c>
      <c r="AJ102" s="44">
        <f t="shared" si="52"/>
        <v>5289.2371938730639</v>
      </c>
      <c r="AK102" s="44">
        <f>HLOOKUP(I102,ElecAvoidedCostsWOCC!$A$5:$Q$50,G102+1,FALSE)*J102*L102</f>
        <v>0</v>
      </c>
      <c r="AL102" s="44">
        <f t="shared" si="53"/>
        <v>5289.2371938730639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5289.237193873063</v>
      </c>
      <c r="AN102" s="48">
        <f t="shared" si="54"/>
        <v>6149.7633621751856</v>
      </c>
      <c r="AO102" s="47">
        <f t="shared" si="55"/>
        <v>5.3122851622219862</v>
      </c>
      <c r="AP102" s="47">
        <f t="shared" si="56"/>
        <v>1.4003552979941949</v>
      </c>
      <c r="AQ102">
        <v>2021</v>
      </c>
    </row>
    <row r="103" spans="2:43">
      <c r="B103" s="97" t="s">
        <v>15</v>
      </c>
      <c r="C103" s="61">
        <v>18230627</v>
      </c>
      <c r="D103" s="61" t="s">
        <v>80</v>
      </c>
      <c r="E103" s="38" t="s">
        <v>822</v>
      </c>
      <c r="F103" s="39" t="s">
        <v>821</v>
      </c>
      <c r="G103" s="39">
        <v>45</v>
      </c>
      <c r="H103" s="39"/>
      <c r="I103" s="40" t="s">
        <v>269</v>
      </c>
      <c r="J103" s="41">
        <v>161.47999999999999</v>
      </c>
      <c r="K103" s="41">
        <v>2.9</v>
      </c>
      <c r="L103" s="41"/>
      <c r="M103" s="42">
        <v>200</v>
      </c>
      <c r="N103" s="42">
        <v>22.6</v>
      </c>
      <c r="O103" s="43">
        <v>468.2</v>
      </c>
      <c r="P103" s="44">
        <v>2800</v>
      </c>
      <c r="Q103" s="44">
        <v>3649.45</v>
      </c>
      <c r="R103" s="45">
        <v>0</v>
      </c>
      <c r="S103" s="46">
        <v>0</v>
      </c>
      <c r="T103" s="39">
        <f t="shared" si="38"/>
        <v>45</v>
      </c>
      <c r="U103" s="47">
        <f t="shared" si="39"/>
        <v>7.5716757543007546E-3</v>
      </c>
      <c r="V103" s="48">
        <f t="shared" si="40"/>
        <v>-177.4</v>
      </c>
      <c r="W103" s="49">
        <f t="shared" si="41"/>
        <v>1.6825946120668344E-4</v>
      </c>
      <c r="X103" s="44">
        <f t="shared" si="42"/>
        <v>52.213256349323082</v>
      </c>
      <c r="Y103" s="44">
        <f t="shared" si="43"/>
        <v>849.44999999999982</v>
      </c>
      <c r="Z103" s="44">
        <f t="shared" si="44"/>
        <v>323.15299318397905</v>
      </c>
      <c r="AA103" s="50">
        <f t="shared" si="45"/>
        <v>3701.6632563493231</v>
      </c>
      <c r="AB103" s="51">
        <f t="shared" si="46"/>
        <v>302.09684321209596</v>
      </c>
      <c r="AC103" s="44">
        <f t="shared" si="47"/>
        <v>3460.4685952597201</v>
      </c>
      <c r="AD103" s="44">
        <f t="shared" si="48"/>
        <v>0</v>
      </c>
      <c r="AE103" s="44">
        <f t="shared" si="49"/>
        <v>0</v>
      </c>
      <c r="AF103" s="52">
        <f>HLOOKUP(I103,ElecAvoidedCostsWOCC!$A$5:$Q$50,G103+1,FALSE)</f>
        <v>3.4276422079642828</v>
      </c>
      <c r="AG103" s="44">
        <f t="shared" si="50"/>
        <v>1605.1374248520096</v>
      </c>
      <c r="AH103" s="52">
        <f>HLOOKUP(I103,ElecAvoidedCostsWOCC!$A$5:$Q$50,T103+1,FALSE)</f>
        <v>3.4276422079642828</v>
      </c>
      <c r="AI103" s="44">
        <f t="shared" si="51"/>
        <v>0</v>
      </c>
      <c r="AJ103" s="44">
        <f t="shared" si="52"/>
        <v>1605.1374248520096</v>
      </c>
      <c r="AK103" s="44">
        <f>HLOOKUP(I103,ElecAvoidedCostsWOCC!$A$5:$Q$50,G103+1,FALSE)*J103*L103</f>
        <v>0</v>
      </c>
      <c r="AL103" s="44">
        <f t="shared" si="53"/>
        <v>1605.1374248520096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1605.1374248520096</v>
      </c>
      <c r="AN103" s="48">
        <f t="shared" si="54"/>
        <v>1765.6511673372108</v>
      </c>
      <c r="AO103" s="47">
        <f t="shared" si="55"/>
        <v>5.3133207476950552</v>
      </c>
      <c r="AP103" s="47">
        <f t="shared" si="56"/>
        <v>0.51023470340284727</v>
      </c>
      <c r="AQ103">
        <v>2021</v>
      </c>
    </row>
    <row r="104" spans="2:43">
      <c r="B104" s="97" t="s">
        <v>15</v>
      </c>
      <c r="C104" s="61"/>
      <c r="D104" s="61"/>
      <c r="E104" s="38" t="s">
        <v>823</v>
      </c>
      <c r="F104" s="39" t="s">
        <v>824</v>
      </c>
      <c r="G104" s="39">
        <v>45</v>
      </c>
      <c r="H104" s="39"/>
      <c r="I104" s="40" t="s">
        <v>269</v>
      </c>
      <c r="J104" s="41">
        <v>367.23</v>
      </c>
      <c r="K104" s="41">
        <v>8.92</v>
      </c>
      <c r="L104" s="41"/>
      <c r="M104" s="42">
        <v>200</v>
      </c>
      <c r="N104" s="42">
        <v>20.5</v>
      </c>
      <c r="O104" s="43">
        <v>3275.7</v>
      </c>
      <c r="P104" s="44">
        <v>3400</v>
      </c>
      <c r="Q104" s="44">
        <v>7528.21</v>
      </c>
      <c r="R104" s="45">
        <v>0.15</v>
      </c>
      <c r="S104" s="46">
        <v>0</v>
      </c>
      <c r="T104" s="39">
        <f t="shared" si="38"/>
        <v>45</v>
      </c>
      <c r="U104" s="47">
        <f t="shared" si="39"/>
        <v>5.2974238078519816E-2</v>
      </c>
      <c r="V104" s="48">
        <f t="shared" si="40"/>
        <v>-179.5</v>
      </c>
      <c r="W104" s="49">
        <f t="shared" si="41"/>
        <v>1.1772052906337737E-3</v>
      </c>
      <c r="X104" s="44">
        <f t="shared" si="42"/>
        <v>365.30321192541135</v>
      </c>
      <c r="Y104" s="44">
        <f t="shared" si="43"/>
        <v>4128.21</v>
      </c>
      <c r="Z104" s="44">
        <f t="shared" si="44"/>
        <v>2260.8976073745407</v>
      </c>
      <c r="AA104" s="50">
        <f t="shared" si="45"/>
        <v>7893.5132119254113</v>
      </c>
      <c r="AB104" s="51">
        <f t="shared" si="46"/>
        <v>2113.5810109138456</v>
      </c>
      <c r="AC104" s="44">
        <f t="shared" si="47"/>
        <v>7379.1840814484531</v>
      </c>
      <c r="AD104" s="44">
        <f t="shared" si="48"/>
        <v>752.20128388081605</v>
      </c>
      <c r="AE104" s="44">
        <f t="shared" si="49"/>
        <v>0</v>
      </c>
      <c r="AF104" s="52">
        <f>HLOOKUP(I104,ElecAvoidedCostsWOCC!$A$5:$Q$50,G104+1,FALSE)</f>
        <v>3.4276422079642828</v>
      </c>
      <c r="AG104" s="44">
        <f t="shared" si="50"/>
        <v>11227.898788434055</v>
      </c>
      <c r="AH104" s="52">
        <f>HLOOKUP(I104,ElecAvoidedCostsWOCC!$A$5:$Q$50,T104+1,FALSE)</f>
        <v>3.4276422079642828</v>
      </c>
      <c r="AI104" s="44">
        <f t="shared" si="51"/>
        <v>0</v>
      </c>
      <c r="AJ104" s="44">
        <f t="shared" si="52"/>
        <v>11227.898788434055</v>
      </c>
      <c r="AK104" s="44">
        <f>HLOOKUP(I104,ElecAvoidedCostsWOCC!$A$5:$Q$50,G104+1,FALSE)*J104*L104</f>
        <v>0</v>
      </c>
      <c r="AL104" s="44">
        <f t="shared" si="53"/>
        <v>11227.898788434055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11227.898788434055</v>
      </c>
      <c r="AN104" s="48">
        <f t="shared" si="54"/>
        <v>13102.889951158279</v>
      </c>
      <c r="AO104" s="47">
        <f t="shared" si="55"/>
        <v>5.3122632775639227</v>
      </c>
      <c r="AP104" s="47">
        <f t="shared" si="56"/>
        <v>1.7756556560364767</v>
      </c>
      <c r="AQ104">
        <v>2021</v>
      </c>
    </row>
    <row r="105" spans="2:43">
      <c r="B105" s="97" t="s">
        <v>15</v>
      </c>
      <c r="C105" s="61"/>
      <c r="D105" s="61"/>
      <c r="E105" s="38" t="s">
        <v>825</v>
      </c>
      <c r="F105" s="39" t="s">
        <v>824</v>
      </c>
      <c r="G105" s="39">
        <v>45</v>
      </c>
      <c r="H105" s="39"/>
      <c r="I105" s="40" t="s">
        <v>269</v>
      </c>
      <c r="J105" s="41">
        <v>400.58</v>
      </c>
      <c r="K105" s="41">
        <v>4.43</v>
      </c>
      <c r="L105" s="41"/>
      <c r="M105" s="42">
        <v>200</v>
      </c>
      <c r="N105" s="42">
        <v>22.6</v>
      </c>
      <c r="O105" s="43">
        <v>1776.13</v>
      </c>
      <c r="P105" s="44">
        <v>3800</v>
      </c>
      <c r="Q105" s="44">
        <v>9053.11</v>
      </c>
      <c r="R105" s="45">
        <v>0</v>
      </c>
      <c r="S105" s="46">
        <v>0</v>
      </c>
      <c r="T105" s="39">
        <f t="shared" si="38"/>
        <v>45</v>
      </c>
      <c r="U105" s="47">
        <f t="shared" si="39"/>
        <v>2.8723367059987612E-2</v>
      </c>
      <c r="V105" s="48">
        <f t="shared" si="40"/>
        <v>-177.4</v>
      </c>
      <c r="W105" s="49">
        <f t="shared" si="41"/>
        <v>6.3829704577750247E-4</v>
      </c>
      <c r="X105" s="44">
        <f t="shared" si="42"/>
        <v>198.07247116557713</v>
      </c>
      <c r="Y105" s="44">
        <f t="shared" si="43"/>
        <v>5253.1100000000006</v>
      </c>
      <c r="Z105" s="44">
        <f t="shared" si="44"/>
        <v>1225.8900593418639</v>
      </c>
      <c r="AA105" s="50">
        <f t="shared" si="45"/>
        <v>9251.1824711655772</v>
      </c>
      <c r="AB105" s="51">
        <f t="shared" si="46"/>
        <v>1146.0129562885518</v>
      </c>
      <c r="AC105" s="44">
        <f t="shared" si="47"/>
        <v>8648.3897084842265</v>
      </c>
      <c r="AD105" s="44">
        <f t="shared" si="48"/>
        <v>0</v>
      </c>
      <c r="AE105" s="44">
        <f t="shared" si="49"/>
        <v>0</v>
      </c>
      <c r="AF105" s="52">
        <f>HLOOKUP(I105,ElecAvoidedCostsWOCC!$A$5:$Q$50,G105+1,FALSE)</f>
        <v>3.4276422079642828</v>
      </c>
      <c r="AG105" s="44">
        <f t="shared" si="50"/>
        <v>6082.5889764018521</v>
      </c>
      <c r="AH105" s="52">
        <f>HLOOKUP(I105,ElecAvoidedCostsWOCC!$A$5:$Q$50,T105+1,FALSE)</f>
        <v>3.4276422079642828</v>
      </c>
      <c r="AI105" s="44">
        <f t="shared" si="51"/>
        <v>0</v>
      </c>
      <c r="AJ105" s="44">
        <f t="shared" si="52"/>
        <v>6082.5889764018521</v>
      </c>
      <c r="AK105" s="44">
        <f>HLOOKUP(I105,ElecAvoidedCostsWOCC!$A$5:$Q$50,G105+1,FALSE)*J105*L105</f>
        <v>0</v>
      </c>
      <c r="AL105" s="44">
        <f t="shared" si="53"/>
        <v>6082.5889764018521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6082.5889764018521</v>
      </c>
      <c r="AN105" s="48">
        <f t="shared" si="54"/>
        <v>6690.8478740420378</v>
      </c>
      <c r="AO105" s="47">
        <f t="shared" si="55"/>
        <v>5.307609257840129</v>
      </c>
      <c r="AP105" s="47">
        <f t="shared" si="56"/>
        <v>0.77365244855677529</v>
      </c>
      <c r="AQ105">
        <v>2021</v>
      </c>
    </row>
    <row r="106" spans="2:43">
      <c r="B106" s="97" t="s">
        <v>15</v>
      </c>
      <c r="C106" s="61"/>
      <c r="D106" s="61"/>
      <c r="E106" s="38" t="s">
        <v>826</v>
      </c>
      <c r="F106" s="39" t="s">
        <v>827</v>
      </c>
      <c r="G106" s="39">
        <v>20</v>
      </c>
      <c r="H106" s="39"/>
      <c r="I106" s="40" t="s">
        <v>269</v>
      </c>
      <c r="J106" s="41">
        <v>2</v>
      </c>
      <c r="K106" s="41">
        <v>1253</v>
      </c>
      <c r="L106" s="41"/>
      <c r="M106" s="42">
        <v>800</v>
      </c>
      <c r="N106" s="42">
        <v>1000</v>
      </c>
      <c r="O106" s="43">
        <v>2506</v>
      </c>
      <c r="P106" s="44">
        <v>912.71</v>
      </c>
      <c r="Q106" s="44">
        <v>2000</v>
      </c>
      <c r="R106" s="45">
        <v>0</v>
      </c>
      <c r="S106" s="46">
        <v>0</v>
      </c>
      <c r="T106" s="39">
        <f t="shared" si="38"/>
        <v>20</v>
      </c>
      <c r="U106" s="47">
        <f t="shared" si="39"/>
        <v>1.8011884228276324E-2</v>
      </c>
      <c r="V106" s="48">
        <f t="shared" si="40"/>
        <v>200</v>
      </c>
      <c r="W106" s="49">
        <f t="shared" si="41"/>
        <v>9.0059421141381614E-4</v>
      </c>
      <c r="X106" s="44">
        <f t="shared" si="42"/>
        <v>279.46693808501419</v>
      </c>
      <c r="Y106" s="44">
        <f t="shared" si="43"/>
        <v>1087.29</v>
      </c>
      <c r="Z106" s="44">
        <f t="shared" si="44"/>
        <v>1729.6484428001954</v>
      </c>
      <c r="AA106" s="50">
        <f t="shared" si="45"/>
        <v>2279.4669380850141</v>
      </c>
      <c r="AB106" s="51">
        <f t="shared" si="46"/>
        <v>1616.9472214641444</v>
      </c>
      <c r="AC106" s="44">
        <f t="shared" si="47"/>
        <v>2130.9403927129233</v>
      </c>
      <c r="AD106" s="44">
        <f t="shared" si="48"/>
        <v>0</v>
      </c>
      <c r="AE106" s="44">
        <f t="shared" si="49"/>
        <v>0</v>
      </c>
      <c r="AF106" s="52">
        <f>HLOOKUP(I106,ElecAvoidedCostsWOCC!$A$5:$Q$50,G106+1,FALSE)</f>
        <v>1.727945421646023</v>
      </c>
      <c r="AG106" s="44">
        <f t="shared" si="50"/>
        <v>4330.2312266449335</v>
      </c>
      <c r="AH106" s="52">
        <f>HLOOKUP(I106,ElecAvoidedCostsWOCC!$A$5:$Q$50,T106+1,FALSE)</f>
        <v>1.727945421646023</v>
      </c>
      <c r="AI106" s="44">
        <f t="shared" si="51"/>
        <v>0</v>
      </c>
      <c r="AJ106" s="44">
        <f t="shared" si="52"/>
        <v>4330.2312266449335</v>
      </c>
      <c r="AK106" s="44">
        <f>HLOOKUP(I106,ElecAvoidedCostsWOCC!$A$5:$Q$50,G106+1,FALSE)*J106*L106</f>
        <v>0</v>
      </c>
      <c r="AL106" s="44">
        <f t="shared" si="53"/>
        <v>4330.2312266449335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4330.2312266449335</v>
      </c>
      <c r="AN106" s="48">
        <f t="shared" si="54"/>
        <v>4763.2543493094272</v>
      </c>
      <c r="AO106" s="47">
        <f t="shared" si="55"/>
        <v>2.6780287996808658</v>
      </c>
      <c r="AP106" s="47">
        <f t="shared" si="56"/>
        <v>2.2352827726191236</v>
      </c>
      <c r="AQ106">
        <v>2021</v>
      </c>
    </row>
    <row r="107" spans="2:43">
      <c r="B107" s="97" t="s">
        <v>15</v>
      </c>
      <c r="C107" s="61"/>
      <c r="D107" s="61"/>
      <c r="E107" s="38" t="s">
        <v>828</v>
      </c>
      <c r="F107" s="39" t="s">
        <v>829</v>
      </c>
      <c r="G107" s="39">
        <v>20</v>
      </c>
      <c r="H107" s="39"/>
      <c r="I107" s="40" t="s">
        <v>269</v>
      </c>
      <c r="J107" s="41">
        <v>4</v>
      </c>
      <c r="K107" s="41"/>
      <c r="L107" s="41"/>
      <c r="M107" s="42"/>
      <c r="N107" s="42"/>
      <c r="O107" s="43">
        <v>0</v>
      </c>
      <c r="P107" s="44">
        <v>0</v>
      </c>
      <c r="Q107" s="44">
        <v>0</v>
      </c>
      <c r="R107" s="45">
        <v>0</v>
      </c>
      <c r="S107" s="46">
        <v>0</v>
      </c>
      <c r="T107" s="39">
        <f t="shared" si="38"/>
        <v>20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>
        <f>HLOOKUP(I107,ElecAvoidedCostsWOCC!$A$5:$Q$50,G107+1,FALSE)</f>
        <v>1.727945421646023</v>
      </c>
      <c r="AG107" s="44">
        <f t="shared" si="50"/>
        <v>0</v>
      </c>
      <c r="AH107" s="52">
        <f>HLOOKUP(I107,ElecAvoidedCostsWOCC!$A$5:$Q$50,T107+1,FALSE)</f>
        <v>1.727945421646023</v>
      </c>
      <c r="AI107" s="44">
        <f t="shared" si="51"/>
        <v>0</v>
      </c>
      <c r="AJ107" s="44">
        <f t="shared" si="52"/>
        <v>0</v>
      </c>
      <c r="AK107" s="44">
        <f>HLOOKUP(I107,ElecAvoidedCostsWOCC!$A$5:$Q$50,G107+1,FALSE)*J107*L107</f>
        <v>0</v>
      </c>
      <c r="AL107" s="44">
        <f t="shared" si="53"/>
        <v>0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  <c r="AQ107">
        <v>2021</v>
      </c>
    </row>
    <row r="108" spans="2:43">
      <c r="B108" s="97" t="s">
        <v>15</v>
      </c>
      <c r="C108" s="61"/>
      <c r="D108" s="61"/>
      <c r="E108" s="38" t="s">
        <v>830</v>
      </c>
      <c r="F108" s="39" t="s">
        <v>829</v>
      </c>
      <c r="G108" s="39">
        <v>20</v>
      </c>
      <c r="H108" s="39"/>
      <c r="I108" s="40" t="s">
        <v>269</v>
      </c>
      <c r="J108" s="41">
        <v>13</v>
      </c>
      <c r="K108" s="41"/>
      <c r="L108" s="41"/>
      <c r="M108" s="42"/>
      <c r="N108" s="42"/>
      <c r="O108" s="43">
        <v>0</v>
      </c>
      <c r="P108" s="44">
        <v>0</v>
      </c>
      <c r="Q108" s="44">
        <v>0</v>
      </c>
      <c r="R108" s="45">
        <v>0</v>
      </c>
      <c r="S108" s="46">
        <v>0</v>
      </c>
      <c r="T108" s="39">
        <f t="shared" si="38"/>
        <v>20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>
        <f>HLOOKUP(I108,ElecAvoidedCostsWOCC!$A$5:$Q$50,G108+1,FALSE)</f>
        <v>1.727945421646023</v>
      </c>
      <c r="AG108" s="44">
        <f t="shared" si="50"/>
        <v>0</v>
      </c>
      <c r="AH108" s="52">
        <f>HLOOKUP(I108,ElecAvoidedCostsWOCC!$A$5:$Q$50,T108+1,FALSE)</f>
        <v>1.727945421646023</v>
      </c>
      <c r="AI108" s="44">
        <f t="shared" si="51"/>
        <v>0</v>
      </c>
      <c r="AJ108" s="44">
        <f t="shared" si="52"/>
        <v>0</v>
      </c>
      <c r="AK108" s="44">
        <f>HLOOKUP(I108,ElecAvoidedCostsWOCC!$A$5:$Q$50,G108+1,FALSE)*J108*L108</f>
        <v>0</v>
      </c>
      <c r="AL108" s="44">
        <f t="shared" si="53"/>
        <v>0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  <c r="AQ108">
        <v>2021</v>
      </c>
    </row>
    <row r="109" spans="2:43">
      <c r="B109" s="97" t="s">
        <v>15</v>
      </c>
      <c r="C109" s="61"/>
      <c r="D109" s="61"/>
      <c r="E109" s="38" t="s">
        <v>831</v>
      </c>
      <c r="F109" s="39" t="s">
        <v>832</v>
      </c>
      <c r="G109" s="39">
        <v>45</v>
      </c>
      <c r="H109" s="39"/>
      <c r="I109" s="40" t="s">
        <v>269</v>
      </c>
      <c r="J109" s="41">
        <v>201091</v>
      </c>
      <c r="K109" s="41">
        <v>0.15</v>
      </c>
      <c r="L109" s="41"/>
      <c r="M109" s="42">
        <v>0.08</v>
      </c>
      <c r="N109" s="42">
        <v>0.2</v>
      </c>
      <c r="O109" s="43">
        <v>30163.65</v>
      </c>
      <c r="P109" s="44">
        <v>17087.7</v>
      </c>
      <c r="Q109" s="44">
        <v>40218.199999999997</v>
      </c>
      <c r="R109" s="45">
        <v>0</v>
      </c>
      <c r="S109" s="46">
        <v>0</v>
      </c>
      <c r="T109" s="39">
        <f t="shared" si="38"/>
        <v>45</v>
      </c>
      <c r="U109" s="47">
        <f t="shared" si="39"/>
        <v>0.48780302726658259</v>
      </c>
      <c r="V109" s="48">
        <f t="shared" si="40"/>
        <v>0.12000000000000001</v>
      </c>
      <c r="W109" s="49">
        <f t="shared" si="41"/>
        <v>1.0840067272590724E-2</v>
      </c>
      <c r="X109" s="44">
        <f t="shared" si="42"/>
        <v>3363.8239852226811</v>
      </c>
      <c r="Y109" s="44">
        <f t="shared" si="43"/>
        <v>23130.499999999996</v>
      </c>
      <c r="Z109" s="44">
        <f t="shared" si="44"/>
        <v>20819.038408487675</v>
      </c>
      <c r="AA109" s="50">
        <f t="shared" si="45"/>
        <v>43582.02398522268</v>
      </c>
      <c r="AB109" s="51">
        <f t="shared" si="46"/>
        <v>19462.502017843948</v>
      </c>
      <c r="AC109" s="44">
        <f t="shared" si="47"/>
        <v>40742.286608603041</v>
      </c>
      <c r="AD109" s="44">
        <f t="shared" si="48"/>
        <v>0</v>
      </c>
      <c r="AE109" s="44">
        <f t="shared" si="49"/>
        <v>0</v>
      </c>
      <c r="AF109" s="52">
        <f>HLOOKUP(I109,ElecAvoidedCostsWOCC!$A$5:$Q$50,G109+1,FALSE)</f>
        <v>3.4276422079642828</v>
      </c>
      <c r="AG109" s="44">
        <f t="shared" si="50"/>
        <v>103390.19988626183</v>
      </c>
      <c r="AH109" s="52">
        <f>HLOOKUP(I109,ElecAvoidedCostsWOCC!$A$5:$Q$50,T109+1,FALSE)</f>
        <v>3.4276422079642828</v>
      </c>
      <c r="AI109" s="44">
        <f t="shared" si="51"/>
        <v>0</v>
      </c>
      <c r="AJ109" s="44">
        <f t="shared" si="52"/>
        <v>103390.19988626183</v>
      </c>
      <c r="AK109" s="44">
        <f>HLOOKUP(I109,ElecAvoidedCostsWOCC!$A$5:$Q$50,G109+1,FALSE)*J109*L109</f>
        <v>0</v>
      </c>
      <c r="AL109" s="44">
        <f t="shared" si="53"/>
        <v>103390.19988626183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103390.19988626183</v>
      </c>
      <c r="AN109" s="48">
        <f t="shared" si="54"/>
        <v>113729.21987488803</v>
      </c>
      <c r="AO109" s="47">
        <f t="shared" si="55"/>
        <v>5.312276900034222</v>
      </c>
      <c r="AP109" s="47">
        <f t="shared" si="56"/>
        <v>2.7914294788470033</v>
      </c>
      <c r="AQ109">
        <v>2021</v>
      </c>
    </row>
    <row r="110" spans="2:43">
      <c r="B110" s="97" t="s">
        <v>15</v>
      </c>
      <c r="C110" s="61"/>
      <c r="D110" s="61"/>
      <c r="E110" s="38" t="s">
        <v>833</v>
      </c>
      <c r="F110" s="39" t="s">
        <v>834</v>
      </c>
      <c r="G110" s="39">
        <v>45</v>
      </c>
      <c r="H110" s="39"/>
      <c r="I110" s="40" t="s">
        <v>269</v>
      </c>
      <c r="J110" s="41">
        <v>5736</v>
      </c>
      <c r="K110" s="41">
        <v>0.15</v>
      </c>
      <c r="L110" s="41"/>
      <c r="M110" s="42">
        <v>0.2</v>
      </c>
      <c r="N110" s="42">
        <v>0.2</v>
      </c>
      <c r="O110" s="43">
        <v>860.4</v>
      </c>
      <c r="P110" s="44">
        <v>931.84</v>
      </c>
      <c r="Q110" s="44">
        <v>1147.2</v>
      </c>
      <c r="R110" s="45">
        <v>0</v>
      </c>
      <c r="S110" s="46">
        <v>0</v>
      </c>
      <c r="T110" s="39">
        <f t="shared" si="38"/>
        <v>45</v>
      </c>
      <c r="U110" s="47">
        <f t="shared" si="39"/>
        <v>1.3914288378898694E-2</v>
      </c>
      <c r="V110" s="48">
        <f t="shared" si="40"/>
        <v>0</v>
      </c>
      <c r="W110" s="49">
        <f t="shared" si="41"/>
        <v>3.0920640841997099E-4</v>
      </c>
      <c r="X110" s="44">
        <f t="shared" si="42"/>
        <v>95.95105887005036</v>
      </c>
      <c r="Y110" s="44">
        <f t="shared" si="43"/>
        <v>215.36</v>
      </c>
      <c r="Z110" s="44">
        <f t="shared" si="44"/>
        <v>593.85056671400162</v>
      </c>
      <c r="AA110" s="50">
        <f t="shared" si="45"/>
        <v>1243.1510588700503</v>
      </c>
      <c r="AB110" s="51">
        <f t="shared" si="46"/>
        <v>555.15618090492808</v>
      </c>
      <c r="AC110" s="44">
        <f t="shared" si="47"/>
        <v>1162.1492557446481</v>
      </c>
      <c r="AD110" s="44">
        <f t="shared" si="48"/>
        <v>0</v>
      </c>
      <c r="AE110" s="44">
        <f t="shared" si="49"/>
        <v>0</v>
      </c>
      <c r="AF110" s="52">
        <f>HLOOKUP(I110,ElecAvoidedCostsWOCC!$A$5:$Q$50,G110+1,FALSE)</f>
        <v>3.4276422079642828</v>
      </c>
      <c r="AG110" s="44">
        <f t="shared" si="50"/>
        <v>2949.143355732469</v>
      </c>
      <c r="AH110" s="52">
        <f>HLOOKUP(I110,ElecAvoidedCostsWOCC!$A$5:$Q$50,T110+1,FALSE)</f>
        <v>3.4276422079642828</v>
      </c>
      <c r="AI110" s="44">
        <f t="shared" si="51"/>
        <v>0</v>
      </c>
      <c r="AJ110" s="44">
        <f t="shared" si="52"/>
        <v>2949.143355732469</v>
      </c>
      <c r="AK110" s="44">
        <f>HLOOKUP(I110,ElecAvoidedCostsWOCC!$A$5:$Q$50,G110+1,FALSE)*J110*L110</f>
        <v>0</v>
      </c>
      <c r="AL110" s="44">
        <f t="shared" si="53"/>
        <v>2949.143355732469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2949.1433557324685</v>
      </c>
      <c r="AN110" s="48">
        <f t="shared" si="54"/>
        <v>3244.0576913057157</v>
      </c>
      <c r="AO110" s="47">
        <f t="shared" si="55"/>
        <v>5.3122769000342211</v>
      </c>
      <c r="AP110" s="47">
        <f t="shared" si="56"/>
        <v>2.7914294788470033</v>
      </c>
      <c r="AQ110">
        <v>2021</v>
      </c>
    </row>
    <row r="111" spans="2:43">
      <c r="B111" s="97" t="s">
        <v>15</v>
      </c>
      <c r="C111" s="61"/>
      <c r="D111" s="61"/>
      <c r="E111" s="38" t="s">
        <v>835</v>
      </c>
      <c r="F111" s="39" t="s">
        <v>836</v>
      </c>
      <c r="G111" s="39">
        <v>45</v>
      </c>
      <c r="H111" s="39"/>
      <c r="I111" s="40" t="s">
        <v>269</v>
      </c>
      <c r="J111" s="41">
        <v>877811</v>
      </c>
      <c r="K111" s="41"/>
      <c r="L111" s="41"/>
      <c r="M111" s="42"/>
      <c r="N111" s="42"/>
      <c r="O111" s="43">
        <v>0</v>
      </c>
      <c r="P111" s="44">
        <v>0</v>
      </c>
      <c r="Q111" s="44">
        <v>0</v>
      </c>
      <c r="R111" s="45">
        <v>0</v>
      </c>
      <c r="S111" s="46">
        <v>0</v>
      </c>
      <c r="T111" s="39">
        <f t="shared" si="38"/>
        <v>45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>
        <f>HLOOKUP(I111,ElecAvoidedCostsWOCC!$A$5:$Q$50,G111+1,FALSE)</f>
        <v>3.4276422079642828</v>
      </c>
      <c r="AG111" s="44">
        <f t="shared" si="50"/>
        <v>0</v>
      </c>
      <c r="AH111" s="52">
        <f>HLOOKUP(I111,ElecAvoidedCostsWOCC!$A$5:$Q$50,T111+1,FALSE)</f>
        <v>3.4276422079642828</v>
      </c>
      <c r="AI111" s="44">
        <f t="shared" si="51"/>
        <v>0</v>
      </c>
      <c r="AJ111" s="44">
        <f t="shared" si="52"/>
        <v>0</v>
      </c>
      <c r="AK111" s="44">
        <f>HLOOKUP(I111,ElecAvoidedCostsWOCC!$A$5:$Q$50,G111+1,FALSE)*J111*L111</f>
        <v>0</v>
      </c>
      <c r="AL111" s="44">
        <f t="shared" si="53"/>
        <v>0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  <c r="AQ111">
        <v>2021</v>
      </c>
    </row>
    <row r="112" spans="2:43">
      <c r="B112" s="97" t="s">
        <v>15</v>
      </c>
      <c r="C112" s="61"/>
      <c r="D112" s="61"/>
      <c r="E112" s="38" t="s">
        <v>837</v>
      </c>
      <c r="F112" s="39" t="s">
        <v>838</v>
      </c>
      <c r="G112" s="39">
        <v>45</v>
      </c>
      <c r="H112" s="39"/>
      <c r="I112" s="40" t="s">
        <v>269</v>
      </c>
      <c r="J112" s="41">
        <v>18155</v>
      </c>
      <c r="K112" s="41"/>
      <c r="L112" s="41"/>
      <c r="M112" s="42"/>
      <c r="N112" s="42"/>
      <c r="O112" s="43">
        <v>0</v>
      </c>
      <c r="P112" s="44">
        <v>0</v>
      </c>
      <c r="Q112" s="44">
        <v>0</v>
      </c>
      <c r="R112" s="45">
        <v>0</v>
      </c>
      <c r="S112" s="46">
        <v>0</v>
      </c>
      <c r="T112" s="39">
        <f t="shared" si="38"/>
        <v>45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>
        <f>HLOOKUP(I112,ElecAvoidedCostsWOCC!$A$5:$Q$50,G112+1,FALSE)</f>
        <v>3.4276422079642828</v>
      </c>
      <c r="AG112" s="44">
        <f t="shared" si="50"/>
        <v>0</v>
      </c>
      <c r="AH112" s="52">
        <f>HLOOKUP(I112,ElecAvoidedCostsWOCC!$A$5:$Q$50,T112+1,FALSE)</f>
        <v>3.4276422079642828</v>
      </c>
      <c r="AI112" s="44">
        <f t="shared" si="51"/>
        <v>0</v>
      </c>
      <c r="AJ112" s="44">
        <f t="shared" si="52"/>
        <v>0</v>
      </c>
      <c r="AK112" s="44">
        <f>HLOOKUP(I112,ElecAvoidedCostsWOCC!$A$5:$Q$50,G112+1,FALSE)*J112*L112</f>
        <v>0</v>
      </c>
      <c r="AL112" s="44">
        <f t="shared" si="53"/>
        <v>0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  <c r="AQ112">
        <v>2021</v>
      </c>
    </row>
    <row r="113" spans="2:43">
      <c r="B113" s="97" t="s">
        <v>15</v>
      </c>
      <c r="C113" s="61"/>
      <c r="D113" s="61"/>
      <c r="E113" s="38" t="s">
        <v>839</v>
      </c>
      <c r="F113" s="39" t="s">
        <v>840</v>
      </c>
      <c r="G113" s="39">
        <v>45</v>
      </c>
      <c r="H113" s="39"/>
      <c r="I113" s="40" t="s">
        <v>269</v>
      </c>
      <c r="J113" s="41">
        <v>338438</v>
      </c>
      <c r="K113" s="41">
        <v>0.15</v>
      </c>
      <c r="L113" s="41"/>
      <c r="M113" s="42">
        <v>0.08</v>
      </c>
      <c r="N113" s="42">
        <v>0.2</v>
      </c>
      <c r="O113" s="43">
        <v>50765.7</v>
      </c>
      <c r="P113" s="44">
        <v>27125.19</v>
      </c>
      <c r="Q113" s="44">
        <v>67687.600000000006</v>
      </c>
      <c r="R113" s="45">
        <v>0</v>
      </c>
      <c r="S113" s="46">
        <v>0</v>
      </c>
      <c r="T113" s="39">
        <f t="shared" si="38"/>
        <v>45</v>
      </c>
      <c r="U113" s="47">
        <f t="shared" si="39"/>
        <v>0.82097697530992264</v>
      </c>
      <c r="V113" s="48">
        <f t="shared" si="40"/>
        <v>0.12000000000000001</v>
      </c>
      <c r="W113" s="49">
        <f t="shared" si="41"/>
        <v>1.8243932784664948E-2</v>
      </c>
      <c r="X113" s="44">
        <f t="shared" si="42"/>
        <v>5661.3466635045506</v>
      </c>
      <c r="Y113" s="44">
        <f t="shared" si="43"/>
        <v>40562.410000000003</v>
      </c>
      <c r="Z113" s="44">
        <f t="shared" si="44"/>
        <v>35038.632862195482</v>
      </c>
      <c r="AA113" s="50">
        <f t="shared" si="45"/>
        <v>73348.946663504554</v>
      </c>
      <c r="AB113" s="51">
        <f t="shared" si="46"/>
        <v>32755.569657095893</v>
      </c>
      <c r="AC113" s="44">
        <f t="shared" si="47"/>
        <v>68569.642575960126</v>
      </c>
      <c r="AD113" s="44">
        <f t="shared" si="48"/>
        <v>0</v>
      </c>
      <c r="AE113" s="44">
        <f t="shared" si="49"/>
        <v>0</v>
      </c>
      <c r="AF113" s="52">
        <f>HLOOKUP(I113,ElecAvoidedCostsWOCC!$A$5:$Q$50,G113+1,FALSE)</f>
        <v>3.4276422079642828</v>
      </c>
      <c r="AG113" s="44">
        <f t="shared" si="50"/>
        <v>174006.65603685239</v>
      </c>
      <c r="AH113" s="52">
        <f>HLOOKUP(I113,ElecAvoidedCostsWOCC!$A$5:$Q$50,T113+1,FALSE)</f>
        <v>3.4276422079642828</v>
      </c>
      <c r="AI113" s="44">
        <f t="shared" si="51"/>
        <v>0</v>
      </c>
      <c r="AJ113" s="44">
        <f t="shared" si="52"/>
        <v>174006.65603685239</v>
      </c>
      <c r="AK113" s="44">
        <f>HLOOKUP(I113,ElecAvoidedCostsWOCC!$A$5:$Q$50,G113+1,FALSE)*J113*L113</f>
        <v>0</v>
      </c>
      <c r="AL113" s="44">
        <f t="shared" si="53"/>
        <v>174006.65603685239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174006.65603685236</v>
      </c>
      <c r="AN113" s="48">
        <f t="shared" si="54"/>
        <v>191407.32164053762</v>
      </c>
      <c r="AO113" s="47">
        <f t="shared" si="55"/>
        <v>5.3122769000342211</v>
      </c>
      <c r="AP113" s="47">
        <f t="shared" si="56"/>
        <v>2.7914294788470024</v>
      </c>
      <c r="AQ113">
        <v>2021</v>
      </c>
    </row>
    <row r="114" spans="2:43">
      <c r="B114" s="97" t="s">
        <v>15</v>
      </c>
      <c r="C114" s="61"/>
      <c r="D114" s="61"/>
      <c r="E114" s="38" t="s">
        <v>841</v>
      </c>
      <c r="F114" s="39" t="s">
        <v>842</v>
      </c>
      <c r="G114" s="39">
        <v>45</v>
      </c>
      <c r="H114" s="39"/>
      <c r="I114" s="40" t="s">
        <v>269</v>
      </c>
      <c r="J114" s="41">
        <v>6962</v>
      </c>
      <c r="K114" s="41">
        <v>0.15</v>
      </c>
      <c r="L114" s="41"/>
      <c r="M114" s="42">
        <v>0.2</v>
      </c>
      <c r="N114" s="42">
        <v>0.2</v>
      </c>
      <c r="O114" s="43">
        <v>1044.3</v>
      </c>
      <c r="P114" s="44">
        <v>911.2</v>
      </c>
      <c r="Q114" s="44">
        <v>1392.4</v>
      </c>
      <c r="R114" s="45">
        <v>0</v>
      </c>
      <c r="S114" s="46">
        <v>0</v>
      </c>
      <c r="T114" s="39">
        <f t="shared" si="38"/>
        <v>45</v>
      </c>
      <c r="U114" s="47">
        <f t="shared" si="39"/>
        <v>1.6888297715113795E-2</v>
      </c>
      <c r="V114" s="48">
        <f t="shared" si="40"/>
        <v>0</v>
      </c>
      <c r="W114" s="49">
        <f t="shared" si="41"/>
        <v>3.7529550478030652E-4</v>
      </c>
      <c r="X114" s="44">
        <f t="shared" si="42"/>
        <v>116.45942675266573</v>
      </c>
      <c r="Y114" s="44">
        <f t="shared" si="43"/>
        <v>481.20000000000005</v>
      </c>
      <c r="Z114" s="44">
        <f t="shared" si="44"/>
        <v>720.77887821877255</v>
      </c>
      <c r="AA114" s="50">
        <f t="shared" si="45"/>
        <v>1508.8594267526657</v>
      </c>
      <c r="AB114" s="51">
        <f t="shared" si="46"/>
        <v>673.81403965483082</v>
      </c>
      <c r="AC114" s="44">
        <f t="shared" si="47"/>
        <v>1410.5444767249376</v>
      </c>
      <c r="AD114" s="44">
        <f t="shared" si="48"/>
        <v>0</v>
      </c>
      <c r="AE114" s="44">
        <f t="shared" si="49"/>
        <v>0</v>
      </c>
      <c r="AF114" s="52">
        <f>HLOOKUP(I114,ElecAvoidedCostsWOCC!$A$5:$Q$50,G114+1,FALSE)</f>
        <v>3.4276422079642828</v>
      </c>
      <c r="AG114" s="44">
        <f t="shared" si="50"/>
        <v>3579.4867577771006</v>
      </c>
      <c r="AH114" s="52">
        <f>HLOOKUP(I114,ElecAvoidedCostsWOCC!$A$5:$Q$50,T114+1,FALSE)</f>
        <v>3.4276422079642828</v>
      </c>
      <c r="AI114" s="44">
        <f t="shared" si="51"/>
        <v>0</v>
      </c>
      <c r="AJ114" s="44">
        <f t="shared" si="52"/>
        <v>3579.4867577771006</v>
      </c>
      <c r="AK114" s="44">
        <f>HLOOKUP(I114,ElecAvoidedCostsWOCC!$A$5:$Q$50,G114+1,FALSE)*J114*L114</f>
        <v>0</v>
      </c>
      <c r="AL114" s="44">
        <f t="shared" si="53"/>
        <v>3579.4867577771006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3579.4867577771001</v>
      </c>
      <c r="AN114" s="48">
        <f t="shared" si="54"/>
        <v>3937.4354335548105</v>
      </c>
      <c r="AO114" s="47">
        <f t="shared" si="55"/>
        <v>5.3122769000342203</v>
      </c>
      <c r="AP114" s="47">
        <f t="shared" si="56"/>
        <v>2.7914294788470024</v>
      </c>
      <c r="AQ114">
        <v>2021</v>
      </c>
    </row>
    <row r="115" spans="2:43">
      <c r="B115" s="97" t="s">
        <v>15</v>
      </c>
      <c r="C115" s="61"/>
      <c r="D115" s="61"/>
      <c r="E115" s="38" t="s">
        <v>843</v>
      </c>
      <c r="F115" s="39" t="s">
        <v>844</v>
      </c>
      <c r="G115" s="39">
        <v>45</v>
      </c>
      <c r="H115" s="39"/>
      <c r="I115" s="40" t="s">
        <v>269</v>
      </c>
      <c r="J115" s="41">
        <v>1272527.3899999999</v>
      </c>
      <c r="K115" s="41"/>
      <c r="L115" s="41"/>
      <c r="M115" s="42"/>
      <c r="N115" s="42"/>
      <c r="O115" s="43">
        <v>0</v>
      </c>
      <c r="P115" s="44">
        <v>0</v>
      </c>
      <c r="Q115" s="44">
        <v>0</v>
      </c>
      <c r="R115" s="45">
        <v>0</v>
      </c>
      <c r="S115" s="46">
        <v>0</v>
      </c>
      <c r="T115" s="39">
        <f t="shared" si="38"/>
        <v>45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>
        <f>HLOOKUP(I115,ElecAvoidedCostsWOCC!$A$5:$Q$50,G115+1,FALSE)</f>
        <v>3.4276422079642828</v>
      </c>
      <c r="AG115" s="44">
        <f t="shared" si="50"/>
        <v>0</v>
      </c>
      <c r="AH115" s="52">
        <f>HLOOKUP(I115,ElecAvoidedCostsWOCC!$A$5:$Q$50,T115+1,FALSE)</f>
        <v>3.4276422079642828</v>
      </c>
      <c r="AI115" s="44">
        <f t="shared" si="51"/>
        <v>0</v>
      </c>
      <c r="AJ115" s="44">
        <f t="shared" si="52"/>
        <v>0</v>
      </c>
      <c r="AK115" s="44">
        <f>HLOOKUP(I115,ElecAvoidedCostsWOCC!$A$5:$Q$50,G115+1,FALSE)*J115*L115</f>
        <v>0</v>
      </c>
      <c r="AL115" s="44">
        <f t="shared" si="53"/>
        <v>0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  <c r="AQ115">
        <v>2021</v>
      </c>
    </row>
    <row r="116" spans="2:43">
      <c r="B116" s="97" t="s">
        <v>15</v>
      </c>
      <c r="C116" s="61"/>
      <c r="D116" s="61"/>
      <c r="E116" s="38" t="s">
        <v>845</v>
      </c>
      <c r="F116" s="39" t="s">
        <v>846</v>
      </c>
      <c r="G116" s="39">
        <v>45</v>
      </c>
      <c r="H116" s="39"/>
      <c r="I116" s="40" t="s">
        <v>269</v>
      </c>
      <c r="J116" s="41">
        <v>18892</v>
      </c>
      <c r="K116" s="41"/>
      <c r="L116" s="41"/>
      <c r="M116" s="42"/>
      <c r="N116" s="42"/>
      <c r="O116" s="43">
        <v>0</v>
      </c>
      <c r="P116" s="44">
        <v>0</v>
      </c>
      <c r="Q116" s="44">
        <v>0</v>
      </c>
      <c r="R116" s="45">
        <v>0</v>
      </c>
      <c r="S116" s="46">
        <v>0</v>
      </c>
      <c r="T116" s="39">
        <f t="shared" si="38"/>
        <v>45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>
        <f>HLOOKUP(I116,ElecAvoidedCostsWOCC!$A$5:$Q$50,G116+1,FALSE)</f>
        <v>3.4276422079642828</v>
      </c>
      <c r="AG116" s="44">
        <f t="shared" si="50"/>
        <v>0</v>
      </c>
      <c r="AH116" s="52">
        <f>HLOOKUP(I116,ElecAvoidedCostsWOCC!$A$5:$Q$50,T116+1,FALSE)</f>
        <v>3.4276422079642828</v>
      </c>
      <c r="AI116" s="44">
        <f t="shared" si="51"/>
        <v>0</v>
      </c>
      <c r="AJ116" s="44">
        <f t="shared" si="52"/>
        <v>0</v>
      </c>
      <c r="AK116" s="44">
        <f>HLOOKUP(I116,ElecAvoidedCostsWOCC!$A$5:$Q$50,G116+1,FALSE)*J116*L116</f>
        <v>0</v>
      </c>
      <c r="AL116" s="44">
        <f t="shared" si="53"/>
        <v>0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  <c r="AQ116">
        <v>2021</v>
      </c>
    </row>
    <row r="117" spans="2:43">
      <c r="B117" s="97" t="s">
        <v>15</v>
      </c>
      <c r="C117" s="61"/>
      <c r="D117" s="61"/>
      <c r="E117" s="38" t="s">
        <v>847</v>
      </c>
      <c r="F117" s="39" t="s">
        <v>848</v>
      </c>
      <c r="G117" s="39">
        <v>15</v>
      </c>
      <c r="H117" s="39"/>
      <c r="I117" s="40" t="s">
        <v>269</v>
      </c>
      <c r="J117" s="41">
        <v>1500</v>
      </c>
      <c r="K117" s="41">
        <v>0.09</v>
      </c>
      <c r="L117" s="41"/>
      <c r="M117" s="42">
        <v>0.27</v>
      </c>
      <c r="N117" s="42">
        <v>0.64</v>
      </c>
      <c r="O117" s="43">
        <v>135.75</v>
      </c>
      <c r="P117" s="44">
        <v>350</v>
      </c>
      <c r="Q117" s="44">
        <v>960</v>
      </c>
      <c r="R117" s="45">
        <v>0</v>
      </c>
      <c r="S117" s="46">
        <v>0</v>
      </c>
      <c r="T117" s="39">
        <f t="shared" si="38"/>
        <v>15</v>
      </c>
      <c r="U117" s="47">
        <f t="shared" si="39"/>
        <v>7.3177771867174101E-4</v>
      </c>
      <c r="V117" s="48">
        <f t="shared" si="40"/>
        <v>0.37</v>
      </c>
      <c r="W117" s="49">
        <f t="shared" si="41"/>
        <v>4.8785181244782733E-5</v>
      </c>
      <c r="X117" s="44">
        <f t="shared" si="42"/>
        <v>15.138721805682632</v>
      </c>
      <c r="Y117" s="44">
        <f t="shared" si="43"/>
        <v>610</v>
      </c>
      <c r="Z117" s="44">
        <f t="shared" si="44"/>
        <v>93.695042342428778</v>
      </c>
      <c r="AA117" s="50">
        <f t="shared" si="45"/>
        <v>975.13872180568262</v>
      </c>
      <c r="AB117" s="51">
        <f t="shared" si="46"/>
        <v>87.590018082105985</v>
      </c>
      <c r="AC117" s="44">
        <f t="shared" si="47"/>
        <v>911.60018865633594</v>
      </c>
      <c r="AD117" s="44">
        <f t="shared" si="48"/>
        <v>0</v>
      </c>
      <c r="AE117" s="44">
        <f t="shared" si="49"/>
        <v>0</v>
      </c>
      <c r="AF117" s="52">
        <f>HLOOKUP(I117,ElecAvoidedCostsWOCC!$A$5:$Q$50,G117+1,FALSE)</f>
        <v>1.3893373920773078</v>
      </c>
      <c r="AG117" s="44">
        <f t="shared" si="50"/>
        <v>187.56054793043654</v>
      </c>
      <c r="AH117" s="52">
        <f>HLOOKUP(I117,ElecAvoidedCostsWOCC!$A$5:$Q$50,T117+1,FALSE)</f>
        <v>1.3893373920773078</v>
      </c>
      <c r="AI117" s="44">
        <f t="shared" si="51"/>
        <v>0</v>
      </c>
      <c r="AJ117" s="44">
        <f t="shared" si="52"/>
        <v>187.56054793043654</v>
      </c>
      <c r="AK117" s="44">
        <f>HLOOKUP(I117,ElecAvoidedCostsWOCC!$A$5:$Q$50,G117+1,FALSE)*J117*L117</f>
        <v>0</v>
      </c>
      <c r="AL117" s="44">
        <f t="shared" si="53"/>
        <v>187.56054793043654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187.56054793043654</v>
      </c>
      <c r="AN117" s="48">
        <f t="shared" si="54"/>
        <v>206.3166027234802</v>
      </c>
      <c r="AO117" s="47">
        <f t="shared" si="55"/>
        <v>2.1413461492223829</v>
      </c>
      <c r="AP117" s="47">
        <f t="shared" si="56"/>
        <v>0.22632356299485087</v>
      </c>
      <c r="AQ117">
        <v>2021</v>
      </c>
    </row>
    <row r="118" spans="2:43">
      <c r="B118" s="97" t="s">
        <v>15</v>
      </c>
      <c r="C118" s="61"/>
      <c r="D118" s="61"/>
      <c r="E118" s="38" t="s">
        <v>849</v>
      </c>
      <c r="F118" s="39" t="s">
        <v>850</v>
      </c>
      <c r="G118" s="39">
        <v>15</v>
      </c>
      <c r="H118" s="39"/>
      <c r="I118" s="40" t="s">
        <v>269</v>
      </c>
      <c r="J118" s="41">
        <v>1098.5999999999999</v>
      </c>
      <c r="K118" s="41">
        <v>0.03</v>
      </c>
      <c r="L118" s="41"/>
      <c r="M118" s="42">
        <v>0.27</v>
      </c>
      <c r="N118" s="42">
        <v>0.64</v>
      </c>
      <c r="O118" s="43">
        <v>36.36</v>
      </c>
      <c r="P118" s="44">
        <v>350</v>
      </c>
      <c r="Q118" s="44">
        <v>703.1</v>
      </c>
      <c r="R118" s="45">
        <v>0</v>
      </c>
      <c r="S118" s="46">
        <v>0</v>
      </c>
      <c r="T118" s="39">
        <f t="shared" si="38"/>
        <v>15</v>
      </c>
      <c r="U118" s="47">
        <f t="shared" si="39"/>
        <v>1.9600322542102764E-4</v>
      </c>
      <c r="V118" s="48">
        <f t="shared" si="40"/>
        <v>0.37</v>
      </c>
      <c r="W118" s="49">
        <f t="shared" si="41"/>
        <v>1.3066881694735176E-5</v>
      </c>
      <c r="X118" s="44">
        <f t="shared" si="42"/>
        <v>4.0548355422071491</v>
      </c>
      <c r="Y118" s="44">
        <f t="shared" si="43"/>
        <v>353.1</v>
      </c>
      <c r="Z118" s="44">
        <f t="shared" si="44"/>
        <v>25.095777087077053</v>
      </c>
      <c r="AA118" s="50">
        <f t="shared" si="45"/>
        <v>707.15483554220714</v>
      </c>
      <c r="AB118" s="51">
        <f t="shared" si="46"/>
        <v>23.460575008953025</v>
      </c>
      <c r="AC118" s="44">
        <f t="shared" si="47"/>
        <v>661.07771855866793</v>
      </c>
      <c r="AD118" s="44">
        <f t="shared" si="48"/>
        <v>0</v>
      </c>
      <c r="AE118" s="44">
        <f t="shared" si="49"/>
        <v>0</v>
      </c>
      <c r="AF118" s="52">
        <f>HLOOKUP(I118,ElecAvoidedCostsWOCC!$A$5:$Q$50,G118+1,FALSE)</f>
        <v>1.3893373920773078</v>
      </c>
      <c r="AG118" s="44">
        <f t="shared" si="50"/>
        <v>45.789781768083905</v>
      </c>
      <c r="AH118" s="52">
        <f>HLOOKUP(I118,ElecAvoidedCostsWOCC!$A$5:$Q$50,T118+1,FALSE)</f>
        <v>1.3893373920773078</v>
      </c>
      <c r="AI118" s="44">
        <f t="shared" si="51"/>
        <v>0</v>
      </c>
      <c r="AJ118" s="44">
        <f t="shared" si="52"/>
        <v>45.789781768083905</v>
      </c>
      <c r="AK118" s="44">
        <f>HLOOKUP(I118,ElecAvoidedCostsWOCC!$A$5:$Q$50,G118+1,FALSE)*J118*L118</f>
        <v>0</v>
      </c>
      <c r="AL118" s="44">
        <f t="shared" si="53"/>
        <v>45.789781768083905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45.789781768083898</v>
      </c>
      <c r="AN118" s="48">
        <f t="shared" si="54"/>
        <v>50.36875994489229</v>
      </c>
      <c r="AO118" s="47">
        <f t="shared" si="55"/>
        <v>1.9517757663914717</v>
      </c>
      <c r="AP118" s="47">
        <f t="shared" si="56"/>
        <v>7.6191888685509024E-2</v>
      </c>
      <c r="AQ118">
        <v>2021</v>
      </c>
    </row>
    <row r="119" spans="2:43">
      <c r="B119" s="97" t="s">
        <v>15</v>
      </c>
      <c r="C119" s="61"/>
      <c r="D119" s="61"/>
      <c r="E119" s="38" t="s">
        <v>851</v>
      </c>
      <c r="F119" s="39" t="s">
        <v>852</v>
      </c>
      <c r="G119" s="39">
        <v>15</v>
      </c>
      <c r="H119" s="39"/>
      <c r="I119" s="40" t="s">
        <v>269</v>
      </c>
      <c r="J119" s="41">
        <v>955</v>
      </c>
      <c r="K119" s="41">
        <v>0.23</v>
      </c>
      <c r="L119" s="41"/>
      <c r="M119" s="42">
        <v>0.27</v>
      </c>
      <c r="N119" s="42">
        <v>0.64</v>
      </c>
      <c r="O119" s="43">
        <v>221.66</v>
      </c>
      <c r="P119" s="44">
        <v>350</v>
      </c>
      <c r="Q119" s="44">
        <v>611.20000000000005</v>
      </c>
      <c r="R119" s="45">
        <v>0</v>
      </c>
      <c r="S119" s="46">
        <v>0</v>
      </c>
      <c r="T119" s="39">
        <f t="shared" si="38"/>
        <v>15</v>
      </c>
      <c r="U119" s="47">
        <f t="shared" si="39"/>
        <v>1.1948865496926564E-3</v>
      </c>
      <c r="V119" s="48">
        <f t="shared" si="40"/>
        <v>0.37</v>
      </c>
      <c r="W119" s="49">
        <f t="shared" si="41"/>
        <v>7.9659103312843758E-5</v>
      </c>
      <c r="X119" s="44">
        <f t="shared" si="42"/>
        <v>24.719330205875593</v>
      </c>
      <c r="Y119" s="44">
        <f t="shared" si="43"/>
        <v>261.20000000000005</v>
      </c>
      <c r="Z119" s="44">
        <f t="shared" si="44"/>
        <v>152.99037263810504</v>
      </c>
      <c r="AA119" s="50">
        <f t="shared" si="45"/>
        <v>635.91933020587567</v>
      </c>
      <c r="AB119" s="51">
        <f t="shared" si="46"/>
        <v>143.0217562289474</v>
      </c>
      <c r="AC119" s="44">
        <f t="shared" si="47"/>
        <v>594.48380873691281</v>
      </c>
      <c r="AD119" s="44">
        <f t="shared" si="48"/>
        <v>0</v>
      </c>
      <c r="AE119" s="44">
        <f t="shared" si="49"/>
        <v>0</v>
      </c>
      <c r="AF119" s="52">
        <f>HLOOKUP(I119,ElecAvoidedCostsWOCC!$A$5:$Q$50,G119+1,FALSE)</f>
        <v>1.3893373920773078</v>
      </c>
      <c r="AG119" s="44">
        <f t="shared" si="50"/>
        <v>305.16795816978066</v>
      </c>
      <c r="AH119" s="52">
        <f>HLOOKUP(I119,ElecAvoidedCostsWOCC!$A$5:$Q$50,T119+1,FALSE)</f>
        <v>1.3893373920773078</v>
      </c>
      <c r="AI119" s="44">
        <f t="shared" si="51"/>
        <v>0</v>
      </c>
      <c r="AJ119" s="44">
        <f t="shared" si="52"/>
        <v>305.16795816978066</v>
      </c>
      <c r="AK119" s="44">
        <f>HLOOKUP(I119,ElecAvoidedCostsWOCC!$A$5:$Q$50,G119+1,FALSE)*J119*L119</f>
        <v>0</v>
      </c>
      <c r="AL119" s="44">
        <f t="shared" si="53"/>
        <v>305.16795816978066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305.16795816978066</v>
      </c>
      <c r="AN119" s="48">
        <f t="shared" si="54"/>
        <v>335.68475398675878</v>
      </c>
      <c r="AO119" s="47">
        <f t="shared" si="55"/>
        <v>2.1337170386949502</v>
      </c>
      <c r="AP119" s="47">
        <f t="shared" si="56"/>
        <v>0.56466593211340954</v>
      </c>
      <c r="AQ119">
        <v>2021</v>
      </c>
    </row>
    <row r="120" spans="2:43">
      <c r="B120" s="97" t="s">
        <v>15</v>
      </c>
      <c r="C120" s="61"/>
      <c r="D120" s="61"/>
      <c r="E120" s="38" t="s">
        <v>853</v>
      </c>
      <c r="F120" s="39" t="s">
        <v>854</v>
      </c>
      <c r="G120" s="39">
        <v>18</v>
      </c>
      <c r="H120" s="39"/>
      <c r="I120" s="40" t="s">
        <v>269</v>
      </c>
      <c r="J120" s="41">
        <v>31</v>
      </c>
      <c r="K120" s="41">
        <v>468</v>
      </c>
      <c r="L120" s="41"/>
      <c r="M120" s="42">
        <v>450</v>
      </c>
      <c r="N120" s="42">
        <v>549</v>
      </c>
      <c r="O120" s="43">
        <v>14508</v>
      </c>
      <c r="P120" s="44">
        <v>13615.53</v>
      </c>
      <c r="Q120" s="44">
        <v>17019</v>
      </c>
      <c r="R120" s="45">
        <v>0</v>
      </c>
      <c r="S120" s="46">
        <v>0</v>
      </c>
      <c r="T120" s="39">
        <f t="shared" si="38"/>
        <v>18</v>
      </c>
      <c r="U120" s="47">
        <f t="shared" si="39"/>
        <v>9.3848673082781164E-2</v>
      </c>
      <c r="V120" s="48">
        <f t="shared" si="40"/>
        <v>99</v>
      </c>
      <c r="W120" s="49">
        <f t="shared" si="41"/>
        <v>5.2138151712656199E-3</v>
      </c>
      <c r="X120" s="44">
        <f t="shared" si="42"/>
        <v>1617.919528227209</v>
      </c>
      <c r="Y120" s="44">
        <f t="shared" si="43"/>
        <v>3403.4699999999993</v>
      </c>
      <c r="Z120" s="44">
        <f t="shared" si="44"/>
        <v>10013.463530784211</v>
      </c>
      <c r="AA120" s="50">
        <f t="shared" si="45"/>
        <v>18636.919528227209</v>
      </c>
      <c r="AB120" s="51">
        <f t="shared" si="46"/>
        <v>9361.0017114931379</v>
      </c>
      <c r="AC120" s="44">
        <f t="shared" si="47"/>
        <v>17422.566633848</v>
      </c>
      <c r="AD120" s="44">
        <f t="shared" si="48"/>
        <v>0</v>
      </c>
      <c r="AE120" s="44">
        <f t="shared" si="49"/>
        <v>0</v>
      </c>
      <c r="AF120" s="52">
        <f>HLOOKUP(I120,ElecAvoidedCostsWOCC!$A$5:$Q$50,G120+1,FALSE)</f>
        <v>1.5960324064820535</v>
      </c>
      <c r="AG120" s="44">
        <f t="shared" si="50"/>
        <v>23155.238153241633</v>
      </c>
      <c r="AH120" s="52">
        <f>HLOOKUP(I120,ElecAvoidedCostsWOCC!$A$5:$Q$50,T120+1,FALSE)</f>
        <v>1.5960324064820535</v>
      </c>
      <c r="AI120" s="44">
        <f t="shared" si="51"/>
        <v>0</v>
      </c>
      <c r="AJ120" s="44">
        <f t="shared" si="52"/>
        <v>23155.238153241633</v>
      </c>
      <c r="AK120" s="44">
        <f>HLOOKUP(I120,ElecAvoidedCostsWOCC!$A$5:$Q$50,G120+1,FALSE)*J120*L120</f>
        <v>0</v>
      </c>
      <c r="AL120" s="44">
        <f t="shared" si="53"/>
        <v>23155.238153241633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23155.238153241633</v>
      </c>
      <c r="AN120" s="48">
        <f t="shared" si="54"/>
        <v>25470.761968565799</v>
      </c>
      <c r="AO120" s="47">
        <f t="shared" si="55"/>
        <v>2.4735855057917973</v>
      </c>
      <c r="AP120" s="47">
        <f t="shared" si="56"/>
        <v>1.4619408554352735</v>
      </c>
      <c r="AQ120">
        <v>2021</v>
      </c>
    </row>
    <row r="121" spans="2:43">
      <c r="B121" s="97" t="s">
        <v>15</v>
      </c>
      <c r="C121" s="61"/>
      <c r="D121" s="61"/>
      <c r="E121" s="38" t="s">
        <v>855</v>
      </c>
      <c r="F121" s="39" t="s">
        <v>856</v>
      </c>
      <c r="G121" s="39">
        <v>18</v>
      </c>
      <c r="H121" s="39"/>
      <c r="I121" s="40" t="s">
        <v>269</v>
      </c>
      <c r="J121" s="41">
        <v>2</v>
      </c>
      <c r="K121" s="41"/>
      <c r="L121" s="41"/>
      <c r="M121" s="42"/>
      <c r="N121" s="42"/>
      <c r="O121" s="43">
        <v>0</v>
      </c>
      <c r="P121" s="44">
        <v>0</v>
      </c>
      <c r="Q121" s="44">
        <v>0</v>
      </c>
      <c r="R121" s="45">
        <v>0</v>
      </c>
      <c r="S121" s="46">
        <v>0</v>
      </c>
      <c r="T121" s="39">
        <f t="shared" si="38"/>
        <v>18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>
        <f>HLOOKUP(I121,ElecAvoidedCostsWOCC!$A$5:$Q$50,G121+1,FALSE)</f>
        <v>1.5960324064820535</v>
      </c>
      <c r="AG121" s="44">
        <f t="shared" si="50"/>
        <v>0</v>
      </c>
      <c r="AH121" s="52">
        <f>HLOOKUP(I121,ElecAvoidedCostsWOCC!$A$5:$Q$50,T121+1,FALSE)</f>
        <v>1.5960324064820535</v>
      </c>
      <c r="AI121" s="44">
        <f t="shared" si="51"/>
        <v>0</v>
      </c>
      <c r="AJ121" s="44">
        <f t="shared" si="52"/>
        <v>0</v>
      </c>
      <c r="AK121" s="44">
        <f>HLOOKUP(I121,ElecAvoidedCostsWOCC!$A$5:$Q$50,G121+1,FALSE)*J121*L121</f>
        <v>0</v>
      </c>
      <c r="AL121" s="44">
        <f t="shared" si="53"/>
        <v>0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  <c r="AQ121">
        <v>2021</v>
      </c>
    </row>
    <row r="122" spans="2:43">
      <c r="B122" s="97" t="s">
        <v>15</v>
      </c>
      <c r="C122" s="61">
        <v>18230627</v>
      </c>
      <c r="D122" s="61" t="s">
        <v>80</v>
      </c>
      <c r="E122" s="38" t="s">
        <v>1954</v>
      </c>
      <c r="F122" s="39" t="s">
        <v>1787</v>
      </c>
      <c r="G122" s="39">
        <v>30</v>
      </c>
      <c r="H122" s="39"/>
      <c r="I122" s="40" t="s">
        <v>269</v>
      </c>
      <c r="J122" s="41">
        <v>2733.69</v>
      </c>
      <c r="K122" s="41">
        <v>15.8</v>
      </c>
      <c r="L122" s="41"/>
      <c r="M122" s="42">
        <v>50</v>
      </c>
      <c r="N122" s="42">
        <v>20.5</v>
      </c>
      <c r="O122" s="43">
        <v>43192.3</v>
      </c>
      <c r="P122" s="44">
        <v>7350</v>
      </c>
      <c r="Q122" s="44">
        <v>56040.639999999999</v>
      </c>
      <c r="R122" s="45">
        <v>0.26</v>
      </c>
      <c r="S122" s="46">
        <v>0</v>
      </c>
      <c r="T122" s="39">
        <f t="shared" si="38"/>
        <v>30</v>
      </c>
      <c r="U122" s="47">
        <f t="shared" si="39"/>
        <v>0.46566722295669161</v>
      </c>
      <c r="V122" s="48">
        <f t="shared" si="40"/>
        <v>-29.5</v>
      </c>
      <c r="W122" s="49">
        <f t="shared" si="41"/>
        <v>1.5522240765223053E-2</v>
      </c>
      <c r="X122" s="44">
        <f t="shared" si="42"/>
        <v>4816.7676894849801</v>
      </c>
      <c r="Y122" s="44">
        <f t="shared" si="43"/>
        <v>48690.64</v>
      </c>
      <c r="Z122" s="44">
        <f t="shared" si="44"/>
        <v>29811.450293678725</v>
      </c>
      <c r="AA122" s="50">
        <f t="shared" si="45"/>
        <v>60857.407689484979</v>
      </c>
      <c r="AB122" s="51">
        <f t="shared" si="46"/>
        <v>27868.982232101265</v>
      </c>
      <c r="AC122" s="44">
        <f t="shared" si="47"/>
        <v>56892.03299007663</v>
      </c>
      <c r="AD122" s="44">
        <f t="shared" si="48"/>
        <v>8846.4878734074937</v>
      </c>
      <c r="AE122" s="44">
        <f t="shared" si="49"/>
        <v>0</v>
      </c>
      <c r="AF122" s="52">
        <f>HLOOKUP(I122,ElecAvoidedCostsWOCC!$A$5:$Q$50,G122+1,FALSE)</f>
        <v>2.3666688857668672</v>
      </c>
      <c r="AG122" s="44">
        <f t="shared" si="50"/>
        <v>102221.87724804603</v>
      </c>
      <c r="AH122" s="52">
        <f>HLOOKUP(I122,ElecAvoidedCostsWOCC!$A$5:$Q$50,T122+1,FALSE)</f>
        <v>2.3666688857668672</v>
      </c>
      <c r="AI122" s="44">
        <f t="shared" si="51"/>
        <v>0</v>
      </c>
      <c r="AJ122" s="44">
        <f t="shared" si="52"/>
        <v>102221.87724804603</v>
      </c>
      <c r="AK122" s="44">
        <f>HLOOKUP(I122,ElecAvoidedCostsWOCC!$A$5:$Q$50,G122+1,FALSE)*J122*L122</f>
        <v>0</v>
      </c>
      <c r="AL122" s="44">
        <f t="shared" si="53"/>
        <v>102221.87724804603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102221.87724804603</v>
      </c>
      <c r="AN122" s="48">
        <f t="shared" si="54"/>
        <v>121290.55284625813</v>
      </c>
      <c r="AO122" s="47">
        <f t="shared" si="55"/>
        <v>3.6679443977075121</v>
      </c>
      <c r="AP122" s="47">
        <f t="shared" si="56"/>
        <v>2.1319426723143149</v>
      </c>
      <c r="AQ122">
        <v>2020</v>
      </c>
    </row>
    <row r="123" spans="2:43">
      <c r="B123" s="97" t="s">
        <v>15</v>
      </c>
      <c r="C123" s="61">
        <v>18230627</v>
      </c>
      <c r="D123" s="61" t="s">
        <v>80</v>
      </c>
      <c r="E123" s="38" t="s">
        <v>1786</v>
      </c>
      <c r="F123" s="39" t="s">
        <v>1787</v>
      </c>
      <c r="G123" s="39">
        <v>45</v>
      </c>
      <c r="H123" s="39"/>
      <c r="I123" s="40" t="s">
        <v>269</v>
      </c>
      <c r="J123" s="41">
        <v>10496.63</v>
      </c>
      <c r="K123" s="41">
        <v>15.8</v>
      </c>
      <c r="L123" s="41"/>
      <c r="M123" s="42">
        <v>50</v>
      </c>
      <c r="N123" s="42">
        <v>20.5</v>
      </c>
      <c r="O123" s="43">
        <v>165846.76</v>
      </c>
      <c r="P123" s="44">
        <v>27100</v>
      </c>
      <c r="Q123" s="44">
        <v>215180.88</v>
      </c>
      <c r="R123" s="45">
        <v>0.26</v>
      </c>
      <c r="S123" s="46">
        <v>0</v>
      </c>
      <c r="T123" s="39">
        <f t="shared" si="38"/>
        <v>45</v>
      </c>
      <c r="U123" s="47">
        <f t="shared" si="39"/>
        <v>2.6820544460088347</v>
      </c>
      <c r="V123" s="48">
        <f t="shared" si="40"/>
        <v>-29.5</v>
      </c>
      <c r="W123" s="49">
        <f t="shared" si="41"/>
        <v>5.9601209911307435E-2</v>
      </c>
      <c r="X123" s="44">
        <f t="shared" si="42"/>
        <v>18495.086276344857</v>
      </c>
      <c r="Y123" s="44">
        <f t="shared" si="43"/>
        <v>188080.88</v>
      </c>
      <c r="Z123" s="44">
        <f t="shared" si="44"/>
        <v>114467.91307959208</v>
      </c>
      <c r="AA123" s="50">
        <f t="shared" si="45"/>
        <v>233675.96627634487</v>
      </c>
      <c r="AB123" s="51">
        <f t="shared" si="46"/>
        <v>107009.36064278963</v>
      </c>
      <c r="AC123" s="44">
        <f t="shared" si="47"/>
        <v>218450.00119318019</v>
      </c>
      <c r="AD123" s="44">
        <f t="shared" si="48"/>
        <v>37267.297084110622</v>
      </c>
      <c r="AE123" s="44">
        <f t="shared" si="49"/>
        <v>0</v>
      </c>
      <c r="AF123" s="52">
        <f>HLOOKUP(I123,ElecAvoidedCostsWOCC!$A$5:$Q$50,G123+1,FALSE)</f>
        <v>3.4276422079642828</v>
      </c>
      <c r="AG123" s="44">
        <f t="shared" si="50"/>
        <v>568463.33406426921</v>
      </c>
      <c r="AH123" s="52">
        <f>HLOOKUP(I123,ElecAvoidedCostsWOCC!$A$5:$Q$50,T123+1,FALSE)</f>
        <v>3.4276422079642828</v>
      </c>
      <c r="AI123" s="44">
        <f t="shared" si="51"/>
        <v>0</v>
      </c>
      <c r="AJ123" s="44">
        <f t="shared" si="52"/>
        <v>568463.33406426921</v>
      </c>
      <c r="AK123" s="44">
        <f>HLOOKUP(I123,ElecAvoidedCostsWOCC!$A$5:$Q$50,G123+1,FALSE)*J123*L123</f>
        <v>0</v>
      </c>
      <c r="AL123" s="44">
        <f t="shared" si="53"/>
        <v>568463.33406426921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568463.33406426921</v>
      </c>
      <c r="AN123" s="48">
        <f t="shared" si="54"/>
        <v>662576.96455480682</v>
      </c>
      <c r="AO123" s="47">
        <f t="shared" si="55"/>
        <v>5.3122767078467978</v>
      </c>
      <c r="AP123" s="47">
        <f t="shared" si="56"/>
        <v>3.0330829065497475</v>
      </c>
      <c r="AQ123">
        <v>2020</v>
      </c>
    </row>
    <row r="124" spans="2:43">
      <c r="B124" s="97" t="s">
        <v>15</v>
      </c>
      <c r="C124" s="61">
        <v>18230627</v>
      </c>
      <c r="D124" s="61" t="s">
        <v>80</v>
      </c>
      <c r="E124" s="38" t="s">
        <v>1955</v>
      </c>
      <c r="F124" s="39" t="s">
        <v>1790</v>
      </c>
      <c r="G124" s="39">
        <v>30</v>
      </c>
      <c r="H124" s="39"/>
      <c r="I124" s="40" t="s">
        <v>269</v>
      </c>
      <c r="J124" s="41">
        <v>3586.49</v>
      </c>
      <c r="K124" s="41">
        <v>6.99</v>
      </c>
      <c r="L124" s="41"/>
      <c r="M124" s="42">
        <v>50</v>
      </c>
      <c r="N124" s="42">
        <v>20.5</v>
      </c>
      <c r="O124" s="43">
        <v>25069.58</v>
      </c>
      <c r="P124" s="44">
        <v>8900</v>
      </c>
      <c r="Q124" s="44">
        <v>73523.06</v>
      </c>
      <c r="R124" s="45">
        <v>0.1</v>
      </c>
      <c r="S124" s="46">
        <v>0</v>
      </c>
      <c r="T124" s="39">
        <f t="shared" si="38"/>
        <v>30</v>
      </c>
      <c r="U124" s="47">
        <f t="shared" si="39"/>
        <v>0.27028154785206199</v>
      </c>
      <c r="V124" s="48">
        <f t="shared" si="40"/>
        <v>-29.5</v>
      </c>
      <c r="W124" s="49">
        <f t="shared" si="41"/>
        <v>9.0093849284020658E-3</v>
      </c>
      <c r="X124" s="44">
        <f t="shared" si="42"/>
        <v>2795.7377341090623</v>
      </c>
      <c r="Y124" s="44">
        <f t="shared" si="43"/>
        <v>64623.06</v>
      </c>
      <c r="Z124" s="44">
        <f t="shared" si="44"/>
        <v>17303.096571689912</v>
      </c>
      <c r="AA124" s="50">
        <f t="shared" si="45"/>
        <v>76318.797734109059</v>
      </c>
      <c r="AB124" s="51">
        <f t="shared" si="46"/>
        <v>16175.653521258213</v>
      </c>
      <c r="AC124" s="44">
        <f t="shared" si="47"/>
        <v>71345.982737317987</v>
      </c>
      <c r="AD124" s="44">
        <f t="shared" si="48"/>
        <v>4463.9353757540521</v>
      </c>
      <c r="AE124" s="44">
        <f t="shared" si="49"/>
        <v>0</v>
      </c>
      <c r="AF124" s="52">
        <f>HLOOKUP(I124,ElecAvoidedCostsWOCC!$A$5:$Q$50,G124+1,FALSE)</f>
        <v>2.3666688857668672</v>
      </c>
      <c r="AG124" s="44">
        <f t="shared" si="50"/>
        <v>59331.359701876936</v>
      </c>
      <c r="AH124" s="52">
        <f>HLOOKUP(I124,ElecAvoidedCostsWOCC!$A$5:$Q$50,T124+1,FALSE)</f>
        <v>2.3666688857668672</v>
      </c>
      <c r="AI124" s="44">
        <f t="shared" si="51"/>
        <v>0</v>
      </c>
      <c r="AJ124" s="44">
        <f t="shared" si="52"/>
        <v>59331.359701876936</v>
      </c>
      <c r="AK124" s="44">
        <f>HLOOKUP(I124,ElecAvoidedCostsWOCC!$A$5:$Q$50,G124+1,FALSE)*J124*L124</f>
        <v>0</v>
      </c>
      <c r="AL124" s="44">
        <f t="shared" si="53"/>
        <v>59331.359701876936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59331.359701876936</v>
      </c>
      <c r="AN124" s="48">
        <f t="shared" si="54"/>
        <v>69728.431047818682</v>
      </c>
      <c r="AO124" s="47">
        <f t="shared" si="55"/>
        <v>3.6679420478376992</v>
      </c>
      <c r="AP124" s="47">
        <f t="shared" si="56"/>
        <v>0.97732806210750767</v>
      </c>
      <c r="AQ124">
        <v>2020</v>
      </c>
    </row>
    <row r="125" spans="2:43">
      <c r="B125" s="97" t="s">
        <v>15</v>
      </c>
      <c r="C125" s="61">
        <v>18230627</v>
      </c>
      <c r="D125" s="61" t="s">
        <v>80</v>
      </c>
      <c r="E125" s="38" t="s">
        <v>1789</v>
      </c>
      <c r="F125" s="39" t="s">
        <v>1790</v>
      </c>
      <c r="G125" s="39">
        <v>45</v>
      </c>
      <c r="H125" s="39"/>
      <c r="I125" s="40" t="s">
        <v>269</v>
      </c>
      <c r="J125" s="41">
        <v>14910.91</v>
      </c>
      <c r="K125" s="41">
        <v>6.99</v>
      </c>
      <c r="L125" s="41"/>
      <c r="M125" s="42">
        <v>50</v>
      </c>
      <c r="N125" s="42">
        <v>20.5</v>
      </c>
      <c r="O125" s="43">
        <v>104227.23</v>
      </c>
      <c r="P125" s="44">
        <v>33500</v>
      </c>
      <c r="Q125" s="44">
        <v>305673.63</v>
      </c>
      <c r="R125" s="45">
        <v>0.11</v>
      </c>
      <c r="S125" s="46">
        <v>0</v>
      </c>
      <c r="T125" s="39">
        <f t="shared" si="38"/>
        <v>45</v>
      </c>
      <c r="U125" s="47">
        <f t="shared" si="39"/>
        <v>1.6855505987375659</v>
      </c>
      <c r="V125" s="48">
        <f t="shared" si="40"/>
        <v>-29.5</v>
      </c>
      <c r="W125" s="49">
        <f t="shared" si="41"/>
        <v>3.7456679971945905E-2</v>
      </c>
      <c r="X125" s="44">
        <f t="shared" si="42"/>
        <v>11623.329941413622</v>
      </c>
      <c r="Y125" s="44">
        <f t="shared" si="43"/>
        <v>272173.63</v>
      </c>
      <c r="Z125" s="44">
        <f t="shared" si="44"/>
        <v>71937.93538183473</v>
      </c>
      <c r="AA125" s="50">
        <f t="shared" si="45"/>
        <v>317296.9599414136</v>
      </c>
      <c r="AB125" s="51">
        <f t="shared" si="46"/>
        <v>67250.570610297014</v>
      </c>
      <c r="AC125" s="44">
        <f t="shared" si="47"/>
        <v>296622.3800518029</v>
      </c>
      <c r="AD125" s="44">
        <f t="shared" si="48"/>
        <v>22397.60043281582</v>
      </c>
      <c r="AE125" s="44">
        <f t="shared" si="49"/>
        <v>0</v>
      </c>
      <c r="AF125" s="52">
        <f>HLOOKUP(I125,ElecAvoidedCostsWOCC!$A$5:$Q$50,G125+1,FALSE)</f>
        <v>3.4276422079642828</v>
      </c>
      <c r="AG125" s="44">
        <f t="shared" si="50"/>
        <v>357253.75868134538</v>
      </c>
      <c r="AH125" s="52">
        <f>HLOOKUP(I125,ElecAvoidedCostsWOCC!$A$5:$Q$50,T125+1,FALSE)</f>
        <v>3.4276422079642828</v>
      </c>
      <c r="AI125" s="44">
        <f t="shared" si="51"/>
        <v>0</v>
      </c>
      <c r="AJ125" s="44">
        <f t="shared" si="52"/>
        <v>357253.75868134538</v>
      </c>
      <c r="AK125" s="44">
        <f>HLOOKUP(I125,ElecAvoidedCostsWOCC!$A$5:$Q$50,G125+1,FALSE)*J125*L125</f>
        <v>0</v>
      </c>
      <c r="AL125" s="44">
        <f t="shared" si="53"/>
        <v>357253.75868134538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357253.75868134538</v>
      </c>
      <c r="AN125" s="48">
        <f t="shared" si="54"/>
        <v>415376.73498229578</v>
      </c>
      <c r="AO125" s="47">
        <f t="shared" si="55"/>
        <v>5.3122784749523708</v>
      </c>
      <c r="AP125" s="47">
        <f t="shared" si="56"/>
        <v>1.4003553437530685</v>
      </c>
      <c r="AQ125">
        <v>2020</v>
      </c>
    </row>
    <row r="126" spans="2:43">
      <c r="B126" s="97" t="s">
        <v>15</v>
      </c>
      <c r="C126" s="61">
        <v>18230627</v>
      </c>
      <c r="D126" s="61" t="s">
        <v>80</v>
      </c>
      <c r="E126" s="38" t="s">
        <v>1956</v>
      </c>
      <c r="F126" s="39" t="s">
        <v>1793</v>
      </c>
      <c r="G126" s="39">
        <v>25</v>
      </c>
      <c r="H126" s="39"/>
      <c r="I126" s="40" t="s">
        <v>269</v>
      </c>
      <c r="J126" s="41">
        <v>4290.1400000000003</v>
      </c>
      <c r="K126" s="41">
        <v>8.92</v>
      </c>
      <c r="L126" s="41"/>
      <c r="M126" s="42">
        <v>50</v>
      </c>
      <c r="N126" s="42">
        <v>20.5</v>
      </c>
      <c r="O126" s="43">
        <v>38268.050000000003</v>
      </c>
      <c r="P126" s="44">
        <v>12350</v>
      </c>
      <c r="Q126" s="44">
        <v>87947.86</v>
      </c>
      <c r="R126" s="45">
        <v>0.15</v>
      </c>
      <c r="S126" s="46">
        <v>0</v>
      </c>
      <c r="T126" s="39">
        <f t="shared" si="38"/>
        <v>25</v>
      </c>
      <c r="U126" s="47">
        <f t="shared" si="39"/>
        <v>0.34381468787005676</v>
      </c>
      <c r="V126" s="48">
        <f t="shared" si="40"/>
        <v>-29.5</v>
      </c>
      <c r="W126" s="49">
        <f t="shared" si="41"/>
        <v>1.375258751480227E-2</v>
      </c>
      <c r="X126" s="44">
        <f t="shared" si="42"/>
        <v>4267.6196169130999</v>
      </c>
      <c r="Y126" s="44">
        <f t="shared" si="43"/>
        <v>75597.86</v>
      </c>
      <c r="Z126" s="44">
        <f t="shared" si="44"/>
        <v>26412.718711691949</v>
      </c>
      <c r="AA126" s="50">
        <f t="shared" si="45"/>
        <v>92215.4796169131</v>
      </c>
      <c r="AB126" s="51">
        <f t="shared" si="46"/>
        <v>24691.706751137652</v>
      </c>
      <c r="AC126" s="44">
        <f t="shared" si="47"/>
        <v>86206.861378810034</v>
      </c>
      <c r="AD126" s="44">
        <f t="shared" si="48"/>
        <v>7519.6364786717741</v>
      </c>
      <c r="AE126" s="44">
        <f t="shared" si="49"/>
        <v>0</v>
      </c>
      <c r="AF126" s="52">
        <f>HLOOKUP(I126,ElecAvoidedCostsWOCC!$A$5:$Q$50,G126+1,FALSE)</f>
        <v>2.0508206305871441</v>
      </c>
      <c r="AG126" s="44">
        <f t="shared" si="50"/>
        <v>78480.903971355612</v>
      </c>
      <c r="AH126" s="52">
        <f>HLOOKUP(I126,ElecAvoidedCostsWOCC!$A$5:$Q$50,T126+1,FALSE)</f>
        <v>2.0508206305871441</v>
      </c>
      <c r="AI126" s="44">
        <f t="shared" si="51"/>
        <v>0</v>
      </c>
      <c r="AJ126" s="44">
        <f t="shared" si="52"/>
        <v>78480.903971355612</v>
      </c>
      <c r="AK126" s="44">
        <f>HLOOKUP(I126,ElecAvoidedCostsWOCC!$A$5:$Q$50,G126+1,FALSE)*J126*L126</f>
        <v>0</v>
      </c>
      <c r="AL126" s="44">
        <f t="shared" si="53"/>
        <v>78480.903971355612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78480.903971355612</v>
      </c>
      <c r="AN126" s="48">
        <f t="shared" si="54"/>
        <v>93848.63084716296</v>
      </c>
      <c r="AO126" s="47">
        <f t="shared" si="55"/>
        <v>3.1784317205103556</v>
      </c>
      <c r="AP126" s="47">
        <f t="shared" si="56"/>
        <v>1.0886445620003897</v>
      </c>
      <c r="AQ126">
        <v>2020</v>
      </c>
    </row>
    <row r="127" spans="2:43">
      <c r="B127" s="97" t="s">
        <v>15</v>
      </c>
      <c r="C127" s="61">
        <v>18230627</v>
      </c>
      <c r="D127" s="61" t="s">
        <v>80</v>
      </c>
      <c r="E127" s="38" t="s">
        <v>1792</v>
      </c>
      <c r="F127" s="39" t="s">
        <v>1793</v>
      </c>
      <c r="G127" s="39">
        <v>45</v>
      </c>
      <c r="H127" s="39"/>
      <c r="I127" s="40" t="s">
        <v>269</v>
      </c>
      <c r="J127" s="41">
        <v>15813.51</v>
      </c>
      <c r="K127" s="41">
        <v>8.92</v>
      </c>
      <c r="L127" s="41"/>
      <c r="M127" s="42">
        <v>50</v>
      </c>
      <c r="N127" s="42">
        <v>20.5</v>
      </c>
      <c r="O127" s="43">
        <v>141056.42000000001</v>
      </c>
      <c r="P127" s="44">
        <v>44900</v>
      </c>
      <c r="Q127" s="44">
        <v>324176.96999999997</v>
      </c>
      <c r="R127" s="45">
        <v>0.15</v>
      </c>
      <c r="S127" s="46">
        <v>0</v>
      </c>
      <c r="T127" s="39">
        <f t="shared" si="38"/>
        <v>45</v>
      </c>
      <c r="U127" s="47">
        <f t="shared" si="39"/>
        <v>2.2811479609194021</v>
      </c>
      <c r="V127" s="48">
        <f t="shared" si="40"/>
        <v>-29.5</v>
      </c>
      <c r="W127" s="49">
        <f t="shared" si="41"/>
        <v>5.0692176909320048E-2</v>
      </c>
      <c r="X127" s="44">
        <f t="shared" si="42"/>
        <v>15730.489143908124</v>
      </c>
      <c r="Y127" s="44">
        <f t="shared" si="43"/>
        <v>279276.96999999997</v>
      </c>
      <c r="Z127" s="44">
        <f t="shared" si="44"/>
        <v>97357.548762957042</v>
      </c>
      <c r="AA127" s="50">
        <f t="shared" si="45"/>
        <v>339907.45914390811</v>
      </c>
      <c r="AB127" s="51">
        <f t="shared" si="46"/>
        <v>91013.881240494564</v>
      </c>
      <c r="AC127" s="44">
        <f t="shared" si="47"/>
        <v>317759.61404497345</v>
      </c>
      <c r="AD127" s="44">
        <f t="shared" si="48"/>
        <v>32390.988003872568</v>
      </c>
      <c r="AE127" s="44">
        <f t="shared" si="49"/>
        <v>0</v>
      </c>
      <c r="AF127" s="52">
        <f>HLOOKUP(I127,ElecAvoidedCostsWOCC!$A$5:$Q$50,G127+1,FALSE)</f>
        <v>3.4276422079642828</v>
      </c>
      <c r="AG127" s="44">
        <f t="shared" si="50"/>
        <v>483491.24464202218</v>
      </c>
      <c r="AH127" s="52">
        <f>HLOOKUP(I127,ElecAvoidedCostsWOCC!$A$5:$Q$50,T127+1,FALSE)</f>
        <v>3.4276422079642828</v>
      </c>
      <c r="AI127" s="44">
        <f t="shared" si="51"/>
        <v>0</v>
      </c>
      <c r="AJ127" s="44">
        <f t="shared" si="52"/>
        <v>483491.24464202218</v>
      </c>
      <c r="AK127" s="44">
        <f>HLOOKUP(I127,ElecAvoidedCostsWOCC!$A$5:$Q$50,G127+1,FALSE)*J127*L127</f>
        <v>0</v>
      </c>
      <c r="AL127" s="44">
        <f t="shared" si="53"/>
        <v>483491.24464202218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483491.24464202212</v>
      </c>
      <c r="AN127" s="48">
        <f t="shared" si="54"/>
        <v>564231.35711009696</v>
      </c>
      <c r="AO127" s="47">
        <f t="shared" si="55"/>
        <v>5.3122802593644769</v>
      </c>
      <c r="AP127" s="47">
        <f t="shared" si="56"/>
        <v>1.7756547156122855</v>
      </c>
      <c r="AQ127">
        <v>2020</v>
      </c>
    </row>
    <row r="128" spans="2:43">
      <c r="B128" s="97" t="s">
        <v>15</v>
      </c>
      <c r="C128" s="61">
        <v>18230627</v>
      </c>
      <c r="D128" s="61" t="s">
        <v>80</v>
      </c>
      <c r="E128" s="38" t="s">
        <v>1957</v>
      </c>
      <c r="F128" s="39" t="s">
        <v>1958</v>
      </c>
      <c r="G128" s="39">
        <v>25</v>
      </c>
      <c r="H128" s="39"/>
      <c r="I128" s="40" t="s">
        <v>269</v>
      </c>
      <c r="J128" s="41">
        <v>2110.2800000000002</v>
      </c>
      <c r="K128" s="41">
        <v>9.98</v>
      </c>
      <c r="L128" s="41"/>
      <c r="M128" s="42">
        <v>200</v>
      </c>
      <c r="N128" s="42">
        <v>17.809999999999999</v>
      </c>
      <c r="O128" s="43">
        <v>21060.6</v>
      </c>
      <c r="P128" s="44">
        <v>29903.61</v>
      </c>
      <c r="Q128" s="44">
        <v>37584.080000000002</v>
      </c>
      <c r="R128" s="45">
        <v>0.08</v>
      </c>
      <c r="S128" s="46">
        <v>0</v>
      </c>
      <c r="T128" s="39">
        <f t="shared" si="38"/>
        <v>25</v>
      </c>
      <c r="U128" s="47">
        <f t="shared" si="39"/>
        <v>0.18921642506885289</v>
      </c>
      <c r="V128" s="48">
        <f t="shared" si="40"/>
        <v>-182.19</v>
      </c>
      <c r="W128" s="49">
        <f t="shared" si="41"/>
        <v>7.5686570027541158E-3</v>
      </c>
      <c r="X128" s="44">
        <f t="shared" si="42"/>
        <v>2348.6597750332203</v>
      </c>
      <c r="Y128" s="44">
        <f t="shared" si="43"/>
        <v>7680.4700000000012</v>
      </c>
      <c r="Z128" s="44">
        <f t="shared" si="44"/>
        <v>14536.086989001513</v>
      </c>
      <c r="AA128" s="50">
        <f t="shared" si="45"/>
        <v>39932.739775033224</v>
      </c>
      <c r="AB128" s="51">
        <f t="shared" si="46"/>
        <v>13588.938009723764</v>
      </c>
      <c r="AC128" s="44">
        <f t="shared" si="47"/>
        <v>37330.784121747427</v>
      </c>
      <c r="AD128" s="44">
        <f t="shared" si="48"/>
        <v>1972.7142975239622</v>
      </c>
      <c r="AE128" s="44">
        <f t="shared" si="49"/>
        <v>0</v>
      </c>
      <c r="AF128" s="52">
        <f>HLOOKUP(I128,ElecAvoidedCostsWOCC!$A$5:$Q$50,G128+1,FALSE)</f>
        <v>2.0508206305871441</v>
      </c>
      <c r="AG128" s="44">
        <f t="shared" si="50"/>
        <v>43191.501487948088</v>
      </c>
      <c r="AH128" s="52">
        <f>HLOOKUP(I128,ElecAvoidedCostsWOCC!$A$5:$Q$50,T128+1,FALSE)</f>
        <v>2.0508206305871441</v>
      </c>
      <c r="AI128" s="44">
        <f t="shared" si="51"/>
        <v>0</v>
      </c>
      <c r="AJ128" s="44">
        <f t="shared" si="52"/>
        <v>43191.501487948088</v>
      </c>
      <c r="AK128" s="44">
        <f>HLOOKUP(I128,ElecAvoidedCostsWOCC!$A$5:$Q$50,G128+1,FALSE)*J128*L128</f>
        <v>0</v>
      </c>
      <c r="AL128" s="44">
        <f t="shared" si="53"/>
        <v>43191.501487948088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43191.501487948088</v>
      </c>
      <c r="AN128" s="48">
        <f t="shared" si="54"/>
        <v>49483.365934266862</v>
      </c>
      <c r="AO128" s="47">
        <f t="shared" si="55"/>
        <v>3.1784309750358544</v>
      </c>
      <c r="AP128" s="47">
        <f t="shared" si="56"/>
        <v>1.3255378127843778</v>
      </c>
      <c r="AQ128">
        <v>2020</v>
      </c>
    </row>
    <row r="129" spans="2:43">
      <c r="B129" s="97" t="s">
        <v>15</v>
      </c>
      <c r="C129" s="61">
        <v>18230627</v>
      </c>
      <c r="D129" s="61" t="s">
        <v>80</v>
      </c>
      <c r="E129" s="38" t="s">
        <v>1795</v>
      </c>
      <c r="F129" s="39" t="s">
        <v>1796</v>
      </c>
      <c r="G129" s="39">
        <v>25</v>
      </c>
      <c r="H129" s="39"/>
      <c r="I129" s="40" t="s">
        <v>269</v>
      </c>
      <c r="J129" s="41">
        <v>7365.26</v>
      </c>
      <c r="K129" s="41">
        <v>9.98</v>
      </c>
      <c r="L129" s="41"/>
      <c r="M129" s="42">
        <v>200</v>
      </c>
      <c r="N129" s="42">
        <v>17.809999999999999</v>
      </c>
      <c r="O129" s="43">
        <v>73505.259999999995</v>
      </c>
      <c r="P129" s="44">
        <v>103633.36</v>
      </c>
      <c r="Q129" s="44">
        <v>131175.25</v>
      </c>
      <c r="R129" s="45">
        <v>0.08</v>
      </c>
      <c r="S129" s="46">
        <v>0</v>
      </c>
      <c r="T129" s="39">
        <f t="shared" si="38"/>
        <v>25</v>
      </c>
      <c r="U129" s="47">
        <f t="shared" si="39"/>
        <v>0.66039915866388188</v>
      </c>
      <c r="V129" s="48">
        <f t="shared" si="40"/>
        <v>-182.19</v>
      </c>
      <c r="W129" s="49">
        <f t="shared" si="41"/>
        <v>2.6415966346555273E-2</v>
      </c>
      <c r="X129" s="44">
        <f t="shared" si="42"/>
        <v>8197.2425959069715</v>
      </c>
      <c r="Y129" s="44">
        <f t="shared" si="43"/>
        <v>27541.89</v>
      </c>
      <c r="Z129" s="44">
        <f t="shared" si="44"/>
        <v>50733.542895699713</v>
      </c>
      <c r="AA129" s="50">
        <f t="shared" si="45"/>
        <v>139372.49259590698</v>
      </c>
      <c r="AB129" s="51">
        <f t="shared" si="46"/>
        <v>47427.823591380489</v>
      </c>
      <c r="AC129" s="44">
        <f t="shared" si="47"/>
        <v>130291.19621941382</v>
      </c>
      <c r="AD129" s="44">
        <f t="shared" si="48"/>
        <v>6885.1307442525813</v>
      </c>
      <c r="AE129" s="44">
        <f t="shared" si="49"/>
        <v>0</v>
      </c>
      <c r="AF129" s="52">
        <f>HLOOKUP(I129,ElecAvoidedCostsWOCC!$A$5:$Q$50,G129+1,FALSE)</f>
        <v>2.0508206305871441</v>
      </c>
      <c r="AG129" s="44">
        <f t="shared" si="50"/>
        <v>150746.17503322996</v>
      </c>
      <c r="AH129" s="52">
        <f>HLOOKUP(I129,ElecAvoidedCostsWOCC!$A$5:$Q$50,T129+1,FALSE)</f>
        <v>2.0508206305871441</v>
      </c>
      <c r="AI129" s="44">
        <f t="shared" si="51"/>
        <v>0</v>
      </c>
      <c r="AJ129" s="44">
        <f t="shared" si="52"/>
        <v>150746.17503322996</v>
      </c>
      <c r="AK129" s="44">
        <f>HLOOKUP(I129,ElecAvoidedCostsWOCC!$A$5:$Q$50,G129+1,FALSE)*J129*L129</f>
        <v>0</v>
      </c>
      <c r="AL129" s="44">
        <f t="shared" si="53"/>
        <v>150746.17503322996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150746.17503322996</v>
      </c>
      <c r="AN129" s="48">
        <f t="shared" si="54"/>
        <v>172705.92328080555</v>
      </c>
      <c r="AO129" s="47">
        <f t="shared" si="55"/>
        <v>3.1784333249613104</v>
      </c>
      <c r="AP129" s="47">
        <f t="shared" si="56"/>
        <v>1.3255379357325434</v>
      </c>
      <c r="AQ129">
        <v>2020</v>
      </c>
    </row>
    <row r="130" spans="2:43">
      <c r="B130" s="97" t="s">
        <v>15</v>
      </c>
      <c r="C130" s="61">
        <v>18230627</v>
      </c>
      <c r="D130" s="61" t="s">
        <v>80</v>
      </c>
      <c r="E130" s="38" t="s">
        <v>1960</v>
      </c>
      <c r="F130" s="39" t="s">
        <v>1961</v>
      </c>
      <c r="G130" s="39">
        <v>15</v>
      </c>
      <c r="H130" s="39"/>
      <c r="I130" s="40" t="s">
        <v>269</v>
      </c>
      <c r="J130" s="41">
        <v>940</v>
      </c>
      <c r="K130" s="41">
        <v>0.44</v>
      </c>
      <c r="L130" s="41"/>
      <c r="M130" s="42">
        <v>0.66</v>
      </c>
      <c r="N130" s="42">
        <v>0.66</v>
      </c>
      <c r="O130" s="43">
        <v>413.6</v>
      </c>
      <c r="P130" s="44">
        <v>350</v>
      </c>
      <c r="Q130" s="44">
        <v>620.4</v>
      </c>
      <c r="R130" s="45">
        <v>0.01</v>
      </c>
      <c r="S130" s="46">
        <v>0</v>
      </c>
      <c r="T130" s="39">
        <f t="shared" si="38"/>
        <v>15</v>
      </c>
      <c r="U130" s="47">
        <f t="shared" si="39"/>
        <v>2.2295636423029989E-3</v>
      </c>
      <c r="V130" s="48">
        <f t="shared" si="40"/>
        <v>0</v>
      </c>
      <c r="W130" s="49">
        <f t="shared" si="41"/>
        <v>1.4863757615353327E-4</v>
      </c>
      <c r="X130" s="44">
        <f t="shared" si="42"/>
        <v>46.124311888252947</v>
      </c>
      <c r="Y130" s="44">
        <f t="shared" si="43"/>
        <v>270.39999999999998</v>
      </c>
      <c r="Z130" s="44">
        <f t="shared" si="44"/>
        <v>285.4679153799525</v>
      </c>
      <c r="AA130" s="50">
        <f t="shared" si="45"/>
        <v>666.5243118882529</v>
      </c>
      <c r="AB130" s="51">
        <f t="shared" si="46"/>
        <v>266.86726687851967</v>
      </c>
      <c r="AC130" s="44">
        <f t="shared" si="47"/>
        <v>623.09461707792173</v>
      </c>
      <c r="AD130" s="44">
        <f t="shared" si="48"/>
        <v>85.776854406270232</v>
      </c>
      <c r="AE130" s="44">
        <f t="shared" si="49"/>
        <v>0</v>
      </c>
      <c r="AF130" s="52">
        <f>HLOOKUP(I130,ElecAvoidedCostsWOCC!$A$5:$Q$50,G130+1,FALSE)</f>
        <v>1.3893373920773078</v>
      </c>
      <c r="AG130" s="44">
        <f t="shared" si="50"/>
        <v>574.62994536317456</v>
      </c>
      <c r="AH130" s="52">
        <f>HLOOKUP(I130,ElecAvoidedCostsWOCC!$A$5:$Q$50,T130+1,FALSE)</f>
        <v>1.3893373920773078</v>
      </c>
      <c r="AI130" s="44">
        <f t="shared" si="51"/>
        <v>0</v>
      </c>
      <c r="AJ130" s="44">
        <f t="shared" si="52"/>
        <v>574.62994536317456</v>
      </c>
      <c r="AK130" s="44">
        <f>HLOOKUP(I130,ElecAvoidedCostsWOCC!$A$5:$Q$50,G130+1,FALSE)*J130*L130</f>
        <v>0</v>
      </c>
      <c r="AL130" s="44">
        <f t="shared" si="53"/>
        <v>574.62994536317456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574.62994536317456</v>
      </c>
      <c r="AN130" s="48">
        <f t="shared" si="54"/>
        <v>717.8697943057623</v>
      </c>
      <c r="AO130" s="47">
        <f t="shared" si="55"/>
        <v>2.1532425167180627</v>
      </c>
      <c r="AP130" s="47">
        <f t="shared" si="56"/>
        <v>1.1521039897155594</v>
      </c>
      <c r="AQ130">
        <v>2020</v>
      </c>
    </row>
    <row r="131" spans="2:43">
      <c r="B131" s="97" t="s">
        <v>15</v>
      </c>
      <c r="C131" s="61">
        <v>18230627</v>
      </c>
      <c r="D131" s="61" t="s">
        <v>80</v>
      </c>
      <c r="E131" s="38" t="s">
        <v>1962</v>
      </c>
      <c r="F131" s="39" t="s">
        <v>1799</v>
      </c>
      <c r="G131" s="39">
        <v>30</v>
      </c>
      <c r="H131" s="39"/>
      <c r="I131" s="40" t="s">
        <v>269</v>
      </c>
      <c r="J131" s="41">
        <v>6802</v>
      </c>
      <c r="K131" s="41">
        <v>2.35</v>
      </c>
      <c r="L131" s="41"/>
      <c r="M131" s="42">
        <v>0.33</v>
      </c>
      <c r="N131" s="42">
        <v>1.24</v>
      </c>
      <c r="O131" s="43">
        <v>15984.7</v>
      </c>
      <c r="P131" s="44">
        <v>3400.7</v>
      </c>
      <c r="Q131" s="44">
        <v>8434.48</v>
      </c>
      <c r="R131" s="45">
        <v>0.04</v>
      </c>
      <c r="S131" s="46">
        <v>0</v>
      </c>
      <c r="T131" s="39">
        <f t="shared" si="38"/>
        <v>30</v>
      </c>
      <c r="U131" s="47">
        <f t="shared" si="39"/>
        <v>0.17233513516982954</v>
      </c>
      <c r="V131" s="48">
        <f t="shared" si="40"/>
        <v>0.90999999999999992</v>
      </c>
      <c r="W131" s="49">
        <f t="shared" si="41"/>
        <v>5.7445045056609845E-3</v>
      </c>
      <c r="X131" s="44">
        <f t="shared" si="42"/>
        <v>1782.5998264994121</v>
      </c>
      <c r="Y131" s="44">
        <f t="shared" si="43"/>
        <v>5033.78</v>
      </c>
      <c r="Z131" s="44">
        <f t="shared" si="44"/>
        <v>11032.686138718391</v>
      </c>
      <c r="AA131" s="50">
        <f t="shared" si="45"/>
        <v>10217.079826499412</v>
      </c>
      <c r="AB131" s="51">
        <f t="shared" si="46"/>
        <v>10313.81334833915</v>
      </c>
      <c r="AC131" s="44">
        <f t="shared" si="47"/>
        <v>9551.350683836039</v>
      </c>
      <c r="AD131" s="44">
        <f t="shared" si="48"/>
        <v>3386.4517593389705</v>
      </c>
      <c r="AE131" s="44">
        <f t="shared" si="49"/>
        <v>0</v>
      </c>
      <c r="AF131" s="52">
        <f>HLOOKUP(I131,ElecAvoidedCostsWOCC!$A$5:$Q$50,G131+1,FALSE)</f>
        <v>2.3666688857668672</v>
      </c>
      <c r="AG131" s="44">
        <f t="shared" si="50"/>
        <v>37830.492138317641</v>
      </c>
      <c r="AH131" s="52">
        <f>HLOOKUP(I131,ElecAvoidedCostsWOCC!$A$5:$Q$50,T131+1,FALSE)</f>
        <v>2.3666688857668672</v>
      </c>
      <c r="AI131" s="44">
        <f t="shared" si="51"/>
        <v>0</v>
      </c>
      <c r="AJ131" s="44">
        <f t="shared" si="52"/>
        <v>37830.492138317641</v>
      </c>
      <c r="AK131" s="44">
        <f>HLOOKUP(I131,ElecAvoidedCostsWOCC!$A$5:$Q$50,G131+1,FALSE)*J131*L131</f>
        <v>0</v>
      </c>
      <c r="AL131" s="44">
        <f t="shared" si="53"/>
        <v>37830.492138317641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37830.492138317648</v>
      </c>
      <c r="AN131" s="48">
        <f t="shared" si="54"/>
        <v>44999.993111488388</v>
      </c>
      <c r="AO131" s="47">
        <f t="shared" si="55"/>
        <v>3.6679442278650072</v>
      </c>
      <c r="AP131" s="47">
        <f t="shared" si="56"/>
        <v>4.7113748202799073</v>
      </c>
      <c r="AQ131">
        <v>2020</v>
      </c>
    </row>
    <row r="132" spans="2:43">
      <c r="B132" s="97" t="s">
        <v>15</v>
      </c>
      <c r="C132" s="61">
        <v>18230627</v>
      </c>
      <c r="D132" s="61" t="s">
        <v>80</v>
      </c>
      <c r="E132" s="38" t="s">
        <v>1798</v>
      </c>
      <c r="F132" s="39" t="s">
        <v>1799</v>
      </c>
      <c r="G132" s="39">
        <v>45</v>
      </c>
      <c r="H132" s="39"/>
      <c r="I132" s="40" t="s">
        <v>269</v>
      </c>
      <c r="J132" s="41">
        <v>20285</v>
      </c>
      <c r="K132" s="41">
        <v>2.35</v>
      </c>
      <c r="L132" s="41"/>
      <c r="M132" s="42">
        <v>0.5</v>
      </c>
      <c r="N132" s="42">
        <v>1.24</v>
      </c>
      <c r="O132" s="43">
        <v>47669.75</v>
      </c>
      <c r="P132" s="44">
        <v>8400</v>
      </c>
      <c r="Q132" s="44">
        <v>25153.4</v>
      </c>
      <c r="R132" s="45">
        <v>0.04</v>
      </c>
      <c r="S132" s="46">
        <v>0</v>
      </c>
      <c r="T132" s="39">
        <f t="shared" ref="T132:T195" si="57">G132+H132</f>
        <v>45</v>
      </c>
      <c r="U132" s="47">
        <f t="shared" ref="U132:U195" si="58">(O132/$A$10)*T132</f>
        <v>0.77090963325198292</v>
      </c>
      <c r="V132" s="48">
        <f t="shared" ref="V132:V195" si="59">N132-M132</f>
        <v>0.74</v>
      </c>
      <c r="W132" s="49">
        <f t="shared" ref="W132:W195" si="60">(O132/A$10)</f>
        <v>1.7131325183377399E-2</v>
      </c>
      <c r="X132" s="44">
        <f t="shared" ref="X132:X195" si="61">W132*A$8</f>
        <v>5316.089015075062</v>
      </c>
      <c r="Y132" s="44">
        <f t="shared" ref="Y132:Y195" si="62">Q132-P132</f>
        <v>16753.400000000001</v>
      </c>
      <c r="Z132" s="44">
        <f t="shared" ref="Z132:Z195" si="63">X132+(A$6*W132)</f>
        <v>32901.799224331451</v>
      </c>
      <c r="AA132" s="50">
        <f t="shared" ref="AA132:AA195" si="64">Q132+X132</f>
        <v>30469.489015075065</v>
      </c>
      <c r="AB132" s="51">
        <f t="shared" ref="AB132:AB195" si="65">Z132/(1+ElecDiscountRate)^1</f>
        <v>30757.968799038466</v>
      </c>
      <c r="AC132" s="44">
        <f t="shared" ref="AC132:AC195" si="66">AA132/(1+ElecDiscountRate)^1</f>
        <v>28484.144166658934</v>
      </c>
      <c r="AD132" s="44">
        <f t="shared" ref="AD132:AD195" si="67">-PV(ElecDiscountRate,T132,R132)*J132</f>
        <v>11079.997490054267</v>
      </c>
      <c r="AE132" s="44">
        <f t="shared" ref="AE132:AE195" si="68">-PV(ElecDiscountRate,T132,S132)*J132</f>
        <v>0</v>
      </c>
      <c r="AF132" s="52">
        <f>HLOOKUP(I132,ElecAvoidedCostsWOCC!$A$5:$Q$50,G132+1,FALSE)</f>
        <v>3.4276422079642828</v>
      </c>
      <c r="AG132" s="44">
        <f t="shared" ref="AG132:AG195" si="69">AF132*J132*K132</f>
        <v>163394.84714310538</v>
      </c>
      <c r="AH132" s="52">
        <f>HLOOKUP(I132,ElecAvoidedCostsWOCC!$A$5:$Q$50,T132+1,FALSE)</f>
        <v>3.4276422079642828</v>
      </c>
      <c r="AI132" s="44">
        <f t="shared" ref="AI132:AI195" si="70">AH132*J132*L132</f>
        <v>0</v>
      </c>
      <c r="AJ132" s="44">
        <f t="shared" ref="AJ132:AJ195" si="71">AG132+AI132</f>
        <v>163394.84714310538</v>
      </c>
      <c r="AK132" s="44">
        <f>HLOOKUP(I132,ElecAvoidedCostsWOCC!$A$5:$Q$50,G132+1,FALSE)*J132*L132</f>
        <v>0</v>
      </c>
      <c r="AL132" s="44">
        <f t="shared" ref="AL132:AL195" si="72">AG132+AI132-AK132</f>
        <v>163394.84714310538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163394.84714310538</v>
      </c>
      <c r="AN132" s="48">
        <f t="shared" ref="AN132:AN195" si="73">AM132*1.1+AD132+AE132</f>
        <v>190814.32934747019</v>
      </c>
      <c r="AO132" s="47">
        <f t="shared" ref="AO132:AO195" si="74">IFERROR(AM132/AB132,0)</f>
        <v>5.312276900034222</v>
      </c>
      <c r="AP132" s="47">
        <f t="shared" ref="AP132:AP195" si="75">AN132/AC132</f>
        <v>6.6989665629771977</v>
      </c>
      <c r="AQ132">
        <v>2020</v>
      </c>
    </row>
    <row r="133" spans="2:43">
      <c r="B133" s="97" t="s">
        <v>15</v>
      </c>
      <c r="C133" s="61">
        <v>18230627</v>
      </c>
      <c r="D133" s="61" t="s">
        <v>80</v>
      </c>
      <c r="E133" s="38" t="s">
        <v>1964</v>
      </c>
      <c r="F133" s="39" t="s">
        <v>695</v>
      </c>
      <c r="G133" s="39">
        <v>30</v>
      </c>
      <c r="H133" s="39"/>
      <c r="I133" s="40" t="s">
        <v>269</v>
      </c>
      <c r="J133" s="41">
        <v>6017</v>
      </c>
      <c r="K133" s="41">
        <v>1.33</v>
      </c>
      <c r="L133" s="41"/>
      <c r="M133" s="42">
        <v>0.33</v>
      </c>
      <c r="N133" s="42">
        <v>1.24</v>
      </c>
      <c r="O133" s="43">
        <v>8002.61</v>
      </c>
      <c r="P133" s="44">
        <v>2400</v>
      </c>
      <c r="Q133" s="44">
        <v>7461.08</v>
      </c>
      <c r="R133" s="45">
        <v>0.02</v>
      </c>
      <c r="S133" s="46">
        <v>0</v>
      </c>
      <c r="T133" s="39">
        <f t="shared" si="57"/>
        <v>30</v>
      </c>
      <c r="U133" s="47">
        <f t="shared" si="58"/>
        <v>8.627818326658801E-2</v>
      </c>
      <c r="V133" s="48">
        <f t="shared" si="59"/>
        <v>0.90999999999999992</v>
      </c>
      <c r="W133" s="49">
        <f t="shared" si="60"/>
        <v>2.8759394422196004E-3</v>
      </c>
      <c r="X133" s="44">
        <f t="shared" si="61"/>
        <v>892.44409951656644</v>
      </c>
      <c r="Y133" s="44">
        <f t="shared" si="62"/>
        <v>5061.08</v>
      </c>
      <c r="Z133" s="44">
        <f t="shared" si="63"/>
        <v>5523.4245510124783</v>
      </c>
      <c r="AA133" s="50">
        <f t="shared" si="64"/>
        <v>8353.5240995165659</v>
      </c>
      <c r="AB133" s="51">
        <f t="shared" si="65"/>
        <v>5163.5267374146752</v>
      </c>
      <c r="AC133" s="44">
        <f t="shared" si="66"/>
        <v>7809.2213700257689</v>
      </c>
      <c r="AD133" s="44">
        <f t="shared" si="67"/>
        <v>1497.8153657705516</v>
      </c>
      <c r="AE133" s="44">
        <f t="shared" si="68"/>
        <v>0</v>
      </c>
      <c r="AF133" s="52">
        <f>HLOOKUP(I133,ElecAvoidedCostsWOCC!$A$5:$Q$50,G133+1,FALSE)</f>
        <v>2.3666688857668672</v>
      </c>
      <c r="AG133" s="44">
        <f t="shared" si="69"/>
        <v>18939.52809192679</v>
      </c>
      <c r="AH133" s="52">
        <f>HLOOKUP(I133,ElecAvoidedCostsWOCC!$A$5:$Q$50,T133+1,FALSE)</f>
        <v>2.3666688857668672</v>
      </c>
      <c r="AI133" s="44">
        <f t="shared" si="70"/>
        <v>0</v>
      </c>
      <c r="AJ133" s="44">
        <f t="shared" si="71"/>
        <v>18939.52809192679</v>
      </c>
      <c r="AK133" s="44">
        <f>HLOOKUP(I133,ElecAvoidedCostsWOCC!$A$5:$Q$50,G133+1,FALSE)*J133*L133</f>
        <v>0</v>
      </c>
      <c r="AL133" s="44">
        <f t="shared" si="72"/>
        <v>18939.52809192679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18939.52809192679</v>
      </c>
      <c r="AN133" s="48">
        <f t="shared" si="73"/>
        <v>22331.296266890022</v>
      </c>
      <c r="AO133" s="47">
        <f t="shared" si="74"/>
        <v>3.6679442278650072</v>
      </c>
      <c r="AP133" s="47">
        <f t="shared" si="75"/>
        <v>2.8596059976740462</v>
      </c>
      <c r="AQ133">
        <v>2020</v>
      </c>
    </row>
    <row r="134" spans="2:43">
      <c r="B134" s="97" t="s">
        <v>15</v>
      </c>
      <c r="C134" s="61">
        <v>18230627</v>
      </c>
      <c r="D134" s="61" t="s">
        <v>80</v>
      </c>
      <c r="E134" s="38" t="s">
        <v>1801</v>
      </c>
      <c r="F134" s="39" t="s">
        <v>695</v>
      </c>
      <c r="G134" s="39">
        <v>45</v>
      </c>
      <c r="H134" s="39"/>
      <c r="I134" s="40" t="s">
        <v>269</v>
      </c>
      <c r="J134" s="41">
        <v>15793</v>
      </c>
      <c r="K134" s="41">
        <v>1.33</v>
      </c>
      <c r="L134" s="41"/>
      <c r="M134" s="42">
        <v>0.5</v>
      </c>
      <c r="N134" s="42">
        <v>1.24</v>
      </c>
      <c r="O134" s="43">
        <v>21004.69</v>
      </c>
      <c r="P134" s="44">
        <v>7800</v>
      </c>
      <c r="Q134" s="44">
        <v>19583.32</v>
      </c>
      <c r="R134" s="45">
        <v>0.02</v>
      </c>
      <c r="S134" s="46">
        <v>0</v>
      </c>
      <c r="T134" s="39">
        <f t="shared" si="57"/>
        <v>45</v>
      </c>
      <c r="U134" s="47">
        <f t="shared" si="58"/>
        <v>0.33968539512943935</v>
      </c>
      <c r="V134" s="48">
        <f t="shared" si="59"/>
        <v>0.74</v>
      </c>
      <c r="W134" s="49">
        <f t="shared" si="60"/>
        <v>7.5485643362097638E-3</v>
      </c>
      <c r="X134" s="44">
        <f t="shared" si="61"/>
        <v>2342.4247405127362</v>
      </c>
      <c r="Y134" s="44">
        <f t="shared" si="62"/>
        <v>11783.32</v>
      </c>
      <c r="Z134" s="44">
        <f t="shared" si="63"/>
        <v>14497.497745411347</v>
      </c>
      <c r="AA134" s="50">
        <f t="shared" si="64"/>
        <v>21925.744740512735</v>
      </c>
      <c r="AB134" s="51">
        <f t="shared" si="65"/>
        <v>13552.863181650318</v>
      </c>
      <c r="AC134" s="44">
        <f t="shared" si="66"/>
        <v>20497.097074425292</v>
      </c>
      <c r="AD134" s="44">
        <f t="shared" si="67"/>
        <v>4313.1969524384285</v>
      </c>
      <c r="AE134" s="44">
        <f t="shared" si="68"/>
        <v>0</v>
      </c>
      <c r="AF134" s="52">
        <f>HLOOKUP(I134,ElecAvoidedCostsWOCC!$A$5:$Q$50,G134+1,FALSE)</f>
        <v>3.4276422079642828</v>
      </c>
      <c r="AG134" s="44">
        <f t="shared" si="69"/>
        <v>71996.5620092053</v>
      </c>
      <c r="AH134" s="52">
        <f>HLOOKUP(I134,ElecAvoidedCostsWOCC!$A$5:$Q$50,T134+1,FALSE)</f>
        <v>3.4276422079642828</v>
      </c>
      <c r="AI134" s="44">
        <f t="shared" si="70"/>
        <v>0</v>
      </c>
      <c r="AJ134" s="44">
        <f t="shared" si="71"/>
        <v>71996.5620092053</v>
      </c>
      <c r="AK134" s="44">
        <f>HLOOKUP(I134,ElecAvoidedCostsWOCC!$A$5:$Q$50,G134+1,FALSE)*J134*L134</f>
        <v>0</v>
      </c>
      <c r="AL134" s="44">
        <f t="shared" si="72"/>
        <v>71996.5620092053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71996.5620092053</v>
      </c>
      <c r="AN134" s="48">
        <f t="shared" si="73"/>
        <v>83509.41516256427</v>
      </c>
      <c r="AO134" s="47">
        <f t="shared" si="74"/>
        <v>5.312276900034222</v>
      </c>
      <c r="AP134" s="47">
        <f t="shared" si="75"/>
        <v>4.0742069405896952</v>
      </c>
      <c r="AQ134">
        <v>2020</v>
      </c>
    </row>
    <row r="135" spans="2:43">
      <c r="B135" s="97" t="s">
        <v>15</v>
      </c>
      <c r="C135" s="61">
        <v>18230627</v>
      </c>
      <c r="D135" s="61" t="s">
        <v>80</v>
      </c>
      <c r="E135" s="38" t="s">
        <v>1965</v>
      </c>
      <c r="F135" s="39" t="s">
        <v>697</v>
      </c>
      <c r="G135" s="39">
        <v>30</v>
      </c>
      <c r="H135" s="39"/>
      <c r="I135" s="40" t="s">
        <v>269</v>
      </c>
      <c r="J135" s="41">
        <v>11691</v>
      </c>
      <c r="K135" s="41">
        <v>2.16</v>
      </c>
      <c r="L135" s="41"/>
      <c r="M135" s="42">
        <v>0.33</v>
      </c>
      <c r="N135" s="42">
        <v>1.24</v>
      </c>
      <c r="O135" s="43">
        <v>25252.560000000001</v>
      </c>
      <c r="P135" s="44">
        <v>6600</v>
      </c>
      <c r="Q135" s="44">
        <v>14496.84</v>
      </c>
      <c r="R135" s="45">
        <v>0.04</v>
      </c>
      <c r="S135" s="46">
        <v>0</v>
      </c>
      <c r="T135" s="39">
        <f t="shared" si="57"/>
        <v>30</v>
      </c>
      <c r="U135" s="47">
        <f t="shared" si="58"/>
        <v>0.27225430198779021</v>
      </c>
      <c r="V135" s="48">
        <f t="shared" si="59"/>
        <v>0.90999999999999992</v>
      </c>
      <c r="W135" s="49">
        <f t="shared" si="60"/>
        <v>9.075143399593007E-3</v>
      </c>
      <c r="X135" s="44">
        <f t="shared" si="61"/>
        <v>2816.1435043926999</v>
      </c>
      <c r="Y135" s="44">
        <f t="shared" si="62"/>
        <v>7896.84</v>
      </c>
      <c r="Z135" s="44">
        <f t="shared" si="63"/>
        <v>17429.389896535715</v>
      </c>
      <c r="AA135" s="50">
        <f t="shared" si="64"/>
        <v>17312.983504392701</v>
      </c>
      <c r="AB135" s="51">
        <f t="shared" si="65"/>
        <v>16293.717768099199</v>
      </c>
      <c r="AC135" s="44">
        <f t="shared" si="66"/>
        <v>16184.896236695055</v>
      </c>
      <c r="AD135" s="44">
        <f t="shared" si="67"/>
        <v>5820.4950776877249</v>
      </c>
      <c r="AE135" s="44">
        <f t="shared" si="68"/>
        <v>0</v>
      </c>
      <c r="AF135" s="52">
        <f>HLOOKUP(I135,ElecAvoidedCostsWOCC!$A$5:$Q$50,G135+1,FALSE)</f>
        <v>2.3666688857668672</v>
      </c>
      <c r="AG135" s="44">
        <f t="shared" si="69"/>
        <v>59764.448037960967</v>
      </c>
      <c r="AH135" s="52">
        <f>HLOOKUP(I135,ElecAvoidedCostsWOCC!$A$5:$Q$50,T135+1,FALSE)</f>
        <v>2.3666688857668672</v>
      </c>
      <c r="AI135" s="44">
        <f t="shared" si="70"/>
        <v>0</v>
      </c>
      <c r="AJ135" s="44">
        <f t="shared" si="71"/>
        <v>59764.448037960967</v>
      </c>
      <c r="AK135" s="44">
        <f>HLOOKUP(I135,ElecAvoidedCostsWOCC!$A$5:$Q$50,G135+1,FALSE)*J135*L135</f>
        <v>0</v>
      </c>
      <c r="AL135" s="44">
        <f t="shared" si="72"/>
        <v>59764.448037960967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59764.448037960967</v>
      </c>
      <c r="AN135" s="48">
        <f t="shared" si="73"/>
        <v>71561.387919444795</v>
      </c>
      <c r="AO135" s="47">
        <f t="shared" si="74"/>
        <v>3.6679442278650072</v>
      </c>
      <c r="AP135" s="47">
        <f t="shared" si="75"/>
        <v>4.421491918940939</v>
      </c>
      <c r="AQ135">
        <v>2020</v>
      </c>
    </row>
    <row r="136" spans="2:43">
      <c r="B136" s="97" t="s">
        <v>15</v>
      </c>
      <c r="C136" s="61">
        <v>18230627</v>
      </c>
      <c r="D136" s="61" t="s">
        <v>80</v>
      </c>
      <c r="E136" s="38" t="s">
        <v>696</v>
      </c>
      <c r="F136" s="39" t="s">
        <v>697</v>
      </c>
      <c r="G136" s="39">
        <v>45</v>
      </c>
      <c r="H136" s="39"/>
      <c r="I136" s="40" t="s">
        <v>269</v>
      </c>
      <c r="J136" s="41">
        <v>21546</v>
      </c>
      <c r="K136" s="41">
        <v>2.16</v>
      </c>
      <c r="L136" s="41"/>
      <c r="M136" s="42">
        <v>0.5</v>
      </c>
      <c r="N136" s="42">
        <v>1.24</v>
      </c>
      <c r="O136" s="43">
        <v>46539.360000000001</v>
      </c>
      <c r="P136" s="44">
        <v>13200</v>
      </c>
      <c r="Q136" s="44">
        <v>26717.040000000001</v>
      </c>
      <c r="R136" s="45">
        <v>0.04</v>
      </c>
      <c r="S136" s="46">
        <v>0</v>
      </c>
      <c r="T136" s="39">
        <f t="shared" si="57"/>
        <v>45</v>
      </c>
      <c r="U136" s="47">
        <f t="shared" si="58"/>
        <v>0.75262909810481504</v>
      </c>
      <c r="V136" s="48">
        <f t="shared" si="59"/>
        <v>0.74</v>
      </c>
      <c r="W136" s="49">
        <f t="shared" si="60"/>
        <v>1.672509106899589E-2</v>
      </c>
      <c r="X136" s="44">
        <f t="shared" si="61"/>
        <v>5190.0289064789258</v>
      </c>
      <c r="Y136" s="44">
        <f t="shared" si="62"/>
        <v>13517.04</v>
      </c>
      <c r="Z136" s="44">
        <f t="shared" si="63"/>
        <v>32121.600779296768</v>
      </c>
      <c r="AA136" s="50">
        <f t="shared" si="64"/>
        <v>31907.068906478926</v>
      </c>
      <c r="AB136" s="51">
        <f t="shared" si="65"/>
        <v>30028.606879776355</v>
      </c>
      <c r="AC136" s="44">
        <f t="shared" si="66"/>
        <v>29828.053572477256</v>
      </c>
      <c r="AD136" s="44">
        <f t="shared" si="67"/>
        <v>11768.776234691115</v>
      </c>
      <c r="AE136" s="44">
        <f t="shared" si="68"/>
        <v>0</v>
      </c>
      <c r="AF136" s="52">
        <f>HLOOKUP(I136,ElecAvoidedCostsWOCC!$A$5:$Q$50,G136+1,FALSE)</f>
        <v>3.4276422079642828</v>
      </c>
      <c r="AG136" s="44">
        <f t="shared" si="69"/>
        <v>159520.27466764461</v>
      </c>
      <c r="AH136" s="52">
        <f>HLOOKUP(I136,ElecAvoidedCostsWOCC!$A$5:$Q$50,T136+1,FALSE)</f>
        <v>3.4276422079642828</v>
      </c>
      <c r="AI136" s="44">
        <f t="shared" si="70"/>
        <v>0</v>
      </c>
      <c r="AJ136" s="44">
        <f t="shared" si="71"/>
        <v>159520.27466764461</v>
      </c>
      <c r="AK136" s="44">
        <f>HLOOKUP(I136,ElecAvoidedCostsWOCC!$A$5:$Q$50,G136+1,FALSE)*J136*L136</f>
        <v>0</v>
      </c>
      <c r="AL136" s="44">
        <f t="shared" si="72"/>
        <v>159520.27466764461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159520.27466764464</v>
      </c>
      <c r="AN136" s="48">
        <f t="shared" si="73"/>
        <v>187241.07836910023</v>
      </c>
      <c r="AO136" s="47">
        <f t="shared" si="74"/>
        <v>5.312276900034222</v>
      </c>
      <c r="AP136" s="47">
        <f t="shared" si="75"/>
        <v>6.2773481988737636</v>
      </c>
      <c r="AQ136">
        <v>2020</v>
      </c>
    </row>
    <row r="137" spans="2:43">
      <c r="B137" s="97" t="s">
        <v>15</v>
      </c>
      <c r="C137" s="61">
        <v>18230627</v>
      </c>
      <c r="D137" s="61" t="s">
        <v>80</v>
      </c>
      <c r="E137" s="38" t="s">
        <v>1966</v>
      </c>
      <c r="F137" s="39" t="s">
        <v>700</v>
      </c>
      <c r="G137" s="39">
        <v>30</v>
      </c>
      <c r="H137" s="39"/>
      <c r="I137" s="40" t="s">
        <v>269</v>
      </c>
      <c r="J137" s="41">
        <v>4024</v>
      </c>
      <c r="K137" s="41">
        <v>0.62</v>
      </c>
      <c r="L137" s="41"/>
      <c r="M137" s="42">
        <v>0.33</v>
      </c>
      <c r="N137" s="42">
        <v>1.0900000000000001</v>
      </c>
      <c r="O137" s="43">
        <v>2494.88</v>
      </c>
      <c r="P137" s="44">
        <v>1800</v>
      </c>
      <c r="Q137" s="44">
        <v>4386.16</v>
      </c>
      <c r="R137" s="45">
        <v>0.01</v>
      </c>
      <c r="S137" s="46">
        <v>0</v>
      </c>
      <c r="T137" s="39">
        <f t="shared" si="57"/>
        <v>30</v>
      </c>
      <c r="U137" s="47">
        <f t="shared" si="58"/>
        <v>2.6897938780990841E-2</v>
      </c>
      <c r="V137" s="48">
        <f t="shared" si="59"/>
        <v>0.76</v>
      </c>
      <c r="W137" s="49">
        <f t="shared" si="60"/>
        <v>8.9659795936636137E-4</v>
      </c>
      <c r="X137" s="44">
        <f t="shared" si="61"/>
        <v>278.22684536693544</v>
      </c>
      <c r="Y137" s="44">
        <f t="shared" si="62"/>
        <v>2586.16</v>
      </c>
      <c r="Z137" s="44">
        <f t="shared" si="63"/>
        <v>1721.9733866613533</v>
      </c>
      <c r="AA137" s="50">
        <f t="shared" si="64"/>
        <v>4664.3868453669356</v>
      </c>
      <c r="AB137" s="51">
        <f t="shared" si="65"/>
        <v>1609.772260130273</v>
      </c>
      <c r="AC137" s="44">
        <f t="shared" si="66"/>
        <v>4360.4626020070446</v>
      </c>
      <c r="AD137" s="44">
        <f t="shared" si="67"/>
        <v>500.84834899955956</v>
      </c>
      <c r="AE137" s="44">
        <f t="shared" si="68"/>
        <v>0</v>
      </c>
      <c r="AF137" s="52">
        <f>HLOOKUP(I137,ElecAvoidedCostsWOCC!$A$5:$Q$50,G137+1,FALSE)</f>
        <v>2.3666688857668672</v>
      </c>
      <c r="AG137" s="44">
        <f t="shared" si="69"/>
        <v>5904.554869722042</v>
      </c>
      <c r="AH137" s="52">
        <f>HLOOKUP(I137,ElecAvoidedCostsWOCC!$A$5:$Q$50,T137+1,FALSE)</f>
        <v>2.3666688857668672</v>
      </c>
      <c r="AI137" s="44">
        <f t="shared" si="70"/>
        <v>0</v>
      </c>
      <c r="AJ137" s="44">
        <f t="shared" si="71"/>
        <v>5904.554869722042</v>
      </c>
      <c r="AK137" s="44">
        <f>HLOOKUP(I137,ElecAvoidedCostsWOCC!$A$5:$Q$50,G137+1,FALSE)*J137*L137</f>
        <v>0</v>
      </c>
      <c r="AL137" s="44">
        <f t="shared" si="72"/>
        <v>5904.554869722042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5904.5548697220411</v>
      </c>
      <c r="AN137" s="48">
        <f t="shared" si="73"/>
        <v>6995.8587056938049</v>
      </c>
      <c r="AO137" s="47">
        <f t="shared" si="74"/>
        <v>3.6679442278650067</v>
      </c>
      <c r="AP137" s="47">
        <f t="shared" si="75"/>
        <v>1.6043845216041375</v>
      </c>
      <c r="AQ137">
        <v>2020</v>
      </c>
    </row>
    <row r="138" spans="2:43">
      <c r="B138" s="97" t="s">
        <v>15</v>
      </c>
      <c r="C138" s="61">
        <v>18230627</v>
      </c>
      <c r="D138" s="61" t="s">
        <v>80</v>
      </c>
      <c r="E138" s="38" t="s">
        <v>699</v>
      </c>
      <c r="F138" s="39" t="s">
        <v>700</v>
      </c>
      <c r="G138" s="39">
        <v>45</v>
      </c>
      <c r="H138" s="39"/>
      <c r="I138" s="40" t="s">
        <v>269</v>
      </c>
      <c r="J138" s="41">
        <v>49099</v>
      </c>
      <c r="K138" s="41">
        <v>0.62</v>
      </c>
      <c r="L138" s="41"/>
      <c r="M138" s="42">
        <v>0.5</v>
      </c>
      <c r="N138" s="42">
        <v>1.0900000000000001</v>
      </c>
      <c r="O138" s="43">
        <v>30441.38</v>
      </c>
      <c r="P138" s="44">
        <v>26105.919999999998</v>
      </c>
      <c r="Q138" s="44">
        <v>53517.91</v>
      </c>
      <c r="R138" s="45">
        <v>0.01</v>
      </c>
      <c r="S138" s="46">
        <v>0</v>
      </c>
      <c r="T138" s="39">
        <f t="shared" si="57"/>
        <v>45</v>
      </c>
      <c r="U138" s="47">
        <f t="shared" si="58"/>
        <v>0.49229444441148212</v>
      </c>
      <c r="V138" s="48">
        <f t="shared" si="59"/>
        <v>0.59000000000000008</v>
      </c>
      <c r="W138" s="49">
        <f t="shared" si="60"/>
        <v>1.093987654247738E-2</v>
      </c>
      <c r="X138" s="44">
        <f t="shared" si="61"/>
        <v>3394.7961930097326</v>
      </c>
      <c r="Y138" s="44">
        <f t="shared" si="62"/>
        <v>27411.990000000005</v>
      </c>
      <c r="Z138" s="44">
        <f t="shared" si="63"/>
        <v>21010.728457178378</v>
      </c>
      <c r="AA138" s="50">
        <f t="shared" si="64"/>
        <v>56912.706193009733</v>
      </c>
      <c r="AB138" s="51">
        <f t="shared" si="65"/>
        <v>19641.70183900007</v>
      </c>
      <c r="AC138" s="44">
        <f t="shared" si="66"/>
        <v>53204.362151079491</v>
      </c>
      <c r="AD138" s="44">
        <f t="shared" si="67"/>
        <v>6704.6684343625157</v>
      </c>
      <c r="AE138" s="44">
        <f t="shared" si="68"/>
        <v>0</v>
      </c>
      <c r="AF138" s="52">
        <f>HLOOKUP(I138,ElecAvoidedCostsWOCC!$A$5:$Q$50,G138+1,FALSE)</f>
        <v>3.4276422079642828</v>
      </c>
      <c r="AG138" s="44">
        <f t="shared" si="69"/>
        <v>104342.15895667975</v>
      </c>
      <c r="AH138" s="52">
        <f>HLOOKUP(I138,ElecAvoidedCostsWOCC!$A$5:$Q$50,T138+1,FALSE)</f>
        <v>3.4276422079642828</v>
      </c>
      <c r="AI138" s="44">
        <f t="shared" si="70"/>
        <v>0</v>
      </c>
      <c r="AJ138" s="44">
        <f t="shared" si="71"/>
        <v>104342.15895667975</v>
      </c>
      <c r="AK138" s="44">
        <f>HLOOKUP(I138,ElecAvoidedCostsWOCC!$A$5:$Q$50,G138+1,FALSE)*J138*L138</f>
        <v>0</v>
      </c>
      <c r="AL138" s="44">
        <f t="shared" si="72"/>
        <v>104342.15895667975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104342.15895667976</v>
      </c>
      <c r="AN138" s="48">
        <f t="shared" si="73"/>
        <v>121481.04328671026</v>
      </c>
      <c r="AO138" s="47">
        <f t="shared" si="74"/>
        <v>5.3122769000342211</v>
      </c>
      <c r="AP138" s="47">
        <f t="shared" si="75"/>
        <v>2.2832910380872873</v>
      </c>
      <c r="AQ138">
        <v>2020</v>
      </c>
    </row>
    <row r="139" spans="2:43">
      <c r="B139" s="97" t="s">
        <v>15</v>
      </c>
      <c r="C139" s="61">
        <v>18230627</v>
      </c>
      <c r="D139" s="61" t="s">
        <v>80</v>
      </c>
      <c r="E139" s="38" t="s">
        <v>1968</v>
      </c>
      <c r="F139" s="39" t="s">
        <v>706</v>
      </c>
      <c r="G139" s="39">
        <v>30</v>
      </c>
      <c r="H139" s="39"/>
      <c r="I139" s="40" t="s">
        <v>269</v>
      </c>
      <c r="J139" s="41">
        <v>6723</v>
      </c>
      <c r="K139" s="41">
        <v>0.26</v>
      </c>
      <c r="L139" s="41"/>
      <c r="M139" s="42">
        <v>0.33</v>
      </c>
      <c r="N139" s="42">
        <v>1.0900000000000001</v>
      </c>
      <c r="O139" s="43">
        <v>1747.98</v>
      </c>
      <c r="P139" s="44">
        <v>3298.25</v>
      </c>
      <c r="Q139" s="44">
        <v>7328.07</v>
      </c>
      <c r="R139" s="45">
        <v>0.02</v>
      </c>
      <c r="S139" s="46">
        <v>0</v>
      </c>
      <c r="T139" s="39">
        <f t="shared" si="57"/>
        <v>30</v>
      </c>
      <c r="U139" s="47">
        <f t="shared" si="58"/>
        <v>1.8845419030332669E-2</v>
      </c>
      <c r="V139" s="48">
        <f t="shared" si="59"/>
        <v>0.76</v>
      </c>
      <c r="W139" s="49">
        <f t="shared" si="60"/>
        <v>6.2818063434442225E-4</v>
      </c>
      <c r="X139" s="44">
        <f t="shared" si="61"/>
        <v>194.93320767511696</v>
      </c>
      <c r="Y139" s="44">
        <f t="shared" si="62"/>
        <v>4029.8199999999997</v>
      </c>
      <c r="Z139" s="44">
        <f t="shared" si="63"/>
        <v>1206.4608479831945</v>
      </c>
      <c r="AA139" s="50">
        <f t="shared" si="64"/>
        <v>7523.0032076751168</v>
      </c>
      <c r="AB139" s="51">
        <f t="shared" si="65"/>
        <v>1127.8497223363509</v>
      </c>
      <c r="AC139" s="44">
        <f t="shared" si="66"/>
        <v>7032.815936874933</v>
      </c>
      <c r="AD139" s="44">
        <f t="shared" si="67"/>
        <v>1673.5603629841148</v>
      </c>
      <c r="AE139" s="44">
        <f t="shared" si="68"/>
        <v>0</v>
      </c>
      <c r="AF139" s="52">
        <f>HLOOKUP(I139,ElecAvoidedCostsWOCC!$A$5:$Q$50,G139+1,FALSE)</f>
        <v>2.3666688857668672</v>
      </c>
      <c r="AG139" s="44">
        <f t="shared" si="69"/>
        <v>4136.8898789427685</v>
      </c>
      <c r="AH139" s="52">
        <f>HLOOKUP(I139,ElecAvoidedCostsWOCC!$A$5:$Q$50,T139+1,FALSE)</f>
        <v>2.3666688857668672</v>
      </c>
      <c r="AI139" s="44">
        <f t="shared" si="70"/>
        <v>0</v>
      </c>
      <c r="AJ139" s="44">
        <f t="shared" si="71"/>
        <v>4136.8898789427685</v>
      </c>
      <c r="AK139" s="44">
        <f>HLOOKUP(I139,ElecAvoidedCostsWOCC!$A$5:$Q$50,G139+1,FALSE)*J139*L139</f>
        <v>0</v>
      </c>
      <c r="AL139" s="44">
        <f t="shared" si="72"/>
        <v>4136.8898789427685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4136.8898789427685</v>
      </c>
      <c r="AN139" s="48">
        <f t="shared" si="73"/>
        <v>6224.1392298211613</v>
      </c>
      <c r="AO139" s="47">
        <f t="shared" si="74"/>
        <v>3.6679442278650067</v>
      </c>
      <c r="AP139" s="47">
        <f t="shared" si="75"/>
        <v>0.88501381035529969</v>
      </c>
      <c r="AQ139">
        <v>2020</v>
      </c>
    </row>
    <row r="140" spans="2:43">
      <c r="B140" s="97" t="s">
        <v>15</v>
      </c>
      <c r="C140" s="61">
        <v>18230627</v>
      </c>
      <c r="D140" s="61" t="s">
        <v>80</v>
      </c>
      <c r="E140" s="38" t="s">
        <v>705</v>
      </c>
      <c r="F140" s="39" t="s">
        <v>706</v>
      </c>
      <c r="G140" s="39">
        <v>45</v>
      </c>
      <c r="H140" s="39"/>
      <c r="I140" s="40" t="s">
        <v>269</v>
      </c>
      <c r="J140" s="41">
        <v>28099</v>
      </c>
      <c r="K140" s="41">
        <v>0.26</v>
      </c>
      <c r="L140" s="41"/>
      <c r="M140" s="42">
        <v>0.5</v>
      </c>
      <c r="N140" s="42">
        <v>1.0900000000000001</v>
      </c>
      <c r="O140" s="43">
        <v>7305.74</v>
      </c>
      <c r="P140" s="44">
        <v>13675.19</v>
      </c>
      <c r="Q140" s="44">
        <v>30627.91</v>
      </c>
      <c r="R140" s="45">
        <v>0.02</v>
      </c>
      <c r="S140" s="46">
        <v>0</v>
      </c>
      <c r="T140" s="39">
        <f t="shared" si="57"/>
        <v>45</v>
      </c>
      <c r="U140" s="47">
        <f t="shared" si="58"/>
        <v>0.11814757459467151</v>
      </c>
      <c r="V140" s="48">
        <f t="shared" si="59"/>
        <v>0.59000000000000008</v>
      </c>
      <c r="W140" s="49">
        <f t="shared" si="60"/>
        <v>2.6255016576593668E-3</v>
      </c>
      <c r="X140" s="44">
        <f t="shared" si="61"/>
        <v>814.72976386480912</v>
      </c>
      <c r="Y140" s="44">
        <f t="shared" si="62"/>
        <v>16952.72</v>
      </c>
      <c r="Z140" s="44">
        <f t="shared" si="63"/>
        <v>5042.4428629302074</v>
      </c>
      <c r="AA140" s="50">
        <f t="shared" si="64"/>
        <v>31442.639763864809</v>
      </c>
      <c r="AB140" s="51">
        <f t="shared" si="65"/>
        <v>4713.885073319816</v>
      </c>
      <c r="AC140" s="44">
        <f t="shared" si="66"/>
        <v>29393.885915550909</v>
      </c>
      <c r="AD140" s="44">
        <f t="shared" si="67"/>
        <v>7674.0657991874505</v>
      </c>
      <c r="AE140" s="44">
        <f t="shared" si="68"/>
        <v>0</v>
      </c>
      <c r="AF140" s="52">
        <f>HLOOKUP(I140,ElecAvoidedCostsWOCC!$A$5:$Q$50,G140+1,FALSE)</f>
        <v>3.4276422079642828</v>
      </c>
      <c r="AG140" s="44">
        <f t="shared" si="69"/>
        <v>25041.462784412979</v>
      </c>
      <c r="AH140" s="52">
        <f>HLOOKUP(I140,ElecAvoidedCostsWOCC!$A$5:$Q$50,T140+1,FALSE)</f>
        <v>3.4276422079642828</v>
      </c>
      <c r="AI140" s="44">
        <f t="shared" si="70"/>
        <v>0</v>
      </c>
      <c r="AJ140" s="44">
        <f t="shared" si="71"/>
        <v>25041.462784412979</v>
      </c>
      <c r="AK140" s="44">
        <f>HLOOKUP(I140,ElecAvoidedCostsWOCC!$A$5:$Q$50,G140+1,FALSE)*J140*L140</f>
        <v>0</v>
      </c>
      <c r="AL140" s="44">
        <f t="shared" si="72"/>
        <v>25041.462784412979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25041.462784412979</v>
      </c>
      <c r="AN140" s="48">
        <f t="shared" si="73"/>
        <v>35219.674862041735</v>
      </c>
      <c r="AO140" s="47">
        <f t="shared" si="74"/>
        <v>5.3122769000342211</v>
      </c>
      <c r="AP140" s="47">
        <f t="shared" si="75"/>
        <v>1.1981973041342138</v>
      </c>
      <c r="AQ140">
        <v>2020</v>
      </c>
    </row>
    <row r="141" spans="2:43">
      <c r="B141" s="97" t="s">
        <v>15</v>
      </c>
      <c r="C141" s="61">
        <v>18230627</v>
      </c>
      <c r="D141" s="61" t="s">
        <v>80</v>
      </c>
      <c r="E141" s="38" t="s">
        <v>1969</v>
      </c>
      <c r="F141" s="39" t="s">
        <v>709</v>
      </c>
      <c r="G141" s="39">
        <v>30</v>
      </c>
      <c r="H141" s="39"/>
      <c r="I141" s="40" t="s">
        <v>269</v>
      </c>
      <c r="J141" s="41">
        <v>5241</v>
      </c>
      <c r="K141" s="41">
        <v>0.44</v>
      </c>
      <c r="L141" s="41"/>
      <c r="M141" s="42">
        <v>0.33</v>
      </c>
      <c r="N141" s="42">
        <v>1.0900000000000001</v>
      </c>
      <c r="O141" s="43">
        <v>2306.04</v>
      </c>
      <c r="P141" s="44">
        <v>3166.94</v>
      </c>
      <c r="Q141" s="44">
        <v>5712.69</v>
      </c>
      <c r="R141" s="45">
        <v>0.01</v>
      </c>
      <c r="S141" s="46">
        <v>0</v>
      </c>
      <c r="T141" s="39">
        <f t="shared" si="57"/>
        <v>30</v>
      </c>
      <c r="U141" s="47">
        <f t="shared" si="58"/>
        <v>2.4862006487893652E-2</v>
      </c>
      <c r="V141" s="48">
        <f t="shared" si="59"/>
        <v>0.76</v>
      </c>
      <c r="W141" s="49">
        <f t="shared" si="60"/>
        <v>8.2873354959645505E-4</v>
      </c>
      <c r="X141" s="44">
        <f t="shared" si="61"/>
        <v>257.16757298546133</v>
      </c>
      <c r="Y141" s="44">
        <f t="shared" si="62"/>
        <v>2545.7499999999995</v>
      </c>
      <c r="Z141" s="44">
        <f t="shared" si="63"/>
        <v>1591.6354728790752</v>
      </c>
      <c r="AA141" s="50">
        <f t="shared" si="64"/>
        <v>5969.857572985461</v>
      </c>
      <c r="AB141" s="51">
        <f t="shared" si="65"/>
        <v>1487.9269635216183</v>
      </c>
      <c r="AC141" s="44">
        <f t="shared" si="66"/>
        <v>5580.8708731284105</v>
      </c>
      <c r="AD141" s="44">
        <f t="shared" si="67"/>
        <v>652.32261359510233</v>
      </c>
      <c r="AE141" s="44">
        <f t="shared" si="68"/>
        <v>0</v>
      </c>
      <c r="AF141" s="52">
        <f>HLOOKUP(I141,ElecAvoidedCostsWOCC!$A$5:$Q$50,G141+1,FALSE)</f>
        <v>2.3666688857668672</v>
      </c>
      <c r="AG141" s="44">
        <f t="shared" si="69"/>
        <v>5457.6331173338267</v>
      </c>
      <c r="AH141" s="52">
        <f>HLOOKUP(I141,ElecAvoidedCostsWOCC!$A$5:$Q$50,T141+1,FALSE)</f>
        <v>2.3666688857668672</v>
      </c>
      <c r="AI141" s="44">
        <f t="shared" si="70"/>
        <v>0</v>
      </c>
      <c r="AJ141" s="44">
        <f t="shared" si="71"/>
        <v>5457.6331173338267</v>
      </c>
      <c r="AK141" s="44">
        <f>HLOOKUP(I141,ElecAvoidedCostsWOCC!$A$5:$Q$50,G141+1,FALSE)*J141*L141</f>
        <v>0</v>
      </c>
      <c r="AL141" s="44">
        <f t="shared" si="72"/>
        <v>5457.6331173338267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5457.6331173338258</v>
      </c>
      <c r="AN141" s="48">
        <f t="shared" si="73"/>
        <v>6655.7190426623119</v>
      </c>
      <c r="AO141" s="47">
        <f t="shared" si="74"/>
        <v>3.6679442278650063</v>
      </c>
      <c r="AP141" s="47">
        <f t="shared" si="75"/>
        <v>1.1925950615896235</v>
      </c>
      <c r="AQ141">
        <v>2020</v>
      </c>
    </row>
    <row r="142" spans="2:43">
      <c r="B142" s="97" t="s">
        <v>15</v>
      </c>
      <c r="C142" s="61">
        <v>18230627</v>
      </c>
      <c r="D142" s="61" t="s">
        <v>80</v>
      </c>
      <c r="E142" s="38" t="s">
        <v>708</v>
      </c>
      <c r="F142" s="39" t="s">
        <v>709</v>
      </c>
      <c r="G142" s="39">
        <v>45</v>
      </c>
      <c r="H142" s="39"/>
      <c r="I142" s="40" t="s">
        <v>269</v>
      </c>
      <c r="J142" s="41">
        <v>32825</v>
      </c>
      <c r="K142" s="41">
        <v>0.44</v>
      </c>
      <c r="L142" s="41"/>
      <c r="M142" s="42">
        <v>0.5</v>
      </c>
      <c r="N142" s="42">
        <v>1.0900000000000001</v>
      </c>
      <c r="O142" s="43">
        <v>14443</v>
      </c>
      <c r="P142" s="44">
        <v>18862.68</v>
      </c>
      <c r="Q142" s="44">
        <v>35779.25</v>
      </c>
      <c r="R142" s="45">
        <v>0.01</v>
      </c>
      <c r="S142" s="46">
        <v>0</v>
      </c>
      <c r="T142" s="39">
        <f t="shared" si="57"/>
        <v>45</v>
      </c>
      <c r="U142" s="47">
        <f t="shared" si="58"/>
        <v>0.23357051029339129</v>
      </c>
      <c r="V142" s="48">
        <f t="shared" si="59"/>
        <v>0.59000000000000008</v>
      </c>
      <c r="W142" s="49">
        <f t="shared" si="60"/>
        <v>5.1904557842975844E-3</v>
      </c>
      <c r="X142" s="44">
        <f t="shared" si="61"/>
        <v>1610.6707848211734</v>
      </c>
      <c r="Y142" s="44">
        <f t="shared" si="62"/>
        <v>16916.57</v>
      </c>
      <c r="Z142" s="44">
        <f t="shared" si="63"/>
        <v>9968.6003429222765</v>
      </c>
      <c r="AA142" s="50">
        <f t="shared" si="64"/>
        <v>37389.920784821174</v>
      </c>
      <c r="AB142" s="51">
        <f t="shared" si="65"/>
        <v>9319.0617396674534</v>
      </c>
      <c r="AC142" s="44">
        <f t="shared" si="66"/>
        <v>34953.651289914153</v>
      </c>
      <c r="AD142" s="44">
        <f t="shared" si="67"/>
        <v>4482.3874489897871</v>
      </c>
      <c r="AE142" s="44">
        <f t="shared" si="68"/>
        <v>0</v>
      </c>
      <c r="AF142" s="52">
        <f>HLOOKUP(I142,ElecAvoidedCostsWOCC!$A$5:$Q$50,G142+1,FALSE)</f>
        <v>3.4276422079642828</v>
      </c>
      <c r="AG142" s="44">
        <f t="shared" si="69"/>
        <v>49505.436409628135</v>
      </c>
      <c r="AH142" s="52">
        <f>HLOOKUP(I142,ElecAvoidedCostsWOCC!$A$5:$Q$50,T142+1,FALSE)</f>
        <v>3.4276422079642828</v>
      </c>
      <c r="AI142" s="44">
        <f t="shared" si="70"/>
        <v>0</v>
      </c>
      <c r="AJ142" s="44">
        <f t="shared" si="71"/>
        <v>49505.436409628135</v>
      </c>
      <c r="AK142" s="44">
        <f>HLOOKUP(I142,ElecAvoidedCostsWOCC!$A$5:$Q$50,G142+1,FALSE)*J142*L142</f>
        <v>0</v>
      </c>
      <c r="AL142" s="44">
        <f t="shared" si="72"/>
        <v>49505.436409628135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49505.436409628135</v>
      </c>
      <c r="AN142" s="48">
        <f t="shared" si="73"/>
        <v>58938.367499580738</v>
      </c>
      <c r="AO142" s="47">
        <f t="shared" si="74"/>
        <v>5.3122769000342211</v>
      </c>
      <c r="AP142" s="47">
        <f t="shared" si="75"/>
        <v>1.6861862873990321</v>
      </c>
      <c r="AQ142">
        <v>2020</v>
      </c>
    </row>
    <row r="143" spans="2:43">
      <c r="B143" s="97" t="s">
        <v>15</v>
      </c>
      <c r="C143" s="61">
        <v>18230627</v>
      </c>
      <c r="D143" s="61" t="s">
        <v>80</v>
      </c>
      <c r="E143" s="38" t="s">
        <v>1971</v>
      </c>
      <c r="F143" s="39" t="s">
        <v>715</v>
      </c>
      <c r="G143" s="39">
        <v>25</v>
      </c>
      <c r="H143" s="39"/>
      <c r="I143" s="40" t="s">
        <v>269</v>
      </c>
      <c r="J143" s="41">
        <v>6818</v>
      </c>
      <c r="K143" s="41">
        <v>0.46</v>
      </c>
      <c r="L143" s="41"/>
      <c r="M143" s="42">
        <v>1.39</v>
      </c>
      <c r="N143" s="42">
        <v>1.39</v>
      </c>
      <c r="O143" s="43">
        <v>3136.28</v>
      </c>
      <c r="P143" s="44">
        <v>7137</v>
      </c>
      <c r="Q143" s="44">
        <v>9477.02</v>
      </c>
      <c r="R143" s="45">
        <v>0</v>
      </c>
      <c r="S143" s="46">
        <v>0</v>
      </c>
      <c r="T143" s="39">
        <f t="shared" si="57"/>
        <v>25</v>
      </c>
      <c r="U143" s="47">
        <f t="shared" si="58"/>
        <v>2.8177530061581437E-2</v>
      </c>
      <c r="V143" s="48">
        <f t="shared" si="59"/>
        <v>0</v>
      </c>
      <c r="W143" s="49">
        <f t="shared" si="60"/>
        <v>1.1271012024632575E-3</v>
      </c>
      <c r="X143" s="44">
        <f t="shared" si="61"/>
        <v>349.75521491511108</v>
      </c>
      <c r="Y143" s="44">
        <f t="shared" si="62"/>
        <v>2340.0200000000004</v>
      </c>
      <c r="Z143" s="44">
        <f t="shared" si="63"/>
        <v>2164.6695204251382</v>
      </c>
      <c r="AA143" s="50">
        <f t="shared" si="64"/>
        <v>9826.7752149151111</v>
      </c>
      <c r="AB143" s="51">
        <f t="shared" si="65"/>
        <v>2023.6229974994278</v>
      </c>
      <c r="AC143" s="44">
        <f t="shared" si="66"/>
        <v>9186.4777179724315</v>
      </c>
      <c r="AD143" s="44">
        <f t="shared" si="67"/>
        <v>0</v>
      </c>
      <c r="AE143" s="44">
        <f t="shared" si="68"/>
        <v>0</v>
      </c>
      <c r="AF143" s="52">
        <f>HLOOKUP(I143,ElecAvoidedCostsWOCC!$A$5:$Q$50,G143+1,FALSE)</f>
        <v>2.0508206305871441</v>
      </c>
      <c r="AG143" s="44">
        <f t="shared" si="69"/>
        <v>6431.9477272978493</v>
      </c>
      <c r="AH143" s="52">
        <f>HLOOKUP(I143,ElecAvoidedCostsWOCC!$A$5:$Q$50,T143+1,FALSE)</f>
        <v>2.0508206305871441</v>
      </c>
      <c r="AI143" s="44">
        <f t="shared" si="70"/>
        <v>0</v>
      </c>
      <c r="AJ143" s="44">
        <f t="shared" si="71"/>
        <v>6431.9477272978493</v>
      </c>
      <c r="AK143" s="44">
        <f>HLOOKUP(I143,ElecAvoidedCostsWOCC!$A$5:$Q$50,G143+1,FALSE)*J143*L143</f>
        <v>0</v>
      </c>
      <c r="AL143" s="44">
        <f t="shared" si="72"/>
        <v>6431.9477272978493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6431.9477272978484</v>
      </c>
      <c r="AN143" s="48">
        <f t="shared" si="73"/>
        <v>7075.142500027634</v>
      </c>
      <c r="AO143" s="47">
        <f t="shared" si="74"/>
        <v>3.1784318201788309</v>
      </c>
      <c r="AP143" s="47">
        <f t="shared" si="75"/>
        <v>0.77016923321827913</v>
      </c>
      <c r="AQ143">
        <v>2020</v>
      </c>
    </row>
    <row r="144" spans="2:43">
      <c r="B144" s="97" t="s">
        <v>15</v>
      </c>
      <c r="C144" s="61">
        <v>18230627</v>
      </c>
      <c r="D144" s="61" t="s">
        <v>80</v>
      </c>
      <c r="E144" s="38" t="s">
        <v>716</v>
      </c>
      <c r="F144" s="39" t="s">
        <v>717</v>
      </c>
      <c r="G144" s="39">
        <v>25</v>
      </c>
      <c r="H144" s="39"/>
      <c r="I144" s="40" t="s">
        <v>269</v>
      </c>
      <c r="J144" s="41">
        <v>28655</v>
      </c>
      <c r="K144" s="41">
        <v>0.46</v>
      </c>
      <c r="L144" s="41"/>
      <c r="M144" s="42">
        <v>1.39</v>
      </c>
      <c r="N144" s="42">
        <v>1.39</v>
      </c>
      <c r="O144" s="43">
        <v>13181.3</v>
      </c>
      <c r="P144" s="44">
        <v>27600</v>
      </c>
      <c r="Q144" s="44">
        <v>39830.449999999997</v>
      </c>
      <c r="R144" s="45">
        <v>0</v>
      </c>
      <c r="S144" s="46">
        <v>0</v>
      </c>
      <c r="T144" s="39">
        <f t="shared" si="57"/>
        <v>25</v>
      </c>
      <c r="U144" s="47">
        <f t="shared" si="58"/>
        <v>0.11842580286222</v>
      </c>
      <c r="V144" s="48">
        <f t="shared" si="59"/>
        <v>0</v>
      </c>
      <c r="W144" s="49">
        <f t="shared" si="60"/>
        <v>4.7370321144887999E-3</v>
      </c>
      <c r="X144" s="44">
        <f t="shared" si="61"/>
        <v>1469.9670993535503</v>
      </c>
      <c r="Y144" s="44">
        <f t="shared" si="62"/>
        <v>12230.449999999997</v>
      </c>
      <c r="Z144" s="44">
        <f t="shared" si="63"/>
        <v>9097.7713563775797</v>
      </c>
      <c r="AA144" s="50">
        <f t="shared" si="64"/>
        <v>41300.417099353544</v>
      </c>
      <c r="AB144" s="51">
        <f t="shared" si="65"/>
        <v>8504.9746250140961</v>
      </c>
      <c r="AC144" s="44">
        <f t="shared" si="66"/>
        <v>38609.345703798768</v>
      </c>
      <c r="AD144" s="44">
        <f t="shared" si="67"/>
        <v>0</v>
      </c>
      <c r="AE144" s="44">
        <f t="shared" si="68"/>
        <v>0</v>
      </c>
      <c r="AF144" s="52">
        <f>HLOOKUP(I144,ElecAvoidedCostsWOCC!$A$5:$Q$50,G144+1,FALSE)</f>
        <v>2.0508206305871441</v>
      </c>
      <c r="AG144" s="44">
        <f t="shared" si="69"/>
        <v>27032.481977958323</v>
      </c>
      <c r="AH144" s="52">
        <f>HLOOKUP(I144,ElecAvoidedCostsWOCC!$A$5:$Q$50,T144+1,FALSE)</f>
        <v>2.0508206305871441</v>
      </c>
      <c r="AI144" s="44">
        <f t="shared" si="70"/>
        <v>0</v>
      </c>
      <c r="AJ144" s="44">
        <f t="shared" si="71"/>
        <v>27032.481977958323</v>
      </c>
      <c r="AK144" s="44">
        <f>HLOOKUP(I144,ElecAvoidedCostsWOCC!$A$5:$Q$50,G144+1,FALSE)*J144*L144</f>
        <v>0</v>
      </c>
      <c r="AL144" s="44">
        <f t="shared" si="72"/>
        <v>27032.481977958323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27032.481977958323</v>
      </c>
      <c r="AN144" s="48">
        <f t="shared" si="73"/>
        <v>29735.730175754157</v>
      </c>
      <c r="AO144" s="47">
        <f t="shared" si="74"/>
        <v>3.1784318201788309</v>
      </c>
      <c r="AP144" s="47">
        <f t="shared" si="75"/>
        <v>0.77016923321827913</v>
      </c>
      <c r="AQ144">
        <v>2020</v>
      </c>
    </row>
    <row r="145" spans="2:43">
      <c r="B145" s="97" t="s">
        <v>15</v>
      </c>
      <c r="C145" s="61">
        <v>18230627</v>
      </c>
      <c r="D145" s="61" t="s">
        <v>80</v>
      </c>
      <c r="E145" s="38" t="s">
        <v>1973</v>
      </c>
      <c r="F145" s="39" t="s">
        <v>722</v>
      </c>
      <c r="G145" s="39">
        <v>30</v>
      </c>
      <c r="H145" s="39"/>
      <c r="I145" s="40" t="s">
        <v>269</v>
      </c>
      <c r="J145" s="41">
        <v>21571</v>
      </c>
      <c r="K145" s="41">
        <v>1</v>
      </c>
      <c r="L145" s="41"/>
      <c r="M145" s="42">
        <v>0.11</v>
      </c>
      <c r="N145" s="42">
        <v>1.46</v>
      </c>
      <c r="O145" s="43">
        <v>21571</v>
      </c>
      <c r="P145" s="44">
        <v>4000</v>
      </c>
      <c r="Q145" s="44">
        <v>31493.66</v>
      </c>
      <c r="R145" s="45">
        <v>0.02</v>
      </c>
      <c r="S145" s="46">
        <v>0</v>
      </c>
      <c r="T145" s="39">
        <f t="shared" si="57"/>
        <v>30</v>
      </c>
      <c r="U145" s="47">
        <f t="shared" si="58"/>
        <v>0.2325624629019245</v>
      </c>
      <c r="V145" s="48">
        <f t="shared" si="59"/>
        <v>1.3499999999999999</v>
      </c>
      <c r="W145" s="49">
        <f t="shared" si="60"/>
        <v>7.7520820967308165E-3</v>
      </c>
      <c r="X145" s="44">
        <f t="shared" si="61"/>
        <v>2405.5791386400006</v>
      </c>
      <c r="Y145" s="44">
        <f t="shared" si="62"/>
        <v>27493.66</v>
      </c>
      <c r="Z145" s="44">
        <f t="shared" si="63"/>
        <v>14888.366544151242</v>
      </c>
      <c r="AA145" s="50">
        <f t="shared" si="64"/>
        <v>33899.239138639998</v>
      </c>
      <c r="AB145" s="51">
        <f t="shared" si="65"/>
        <v>13918.263573105769</v>
      </c>
      <c r="AC145" s="44">
        <f t="shared" si="66"/>
        <v>31690.41706893521</v>
      </c>
      <c r="AD145" s="44">
        <f t="shared" si="67"/>
        <v>5369.6817774699302</v>
      </c>
      <c r="AE145" s="44">
        <f t="shared" si="68"/>
        <v>0</v>
      </c>
      <c r="AF145" s="52">
        <f>HLOOKUP(I145,ElecAvoidedCostsWOCC!$A$5:$Q$50,G145+1,FALSE)</f>
        <v>2.3666688857668672</v>
      </c>
      <c r="AG145" s="44">
        <f t="shared" si="69"/>
        <v>51051.414534877091</v>
      </c>
      <c r="AH145" s="52">
        <f>HLOOKUP(I145,ElecAvoidedCostsWOCC!$A$5:$Q$50,T145+1,FALSE)</f>
        <v>2.3666688857668672</v>
      </c>
      <c r="AI145" s="44">
        <f t="shared" si="70"/>
        <v>0</v>
      </c>
      <c r="AJ145" s="44">
        <f t="shared" si="71"/>
        <v>51051.414534877091</v>
      </c>
      <c r="AK145" s="44">
        <f>HLOOKUP(I145,ElecAvoidedCostsWOCC!$A$5:$Q$50,G145+1,FALSE)*J145*L145</f>
        <v>0</v>
      </c>
      <c r="AL145" s="44">
        <f t="shared" si="72"/>
        <v>51051.414534877091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51051.414534877091</v>
      </c>
      <c r="AN145" s="48">
        <f t="shared" si="73"/>
        <v>61526.237765834732</v>
      </c>
      <c r="AO145" s="47">
        <f t="shared" si="74"/>
        <v>3.6679442278650067</v>
      </c>
      <c r="AP145" s="47">
        <f t="shared" si="75"/>
        <v>1.9414776912528025</v>
      </c>
      <c r="AQ145">
        <v>2020</v>
      </c>
    </row>
    <row r="146" spans="2:43">
      <c r="B146" s="97" t="s">
        <v>15</v>
      </c>
      <c r="C146" s="61">
        <v>18230627</v>
      </c>
      <c r="D146" s="61" t="s">
        <v>80</v>
      </c>
      <c r="E146" s="38" t="s">
        <v>721</v>
      </c>
      <c r="F146" s="39" t="s">
        <v>722</v>
      </c>
      <c r="G146" s="39">
        <v>45</v>
      </c>
      <c r="H146" s="39"/>
      <c r="I146" s="40" t="s">
        <v>269</v>
      </c>
      <c r="J146" s="41">
        <v>88134</v>
      </c>
      <c r="K146" s="41">
        <v>1</v>
      </c>
      <c r="L146" s="41"/>
      <c r="M146" s="42">
        <v>0.25</v>
      </c>
      <c r="N146" s="42">
        <v>1.46</v>
      </c>
      <c r="O146" s="43">
        <v>88134</v>
      </c>
      <c r="P146" s="44">
        <v>15400</v>
      </c>
      <c r="Q146" s="44">
        <v>128675.64</v>
      </c>
      <c r="R146" s="45">
        <v>0.02</v>
      </c>
      <c r="S146" s="46">
        <v>0</v>
      </c>
      <c r="T146" s="39">
        <f t="shared" si="57"/>
        <v>45</v>
      </c>
      <c r="U146" s="47">
        <f t="shared" si="58"/>
        <v>1.4252927614898392</v>
      </c>
      <c r="V146" s="48">
        <f t="shared" si="59"/>
        <v>1.21</v>
      </c>
      <c r="W146" s="49">
        <f t="shared" si="60"/>
        <v>3.1673172477551984E-2</v>
      </c>
      <c r="X146" s="44">
        <f t="shared" si="61"/>
        <v>9828.6269438087165</v>
      </c>
      <c r="Y146" s="44">
        <f t="shared" si="62"/>
        <v>113275.64</v>
      </c>
      <c r="Z146" s="44">
        <f t="shared" si="63"/>
        <v>60830.341523444702</v>
      </c>
      <c r="AA146" s="50">
        <f t="shared" si="64"/>
        <v>138504.2669438087</v>
      </c>
      <c r="AB146" s="51">
        <f t="shared" si="65"/>
        <v>56866.730413615682</v>
      </c>
      <c r="AC146" s="44">
        <f t="shared" si="66"/>
        <v>129479.54280995484</v>
      </c>
      <c r="AD146" s="44">
        <f t="shared" si="67"/>
        <v>24070.113354410718</v>
      </c>
      <c r="AE146" s="44">
        <f t="shared" si="68"/>
        <v>0</v>
      </c>
      <c r="AF146" s="52">
        <f>HLOOKUP(I146,ElecAvoidedCostsWOCC!$A$5:$Q$50,G146+1,FALSE)</f>
        <v>3.4276422079642828</v>
      </c>
      <c r="AG146" s="44">
        <f t="shared" si="69"/>
        <v>302091.81835672411</v>
      </c>
      <c r="AH146" s="52">
        <f>HLOOKUP(I146,ElecAvoidedCostsWOCC!$A$5:$Q$50,T146+1,FALSE)</f>
        <v>3.4276422079642828</v>
      </c>
      <c r="AI146" s="44">
        <f t="shared" si="70"/>
        <v>0</v>
      </c>
      <c r="AJ146" s="44">
        <f t="shared" si="71"/>
        <v>302091.81835672411</v>
      </c>
      <c r="AK146" s="44">
        <f>HLOOKUP(I146,ElecAvoidedCostsWOCC!$A$5:$Q$50,G146+1,FALSE)*J146*L146</f>
        <v>0</v>
      </c>
      <c r="AL146" s="44">
        <f t="shared" si="72"/>
        <v>302091.81835672411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302091.81835672411</v>
      </c>
      <c r="AN146" s="48">
        <f t="shared" si="73"/>
        <v>356371.11354680726</v>
      </c>
      <c r="AO146" s="47">
        <f t="shared" si="74"/>
        <v>5.312276900034222</v>
      </c>
      <c r="AP146" s="47">
        <f t="shared" si="75"/>
        <v>2.7523352787078901</v>
      </c>
      <c r="AQ146">
        <v>2020</v>
      </c>
    </row>
    <row r="147" spans="2:43">
      <c r="B147" s="97" t="s">
        <v>15</v>
      </c>
      <c r="C147" s="61">
        <v>18230627</v>
      </c>
      <c r="D147" s="61" t="s">
        <v>80</v>
      </c>
      <c r="E147" s="38" t="s">
        <v>1975</v>
      </c>
      <c r="F147" s="39" t="s">
        <v>728</v>
      </c>
      <c r="G147" s="39">
        <v>30</v>
      </c>
      <c r="H147" s="39"/>
      <c r="I147" s="40" t="s">
        <v>269</v>
      </c>
      <c r="J147" s="41">
        <v>8992</v>
      </c>
      <c r="K147" s="41">
        <v>0.18</v>
      </c>
      <c r="L147" s="41"/>
      <c r="M147" s="42">
        <v>0.11</v>
      </c>
      <c r="N147" s="42">
        <v>1.46</v>
      </c>
      <c r="O147" s="43">
        <v>1618.56</v>
      </c>
      <c r="P147" s="44">
        <v>1400</v>
      </c>
      <c r="Q147" s="44">
        <v>13128.32</v>
      </c>
      <c r="R147" s="45">
        <v>0</v>
      </c>
      <c r="S147" s="46">
        <v>0</v>
      </c>
      <c r="T147" s="39">
        <f t="shared" si="57"/>
        <v>30</v>
      </c>
      <c r="U147" s="47">
        <f t="shared" si="58"/>
        <v>1.7450108940454265E-2</v>
      </c>
      <c r="V147" s="48">
        <f t="shared" si="59"/>
        <v>1.3499999999999999</v>
      </c>
      <c r="W147" s="49">
        <f t="shared" si="60"/>
        <v>5.8167029801514214E-4</v>
      </c>
      <c r="X147" s="44">
        <f t="shared" si="61"/>
        <v>180.50040195805289</v>
      </c>
      <c r="Y147" s="44">
        <f t="shared" si="62"/>
        <v>11728.32</v>
      </c>
      <c r="Z147" s="44">
        <f t="shared" si="63"/>
        <v>1117.1347899356283</v>
      </c>
      <c r="AA147" s="50">
        <f t="shared" si="64"/>
        <v>13308.820401958053</v>
      </c>
      <c r="AB147" s="51">
        <f t="shared" si="65"/>
        <v>1044.344012279731</v>
      </c>
      <c r="AC147" s="44">
        <f t="shared" si="66"/>
        <v>12441.638218152802</v>
      </c>
      <c r="AD147" s="44">
        <f t="shared" si="67"/>
        <v>0</v>
      </c>
      <c r="AE147" s="44">
        <f t="shared" si="68"/>
        <v>0</v>
      </c>
      <c r="AF147" s="52">
        <f>HLOOKUP(I147,ElecAvoidedCostsWOCC!$A$5:$Q$50,G147+1,FALSE)</f>
        <v>2.3666688857668672</v>
      </c>
      <c r="AG147" s="44">
        <f t="shared" si="69"/>
        <v>3830.5955917468204</v>
      </c>
      <c r="AH147" s="52">
        <f>HLOOKUP(I147,ElecAvoidedCostsWOCC!$A$5:$Q$50,T147+1,FALSE)</f>
        <v>2.3666688857668672</v>
      </c>
      <c r="AI147" s="44">
        <f t="shared" si="70"/>
        <v>0</v>
      </c>
      <c r="AJ147" s="44">
        <f t="shared" si="71"/>
        <v>3830.5955917468204</v>
      </c>
      <c r="AK147" s="44">
        <f>HLOOKUP(I147,ElecAvoidedCostsWOCC!$A$5:$Q$50,G147+1,FALSE)*J147*L147</f>
        <v>0</v>
      </c>
      <c r="AL147" s="44">
        <f t="shared" si="72"/>
        <v>3830.5955917468204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3830.5955917468204</v>
      </c>
      <c r="AN147" s="48">
        <f t="shared" si="73"/>
        <v>4213.6551509215033</v>
      </c>
      <c r="AO147" s="47">
        <f t="shared" si="74"/>
        <v>3.6679442278650058</v>
      </c>
      <c r="AP147" s="47">
        <f t="shared" si="75"/>
        <v>0.33867365993439891</v>
      </c>
      <c r="AQ147">
        <v>2020</v>
      </c>
    </row>
    <row r="148" spans="2:43">
      <c r="B148" s="97" t="s">
        <v>15</v>
      </c>
      <c r="C148" s="61">
        <v>18230627</v>
      </c>
      <c r="D148" s="61" t="s">
        <v>80</v>
      </c>
      <c r="E148" s="38" t="s">
        <v>727</v>
      </c>
      <c r="F148" s="39" t="s">
        <v>728</v>
      </c>
      <c r="G148" s="39">
        <v>45</v>
      </c>
      <c r="H148" s="39"/>
      <c r="I148" s="40" t="s">
        <v>269</v>
      </c>
      <c r="J148" s="41">
        <v>69935</v>
      </c>
      <c r="K148" s="41">
        <v>0.18</v>
      </c>
      <c r="L148" s="41"/>
      <c r="M148" s="42">
        <v>0.25</v>
      </c>
      <c r="N148" s="42">
        <v>1.46</v>
      </c>
      <c r="O148" s="43">
        <v>12588.3</v>
      </c>
      <c r="P148" s="44">
        <v>10600</v>
      </c>
      <c r="Q148" s="44">
        <v>102105.1</v>
      </c>
      <c r="R148" s="45">
        <v>0</v>
      </c>
      <c r="S148" s="46">
        <v>0</v>
      </c>
      <c r="T148" s="39">
        <f t="shared" si="57"/>
        <v>45</v>
      </c>
      <c r="U148" s="47">
        <f t="shared" si="58"/>
        <v>0.20357651836365695</v>
      </c>
      <c r="V148" s="48">
        <f t="shared" si="59"/>
        <v>1.21</v>
      </c>
      <c r="W148" s="49">
        <f t="shared" si="60"/>
        <v>4.5239226303034879E-3</v>
      </c>
      <c r="X148" s="44">
        <f t="shared" si="61"/>
        <v>1403.8362556646384</v>
      </c>
      <c r="Y148" s="44">
        <f t="shared" si="62"/>
        <v>91505.1</v>
      </c>
      <c r="Z148" s="44">
        <f t="shared" si="63"/>
        <v>8688.4810424986827</v>
      </c>
      <c r="AA148" s="50">
        <f t="shared" si="64"/>
        <v>103508.93625566464</v>
      </c>
      <c r="AB148" s="51">
        <f t="shared" si="65"/>
        <v>8122.3530358966827</v>
      </c>
      <c r="AC148" s="44">
        <f t="shared" si="66"/>
        <v>96764.453824123237</v>
      </c>
      <c r="AD148" s="44">
        <f t="shared" si="67"/>
        <v>0</v>
      </c>
      <c r="AE148" s="44">
        <f t="shared" si="68"/>
        <v>0</v>
      </c>
      <c r="AF148" s="52">
        <f>HLOOKUP(I148,ElecAvoidedCostsWOCC!$A$5:$Q$50,G148+1,FALSE)</f>
        <v>3.4276422079642828</v>
      </c>
      <c r="AG148" s="44">
        <f t="shared" si="69"/>
        <v>43148.188406516776</v>
      </c>
      <c r="AH148" s="52">
        <f>HLOOKUP(I148,ElecAvoidedCostsWOCC!$A$5:$Q$50,T148+1,FALSE)</f>
        <v>3.4276422079642828</v>
      </c>
      <c r="AI148" s="44">
        <f t="shared" si="70"/>
        <v>0</v>
      </c>
      <c r="AJ148" s="44">
        <f t="shared" si="71"/>
        <v>43148.188406516776</v>
      </c>
      <c r="AK148" s="44">
        <f>HLOOKUP(I148,ElecAvoidedCostsWOCC!$A$5:$Q$50,G148+1,FALSE)*J148*L148</f>
        <v>0</v>
      </c>
      <c r="AL148" s="44">
        <f t="shared" si="72"/>
        <v>43148.188406516776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43148.188406516783</v>
      </c>
      <c r="AN148" s="48">
        <f t="shared" si="73"/>
        <v>47463.007247168469</v>
      </c>
      <c r="AO148" s="47">
        <f t="shared" si="74"/>
        <v>5.312276900034222</v>
      </c>
      <c r="AP148" s="47">
        <f t="shared" si="75"/>
        <v>0.49050044072419507</v>
      </c>
      <c r="AQ148">
        <v>2020</v>
      </c>
    </row>
    <row r="149" spans="2:43">
      <c r="B149" s="97" t="s">
        <v>15</v>
      </c>
      <c r="C149" s="61">
        <v>18230627</v>
      </c>
      <c r="D149" s="61" t="s">
        <v>80</v>
      </c>
      <c r="E149" s="38" t="s">
        <v>1976</v>
      </c>
      <c r="F149" s="39" t="s">
        <v>731</v>
      </c>
      <c r="G149" s="39">
        <v>30</v>
      </c>
      <c r="H149" s="39"/>
      <c r="I149" s="40" t="s">
        <v>269</v>
      </c>
      <c r="J149" s="41">
        <v>16921</v>
      </c>
      <c r="K149" s="41">
        <v>1.03</v>
      </c>
      <c r="L149" s="41"/>
      <c r="M149" s="42">
        <v>0.11</v>
      </c>
      <c r="N149" s="42">
        <v>1.46</v>
      </c>
      <c r="O149" s="43">
        <v>17428.63</v>
      </c>
      <c r="P149" s="44">
        <v>3200</v>
      </c>
      <c r="Q149" s="44">
        <v>24704.66</v>
      </c>
      <c r="R149" s="45">
        <v>0.02</v>
      </c>
      <c r="S149" s="46">
        <v>0</v>
      </c>
      <c r="T149" s="39">
        <f t="shared" si="57"/>
        <v>30</v>
      </c>
      <c r="U149" s="47">
        <f t="shared" si="58"/>
        <v>0.18790251345817852</v>
      </c>
      <c r="V149" s="48">
        <f t="shared" si="59"/>
        <v>1.3499999999999999</v>
      </c>
      <c r="W149" s="49">
        <f t="shared" si="60"/>
        <v>6.2634171152726173E-3</v>
      </c>
      <c r="X149" s="44">
        <f t="shared" si="61"/>
        <v>1943.6256429036796</v>
      </c>
      <c r="Y149" s="44">
        <f t="shared" si="62"/>
        <v>21504.66</v>
      </c>
      <c r="Z149" s="44">
        <f t="shared" si="63"/>
        <v>12029.29079794125</v>
      </c>
      <c r="AA149" s="50">
        <f t="shared" si="64"/>
        <v>26648.28564290368</v>
      </c>
      <c r="AB149" s="51">
        <f t="shared" si="65"/>
        <v>11245.480787081658</v>
      </c>
      <c r="AC149" s="44">
        <f t="shared" si="66"/>
        <v>24911.924504911356</v>
      </c>
      <c r="AD149" s="44">
        <f t="shared" si="67"/>
        <v>4212.1545295335727</v>
      </c>
      <c r="AE149" s="44">
        <f t="shared" si="68"/>
        <v>0</v>
      </c>
      <c r="AF149" s="52">
        <f>HLOOKUP(I149,ElecAvoidedCostsWOCC!$A$5:$Q$50,G149+1,FALSE)</f>
        <v>2.3666688857668672</v>
      </c>
      <c r="AG149" s="44">
        <f t="shared" si="69"/>
        <v>41247.796342542992</v>
      </c>
      <c r="AH149" s="52">
        <f>HLOOKUP(I149,ElecAvoidedCostsWOCC!$A$5:$Q$50,T149+1,FALSE)</f>
        <v>2.3666688857668672</v>
      </c>
      <c r="AI149" s="44">
        <f t="shared" si="70"/>
        <v>0</v>
      </c>
      <c r="AJ149" s="44">
        <f t="shared" si="71"/>
        <v>41247.796342542992</v>
      </c>
      <c r="AK149" s="44">
        <f>HLOOKUP(I149,ElecAvoidedCostsWOCC!$A$5:$Q$50,G149+1,FALSE)*J149*L149</f>
        <v>0</v>
      </c>
      <c r="AL149" s="44">
        <f t="shared" si="72"/>
        <v>41247.796342542992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41247.796342542992</v>
      </c>
      <c r="AN149" s="48">
        <f t="shared" si="73"/>
        <v>49584.730506330867</v>
      </c>
      <c r="AO149" s="47">
        <f t="shared" si="74"/>
        <v>3.6679442278650058</v>
      </c>
      <c r="AP149" s="47">
        <f t="shared" si="75"/>
        <v>1.9904014439573023</v>
      </c>
      <c r="AQ149">
        <v>2020</v>
      </c>
    </row>
    <row r="150" spans="2:43">
      <c r="B150" s="97" t="s">
        <v>15</v>
      </c>
      <c r="C150" s="61">
        <v>18230627</v>
      </c>
      <c r="D150" s="61" t="s">
        <v>80</v>
      </c>
      <c r="E150" s="38" t="s">
        <v>730</v>
      </c>
      <c r="F150" s="39" t="s">
        <v>731</v>
      </c>
      <c r="G150" s="39">
        <v>45</v>
      </c>
      <c r="H150" s="39"/>
      <c r="I150" s="40" t="s">
        <v>269</v>
      </c>
      <c r="J150" s="41">
        <v>56044</v>
      </c>
      <c r="K150" s="41">
        <v>1.03</v>
      </c>
      <c r="L150" s="41"/>
      <c r="M150" s="42">
        <v>0.25</v>
      </c>
      <c r="N150" s="42">
        <v>1.46</v>
      </c>
      <c r="O150" s="43">
        <v>57725.32</v>
      </c>
      <c r="P150" s="44">
        <v>11400</v>
      </c>
      <c r="Q150" s="44">
        <v>81824.240000000005</v>
      </c>
      <c r="R150" s="45">
        <v>0.02</v>
      </c>
      <c r="S150" s="46">
        <v>0</v>
      </c>
      <c r="T150" s="39">
        <f t="shared" si="57"/>
        <v>45</v>
      </c>
      <c r="U150" s="47">
        <f t="shared" si="58"/>
        <v>0.93352713766179507</v>
      </c>
      <c r="V150" s="48">
        <f t="shared" si="59"/>
        <v>1.21</v>
      </c>
      <c r="W150" s="49">
        <f t="shared" si="60"/>
        <v>2.0745047503595446E-2</v>
      </c>
      <c r="X150" s="44">
        <f t="shared" si="61"/>
        <v>6437.4774263278659</v>
      </c>
      <c r="Y150" s="44">
        <f t="shared" si="62"/>
        <v>70424.240000000005</v>
      </c>
      <c r="Z150" s="44">
        <f t="shared" si="63"/>
        <v>39842.182700775331</v>
      </c>
      <c r="AA150" s="50">
        <f t="shared" si="64"/>
        <v>88261.717426327872</v>
      </c>
      <c r="AB150" s="51">
        <f t="shared" si="65"/>
        <v>37246.127606595612</v>
      </c>
      <c r="AC150" s="44">
        <f t="shared" si="66"/>
        <v>82510.720226538149</v>
      </c>
      <c r="AD150" s="44">
        <f t="shared" si="67"/>
        <v>15306.072943864958</v>
      </c>
      <c r="AE150" s="44">
        <f t="shared" si="68"/>
        <v>0</v>
      </c>
      <c r="AF150" s="52">
        <f>HLOOKUP(I150,ElecAvoidedCostsWOCC!$A$5:$Q$50,G150+1,FALSE)</f>
        <v>3.4276422079642828</v>
      </c>
      <c r="AG150" s="44">
        <f t="shared" si="69"/>
        <v>197861.74330024477</v>
      </c>
      <c r="AH150" s="52">
        <f>HLOOKUP(I150,ElecAvoidedCostsWOCC!$A$5:$Q$50,T150+1,FALSE)</f>
        <v>3.4276422079642828</v>
      </c>
      <c r="AI150" s="44">
        <f t="shared" si="70"/>
        <v>0</v>
      </c>
      <c r="AJ150" s="44">
        <f t="shared" si="71"/>
        <v>197861.74330024477</v>
      </c>
      <c r="AK150" s="44">
        <f>HLOOKUP(I150,ElecAvoidedCostsWOCC!$A$5:$Q$50,G150+1,FALSE)*J150*L150</f>
        <v>0</v>
      </c>
      <c r="AL150" s="44">
        <f t="shared" si="72"/>
        <v>197861.74330024477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197861.74330024477</v>
      </c>
      <c r="AN150" s="48">
        <f t="shared" si="73"/>
        <v>232953.99057413422</v>
      </c>
      <c r="AO150" s="47">
        <f t="shared" si="74"/>
        <v>5.3122769000342211</v>
      </c>
      <c r="AP150" s="47">
        <f t="shared" si="75"/>
        <v>2.8233178662668927</v>
      </c>
      <c r="AQ150">
        <v>2020</v>
      </c>
    </row>
    <row r="151" spans="2:43">
      <c r="B151" s="97" t="s">
        <v>15</v>
      </c>
      <c r="C151" s="61">
        <v>18230627</v>
      </c>
      <c r="D151" s="61" t="s">
        <v>80</v>
      </c>
      <c r="E151" s="38" t="s">
        <v>1977</v>
      </c>
      <c r="F151" s="39" t="s">
        <v>1978</v>
      </c>
      <c r="G151" s="39">
        <v>30</v>
      </c>
      <c r="H151" s="39"/>
      <c r="I151" s="40" t="s">
        <v>269</v>
      </c>
      <c r="J151" s="41">
        <v>31726</v>
      </c>
      <c r="K151" s="41">
        <v>0.15</v>
      </c>
      <c r="L151" s="41"/>
      <c r="M151" s="42">
        <v>0.09</v>
      </c>
      <c r="N151" s="42">
        <v>0.2</v>
      </c>
      <c r="O151" s="43">
        <v>4758.8999999999996</v>
      </c>
      <c r="P151" s="44">
        <v>2771.42</v>
      </c>
      <c r="Q151" s="44">
        <v>6345.2</v>
      </c>
      <c r="R151" s="45">
        <v>0</v>
      </c>
      <c r="S151" s="46">
        <v>0</v>
      </c>
      <c r="T151" s="39">
        <f t="shared" si="57"/>
        <v>30</v>
      </c>
      <c r="U151" s="47">
        <f t="shared" si="58"/>
        <v>5.1306916911778244E-2</v>
      </c>
      <c r="V151" s="48">
        <f t="shared" si="59"/>
        <v>0.11000000000000001</v>
      </c>
      <c r="W151" s="49">
        <f t="shared" si="60"/>
        <v>1.7102305637259414E-3</v>
      </c>
      <c r="X151" s="44">
        <f t="shared" si="61"/>
        <v>530.70838453821784</v>
      </c>
      <c r="Y151" s="44">
        <f t="shared" si="62"/>
        <v>3573.7799999999997</v>
      </c>
      <c r="Z151" s="44">
        <f t="shared" si="63"/>
        <v>3284.6065340949117</v>
      </c>
      <c r="AA151" s="50">
        <f t="shared" si="64"/>
        <v>6875.9083845382174</v>
      </c>
      <c r="AB151" s="51">
        <f t="shared" si="65"/>
        <v>3070.5866449424243</v>
      </c>
      <c r="AC151" s="44">
        <f t="shared" si="66"/>
        <v>6427.8848130674178</v>
      </c>
      <c r="AD151" s="44">
        <f t="shared" si="67"/>
        <v>0</v>
      </c>
      <c r="AE151" s="44">
        <f t="shared" si="68"/>
        <v>0</v>
      </c>
      <c r="AF151" s="52">
        <f>HLOOKUP(I151,ElecAvoidedCostsWOCC!$A$5:$Q$50,G151+1,FALSE)</f>
        <v>2.3666688857668672</v>
      </c>
      <c r="AG151" s="44">
        <f t="shared" si="69"/>
        <v>11262.740560475942</v>
      </c>
      <c r="AH151" s="52">
        <f>HLOOKUP(I151,ElecAvoidedCostsWOCC!$A$5:$Q$50,T151+1,FALSE)</f>
        <v>2.3666688857668672</v>
      </c>
      <c r="AI151" s="44">
        <f t="shared" si="70"/>
        <v>0</v>
      </c>
      <c r="AJ151" s="44">
        <f t="shared" si="71"/>
        <v>11262.740560475942</v>
      </c>
      <c r="AK151" s="44">
        <f>HLOOKUP(I151,ElecAvoidedCostsWOCC!$A$5:$Q$50,G151+1,FALSE)*J151*L151</f>
        <v>0</v>
      </c>
      <c r="AL151" s="44">
        <f t="shared" si="72"/>
        <v>11262.740560475942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11262.740560475944</v>
      </c>
      <c r="AN151" s="48">
        <f t="shared" si="73"/>
        <v>12389.01461652354</v>
      </c>
      <c r="AO151" s="47">
        <f t="shared" si="74"/>
        <v>3.6679442278650076</v>
      </c>
      <c r="AP151" s="47">
        <f t="shared" si="75"/>
        <v>1.9273859094888544</v>
      </c>
      <c r="AQ151">
        <v>2020</v>
      </c>
    </row>
    <row r="152" spans="2:43">
      <c r="B152" s="97" t="s">
        <v>15</v>
      </c>
      <c r="C152" s="61">
        <v>18230627</v>
      </c>
      <c r="D152" s="61" t="s">
        <v>80</v>
      </c>
      <c r="E152" s="38" t="s">
        <v>1981</v>
      </c>
      <c r="F152" s="39" t="s">
        <v>1982</v>
      </c>
      <c r="G152" s="39">
        <v>30</v>
      </c>
      <c r="H152" s="39"/>
      <c r="I152" s="40" t="s">
        <v>269</v>
      </c>
      <c r="J152" s="41">
        <v>42083</v>
      </c>
      <c r="K152" s="41">
        <v>0.15</v>
      </c>
      <c r="L152" s="41"/>
      <c r="M152" s="42">
        <v>0.09</v>
      </c>
      <c r="N152" s="42">
        <v>0.2</v>
      </c>
      <c r="O152" s="43">
        <v>6312.45</v>
      </c>
      <c r="P152" s="44">
        <v>3538.51</v>
      </c>
      <c r="Q152" s="44">
        <v>8416.6</v>
      </c>
      <c r="R152" s="45">
        <v>0</v>
      </c>
      <c r="S152" s="46">
        <v>0</v>
      </c>
      <c r="T152" s="39">
        <f t="shared" si="57"/>
        <v>30</v>
      </c>
      <c r="U152" s="47">
        <f t="shared" si="58"/>
        <v>6.8056136430636183E-2</v>
      </c>
      <c r="V152" s="48">
        <f t="shared" si="59"/>
        <v>0.11000000000000001</v>
      </c>
      <c r="W152" s="49">
        <f t="shared" si="60"/>
        <v>2.2685378810212062E-3</v>
      </c>
      <c r="X152" s="44">
        <f t="shared" si="61"/>
        <v>703.95892789894162</v>
      </c>
      <c r="Y152" s="44">
        <f t="shared" si="62"/>
        <v>4878.09</v>
      </c>
      <c r="Z152" s="44">
        <f t="shared" si="63"/>
        <v>4356.8712341397013</v>
      </c>
      <c r="AA152" s="50">
        <f t="shared" si="64"/>
        <v>9120.5589278989428</v>
      </c>
      <c r="AB152" s="51">
        <f t="shared" si="65"/>
        <v>4072.984233093111</v>
      </c>
      <c r="AC152" s="44">
        <f t="shared" si="66"/>
        <v>8526.2773935673013</v>
      </c>
      <c r="AD152" s="44">
        <f t="shared" si="67"/>
        <v>0</v>
      </c>
      <c r="AE152" s="44">
        <f t="shared" si="68"/>
        <v>0</v>
      </c>
      <c r="AF152" s="52">
        <f>HLOOKUP(I152,ElecAvoidedCostsWOCC!$A$5:$Q$50,G152+1,FALSE)</f>
        <v>2.3666688857668672</v>
      </c>
      <c r="AG152" s="44">
        <f t="shared" si="69"/>
        <v>14939.47900795906</v>
      </c>
      <c r="AH152" s="52">
        <f>HLOOKUP(I152,ElecAvoidedCostsWOCC!$A$5:$Q$50,T152+1,FALSE)</f>
        <v>2.3666688857668672</v>
      </c>
      <c r="AI152" s="44">
        <f t="shared" si="70"/>
        <v>0</v>
      </c>
      <c r="AJ152" s="44">
        <f t="shared" si="71"/>
        <v>14939.47900795906</v>
      </c>
      <c r="AK152" s="44">
        <f>HLOOKUP(I152,ElecAvoidedCostsWOCC!$A$5:$Q$50,G152+1,FALSE)*J152*L152</f>
        <v>0</v>
      </c>
      <c r="AL152" s="44">
        <f t="shared" si="72"/>
        <v>14939.47900795906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14939.47900795906</v>
      </c>
      <c r="AN152" s="48">
        <f t="shared" si="73"/>
        <v>16433.426908754969</v>
      </c>
      <c r="AO152" s="47">
        <f t="shared" si="74"/>
        <v>3.6679442278650072</v>
      </c>
      <c r="AP152" s="47">
        <f t="shared" si="75"/>
        <v>1.9273859094888541</v>
      </c>
      <c r="AQ152">
        <v>2020</v>
      </c>
    </row>
    <row r="153" spans="2:43">
      <c r="B153" s="97" t="s">
        <v>15</v>
      </c>
      <c r="C153" s="61">
        <v>18230627</v>
      </c>
      <c r="D153" s="61" t="s">
        <v>80</v>
      </c>
      <c r="E153" s="38" t="s">
        <v>1987</v>
      </c>
      <c r="F153" s="39" t="s">
        <v>1988</v>
      </c>
      <c r="G153" s="39">
        <v>18</v>
      </c>
      <c r="H153" s="39"/>
      <c r="I153" s="40" t="s">
        <v>269</v>
      </c>
      <c r="J153" s="41">
        <v>4</v>
      </c>
      <c r="K153" s="41">
        <v>973</v>
      </c>
      <c r="L153" s="41"/>
      <c r="M153" s="42">
        <v>450</v>
      </c>
      <c r="N153" s="42">
        <v>462.66</v>
      </c>
      <c r="O153" s="43">
        <v>3892</v>
      </c>
      <c r="P153" s="44">
        <v>1800</v>
      </c>
      <c r="Q153" s="44">
        <v>1850.64</v>
      </c>
      <c r="R153" s="45">
        <v>0</v>
      </c>
      <c r="S153" s="46">
        <v>0</v>
      </c>
      <c r="T153" s="39">
        <f t="shared" si="57"/>
        <v>18</v>
      </c>
      <c r="U153" s="47">
        <f t="shared" si="58"/>
        <v>2.5176387898965005E-2</v>
      </c>
      <c r="V153" s="48">
        <f t="shared" si="59"/>
        <v>12.660000000000025</v>
      </c>
      <c r="W153" s="49">
        <f t="shared" si="60"/>
        <v>1.3986882166091669E-3</v>
      </c>
      <c r="X153" s="44">
        <f t="shared" si="61"/>
        <v>434.03245132756393</v>
      </c>
      <c r="Y153" s="44">
        <f t="shared" si="62"/>
        <v>50.6400000000001</v>
      </c>
      <c r="Z153" s="44">
        <f t="shared" si="63"/>
        <v>2686.2696485947172</v>
      </c>
      <c r="AA153" s="50">
        <f t="shared" si="64"/>
        <v>2284.672451327564</v>
      </c>
      <c r="AB153" s="51">
        <f t="shared" si="65"/>
        <v>2511.2364668549285</v>
      </c>
      <c r="AC153" s="44">
        <f t="shared" si="66"/>
        <v>2135.8067227517658</v>
      </c>
      <c r="AD153" s="44">
        <f t="shared" si="67"/>
        <v>0</v>
      </c>
      <c r="AE153" s="44">
        <f t="shared" si="68"/>
        <v>0</v>
      </c>
      <c r="AF153" s="52">
        <f>HLOOKUP(I153,ElecAvoidedCostsWOCC!$A$5:$Q$50,G153+1,FALSE)</f>
        <v>1.5960324064820535</v>
      </c>
      <c r="AG153" s="44">
        <f t="shared" si="69"/>
        <v>6211.7581260281522</v>
      </c>
      <c r="AH153" s="52">
        <f>HLOOKUP(I153,ElecAvoidedCostsWOCC!$A$5:$Q$50,T153+1,FALSE)</f>
        <v>1.5960324064820535</v>
      </c>
      <c r="AI153" s="44">
        <f t="shared" si="70"/>
        <v>0</v>
      </c>
      <c r="AJ153" s="44">
        <f t="shared" si="71"/>
        <v>6211.7581260281522</v>
      </c>
      <c r="AK153" s="44">
        <f>HLOOKUP(I153,ElecAvoidedCostsWOCC!$A$5:$Q$50,G153+1,FALSE)*J153*L153</f>
        <v>0</v>
      </c>
      <c r="AL153" s="44">
        <f t="shared" si="72"/>
        <v>6211.7581260281522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6211.7581260281522</v>
      </c>
      <c r="AN153" s="48">
        <f t="shared" si="73"/>
        <v>6832.9339386309684</v>
      </c>
      <c r="AO153" s="47">
        <f t="shared" si="74"/>
        <v>2.4735855057917964</v>
      </c>
      <c r="AP153" s="47">
        <f t="shared" si="75"/>
        <v>3.1992285939747585</v>
      </c>
      <c r="AQ153">
        <v>2020</v>
      </c>
    </row>
    <row r="154" spans="2:43">
      <c r="B154" s="97" t="s">
        <v>15</v>
      </c>
      <c r="C154" s="61">
        <v>18230627</v>
      </c>
      <c r="D154" s="61" t="s">
        <v>80</v>
      </c>
      <c r="E154" s="38" t="s">
        <v>1989</v>
      </c>
      <c r="F154" s="39" t="s">
        <v>1990</v>
      </c>
      <c r="G154" s="39">
        <v>18</v>
      </c>
      <c r="H154" s="39"/>
      <c r="I154" s="40" t="s">
        <v>269</v>
      </c>
      <c r="J154" s="41">
        <v>2</v>
      </c>
      <c r="K154" s="41">
        <v>973</v>
      </c>
      <c r="L154" s="41"/>
      <c r="M154" s="42">
        <v>300</v>
      </c>
      <c r="N154" s="42">
        <v>462.66</v>
      </c>
      <c r="O154" s="43">
        <v>1946</v>
      </c>
      <c r="P154" s="44">
        <v>600</v>
      </c>
      <c r="Q154" s="44">
        <v>925.32</v>
      </c>
      <c r="R154" s="45">
        <v>0</v>
      </c>
      <c r="S154" s="46">
        <v>0</v>
      </c>
      <c r="T154" s="39">
        <f t="shared" si="57"/>
        <v>18</v>
      </c>
      <c r="U154" s="47">
        <f t="shared" si="58"/>
        <v>1.2588193949482502E-2</v>
      </c>
      <c r="V154" s="48">
        <f t="shared" si="59"/>
        <v>162.66000000000003</v>
      </c>
      <c r="W154" s="49">
        <f t="shared" si="60"/>
        <v>6.9934410830458347E-4</v>
      </c>
      <c r="X154" s="44">
        <f t="shared" si="61"/>
        <v>217.01622566378197</v>
      </c>
      <c r="Y154" s="44">
        <f t="shared" si="62"/>
        <v>325.32000000000005</v>
      </c>
      <c r="Z154" s="44">
        <f t="shared" si="63"/>
        <v>1343.1348242973586</v>
      </c>
      <c r="AA154" s="50">
        <f t="shared" si="64"/>
        <v>1142.336225663782</v>
      </c>
      <c r="AB154" s="51">
        <f t="shared" si="65"/>
        <v>1255.6182334274642</v>
      </c>
      <c r="AC154" s="44">
        <f t="shared" si="66"/>
        <v>1067.9033613758829</v>
      </c>
      <c r="AD154" s="44">
        <f t="shared" si="67"/>
        <v>0</v>
      </c>
      <c r="AE154" s="44">
        <f t="shared" si="68"/>
        <v>0</v>
      </c>
      <c r="AF154" s="52">
        <f>HLOOKUP(I154,ElecAvoidedCostsWOCC!$A$5:$Q$50,G154+1,FALSE)</f>
        <v>1.5960324064820535</v>
      </c>
      <c r="AG154" s="44">
        <f t="shared" si="69"/>
        <v>3105.8790630140761</v>
      </c>
      <c r="AH154" s="52">
        <f>HLOOKUP(I154,ElecAvoidedCostsWOCC!$A$5:$Q$50,T154+1,FALSE)</f>
        <v>1.5960324064820535</v>
      </c>
      <c r="AI154" s="44">
        <f t="shared" si="70"/>
        <v>0</v>
      </c>
      <c r="AJ154" s="44">
        <f t="shared" si="71"/>
        <v>3105.8790630140761</v>
      </c>
      <c r="AK154" s="44">
        <f>HLOOKUP(I154,ElecAvoidedCostsWOCC!$A$5:$Q$50,G154+1,FALSE)*J154*L154</f>
        <v>0</v>
      </c>
      <c r="AL154" s="44">
        <f t="shared" si="72"/>
        <v>3105.8790630140761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3105.8790630140761</v>
      </c>
      <c r="AN154" s="48">
        <f t="shared" si="73"/>
        <v>3416.4669693154842</v>
      </c>
      <c r="AO154" s="47">
        <f t="shared" si="74"/>
        <v>2.4735855057917964</v>
      </c>
      <c r="AP154" s="47">
        <f t="shared" si="75"/>
        <v>3.1992285939747585</v>
      </c>
      <c r="AQ154">
        <v>2020</v>
      </c>
    </row>
    <row r="155" spans="2:43">
      <c r="B155" s="97" t="s">
        <v>15</v>
      </c>
      <c r="C155" s="61">
        <v>18230627</v>
      </c>
      <c r="D155" s="61" t="s">
        <v>80</v>
      </c>
      <c r="E155" s="38" t="s">
        <v>1991</v>
      </c>
      <c r="F155" s="39" t="s">
        <v>734</v>
      </c>
      <c r="G155" s="39">
        <v>20</v>
      </c>
      <c r="H155" s="39"/>
      <c r="I155" s="40" t="s">
        <v>269</v>
      </c>
      <c r="J155" s="41">
        <v>18</v>
      </c>
      <c r="K155" s="41">
        <v>1859</v>
      </c>
      <c r="L155" s="41"/>
      <c r="M155" s="42">
        <v>400</v>
      </c>
      <c r="N155" s="42">
        <v>1000</v>
      </c>
      <c r="O155" s="43">
        <v>33462</v>
      </c>
      <c r="P155" s="44">
        <v>6601.85</v>
      </c>
      <c r="Q155" s="44">
        <v>18000</v>
      </c>
      <c r="R155" s="45">
        <v>0</v>
      </c>
      <c r="S155" s="46">
        <v>0</v>
      </c>
      <c r="T155" s="39">
        <f t="shared" si="57"/>
        <v>20</v>
      </c>
      <c r="U155" s="47">
        <f t="shared" si="58"/>
        <v>0.24050824822289796</v>
      </c>
      <c r="V155" s="48">
        <f t="shared" si="59"/>
        <v>600</v>
      </c>
      <c r="W155" s="49">
        <f t="shared" si="60"/>
        <v>1.2025412411144899E-2</v>
      </c>
      <c r="X155" s="44">
        <f t="shared" si="61"/>
        <v>3731.6531054272727</v>
      </c>
      <c r="Y155" s="44">
        <f t="shared" si="62"/>
        <v>11398.15</v>
      </c>
      <c r="Z155" s="44">
        <f t="shared" si="63"/>
        <v>23095.569111324876</v>
      </c>
      <c r="AA155" s="50">
        <f t="shared" si="64"/>
        <v>21731.653105427271</v>
      </c>
      <c r="AB155" s="51">
        <f t="shared" si="65"/>
        <v>21590.697495863209</v>
      </c>
      <c r="AC155" s="44">
        <f t="shared" si="66"/>
        <v>20315.652150534981</v>
      </c>
      <c r="AD155" s="44">
        <f t="shared" si="67"/>
        <v>0</v>
      </c>
      <c r="AE155" s="44">
        <f t="shared" si="68"/>
        <v>0</v>
      </c>
      <c r="AF155" s="52">
        <f>HLOOKUP(I155,ElecAvoidedCostsWOCC!$A$5:$Q$50,G155+1,FALSE)</f>
        <v>1.727945421646023</v>
      </c>
      <c r="AG155" s="44">
        <f t="shared" si="69"/>
        <v>57820.509699119226</v>
      </c>
      <c r="AH155" s="52">
        <f>HLOOKUP(I155,ElecAvoidedCostsWOCC!$A$5:$Q$50,T155+1,FALSE)</f>
        <v>1.727945421646023</v>
      </c>
      <c r="AI155" s="44">
        <f t="shared" si="70"/>
        <v>0</v>
      </c>
      <c r="AJ155" s="44">
        <f t="shared" si="71"/>
        <v>57820.509699119226</v>
      </c>
      <c r="AK155" s="44">
        <f>HLOOKUP(I155,ElecAvoidedCostsWOCC!$A$5:$Q$50,G155+1,FALSE)*J155*L155</f>
        <v>0</v>
      </c>
      <c r="AL155" s="44">
        <f t="shared" si="72"/>
        <v>57820.509699119226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57820.509699119226</v>
      </c>
      <c r="AN155" s="48">
        <f t="shared" si="73"/>
        <v>63602.560669031154</v>
      </c>
      <c r="AO155" s="47">
        <f t="shared" si="74"/>
        <v>2.6780287996808658</v>
      </c>
      <c r="AP155" s="47">
        <f t="shared" si="75"/>
        <v>3.1307171533430829</v>
      </c>
      <c r="AQ155">
        <v>2020</v>
      </c>
    </row>
    <row r="156" spans="2:43">
      <c r="B156" s="97" t="s">
        <v>15</v>
      </c>
      <c r="C156" s="61">
        <v>18230627</v>
      </c>
      <c r="D156" s="61" t="s">
        <v>80</v>
      </c>
      <c r="E156" s="38" t="s">
        <v>733</v>
      </c>
      <c r="F156" s="39" t="s">
        <v>734</v>
      </c>
      <c r="G156" s="39">
        <v>20</v>
      </c>
      <c r="H156" s="39"/>
      <c r="I156" s="40" t="s">
        <v>269</v>
      </c>
      <c r="J156" s="41">
        <v>98</v>
      </c>
      <c r="K156" s="41">
        <v>1253</v>
      </c>
      <c r="L156" s="41"/>
      <c r="M156" s="42">
        <v>400</v>
      </c>
      <c r="N156" s="42">
        <v>1000</v>
      </c>
      <c r="O156" s="43">
        <v>122794</v>
      </c>
      <c r="P156" s="44">
        <v>37158.199999999997</v>
      </c>
      <c r="Q156" s="44">
        <v>98000</v>
      </c>
      <c r="R156" s="45">
        <v>0</v>
      </c>
      <c r="S156" s="46">
        <v>0</v>
      </c>
      <c r="T156" s="39">
        <f t="shared" si="57"/>
        <v>20</v>
      </c>
      <c r="U156" s="47">
        <f t="shared" si="58"/>
        <v>0.88258232718553975</v>
      </c>
      <c r="V156" s="48">
        <f t="shared" si="59"/>
        <v>600</v>
      </c>
      <c r="W156" s="49">
        <f t="shared" si="60"/>
        <v>4.4129116359276986E-2</v>
      </c>
      <c r="X156" s="44">
        <f t="shared" si="61"/>
        <v>13693.879966165694</v>
      </c>
      <c r="Y156" s="44">
        <f t="shared" si="62"/>
        <v>60841.8</v>
      </c>
      <c r="Z156" s="44">
        <f t="shared" si="63"/>
        <v>84752.773697209574</v>
      </c>
      <c r="AA156" s="50">
        <f t="shared" si="64"/>
        <v>111693.8799661657</v>
      </c>
      <c r="AB156" s="51">
        <f t="shared" si="65"/>
        <v>79230.413851743069</v>
      </c>
      <c r="AC156" s="44">
        <f t="shared" si="66"/>
        <v>104416.07924293324</v>
      </c>
      <c r="AD156" s="44">
        <f t="shared" si="67"/>
        <v>0</v>
      </c>
      <c r="AE156" s="44">
        <f t="shared" si="68"/>
        <v>0</v>
      </c>
      <c r="AF156" s="52">
        <f>HLOOKUP(I156,ElecAvoidedCostsWOCC!$A$5:$Q$50,G156+1,FALSE)</f>
        <v>1.727945421646023</v>
      </c>
      <c r="AG156" s="44">
        <f t="shared" si="69"/>
        <v>212181.33010560175</v>
      </c>
      <c r="AH156" s="52">
        <f>HLOOKUP(I156,ElecAvoidedCostsWOCC!$A$5:$Q$50,T156+1,FALSE)</f>
        <v>1.727945421646023</v>
      </c>
      <c r="AI156" s="44">
        <f t="shared" si="70"/>
        <v>0</v>
      </c>
      <c r="AJ156" s="44">
        <f t="shared" si="71"/>
        <v>212181.33010560175</v>
      </c>
      <c r="AK156" s="44">
        <f>HLOOKUP(I156,ElecAvoidedCostsWOCC!$A$5:$Q$50,G156+1,FALSE)*J156*L156</f>
        <v>0</v>
      </c>
      <c r="AL156" s="44">
        <f t="shared" si="72"/>
        <v>212181.33010560175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212181.33010560175</v>
      </c>
      <c r="AN156" s="48">
        <f t="shared" si="73"/>
        <v>233399.46311616193</v>
      </c>
      <c r="AO156" s="47">
        <f t="shared" si="74"/>
        <v>2.6780287996808658</v>
      </c>
      <c r="AP156" s="47">
        <f t="shared" si="75"/>
        <v>2.2352827726191236</v>
      </c>
      <c r="AQ156">
        <v>2020</v>
      </c>
    </row>
    <row r="157" spans="2:43">
      <c r="B157" s="97" t="s">
        <v>15</v>
      </c>
      <c r="C157" s="61">
        <v>18230627</v>
      </c>
      <c r="D157" s="61" t="s">
        <v>80</v>
      </c>
      <c r="E157" s="38" t="s">
        <v>1993</v>
      </c>
      <c r="F157" s="39" t="s">
        <v>740</v>
      </c>
      <c r="G157" s="39">
        <v>20</v>
      </c>
      <c r="H157" s="39"/>
      <c r="I157" s="40" t="s">
        <v>269</v>
      </c>
      <c r="J157" s="41">
        <v>2</v>
      </c>
      <c r="K157" s="41">
        <v>1049</v>
      </c>
      <c r="L157" s="41"/>
      <c r="M157" s="42">
        <v>300</v>
      </c>
      <c r="N157" s="42">
        <v>550</v>
      </c>
      <c r="O157" s="43">
        <v>2098</v>
      </c>
      <c r="P157" s="44">
        <v>600</v>
      </c>
      <c r="Q157" s="44">
        <v>1100</v>
      </c>
      <c r="R157" s="45">
        <v>0</v>
      </c>
      <c r="S157" s="46">
        <v>0</v>
      </c>
      <c r="T157" s="39">
        <f t="shared" si="57"/>
        <v>20</v>
      </c>
      <c r="U157" s="47">
        <f t="shared" si="58"/>
        <v>1.5079382725827503E-2</v>
      </c>
      <c r="V157" s="48">
        <f t="shared" si="59"/>
        <v>250</v>
      </c>
      <c r="W157" s="49">
        <f t="shared" si="60"/>
        <v>7.5396913629137516E-4</v>
      </c>
      <c r="X157" s="44">
        <f t="shared" si="61"/>
        <v>233.96713332097357</v>
      </c>
      <c r="Y157" s="44">
        <f t="shared" si="62"/>
        <v>500</v>
      </c>
      <c r="Z157" s="44">
        <f t="shared" si="63"/>
        <v>1448.0456636052713</v>
      </c>
      <c r="AA157" s="50">
        <f t="shared" si="64"/>
        <v>1333.9671333209735</v>
      </c>
      <c r="AB157" s="51">
        <f t="shared" si="65"/>
        <v>1353.6932444659915</v>
      </c>
      <c r="AC157" s="44">
        <f t="shared" si="66"/>
        <v>1247.0478950369013</v>
      </c>
      <c r="AD157" s="44">
        <f t="shared" si="67"/>
        <v>0</v>
      </c>
      <c r="AE157" s="44">
        <f t="shared" si="68"/>
        <v>0</v>
      </c>
      <c r="AF157" s="52">
        <f>HLOOKUP(I157,ElecAvoidedCostsWOCC!$A$5:$Q$50,G157+1,FALSE)</f>
        <v>1.727945421646023</v>
      </c>
      <c r="AG157" s="44">
        <f t="shared" si="69"/>
        <v>3625.2294946133566</v>
      </c>
      <c r="AH157" s="52">
        <f>HLOOKUP(I157,ElecAvoidedCostsWOCC!$A$5:$Q$50,T157+1,FALSE)</f>
        <v>1.727945421646023</v>
      </c>
      <c r="AI157" s="44">
        <f t="shared" si="70"/>
        <v>0</v>
      </c>
      <c r="AJ157" s="44">
        <f t="shared" si="71"/>
        <v>3625.2294946133566</v>
      </c>
      <c r="AK157" s="44">
        <f>HLOOKUP(I157,ElecAvoidedCostsWOCC!$A$5:$Q$50,G157+1,FALSE)*J157*L157</f>
        <v>0</v>
      </c>
      <c r="AL157" s="44">
        <f t="shared" si="72"/>
        <v>3625.2294946133566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3625.2294946133566</v>
      </c>
      <c r="AN157" s="48">
        <f t="shared" si="73"/>
        <v>3987.7524440746924</v>
      </c>
      <c r="AO157" s="47">
        <f t="shared" si="74"/>
        <v>2.6780287996808663</v>
      </c>
      <c r="AP157" s="47">
        <f t="shared" si="75"/>
        <v>3.1977540397168878</v>
      </c>
      <c r="AQ157">
        <v>2020</v>
      </c>
    </row>
    <row r="158" spans="2:43">
      <c r="B158" s="97" t="s">
        <v>15</v>
      </c>
      <c r="C158" s="61">
        <v>18230627</v>
      </c>
      <c r="D158" s="61" t="s">
        <v>80</v>
      </c>
      <c r="E158" s="38" t="s">
        <v>739</v>
      </c>
      <c r="F158" s="39" t="s">
        <v>740</v>
      </c>
      <c r="G158" s="39">
        <v>20</v>
      </c>
      <c r="H158" s="39"/>
      <c r="I158" s="40" t="s">
        <v>269</v>
      </c>
      <c r="J158" s="41">
        <v>7</v>
      </c>
      <c r="K158" s="41">
        <v>1254</v>
      </c>
      <c r="L158" s="41"/>
      <c r="M158" s="42">
        <v>300</v>
      </c>
      <c r="N158" s="42">
        <v>631.58000000000004</v>
      </c>
      <c r="O158" s="43">
        <v>8778</v>
      </c>
      <c r="P158" s="44">
        <v>2099.5500000000002</v>
      </c>
      <c r="Q158" s="44">
        <v>4421.0600000000004</v>
      </c>
      <c r="R158" s="45">
        <v>0</v>
      </c>
      <c r="S158" s="46">
        <v>0</v>
      </c>
      <c r="T158" s="39">
        <f t="shared" si="57"/>
        <v>20</v>
      </c>
      <c r="U158" s="47">
        <f t="shared" si="58"/>
        <v>6.3091907324744428E-2</v>
      </c>
      <c r="V158" s="48">
        <f t="shared" si="59"/>
        <v>331.58000000000004</v>
      </c>
      <c r="W158" s="49">
        <f t="shared" si="60"/>
        <v>3.1545953662372216E-3</v>
      </c>
      <c r="X158" s="44">
        <f t="shared" si="61"/>
        <v>978.91491720281499</v>
      </c>
      <c r="Y158" s="44">
        <f t="shared" si="62"/>
        <v>2321.5100000000002</v>
      </c>
      <c r="Z158" s="44">
        <f t="shared" si="63"/>
        <v>6058.6009700319682</v>
      </c>
      <c r="AA158" s="50">
        <f t="shared" si="64"/>
        <v>5399.974917202815</v>
      </c>
      <c r="AB158" s="51">
        <f t="shared" si="65"/>
        <v>5663.831887474963</v>
      </c>
      <c r="AC158" s="44">
        <f t="shared" si="66"/>
        <v>5048.1208910935911</v>
      </c>
      <c r="AD158" s="44">
        <f t="shared" si="67"/>
        <v>0</v>
      </c>
      <c r="AE158" s="44">
        <f t="shared" si="68"/>
        <v>0</v>
      </c>
      <c r="AF158" s="52">
        <f>HLOOKUP(I158,ElecAvoidedCostsWOCC!$A$5:$Q$50,G158+1,FALSE)</f>
        <v>1.727945421646023</v>
      </c>
      <c r="AG158" s="44">
        <f t="shared" si="69"/>
        <v>15167.904911208791</v>
      </c>
      <c r="AH158" s="52">
        <f>HLOOKUP(I158,ElecAvoidedCostsWOCC!$A$5:$Q$50,T158+1,FALSE)</f>
        <v>1.727945421646023</v>
      </c>
      <c r="AI158" s="44">
        <f t="shared" si="70"/>
        <v>0</v>
      </c>
      <c r="AJ158" s="44">
        <f t="shared" si="71"/>
        <v>15167.904911208791</v>
      </c>
      <c r="AK158" s="44">
        <f>HLOOKUP(I158,ElecAvoidedCostsWOCC!$A$5:$Q$50,G158+1,FALSE)*J158*L158</f>
        <v>0</v>
      </c>
      <c r="AL158" s="44">
        <f t="shared" si="72"/>
        <v>15167.904911208791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15167.904911208792</v>
      </c>
      <c r="AN158" s="48">
        <f t="shared" si="73"/>
        <v>16684.695402329671</v>
      </c>
      <c r="AO158" s="47">
        <f t="shared" si="74"/>
        <v>2.6780287996808667</v>
      </c>
      <c r="AP158" s="47">
        <f t="shared" si="75"/>
        <v>3.3051299210695428</v>
      </c>
      <c r="AQ158">
        <v>2020</v>
      </c>
    </row>
    <row r="159" spans="2:43">
      <c r="B159" s="97" t="s">
        <v>15</v>
      </c>
      <c r="C159" s="61">
        <v>18230627</v>
      </c>
      <c r="D159" s="61" t="s">
        <v>80</v>
      </c>
      <c r="E159" s="38" t="s">
        <v>1995</v>
      </c>
      <c r="F159" s="39" t="s">
        <v>744</v>
      </c>
      <c r="G159" s="39">
        <v>20</v>
      </c>
      <c r="H159" s="39"/>
      <c r="I159" s="40" t="s">
        <v>269</v>
      </c>
      <c r="J159" s="41">
        <v>1</v>
      </c>
      <c r="K159" s="41">
        <v>752</v>
      </c>
      <c r="L159" s="41"/>
      <c r="M159" s="42">
        <v>300</v>
      </c>
      <c r="N159" s="42">
        <v>608.58000000000004</v>
      </c>
      <c r="O159" s="43">
        <v>752</v>
      </c>
      <c r="P159" s="44">
        <v>300</v>
      </c>
      <c r="Q159" s="44">
        <v>608.58000000000004</v>
      </c>
      <c r="R159" s="45">
        <v>0</v>
      </c>
      <c r="S159" s="46">
        <v>0</v>
      </c>
      <c r="T159" s="39">
        <f t="shared" si="57"/>
        <v>20</v>
      </c>
      <c r="U159" s="47">
        <f t="shared" si="58"/>
        <v>5.4050027692193912E-3</v>
      </c>
      <c r="V159" s="48">
        <f t="shared" si="59"/>
        <v>308.58000000000004</v>
      </c>
      <c r="W159" s="49">
        <f t="shared" si="60"/>
        <v>2.7025013846096956E-4</v>
      </c>
      <c r="X159" s="44">
        <f t="shared" si="61"/>
        <v>83.862385251368991</v>
      </c>
      <c r="Y159" s="44">
        <f t="shared" si="62"/>
        <v>308.58000000000004</v>
      </c>
      <c r="Z159" s="44">
        <f t="shared" si="63"/>
        <v>519.03257341809535</v>
      </c>
      <c r="AA159" s="50">
        <f t="shared" si="64"/>
        <v>692.44238525136905</v>
      </c>
      <c r="AB159" s="51">
        <f t="shared" si="65"/>
        <v>485.21321250639926</v>
      </c>
      <c r="AC159" s="44">
        <f t="shared" si="66"/>
        <v>647.3239088074871</v>
      </c>
      <c r="AD159" s="44">
        <f t="shared" si="67"/>
        <v>0</v>
      </c>
      <c r="AE159" s="44">
        <f t="shared" si="68"/>
        <v>0</v>
      </c>
      <c r="AF159" s="52">
        <f>HLOOKUP(I159,ElecAvoidedCostsWOCC!$A$5:$Q$50,G159+1,FALSE)</f>
        <v>1.727945421646023</v>
      </c>
      <c r="AG159" s="44">
        <f t="shared" si="69"/>
        <v>1299.4149570778093</v>
      </c>
      <c r="AH159" s="52">
        <f>HLOOKUP(I159,ElecAvoidedCostsWOCC!$A$5:$Q$50,T159+1,FALSE)</f>
        <v>1.727945421646023</v>
      </c>
      <c r="AI159" s="44">
        <f t="shared" si="70"/>
        <v>0</v>
      </c>
      <c r="AJ159" s="44">
        <f t="shared" si="71"/>
        <v>1299.4149570778093</v>
      </c>
      <c r="AK159" s="44">
        <f>HLOOKUP(I159,ElecAvoidedCostsWOCC!$A$5:$Q$50,G159+1,FALSE)*J159*L159</f>
        <v>0</v>
      </c>
      <c r="AL159" s="44">
        <f t="shared" si="72"/>
        <v>1299.4149570778093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1299.4149570778093</v>
      </c>
      <c r="AN159" s="48">
        <f t="shared" si="73"/>
        <v>1429.3564527855904</v>
      </c>
      <c r="AO159" s="47">
        <f t="shared" si="74"/>
        <v>2.6780287996808658</v>
      </c>
      <c r="AP159" s="47">
        <f t="shared" si="75"/>
        <v>2.2081008183658457</v>
      </c>
      <c r="AQ159">
        <v>2020</v>
      </c>
    </row>
    <row r="160" spans="2:43">
      <c r="B160" s="97" t="s">
        <v>15</v>
      </c>
      <c r="C160" s="61">
        <v>18230627</v>
      </c>
      <c r="D160" s="61" t="s">
        <v>80</v>
      </c>
      <c r="E160" s="38" t="s">
        <v>743</v>
      </c>
      <c r="F160" s="39" t="s">
        <v>744</v>
      </c>
      <c r="G160" s="39">
        <v>20</v>
      </c>
      <c r="H160" s="39"/>
      <c r="I160" s="40" t="s">
        <v>269</v>
      </c>
      <c r="J160" s="41">
        <v>4</v>
      </c>
      <c r="K160" s="41">
        <v>848</v>
      </c>
      <c r="L160" s="41"/>
      <c r="M160" s="42">
        <v>300</v>
      </c>
      <c r="N160" s="42">
        <v>631.58000000000004</v>
      </c>
      <c r="O160" s="43">
        <v>3392</v>
      </c>
      <c r="P160" s="44">
        <v>1117.25</v>
      </c>
      <c r="Q160" s="44">
        <v>2526.3200000000002</v>
      </c>
      <c r="R160" s="45">
        <v>0</v>
      </c>
      <c r="S160" s="46">
        <v>0</v>
      </c>
      <c r="T160" s="39">
        <f t="shared" si="57"/>
        <v>20</v>
      </c>
      <c r="U160" s="47">
        <f t="shared" si="58"/>
        <v>2.4380012490947039E-2</v>
      </c>
      <c r="V160" s="48">
        <f t="shared" si="59"/>
        <v>331.58000000000004</v>
      </c>
      <c r="W160" s="49">
        <f t="shared" si="60"/>
        <v>1.219000624547352E-3</v>
      </c>
      <c r="X160" s="44">
        <f t="shared" si="61"/>
        <v>378.27288666574947</v>
      </c>
      <c r="Y160" s="44">
        <f t="shared" si="62"/>
        <v>1409.0700000000002</v>
      </c>
      <c r="Z160" s="44">
        <f t="shared" si="63"/>
        <v>2341.168203502898</v>
      </c>
      <c r="AA160" s="50">
        <f t="shared" si="64"/>
        <v>2904.5928866657496</v>
      </c>
      <c r="AB160" s="51">
        <f t="shared" si="65"/>
        <v>2188.6212989650348</v>
      </c>
      <c r="AC160" s="44">
        <f t="shared" si="66"/>
        <v>2715.3340999025422</v>
      </c>
      <c r="AD160" s="44">
        <f t="shared" si="67"/>
        <v>0</v>
      </c>
      <c r="AE160" s="44">
        <f t="shared" si="68"/>
        <v>0</v>
      </c>
      <c r="AF160" s="52">
        <f>HLOOKUP(I160,ElecAvoidedCostsWOCC!$A$5:$Q$50,G160+1,FALSE)</f>
        <v>1.727945421646023</v>
      </c>
      <c r="AG160" s="44">
        <f t="shared" si="69"/>
        <v>5861.1908702233104</v>
      </c>
      <c r="AH160" s="52">
        <f>HLOOKUP(I160,ElecAvoidedCostsWOCC!$A$5:$Q$50,T160+1,FALSE)</f>
        <v>1.727945421646023</v>
      </c>
      <c r="AI160" s="44">
        <f t="shared" si="70"/>
        <v>0</v>
      </c>
      <c r="AJ160" s="44">
        <f t="shared" si="71"/>
        <v>5861.1908702233104</v>
      </c>
      <c r="AK160" s="44">
        <f>HLOOKUP(I160,ElecAvoidedCostsWOCC!$A$5:$Q$50,G160+1,FALSE)*J160*L160</f>
        <v>0</v>
      </c>
      <c r="AL160" s="44">
        <f t="shared" si="72"/>
        <v>5861.1908702233104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5861.1908702233104</v>
      </c>
      <c r="AN160" s="48">
        <f t="shared" si="73"/>
        <v>6447.3099572456422</v>
      </c>
      <c r="AO160" s="47">
        <f t="shared" si="74"/>
        <v>2.6780287996808663</v>
      </c>
      <c r="AP160" s="47">
        <f t="shared" si="75"/>
        <v>2.3744076124838731</v>
      </c>
      <c r="AQ160">
        <v>2020</v>
      </c>
    </row>
    <row r="161" spans="2:43">
      <c r="B161" s="97" t="s">
        <v>15</v>
      </c>
      <c r="C161" s="61">
        <v>18230627</v>
      </c>
      <c r="D161" s="61" t="s">
        <v>80</v>
      </c>
      <c r="E161" s="38" t="s">
        <v>1996</v>
      </c>
      <c r="F161" s="39" t="s">
        <v>746</v>
      </c>
      <c r="G161" s="39">
        <v>30</v>
      </c>
      <c r="H161" s="39"/>
      <c r="I161" s="40" t="s">
        <v>269</v>
      </c>
      <c r="J161" s="41">
        <v>1371</v>
      </c>
      <c r="K161" s="41">
        <v>2.23</v>
      </c>
      <c r="L161" s="41"/>
      <c r="M161" s="42">
        <v>0.22</v>
      </c>
      <c r="N161" s="42">
        <v>1.54</v>
      </c>
      <c r="O161" s="43">
        <v>3057.33</v>
      </c>
      <c r="P161" s="44">
        <v>400</v>
      </c>
      <c r="Q161" s="44">
        <v>2111.34</v>
      </c>
      <c r="R161" s="45">
        <v>0.04</v>
      </c>
      <c r="S161" s="46">
        <v>0</v>
      </c>
      <c r="T161" s="39">
        <f t="shared" si="57"/>
        <v>30</v>
      </c>
      <c r="U161" s="47">
        <f t="shared" si="58"/>
        <v>3.2961855950300906E-2</v>
      </c>
      <c r="V161" s="48">
        <f t="shared" si="59"/>
        <v>1.32</v>
      </c>
      <c r="W161" s="49">
        <f t="shared" si="60"/>
        <v>1.0987285316766968E-3</v>
      </c>
      <c r="X161" s="44">
        <f t="shared" si="61"/>
        <v>340.95077965501054</v>
      </c>
      <c r="Y161" s="44">
        <f t="shared" si="62"/>
        <v>1711.3400000000001</v>
      </c>
      <c r="Z161" s="44">
        <f t="shared" si="63"/>
        <v>2110.1780022451399</v>
      </c>
      <c r="AA161" s="50">
        <f t="shared" si="64"/>
        <v>2452.2907796550107</v>
      </c>
      <c r="AB161" s="51">
        <f t="shared" si="65"/>
        <v>1972.6820624896136</v>
      </c>
      <c r="AC161" s="44">
        <f t="shared" si="66"/>
        <v>2292.5032996681412</v>
      </c>
      <c r="AD161" s="44">
        <f t="shared" si="67"/>
        <v>682.56768039602002</v>
      </c>
      <c r="AE161" s="44">
        <f t="shared" si="68"/>
        <v>0</v>
      </c>
      <c r="AF161" s="52">
        <f>HLOOKUP(I161,ElecAvoidedCostsWOCC!$A$5:$Q$50,G161+1,FALSE)</f>
        <v>2.3666688857668672</v>
      </c>
      <c r="AG161" s="44">
        <f t="shared" si="69"/>
        <v>7235.6877845216159</v>
      </c>
      <c r="AH161" s="52">
        <f>HLOOKUP(I161,ElecAvoidedCostsWOCC!$A$5:$Q$50,T161+1,FALSE)</f>
        <v>2.3666688857668672</v>
      </c>
      <c r="AI161" s="44">
        <f t="shared" si="70"/>
        <v>0</v>
      </c>
      <c r="AJ161" s="44">
        <f t="shared" si="71"/>
        <v>7235.6877845216159</v>
      </c>
      <c r="AK161" s="44">
        <f>HLOOKUP(I161,ElecAvoidedCostsWOCC!$A$5:$Q$50,G161+1,FALSE)*J161*L161</f>
        <v>0</v>
      </c>
      <c r="AL161" s="44">
        <f t="shared" si="72"/>
        <v>7235.6877845216159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7235.6877845216159</v>
      </c>
      <c r="AN161" s="48">
        <f t="shared" si="73"/>
        <v>8641.8242433697978</v>
      </c>
      <c r="AO161" s="47">
        <f t="shared" si="74"/>
        <v>3.6679442278650072</v>
      </c>
      <c r="AP161" s="47">
        <f t="shared" si="75"/>
        <v>3.7696016597318631</v>
      </c>
      <c r="AQ161">
        <v>2020</v>
      </c>
    </row>
    <row r="162" spans="2:43">
      <c r="B162" s="97" t="s">
        <v>15</v>
      </c>
      <c r="C162" s="61">
        <v>18230627</v>
      </c>
      <c r="D162" s="61" t="s">
        <v>80</v>
      </c>
      <c r="E162" s="38" t="s">
        <v>745</v>
      </c>
      <c r="F162" s="39" t="s">
        <v>746</v>
      </c>
      <c r="G162" s="39">
        <v>45</v>
      </c>
      <c r="H162" s="39"/>
      <c r="I162" s="40" t="s">
        <v>269</v>
      </c>
      <c r="J162" s="41">
        <v>7517</v>
      </c>
      <c r="K162" s="41">
        <v>2.23</v>
      </c>
      <c r="L162" s="41"/>
      <c r="M162" s="42">
        <v>0.75</v>
      </c>
      <c r="N162" s="42">
        <v>1.54</v>
      </c>
      <c r="O162" s="43">
        <v>16762.91</v>
      </c>
      <c r="P162" s="44">
        <v>2965</v>
      </c>
      <c r="Q162" s="44">
        <v>11576.18</v>
      </c>
      <c r="R162" s="45">
        <v>0.04</v>
      </c>
      <c r="S162" s="46">
        <v>0</v>
      </c>
      <c r="T162" s="39">
        <f t="shared" si="57"/>
        <v>45</v>
      </c>
      <c r="U162" s="47">
        <f t="shared" si="58"/>
        <v>0.27108782404640253</v>
      </c>
      <c r="V162" s="48">
        <f t="shared" si="59"/>
        <v>0.79</v>
      </c>
      <c r="W162" s="49">
        <f t="shared" si="60"/>
        <v>6.0241738676978336E-3</v>
      </c>
      <c r="X162" s="44">
        <f t="shared" si="61"/>
        <v>1869.3851281303532</v>
      </c>
      <c r="Y162" s="44">
        <f t="shared" si="62"/>
        <v>8611.18</v>
      </c>
      <c r="Z162" s="44">
        <f t="shared" si="63"/>
        <v>11569.808929888197</v>
      </c>
      <c r="AA162" s="50">
        <f t="shared" si="64"/>
        <v>13445.565128130354</v>
      </c>
      <c r="AB162" s="51">
        <f t="shared" si="65"/>
        <v>10815.938047946336</v>
      </c>
      <c r="AC162" s="44">
        <f t="shared" si="66"/>
        <v>12569.472869150559</v>
      </c>
      <c r="AD162" s="44">
        <f t="shared" si="67"/>
        <v>4105.9078694965701</v>
      </c>
      <c r="AE162" s="44">
        <f t="shared" si="68"/>
        <v>0</v>
      </c>
      <c r="AF162" s="52">
        <f>HLOOKUP(I162,ElecAvoidedCostsWOCC!$A$5:$Q$50,G162+1,FALSE)</f>
        <v>3.4276422079642828</v>
      </c>
      <c r="AG162" s="44">
        <f t="shared" si="69"/>
        <v>57457.25784430655</v>
      </c>
      <c r="AH162" s="52">
        <f>HLOOKUP(I162,ElecAvoidedCostsWOCC!$A$5:$Q$50,T162+1,FALSE)</f>
        <v>3.4276422079642828</v>
      </c>
      <c r="AI162" s="44">
        <f t="shared" si="70"/>
        <v>0</v>
      </c>
      <c r="AJ162" s="44">
        <f t="shared" si="71"/>
        <v>57457.25784430655</v>
      </c>
      <c r="AK162" s="44">
        <f>HLOOKUP(I162,ElecAvoidedCostsWOCC!$A$5:$Q$50,G162+1,FALSE)*J162*L162</f>
        <v>0</v>
      </c>
      <c r="AL162" s="44">
        <f t="shared" si="72"/>
        <v>57457.25784430655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57457.25784430655</v>
      </c>
      <c r="AN162" s="48">
        <f t="shared" si="73"/>
        <v>67308.891498233774</v>
      </c>
      <c r="AO162" s="47">
        <f t="shared" si="74"/>
        <v>5.3122769000342211</v>
      </c>
      <c r="AP162" s="47">
        <f t="shared" si="75"/>
        <v>5.3549494238084536</v>
      </c>
      <c r="AQ162">
        <v>2020</v>
      </c>
    </row>
    <row r="163" spans="2:43">
      <c r="B163" s="97" t="s">
        <v>15</v>
      </c>
      <c r="C163" s="61">
        <v>18230627</v>
      </c>
      <c r="D163" s="61" t="s">
        <v>80</v>
      </c>
      <c r="E163" s="38" t="s">
        <v>1998</v>
      </c>
      <c r="F163" s="39" t="s">
        <v>752</v>
      </c>
      <c r="G163" s="39">
        <v>30</v>
      </c>
      <c r="H163" s="39"/>
      <c r="I163" s="40" t="s">
        <v>269</v>
      </c>
      <c r="J163" s="41">
        <v>1200</v>
      </c>
      <c r="K163" s="41">
        <v>0.96</v>
      </c>
      <c r="L163" s="41"/>
      <c r="M163" s="42">
        <v>0.22</v>
      </c>
      <c r="N163" s="42">
        <v>1.54</v>
      </c>
      <c r="O163" s="43">
        <v>1152</v>
      </c>
      <c r="P163" s="44">
        <v>400</v>
      </c>
      <c r="Q163" s="44">
        <v>1848</v>
      </c>
      <c r="R163" s="45">
        <v>0.02</v>
      </c>
      <c r="S163" s="46">
        <v>0</v>
      </c>
      <c r="T163" s="39">
        <f t="shared" si="57"/>
        <v>30</v>
      </c>
      <c r="U163" s="47">
        <f t="shared" si="58"/>
        <v>1.2420006363312643E-2</v>
      </c>
      <c r="V163" s="48">
        <f t="shared" si="59"/>
        <v>1.32</v>
      </c>
      <c r="W163" s="49">
        <f t="shared" si="60"/>
        <v>4.1400021211042144E-4</v>
      </c>
      <c r="X163" s="44">
        <f t="shared" si="61"/>
        <v>128.47003698082057</v>
      </c>
      <c r="Y163" s="44">
        <f t="shared" si="62"/>
        <v>1448</v>
      </c>
      <c r="Z163" s="44">
        <f t="shared" si="63"/>
        <v>795.1137294915502</v>
      </c>
      <c r="AA163" s="50">
        <f t="shared" si="64"/>
        <v>1976.4700369808206</v>
      </c>
      <c r="AB163" s="51">
        <f t="shared" si="65"/>
        <v>743.30534681831364</v>
      </c>
      <c r="AC163" s="44">
        <f t="shared" si="66"/>
        <v>1847.6863017489206</v>
      </c>
      <c r="AD163" s="44">
        <f t="shared" si="67"/>
        <v>298.71670914486657</v>
      </c>
      <c r="AE163" s="44">
        <f t="shared" si="68"/>
        <v>0</v>
      </c>
      <c r="AF163" s="52">
        <f>HLOOKUP(I163,ElecAvoidedCostsWOCC!$A$5:$Q$50,G163+1,FALSE)</f>
        <v>2.3666688857668672</v>
      </c>
      <c r="AG163" s="44">
        <f t="shared" si="69"/>
        <v>2726.4025564034309</v>
      </c>
      <c r="AH163" s="52">
        <f>HLOOKUP(I163,ElecAvoidedCostsWOCC!$A$5:$Q$50,T163+1,FALSE)</f>
        <v>2.3666688857668672</v>
      </c>
      <c r="AI163" s="44">
        <f t="shared" si="70"/>
        <v>0</v>
      </c>
      <c r="AJ163" s="44">
        <f t="shared" si="71"/>
        <v>2726.4025564034309</v>
      </c>
      <c r="AK163" s="44">
        <f>HLOOKUP(I163,ElecAvoidedCostsWOCC!$A$5:$Q$50,G163+1,FALSE)*J163*L163</f>
        <v>0</v>
      </c>
      <c r="AL163" s="44">
        <f t="shared" si="72"/>
        <v>2726.4025564034309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2726.4025564034309</v>
      </c>
      <c r="AN163" s="48">
        <f t="shared" si="73"/>
        <v>3297.7595211886405</v>
      </c>
      <c r="AO163" s="47">
        <f t="shared" si="74"/>
        <v>3.6679442278650072</v>
      </c>
      <c r="AP163" s="47">
        <f t="shared" si="75"/>
        <v>1.7848048762753497</v>
      </c>
      <c r="AQ163">
        <v>2020</v>
      </c>
    </row>
    <row r="164" spans="2:43">
      <c r="B164" s="97" t="s">
        <v>15</v>
      </c>
      <c r="C164" s="61">
        <v>18230627</v>
      </c>
      <c r="D164" s="61" t="s">
        <v>80</v>
      </c>
      <c r="E164" s="38" t="s">
        <v>751</v>
      </c>
      <c r="F164" s="39" t="s">
        <v>752</v>
      </c>
      <c r="G164" s="39">
        <v>45</v>
      </c>
      <c r="H164" s="39"/>
      <c r="I164" s="40" t="s">
        <v>269</v>
      </c>
      <c r="J164" s="41">
        <v>7606</v>
      </c>
      <c r="K164" s="41">
        <v>0.96</v>
      </c>
      <c r="L164" s="41"/>
      <c r="M164" s="42">
        <v>0.75</v>
      </c>
      <c r="N164" s="42">
        <v>1.54</v>
      </c>
      <c r="O164" s="43">
        <v>7301.76</v>
      </c>
      <c r="P164" s="44">
        <v>2400</v>
      </c>
      <c r="Q164" s="44">
        <v>11713.24</v>
      </c>
      <c r="R164" s="45">
        <v>0.02</v>
      </c>
      <c r="S164" s="46">
        <v>0</v>
      </c>
      <c r="T164" s="39">
        <f t="shared" si="57"/>
        <v>45</v>
      </c>
      <c r="U164" s="47">
        <f t="shared" si="58"/>
        <v>0.11808321049919496</v>
      </c>
      <c r="V164" s="48">
        <f t="shared" si="59"/>
        <v>0.79</v>
      </c>
      <c r="W164" s="49">
        <f t="shared" si="60"/>
        <v>2.6240713444265545E-3</v>
      </c>
      <c r="X164" s="44">
        <f t="shared" si="61"/>
        <v>814.285917730101</v>
      </c>
      <c r="Y164" s="44">
        <f t="shared" si="62"/>
        <v>9313.24</v>
      </c>
      <c r="Z164" s="44">
        <f t="shared" si="63"/>
        <v>5039.695855427276</v>
      </c>
      <c r="AA164" s="50">
        <f t="shared" si="64"/>
        <v>12527.525917730101</v>
      </c>
      <c r="AB164" s="51">
        <f t="shared" si="65"/>
        <v>4711.3170565834116</v>
      </c>
      <c r="AC164" s="44">
        <f t="shared" si="66"/>
        <v>11711.251675918575</v>
      </c>
      <c r="AD164" s="44">
        <f t="shared" si="67"/>
        <v>2077.2605597572779</v>
      </c>
      <c r="AE164" s="44">
        <f t="shared" si="68"/>
        <v>0</v>
      </c>
      <c r="AF164" s="52">
        <f>HLOOKUP(I164,ElecAvoidedCostsWOCC!$A$5:$Q$50,G164+1,FALSE)</f>
        <v>3.4276422079642828</v>
      </c>
      <c r="AG164" s="44">
        <f t="shared" si="69"/>
        <v>25027.820768425281</v>
      </c>
      <c r="AH164" s="52">
        <f>HLOOKUP(I164,ElecAvoidedCostsWOCC!$A$5:$Q$50,T164+1,FALSE)</f>
        <v>3.4276422079642828</v>
      </c>
      <c r="AI164" s="44">
        <f t="shared" si="70"/>
        <v>0</v>
      </c>
      <c r="AJ164" s="44">
        <f t="shared" si="71"/>
        <v>25027.820768425281</v>
      </c>
      <c r="AK164" s="44">
        <f>HLOOKUP(I164,ElecAvoidedCostsWOCC!$A$5:$Q$50,G164+1,FALSE)*J164*L164</f>
        <v>0</v>
      </c>
      <c r="AL164" s="44">
        <f t="shared" si="72"/>
        <v>25027.820768425281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25027.820768425281</v>
      </c>
      <c r="AN164" s="48">
        <f t="shared" si="73"/>
        <v>29607.863405025088</v>
      </c>
      <c r="AO164" s="47">
        <f t="shared" si="74"/>
        <v>5.312276900034222</v>
      </c>
      <c r="AP164" s="47">
        <f t="shared" si="75"/>
        <v>2.5281553350874248</v>
      </c>
      <c r="AQ164">
        <v>2020</v>
      </c>
    </row>
    <row r="165" spans="2:43">
      <c r="B165" s="97" t="s">
        <v>15</v>
      </c>
      <c r="C165" s="61">
        <v>18230627</v>
      </c>
      <c r="D165" s="61" t="s">
        <v>80</v>
      </c>
      <c r="E165" s="38" t="s">
        <v>1999</v>
      </c>
      <c r="F165" s="39" t="s">
        <v>755</v>
      </c>
      <c r="G165" s="39">
        <v>30</v>
      </c>
      <c r="H165" s="39"/>
      <c r="I165" s="40" t="s">
        <v>269</v>
      </c>
      <c r="J165" s="41">
        <v>3391</v>
      </c>
      <c r="K165" s="41">
        <v>1.53</v>
      </c>
      <c r="L165" s="41"/>
      <c r="M165" s="42">
        <v>0.22</v>
      </c>
      <c r="N165" s="42">
        <v>1.39</v>
      </c>
      <c r="O165" s="43">
        <v>5188.2299999999996</v>
      </c>
      <c r="P165" s="44">
        <v>2231.77</v>
      </c>
      <c r="Q165" s="44">
        <v>4713.49</v>
      </c>
      <c r="R165" s="45">
        <v>0.03</v>
      </c>
      <c r="S165" s="46">
        <v>0</v>
      </c>
      <c r="T165" s="39">
        <f t="shared" si="57"/>
        <v>30</v>
      </c>
      <c r="U165" s="47">
        <f t="shared" si="58"/>
        <v>5.5935633345772173E-2</v>
      </c>
      <c r="V165" s="48">
        <f t="shared" si="59"/>
        <v>1.17</v>
      </c>
      <c r="W165" s="49">
        <f t="shared" si="60"/>
        <v>1.8645211115257392E-3</v>
      </c>
      <c r="X165" s="44">
        <f t="shared" si="61"/>
        <v>578.58689233073142</v>
      </c>
      <c r="Y165" s="44">
        <f t="shared" si="62"/>
        <v>2481.7199999999998</v>
      </c>
      <c r="Z165" s="44">
        <f t="shared" si="63"/>
        <v>3580.9313409374527</v>
      </c>
      <c r="AA165" s="50">
        <f t="shared" si="64"/>
        <v>5292.0768923307314</v>
      </c>
      <c r="AB165" s="51">
        <f t="shared" si="65"/>
        <v>3347.6033850027598</v>
      </c>
      <c r="AC165" s="44">
        <f t="shared" si="66"/>
        <v>4947.2533348889701</v>
      </c>
      <c r="AD165" s="44">
        <f t="shared" si="67"/>
        <v>1266.185450887803</v>
      </c>
      <c r="AE165" s="44">
        <f t="shared" si="68"/>
        <v>0</v>
      </c>
      <c r="AF165" s="52">
        <f>HLOOKUP(I165,ElecAvoidedCostsWOCC!$A$5:$Q$50,G165+1,FALSE)</f>
        <v>2.3666688857668672</v>
      </c>
      <c r="AG165" s="44">
        <f t="shared" si="69"/>
        <v>12278.822513202233</v>
      </c>
      <c r="AH165" s="52">
        <f>HLOOKUP(I165,ElecAvoidedCostsWOCC!$A$5:$Q$50,T165+1,FALSE)</f>
        <v>2.3666688857668672</v>
      </c>
      <c r="AI165" s="44">
        <f t="shared" si="70"/>
        <v>0</v>
      </c>
      <c r="AJ165" s="44">
        <f t="shared" si="71"/>
        <v>12278.822513202233</v>
      </c>
      <c r="AK165" s="44">
        <f>HLOOKUP(I165,ElecAvoidedCostsWOCC!$A$5:$Q$50,G165+1,FALSE)*J165*L165</f>
        <v>0</v>
      </c>
      <c r="AL165" s="44">
        <f t="shared" si="72"/>
        <v>12278.822513202233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12278.822513202234</v>
      </c>
      <c r="AN165" s="48">
        <f t="shared" si="73"/>
        <v>14772.890215410262</v>
      </c>
      <c r="AO165" s="47">
        <f t="shared" si="74"/>
        <v>3.6679442278650081</v>
      </c>
      <c r="AP165" s="47">
        <f t="shared" si="75"/>
        <v>2.9860791868548624</v>
      </c>
      <c r="AQ165">
        <v>2020</v>
      </c>
    </row>
    <row r="166" spans="2:43">
      <c r="B166" s="97" t="s">
        <v>15</v>
      </c>
      <c r="C166" s="61">
        <v>18230627</v>
      </c>
      <c r="D166" s="61" t="s">
        <v>80</v>
      </c>
      <c r="E166" s="38" t="s">
        <v>754</v>
      </c>
      <c r="F166" s="39" t="s">
        <v>755</v>
      </c>
      <c r="G166" s="39">
        <v>45</v>
      </c>
      <c r="H166" s="39"/>
      <c r="I166" s="40" t="s">
        <v>269</v>
      </c>
      <c r="J166" s="41">
        <v>12960</v>
      </c>
      <c r="K166" s="41">
        <v>1.53</v>
      </c>
      <c r="L166" s="41"/>
      <c r="M166" s="42">
        <v>0.75</v>
      </c>
      <c r="N166" s="42">
        <v>1.39</v>
      </c>
      <c r="O166" s="43">
        <v>19828.8</v>
      </c>
      <c r="P166" s="44">
        <v>5578.04</v>
      </c>
      <c r="Q166" s="44">
        <v>18014.400000000001</v>
      </c>
      <c r="R166" s="45">
        <v>0.03</v>
      </c>
      <c r="S166" s="46">
        <v>0</v>
      </c>
      <c r="T166" s="39">
        <f t="shared" si="57"/>
        <v>45</v>
      </c>
      <c r="U166" s="47">
        <f t="shared" si="58"/>
        <v>0.32066903929277829</v>
      </c>
      <c r="V166" s="48">
        <f t="shared" si="59"/>
        <v>0.6399999999999999</v>
      </c>
      <c r="W166" s="49">
        <f t="shared" si="60"/>
        <v>7.1259786509506292E-3</v>
      </c>
      <c r="X166" s="44">
        <f t="shared" si="61"/>
        <v>2211.2905115323742</v>
      </c>
      <c r="Y166" s="44">
        <f t="shared" si="62"/>
        <v>12436.36</v>
      </c>
      <c r="Z166" s="44">
        <f t="shared" si="63"/>
        <v>13685.895068873309</v>
      </c>
      <c r="AA166" s="50">
        <f t="shared" si="64"/>
        <v>20225.690511532375</v>
      </c>
      <c r="AB166" s="51">
        <f t="shared" si="65"/>
        <v>12794.143282110226</v>
      </c>
      <c r="AC166" s="44">
        <f t="shared" si="66"/>
        <v>18907.81575351255</v>
      </c>
      <c r="AD166" s="44">
        <f t="shared" si="67"/>
        <v>5309.2223615147877</v>
      </c>
      <c r="AE166" s="44">
        <f t="shared" si="68"/>
        <v>0</v>
      </c>
      <c r="AF166" s="52">
        <f>HLOOKUP(I166,ElecAvoidedCostsWOCC!$A$5:$Q$50,G166+1,FALSE)</f>
        <v>3.4276422079642828</v>
      </c>
      <c r="AG166" s="44">
        <f t="shared" si="69"/>
        <v>67966.03181328217</v>
      </c>
      <c r="AH166" s="52">
        <f>HLOOKUP(I166,ElecAvoidedCostsWOCC!$A$5:$Q$50,T166+1,FALSE)</f>
        <v>3.4276422079642828</v>
      </c>
      <c r="AI166" s="44">
        <f t="shared" si="70"/>
        <v>0</v>
      </c>
      <c r="AJ166" s="44">
        <f t="shared" si="71"/>
        <v>67966.03181328217</v>
      </c>
      <c r="AK166" s="44">
        <f>HLOOKUP(I166,ElecAvoidedCostsWOCC!$A$5:$Q$50,G166+1,FALSE)*J166*L166</f>
        <v>0</v>
      </c>
      <c r="AL166" s="44">
        <f t="shared" si="72"/>
        <v>67966.03181328217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67966.03181328217</v>
      </c>
      <c r="AN166" s="48">
        <f t="shared" si="73"/>
        <v>80071.857356125169</v>
      </c>
      <c r="AO166" s="47">
        <f t="shared" si="74"/>
        <v>5.3122769000342211</v>
      </c>
      <c r="AP166" s="47">
        <f t="shared" si="75"/>
        <v>4.2348549615653006</v>
      </c>
      <c r="AQ166">
        <v>2020</v>
      </c>
    </row>
    <row r="167" spans="2:43">
      <c r="B167" s="97" t="s">
        <v>15</v>
      </c>
      <c r="C167" s="61">
        <v>18230627</v>
      </c>
      <c r="D167" s="61" t="s">
        <v>80</v>
      </c>
      <c r="E167" s="38" t="s">
        <v>1860</v>
      </c>
      <c r="F167" s="39" t="s">
        <v>1861</v>
      </c>
      <c r="G167" s="39">
        <v>12</v>
      </c>
      <c r="H167" s="39"/>
      <c r="I167" s="40" t="s">
        <v>248</v>
      </c>
      <c r="J167" s="41">
        <v>1232</v>
      </c>
      <c r="K167" s="41">
        <v>11.32</v>
      </c>
      <c r="L167" s="41"/>
      <c r="M167" s="42">
        <v>2</v>
      </c>
      <c r="N167" s="42">
        <v>2</v>
      </c>
      <c r="O167" s="43">
        <v>13946.2399999999</v>
      </c>
      <c r="P167" s="44">
        <v>4644.6399999999803</v>
      </c>
      <c r="Q167" s="44">
        <v>2464</v>
      </c>
      <c r="R167" s="45">
        <v>0</v>
      </c>
      <c r="S167" s="46">
        <v>0</v>
      </c>
      <c r="T167" s="39">
        <f t="shared" si="57"/>
        <v>12</v>
      </c>
      <c r="U167" s="47">
        <f t="shared" si="58"/>
        <v>6.0143190813987522E-2</v>
      </c>
      <c r="V167" s="48">
        <f t="shared" si="59"/>
        <v>0</v>
      </c>
      <c r="W167" s="49">
        <f t="shared" si="60"/>
        <v>5.0119325678322935E-3</v>
      </c>
      <c r="X167" s="44">
        <f t="shared" si="61"/>
        <v>1555.2725421383559</v>
      </c>
      <c r="Y167" s="44">
        <f t="shared" si="62"/>
        <v>-2180.6399999999803</v>
      </c>
      <c r="Z167" s="44">
        <f t="shared" si="63"/>
        <v>9625.7351551945812</v>
      </c>
      <c r="AA167" s="50">
        <f t="shared" si="64"/>
        <v>4019.2725421383557</v>
      </c>
      <c r="AB167" s="51">
        <f t="shared" si="65"/>
        <v>8998.5371180654201</v>
      </c>
      <c r="AC167" s="44">
        <f t="shared" si="66"/>
        <v>3757.3829504892542</v>
      </c>
      <c r="AD167" s="44">
        <f t="shared" si="67"/>
        <v>0</v>
      </c>
      <c r="AE167" s="44">
        <f t="shared" si="68"/>
        <v>0</v>
      </c>
      <c r="AF167" s="52">
        <f>HLOOKUP(I167,ElecAvoidedCostsWOCC!$A$5:$Q$50,G167+1,FALSE)</f>
        <v>0.91115730059915656</v>
      </c>
      <c r="AG167" s="44">
        <f t="shared" si="69"/>
        <v>12707.218391907982</v>
      </c>
      <c r="AH167" s="52">
        <f>HLOOKUP(I167,ElecAvoidedCostsWOCC!$A$5:$Q$50,T167+1,FALSE)</f>
        <v>0.91115730059915656</v>
      </c>
      <c r="AI167" s="44">
        <f t="shared" si="70"/>
        <v>0</v>
      </c>
      <c r="AJ167" s="44">
        <f t="shared" si="71"/>
        <v>12707.218391907982</v>
      </c>
      <c r="AK167" s="44">
        <f>HLOOKUP(I167,ElecAvoidedCostsWOCC!$A$5:$Q$50,G167+1,FALSE)*J167*L167</f>
        <v>0</v>
      </c>
      <c r="AL167" s="44">
        <f t="shared" si="72"/>
        <v>12707.218391907982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12707.218391907982</v>
      </c>
      <c r="AN167" s="48">
        <f t="shared" si="73"/>
        <v>13977.940231098781</v>
      </c>
      <c r="AO167" s="47">
        <f t="shared" si="74"/>
        <v>1.4121426877705523</v>
      </c>
      <c r="AP167" s="47">
        <f t="shared" si="75"/>
        <v>3.7201265921746658</v>
      </c>
      <c r="AQ167">
        <v>2020</v>
      </c>
    </row>
    <row r="168" spans="2:43">
      <c r="B168" s="97" t="s">
        <v>15</v>
      </c>
      <c r="C168" s="61">
        <v>18230627</v>
      </c>
      <c r="D168" s="61" t="s">
        <v>80</v>
      </c>
      <c r="E168" s="38" t="s">
        <v>1873</v>
      </c>
      <c r="F168" s="39" t="s">
        <v>1874</v>
      </c>
      <c r="G168" s="39">
        <v>10</v>
      </c>
      <c r="H168" s="39"/>
      <c r="I168" s="40" t="s">
        <v>265</v>
      </c>
      <c r="J168" s="41">
        <v>750</v>
      </c>
      <c r="K168" s="41">
        <v>10</v>
      </c>
      <c r="L168" s="41"/>
      <c r="M168" s="42">
        <v>1.27</v>
      </c>
      <c r="N168" s="42">
        <v>1.27</v>
      </c>
      <c r="O168" s="43">
        <v>7500</v>
      </c>
      <c r="P168" s="44">
        <v>637.50000000000102</v>
      </c>
      <c r="Q168" s="44">
        <v>952.499999999995</v>
      </c>
      <c r="R168" s="45">
        <v>2.74</v>
      </c>
      <c r="S168" s="46">
        <v>0</v>
      </c>
      <c r="T168" s="39">
        <f t="shared" si="57"/>
        <v>10</v>
      </c>
      <c r="U168" s="47">
        <f t="shared" si="58"/>
        <v>2.6953138809272231E-2</v>
      </c>
      <c r="V168" s="48">
        <f t="shared" si="59"/>
        <v>0</v>
      </c>
      <c r="W168" s="49">
        <f t="shared" si="60"/>
        <v>2.6953138809272231E-3</v>
      </c>
      <c r="X168" s="44">
        <f t="shared" si="61"/>
        <v>836.39346992721732</v>
      </c>
      <c r="Y168" s="44">
        <f t="shared" si="62"/>
        <v>314.99999999999397</v>
      </c>
      <c r="Z168" s="44">
        <f t="shared" si="63"/>
        <v>5176.5216763772814</v>
      </c>
      <c r="AA168" s="50">
        <f t="shared" si="64"/>
        <v>1788.8934699272122</v>
      </c>
      <c r="AB168" s="51">
        <f t="shared" si="65"/>
        <v>4839.227518348398</v>
      </c>
      <c r="AC168" s="44">
        <f t="shared" si="66"/>
        <v>1672.33193411911</v>
      </c>
      <c r="AD168" s="44">
        <f t="shared" si="67"/>
        <v>14453.496928304272</v>
      </c>
      <c r="AE168" s="44">
        <f t="shared" si="68"/>
        <v>0</v>
      </c>
      <c r="AF168" s="52">
        <f>HLOOKUP(I168,ElecAvoidedCostsWOCC!$A$5:$Q$50,G168+1,FALSE)</f>
        <v>0.74487332198138856</v>
      </c>
      <c r="AG168" s="44">
        <f t="shared" si="69"/>
        <v>5586.5499148604149</v>
      </c>
      <c r="AH168" s="52">
        <f>HLOOKUP(I168,ElecAvoidedCostsWOCC!$A$5:$Q$50,T168+1,FALSE)</f>
        <v>0.74487332198138856</v>
      </c>
      <c r="AI168" s="44">
        <f t="shared" si="70"/>
        <v>0</v>
      </c>
      <c r="AJ168" s="44">
        <f t="shared" si="71"/>
        <v>5586.5499148604149</v>
      </c>
      <c r="AK168" s="44">
        <f>HLOOKUP(I168,ElecAvoidedCostsWOCC!$A$5:$Q$50,G168+1,FALSE)*J168*L168</f>
        <v>0</v>
      </c>
      <c r="AL168" s="44">
        <f t="shared" si="72"/>
        <v>5586.5499148604149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5586.549914860414</v>
      </c>
      <c r="AN168" s="48">
        <f t="shared" si="73"/>
        <v>20598.701834650728</v>
      </c>
      <c r="AO168" s="47">
        <f t="shared" si="74"/>
        <v>1.1544301014321958</v>
      </c>
      <c r="AP168" s="47">
        <f t="shared" si="75"/>
        <v>12.317352443252219</v>
      </c>
      <c r="AQ168">
        <v>2020</v>
      </c>
    </row>
    <row r="169" spans="2:43">
      <c r="B169" s="97" t="s">
        <v>15</v>
      </c>
      <c r="C169" s="61">
        <v>18230627</v>
      </c>
      <c r="D169" s="61" t="s">
        <v>80</v>
      </c>
      <c r="E169" s="38" t="s">
        <v>1875</v>
      </c>
      <c r="F169" s="39" t="s">
        <v>1876</v>
      </c>
      <c r="G169" s="39">
        <v>10</v>
      </c>
      <c r="H169" s="39"/>
      <c r="I169" s="40" t="s">
        <v>265</v>
      </c>
      <c r="J169" s="41">
        <v>482</v>
      </c>
      <c r="K169" s="41">
        <v>12</v>
      </c>
      <c r="L169" s="41"/>
      <c r="M169" s="42">
        <v>1.81</v>
      </c>
      <c r="N169" s="42">
        <v>1.81</v>
      </c>
      <c r="O169" s="43">
        <v>5784</v>
      </c>
      <c r="P169" s="44">
        <v>482</v>
      </c>
      <c r="Q169" s="44">
        <v>872.42000000000098</v>
      </c>
      <c r="R169" s="45">
        <v>2.74</v>
      </c>
      <c r="S169" s="46">
        <v>0</v>
      </c>
      <c r="T169" s="39">
        <f t="shared" si="57"/>
        <v>10</v>
      </c>
      <c r="U169" s="47">
        <f t="shared" si="58"/>
        <v>2.0786260649710741E-2</v>
      </c>
      <c r="V169" s="48">
        <f t="shared" si="59"/>
        <v>0</v>
      </c>
      <c r="W169" s="49">
        <f t="shared" si="60"/>
        <v>2.0786260649710742E-3</v>
      </c>
      <c r="X169" s="44">
        <f t="shared" si="61"/>
        <v>645.02664400786989</v>
      </c>
      <c r="Y169" s="44">
        <f t="shared" si="62"/>
        <v>390.42000000000098</v>
      </c>
      <c r="Z169" s="44">
        <f t="shared" si="63"/>
        <v>3992.1335168221585</v>
      </c>
      <c r="AA169" s="50">
        <f t="shared" si="64"/>
        <v>1517.4466440078709</v>
      </c>
      <c r="AB169" s="51">
        <f t="shared" si="65"/>
        <v>3732.0122621502833</v>
      </c>
      <c r="AC169" s="44">
        <f t="shared" si="66"/>
        <v>1418.5721641655332</v>
      </c>
      <c r="AD169" s="44">
        <f t="shared" si="67"/>
        <v>9288.7806925902114</v>
      </c>
      <c r="AE169" s="44">
        <f t="shared" si="68"/>
        <v>0</v>
      </c>
      <c r="AF169" s="52">
        <f>HLOOKUP(I169,ElecAvoidedCostsWOCC!$A$5:$Q$50,G169+1,FALSE)</f>
        <v>0.74487332198138856</v>
      </c>
      <c r="AG169" s="44">
        <f t="shared" si="69"/>
        <v>4308.3472943403513</v>
      </c>
      <c r="AH169" s="52">
        <f>HLOOKUP(I169,ElecAvoidedCostsWOCC!$A$5:$Q$50,T169+1,FALSE)</f>
        <v>0.74487332198138856</v>
      </c>
      <c r="AI169" s="44">
        <f t="shared" si="70"/>
        <v>0</v>
      </c>
      <c r="AJ169" s="44">
        <f t="shared" si="71"/>
        <v>4308.3472943403513</v>
      </c>
      <c r="AK169" s="44">
        <f>HLOOKUP(I169,ElecAvoidedCostsWOCC!$A$5:$Q$50,G169+1,FALSE)*J169*L169</f>
        <v>0</v>
      </c>
      <c r="AL169" s="44">
        <f t="shared" si="72"/>
        <v>4308.3472943403513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4308.3472943403522</v>
      </c>
      <c r="AN169" s="48">
        <f t="shared" si="73"/>
        <v>14027.9627163646</v>
      </c>
      <c r="AO169" s="47">
        <f t="shared" si="74"/>
        <v>1.1544301014321963</v>
      </c>
      <c r="AP169" s="47">
        <f t="shared" si="75"/>
        <v>9.8887903419537828</v>
      </c>
      <c r="AQ169">
        <v>2020</v>
      </c>
    </row>
    <row r="170" spans="2:43">
      <c r="B170" s="97" t="s">
        <v>15</v>
      </c>
      <c r="C170" s="61">
        <v>18230627</v>
      </c>
      <c r="D170" s="61" t="s">
        <v>80</v>
      </c>
      <c r="E170" s="38" t="s">
        <v>2000</v>
      </c>
      <c r="F170" s="39" t="s">
        <v>2001</v>
      </c>
      <c r="G170" s="39">
        <v>25</v>
      </c>
      <c r="H170" s="39"/>
      <c r="I170" s="40" t="s">
        <v>269</v>
      </c>
      <c r="J170" s="41">
        <v>768</v>
      </c>
      <c r="K170" s="41">
        <v>0.63</v>
      </c>
      <c r="L170" s="41"/>
      <c r="M170" s="42">
        <v>0.86</v>
      </c>
      <c r="N170" s="42">
        <v>0.86</v>
      </c>
      <c r="O170" s="43">
        <v>483.84</v>
      </c>
      <c r="P170" s="44">
        <v>1200</v>
      </c>
      <c r="Q170" s="44">
        <v>660.48</v>
      </c>
      <c r="R170" s="45">
        <v>0</v>
      </c>
      <c r="S170" s="46">
        <v>0</v>
      </c>
      <c r="T170" s="39">
        <f t="shared" si="57"/>
        <v>25</v>
      </c>
      <c r="U170" s="47">
        <f t="shared" si="58"/>
        <v>4.3470022271594249E-3</v>
      </c>
      <c r="V170" s="48">
        <f t="shared" si="59"/>
        <v>0</v>
      </c>
      <c r="W170" s="49">
        <f t="shared" si="60"/>
        <v>1.7388008908637701E-4</v>
      </c>
      <c r="X170" s="44">
        <f t="shared" si="61"/>
        <v>53.95741553194464</v>
      </c>
      <c r="Y170" s="44">
        <f t="shared" si="62"/>
        <v>-539.52</v>
      </c>
      <c r="Z170" s="44">
        <f t="shared" si="63"/>
        <v>333.94776638645118</v>
      </c>
      <c r="AA170" s="50">
        <f t="shared" si="64"/>
        <v>714.43741553194468</v>
      </c>
      <c r="AB170" s="51">
        <f t="shared" si="65"/>
        <v>312.18824566369182</v>
      </c>
      <c r="AC170" s="44">
        <f t="shared" si="66"/>
        <v>667.88577688318651</v>
      </c>
      <c r="AD170" s="44">
        <f t="shared" si="67"/>
        <v>0</v>
      </c>
      <c r="AE170" s="44">
        <f t="shared" si="68"/>
        <v>0</v>
      </c>
      <c r="AF170" s="52">
        <f>HLOOKUP(I170,ElecAvoidedCostsWOCC!$A$5:$Q$50,G170+1,FALSE)</f>
        <v>2.0508206305871441</v>
      </c>
      <c r="AG170" s="44">
        <f t="shared" si="69"/>
        <v>992.26905390328386</v>
      </c>
      <c r="AH170" s="52">
        <f>HLOOKUP(I170,ElecAvoidedCostsWOCC!$A$5:$Q$50,T170+1,FALSE)</f>
        <v>2.0508206305871441</v>
      </c>
      <c r="AI170" s="44">
        <f t="shared" si="70"/>
        <v>0</v>
      </c>
      <c r="AJ170" s="44">
        <f t="shared" si="71"/>
        <v>992.26905390328386</v>
      </c>
      <c r="AK170" s="44">
        <f>HLOOKUP(I170,ElecAvoidedCostsWOCC!$A$5:$Q$50,G170+1,FALSE)*J170*L170</f>
        <v>0</v>
      </c>
      <c r="AL170" s="44">
        <f t="shared" si="72"/>
        <v>992.26905390328386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992.26905390328375</v>
      </c>
      <c r="AN170" s="48">
        <f t="shared" si="73"/>
        <v>1091.4959592936123</v>
      </c>
      <c r="AO170" s="47">
        <f t="shared" si="74"/>
        <v>3.17843182017883</v>
      </c>
      <c r="AP170" s="47">
        <f t="shared" si="75"/>
        <v>1.634255432698809</v>
      </c>
      <c r="AQ170">
        <v>2020</v>
      </c>
    </row>
    <row r="171" spans="2:43">
      <c r="B171" s="97" t="s">
        <v>15</v>
      </c>
      <c r="C171" s="61">
        <v>18230627</v>
      </c>
      <c r="D171" s="61" t="s">
        <v>80</v>
      </c>
      <c r="E171" s="38" t="s">
        <v>2004</v>
      </c>
      <c r="F171" s="39" t="s">
        <v>2005</v>
      </c>
      <c r="G171" s="39">
        <v>25</v>
      </c>
      <c r="H171" s="39"/>
      <c r="I171" s="40" t="s">
        <v>269</v>
      </c>
      <c r="J171" s="41">
        <v>1600</v>
      </c>
      <c r="K171" s="41">
        <v>0.33</v>
      </c>
      <c r="L171" s="41"/>
      <c r="M171" s="42">
        <v>0.97</v>
      </c>
      <c r="N171" s="42">
        <v>0.97</v>
      </c>
      <c r="O171" s="43">
        <v>528</v>
      </c>
      <c r="P171" s="44">
        <v>1139.25</v>
      </c>
      <c r="Q171" s="44">
        <v>1552</v>
      </c>
      <c r="R171" s="45">
        <v>0</v>
      </c>
      <c r="S171" s="46">
        <v>0</v>
      </c>
      <c r="T171" s="39">
        <f t="shared" si="57"/>
        <v>25</v>
      </c>
      <c r="U171" s="47">
        <f t="shared" si="58"/>
        <v>4.7437524304319127E-3</v>
      </c>
      <c r="V171" s="48">
        <f t="shared" si="59"/>
        <v>0</v>
      </c>
      <c r="W171" s="49">
        <f t="shared" si="60"/>
        <v>1.897500972172765E-4</v>
      </c>
      <c r="X171" s="44">
        <f t="shared" si="61"/>
        <v>58.882100282876095</v>
      </c>
      <c r="Y171" s="44">
        <f t="shared" si="62"/>
        <v>412.75</v>
      </c>
      <c r="Z171" s="44">
        <f t="shared" si="63"/>
        <v>364.42712601696053</v>
      </c>
      <c r="AA171" s="50">
        <f t="shared" si="64"/>
        <v>1610.8821002828761</v>
      </c>
      <c r="AB171" s="51">
        <f t="shared" si="65"/>
        <v>340.68161729172709</v>
      </c>
      <c r="AC171" s="44">
        <f t="shared" si="66"/>
        <v>1505.9195104074749</v>
      </c>
      <c r="AD171" s="44">
        <f t="shared" si="67"/>
        <v>0</v>
      </c>
      <c r="AE171" s="44">
        <f t="shared" si="68"/>
        <v>0</v>
      </c>
      <c r="AF171" s="52">
        <f>HLOOKUP(I171,ElecAvoidedCostsWOCC!$A$5:$Q$50,G171+1,FALSE)</f>
        <v>2.0508206305871441</v>
      </c>
      <c r="AG171" s="44">
        <f t="shared" si="69"/>
        <v>1082.8332929500123</v>
      </c>
      <c r="AH171" s="52">
        <f>HLOOKUP(I171,ElecAvoidedCostsWOCC!$A$5:$Q$50,T171+1,FALSE)</f>
        <v>2.0508206305871441</v>
      </c>
      <c r="AI171" s="44">
        <f t="shared" si="70"/>
        <v>0</v>
      </c>
      <c r="AJ171" s="44">
        <f t="shared" si="71"/>
        <v>1082.8332929500123</v>
      </c>
      <c r="AK171" s="44">
        <f>HLOOKUP(I171,ElecAvoidedCostsWOCC!$A$5:$Q$50,G171+1,FALSE)*J171*L171</f>
        <v>0</v>
      </c>
      <c r="AL171" s="44">
        <f t="shared" si="72"/>
        <v>1082.8332929500123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1082.833292950012</v>
      </c>
      <c r="AN171" s="48">
        <f t="shared" si="73"/>
        <v>1191.1166222450133</v>
      </c>
      <c r="AO171" s="47">
        <f t="shared" si="74"/>
        <v>3.1784318201788309</v>
      </c>
      <c r="AP171" s="47">
        <f t="shared" si="75"/>
        <v>0.79095636520621104</v>
      </c>
      <c r="AQ171">
        <v>2020</v>
      </c>
    </row>
    <row r="172" spans="2:43">
      <c r="B172" s="97" t="s">
        <v>15</v>
      </c>
      <c r="C172" s="61">
        <v>18230627</v>
      </c>
      <c r="D172" s="61" t="s">
        <v>80</v>
      </c>
      <c r="E172" s="38" t="s">
        <v>759</v>
      </c>
      <c r="F172" s="39" t="s">
        <v>760</v>
      </c>
      <c r="G172" s="39">
        <v>25</v>
      </c>
      <c r="H172" s="39"/>
      <c r="I172" s="40" t="s">
        <v>269</v>
      </c>
      <c r="J172" s="41">
        <v>5924.72</v>
      </c>
      <c r="K172" s="41">
        <v>3.95</v>
      </c>
      <c r="L172" s="41"/>
      <c r="M172" s="42">
        <v>200</v>
      </c>
      <c r="N172" s="42">
        <v>17.809999999999999</v>
      </c>
      <c r="O172" s="43">
        <v>23402.63</v>
      </c>
      <c r="P172" s="44">
        <v>75074.820000000007</v>
      </c>
      <c r="Q172" s="44">
        <v>105519.3</v>
      </c>
      <c r="R172" s="45">
        <v>0.03</v>
      </c>
      <c r="S172" s="46">
        <v>0</v>
      </c>
      <c r="T172" s="39">
        <f t="shared" si="57"/>
        <v>25</v>
      </c>
      <c r="U172" s="47">
        <f t="shared" si="58"/>
        <v>0.21025811163067953</v>
      </c>
      <c r="V172" s="48">
        <f t="shared" si="59"/>
        <v>-182.19</v>
      </c>
      <c r="W172" s="49">
        <f t="shared" si="60"/>
        <v>8.4103244652271817E-3</v>
      </c>
      <c r="X172" s="44">
        <f t="shared" si="61"/>
        <v>2609.8409214830394</v>
      </c>
      <c r="Y172" s="44">
        <f t="shared" si="62"/>
        <v>30444.479999999996</v>
      </c>
      <c r="Z172" s="44">
        <f t="shared" si="63"/>
        <v>16152.5628638983</v>
      </c>
      <c r="AA172" s="50">
        <f t="shared" si="64"/>
        <v>108129.14092148305</v>
      </c>
      <c r="AB172" s="51">
        <f t="shared" si="65"/>
        <v>15100.086813030101</v>
      </c>
      <c r="AC172" s="44">
        <f t="shared" si="66"/>
        <v>101083.61308916802</v>
      </c>
      <c r="AD172" s="44">
        <f t="shared" si="67"/>
        <v>2076.9364467320988</v>
      </c>
      <c r="AE172" s="44">
        <f t="shared" si="68"/>
        <v>0</v>
      </c>
      <c r="AF172" s="52">
        <f>HLOOKUP(I172,ElecAvoidedCostsWOCC!$A$5:$Q$50,G172+1,FALSE)</f>
        <v>2.0508206305871441</v>
      </c>
      <c r="AG172" s="44">
        <f t="shared" si="69"/>
        <v>47994.625125486447</v>
      </c>
      <c r="AH172" s="52">
        <f>HLOOKUP(I172,ElecAvoidedCostsWOCC!$A$5:$Q$50,T172+1,FALSE)</f>
        <v>2.0508206305871441</v>
      </c>
      <c r="AI172" s="44">
        <f t="shared" si="70"/>
        <v>0</v>
      </c>
      <c r="AJ172" s="44">
        <f t="shared" si="71"/>
        <v>47994.625125486447</v>
      </c>
      <c r="AK172" s="44">
        <f>HLOOKUP(I172,ElecAvoidedCostsWOCC!$A$5:$Q$50,G172+1,FALSE)*J172*L172</f>
        <v>0</v>
      </c>
      <c r="AL172" s="44">
        <f t="shared" si="72"/>
        <v>47994.625125486447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47994.625125486447</v>
      </c>
      <c r="AN172" s="48">
        <f t="shared" si="73"/>
        <v>54871.024084767196</v>
      </c>
      <c r="AO172" s="47">
        <f t="shared" si="74"/>
        <v>3.1784337215910003</v>
      </c>
      <c r="AP172" s="47">
        <f t="shared" si="75"/>
        <v>0.54282808467050236</v>
      </c>
      <c r="AQ172">
        <v>2020</v>
      </c>
    </row>
    <row r="173" spans="2:43">
      <c r="B173" s="97" t="s">
        <v>15</v>
      </c>
      <c r="C173" s="61">
        <v>18230627</v>
      </c>
      <c r="D173" s="61" t="s">
        <v>80</v>
      </c>
      <c r="E173" s="38" t="s">
        <v>762</v>
      </c>
      <c r="F173" s="39" t="s">
        <v>763</v>
      </c>
      <c r="G173" s="39">
        <v>25</v>
      </c>
      <c r="H173" s="39"/>
      <c r="I173" s="40" t="s">
        <v>269</v>
      </c>
      <c r="J173" s="41">
        <v>4380.28</v>
      </c>
      <c r="K173" s="41">
        <v>3.95</v>
      </c>
      <c r="L173" s="41"/>
      <c r="M173" s="42">
        <v>200</v>
      </c>
      <c r="N173" s="42">
        <v>17.809999999999999</v>
      </c>
      <c r="O173" s="43">
        <v>17302.09</v>
      </c>
      <c r="P173" s="44">
        <v>47748</v>
      </c>
      <c r="Q173" s="44">
        <v>78012.789999999994</v>
      </c>
      <c r="R173" s="45">
        <v>0.03</v>
      </c>
      <c r="S173" s="46">
        <v>0</v>
      </c>
      <c r="T173" s="39">
        <f t="shared" si="57"/>
        <v>25</v>
      </c>
      <c r="U173" s="47">
        <f t="shared" si="58"/>
        <v>0.15544854448684031</v>
      </c>
      <c r="V173" s="48">
        <f t="shared" si="59"/>
        <v>-182.19</v>
      </c>
      <c r="W173" s="49">
        <f t="shared" si="60"/>
        <v>6.2179417794736127E-3</v>
      </c>
      <c r="X173" s="44">
        <f t="shared" si="61"/>
        <v>1929.5140122790676</v>
      </c>
      <c r="Y173" s="44">
        <f t="shared" si="62"/>
        <v>30264.789999999994</v>
      </c>
      <c r="Z173" s="44">
        <f t="shared" si="63"/>
        <v>11941.952524217411</v>
      </c>
      <c r="AA173" s="50">
        <f t="shared" si="64"/>
        <v>79942.304012279055</v>
      </c>
      <c r="AB173" s="51">
        <f t="shared" si="65"/>
        <v>11163.833340392082</v>
      </c>
      <c r="AC173" s="44">
        <f t="shared" si="66"/>
        <v>74733.38694239418</v>
      </c>
      <c r="AD173" s="44">
        <f t="shared" si="67"/>
        <v>1535.526266033108</v>
      </c>
      <c r="AE173" s="44">
        <f t="shared" si="68"/>
        <v>0</v>
      </c>
      <c r="AF173" s="52">
        <f>HLOOKUP(I173,ElecAvoidedCostsWOCC!$A$5:$Q$50,G173+1,FALSE)</f>
        <v>2.0508206305871441</v>
      </c>
      <c r="AG173" s="44">
        <f t="shared" si="69"/>
        <v>35483.515937405609</v>
      </c>
      <c r="AH173" s="52">
        <f>HLOOKUP(I173,ElecAvoidedCostsWOCC!$A$5:$Q$50,T173+1,FALSE)</f>
        <v>2.0508206305871441</v>
      </c>
      <c r="AI173" s="44">
        <f t="shared" si="70"/>
        <v>0</v>
      </c>
      <c r="AJ173" s="44">
        <f t="shared" si="71"/>
        <v>35483.515937405609</v>
      </c>
      <c r="AK173" s="44">
        <f>HLOOKUP(I173,ElecAvoidedCostsWOCC!$A$5:$Q$50,G173+1,FALSE)*J173*L173</f>
        <v>0</v>
      </c>
      <c r="AL173" s="44">
        <f t="shared" si="72"/>
        <v>35483.515937405609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35483.515937405609</v>
      </c>
      <c r="AN173" s="48">
        <f t="shared" si="73"/>
        <v>40567.393797179277</v>
      </c>
      <c r="AO173" s="47">
        <f t="shared" si="74"/>
        <v>3.1784347594138662</v>
      </c>
      <c r="AP173" s="47">
        <f t="shared" si="75"/>
        <v>0.54282825196253104</v>
      </c>
      <c r="AQ173">
        <v>2020</v>
      </c>
    </row>
    <row r="174" spans="2:43">
      <c r="B174" s="97" t="s">
        <v>15</v>
      </c>
      <c r="C174" s="61">
        <v>18230627</v>
      </c>
      <c r="D174" s="61" t="s">
        <v>80</v>
      </c>
      <c r="E174" s="38" t="s">
        <v>768</v>
      </c>
      <c r="F174" s="39" t="s">
        <v>769</v>
      </c>
      <c r="G174" s="39"/>
      <c r="H174" s="39"/>
      <c r="I174" s="40" t="s">
        <v>269</v>
      </c>
      <c r="J174" s="41">
        <v>100</v>
      </c>
      <c r="K174" s="41">
        <v>0</v>
      </c>
      <c r="L174" s="41"/>
      <c r="M174" s="42">
        <v>250</v>
      </c>
      <c r="N174" s="42">
        <v>0</v>
      </c>
      <c r="O174" s="43">
        <v>0</v>
      </c>
      <c r="P174" s="44">
        <v>25000</v>
      </c>
      <c r="Q174" s="44">
        <v>0</v>
      </c>
      <c r="R174" s="45">
        <v>0</v>
      </c>
      <c r="S174" s="46">
        <v>0</v>
      </c>
      <c r="T174" s="39">
        <f t="shared" si="57"/>
        <v>0</v>
      </c>
      <c r="U174" s="47">
        <f t="shared" si="58"/>
        <v>0</v>
      </c>
      <c r="V174" s="48">
        <f t="shared" si="59"/>
        <v>-250</v>
      </c>
      <c r="W174" s="49">
        <f t="shared" si="60"/>
        <v>0</v>
      </c>
      <c r="X174" s="44">
        <f t="shared" si="61"/>
        <v>0</v>
      </c>
      <c r="Y174" s="44">
        <f t="shared" si="62"/>
        <v>-25000</v>
      </c>
      <c r="Z174" s="44">
        <f t="shared" si="63"/>
        <v>0</v>
      </c>
      <c r="AA174" s="50">
        <f t="shared" si="64"/>
        <v>0</v>
      </c>
      <c r="AB174" s="51">
        <f t="shared" si="65"/>
        <v>0</v>
      </c>
      <c r="AC174" s="44">
        <f t="shared" si="66"/>
        <v>0</v>
      </c>
      <c r="AD174" s="44">
        <f t="shared" si="67"/>
        <v>0</v>
      </c>
      <c r="AE174" s="44">
        <f t="shared" si="68"/>
        <v>0</v>
      </c>
      <c r="AF174" s="52" t="str">
        <f>HLOOKUP(I174,ElecAvoidedCostsWOCC!$A$5:$Q$50,G174+1,FALSE)</f>
        <v>SF Space Heat</v>
      </c>
      <c r="AG174" s="44" t="e">
        <f t="shared" si="69"/>
        <v>#VALUE!</v>
      </c>
      <c r="AH174" s="52" t="str">
        <f>HLOOKUP(I174,ElecAvoidedCostsWOCC!$A$5:$Q$50,T174+1,FALSE)</f>
        <v>SF Space Heat</v>
      </c>
      <c r="AI174" s="44" t="e">
        <f t="shared" si="70"/>
        <v>#VALUE!</v>
      </c>
      <c r="AJ174" s="44" t="e">
        <f t="shared" si="71"/>
        <v>#VALUE!</v>
      </c>
      <c r="AK174" s="44" t="e">
        <f>HLOOKUP(I174,ElecAvoidedCostsWOCC!$A$5:$Q$50,G174+1,FALSE)*J174*L174</f>
        <v>#VALUE!</v>
      </c>
      <c r="AL174" s="44" t="e">
        <f t="shared" si="72"/>
        <v>#VALUE!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73"/>
        <v>0</v>
      </c>
      <c r="AO174" s="47">
        <f t="shared" si="74"/>
        <v>0</v>
      </c>
      <c r="AP174" s="47" t="e">
        <f t="shared" si="75"/>
        <v>#DIV/0!</v>
      </c>
      <c r="AQ174">
        <v>2020</v>
      </c>
    </row>
    <row r="175" spans="2:43">
      <c r="B175" s="97" t="s">
        <v>15</v>
      </c>
      <c r="C175" s="61">
        <v>18230627</v>
      </c>
      <c r="D175" s="61" t="s">
        <v>80</v>
      </c>
      <c r="E175" s="38" t="s">
        <v>774</v>
      </c>
      <c r="F175" s="39" t="s">
        <v>775</v>
      </c>
      <c r="G175" s="39"/>
      <c r="H175" s="39"/>
      <c r="I175" s="40" t="s">
        <v>269</v>
      </c>
      <c r="J175" s="41">
        <v>10</v>
      </c>
      <c r="K175" s="41">
        <v>0</v>
      </c>
      <c r="L175" s="41"/>
      <c r="M175" s="42">
        <v>400</v>
      </c>
      <c r="N175" s="42">
        <v>0</v>
      </c>
      <c r="O175" s="43">
        <v>0</v>
      </c>
      <c r="P175" s="44">
        <v>4000</v>
      </c>
      <c r="Q175" s="44">
        <v>0</v>
      </c>
      <c r="R175" s="45">
        <v>0</v>
      </c>
      <c r="S175" s="46">
        <v>0</v>
      </c>
      <c r="T175" s="39">
        <f t="shared" si="57"/>
        <v>0</v>
      </c>
      <c r="U175" s="47">
        <f t="shared" si="58"/>
        <v>0</v>
      </c>
      <c r="V175" s="48">
        <f t="shared" si="59"/>
        <v>-400</v>
      </c>
      <c r="W175" s="49">
        <f t="shared" si="60"/>
        <v>0</v>
      </c>
      <c r="X175" s="44">
        <f t="shared" si="61"/>
        <v>0</v>
      </c>
      <c r="Y175" s="44">
        <f t="shared" si="62"/>
        <v>-4000</v>
      </c>
      <c r="Z175" s="44">
        <f t="shared" si="63"/>
        <v>0</v>
      </c>
      <c r="AA175" s="50">
        <f t="shared" si="64"/>
        <v>0</v>
      </c>
      <c r="AB175" s="51">
        <f t="shared" si="65"/>
        <v>0</v>
      </c>
      <c r="AC175" s="44">
        <f t="shared" si="66"/>
        <v>0</v>
      </c>
      <c r="AD175" s="44">
        <f t="shared" si="67"/>
        <v>0</v>
      </c>
      <c r="AE175" s="44">
        <f t="shared" si="68"/>
        <v>0</v>
      </c>
      <c r="AF175" s="52" t="str">
        <f>HLOOKUP(I175,ElecAvoidedCostsWOCC!$A$5:$Q$50,G175+1,FALSE)</f>
        <v>SF Space Heat</v>
      </c>
      <c r="AG175" s="44" t="e">
        <f t="shared" si="69"/>
        <v>#VALUE!</v>
      </c>
      <c r="AH175" s="52" t="str">
        <f>HLOOKUP(I175,ElecAvoidedCostsWOCC!$A$5:$Q$50,T175+1,FALSE)</f>
        <v>SF Space Heat</v>
      </c>
      <c r="AI175" s="44" t="e">
        <f t="shared" si="70"/>
        <v>#VALUE!</v>
      </c>
      <c r="AJ175" s="44" t="e">
        <f t="shared" si="71"/>
        <v>#VALUE!</v>
      </c>
      <c r="AK175" s="44" t="e">
        <f>HLOOKUP(I175,ElecAvoidedCostsWOCC!$A$5:$Q$50,G175+1,FALSE)*J175*L175</f>
        <v>#VALUE!</v>
      </c>
      <c r="AL175" s="44" t="e">
        <f t="shared" si="72"/>
        <v>#VALUE!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73"/>
        <v>0</v>
      </c>
      <c r="AO175" s="47">
        <f t="shared" si="74"/>
        <v>0</v>
      </c>
      <c r="AP175" s="47" t="e">
        <f t="shared" si="75"/>
        <v>#DIV/0!</v>
      </c>
      <c r="AQ175">
        <v>2020</v>
      </c>
    </row>
    <row r="176" spans="2:43">
      <c r="B176" s="97" t="s">
        <v>15</v>
      </c>
      <c r="C176" s="61">
        <v>18230627</v>
      </c>
      <c r="D176" s="61" t="s">
        <v>80</v>
      </c>
      <c r="E176" s="38" t="s">
        <v>780</v>
      </c>
      <c r="F176" s="39" t="s">
        <v>781</v>
      </c>
      <c r="G176" s="39">
        <v>10</v>
      </c>
      <c r="H176" s="39"/>
      <c r="I176" s="40" t="s">
        <v>263</v>
      </c>
      <c r="J176" s="41">
        <v>2</v>
      </c>
      <c r="K176" s="41">
        <v>131</v>
      </c>
      <c r="L176" s="41"/>
      <c r="M176" s="42">
        <v>50</v>
      </c>
      <c r="N176" s="42">
        <v>50</v>
      </c>
      <c r="O176" s="43">
        <v>262</v>
      </c>
      <c r="P176" s="44">
        <v>100</v>
      </c>
      <c r="Q176" s="44">
        <v>100</v>
      </c>
      <c r="R176" s="45">
        <v>0</v>
      </c>
      <c r="S176" s="46">
        <v>0</v>
      </c>
      <c r="T176" s="39">
        <f t="shared" si="57"/>
        <v>10</v>
      </c>
      <c r="U176" s="47">
        <f t="shared" si="58"/>
        <v>9.4156298240390991E-4</v>
      </c>
      <c r="V176" s="48">
        <f t="shared" si="59"/>
        <v>0</v>
      </c>
      <c r="W176" s="49">
        <f t="shared" si="60"/>
        <v>9.4156298240390986E-5</v>
      </c>
      <c r="X176" s="44">
        <f t="shared" si="61"/>
        <v>29.21801188279079</v>
      </c>
      <c r="Y176" s="44">
        <f t="shared" si="62"/>
        <v>0</v>
      </c>
      <c r="Z176" s="44">
        <f t="shared" si="63"/>
        <v>180.83315722811301</v>
      </c>
      <c r="AA176" s="50">
        <f t="shared" si="64"/>
        <v>129.21801188279079</v>
      </c>
      <c r="AB176" s="51">
        <f t="shared" si="65"/>
        <v>169.050347974304</v>
      </c>
      <c r="AC176" s="44">
        <f t="shared" si="66"/>
        <v>120.79836578740841</v>
      </c>
      <c r="AD176" s="44">
        <f t="shared" si="67"/>
        <v>0</v>
      </c>
      <c r="AE176" s="44">
        <f t="shared" si="68"/>
        <v>0</v>
      </c>
      <c r="AF176" s="52">
        <f>HLOOKUP(I176,ElecAvoidedCostsWOCC!$A$5:$Q$50,G176+1,FALSE)</f>
        <v>0.73512510012695687</v>
      </c>
      <c r="AG176" s="44">
        <f t="shared" si="69"/>
        <v>192.60277623326269</v>
      </c>
      <c r="AH176" s="52">
        <f>HLOOKUP(I176,ElecAvoidedCostsWOCC!$A$5:$Q$50,T176+1,FALSE)</f>
        <v>0.73512510012695687</v>
      </c>
      <c r="AI176" s="44">
        <f t="shared" si="70"/>
        <v>0</v>
      </c>
      <c r="AJ176" s="44">
        <f t="shared" si="71"/>
        <v>192.60277623326269</v>
      </c>
      <c r="AK176" s="44">
        <f>HLOOKUP(I176,ElecAvoidedCostsWOCC!$A$5:$Q$50,G176+1,FALSE)*J176*L176</f>
        <v>0</v>
      </c>
      <c r="AL176" s="44">
        <f t="shared" si="72"/>
        <v>192.60277623326269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192.60277623326269</v>
      </c>
      <c r="AN176" s="48">
        <f t="shared" si="73"/>
        <v>211.86305385658898</v>
      </c>
      <c r="AO176" s="47">
        <f t="shared" si="74"/>
        <v>1.1393219744365075</v>
      </c>
      <c r="AP176" s="47">
        <f t="shared" si="75"/>
        <v>1.7538569539048583</v>
      </c>
      <c r="AQ176">
        <v>2020</v>
      </c>
    </row>
    <row r="177" spans="2:43">
      <c r="B177" s="97" t="s">
        <v>15</v>
      </c>
      <c r="C177" s="61">
        <v>18230627</v>
      </c>
      <c r="D177" s="61" t="s">
        <v>80</v>
      </c>
      <c r="E177" s="38" t="s">
        <v>785</v>
      </c>
      <c r="F177" s="39" t="s">
        <v>786</v>
      </c>
      <c r="G177" s="39">
        <v>45</v>
      </c>
      <c r="H177" s="39"/>
      <c r="I177" s="40" t="s">
        <v>269</v>
      </c>
      <c r="J177" s="41">
        <v>1010</v>
      </c>
      <c r="K177" s="41">
        <v>1.33</v>
      </c>
      <c r="L177" s="41"/>
      <c r="M177" s="42">
        <v>1</v>
      </c>
      <c r="N177" s="42">
        <v>1.24</v>
      </c>
      <c r="O177" s="43">
        <v>1343.3</v>
      </c>
      <c r="P177" s="44">
        <v>1069.43</v>
      </c>
      <c r="Q177" s="44">
        <v>1252.4000000000001</v>
      </c>
      <c r="R177" s="45">
        <v>0.02</v>
      </c>
      <c r="S177" s="46">
        <v>0</v>
      </c>
      <c r="T177" s="39">
        <f t="shared" si="57"/>
        <v>45</v>
      </c>
      <c r="U177" s="47">
        <f t="shared" si="58"/>
        <v>2.1723690817497233E-2</v>
      </c>
      <c r="V177" s="48">
        <f t="shared" si="59"/>
        <v>0.24</v>
      </c>
      <c r="W177" s="49">
        <f t="shared" si="60"/>
        <v>4.8274868483327182E-4</v>
      </c>
      <c r="X177" s="44">
        <f t="shared" si="61"/>
        <v>149.80364642043079</v>
      </c>
      <c r="Y177" s="44">
        <f t="shared" si="62"/>
        <v>182.97000000000003</v>
      </c>
      <c r="Z177" s="44">
        <f t="shared" si="63"/>
        <v>927.14954238368023</v>
      </c>
      <c r="AA177" s="50">
        <f t="shared" si="64"/>
        <v>1402.2036464204309</v>
      </c>
      <c r="AB177" s="51">
        <f t="shared" si="65"/>
        <v>866.73791005298699</v>
      </c>
      <c r="AC177" s="44">
        <f t="shared" si="66"/>
        <v>1310.8382223244189</v>
      </c>
      <c r="AD177" s="44">
        <f t="shared" si="67"/>
        <v>275.83922763014073</v>
      </c>
      <c r="AE177" s="44">
        <f t="shared" si="68"/>
        <v>0</v>
      </c>
      <c r="AF177" s="52">
        <f>HLOOKUP(I177,ElecAvoidedCostsWOCC!$A$5:$Q$50,G177+1,FALSE)</f>
        <v>3.4276422079642828</v>
      </c>
      <c r="AG177" s="44">
        <f t="shared" si="69"/>
        <v>4604.3517779584208</v>
      </c>
      <c r="AH177" s="52">
        <f>HLOOKUP(I177,ElecAvoidedCostsWOCC!$A$5:$Q$50,T177+1,FALSE)</f>
        <v>3.4276422079642828</v>
      </c>
      <c r="AI177" s="44">
        <f t="shared" si="70"/>
        <v>0</v>
      </c>
      <c r="AJ177" s="44">
        <f t="shared" si="71"/>
        <v>4604.3517779584208</v>
      </c>
      <c r="AK177" s="44">
        <f>HLOOKUP(I177,ElecAvoidedCostsWOCC!$A$5:$Q$50,G177+1,FALSE)*J177*L177</f>
        <v>0</v>
      </c>
      <c r="AL177" s="44">
        <f t="shared" si="72"/>
        <v>4604.3517779584208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4604.3517779584217</v>
      </c>
      <c r="AN177" s="48">
        <f t="shared" si="73"/>
        <v>5340.6261833844055</v>
      </c>
      <c r="AO177" s="47">
        <f t="shared" si="74"/>
        <v>5.312276900034222</v>
      </c>
      <c r="AP177" s="47">
        <f t="shared" si="75"/>
        <v>4.0742069405896952</v>
      </c>
      <c r="AQ177">
        <v>2020</v>
      </c>
    </row>
    <row r="178" spans="2:43">
      <c r="B178" s="97" t="s">
        <v>15</v>
      </c>
      <c r="C178" s="61">
        <v>18230627</v>
      </c>
      <c r="D178" s="61" t="s">
        <v>80</v>
      </c>
      <c r="E178" s="38" t="s">
        <v>802</v>
      </c>
      <c r="F178" s="39" t="s">
        <v>803</v>
      </c>
      <c r="G178" s="39">
        <v>45</v>
      </c>
      <c r="H178" s="39"/>
      <c r="I178" s="40" t="s">
        <v>269</v>
      </c>
      <c r="J178" s="41">
        <v>1010</v>
      </c>
      <c r="K178" s="41">
        <v>0.18</v>
      </c>
      <c r="L178" s="41"/>
      <c r="M178" s="42">
        <v>0.5</v>
      </c>
      <c r="N178" s="42">
        <v>1.46</v>
      </c>
      <c r="O178" s="43">
        <v>181.8</v>
      </c>
      <c r="P178" s="44">
        <v>400</v>
      </c>
      <c r="Q178" s="44">
        <v>1474.6</v>
      </c>
      <c r="R178" s="45">
        <v>0</v>
      </c>
      <c r="S178" s="46">
        <v>0</v>
      </c>
      <c r="T178" s="39">
        <f t="shared" si="57"/>
        <v>45</v>
      </c>
      <c r="U178" s="47">
        <f t="shared" si="58"/>
        <v>2.9400483813154148E-3</v>
      </c>
      <c r="V178" s="48">
        <f t="shared" si="59"/>
        <v>0.96</v>
      </c>
      <c r="W178" s="49">
        <f t="shared" si="60"/>
        <v>6.5334408473675885E-5</v>
      </c>
      <c r="X178" s="44">
        <f t="shared" si="61"/>
        <v>20.274177711035748</v>
      </c>
      <c r="Y178" s="44">
        <f t="shared" si="62"/>
        <v>1074.5999999999999</v>
      </c>
      <c r="Z178" s="44">
        <f t="shared" si="63"/>
        <v>125.47888543538528</v>
      </c>
      <c r="AA178" s="50">
        <f t="shared" si="64"/>
        <v>1494.8741777110356</v>
      </c>
      <c r="AB178" s="51">
        <f t="shared" si="65"/>
        <v>117.30287504476514</v>
      </c>
      <c r="AC178" s="44">
        <f t="shared" si="66"/>
        <v>1397.4704849126256</v>
      </c>
      <c r="AD178" s="44">
        <f t="shared" si="67"/>
        <v>0</v>
      </c>
      <c r="AE178" s="44">
        <f t="shared" si="68"/>
        <v>0</v>
      </c>
      <c r="AF178" s="52">
        <f>HLOOKUP(I178,ElecAvoidedCostsWOCC!$A$5:$Q$50,G178+1,FALSE)</f>
        <v>3.4276422079642828</v>
      </c>
      <c r="AG178" s="44">
        <f t="shared" si="69"/>
        <v>623.14535340790655</v>
      </c>
      <c r="AH178" s="52">
        <f>HLOOKUP(I178,ElecAvoidedCostsWOCC!$A$5:$Q$50,T178+1,FALSE)</f>
        <v>3.4276422079642828</v>
      </c>
      <c r="AI178" s="44">
        <f t="shared" si="70"/>
        <v>0</v>
      </c>
      <c r="AJ178" s="44">
        <f t="shared" si="71"/>
        <v>623.14535340790655</v>
      </c>
      <c r="AK178" s="44">
        <f>HLOOKUP(I178,ElecAvoidedCostsWOCC!$A$5:$Q$50,G178+1,FALSE)*J178*L178</f>
        <v>0</v>
      </c>
      <c r="AL178" s="44">
        <f t="shared" si="72"/>
        <v>623.14535340790655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623.14535340790655</v>
      </c>
      <c r="AN178" s="48">
        <f t="shared" si="73"/>
        <v>685.45988874869727</v>
      </c>
      <c r="AO178" s="47">
        <f t="shared" si="74"/>
        <v>5.3122769000342211</v>
      </c>
      <c r="AP178" s="47">
        <f t="shared" si="75"/>
        <v>0.49050044072419496</v>
      </c>
      <c r="AQ178">
        <v>2020</v>
      </c>
    </row>
    <row r="179" spans="2:43">
      <c r="B179" s="97" t="s">
        <v>15</v>
      </c>
      <c r="C179" s="61">
        <v>18230627</v>
      </c>
      <c r="D179" s="61" t="s">
        <v>80</v>
      </c>
      <c r="E179" s="38" t="s">
        <v>817</v>
      </c>
      <c r="F179" s="39" t="s">
        <v>818</v>
      </c>
      <c r="G179" s="39">
        <v>25</v>
      </c>
      <c r="H179" s="39"/>
      <c r="I179" s="40" t="s">
        <v>269</v>
      </c>
      <c r="J179" s="41">
        <v>2690.53</v>
      </c>
      <c r="K179" s="41">
        <v>9.98</v>
      </c>
      <c r="L179" s="41"/>
      <c r="M179" s="42">
        <v>200</v>
      </c>
      <c r="N179" s="42">
        <v>17.809999999999999</v>
      </c>
      <c r="O179" s="43">
        <v>26851.48</v>
      </c>
      <c r="P179" s="44">
        <v>30246</v>
      </c>
      <c r="Q179" s="44">
        <v>47918.33</v>
      </c>
      <c r="R179" s="45">
        <v>0.08</v>
      </c>
      <c r="S179" s="46">
        <v>0</v>
      </c>
      <c r="T179" s="39">
        <f t="shared" si="57"/>
        <v>25</v>
      </c>
      <c r="U179" s="47">
        <f t="shared" si="58"/>
        <v>0.241243889224799</v>
      </c>
      <c r="V179" s="48">
        <f t="shared" si="59"/>
        <v>-182.19</v>
      </c>
      <c r="W179" s="49">
        <f t="shared" si="60"/>
        <v>9.6497555689919606E-3</v>
      </c>
      <c r="X179" s="44">
        <f t="shared" si="61"/>
        <v>2994.4536706508366</v>
      </c>
      <c r="Y179" s="44">
        <f t="shared" si="62"/>
        <v>17672.330000000002</v>
      </c>
      <c r="Z179" s="44">
        <f t="shared" si="63"/>
        <v>18532.969101708135</v>
      </c>
      <c r="AA179" s="50">
        <f t="shared" si="64"/>
        <v>50912.783670650839</v>
      </c>
      <c r="AB179" s="51">
        <f t="shared" si="65"/>
        <v>17325.389456584213</v>
      </c>
      <c r="AC179" s="44">
        <f t="shared" si="66"/>
        <v>47595.385314247767</v>
      </c>
      <c r="AD179" s="44">
        <f t="shared" si="67"/>
        <v>2515.1387488471414</v>
      </c>
      <c r="AE179" s="44">
        <f t="shared" si="68"/>
        <v>0</v>
      </c>
      <c r="AF179" s="52">
        <f>HLOOKUP(I179,ElecAvoidedCostsWOCC!$A$5:$Q$50,G179+1,FALSE)</f>
        <v>2.0508206305871441</v>
      </c>
      <c r="AG179" s="44">
        <f t="shared" si="69"/>
        <v>55067.588423512025</v>
      </c>
      <c r="AH179" s="52">
        <f>HLOOKUP(I179,ElecAvoidedCostsWOCC!$A$5:$Q$50,T179+1,FALSE)</f>
        <v>2.0508206305871441</v>
      </c>
      <c r="AI179" s="44">
        <f t="shared" si="70"/>
        <v>0</v>
      </c>
      <c r="AJ179" s="44">
        <f t="shared" si="71"/>
        <v>55067.588423512025</v>
      </c>
      <c r="AK179" s="44">
        <f>HLOOKUP(I179,ElecAvoidedCostsWOCC!$A$5:$Q$50,G179+1,FALSE)*J179*L179</f>
        <v>0</v>
      </c>
      <c r="AL179" s="44">
        <f t="shared" si="72"/>
        <v>55067.588423512025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55067.588423512025</v>
      </c>
      <c r="AN179" s="48">
        <f t="shared" si="73"/>
        <v>63089.486014710375</v>
      </c>
      <c r="AO179" s="47">
        <f t="shared" si="74"/>
        <v>3.1784329328645797</v>
      </c>
      <c r="AP179" s="47">
        <f t="shared" si="75"/>
        <v>1.3255378772156807</v>
      </c>
      <c r="AQ179">
        <v>2020</v>
      </c>
    </row>
    <row r="180" spans="2:43">
      <c r="B180" s="97" t="s">
        <v>15</v>
      </c>
      <c r="C180" s="61">
        <v>18230627</v>
      </c>
      <c r="D180" s="61" t="s">
        <v>80</v>
      </c>
      <c r="E180" s="38" t="s">
        <v>820</v>
      </c>
      <c r="F180" s="39" t="s">
        <v>821</v>
      </c>
      <c r="G180" s="39">
        <v>45</v>
      </c>
      <c r="H180" s="39"/>
      <c r="I180" s="40" t="s">
        <v>269</v>
      </c>
      <c r="J180" s="41">
        <v>111.04</v>
      </c>
      <c r="K180" s="41">
        <v>6.99</v>
      </c>
      <c r="L180" s="41"/>
      <c r="M180" s="42">
        <v>200</v>
      </c>
      <c r="N180" s="42">
        <v>20.5</v>
      </c>
      <c r="O180" s="43">
        <v>776.17</v>
      </c>
      <c r="P180" s="44">
        <v>1800</v>
      </c>
      <c r="Q180" s="44">
        <v>2276.3200000000002</v>
      </c>
      <c r="R180" s="45">
        <v>0.11</v>
      </c>
      <c r="S180" s="46">
        <v>0</v>
      </c>
      <c r="T180" s="39">
        <f t="shared" si="57"/>
        <v>45</v>
      </c>
      <c r="U180" s="47">
        <f t="shared" si="58"/>
        <v>1.2552130649755695E-2</v>
      </c>
      <c r="V180" s="48">
        <f t="shared" si="59"/>
        <v>-179.5</v>
      </c>
      <c r="W180" s="49">
        <f t="shared" si="60"/>
        <v>2.7893623666123767E-4</v>
      </c>
      <c r="X180" s="44">
        <f t="shared" si="61"/>
        <v>86.55780260712109</v>
      </c>
      <c r="Y180" s="44">
        <f t="shared" si="62"/>
        <v>476.32000000000016</v>
      </c>
      <c r="Z180" s="44">
        <f t="shared" si="63"/>
        <v>535.71477727383387</v>
      </c>
      <c r="AA180" s="50">
        <f t="shared" si="64"/>
        <v>2362.8778026071213</v>
      </c>
      <c r="AB180" s="51">
        <f t="shared" si="65"/>
        <v>500.80842972219671</v>
      </c>
      <c r="AC180" s="44">
        <f t="shared" si="66"/>
        <v>2208.9163341190251</v>
      </c>
      <c r="AD180" s="44">
        <f t="shared" si="67"/>
        <v>166.79260702799954</v>
      </c>
      <c r="AE180" s="44">
        <f t="shared" si="68"/>
        <v>0</v>
      </c>
      <c r="AF180" s="52">
        <f>HLOOKUP(I180,ElecAvoidedCostsWOCC!$A$5:$Q$50,G180+1,FALSE)</f>
        <v>3.4276422079642828</v>
      </c>
      <c r="AG180" s="44">
        <f t="shared" si="69"/>
        <v>2660.4316814987546</v>
      </c>
      <c r="AH180" s="52">
        <f>HLOOKUP(I180,ElecAvoidedCostsWOCC!$A$5:$Q$50,T180+1,FALSE)</f>
        <v>3.4276422079642828</v>
      </c>
      <c r="AI180" s="44">
        <f t="shared" si="70"/>
        <v>0</v>
      </c>
      <c r="AJ180" s="44">
        <f t="shared" si="71"/>
        <v>2660.4316814987546</v>
      </c>
      <c r="AK180" s="44">
        <f>HLOOKUP(I180,ElecAvoidedCostsWOCC!$A$5:$Q$50,G180+1,FALSE)*J180*L180</f>
        <v>0</v>
      </c>
      <c r="AL180" s="44">
        <f t="shared" si="72"/>
        <v>2660.4316814987546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2660.4316814987542</v>
      </c>
      <c r="AN180" s="48">
        <f t="shared" si="73"/>
        <v>3093.2674566766295</v>
      </c>
      <c r="AO180" s="47">
        <f t="shared" si="74"/>
        <v>5.3122741623469105</v>
      </c>
      <c r="AP180" s="47">
        <f t="shared" si="75"/>
        <v>1.4003551917733938</v>
      </c>
      <c r="AQ180">
        <v>2020</v>
      </c>
    </row>
    <row r="181" spans="2:43">
      <c r="B181" s="97" t="s">
        <v>15</v>
      </c>
      <c r="C181" s="61">
        <v>18230627</v>
      </c>
      <c r="D181" s="61" t="s">
        <v>80</v>
      </c>
      <c r="E181" s="38" t="s">
        <v>823</v>
      </c>
      <c r="F181" s="39" t="s">
        <v>824</v>
      </c>
      <c r="G181" s="39">
        <v>45</v>
      </c>
      <c r="H181" s="39"/>
      <c r="I181" s="40" t="s">
        <v>269</v>
      </c>
      <c r="J181" s="41">
        <v>119.28</v>
      </c>
      <c r="K181" s="41">
        <v>8.92</v>
      </c>
      <c r="L181" s="41"/>
      <c r="M181" s="42">
        <v>200</v>
      </c>
      <c r="N181" s="42">
        <v>20.5</v>
      </c>
      <c r="O181" s="43">
        <v>1063.98</v>
      </c>
      <c r="P181" s="44">
        <v>1400</v>
      </c>
      <c r="Q181" s="44">
        <v>2445.2399999999998</v>
      </c>
      <c r="R181" s="45">
        <v>0.15</v>
      </c>
      <c r="S181" s="46">
        <v>0</v>
      </c>
      <c r="T181" s="39">
        <f t="shared" si="57"/>
        <v>45</v>
      </c>
      <c r="U181" s="47">
        <f t="shared" si="58"/>
        <v>1.7206560378173679E-2</v>
      </c>
      <c r="V181" s="48">
        <f t="shared" si="59"/>
        <v>-179.5</v>
      </c>
      <c r="W181" s="49">
        <f t="shared" si="60"/>
        <v>3.8236800840385954E-4</v>
      </c>
      <c r="X181" s="44">
        <f t="shared" si="61"/>
        <v>118.65412321775474</v>
      </c>
      <c r="Y181" s="44">
        <f t="shared" si="62"/>
        <v>1045.2399999999998</v>
      </c>
      <c r="Z181" s="44">
        <f t="shared" si="63"/>
        <v>734.36207109758652</v>
      </c>
      <c r="AA181" s="50">
        <f t="shared" si="64"/>
        <v>2563.8941232177544</v>
      </c>
      <c r="AB181" s="51">
        <f t="shared" si="65"/>
        <v>686.51217266297692</v>
      </c>
      <c r="AC181" s="44">
        <f t="shared" si="66"/>
        <v>2396.8347417198788</v>
      </c>
      <c r="AD181" s="44">
        <f t="shared" si="67"/>
        <v>244.32254756230083</v>
      </c>
      <c r="AE181" s="44">
        <f t="shared" si="68"/>
        <v>0</v>
      </c>
      <c r="AF181" s="52">
        <f>HLOOKUP(I181,ElecAvoidedCostsWOCC!$A$5:$Q$50,G181+1,FALSE)</f>
        <v>3.4276422079642828</v>
      </c>
      <c r="AG181" s="44">
        <f t="shared" si="69"/>
        <v>3646.9345300885384</v>
      </c>
      <c r="AH181" s="52">
        <f>HLOOKUP(I181,ElecAvoidedCostsWOCC!$A$5:$Q$50,T181+1,FALSE)</f>
        <v>3.4276422079642828</v>
      </c>
      <c r="AI181" s="44">
        <f t="shared" si="70"/>
        <v>0</v>
      </c>
      <c r="AJ181" s="44">
        <f t="shared" si="71"/>
        <v>3646.9345300885384</v>
      </c>
      <c r="AK181" s="44">
        <f>HLOOKUP(I181,ElecAvoidedCostsWOCC!$A$5:$Q$50,G181+1,FALSE)*J181*L181</f>
        <v>0</v>
      </c>
      <c r="AL181" s="44">
        <f t="shared" si="72"/>
        <v>3646.9345300885384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3646.9345300885384</v>
      </c>
      <c r="AN181" s="48">
        <f t="shared" si="73"/>
        <v>4255.9505306596939</v>
      </c>
      <c r="AO181" s="47">
        <f t="shared" si="74"/>
        <v>5.3122649172295073</v>
      </c>
      <c r="AP181" s="47">
        <f t="shared" si="75"/>
        <v>1.7756545566448954</v>
      </c>
      <c r="AQ181">
        <v>2020</v>
      </c>
    </row>
    <row r="182" spans="2:43">
      <c r="B182" s="97" t="s">
        <v>15</v>
      </c>
      <c r="C182" s="61">
        <v>18230627</v>
      </c>
      <c r="D182" s="61" t="s">
        <v>80</v>
      </c>
      <c r="E182" s="38" t="s">
        <v>831</v>
      </c>
      <c r="F182" s="39" t="s">
        <v>832</v>
      </c>
      <c r="G182" s="39">
        <v>45</v>
      </c>
      <c r="H182" s="39"/>
      <c r="I182" s="40" t="s">
        <v>269</v>
      </c>
      <c r="J182" s="41">
        <v>148357</v>
      </c>
      <c r="K182" s="41">
        <v>0.15</v>
      </c>
      <c r="L182" s="41"/>
      <c r="M182" s="42">
        <v>0.08</v>
      </c>
      <c r="N182" s="42">
        <v>0.2</v>
      </c>
      <c r="O182" s="43">
        <v>22253.55</v>
      </c>
      <c r="P182" s="44">
        <v>12712.41</v>
      </c>
      <c r="Q182" s="44">
        <v>29671.4</v>
      </c>
      <c r="R182" s="45">
        <v>0</v>
      </c>
      <c r="S182" s="46">
        <v>0</v>
      </c>
      <c r="T182" s="39">
        <f t="shared" si="57"/>
        <v>45</v>
      </c>
      <c r="U182" s="47">
        <f t="shared" si="58"/>
        <v>0.35988181328944796</v>
      </c>
      <c r="V182" s="48">
        <f t="shared" si="59"/>
        <v>0.12000000000000001</v>
      </c>
      <c r="W182" s="49">
        <f t="shared" si="60"/>
        <v>7.9973736286543997E-3</v>
      </c>
      <c r="X182" s="44">
        <f t="shared" si="61"/>
        <v>2481.6965203598434</v>
      </c>
      <c r="Y182" s="44">
        <f t="shared" si="62"/>
        <v>16958.990000000002</v>
      </c>
      <c r="Z182" s="44">
        <f t="shared" si="63"/>
        <v>15359.464526846083</v>
      </c>
      <c r="AA182" s="50">
        <f t="shared" si="64"/>
        <v>32153.096520359846</v>
      </c>
      <c r="AB182" s="51">
        <f t="shared" si="65"/>
        <v>14358.66553879226</v>
      </c>
      <c r="AC182" s="44">
        <f t="shared" si="66"/>
        <v>30058.050406992468</v>
      </c>
      <c r="AD182" s="44">
        <f t="shared" si="67"/>
        <v>0</v>
      </c>
      <c r="AE182" s="44">
        <f t="shared" si="68"/>
        <v>0</v>
      </c>
      <c r="AF182" s="52">
        <f>HLOOKUP(I182,ElecAvoidedCostsWOCC!$A$5:$Q$50,G182+1,FALSE)</f>
        <v>3.4276422079642828</v>
      </c>
      <c r="AG182" s="44">
        <f t="shared" si="69"/>
        <v>76277.207257043556</v>
      </c>
      <c r="AH182" s="52">
        <f>HLOOKUP(I182,ElecAvoidedCostsWOCC!$A$5:$Q$50,T182+1,FALSE)</f>
        <v>3.4276422079642828</v>
      </c>
      <c r="AI182" s="44">
        <f t="shared" si="70"/>
        <v>0</v>
      </c>
      <c r="AJ182" s="44">
        <f t="shared" si="71"/>
        <v>76277.207257043556</v>
      </c>
      <c r="AK182" s="44">
        <f>HLOOKUP(I182,ElecAvoidedCostsWOCC!$A$5:$Q$50,G182+1,FALSE)*J182*L182</f>
        <v>0</v>
      </c>
      <c r="AL182" s="44">
        <f t="shared" si="72"/>
        <v>76277.207257043556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76277.207257043556</v>
      </c>
      <c r="AN182" s="48">
        <f t="shared" si="73"/>
        <v>83904.927982747919</v>
      </c>
      <c r="AO182" s="47">
        <f t="shared" si="74"/>
        <v>5.312276900034222</v>
      </c>
      <c r="AP182" s="47">
        <f t="shared" si="75"/>
        <v>2.7914294788470024</v>
      </c>
      <c r="AQ182">
        <v>2020</v>
      </c>
    </row>
    <row r="183" spans="2:43">
      <c r="B183" s="97" t="s">
        <v>15</v>
      </c>
      <c r="C183" s="61">
        <v>18230627</v>
      </c>
      <c r="D183" s="61" t="s">
        <v>80</v>
      </c>
      <c r="E183" s="38" t="s">
        <v>833</v>
      </c>
      <c r="F183" s="39" t="s">
        <v>834</v>
      </c>
      <c r="G183" s="39">
        <v>45</v>
      </c>
      <c r="H183" s="39"/>
      <c r="I183" s="40" t="s">
        <v>269</v>
      </c>
      <c r="J183" s="41">
        <v>1010</v>
      </c>
      <c r="K183" s="41">
        <v>0.15</v>
      </c>
      <c r="L183" s="41"/>
      <c r="M183" s="42">
        <v>0.2</v>
      </c>
      <c r="N183" s="42">
        <v>0.2</v>
      </c>
      <c r="O183" s="43">
        <v>151.5</v>
      </c>
      <c r="P183" s="44">
        <v>162.9</v>
      </c>
      <c r="Q183" s="44">
        <v>202</v>
      </c>
      <c r="R183" s="45">
        <v>0</v>
      </c>
      <c r="S183" s="46">
        <v>0</v>
      </c>
      <c r="T183" s="39">
        <f t="shared" si="57"/>
        <v>45</v>
      </c>
      <c r="U183" s="47">
        <f t="shared" si="58"/>
        <v>2.4500403177628457E-3</v>
      </c>
      <c r="V183" s="48">
        <f t="shared" si="59"/>
        <v>0</v>
      </c>
      <c r="W183" s="49">
        <f t="shared" si="60"/>
        <v>5.4445340394729904E-5</v>
      </c>
      <c r="X183" s="44">
        <f t="shared" si="61"/>
        <v>16.895148092529787</v>
      </c>
      <c r="Y183" s="44">
        <f t="shared" si="62"/>
        <v>39.099999999999994</v>
      </c>
      <c r="Z183" s="44">
        <f t="shared" si="63"/>
        <v>104.56573786282107</v>
      </c>
      <c r="AA183" s="50">
        <f t="shared" si="64"/>
        <v>218.89514809252978</v>
      </c>
      <c r="AB183" s="51">
        <f t="shared" si="65"/>
        <v>97.752395870637613</v>
      </c>
      <c r="AC183" s="44">
        <f t="shared" si="66"/>
        <v>204.63227829534426</v>
      </c>
      <c r="AD183" s="44">
        <f t="shared" si="67"/>
        <v>0</v>
      </c>
      <c r="AE183" s="44">
        <f t="shared" si="68"/>
        <v>0</v>
      </c>
      <c r="AF183" s="52">
        <f>HLOOKUP(I183,ElecAvoidedCostsWOCC!$A$5:$Q$50,G183+1,FALSE)</f>
        <v>3.4276422079642828</v>
      </c>
      <c r="AG183" s="44">
        <f t="shared" si="69"/>
        <v>519.28779450658885</v>
      </c>
      <c r="AH183" s="52">
        <f>HLOOKUP(I183,ElecAvoidedCostsWOCC!$A$5:$Q$50,T183+1,FALSE)</f>
        <v>3.4276422079642828</v>
      </c>
      <c r="AI183" s="44">
        <f t="shared" si="70"/>
        <v>0</v>
      </c>
      <c r="AJ183" s="44">
        <f t="shared" si="71"/>
        <v>519.28779450658885</v>
      </c>
      <c r="AK183" s="44">
        <f>HLOOKUP(I183,ElecAvoidedCostsWOCC!$A$5:$Q$50,G183+1,FALSE)*J183*L183</f>
        <v>0</v>
      </c>
      <c r="AL183" s="44">
        <f t="shared" si="72"/>
        <v>519.28779450658885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519.28779450658874</v>
      </c>
      <c r="AN183" s="48">
        <f t="shared" si="73"/>
        <v>571.21657395724765</v>
      </c>
      <c r="AO183" s="47">
        <f t="shared" si="74"/>
        <v>5.3122769000342211</v>
      </c>
      <c r="AP183" s="47">
        <f t="shared" si="75"/>
        <v>2.7914294788470024</v>
      </c>
      <c r="AQ183">
        <v>2020</v>
      </c>
    </row>
    <row r="184" spans="2:43">
      <c r="B184" s="97" t="s">
        <v>15</v>
      </c>
      <c r="C184" s="61">
        <v>18230627</v>
      </c>
      <c r="D184" s="61" t="s">
        <v>80</v>
      </c>
      <c r="E184" s="38" t="s">
        <v>839</v>
      </c>
      <c r="F184" s="39" t="s">
        <v>840</v>
      </c>
      <c r="G184" s="39">
        <v>45</v>
      </c>
      <c r="H184" s="39"/>
      <c r="I184" s="40" t="s">
        <v>269</v>
      </c>
      <c r="J184" s="41">
        <v>218480</v>
      </c>
      <c r="K184" s="41">
        <v>0.15</v>
      </c>
      <c r="L184" s="41"/>
      <c r="M184" s="42">
        <v>0.08</v>
      </c>
      <c r="N184" s="42">
        <v>0.2</v>
      </c>
      <c r="O184" s="43">
        <v>32772</v>
      </c>
      <c r="P184" s="44">
        <v>17995</v>
      </c>
      <c r="Q184" s="44">
        <v>43696</v>
      </c>
      <c r="R184" s="45">
        <v>0</v>
      </c>
      <c r="S184" s="46">
        <v>0</v>
      </c>
      <c r="T184" s="39">
        <f t="shared" si="57"/>
        <v>45</v>
      </c>
      <c r="U184" s="47">
        <f t="shared" si="58"/>
        <v>0.52998495903448173</v>
      </c>
      <c r="V184" s="48">
        <f t="shared" si="59"/>
        <v>0.12000000000000001</v>
      </c>
      <c r="W184" s="49">
        <f t="shared" si="60"/>
        <v>1.1777443534099593E-2</v>
      </c>
      <c r="X184" s="44">
        <f t="shared" si="61"/>
        <v>3654.7049061939683</v>
      </c>
      <c r="Y184" s="44">
        <f t="shared" si="62"/>
        <v>25701</v>
      </c>
      <c r="Z184" s="44">
        <f t="shared" si="63"/>
        <v>22619.329117098165</v>
      </c>
      <c r="AA184" s="50">
        <f t="shared" si="64"/>
        <v>47350.704906193969</v>
      </c>
      <c r="AB184" s="51">
        <f t="shared" si="65"/>
        <v>21145.488564175153</v>
      </c>
      <c r="AC184" s="44">
        <f t="shared" si="66"/>
        <v>44265.406100957247</v>
      </c>
      <c r="AD184" s="44">
        <f t="shared" si="67"/>
        <v>0</v>
      </c>
      <c r="AE184" s="44">
        <f t="shared" si="68"/>
        <v>0</v>
      </c>
      <c r="AF184" s="52">
        <f>HLOOKUP(I184,ElecAvoidedCostsWOCC!$A$5:$Q$50,G184+1,FALSE)</f>
        <v>3.4276422079642828</v>
      </c>
      <c r="AG184" s="44">
        <f t="shared" si="69"/>
        <v>112330.69043940547</v>
      </c>
      <c r="AH184" s="52">
        <f>HLOOKUP(I184,ElecAvoidedCostsWOCC!$A$5:$Q$50,T184+1,FALSE)</f>
        <v>3.4276422079642828</v>
      </c>
      <c r="AI184" s="44">
        <f t="shared" si="70"/>
        <v>0</v>
      </c>
      <c r="AJ184" s="44">
        <f t="shared" si="71"/>
        <v>112330.69043940547</v>
      </c>
      <c r="AK184" s="44">
        <f>HLOOKUP(I184,ElecAvoidedCostsWOCC!$A$5:$Q$50,G184+1,FALSE)*J184*L184</f>
        <v>0</v>
      </c>
      <c r="AL184" s="44">
        <f t="shared" si="72"/>
        <v>112330.69043940547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112330.69043940546</v>
      </c>
      <c r="AN184" s="48">
        <f t="shared" si="73"/>
        <v>123563.75948334602</v>
      </c>
      <c r="AO184" s="47">
        <f t="shared" si="74"/>
        <v>5.3122769000342211</v>
      </c>
      <c r="AP184" s="47">
        <f t="shared" si="75"/>
        <v>2.7914294788470024</v>
      </c>
      <c r="AQ184">
        <v>2020</v>
      </c>
    </row>
    <row r="185" spans="2:43">
      <c r="B185" s="97" t="s">
        <v>15</v>
      </c>
      <c r="C185" s="61">
        <v>18230627</v>
      </c>
      <c r="D185" s="61" t="s">
        <v>80</v>
      </c>
      <c r="E185" s="38" t="s">
        <v>841</v>
      </c>
      <c r="F185" s="39" t="s">
        <v>842</v>
      </c>
      <c r="G185" s="39">
        <v>45</v>
      </c>
      <c r="H185" s="39"/>
      <c r="I185" s="40" t="s">
        <v>269</v>
      </c>
      <c r="J185" s="41">
        <v>1010</v>
      </c>
      <c r="K185" s="41">
        <v>0.15</v>
      </c>
      <c r="L185" s="41"/>
      <c r="M185" s="42">
        <v>0.2</v>
      </c>
      <c r="N185" s="42">
        <v>0.2</v>
      </c>
      <c r="O185" s="43">
        <v>151.5</v>
      </c>
      <c r="P185" s="44">
        <v>162.9</v>
      </c>
      <c r="Q185" s="44">
        <v>202</v>
      </c>
      <c r="R185" s="45">
        <v>0</v>
      </c>
      <c r="S185" s="46">
        <v>0</v>
      </c>
      <c r="T185" s="39">
        <f t="shared" si="57"/>
        <v>45</v>
      </c>
      <c r="U185" s="47">
        <f t="shared" si="58"/>
        <v>2.4500403177628457E-3</v>
      </c>
      <c r="V185" s="48">
        <f t="shared" si="59"/>
        <v>0</v>
      </c>
      <c r="W185" s="49">
        <f t="shared" si="60"/>
        <v>5.4445340394729904E-5</v>
      </c>
      <c r="X185" s="44">
        <f t="shared" si="61"/>
        <v>16.895148092529787</v>
      </c>
      <c r="Y185" s="44">
        <f t="shared" si="62"/>
        <v>39.099999999999994</v>
      </c>
      <c r="Z185" s="44">
        <f t="shared" si="63"/>
        <v>104.56573786282107</v>
      </c>
      <c r="AA185" s="50">
        <f t="shared" si="64"/>
        <v>218.89514809252978</v>
      </c>
      <c r="AB185" s="51">
        <f t="shared" si="65"/>
        <v>97.752395870637613</v>
      </c>
      <c r="AC185" s="44">
        <f t="shared" si="66"/>
        <v>204.63227829534426</v>
      </c>
      <c r="AD185" s="44">
        <f t="shared" si="67"/>
        <v>0</v>
      </c>
      <c r="AE185" s="44">
        <f t="shared" si="68"/>
        <v>0</v>
      </c>
      <c r="AF185" s="52">
        <f>HLOOKUP(I185,ElecAvoidedCostsWOCC!$A$5:$Q$50,G185+1,FALSE)</f>
        <v>3.4276422079642828</v>
      </c>
      <c r="AG185" s="44">
        <f t="shared" si="69"/>
        <v>519.28779450658885</v>
      </c>
      <c r="AH185" s="52">
        <f>HLOOKUP(I185,ElecAvoidedCostsWOCC!$A$5:$Q$50,T185+1,FALSE)</f>
        <v>3.4276422079642828</v>
      </c>
      <c r="AI185" s="44">
        <f t="shared" si="70"/>
        <v>0</v>
      </c>
      <c r="AJ185" s="44">
        <f t="shared" si="71"/>
        <v>519.28779450658885</v>
      </c>
      <c r="AK185" s="44">
        <f>HLOOKUP(I185,ElecAvoidedCostsWOCC!$A$5:$Q$50,G185+1,FALSE)*J185*L185</f>
        <v>0</v>
      </c>
      <c r="AL185" s="44">
        <f t="shared" si="72"/>
        <v>519.28779450658885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519.28779450658874</v>
      </c>
      <c r="AN185" s="48">
        <f t="shared" si="73"/>
        <v>571.21657395724765</v>
      </c>
      <c r="AO185" s="47">
        <f t="shared" si="74"/>
        <v>5.3122769000342211</v>
      </c>
      <c r="AP185" s="47">
        <f t="shared" si="75"/>
        <v>2.7914294788470024</v>
      </c>
      <c r="AQ185">
        <v>2020</v>
      </c>
    </row>
    <row r="186" spans="2:43">
      <c r="B186" s="97" t="s">
        <v>15</v>
      </c>
      <c r="C186" s="61">
        <v>18230627</v>
      </c>
      <c r="D186" s="61" t="s">
        <v>80</v>
      </c>
      <c r="E186" s="38" t="s">
        <v>2007</v>
      </c>
      <c r="F186" s="39" t="s">
        <v>848</v>
      </c>
      <c r="G186" s="39">
        <v>15</v>
      </c>
      <c r="H186" s="39"/>
      <c r="I186" s="40" t="s">
        <v>269</v>
      </c>
      <c r="J186" s="41">
        <v>575</v>
      </c>
      <c r="K186" s="41">
        <v>0.54</v>
      </c>
      <c r="L186" s="41"/>
      <c r="M186" s="42">
        <v>0.27</v>
      </c>
      <c r="N186" s="42">
        <v>0.73</v>
      </c>
      <c r="O186" s="43">
        <v>310.5</v>
      </c>
      <c r="P186" s="44">
        <v>350</v>
      </c>
      <c r="Q186" s="44">
        <v>419.75</v>
      </c>
      <c r="R186" s="45">
        <v>0.01</v>
      </c>
      <c r="S186" s="46">
        <v>0</v>
      </c>
      <c r="T186" s="39">
        <f t="shared" si="57"/>
        <v>15</v>
      </c>
      <c r="U186" s="47">
        <f t="shared" si="58"/>
        <v>1.6737899200558054E-3</v>
      </c>
      <c r="V186" s="48">
        <f t="shared" si="59"/>
        <v>0.45999999999999996</v>
      </c>
      <c r="W186" s="49">
        <f t="shared" si="60"/>
        <v>1.1158599467038703E-4</v>
      </c>
      <c r="X186" s="44">
        <f t="shared" si="61"/>
        <v>34.626689654986791</v>
      </c>
      <c r="Y186" s="44">
        <f t="shared" si="62"/>
        <v>69.75</v>
      </c>
      <c r="Z186" s="44">
        <f t="shared" si="63"/>
        <v>214.3079974020194</v>
      </c>
      <c r="AA186" s="50">
        <f t="shared" si="64"/>
        <v>454.37668965498676</v>
      </c>
      <c r="AB186" s="51">
        <f t="shared" si="65"/>
        <v>200.34401925962362</v>
      </c>
      <c r="AC186" s="44">
        <f t="shared" si="66"/>
        <v>424.77020627744855</v>
      </c>
      <c r="AD186" s="44">
        <f t="shared" si="67"/>
        <v>52.469884344261047</v>
      </c>
      <c r="AE186" s="44">
        <f t="shared" si="68"/>
        <v>0</v>
      </c>
      <c r="AF186" s="52">
        <f>HLOOKUP(I186,ElecAvoidedCostsWOCC!$A$5:$Q$50,G186+1,FALSE)</f>
        <v>1.3893373920773078</v>
      </c>
      <c r="AG186" s="44">
        <f t="shared" si="69"/>
        <v>431.38926024000409</v>
      </c>
      <c r="AH186" s="52">
        <f>HLOOKUP(I186,ElecAvoidedCostsWOCC!$A$5:$Q$50,T186+1,FALSE)</f>
        <v>1.3893373920773078</v>
      </c>
      <c r="AI186" s="44">
        <f t="shared" si="70"/>
        <v>0</v>
      </c>
      <c r="AJ186" s="44">
        <f t="shared" si="71"/>
        <v>431.38926024000409</v>
      </c>
      <c r="AK186" s="44">
        <f>HLOOKUP(I186,ElecAvoidedCostsWOCC!$A$5:$Q$50,G186+1,FALSE)*J186*L186</f>
        <v>0</v>
      </c>
      <c r="AL186" s="44">
        <f t="shared" si="72"/>
        <v>431.38926024000409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431.38926024000409</v>
      </c>
      <c r="AN186" s="48">
        <f t="shared" si="73"/>
        <v>526.99807060826561</v>
      </c>
      <c r="AO186" s="47">
        <f t="shared" si="74"/>
        <v>2.1532425167180631</v>
      </c>
      <c r="AP186" s="47">
        <f t="shared" si="75"/>
        <v>1.2406662774837944</v>
      </c>
      <c r="AQ186">
        <v>2020</v>
      </c>
    </row>
    <row r="187" spans="2:43">
      <c r="B187" s="97" t="s">
        <v>15</v>
      </c>
      <c r="C187" s="61">
        <v>18230627</v>
      </c>
      <c r="D187" s="61" t="s">
        <v>80</v>
      </c>
      <c r="E187" s="38" t="s">
        <v>2008</v>
      </c>
      <c r="F187" s="39" t="s">
        <v>850</v>
      </c>
      <c r="G187" s="39">
        <v>15</v>
      </c>
      <c r="H187" s="39"/>
      <c r="I187" s="40" t="s">
        <v>269</v>
      </c>
      <c r="J187" s="41">
        <v>1200</v>
      </c>
      <c r="K187" s="41">
        <v>0.24</v>
      </c>
      <c r="L187" s="41"/>
      <c r="M187" s="42">
        <v>0.27</v>
      </c>
      <c r="N187" s="42">
        <v>0.73</v>
      </c>
      <c r="O187" s="43">
        <v>288</v>
      </c>
      <c r="P187" s="44">
        <v>350</v>
      </c>
      <c r="Q187" s="44">
        <v>876</v>
      </c>
      <c r="R187" s="45">
        <v>0</v>
      </c>
      <c r="S187" s="46">
        <v>0</v>
      </c>
      <c r="T187" s="39">
        <f t="shared" si="57"/>
        <v>15</v>
      </c>
      <c r="U187" s="47">
        <f t="shared" si="58"/>
        <v>1.5525007954140804E-3</v>
      </c>
      <c r="V187" s="48">
        <f t="shared" si="59"/>
        <v>0.45999999999999996</v>
      </c>
      <c r="W187" s="49">
        <f t="shared" si="60"/>
        <v>1.0350005302760536E-4</v>
      </c>
      <c r="X187" s="44">
        <f t="shared" si="61"/>
        <v>32.117509245205142</v>
      </c>
      <c r="Y187" s="44">
        <f t="shared" si="62"/>
        <v>526</v>
      </c>
      <c r="Z187" s="44">
        <f t="shared" si="63"/>
        <v>198.77843237288755</v>
      </c>
      <c r="AA187" s="50">
        <f t="shared" si="64"/>
        <v>908.11750924520516</v>
      </c>
      <c r="AB187" s="51">
        <f t="shared" si="65"/>
        <v>185.82633670457841</v>
      </c>
      <c r="AC187" s="44">
        <f t="shared" si="66"/>
        <v>848.94597480153789</v>
      </c>
      <c r="AD187" s="44">
        <f t="shared" si="67"/>
        <v>0</v>
      </c>
      <c r="AE187" s="44">
        <f t="shared" si="68"/>
        <v>0</v>
      </c>
      <c r="AF187" s="52">
        <f>HLOOKUP(I187,ElecAvoidedCostsWOCC!$A$5:$Q$50,G187+1,FALSE)</f>
        <v>1.3893373920773078</v>
      </c>
      <c r="AG187" s="44">
        <f t="shared" si="69"/>
        <v>400.12916891826461</v>
      </c>
      <c r="AH187" s="52">
        <f>HLOOKUP(I187,ElecAvoidedCostsWOCC!$A$5:$Q$50,T187+1,FALSE)</f>
        <v>1.3893373920773078</v>
      </c>
      <c r="AI187" s="44">
        <f t="shared" si="70"/>
        <v>0</v>
      </c>
      <c r="AJ187" s="44">
        <f t="shared" si="71"/>
        <v>400.12916891826461</v>
      </c>
      <c r="AK187" s="44">
        <f>HLOOKUP(I187,ElecAvoidedCostsWOCC!$A$5:$Q$50,G187+1,FALSE)*J187*L187</f>
        <v>0</v>
      </c>
      <c r="AL187" s="44">
        <f t="shared" si="72"/>
        <v>400.12916891826461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400.12916891826461</v>
      </c>
      <c r="AN187" s="48">
        <f t="shared" si="73"/>
        <v>440.14208581009109</v>
      </c>
      <c r="AO187" s="47">
        <f t="shared" si="74"/>
        <v>2.1532425167180631</v>
      </c>
      <c r="AP187" s="47">
        <f t="shared" si="75"/>
        <v>0.51845712079968953</v>
      </c>
      <c r="AQ187">
        <v>2020</v>
      </c>
    </row>
    <row r="188" spans="2:43">
      <c r="B188" s="97" t="s">
        <v>15</v>
      </c>
      <c r="C188" s="61">
        <v>18230627</v>
      </c>
      <c r="D188" s="61" t="s">
        <v>80</v>
      </c>
      <c r="E188" s="38" t="s">
        <v>853</v>
      </c>
      <c r="F188" s="39" t="s">
        <v>854</v>
      </c>
      <c r="G188" s="39">
        <v>18</v>
      </c>
      <c r="H188" s="39"/>
      <c r="I188" s="40" t="s">
        <v>269</v>
      </c>
      <c r="J188" s="41">
        <v>13</v>
      </c>
      <c r="K188" s="41">
        <v>468</v>
      </c>
      <c r="L188" s="41"/>
      <c r="M188" s="42">
        <v>450</v>
      </c>
      <c r="N188" s="42">
        <v>549</v>
      </c>
      <c r="O188" s="43">
        <v>6084</v>
      </c>
      <c r="P188" s="44">
        <v>5850</v>
      </c>
      <c r="Q188" s="44">
        <v>7137</v>
      </c>
      <c r="R188" s="45">
        <v>0</v>
      </c>
      <c r="S188" s="46">
        <v>0</v>
      </c>
      <c r="T188" s="39">
        <f t="shared" si="57"/>
        <v>18</v>
      </c>
      <c r="U188" s="47">
        <f t="shared" si="58"/>
        <v>3.9355895163746935E-2</v>
      </c>
      <c r="V188" s="48">
        <f t="shared" si="59"/>
        <v>99</v>
      </c>
      <c r="W188" s="49">
        <f t="shared" si="60"/>
        <v>2.1864386202081632E-3</v>
      </c>
      <c r="X188" s="44">
        <f t="shared" si="61"/>
        <v>678.48238280495866</v>
      </c>
      <c r="Y188" s="44">
        <f t="shared" si="62"/>
        <v>1287</v>
      </c>
      <c r="Z188" s="44">
        <f t="shared" si="63"/>
        <v>4199.1943838772504</v>
      </c>
      <c r="AA188" s="50">
        <f t="shared" si="64"/>
        <v>7815.4823828049584</v>
      </c>
      <c r="AB188" s="51">
        <f t="shared" si="65"/>
        <v>3925.5813628842197</v>
      </c>
      <c r="AC188" s="44">
        <f t="shared" si="66"/>
        <v>7306.2376206459357</v>
      </c>
      <c r="AD188" s="44">
        <f t="shared" si="67"/>
        <v>0</v>
      </c>
      <c r="AE188" s="44">
        <f t="shared" si="68"/>
        <v>0</v>
      </c>
      <c r="AF188" s="52">
        <f>HLOOKUP(I188,ElecAvoidedCostsWOCC!$A$5:$Q$50,G188+1,FALSE)</f>
        <v>1.5960324064820535</v>
      </c>
      <c r="AG188" s="44">
        <f t="shared" si="69"/>
        <v>9710.2611610368131</v>
      </c>
      <c r="AH188" s="52">
        <f>HLOOKUP(I188,ElecAvoidedCostsWOCC!$A$5:$Q$50,T188+1,FALSE)</f>
        <v>1.5960324064820535</v>
      </c>
      <c r="AI188" s="44">
        <f t="shared" si="70"/>
        <v>0</v>
      </c>
      <c r="AJ188" s="44">
        <f t="shared" si="71"/>
        <v>9710.2611610368131</v>
      </c>
      <c r="AK188" s="44">
        <f>HLOOKUP(I188,ElecAvoidedCostsWOCC!$A$5:$Q$50,G188+1,FALSE)*J188*L188</f>
        <v>0</v>
      </c>
      <c r="AL188" s="44">
        <f t="shared" si="72"/>
        <v>9710.2611610368131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9710.2611610368131</v>
      </c>
      <c r="AN188" s="48">
        <f t="shared" si="73"/>
        <v>10681.287277140495</v>
      </c>
      <c r="AO188" s="47">
        <f t="shared" si="74"/>
        <v>2.4735855057917968</v>
      </c>
      <c r="AP188" s="47">
        <f t="shared" si="75"/>
        <v>1.4619408554352733</v>
      </c>
      <c r="AQ188">
        <v>2020</v>
      </c>
    </row>
    <row r="189" spans="2:43">
      <c r="B189" s="97" t="s">
        <v>15</v>
      </c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7"/>
        <v>0</v>
      </c>
      <c r="U189" s="47">
        <f t="shared" si="58"/>
        <v>0</v>
      </c>
      <c r="V189" s="48">
        <f t="shared" si="59"/>
        <v>0</v>
      </c>
      <c r="W189" s="49">
        <f t="shared" si="60"/>
        <v>0</v>
      </c>
      <c r="X189" s="44">
        <f t="shared" si="61"/>
        <v>0</v>
      </c>
      <c r="Y189" s="44">
        <f t="shared" si="62"/>
        <v>0</v>
      </c>
      <c r="Z189" s="44">
        <f t="shared" si="63"/>
        <v>0</v>
      </c>
      <c r="AA189" s="50">
        <f t="shared" si="64"/>
        <v>0</v>
      </c>
      <c r="AB189" s="51">
        <f t="shared" si="65"/>
        <v>0</v>
      </c>
      <c r="AC189" s="44">
        <f t="shared" si="66"/>
        <v>0</v>
      </c>
      <c r="AD189" s="44">
        <f t="shared" si="67"/>
        <v>0</v>
      </c>
      <c r="AE189" s="44">
        <f t="shared" si="68"/>
        <v>0</v>
      </c>
      <c r="AF189" s="52" t="e">
        <f>HLOOKUP(I189,ElecAvoidedCostsWOCC!$A$5:$Q$50,G189+1,FALSE)</f>
        <v>#N/A</v>
      </c>
      <c r="AG189" s="44" t="e">
        <f t="shared" si="69"/>
        <v>#N/A</v>
      </c>
      <c r="AH189" s="52" t="e">
        <f>HLOOKUP(I189,ElecAvoidedCostsWOCC!$A$5:$Q$50,T189+1,FALSE)</f>
        <v>#N/A</v>
      </c>
      <c r="AI189" s="44" t="e">
        <f t="shared" si="70"/>
        <v>#N/A</v>
      </c>
      <c r="AJ189" s="44" t="e">
        <f t="shared" si="71"/>
        <v>#N/A</v>
      </c>
      <c r="AK189" s="44" t="e">
        <f>HLOOKUP(I189,ElecAvoidedCostsWOCC!$A$5:$Q$50,G189+1,FALSE)*J189*L189</f>
        <v>#N/A</v>
      </c>
      <c r="AL189" s="44" t="e">
        <f t="shared" si="72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3"/>
        <v>0</v>
      </c>
      <c r="AO189" s="47">
        <f t="shared" si="74"/>
        <v>0</v>
      </c>
      <c r="AP189" s="47" t="e">
        <f t="shared" si="75"/>
        <v>#DIV/0!</v>
      </c>
    </row>
    <row r="190" spans="2:43">
      <c r="B190" s="97" t="s">
        <v>15</v>
      </c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7"/>
        <v>0</v>
      </c>
      <c r="U190" s="47">
        <f t="shared" si="58"/>
        <v>0</v>
      </c>
      <c r="V190" s="48">
        <f t="shared" si="59"/>
        <v>0</v>
      </c>
      <c r="W190" s="49">
        <f t="shared" si="60"/>
        <v>0</v>
      </c>
      <c r="X190" s="44">
        <f t="shared" si="61"/>
        <v>0</v>
      </c>
      <c r="Y190" s="44">
        <f t="shared" si="62"/>
        <v>0</v>
      </c>
      <c r="Z190" s="44">
        <f t="shared" si="63"/>
        <v>0</v>
      </c>
      <c r="AA190" s="50">
        <f t="shared" si="64"/>
        <v>0</v>
      </c>
      <c r="AB190" s="51">
        <f t="shared" si="65"/>
        <v>0</v>
      </c>
      <c r="AC190" s="44">
        <f t="shared" si="66"/>
        <v>0</v>
      </c>
      <c r="AD190" s="44">
        <f t="shared" si="67"/>
        <v>0</v>
      </c>
      <c r="AE190" s="44">
        <f t="shared" si="68"/>
        <v>0</v>
      </c>
      <c r="AF190" s="52" t="e">
        <f>HLOOKUP(I190,ElecAvoidedCostsWOCC!$A$5:$Q$50,G190+1,FALSE)</f>
        <v>#N/A</v>
      </c>
      <c r="AG190" s="44" t="e">
        <f t="shared" si="69"/>
        <v>#N/A</v>
      </c>
      <c r="AH190" s="52" t="e">
        <f>HLOOKUP(I190,ElecAvoidedCostsWOCC!$A$5:$Q$50,T190+1,FALSE)</f>
        <v>#N/A</v>
      </c>
      <c r="AI190" s="44" t="e">
        <f t="shared" si="70"/>
        <v>#N/A</v>
      </c>
      <c r="AJ190" s="44" t="e">
        <f t="shared" si="71"/>
        <v>#N/A</v>
      </c>
      <c r="AK190" s="44" t="e">
        <f>HLOOKUP(I190,ElecAvoidedCostsWOCC!$A$5:$Q$50,G190+1,FALSE)*J190*L190</f>
        <v>#N/A</v>
      </c>
      <c r="AL190" s="44" t="e">
        <f t="shared" si="72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3"/>
        <v>0</v>
      </c>
      <c r="AO190" s="47">
        <f t="shared" si="74"/>
        <v>0</v>
      </c>
      <c r="AP190" s="47" t="e">
        <f t="shared" si="75"/>
        <v>#DIV/0!</v>
      </c>
    </row>
    <row r="191" spans="2:43">
      <c r="B191" s="97" t="s">
        <v>15</v>
      </c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7"/>
        <v>0</v>
      </c>
      <c r="U191" s="47">
        <f t="shared" si="58"/>
        <v>0</v>
      </c>
      <c r="V191" s="48">
        <f t="shared" si="59"/>
        <v>0</v>
      </c>
      <c r="W191" s="49">
        <f t="shared" si="60"/>
        <v>0</v>
      </c>
      <c r="X191" s="44">
        <f t="shared" si="61"/>
        <v>0</v>
      </c>
      <c r="Y191" s="44">
        <f t="shared" si="62"/>
        <v>0</v>
      </c>
      <c r="Z191" s="44">
        <f t="shared" si="63"/>
        <v>0</v>
      </c>
      <c r="AA191" s="50">
        <f t="shared" si="64"/>
        <v>0</v>
      </c>
      <c r="AB191" s="51">
        <f t="shared" si="65"/>
        <v>0</v>
      </c>
      <c r="AC191" s="44">
        <f t="shared" si="66"/>
        <v>0</v>
      </c>
      <c r="AD191" s="44">
        <f t="shared" si="67"/>
        <v>0</v>
      </c>
      <c r="AE191" s="44">
        <f t="shared" si="68"/>
        <v>0</v>
      </c>
      <c r="AF191" s="52" t="e">
        <f>HLOOKUP(I191,ElecAvoidedCostsWOCC!$A$5:$Q$50,G191+1,FALSE)</f>
        <v>#N/A</v>
      </c>
      <c r="AG191" s="44" t="e">
        <f t="shared" si="69"/>
        <v>#N/A</v>
      </c>
      <c r="AH191" s="52" t="e">
        <f>HLOOKUP(I191,ElecAvoidedCostsWOCC!$A$5:$Q$50,T191+1,FALSE)</f>
        <v>#N/A</v>
      </c>
      <c r="AI191" s="44" t="e">
        <f t="shared" si="70"/>
        <v>#N/A</v>
      </c>
      <c r="AJ191" s="44" t="e">
        <f t="shared" si="71"/>
        <v>#N/A</v>
      </c>
      <c r="AK191" s="44" t="e">
        <f>HLOOKUP(I191,ElecAvoidedCostsWOCC!$A$5:$Q$50,G191+1,FALSE)*J191*L191</f>
        <v>#N/A</v>
      </c>
      <c r="AL191" s="44" t="e">
        <f t="shared" si="72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3"/>
        <v>0</v>
      </c>
      <c r="AO191" s="47">
        <f t="shared" si="74"/>
        <v>0</v>
      </c>
      <c r="AP191" s="47" t="e">
        <f t="shared" si="75"/>
        <v>#DIV/0!</v>
      </c>
    </row>
    <row r="192" spans="2:43">
      <c r="B192" s="97" t="s">
        <v>15</v>
      </c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7"/>
        <v>0</v>
      </c>
      <c r="U192" s="47">
        <f t="shared" si="58"/>
        <v>0</v>
      </c>
      <c r="V192" s="48">
        <f t="shared" si="59"/>
        <v>0</v>
      </c>
      <c r="W192" s="49">
        <f t="shared" si="60"/>
        <v>0</v>
      </c>
      <c r="X192" s="44">
        <f t="shared" si="61"/>
        <v>0</v>
      </c>
      <c r="Y192" s="44">
        <f t="shared" si="62"/>
        <v>0</v>
      </c>
      <c r="Z192" s="44">
        <f t="shared" si="63"/>
        <v>0</v>
      </c>
      <c r="AA192" s="50">
        <f t="shared" si="64"/>
        <v>0</v>
      </c>
      <c r="AB192" s="51">
        <f t="shared" si="65"/>
        <v>0</v>
      </c>
      <c r="AC192" s="44">
        <f t="shared" si="66"/>
        <v>0</v>
      </c>
      <c r="AD192" s="44">
        <f t="shared" si="67"/>
        <v>0</v>
      </c>
      <c r="AE192" s="44">
        <f t="shared" si="68"/>
        <v>0</v>
      </c>
      <c r="AF192" s="52" t="e">
        <f>HLOOKUP(I192,ElecAvoidedCostsWOCC!$A$5:$Q$50,G192+1,FALSE)</f>
        <v>#N/A</v>
      </c>
      <c r="AG192" s="44" t="e">
        <f t="shared" si="69"/>
        <v>#N/A</v>
      </c>
      <c r="AH192" s="52" t="e">
        <f>HLOOKUP(I192,ElecAvoidedCostsWOCC!$A$5:$Q$50,T192+1,FALSE)</f>
        <v>#N/A</v>
      </c>
      <c r="AI192" s="44" t="e">
        <f t="shared" si="70"/>
        <v>#N/A</v>
      </c>
      <c r="AJ192" s="44" t="e">
        <f t="shared" si="71"/>
        <v>#N/A</v>
      </c>
      <c r="AK192" s="44" t="e">
        <f>HLOOKUP(I192,ElecAvoidedCostsWOCC!$A$5:$Q$50,G192+1,FALSE)*J192*L192</f>
        <v>#N/A</v>
      </c>
      <c r="AL192" s="44" t="e">
        <f t="shared" si="72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3"/>
        <v>0</v>
      </c>
      <c r="AO192" s="47">
        <f t="shared" si="74"/>
        <v>0</v>
      </c>
      <c r="AP192" s="47" t="e">
        <f t="shared" si="75"/>
        <v>#DIV/0!</v>
      </c>
    </row>
    <row r="193" spans="2:42">
      <c r="B193" s="97" t="s">
        <v>15</v>
      </c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7"/>
        <v>0</v>
      </c>
      <c r="U193" s="47">
        <f t="shared" si="58"/>
        <v>0</v>
      </c>
      <c r="V193" s="48">
        <f t="shared" si="59"/>
        <v>0</v>
      </c>
      <c r="W193" s="49">
        <f t="shared" si="60"/>
        <v>0</v>
      </c>
      <c r="X193" s="44">
        <f t="shared" si="61"/>
        <v>0</v>
      </c>
      <c r="Y193" s="44">
        <f t="shared" si="62"/>
        <v>0</v>
      </c>
      <c r="Z193" s="44">
        <f t="shared" si="63"/>
        <v>0</v>
      </c>
      <c r="AA193" s="50">
        <f t="shared" si="64"/>
        <v>0</v>
      </c>
      <c r="AB193" s="51">
        <f t="shared" si="65"/>
        <v>0</v>
      </c>
      <c r="AC193" s="44">
        <f t="shared" si="66"/>
        <v>0</v>
      </c>
      <c r="AD193" s="44">
        <f t="shared" si="67"/>
        <v>0</v>
      </c>
      <c r="AE193" s="44">
        <f t="shared" si="68"/>
        <v>0</v>
      </c>
      <c r="AF193" s="52" t="e">
        <f>HLOOKUP(I193,ElecAvoidedCostsWOCC!$A$5:$Q$50,G193+1,FALSE)</f>
        <v>#N/A</v>
      </c>
      <c r="AG193" s="44" t="e">
        <f t="shared" si="69"/>
        <v>#N/A</v>
      </c>
      <c r="AH193" s="52" t="e">
        <f>HLOOKUP(I193,ElecAvoidedCostsWOCC!$A$5:$Q$50,T193+1,FALSE)</f>
        <v>#N/A</v>
      </c>
      <c r="AI193" s="44" t="e">
        <f t="shared" si="70"/>
        <v>#N/A</v>
      </c>
      <c r="AJ193" s="44" t="e">
        <f t="shared" si="71"/>
        <v>#N/A</v>
      </c>
      <c r="AK193" s="44" t="e">
        <f>HLOOKUP(I193,ElecAvoidedCostsWOCC!$A$5:$Q$50,G193+1,FALSE)*J193*L193</f>
        <v>#N/A</v>
      </c>
      <c r="AL193" s="44" t="e">
        <f t="shared" si="72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3"/>
        <v>0</v>
      </c>
      <c r="AO193" s="47">
        <f t="shared" si="74"/>
        <v>0</v>
      </c>
      <c r="AP193" s="47" t="e">
        <f t="shared" si="75"/>
        <v>#DIV/0!</v>
      </c>
    </row>
    <row r="194" spans="2:42">
      <c r="B194" s="97" t="s">
        <v>15</v>
      </c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7"/>
        <v>0</v>
      </c>
      <c r="U194" s="47">
        <f t="shared" si="58"/>
        <v>0</v>
      </c>
      <c r="V194" s="48">
        <f t="shared" si="59"/>
        <v>0</v>
      </c>
      <c r="W194" s="49">
        <f t="shared" si="60"/>
        <v>0</v>
      </c>
      <c r="X194" s="44">
        <f t="shared" si="61"/>
        <v>0</v>
      </c>
      <c r="Y194" s="44">
        <f t="shared" si="62"/>
        <v>0</v>
      </c>
      <c r="Z194" s="44">
        <f t="shared" si="63"/>
        <v>0</v>
      </c>
      <c r="AA194" s="50">
        <f t="shared" si="64"/>
        <v>0</v>
      </c>
      <c r="AB194" s="51">
        <f t="shared" si="65"/>
        <v>0</v>
      </c>
      <c r="AC194" s="44">
        <f t="shared" si="66"/>
        <v>0</v>
      </c>
      <c r="AD194" s="44">
        <f t="shared" si="67"/>
        <v>0</v>
      </c>
      <c r="AE194" s="44">
        <f t="shared" si="68"/>
        <v>0</v>
      </c>
      <c r="AF194" s="52" t="e">
        <f>HLOOKUP(I194,ElecAvoidedCostsWOCC!$A$5:$Q$50,G194+1,FALSE)</f>
        <v>#N/A</v>
      </c>
      <c r="AG194" s="44" t="e">
        <f t="shared" si="69"/>
        <v>#N/A</v>
      </c>
      <c r="AH194" s="52" t="e">
        <f>HLOOKUP(I194,ElecAvoidedCostsWOCC!$A$5:$Q$50,T194+1,FALSE)</f>
        <v>#N/A</v>
      </c>
      <c r="AI194" s="44" t="e">
        <f t="shared" si="70"/>
        <v>#N/A</v>
      </c>
      <c r="AJ194" s="44" t="e">
        <f t="shared" si="71"/>
        <v>#N/A</v>
      </c>
      <c r="AK194" s="44" t="e">
        <f>HLOOKUP(I194,ElecAvoidedCostsWOCC!$A$5:$Q$50,G194+1,FALSE)*J194*L194</f>
        <v>#N/A</v>
      </c>
      <c r="AL194" s="44" t="e">
        <f t="shared" si="72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3"/>
        <v>0</v>
      </c>
      <c r="AO194" s="47">
        <f t="shared" si="74"/>
        <v>0</v>
      </c>
      <c r="AP194" s="47" t="e">
        <f t="shared" si="75"/>
        <v>#DIV/0!</v>
      </c>
    </row>
    <row r="195" spans="2:42">
      <c r="B195" s="97" t="s">
        <v>15</v>
      </c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7"/>
        <v>0</v>
      </c>
      <c r="U195" s="47">
        <f t="shared" si="58"/>
        <v>0</v>
      </c>
      <c r="V195" s="48">
        <f t="shared" si="59"/>
        <v>0</v>
      </c>
      <c r="W195" s="49">
        <f t="shared" si="60"/>
        <v>0</v>
      </c>
      <c r="X195" s="44">
        <f t="shared" si="61"/>
        <v>0</v>
      </c>
      <c r="Y195" s="44">
        <f t="shared" si="62"/>
        <v>0</v>
      </c>
      <c r="Z195" s="44">
        <f t="shared" si="63"/>
        <v>0</v>
      </c>
      <c r="AA195" s="50">
        <f t="shared" si="64"/>
        <v>0</v>
      </c>
      <c r="AB195" s="51">
        <f t="shared" si="65"/>
        <v>0</v>
      </c>
      <c r="AC195" s="44">
        <f t="shared" si="66"/>
        <v>0</v>
      </c>
      <c r="AD195" s="44">
        <f t="shared" si="67"/>
        <v>0</v>
      </c>
      <c r="AE195" s="44">
        <f t="shared" si="68"/>
        <v>0</v>
      </c>
      <c r="AF195" s="52" t="e">
        <f>HLOOKUP(I195,ElecAvoidedCostsWOCC!$A$5:$Q$50,G195+1,FALSE)</f>
        <v>#N/A</v>
      </c>
      <c r="AG195" s="44" t="e">
        <f t="shared" si="69"/>
        <v>#N/A</v>
      </c>
      <c r="AH195" s="52" t="e">
        <f>HLOOKUP(I195,ElecAvoidedCostsWOCC!$A$5:$Q$50,T195+1,FALSE)</f>
        <v>#N/A</v>
      </c>
      <c r="AI195" s="44" t="e">
        <f t="shared" si="70"/>
        <v>#N/A</v>
      </c>
      <c r="AJ195" s="44" t="e">
        <f t="shared" si="71"/>
        <v>#N/A</v>
      </c>
      <c r="AK195" s="44" t="e">
        <f>HLOOKUP(I195,ElecAvoidedCostsWOCC!$A$5:$Q$50,G195+1,FALSE)*J195*L195</f>
        <v>#N/A</v>
      </c>
      <c r="AL195" s="44" t="e">
        <f t="shared" si="72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3"/>
        <v>0</v>
      </c>
      <c r="AO195" s="47">
        <f t="shared" si="74"/>
        <v>0</v>
      </c>
      <c r="AP195" s="47" t="e">
        <f t="shared" si="75"/>
        <v>#DIV/0!</v>
      </c>
    </row>
    <row r="196" spans="2:42">
      <c r="B196" s="97" t="s">
        <v>15</v>
      </c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ref="T196:T259" si="76">G196+H196</f>
        <v>0</v>
      </c>
      <c r="U196" s="47">
        <f t="shared" ref="U196:U259" si="77">(O196/$A$10)*T196</f>
        <v>0</v>
      </c>
      <c r="V196" s="48">
        <f t="shared" ref="V196:V259" si="78">N196-M196</f>
        <v>0</v>
      </c>
      <c r="W196" s="49">
        <f t="shared" ref="W196:W259" si="79">(O196/A$10)</f>
        <v>0</v>
      </c>
      <c r="X196" s="44">
        <f t="shared" ref="X196:X259" si="80">W196*A$8</f>
        <v>0</v>
      </c>
      <c r="Y196" s="44">
        <f t="shared" ref="Y196:Y259" si="81">Q196-P196</f>
        <v>0</v>
      </c>
      <c r="Z196" s="44">
        <f t="shared" ref="Z196:Z259" si="82">X196+(A$6*W196)</f>
        <v>0</v>
      </c>
      <c r="AA196" s="50">
        <f t="shared" ref="AA196:AA259" si="83">Q196+X196</f>
        <v>0</v>
      </c>
      <c r="AB196" s="51">
        <f t="shared" ref="AB196:AB259" si="84">Z196/(1+ElecDiscountRate)^1</f>
        <v>0</v>
      </c>
      <c r="AC196" s="44">
        <f t="shared" ref="AC196:AC259" si="85">AA196/(1+ElecDiscountRate)^1</f>
        <v>0</v>
      </c>
      <c r="AD196" s="44">
        <f t="shared" ref="AD196:AD259" si="86">-PV(ElecDiscountRate,T196,R196)*J196</f>
        <v>0</v>
      </c>
      <c r="AE196" s="44">
        <f t="shared" ref="AE196:AE259" si="87">-PV(ElecDiscountRate,T196,S196)*J196</f>
        <v>0</v>
      </c>
      <c r="AF196" s="52" t="e">
        <f>HLOOKUP(I196,ElecAvoidedCostsWOCC!$A$5:$Q$50,G196+1,FALSE)</f>
        <v>#N/A</v>
      </c>
      <c r="AG196" s="44" t="e">
        <f t="shared" ref="AG196:AG259" si="88">AF196*J196*K196</f>
        <v>#N/A</v>
      </c>
      <c r="AH196" s="52" t="e">
        <f>HLOOKUP(I196,ElecAvoidedCostsWOCC!$A$5:$Q$50,T196+1,FALSE)</f>
        <v>#N/A</v>
      </c>
      <c r="AI196" s="44" t="e">
        <f t="shared" ref="AI196:AI259" si="89">AH196*J196*L196</f>
        <v>#N/A</v>
      </c>
      <c r="AJ196" s="44" t="e">
        <f t="shared" ref="AJ196:AJ259" si="90">AG196+AI196</f>
        <v>#N/A</v>
      </c>
      <c r="AK196" s="44" t="e">
        <f>HLOOKUP(I196,ElecAvoidedCostsWOCC!$A$5:$Q$50,G196+1,FALSE)*J196*L196</f>
        <v>#N/A</v>
      </c>
      <c r="AL196" s="44" t="e">
        <f t="shared" ref="AL196:AL259" si="91">AG196+AI196-AK196</f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ref="AN196:AN259" si="92">AM196*1.1+AD196+AE196</f>
        <v>0</v>
      </c>
      <c r="AO196" s="47">
        <f t="shared" ref="AO196:AO259" si="93">IFERROR(AM196/AB196,0)</f>
        <v>0</v>
      </c>
      <c r="AP196" s="47" t="e">
        <f t="shared" ref="AP196:AP259" si="94">AN196/AC196</f>
        <v>#DIV/0!</v>
      </c>
    </row>
    <row r="197" spans="2:42">
      <c r="B197" s="97" t="s">
        <v>15</v>
      </c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76"/>
        <v>0</v>
      </c>
      <c r="U197" s="47">
        <f t="shared" si="77"/>
        <v>0</v>
      </c>
      <c r="V197" s="48">
        <f t="shared" si="78"/>
        <v>0</v>
      </c>
      <c r="W197" s="49">
        <f t="shared" si="79"/>
        <v>0</v>
      </c>
      <c r="X197" s="44">
        <f t="shared" si="80"/>
        <v>0</v>
      </c>
      <c r="Y197" s="44">
        <f t="shared" si="81"/>
        <v>0</v>
      </c>
      <c r="Z197" s="44">
        <f t="shared" si="82"/>
        <v>0</v>
      </c>
      <c r="AA197" s="50">
        <f t="shared" si="83"/>
        <v>0</v>
      </c>
      <c r="AB197" s="51">
        <f t="shared" si="84"/>
        <v>0</v>
      </c>
      <c r="AC197" s="44">
        <f t="shared" si="85"/>
        <v>0</v>
      </c>
      <c r="AD197" s="44">
        <f t="shared" si="86"/>
        <v>0</v>
      </c>
      <c r="AE197" s="44">
        <f t="shared" si="87"/>
        <v>0</v>
      </c>
      <c r="AF197" s="52" t="e">
        <f>HLOOKUP(I197,ElecAvoidedCostsWOCC!$A$5:$Q$50,G197+1,FALSE)</f>
        <v>#N/A</v>
      </c>
      <c r="AG197" s="44" t="e">
        <f t="shared" si="88"/>
        <v>#N/A</v>
      </c>
      <c r="AH197" s="52" t="e">
        <f>HLOOKUP(I197,ElecAvoidedCostsWOCC!$A$5:$Q$50,T197+1,FALSE)</f>
        <v>#N/A</v>
      </c>
      <c r="AI197" s="44" t="e">
        <f t="shared" si="89"/>
        <v>#N/A</v>
      </c>
      <c r="AJ197" s="44" t="e">
        <f t="shared" si="90"/>
        <v>#N/A</v>
      </c>
      <c r="AK197" s="44" t="e">
        <f>HLOOKUP(I197,ElecAvoidedCostsWOCC!$A$5:$Q$50,G197+1,FALSE)*J197*L197</f>
        <v>#N/A</v>
      </c>
      <c r="AL197" s="44" t="e">
        <f t="shared" si="91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92"/>
        <v>0</v>
      </c>
      <c r="AO197" s="47">
        <f t="shared" si="93"/>
        <v>0</v>
      </c>
      <c r="AP197" s="47" t="e">
        <f t="shared" si="94"/>
        <v>#DIV/0!</v>
      </c>
    </row>
    <row r="198" spans="2:42">
      <c r="B198" s="97" t="s">
        <v>15</v>
      </c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76"/>
        <v>0</v>
      </c>
      <c r="U198" s="47">
        <f t="shared" si="77"/>
        <v>0</v>
      </c>
      <c r="V198" s="48">
        <f t="shared" si="78"/>
        <v>0</v>
      </c>
      <c r="W198" s="49">
        <f t="shared" si="79"/>
        <v>0</v>
      </c>
      <c r="X198" s="44">
        <f t="shared" si="80"/>
        <v>0</v>
      </c>
      <c r="Y198" s="44">
        <f t="shared" si="81"/>
        <v>0</v>
      </c>
      <c r="Z198" s="44">
        <f t="shared" si="82"/>
        <v>0</v>
      </c>
      <c r="AA198" s="50">
        <f t="shared" si="83"/>
        <v>0</v>
      </c>
      <c r="AB198" s="51">
        <f t="shared" si="84"/>
        <v>0</v>
      </c>
      <c r="AC198" s="44">
        <f t="shared" si="85"/>
        <v>0</v>
      </c>
      <c r="AD198" s="44">
        <f t="shared" si="86"/>
        <v>0</v>
      </c>
      <c r="AE198" s="44">
        <f t="shared" si="87"/>
        <v>0</v>
      </c>
      <c r="AF198" s="52" t="e">
        <f>HLOOKUP(I198,ElecAvoidedCostsWOCC!$A$5:$Q$50,G198+1,FALSE)</f>
        <v>#N/A</v>
      </c>
      <c r="AG198" s="44" t="e">
        <f t="shared" si="88"/>
        <v>#N/A</v>
      </c>
      <c r="AH198" s="52" t="e">
        <f>HLOOKUP(I198,ElecAvoidedCostsWOCC!$A$5:$Q$50,T198+1,FALSE)</f>
        <v>#N/A</v>
      </c>
      <c r="AI198" s="44" t="e">
        <f t="shared" si="89"/>
        <v>#N/A</v>
      </c>
      <c r="AJ198" s="44" t="e">
        <f t="shared" si="90"/>
        <v>#N/A</v>
      </c>
      <c r="AK198" s="44" t="e">
        <f>HLOOKUP(I198,ElecAvoidedCostsWOCC!$A$5:$Q$50,G198+1,FALSE)*J198*L198</f>
        <v>#N/A</v>
      </c>
      <c r="AL198" s="44" t="e">
        <f t="shared" si="91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92"/>
        <v>0</v>
      </c>
      <c r="AO198" s="47">
        <f t="shared" si="93"/>
        <v>0</v>
      </c>
      <c r="AP198" s="47" t="e">
        <f t="shared" si="94"/>
        <v>#DIV/0!</v>
      </c>
    </row>
    <row r="199" spans="2:42">
      <c r="B199" s="97" t="s">
        <v>15</v>
      </c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76"/>
        <v>0</v>
      </c>
      <c r="U199" s="47">
        <f t="shared" si="77"/>
        <v>0</v>
      </c>
      <c r="V199" s="48">
        <f t="shared" si="78"/>
        <v>0</v>
      </c>
      <c r="W199" s="49">
        <f t="shared" si="79"/>
        <v>0</v>
      </c>
      <c r="X199" s="44">
        <f t="shared" si="80"/>
        <v>0</v>
      </c>
      <c r="Y199" s="44">
        <f t="shared" si="81"/>
        <v>0</v>
      </c>
      <c r="Z199" s="44">
        <f t="shared" si="82"/>
        <v>0</v>
      </c>
      <c r="AA199" s="50">
        <f t="shared" si="83"/>
        <v>0</v>
      </c>
      <c r="AB199" s="51">
        <f t="shared" si="84"/>
        <v>0</v>
      </c>
      <c r="AC199" s="44">
        <f t="shared" si="85"/>
        <v>0</v>
      </c>
      <c r="AD199" s="44">
        <f t="shared" si="86"/>
        <v>0</v>
      </c>
      <c r="AE199" s="44">
        <f t="shared" si="87"/>
        <v>0</v>
      </c>
      <c r="AF199" s="52" t="e">
        <f>HLOOKUP(I199,ElecAvoidedCostsWOCC!$A$5:$Q$50,G199+1,FALSE)</f>
        <v>#N/A</v>
      </c>
      <c r="AG199" s="44" t="e">
        <f t="shared" si="88"/>
        <v>#N/A</v>
      </c>
      <c r="AH199" s="52" t="e">
        <f>HLOOKUP(I199,ElecAvoidedCostsWOCC!$A$5:$Q$50,T199+1,FALSE)</f>
        <v>#N/A</v>
      </c>
      <c r="AI199" s="44" t="e">
        <f t="shared" si="89"/>
        <v>#N/A</v>
      </c>
      <c r="AJ199" s="44" t="e">
        <f t="shared" si="90"/>
        <v>#N/A</v>
      </c>
      <c r="AK199" s="44" t="e">
        <f>HLOOKUP(I199,ElecAvoidedCostsWOCC!$A$5:$Q$50,G199+1,FALSE)*J199*L199</f>
        <v>#N/A</v>
      </c>
      <c r="AL199" s="44" t="e">
        <f t="shared" si="91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92"/>
        <v>0</v>
      </c>
      <c r="AO199" s="47">
        <f t="shared" si="93"/>
        <v>0</v>
      </c>
      <c r="AP199" s="47" t="e">
        <f t="shared" si="94"/>
        <v>#DIV/0!</v>
      </c>
    </row>
    <row r="200" spans="2:42">
      <c r="B200" s="97" t="s">
        <v>15</v>
      </c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76"/>
        <v>0</v>
      </c>
      <c r="U200" s="47">
        <f t="shared" si="77"/>
        <v>0</v>
      </c>
      <c r="V200" s="48">
        <f t="shared" si="78"/>
        <v>0</v>
      </c>
      <c r="W200" s="49">
        <f t="shared" si="79"/>
        <v>0</v>
      </c>
      <c r="X200" s="44">
        <f t="shared" si="80"/>
        <v>0</v>
      </c>
      <c r="Y200" s="44">
        <f t="shared" si="81"/>
        <v>0</v>
      </c>
      <c r="Z200" s="44">
        <f t="shared" si="82"/>
        <v>0</v>
      </c>
      <c r="AA200" s="50">
        <f t="shared" si="83"/>
        <v>0</v>
      </c>
      <c r="AB200" s="51">
        <f t="shared" si="84"/>
        <v>0</v>
      </c>
      <c r="AC200" s="44">
        <f t="shared" si="85"/>
        <v>0</v>
      </c>
      <c r="AD200" s="44">
        <f t="shared" si="86"/>
        <v>0</v>
      </c>
      <c r="AE200" s="44">
        <f t="shared" si="87"/>
        <v>0</v>
      </c>
      <c r="AF200" s="52" t="e">
        <f>HLOOKUP(I200,ElecAvoidedCostsWOCC!$A$5:$Q$50,G200+1,FALSE)</f>
        <v>#N/A</v>
      </c>
      <c r="AG200" s="44" t="e">
        <f t="shared" si="88"/>
        <v>#N/A</v>
      </c>
      <c r="AH200" s="52" t="e">
        <f>HLOOKUP(I200,ElecAvoidedCostsWOCC!$A$5:$Q$50,T200+1,FALSE)</f>
        <v>#N/A</v>
      </c>
      <c r="AI200" s="44" t="e">
        <f t="shared" si="89"/>
        <v>#N/A</v>
      </c>
      <c r="AJ200" s="44" t="e">
        <f t="shared" si="90"/>
        <v>#N/A</v>
      </c>
      <c r="AK200" s="44" t="e">
        <f>HLOOKUP(I200,ElecAvoidedCostsWOCC!$A$5:$Q$50,G200+1,FALSE)*J200*L200</f>
        <v>#N/A</v>
      </c>
      <c r="AL200" s="44" t="e">
        <f t="shared" si="91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92"/>
        <v>0</v>
      </c>
      <c r="AO200" s="47">
        <f t="shared" si="93"/>
        <v>0</v>
      </c>
      <c r="AP200" s="47" t="e">
        <f t="shared" si="94"/>
        <v>#DIV/0!</v>
      </c>
    </row>
    <row r="201" spans="2:42">
      <c r="B201" s="97" t="s">
        <v>15</v>
      </c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76"/>
        <v>0</v>
      </c>
      <c r="U201" s="47">
        <f t="shared" si="77"/>
        <v>0</v>
      </c>
      <c r="V201" s="48">
        <f t="shared" si="78"/>
        <v>0</v>
      </c>
      <c r="W201" s="49">
        <f t="shared" si="79"/>
        <v>0</v>
      </c>
      <c r="X201" s="44">
        <f t="shared" si="80"/>
        <v>0</v>
      </c>
      <c r="Y201" s="44">
        <f t="shared" si="81"/>
        <v>0</v>
      </c>
      <c r="Z201" s="44">
        <f t="shared" si="82"/>
        <v>0</v>
      </c>
      <c r="AA201" s="50">
        <f t="shared" si="83"/>
        <v>0</v>
      </c>
      <c r="AB201" s="51">
        <f t="shared" si="84"/>
        <v>0</v>
      </c>
      <c r="AC201" s="44">
        <f t="shared" si="85"/>
        <v>0</v>
      </c>
      <c r="AD201" s="44">
        <f t="shared" si="86"/>
        <v>0</v>
      </c>
      <c r="AE201" s="44">
        <f t="shared" si="87"/>
        <v>0</v>
      </c>
      <c r="AF201" s="52" t="e">
        <f>HLOOKUP(I201,ElecAvoidedCostsWOCC!$A$5:$Q$50,G201+1,FALSE)</f>
        <v>#N/A</v>
      </c>
      <c r="AG201" s="44" t="e">
        <f t="shared" si="88"/>
        <v>#N/A</v>
      </c>
      <c r="AH201" s="52" t="e">
        <f>HLOOKUP(I201,ElecAvoidedCostsWOCC!$A$5:$Q$50,T201+1,FALSE)</f>
        <v>#N/A</v>
      </c>
      <c r="AI201" s="44" t="e">
        <f t="shared" si="89"/>
        <v>#N/A</v>
      </c>
      <c r="AJ201" s="44" t="e">
        <f t="shared" si="90"/>
        <v>#N/A</v>
      </c>
      <c r="AK201" s="44" t="e">
        <f>HLOOKUP(I201,ElecAvoidedCostsWOCC!$A$5:$Q$50,G201+1,FALSE)*J201*L201</f>
        <v>#N/A</v>
      </c>
      <c r="AL201" s="44" t="e">
        <f t="shared" si="91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92"/>
        <v>0</v>
      </c>
      <c r="AO201" s="47">
        <f t="shared" si="93"/>
        <v>0</v>
      </c>
      <c r="AP201" s="47" t="e">
        <f t="shared" si="94"/>
        <v>#DIV/0!</v>
      </c>
    </row>
    <row r="202" spans="2:42">
      <c r="B202" s="97" t="s">
        <v>15</v>
      </c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76"/>
        <v>0</v>
      </c>
      <c r="U202" s="47">
        <f t="shared" si="77"/>
        <v>0</v>
      </c>
      <c r="V202" s="48">
        <f t="shared" si="78"/>
        <v>0</v>
      </c>
      <c r="W202" s="49">
        <f t="shared" si="79"/>
        <v>0</v>
      </c>
      <c r="X202" s="44">
        <f t="shared" si="80"/>
        <v>0</v>
      </c>
      <c r="Y202" s="44">
        <f t="shared" si="81"/>
        <v>0</v>
      </c>
      <c r="Z202" s="44">
        <f t="shared" si="82"/>
        <v>0</v>
      </c>
      <c r="AA202" s="50">
        <f t="shared" si="83"/>
        <v>0</v>
      </c>
      <c r="AB202" s="51">
        <f t="shared" si="84"/>
        <v>0</v>
      </c>
      <c r="AC202" s="44">
        <f t="shared" si="85"/>
        <v>0</v>
      </c>
      <c r="AD202" s="44">
        <f t="shared" si="86"/>
        <v>0</v>
      </c>
      <c r="AE202" s="44">
        <f t="shared" si="87"/>
        <v>0</v>
      </c>
      <c r="AF202" s="52" t="e">
        <f>HLOOKUP(I202,ElecAvoidedCostsWOCC!$A$5:$Q$50,G202+1,FALSE)</f>
        <v>#N/A</v>
      </c>
      <c r="AG202" s="44" t="e">
        <f t="shared" si="88"/>
        <v>#N/A</v>
      </c>
      <c r="AH202" s="52" t="e">
        <f>HLOOKUP(I202,ElecAvoidedCostsWOCC!$A$5:$Q$50,T202+1,FALSE)</f>
        <v>#N/A</v>
      </c>
      <c r="AI202" s="44" t="e">
        <f t="shared" si="89"/>
        <v>#N/A</v>
      </c>
      <c r="AJ202" s="44" t="e">
        <f t="shared" si="90"/>
        <v>#N/A</v>
      </c>
      <c r="AK202" s="44" t="e">
        <f>HLOOKUP(I202,ElecAvoidedCostsWOCC!$A$5:$Q$50,G202+1,FALSE)*J202*L202</f>
        <v>#N/A</v>
      </c>
      <c r="AL202" s="44" t="e">
        <f t="shared" si="91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92"/>
        <v>0</v>
      </c>
      <c r="AO202" s="47">
        <f t="shared" si="93"/>
        <v>0</v>
      </c>
      <c r="AP202" s="47" t="e">
        <f t="shared" si="94"/>
        <v>#DIV/0!</v>
      </c>
    </row>
    <row r="203" spans="2:42">
      <c r="B203" s="97" t="s">
        <v>15</v>
      </c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76"/>
        <v>0</v>
      </c>
      <c r="U203" s="47">
        <f t="shared" si="77"/>
        <v>0</v>
      </c>
      <c r="V203" s="48">
        <f t="shared" si="78"/>
        <v>0</v>
      </c>
      <c r="W203" s="49">
        <f t="shared" si="79"/>
        <v>0</v>
      </c>
      <c r="X203" s="44">
        <f t="shared" si="80"/>
        <v>0</v>
      </c>
      <c r="Y203" s="44">
        <f t="shared" si="81"/>
        <v>0</v>
      </c>
      <c r="Z203" s="44">
        <f t="shared" si="82"/>
        <v>0</v>
      </c>
      <c r="AA203" s="50">
        <f t="shared" si="83"/>
        <v>0</v>
      </c>
      <c r="AB203" s="51">
        <f t="shared" si="84"/>
        <v>0</v>
      </c>
      <c r="AC203" s="44">
        <f t="shared" si="85"/>
        <v>0</v>
      </c>
      <c r="AD203" s="44">
        <f t="shared" si="86"/>
        <v>0</v>
      </c>
      <c r="AE203" s="44">
        <f t="shared" si="87"/>
        <v>0</v>
      </c>
      <c r="AF203" s="52" t="e">
        <f>HLOOKUP(I203,ElecAvoidedCostsWOCC!$A$5:$Q$50,G203+1,FALSE)</f>
        <v>#N/A</v>
      </c>
      <c r="AG203" s="44" t="e">
        <f t="shared" si="88"/>
        <v>#N/A</v>
      </c>
      <c r="AH203" s="52" t="e">
        <f>HLOOKUP(I203,ElecAvoidedCostsWOCC!$A$5:$Q$50,T203+1,FALSE)</f>
        <v>#N/A</v>
      </c>
      <c r="AI203" s="44" t="e">
        <f t="shared" si="89"/>
        <v>#N/A</v>
      </c>
      <c r="AJ203" s="44" t="e">
        <f t="shared" si="90"/>
        <v>#N/A</v>
      </c>
      <c r="AK203" s="44" t="e">
        <f>HLOOKUP(I203,ElecAvoidedCostsWOCC!$A$5:$Q$50,G203+1,FALSE)*J203*L203</f>
        <v>#N/A</v>
      </c>
      <c r="AL203" s="44" t="e">
        <f t="shared" si="91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92"/>
        <v>0</v>
      </c>
      <c r="AO203" s="47">
        <f t="shared" si="93"/>
        <v>0</v>
      </c>
      <c r="AP203" s="47" t="e">
        <f t="shared" si="94"/>
        <v>#DIV/0!</v>
      </c>
    </row>
    <row r="204" spans="2:42">
      <c r="B204" s="97" t="s">
        <v>15</v>
      </c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76"/>
        <v>0</v>
      </c>
      <c r="U204" s="47">
        <f t="shared" si="77"/>
        <v>0</v>
      </c>
      <c r="V204" s="48">
        <f t="shared" si="78"/>
        <v>0</v>
      </c>
      <c r="W204" s="49">
        <f t="shared" si="79"/>
        <v>0</v>
      </c>
      <c r="X204" s="44">
        <f t="shared" si="80"/>
        <v>0</v>
      </c>
      <c r="Y204" s="44">
        <f t="shared" si="81"/>
        <v>0</v>
      </c>
      <c r="Z204" s="44">
        <f t="shared" si="82"/>
        <v>0</v>
      </c>
      <c r="AA204" s="50">
        <f t="shared" si="83"/>
        <v>0</v>
      </c>
      <c r="AB204" s="51">
        <f t="shared" si="84"/>
        <v>0</v>
      </c>
      <c r="AC204" s="44">
        <f t="shared" si="85"/>
        <v>0</v>
      </c>
      <c r="AD204" s="44">
        <f t="shared" si="86"/>
        <v>0</v>
      </c>
      <c r="AE204" s="44">
        <f t="shared" si="87"/>
        <v>0</v>
      </c>
      <c r="AF204" s="52" t="e">
        <f>HLOOKUP(I204,ElecAvoidedCostsWOCC!$A$5:$Q$50,G204+1,FALSE)</f>
        <v>#N/A</v>
      </c>
      <c r="AG204" s="44" t="e">
        <f t="shared" si="88"/>
        <v>#N/A</v>
      </c>
      <c r="AH204" s="52" t="e">
        <f>HLOOKUP(I204,ElecAvoidedCostsWOCC!$A$5:$Q$50,T204+1,FALSE)</f>
        <v>#N/A</v>
      </c>
      <c r="AI204" s="44" t="e">
        <f t="shared" si="89"/>
        <v>#N/A</v>
      </c>
      <c r="AJ204" s="44" t="e">
        <f t="shared" si="90"/>
        <v>#N/A</v>
      </c>
      <c r="AK204" s="44" t="e">
        <f>HLOOKUP(I204,ElecAvoidedCostsWOCC!$A$5:$Q$50,G204+1,FALSE)*J204*L204</f>
        <v>#N/A</v>
      </c>
      <c r="AL204" s="44" t="e">
        <f t="shared" si="91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92"/>
        <v>0</v>
      </c>
      <c r="AO204" s="47">
        <f t="shared" si="93"/>
        <v>0</v>
      </c>
      <c r="AP204" s="47" t="e">
        <f t="shared" si="94"/>
        <v>#DIV/0!</v>
      </c>
    </row>
    <row r="205" spans="2:42">
      <c r="B205" s="97" t="s">
        <v>15</v>
      </c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76"/>
        <v>0</v>
      </c>
      <c r="U205" s="47">
        <f t="shared" si="77"/>
        <v>0</v>
      </c>
      <c r="V205" s="48">
        <f t="shared" si="78"/>
        <v>0</v>
      </c>
      <c r="W205" s="49">
        <f t="shared" si="79"/>
        <v>0</v>
      </c>
      <c r="X205" s="44">
        <f t="shared" si="80"/>
        <v>0</v>
      </c>
      <c r="Y205" s="44">
        <f t="shared" si="81"/>
        <v>0</v>
      </c>
      <c r="Z205" s="44">
        <f t="shared" si="82"/>
        <v>0</v>
      </c>
      <c r="AA205" s="50">
        <f t="shared" si="83"/>
        <v>0</v>
      </c>
      <c r="AB205" s="51">
        <f t="shared" si="84"/>
        <v>0</v>
      </c>
      <c r="AC205" s="44">
        <f t="shared" si="85"/>
        <v>0</v>
      </c>
      <c r="AD205" s="44">
        <f t="shared" si="86"/>
        <v>0</v>
      </c>
      <c r="AE205" s="44">
        <f t="shared" si="87"/>
        <v>0</v>
      </c>
      <c r="AF205" s="52" t="e">
        <f>HLOOKUP(I205,ElecAvoidedCostsWOCC!$A$5:$Q$50,G205+1,FALSE)</f>
        <v>#N/A</v>
      </c>
      <c r="AG205" s="44" t="e">
        <f t="shared" si="88"/>
        <v>#N/A</v>
      </c>
      <c r="AH205" s="52" t="e">
        <f>HLOOKUP(I205,ElecAvoidedCostsWOCC!$A$5:$Q$50,T205+1,FALSE)</f>
        <v>#N/A</v>
      </c>
      <c r="AI205" s="44" t="e">
        <f t="shared" si="89"/>
        <v>#N/A</v>
      </c>
      <c r="AJ205" s="44" t="e">
        <f t="shared" si="90"/>
        <v>#N/A</v>
      </c>
      <c r="AK205" s="44" t="e">
        <f>HLOOKUP(I205,ElecAvoidedCostsWOCC!$A$5:$Q$50,G205+1,FALSE)*J205*L205</f>
        <v>#N/A</v>
      </c>
      <c r="AL205" s="44" t="e">
        <f t="shared" si="91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92"/>
        <v>0</v>
      </c>
      <c r="AO205" s="47">
        <f t="shared" si="93"/>
        <v>0</v>
      </c>
      <c r="AP205" s="47" t="e">
        <f t="shared" si="94"/>
        <v>#DIV/0!</v>
      </c>
    </row>
    <row r="206" spans="2:42">
      <c r="B206" s="97" t="s">
        <v>15</v>
      </c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76"/>
        <v>0</v>
      </c>
      <c r="U206" s="47">
        <f t="shared" si="77"/>
        <v>0</v>
      </c>
      <c r="V206" s="48">
        <f t="shared" si="78"/>
        <v>0</v>
      </c>
      <c r="W206" s="49">
        <f t="shared" si="79"/>
        <v>0</v>
      </c>
      <c r="X206" s="44">
        <f t="shared" si="80"/>
        <v>0</v>
      </c>
      <c r="Y206" s="44">
        <f t="shared" si="81"/>
        <v>0</v>
      </c>
      <c r="Z206" s="44">
        <f t="shared" si="82"/>
        <v>0</v>
      </c>
      <c r="AA206" s="50">
        <f t="shared" si="83"/>
        <v>0</v>
      </c>
      <c r="AB206" s="51">
        <f t="shared" si="84"/>
        <v>0</v>
      </c>
      <c r="AC206" s="44">
        <f t="shared" si="85"/>
        <v>0</v>
      </c>
      <c r="AD206" s="44">
        <f t="shared" si="86"/>
        <v>0</v>
      </c>
      <c r="AE206" s="44">
        <f t="shared" si="87"/>
        <v>0</v>
      </c>
      <c r="AF206" s="52" t="e">
        <f>HLOOKUP(I206,ElecAvoidedCostsWOCC!$A$5:$Q$50,G206+1,FALSE)</f>
        <v>#N/A</v>
      </c>
      <c r="AG206" s="44" t="e">
        <f t="shared" si="88"/>
        <v>#N/A</v>
      </c>
      <c r="AH206" s="52" t="e">
        <f>HLOOKUP(I206,ElecAvoidedCostsWOCC!$A$5:$Q$50,T206+1,FALSE)</f>
        <v>#N/A</v>
      </c>
      <c r="AI206" s="44" t="e">
        <f t="shared" si="89"/>
        <v>#N/A</v>
      </c>
      <c r="AJ206" s="44" t="e">
        <f t="shared" si="90"/>
        <v>#N/A</v>
      </c>
      <c r="AK206" s="44" t="e">
        <f>HLOOKUP(I206,ElecAvoidedCostsWOCC!$A$5:$Q$50,G206+1,FALSE)*J206*L206</f>
        <v>#N/A</v>
      </c>
      <c r="AL206" s="44" t="e">
        <f t="shared" si="91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92"/>
        <v>0</v>
      </c>
      <c r="AO206" s="47">
        <f t="shared" si="93"/>
        <v>0</v>
      </c>
      <c r="AP206" s="47" t="e">
        <f t="shared" si="94"/>
        <v>#DIV/0!</v>
      </c>
    </row>
    <row r="207" spans="2:42">
      <c r="B207" s="97" t="s">
        <v>15</v>
      </c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76"/>
        <v>0</v>
      </c>
      <c r="U207" s="47">
        <f t="shared" si="77"/>
        <v>0</v>
      </c>
      <c r="V207" s="48">
        <f t="shared" si="78"/>
        <v>0</v>
      </c>
      <c r="W207" s="49">
        <f t="shared" si="79"/>
        <v>0</v>
      </c>
      <c r="X207" s="44">
        <f t="shared" si="80"/>
        <v>0</v>
      </c>
      <c r="Y207" s="44">
        <f t="shared" si="81"/>
        <v>0</v>
      </c>
      <c r="Z207" s="44">
        <f t="shared" si="82"/>
        <v>0</v>
      </c>
      <c r="AA207" s="50">
        <f t="shared" si="83"/>
        <v>0</v>
      </c>
      <c r="AB207" s="51">
        <f t="shared" si="84"/>
        <v>0</v>
      </c>
      <c r="AC207" s="44">
        <f t="shared" si="85"/>
        <v>0</v>
      </c>
      <c r="AD207" s="44">
        <f t="shared" si="86"/>
        <v>0</v>
      </c>
      <c r="AE207" s="44">
        <f t="shared" si="87"/>
        <v>0</v>
      </c>
      <c r="AF207" s="52" t="e">
        <f>HLOOKUP(I207,ElecAvoidedCostsWOCC!$A$5:$Q$50,G207+1,FALSE)</f>
        <v>#N/A</v>
      </c>
      <c r="AG207" s="44" t="e">
        <f t="shared" si="88"/>
        <v>#N/A</v>
      </c>
      <c r="AH207" s="52" t="e">
        <f>HLOOKUP(I207,ElecAvoidedCostsWOCC!$A$5:$Q$50,T207+1,FALSE)</f>
        <v>#N/A</v>
      </c>
      <c r="AI207" s="44" t="e">
        <f t="shared" si="89"/>
        <v>#N/A</v>
      </c>
      <c r="AJ207" s="44" t="e">
        <f t="shared" si="90"/>
        <v>#N/A</v>
      </c>
      <c r="AK207" s="44" t="e">
        <f>HLOOKUP(I207,ElecAvoidedCostsWOCC!$A$5:$Q$50,G207+1,FALSE)*J207*L207</f>
        <v>#N/A</v>
      </c>
      <c r="AL207" s="44" t="e">
        <f t="shared" si="91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92"/>
        <v>0</v>
      </c>
      <c r="AO207" s="47">
        <f t="shared" si="93"/>
        <v>0</v>
      </c>
      <c r="AP207" s="47" t="e">
        <f t="shared" si="94"/>
        <v>#DIV/0!</v>
      </c>
    </row>
    <row r="208" spans="2:42">
      <c r="B208" s="97" t="s">
        <v>15</v>
      </c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76"/>
        <v>0</v>
      </c>
      <c r="U208" s="47">
        <f t="shared" si="77"/>
        <v>0</v>
      </c>
      <c r="V208" s="48">
        <f t="shared" si="78"/>
        <v>0</v>
      </c>
      <c r="W208" s="49">
        <f t="shared" si="79"/>
        <v>0</v>
      </c>
      <c r="X208" s="44">
        <f t="shared" si="80"/>
        <v>0</v>
      </c>
      <c r="Y208" s="44">
        <f t="shared" si="81"/>
        <v>0</v>
      </c>
      <c r="Z208" s="44">
        <f t="shared" si="82"/>
        <v>0</v>
      </c>
      <c r="AA208" s="50">
        <f t="shared" si="83"/>
        <v>0</v>
      </c>
      <c r="AB208" s="51">
        <f t="shared" si="84"/>
        <v>0</v>
      </c>
      <c r="AC208" s="44">
        <f t="shared" si="85"/>
        <v>0</v>
      </c>
      <c r="AD208" s="44">
        <f t="shared" si="86"/>
        <v>0</v>
      </c>
      <c r="AE208" s="44">
        <f t="shared" si="87"/>
        <v>0</v>
      </c>
      <c r="AF208" s="52" t="e">
        <f>HLOOKUP(I208,ElecAvoidedCostsWOCC!$A$5:$Q$50,G208+1,FALSE)</f>
        <v>#N/A</v>
      </c>
      <c r="AG208" s="44" t="e">
        <f t="shared" si="88"/>
        <v>#N/A</v>
      </c>
      <c r="AH208" s="52" t="e">
        <f>HLOOKUP(I208,ElecAvoidedCostsWOCC!$A$5:$Q$50,T208+1,FALSE)</f>
        <v>#N/A</v>
      </c>
      <c r="AI208" s="44" t="e">
        <f t="shared" si="89"/>
        <v>#N/A</v>
      </c>
      <c r="AJ208" s="44" t="e">
        <f t="shared" si="90"/>
        <v>#N/A</v>
      </c>
      <c r="AK208" s="44" t="e">
        <f>HLOOKUP(I208,ElecAvoidedCostsWOCC!$A$5:$Q$50,G208+1,FALSE)*J208*L208</f>
        <v>#N/A</v>
      </c>
      <c r="AL208" s="44" t="e">
        <f t="shared" si="91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92"/>
        <v>0</v>
      </c>
      <c r="AO208" s="47">
        <f t="shared" si="93"/>
        <v>0</v>
      </c>
      <c r="AP208" s="47" t="e">
        <f t="shared" si="94"/>
        <v>#DIV/0!</v>
      </c>
    </row>
    <row r="209" spans="2:42">
      <c r="B209" s="97" t="s">
        <v>15</v>
      </c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76"/>
        <v>0</v>
      </c>
      <c r="U209" s="47">
        <f t="shared" si="77"/>
        <v>0</v>
      </c>
      <c r="V209" s="48">
        <f t="shared" si="78"/>
        <v>0</v>
      </c>
      <c r="W209" s="49">
        <f t="shared" si="79"/>
        <v>0</v>
      </c>
      <c r="X209" s="44">
        <f t="shared" si="80"/>
        <v>0</v>
      </c>
      <c r="Y209" s="44">
        <f t="shared" si="81"/>
        <v>0</v>
      </c>
      <c r="Z209" s="44">
        <f t="shared" si="82"/>
        <v>0</v>
      </c>
      <c r="AA209" s="50">
        <f t="shared" si="83"/>
        <v>0</v>
      </c>
      <c r="AB209" s="51">
        <f t="shared" si="84"/>
        <v>0</v>
      </c>
      <c r="AC209" s="44">
        <f t="shared" si="85"/>
        <v>0</v>
      </c>
      <c r="AD209" s="44">
        <f t="shared" si="86"/>
        <v>0</v>
      </c>
      <c r="AE209" s="44">
        <f t="shared" si="87"/>
        <v>0</v>
      </c>
      <c r="AF209" s="52" t="e">
        <f>HLOOKUP(I209,ElecAvoidedCostsWOCC!$A$5:$Q$50,G209+1,FALSE)</f>
        <v>#N/A</v>
      </c>
      <c r="AG209" s="44" t="e">
        <f t="shared" si="88"/>
        <v>#N/A</v>
      </c>
      <c r="AH209" s="52" t="e">
        <f>HLOOKUP(I209,ElecAvoidedCostsWOCC!$A$5:$Q$50,T209+1,FALSE)</f>
        <v>#N/A</v>
      </c>
      <c r="AI209" s="44" t="e">
        <f t="shared" si="89"/>
        <v>#N/A</v>
      </c>
      <c r="AJ209" s="44" t="e">
        <f t="shared" si="90"/>
        <v>#N/A</v>
      </c>
      <c r="AK209" s="44" t="e">
        <f>HLOOKUP(I209,ElecAvoidedCostsWOCC!$A$5:$Q$50,G209+1,FALSE)*J209*L209</f>
        <v>#N/A</v>
      </c>
      <c r="AL209" s="44" t="e">
        <f t="shared" si="91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92"/>
        <v>0</v>
      </c>
      <c r="AO209" s="47">
        <f t="shared" si="93"/>
        <v>0</v>
      </c>
      <c r="AP209" s="47" t="e">
        <f t="shared" si="94"/>
        <v>#DIV/0!</v>
      </c>
    </row>
    <row r="210" spans="2:42">
      <c r="B210" s="97" t="s">
        <v>15</v>
      </c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76"/>
        <v>0</v>
      </c>
      <c r="U210" s="47">
        <f t="shared" si="77"/>
        <v>0</v>
      </c>
      <c r="V210" s="48">
        <f t="shared" si="78"/>
        <v>0</v>
      </c>
      <c r="W210" s="49">
        <f t="shared" si="79"/>
        <v>0</v>
      </c>
      <c r="X210" s="44">
        <f t="shared" si="80"/>
        <v>0</v>
      </c>
      <c r="Y210" s="44">
        <f t="shared" si="81"/>
        <v>0</v>
      </c>
      <c r="Z210" s="44">
        <f t="shared" si="82"/>
        <v>0</v>
      </c>
      <c r="AA210" s="50">
        <f t="shared" si="83"/>
        <v>0</v>
      </c>
      <c r="AB210" s="51">
        <f t="shared" si="84"/>
        <v>0</v>
      </c>
      <c r="AC210" s="44">
        <f t="shared" si="85"/>
        <v>0</v>
      </c>
      <c r="AD210" s="44">
        <f t="shared" si="86"/>
        <v>0</v>
      </c>
      <c r="AE210" s="44">
        <f t="shared" si="87"/>
        <v>0</v>
      </c>
      <c r="AF210" s="52" t="e">
        <f>HLOOKUP(I210,ElecAvoidedCostsWOCC!$A$5:$Q$50,G210+1,FALSE)</f>
        <v>#N/A</v>
      </c>
      <c r="AG210" s="44" t="e">
        <f t="shared" si="88"/>
        <v>#N/A</v>
      </c>
      <c r="AH210" s="52" t="e">
        <f>HLOOKUP(I210,ElecAvoidedCostsWOCC!$A$5:$Q$50,T210+1,FALSE)</f>
        <v>#N/A</v>
      </c>
      <c r="AI210" s="44" t="e">
        <f t="shared" si="89"/>
        <v>#N/A</v>
      </c>
      <c r="AJ210" s="44" t="e">
        <f t="shared" si="90"/>
        <v>#N/A</v>
      </c>
      <c r="AK210" s="44" t="e">
        <f>HLOOKUP(I210,ElecAvoidedCostsWOCC!$A$5:$Q$50,G210+1,FALSE)*J210*L210</f>
        <v>#N/A</v>
      </c>
      <c r="AL210" s="44" t="e">
        <f t="shared" si="91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92"/>
        <v>0</v>
      </c>
      <c r="AO210" s="47">
        <f t="shared" si="93"/>
        <v>0</v>
      </c>
      <c r="AP210" s="47" t="e">
        <f t="shared" si="94"/>
        <v>#DIV/0!</v>
      </c>
    </row>
    <row r="211" spans="2:42">
      <c r="B211" s="97" t="s">
        <v>15</v>
      </c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76"/>
        <v>0</v>
      </c>
      <c r="U211" s="47">
        <f t="shared" si="77"/>
        <v>0</v>
      </c>
      <c r="V211" s="48">
        <f t="shared" si="78"/>
        <v>0</v>
      </c>
      <c r="W211" s="49">
        <f t="shared" si="79"/>
        <v>0</v>
      </c>
      <c r="X211" s="44">
        <f t="shared" si="80"/>
        <v>0</v>
      </c>
      <c r="Y211" s="44">
        <f t="shared" si="81"/>
        <v>0</v>
      </c>
      <c r="Z211" s="44">
        <f t="shared" si="82"/>
        <v>0</v>
      </c>
      <c r="AA211" s="50">
        <f t="shared" si="83"/>
        <v>0</v>
      </c>
      <c r="AB211" s="51">
        <f t="shared" si="84"/>
        <v>0</v>
      </c>
      <c r="AC211" s="44">
        <f t="shared" si="85"/>
        <v>0</v>
      </c>
      <c r="AD211" s="44">
        <f t="shared" si="86"/>
        <v>0</v>
      </c>
      <c r="AE211" s="44">
        <f t="shared" si="87"/>
        <v>0</v>
      </c>
      <c r="AF211" s="52" t="e">
        <f>HLOOKUP(I211,ElecAvoidedCostsWOCC!$A$5:$Q$50,G211+1,FALSE)</f>
        <v>#N/A</v>
      </c>
      <c r="AG211" s="44" t="e">
        <f t="shared" si="88"/>
        <v>#N/A</v>
      </c>
      <c r="AH211" s="52" t="e">
        <f>HLOOKUP(I211,ElecAvoidedCostsWOCC!$A$5:$Q$50,T211+1,FALSE)</f>
        <v>#N/A</v>
      </c>
      <c r="AI211" s="44" t="e">
        <f t="shared" si="89"/>
        <v>#N/A</v>
      </c>
      <c r="AJ211" s="44" t="e">
        <f t="shared" si="90"/>
        <v>#N/A</v>
      </c>
      <c r="AK211" s="44" t="e">
        <f>HLOOKUP(I211,ElecAvoidedCostsWOCC!$A$5:$Q$50,G211+1,FALSE)*J211*L211</f>
        <v>#N/A</v>
      </c>
      <c r="AL211" s="44" t="e">
        <f t="shared" si="91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92"/>
        <v>0</v>
      </c>
      <c r="AO211" s="47">
        <f t="shared" si="93"/>
        <v>0</v>
      </c>
      <c r="AP211" s="47" t="e">
        <f t="shared" si="94"/>
        <v>#DIV/0!</v>
      </c>
    </row>
    <row r="212" spans="2:42">
      <c r="B212" s="97" t="s">
        <v>15</v>
      </c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76"/>
        <v>0</v>
      </c>
      <c r="U212" s="47">
        <f t="shared" si="77"/>
        <v>0</v>
      </c>
      <c r="V212" s="48">
        <f t="shared" si="78"/>
        <v>0</v>
      </c>
      <c r="W212" s="49">
        <f t="shared" si="79"/>
        <v>0</v>
      </c>
      <c r="X212" s="44">
        <f t="shared" si="80"/>
        <v>0</v>
      </c>
      <c r="Y212" s="44">
        <f t="shared" si="81"/>
        <v>0</v>
      </c>
      <c r="Z212" s="44">
        <f t="shared" si="82"/>
        <v>0</v>
      </c>
      <c r="AA212" s="50">
        <f t="shared" si="83"/>
        <v>0</v>
      </c>
      <c r="AB212" s="51">
        <f t="shared" si="84"/>
        <v>0</v>
      </c>
      <c r="AC212" s="44">
        <f t="shared" si="85"/>
        <v>0</v>
      </c>
      <c r="AD212" s="44">
        <f t="shared" si="86"/>
        <v>0</v>
      </c>
      <c r="AE212" s="44">
        <f t="shared" si="87"/>
        <v>0</v>
      </c>
      <c r="AF212" s="52" t="e">
        <f>HLOOKUP(I212,ElecAvoidedCostsWOCC!$A$5:$Q$50,G212+1,FALSE)</f>
        <v>#N/A</v>
      </c>
      <c r="AG212" s="44" t="e">
        <f t="shared" si="88"/>
        <v>#N/A</v>
      </c>
      <c r="AH212" s="52" t="e">
        <f>HLOOKUP(I212,ElecAvoidedCostsWOCC!$A$5:$Q$50,T212+1,FALSE)</f>
        <v>#N/A</v>
      </c>
      <c r="AI212" s="44" t="e">
        <f t="shared" si="89"/>
        <v>#N/A</v>
      </c>
      <c r="AJ212" s="44" t="e">
        <f t="shared" si="90"/>
        <v>#N/A</v>
      </c>
      <c r="AK212" s="44" t="e">
        <f>HLOOKUP(I212,ElecAvoidedCostsWOCC!$A$5:$Q$50,G212+1,FALSE)*J212*L212</f>
        <v>#N/A</v>
      </c>
      <c r="AL212" s="44" t="e">
        <f t="shared" si="91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92"/>
        <v>0</v>
      </c>
      <c r="AO212" s="47">
        <f t="shared" si="93"/>
        <v>0</v>
      </c>
      <c r="AP212" s="47" t="e">
        <f t="shared" si="94"/>
        <v>#DIV/0!</v>
      </c>
    </row>
    <row r="213" spans="2:42">
      <c r="B213" s="97" t="s">
        <v>15</v>
      </c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76"/>
        <v>0</v>
      </c>
      <c r="U213" s="47">
        <f t="shared" si="77"/>
        <v>0</v>
      </c>
      <c r="V213" s="48">
        <f t="shared" si="78"/>
        <v>0</v>
      </c>
      <c r="W213" s="49">
        <f t="shared" si="79"/>
        <v>0</v>
      </c>
      <c r="X213" s="44">
        <f t="shared" si="80"/>
        <v>0</v>
      </c>
      <c r="Y213" s="44">
        <f t="shared" si="81"/>
        <v>0</v>
      </c>
      <c r="Z213" s="44">
        <f t="shared" si="82"/>
        <v>0</v>
      </c>
      <c r="AA213" s="50">
        <f t="shared" si="83"/>
        <v>0</v>
      </c>
      <c r="AB213" s="51">
        <f t="shared" si="84"/>
        <v>0</v>
      </c>
      <c r="AC213" s="44">
        <f t="shared" si="85"/>
        <v>0</v>
      </c>
      <c r="AD213" s="44">
        <f t="shared" si="86"/>
        <v>0</v>
      </c>
      <c r="AE213" s="44">
        <f t="shared" si="87"/>
        <v>0</v>
      </c>
      <c r="AF213" s="52" t="e">
        <f>HLOOKUP(I213,ElecAvoidedCostsWOCC!$A$5:$Q$50,G213+1,FALSE)</f>
        <v>#N/A</v>
      </c>
      <c r="AG213" s="44" t="e">
        <f t="shared" si="88"/>
        <v>#N/A</v>
      </c>
      <c r="AH213" s="52" t="e">
        <f>HLOOKUP(I213,ElecAvoidedCostsWOCC!$A$5:$Q$50,T213+1,FALSE)</f>
        <v>#N/A</v>
      </c>
      <c r="AI213" s="44" t="e">
        <f t="shared" si="89"/>
        <v>#N/A</v>
      </c>
      <c r="AJ213" s="44" t="e">
        <f t="shared" si="90"/>
        <v>#N/A</v>
      </c>
      <c r="AK213" s="44" t="e">
        <f>HLOOKUP(I213,ElecAvoidedCostsWOCC!$A$5:$Q$50,G213+1,FALSE)*J213*L213</f>
        <v>#N/A</v>
      </c>
      <c r="AL213" s="44" t="e">
        <f t="shared" si="91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92"/>
        <v>0</v>
      </c>
      <c r="AO213" s="47">
        <f t="shared" si="93"/>
        <v>0</v>
      </c>
      <c r="AP213" s="47" t="e">
        <f t="shared" si="94"/>
        <v>#DIV/0!</v>
      </c>
    </row>
    <row r="214" spans="2:42">
      <c r="B214" s="97" t="s">
        <v>15</v>
      </c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76"/>
        <v>0</v>
      </c>
      <c r="U214" s="47">
        <f t="shared" si="77"/>
        <v>0</v>
      </c>
      <c r="V214" s="48">
        <f t="shared" si="78"/>
        <v>0</v>
      </c>
      <c r="W214" s="49">
        <f t="shared" si="79"/>
        <v>0</v>
      </c>
      <c r="X214" s="44">
        <f t="shared" si="80"/>
        <v>0</v>
      </c>
      <c r="Y214" s="44">
        <f t="shared" si="81"/>
        <v>0</v>
      </c>
      <c r="Z214" s="44">
        <f t="shared" si="82"/>
        <v>0</v>
      </c>
      <c r="AA214" s="50">
        <f t="shared" si="83"/>
        <v>0</v>
      </c>
      <c r="AB214" s="51">
        <f t="shared" si="84"/>
        <v>0</v>
      </c>
      <c r="AC214" s="44">
        <f t="shared" si="85"/>
        <v>0</v>
      </c>
      <c r="AD214" s="44">
        <f t="shared" si="86"/>
        <v>0</v>
      </c>
      <c r="AE214" s="44">
        <f t="shared" si="87"/>
        <v>0</v>
      </c>
      <c r="AF214" s="52" t="e">
        <f>HLOOKUP(I214,ElecAvoidedCostsWOCC!$A$5:$Q$50,G214+1,FALSE)</f>
        <v>#N/A</v>
      </c>
      <c r="AG214" s="44" t="e">
        <f t="shared" si="88"/>
        <v>#N/A</v>
      </c>
      <c r="AH214" s="52" t="e">
        <f>HLOOKUP(I214,ElecAvoidedCostsWOCC!$A$5:$Q$50,T214+1,FALSE)</f>
        <v>#N/A</v>
      </c>
      <c r="AI214" s="44" t="e">
        <f t="shared" si="89"/>
        <v>#N/A</v>
      </c>
      <c r="AJ214" s="44" t="e">
        <f t="shared" si="90"/>
        <v>#N/A</v>
      </c>
      <c r="AK214" s="44" t="e">
        <f>HLOOKUP(I214,ElecAvoidedCostsWOCC!$A$5:$Q$50,G214+1,FALSE)*J214*L214</f>
        <v>#N/A</v>
      </c>
      <c r="AL214" s="44" t="e">
        <f t="shared" si="91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92"/>
        <v>0</v>
      </c>
      <c r="AO214" s="47">
        <f t="shared" si="93"/>
        <v>0</v>
      </c>
      <c r="AP214" s="47" t="e">
        <f t="shared" si="94"/>
        <v>#DIV/0!</v>
      </c>
    </row>
    <row r="215" spans="2:42">
      <c r="B215" s="97" t="s">
        <v>15</v>
      </c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76"/>
        <v>0</v>
      </c>
      <c r="U215" s="47">
        <f t="shared" si="77"/>
        <v>0</v>
      </c>
      <c r="V215" s="48">
        <f t="shared" si="78"/>
        <v>0</v>
      </c>
      <c r="W215" s="49">
        <f t="shared" si="79"/>
        <v>0</v>
      </c>
      <c r="X215" s="44">
        <f t="shared" si="80"/>
        <v>0</v>
      </c>
      <c r="Y215" s="44">
        <f t="shared" si="81"/>
        <v>0</v>
      </c>
      <c r="Z215" s="44">
        <f t="shared" si="82"/>
        <v>0</v>
      </c>
      <c r="AA215" s="50">
        <f t="shared" si="83"/>
        <v>0</v>
      </c>
      <c r="AB215" s="51">
        <f t="shared" si="84"/>
        <v>0</v>
      </c>
      <c r="AC215" s="44">
        <f t="shared" si="85"/>
        <v>0</v>
      </c>
      <c r="AD215" s="44">
        <f t="shared" si="86"/>
        <v>0</v>
      </c>
      <c r="AE215" s="44">
        <f t="shared" si="87"/>
        <v>0</v>
      </c>
      <c r="AF215" s="52" t="e">
        <f>HLOOKUP(I215,ElecAvoidedCostsWOCC!$A$5:$Q$50,G215+1,FALSE)</f>
        <v>#N/A</v>
      </c>
      <c r="AG215" s="44" t="e">
        <f t="shared" si="88"/>
        <v>#N/A</v>
      </c>
      <c r="AH215" s="52" t="e">
        <f>HLOOKUP(I215,ElecAvoidedCostsWOCC!$A$5:$Q$50,T215+1,FALSE)</f>
        <v>#N/A</v>
      </c>
      <c r="AI215" s="44" t="e">
        <f t="shared" si="89"/>
        <v>#N/A</v>
      </c>
      <c r="AJ215" s="44" t="e">
        <f t="shared" si="90"/>
        <v>#N/A</v>
      </c>
      <c r="AK215" s="44" t="e">
        <f>HLOOKUP(I215,ElecAvoidedCostsWOCC!$A$5:$Q$50,G215+1,FALSE)*J215*L215</f>
        <v>#N/A</v>
      </c>
      <c r="AL215" s="44" t="e">
        <f t="shared" si="91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92"/>
        <v>0</v>
      </c>
      <c r="AO215" s="47">
        <f t="shared" si="93"/>
        <v>0</v>
      </c>
      <c r="AP215" s="47" t="e">
        <f t="shared" si="94"/>
        <v>#DIV/0!</v>
      </c>
    </row>
    <row r="216" spans="2:42">
      <c r="B216" s="97" t="s">
        <v>15</v>
      </c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76"/>
        <v>0</v>
      </c>
      <c r="U216" s="47">
        <f t="shared" si="77"/>
        <v>0</v>
      </c>
      <c r="V216" s="48">
        <f t="shared" si="78"/>
        <v>0</v>
      </c>
      <c r="W216" s="49">
        <f t="shared" si="79"/>
        <v>0</v>
      </c>
      <c r="X216" s="44">
        <f t="shared" si="80"/>
        <v>0</v>
      </c>
      <c r="Y216" s="44">
        <f t="shared" si="81"/>
        <v>0</v>
      </c>
      <c r="Z216" s="44">
        <f t="shared" si="82"/>
        <v>0</v>
      </c>
      <c r="AA216" s="50">
        <f t="shared" si="83"/>
        <v>0</v>
      </c>
      <c r="AB216" s="51">
        <f t="shared" si="84"/>
        <v>0</v>
      </c>
      <c r="AC216" s="44">
        <f t="shared" si="85"/>
        <v>0</v>
      </c>
      <c r="AD216" s="44">
        <f t="shared" si="86"/>
        <v>0</v>
      </c>
      <c r="AE216" s="44">
        <f t="shared" si="87"/>
        <v>0</v>
      </c>
      <c r="AF216" s="52" t="e">
        <f>HLOOKUP(I216,ElecAvoidedCostsWOCC!$A$5:$Q$50,G216+1,FALSE)</f>
        <v>#N/A</v>
      </c>
      <c r="AG216" s="44" t="e">
        <f t="shared" si="88"/>
        <v>#N/A</v>
      </c>
      <c r="AH216" s="52" t="e">
        <f>HLOOKUP(I216,ElecAvoidedCostsWOCC!$A$5:$Q$50,T216+1,FALSE)</f>
        <v>#N/A</v>
      </c>
      <c r="AI216" s="44" t="e">
        <f t="shared" si="89"/>
        <v>#N/A</v>
      </c>
      <c r="AJ216" s="44" t="e">
        <f t="shared" si="90"/>
        <v>#N/A</v>
      </c>
      <c r="AK216" s="44" t="e">
        <f>HLOOKUP(I216,ElecAvoidedCostsWOCC!$A$5:$Q$50,G216+1,FALSE)*J216*L216</f>
        <v>#N/A</v>
      </c>
      <c r="AL216" s="44" t="e">
        <f t="shared" si="91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92"/>
        <v>0</v>
      </c>
      <c r="AO216" s="47">
        <f t="shared" si="93"/>
        <v>0</v>
      </c>
      <c r="AP216" s="47" t="e">
        <f t="shared" si="94"/>
        <v>#DIV/0!</v>
      </c>
    </row>
    <row r="217" spans="2:42">
      <c r="B217" s="97" t="s">
        <v>15</v>
      </c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si="76"/>
        <v>0</v>
      </c>
      <c r="U217" s="47">
        <f t="shared" si="77"/>
        <v>0</v>
      </c>
      <c r="V217" s="48">
        <f t="shared" si="78"/>
        <v>0</v>
      </c>
      <c r="W217" s="49">
        <f t="shared" si="79"/>
        <v>0</v>
      </c>
      <c r="X217" s="44">
        <f t="shared" si="80"/>
        <v>0</v>
      </c>
      <c r="Y217" s="44">
        <f t="shared" si="81"/>
        <v>0</v>
      </c>
      <c r="Z217" s="44">
        <f t="shared" si="82"/>
        <v>0</v>
      </c>
      <c r="AA217" s="50">
        <f t="shared" si="83"/>
        <v>0</v>
      </c>
      <c r="AB217" s="51">
        <f t="shared" si="84"/>
        <v>0</v>
      </c>
      <c r="AC217" s="44">
        <f t="shared" si="85"/>
        <v>0</v>
      </c>
      <c r="AD217" s="44">
        <f t="shared" si="86"/>
        <v>0</v>
      </c>
      <c r="AE217" s="44">
        <f t="shared" si="87"/>
        <v>0</v>
      </c>
      <c r="AF217" s="52" t="e">
        <f>HLOOKUP(I217,ElecAvoidedCostsWOCC!$A$5:$Q$50,G217+1,FALSE)</f>
        <v>#N/A</v>
      </c>
      <c r="AG217" s="44" t="e">
        <f t="shared" si="88"/>
        <v>#N/A</v>
      </c>
      <c r="AH217" s="52" t="e">
        <f>HLOOKUP(I217,ElecAvoidedCostsWOCC!$A$5:$Q$50,T217+1,FALSE)</f>
        <v>#N/A</v>
      </c>
      <c r="AI217" s="44" t="e">
        <f t="shared" si="89"/>
        <v>#N/A</v>
      </c>
      <c r="AJ217" s="44" t="e">
        <f t="shared" si="90"/>
        <v>#N/A</v>
      </c>
      <c r="AK217" s="44" t="e">
        <f>HLOOKUP(I217,ElecAvoidedCostsWOCC!$A$5:$Q$50,G217+1,FALSE)*J217*L217</f>
        <v>#N/A</v>
      </c>
      <c r="AL217" s="44" t="e">
        <f t="shared" si="91"/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si="92"/>
        <v>0</v>
      </c>
      <c r="AO217" s="47">
        <f t="shared" si="93"/>
        <v>0</v>
      </c>
      <c r="AP217" s="47" t="e">
        <f t="shared" si="94"/>
        <v>#DIV/0!</v>
      </c>
    </row>
    <row r="218" spans="2:42">
      <c r="B218" s="97" t="s">
        <v>15</v>
      </c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76"/>
        <v>0</v>
      </c>
      <c r="U218" s="47">
        <f t="shared" si="77"/>
        <v>0</v>
      </c>
      <c r="V218" s="48">
        <f t="shared" si="78"/>
        <v>0</v>
      </c>
      <c r="W218" s="49">
        <f t="shared" si="79"/>
        <v>0</v>
      </c>
      <c r="X218" s="44">
        <f t="shared" si="80"/>
        <v>0</v>
      </c>
      <c r="Y218" s="44">
        <f t="shared" si="81"/>
        <v>0</v>
      </c>
      <c r="Z218" s="44">
        <f t="shared" si="82"/>
        <v>0</v>
      </c>
      <c r="AA218" s="50">
        <f t="shared" si="83"/>
        <v>0</v>
      </c>
      <c r="AB218" s="51">
        <f t="shared" si="84"/>
        <v>0</v>
      </c>
      <c r="AC218" s="44">
        <f t="shared" si="85"/>
        <v>0</v>
      </c>
      <c r="AD218" s="44">
        <f t="shared" si="86"/>
        <v>0</v>
      </c>
      <c r="AE218" s="44">
        <f t="shared" si="87"/>
        <v>0</v>
      </c>
      <c r="AF218" s="52" t="e">
        <f>HLOOKUP(I218,ElecAvoidedCostsWOCC!$A$5:$Q$50,G218+1,FALSE)</f>
        <v>#N/A</v>
      </c>
      <c r="AG218" s="44" t="e">
        <f t="shared" si="88"/>
        <v>#N/A</v>
      </c>
      <c r="AH218" s="52" t="e">
        <f>HLOOKUP(I218,ElecAvoidedCostsWOCC!$A$5:$Q$50,T218+1,FALSE)</f>
        <v>#N/A</v>
      </c>
      <c r="AI218" s="44" t="e">
        <f t="shared" si="89"/>
        <v>#N/A</v>
      </c>
      <c r="AJ218" s="44" t="e">
        <f t="shared" si="90"/>
        <v>#N/A</v>
      </c>
      <c r="AK218" s="44" t="e">
        <f>HLOOKUP(I218,ElecAvoidedCostsWOCC!$A$5:$Q$50,G218+1,FALSE)*J218*L218</f>
        <v>#N/A</v>
      </c>
      <c r="AL218" s="44" t="e">
        <f t="shared" si="91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2"/>
        <v>0</v>
      </c>
      <c r="AO218" s="47">
        <f t="shared" si="93"/>
        <v>0</v>
      </c>
      <c r="AP218" s="47" t="e">
        <f t="shared" si="94"/>
        <v>#DIV/0!</v>
      </c>
    </row>
    <row r="219" spans="2:42">
      <c r="B219" s="97" t="s">
        <v>15</v>
      </c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76"/>
        <v>0</v>
      </c>
      <c r="U219" s="47">
        <f t="shared" si="77"/>
        <v>0</v>
      </c>
      <c r="V219" s="48">
        <f t="shared" si="78"/>
        <v>0</v>
      </c>
      <c r="W219" s="49">
        <f t="shared" si="79"/>
        <v>0</v>
      </c>
      <c r="X219" s="44">
        <f t="shared" si="80"/>
        <v>0</v>
      </c>
      <c r="Y219" s="44">
        <f t="shared" si="81"/>
        <v>0</v>
      </c>
      <c r="Z219" s="44">
        <f t="shared" si="82"/>
        <v>0</v>
      </c>
      <c r="AA219" s="50">
        <f t="shared" si="83"/>
        <v>0</v>
      </c>
      <c r="AB219" s="51">
        <f t="shared" si="84"/>
        <v>0</v>
      </c>
      <c r="AC219" s="44">
        <f t="shared" si="85"/>
        <v>0</v>
      </c>
      <c r="AD219" s="44">
        <f t="shared" si="86"/>
        <v>0</v>
      </c>
      <c r="AE219" s="44">
        <f t="shared" si="87"/>
        <v>0</v>
      </c>
      <c r="AF219" s="52" t="e">
        <f>HLOOKUP(I219,ElecAvoidedCostsWOCC!$A$5:$Q$50,G219+1,FALSE)</f>
        <v>#N/A</v>
      </c>
      <c r="AG219" s="44" t="e">
        <f t="shared" si="88"/>
        <v>#N/A</v>
      </c>
      <c r="AH219" s="52" t="e">
        <f>HLOOKUP(I219,ElecAvoidedCostsWOCC!$A$5:$Q$50,T219+1,FALSE)</f>
        <v>#N/A</v>
      </c>
      <c r="AI219" s="44" t="e">
        <f t="shared" si="89"/>
        <v>#N/A</v>
      </c>
      <c r="AJ219" s="44" t="e">
        <f t="shared" si="90"/>
        <v>#N/A</v>
      </c>
      <c r="AK219" s="44" t="e">
        <f>HLOOKUP(I219,ElecAvoidedCostsWOCC!$A$5:$Q$50,G219+1,FALSE)*J219*L219</f>
        <v>#N/A</v>
      </c>
      <c r="AL219" s="44" t="e">
        <f t="shared" si="91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2"/>
        <v>0</v>
      </c>
      <c r="AO219" s="47">
        <f t="shared" si="93"/>
        <v>0</v>
      </c>
      <c r="AP219" s="47" t="e">
        <f t="shared" si="94"/>
        <v>#DIV/0!</v>
      </c>
    </row>
    <row r="220" spans="2:42">
      <c r="B220" s="97" t="s">
        <v>15</v>
      </c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76"/>
        <v>0</v>
      </c>
      <c r="U220" s="47">
        <f t="shared" si="77"/>
        <v>0</v>
      </c>
      <c r="V220" s="48">
        <f t="shared" si="78"/>
        <v>0</v>
      </c>
      <c r="W220" s="49">
        <f t="shared" si="79"/>
        <v>0</v>
      </c>
      <c r="X220" s="44">
        <f t="shared" si="80"/>
        <v>0</v>
      </c>
      <c r="Y220" s="44">
        <f t="shared" si="81"/>
        <v>0</v>
      </c>
      <c r="Z220" s="44">
        <f t="shared" si="82"/>
        <v>0</v>
      </c>
      <c r="AA220" s="50">
        <f t="shared" si="83"/>
        <v>0</v>
      </c>
      <c r="AB220" s="51">
        <f t="shared" si="84"/>
        <v>0</v>
      </c>
      <c r="AC220" s="44">
        <f t="shared" si="85"/>
        <v>0</v>
      </c>
      <c r="AD220" s="44">
        <f t="shared" si="86"/>
        <v>0</v>
      </c>
      <c r="AE220" s="44">
        <f t="shared" si="87"/>
        <v>0</v>
      </c>
      <c r="AF220" s="52" t="e">
        <f>HLOOKUP(I220,ElecAvoidedCostsWOCC!$A$5:$Q$50,G220+1,FALSE)</f>
        <v>#N/A</v>
      </c>
      <c r="AG220" s="44" t="e">
        <f t="shared" si="88"/>
        <v>#N/A</v>
      </c>
      <c r="AH220" s="52" t="e">
        <f>HLOOKUP(I220,ElecAvoidedCostsWOCC!$A$5:$Q$50,T220+1,FALSE)</f>
        <v>#N/A</v>
      </c>
      <c r="AI220" s="44" t="e">
        <f t="shared" si="89"/>
        <v>#N/A</v>
      </c>
      <c r="AJ220" s="44" t="e">
        <f t="shared" si="90"/>
        <v>#N/A</v>
      </c>
      <c r="AK220" s="44" t="e">
        <f>HLOOKUP(I220,ElecAvoidedCostsWOCC!$A$5:$Q$50,G220+1,FALSE)*J220*L220</f>
        <v>#N/A</v>
      </c>
      <c r="AL220" s="44" t="e">
        <f t="shared" si="91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2"/>
        <v>0</v>
      </c>
      <c r="AO220" s="47">
        <f t="shared" si="93"/>
        <v>0</v>
      </c>
      <c r="AP220" s="47" t="e">
        <f t="shared" si="94"/>
        <v>#DIV/0!</v>
      </c>
    </row>
    <row r="221" spans="2:42">
      <c r="B221" s="97" t="s">
        <v>15</v>
      </c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76"/>
        <v>0</v>
      </c>
      <c r="U221" s="47">
        <f t="shared" si="77"/>
        <v>0</v>
      </c>
      <c r="V221" s="48">
        <f t="shared" si="78"/>
        <v>0</v>
      </c>
      <c r="W221" s="49">
        <f t="shared" si="79"/>
        <v>0</v>
      </c>
      <c r="X221" s="44">
        <f t="shared" si="80"/>
        <v>0</v>
      </c>
      <c r="Y221" s="44">
        <f t="shared" si="81"/>
        <v>0</v>
      </c>
      <c r="Z221" s="44">
        <f t="shared" si="82"/>
        <v>0</v>
      </c>
      <c r="AA221" s="50">
        <f t="shared" si="83"/>
        <v>0</v>
      </c>
      <c r="AB221" s="51">
        <f t="shared" si="84"/>
        <v>0</v>
      </c>
      <c r="AC221" s="44">
        <f t="shared" si="85"/>
        <v>0</v>
      </c>
      <c r="AD221" s="44">
        <f t="shared" si="86"/>
        <v>0</v>
      </c>
      <c r="AE221" s="44">
        <f t="shared" si="87"/>
        <v>0</v>
      </c>
      <c r="AF221" s="52" t="e">
        <f>HLOOKUP(I221,ElecAvoidedCostsWOCC!$A$5:$Q$50,G221+1,FALSE)</f>
        <v>#N/A</v>
      </c>
      <c r="AG221" s="44" t="e">
        <f t="shared" si="88"/>
        <v>#N/A</v>
      </c>
      <c r="AH221" s="52" t="e">
        <f>HLOOKUP(I221,ElecAvoidedCostsWOCC!$A$5:$Q$50,T221+1,FALSE)</f>
        <v>#N/A</v>
      </c>
      <c r="AI221" s="44" t="e">
        <f t="shared" si="89"/>
        <v>#N/A</v>
      </c>
      <c r="AJ221" s="44" t="e">
        <f t="shared" si="90"/>
        <v>#N/A</v>
      </c>
      <c r="AK221" s="44" t="e">
        <f>HLOOKUP(I221,ElecAvoidedCostsWOCC!$A$5:$Q$50,G221+1,FALSE)*J221*L221</f>
        <v>#N/A</v>
      </c>
      <c r="AL221" s="44" t="e">
        <f t="shared" si="91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2"/>
        <v>0</v>
      </c>
      <c r="AO221" s="47">
        <f t="shared" si="93"/>
        <v>0</v>
      </c>
      <c r="AP221" s="47" t="e">
        <f t="shared" si="94"/>
        <v>#DIV/0!</v>
      </c>
    </row>
    <row r="222" spans="2:42">
      <c r="B222" s="97" t="s">
        <v>15</v>
      </c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76"/>
        <v>0</v>
      </c>
      <c r="U222" s="47">
        <f t="shared" si="77"/>
        <v>0</v>
      </c>
      <c r="V222" s="48">
        <f t="shared" si="78"/>
        <v>0</v>
      </c>
      <c r="W222" s="49">
        <f t="shared" si="79"/>
        <v>0</v>
      </c>
      <c r="X222" s="44">
        <f t="shared" si="80"/>
        <v>0</v>
      </c>
      <c r="Y222" s="44">
        <f t="shared" si="81"/>
        <v>0</v>
      </c>
      <c r="Z222" s="44">
        <f t="shared" si="82"/>
        <v>0</v>
      </c>
      <c r="AA222" s="50">
        <f t="shared" si="83"/>
        <v>0</v>
      </c>
      <c r="AB222" s="51">
        <f t="shared" si="84"/>
        <v>0</v>
      </c>
      <c r="AC222" s="44">
        <f t="shared" si="85"/>
        <v>0</v>
      </c>
      <c r="AD222" s="44">
        <f t="shared" si="86"/>
        <v>0</v>
      </c>
      <c r="AE222" s="44">
        <f t="shared" si="87"/>
        <v>0</v>
      </c>
      <c r="AF222" s="52" t="e">
        <f>HLOOKUP(I222,ElecAvoidedCostsWOCC!$A$5:$Q$50,G222+1,FALSE)</f>
        <v>#N/A</v>
      </c>
      <c r="AG222" s="44" t="e">
        <f t="shared" si="88"/>
        <v>#N/A</v>
      </c>
      <c r="AH222" s="52" t="e">
        <f>HLOOKUP(I222,ElecAvoidedCostsWOCC!$A$5:$Q$50,T222+1,FALSE)</f>
        <v>#N/A</v>
      </c>
      <c r="AI222" s="44" t="e">
        <f t="shared" si="89"/>
        <v>#N/A</v>
      </c>
      <c r="AJ222" s="44" t="e">
        <f t="shared" si="90"/>
        <v>#N/A</v>
      </c>
      <c r="AK222" s="44" t="e">
        <f>HLOOKUP(I222,ElecAvoidedCostsWOCC!$A$5:$Q$50,G222+1,FALSE)*J222*L222</f>
        <v>#N/A</v>
      </c>
      <c r="AL222" s="44" t="e">
        <f t="shared" si="91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2"/>
        <v>0</v>
      </c>
      <c r="AO222" s="47">
        <f t="shared" si="93"/>
        <v>0</v>
      </c>
      <c r="AP222" s="47" t="e">
        <f t="shared" si="94"/>
        <v>#DIV/0!</v>
      </c>
    </row>
    <row r="223" spans="2:42">
      <c r="B223" s="97" t="s">
        <v>15</v>
      </c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76"/>
        <v>0</v>
      </c>
      <c r="U223" s="47">
        <f t="shared" si="77"/>
        <v>0</v>
      </c>
      <c r="V223" s="48">
        <f t="shared" si="78"/>
        <v>0</v>
      </c>
      <c r="W223" s="49">
        <f t="shared" si="79"/>
        <v>0</v>
      </c>
      <c r="X223" s="44">
        <f t="shared" si="80"/>
        <v>0</v>
      </c>
      <c r="Y223" s="44">
        <f t="shared" si="81"/>
        <v>0</v>
      </c>
      <c r="Z223" s="44">
        <f t="shared" si="82"/>
        <v>0</v>
      </c>
      <c r="AA223" s="50">
        <f t="shared" si="83"/>
        <v>0</v>
      </c>
      <c r="AB223" s="51">
        <f t="shared" si="84"/>
        <v>0</v>
      </c>
      <c r="AC223" s="44">
        <f t="shared" si="85"/>
        <v>0</v>
      </c>
      <c r="AD223" s="44">
        <f t="shared" si="86"/>
        <v>0</v>
      </c>
      <c r="AE223" s="44">
        <f t="shared" si="87"/>
        <v>0</v>
      </c>
      <c r="AF223" s="52" t="e">
        <f>HLOOKUP(I223,ElecAvoidedCostsWOCC!$A$5:$Q$50,G223+1,FALSE)</f>
        <v>#N/A</v>
      </c>
      <c r="AG223" s="44" t="e">
        <f t="shared" si="88"/>
        <v>#N/A</v>
      </c>
      <c r="AH223" s="52" t="e">
        <f>HLOOKUP(I223,ElecAvoidedCostsWOCC!$A$5:$Q$50,T223+1,FALSE)</f>
        <v>#N/A</v>
      </c>
      <c r="AI223" s="44" t="e">
        <f t="shared" si="89"/>
        <v>#N/A</v>
      </c>
      <c r="AJ223" s="44" t="e">
        <f t="shared" si="90"/>
        <v>#N/A</v>
      </c>
      <c r="AK223" s="44" t="e">
        <f>HLOOKUP(I223,ElecAvoidedCostsWOCC!$A$5:$Q$50,G223+1,FALSE)*J223*L223</f>
        <v>#N/A</v>
      </c>
      <c r="AL223" s="44" t="e">
        <f t="shared" si="91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2"/>
        <v>0</v>
      </c>
      <c r="AO223" s="47">
        <f t="shared" si="93"/>
        <v>0</v>
      </c>
      <c r="AP223" s="47" t="e">
        <f t="shared" si="94"/>
        <v>#DIV/0!</v>
      </c>
    </row>
    <row r="224" spans="2:42">
      <c r="B224" s="97" t="s">
        <v>15</v>
      </c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76"/>
        <v>0</v>
      </c>
      <c r="U224" s="47">
        <f t="shared" si="77"/>
        <v>0</v>
      </c>
      <c r="V224" s="48">
        <f t="shared" si="78"/>
        <v>0</v>
      </c>
      <c r="W224" s="49">
        <f t="shared" si="79"/>
        <v>0</v>
      </c>
      <c r="X224" s="44">
        <f t="shared" si="80"/>
        <v>0</v>
      </c>
      <c r="Y224" s="44">
        <f t="shared" si="81"/>
        <v>0</v>
      </c>
      <c r="Z224" s="44">
        <f t="shared" si="82"/>
        <v>0</v>
      </c>
      <c r="AA224" s="50">
        <f t="shared" si="83"/>
        <v>0</v>
      </c>
      <c r="AB224" s="51">
        <f t="shared" si="84"/>
        <v>0</v>
      </c>
      <c r="AC224" s="44">
        <f t="shared" si="85"/>
        <v>0</v>
      </c>
      <c r="AD224" s="44">
        <f t="shared" si="86"/>
        <v>0</v>
      </c>
      <c r="AE224" s="44">
        <f t="shared" si="87"/>
        <v>0</v>
      </c>
      <c r="AF224" s="52" t="e">
        <f>HLOOKUP(I224,ElecAvoidedCostsWOCC!$A$5:$Q$50,G224+1,FALSE)</f>
        <v>#N/A</v>
      </c>
      <c r="AG224" s="44" t="e">
        <f t="shared" si="88"/>
        <v>#N/A</v>
      </c>
      <c r="AH224" s="52" t="e">
        <f>HLOOKUP(I224,ElecAvoidedCostsWOCC!$A$5:$Q$50,T224+1,FALSE)</f>
        <v>#N/A</v>
      </c>
      <c r="AI224" s="44" t="e">
        <f t="shared" si="89"/>
        <v>#N/A</v>
      </c>
      <c r="AJ224" s="44" t="e">
        <f t="shared" si="90"/>
        <v>#N/A</v>
      </c>
      <c r="AK224" s="44" t="e">
        <f>HLOOKUP(I224,ElecAvoidedCostsWOCC!$A$5:$Q$50,G224+1,FALSE)*J224*L224</f>
        <v>#N/A</v>
      </c>
      <c r="AL224" s="44" t="e">
        <f t="shared" si="91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2"/>
        <v>0</v>
      </c>
      <c r="AO224" s="47">
        <f t="shared" si="93"/>
        <v>0</v>
      </c>
      <c r="AP224" s="47" t="e">
        <f t="shared" si="94"/>
        <v>#DIV/0!</v>
      </c>
    </row>
    <row r="225" spans="2:42">
      <c r="B225" s="97" t="s">
        <v>15</v>
      </c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76"/>
        <v>0</v>
      </c>
      <c r="U225" s="47">
        <f t="shared" si="77"/>
        <v>0</v>
      </c>
      <c r="V225" s="48">
        <f t="shared" si="78"/>
        <v>0</v>
      </c>
      <c r="W225" s="49">
        <f t="shared" si="79"/>
        <v>0</v>
      </c>
      <c r="X225" s="44">
        <f t="shared" si="80"/>
        <v>0</v>
      </c>
      <c r="Y225" s="44">
        <f t="shared" si="81"/>
        <v>0</v>
      </c>
      <c r="Z225" s="44">
        <f t="shared" si="82"/>
        <v>0</v>
      </c>
      <c r="AA225" s="50">
        <f t="shared" si="83"/>
        <v>0</v>
      </c>
      <c r="AB225" s="51">
        <f t="shared" si="84"/>
        <v>0</v>
      </c>
      <c r="AC225" s="44">
        <f t="shared" si="85"/>
        <v>0</v>
      </c>
      <c r="AD225" s="44">
        <f t="shared" si="86"/>
        <v>0</v>
      </c>
      <c r="AE225" s="44">
        <f t="shared" si="87"/>
        <v>0</v>
      </c>
      <c r="AF225" s="52" t="e">
        <f>HLOOKUP(I225,ElecAvoidedCostsWOCC!$A$5:$Q$50,G225+1,FALSE)</f>
        <v>#N/A</v>
      </c>
      <c r="AG225" s="44" t="e">
        <f t="shared" si="88"/>
        <v>#N/A</v>
      </c>
      <c r="AH225" s="52" t="e">
        <f>HLOOKUP(I225,ElecAvoidedCostsWOCC!$A$5:$Q$50,T225+1,FALSE)</f>
        <v>#N/A</v>
      </c>
      <c r="AI225" s="44" t="e">
        <f t="shared" si="89"/>
        <v>#N/A</v>
      </c>
      <c r="AJ225" s="44" t="e">
        <f t="shared" si="90"/>
        <v>#N/A</v>
      </c>
      <c r="AK225" s="44" t="e">
        <f>HLOOKUP(I225,ElecAvoidedCostsWOCC!$A$5:$Q$50,G225+1,FALSE)*J225*L225</f>
        <v>#N/A</v>
      </c>
      <c r="AL225" s="44" t="e">
        <f t="shared" si="91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2"/>
        <v>0</v>
      </c>
      <c r="AO225" s="47">
        <f t="shared" si="93"/>
        <v>0</v>
      </c>
      <c r="AP225" s="47" t="e">
        <f t="shared" si="94"/>
        <v>#DIV/0!</v>
      </c>
    </row>
    <row r="226" spans="2:42">
      <c r="B226" s="97" t="s">
        <v>15</v>
      </c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76"/>
        <v>0</v>
      </c>
      <c r="U226" s="47">
        <f t="shared" si="77"/>
        <v>0</v>
      </c>
      <c r="V226" s="48">
        <f t="shared" si="78"/>
        <v>0</v>
      </c>
      <c r="W226" s="49">
        <f t="shared" si="79"/>
        <v>0</v>
      </c>
      <c r="X226" s="44">
        <f t="shared" si="80"/>
        <v>0</v>
      </c>
      <c r="Y226" s="44">
        <f t="shared" si="81"/>
        <v>0</v>
      </c>
      <c r="Z226" s="44">
        <f t="shared" si="82"/>
        <v>0</v>
      </c>
      <c r="AA226" s="50">
        <f t="shared" si="83"/>
        <v>0</v>
      </c>
      <c r="AB226" s="51">
        <f t="shared" si="84"/>
        <v>0</v>
      </c>
      <c r="AC226" s="44">
        <f t="shared" si="85"/>
        <v>0</v>
      </c>
      <c r="AD226" s="44">
        <f t="shared" si="86"/>
        <v>0</v>
      </c>
      <c r="AE226" s="44">
        <f t="shared" si="87"/>
        <v>0</v>
      </c>
      <c r="AF226" s="52" t="e">
        <f>HLOOKUP(I226,ElecAvoidedCostsWOCC!$A$5:$Q$50,G226+1,FALSE)</f>
        <v>#N/A</v>
      </c>
      <c r="AG226" s="44" t="e">
        <f t="shared" si="88"/>
        <v>#N/A</v>
      </c>
      <c r="AH226" s="52" t="e">
        <f>HLOOKUP(I226,ElecAvoidedCostsWOCC!$A$5:$Q$50,T226+1,FALSE)</f>
        <v>#N/A</v>
      </c>
      <c r="AI226" s="44" t="e">
        <f t="shared" si="89"/>
        <v>#N/A</v>
      </c>
      <c r="AJ226" s="44" t="e">
        <f t="shared" si="90"/>
        <v>#N/A</v>
      </c>
      <c r="AK226" s="44" t="e">
        <f>HLOOKUP(I226,ElecAvoidedCostsWOCC!$A$5:$Q$50,G226+1,FALSE)*J226*L226</f>
        <v>#N/A</v>
      </c>
      <c r="AL226" s="44" t="e">
        <f t="shared" si="91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2"/>
        <v>0</v>
      </c>
      <c r="AO226" s="47">
        <f t="shared" si="93"/>
        <v>0</v>
      </c>
      <c r="AP226" s="47" t="e">
        <f t="shared" si="94"/>
        <v>#DIV/0!</v>
      </c>
    </row>
    <row r="227" spans="2:42">
      <c r="B227" s="97" t="s">
        <v>15</v>
      </c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76"/>
        <v>0</v>
      </c>
      <c r="U227" s="47">
        <f t="shared" si="77"/>
        <v>0</v>
      </c>
      <c r="V227" s="48">
        <f t="shared" si="78"/>
        <v>0</v>
      </c>
      <c r="W227" s="49">
        <f t="shared" si="79"/>
        <v>0</v>
      </c>
      <c r="X227" s="44">
        <f t="shared" si="80"/>
        <v>0</v>
      </c>
      <c r="Y227" s="44">
        <f t="shared" si="81"/>
        <v>0</v>
      </c>
      <c r="Z227" s="44">
        <f t="shared" si="82"/>
        <v>0</v>
      </c>
      <c r="AA227" s="50">
        <f t="shared" si="83"/>
        <v>0</v>
      </c>
      <c r="AB227" s="51">
        <f t="shared" si="84"/>
        <v>0</v>
      </c>
      <c r="AC227" s="44">
        <f t="shared" si="85"/>
        <v>0</v>
      </c>
      <c r="AD227" s="44">
        <f t="shared" si="86"/>
        <v>0</v>
      </c>
      <c r="AE227" s="44">
        <f t="shared" si="87"/>
        <v>0</v>
      </c>
      <c r="AF227" s="52" t="e">
        <f>HLOOKUP(I227,ElecAvoidedCostsWOCC!$A$5:$Q$50,G227+1,FALSE)</f>
        <v>#N/A</v>
      </c>
      <c r="AG227" s="44" t="e">
        <f t="shared" si="88"/>
        <v>#N/A</v>
      </c>
      <c r="AH227" s="52" t="e">
        <f>HLOOKUP(I227,ElecAvoidedCostsWOCC!$A$5:$Q$50,T227+1,FALSE)</f>
        <v>#N/A</v>
      </c>
      <c r="AI227" s="44" t="e">
        <f t="shared" si="89"/>
        <v>#N/A</v>
      </c>
      <c r="AJ227" s="44" t="e">
        <f t="shared" si="90"/>
        <v>#N/A</v>
      </c>
      <c r="AK227" s="44" t="e">
        <f>HLOOKUP(I227,ElecAvoidedCostsWOCC!$A$5:$Q$50,G227+1,FALSE)*J227*L227</f>
        <v>#N/A</v>
      </c>
      <c r="AL227" s="44" t="e">
        <f t="shared" si="91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2"/>
        <v>0</v>
      </c>
      <c r="AO227" s="47">
        <f t="shared" si="93"/>
        <v>0</v>
      </c>
      <c r="AP227" s="47" t="e">
        <f t="shared" si="94"/>
        <v>#DIV/0!</v>
      </c>
    </row>
    <row r="228" spans="2:42">
      <c r="B228" s="97" t="s">
        <v>15</v>
      </c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76"/>
        <v>0</v>
      </c>
      <c r="U228" s="47">
        <f t="shared" si="77"/>
        <v>0</v>
      </c>
      <c r="V228" s="48">
        <f t="shared" si="78"/>
        <v>0</v>
      </c>
      <c r="W228" s="49">
        <f t="shared" si="79"/>
        <v>0</v>
      </c>
      <c r="X228" s="44">
        <f t="shared" si="80"/>
        <v>0</v>
      </c>
      <c r="Y228" s="44">
        <f t="shared" si="81"/>
        <v>0</v>
      </c>
      <c r="Z228" s="44">
        <f t="shared" si="82"/>
        <v>0</v>
      </c>
      <c r="AA228" s="50">
        <f t="shared" si="83"/>
        <v>0</v>
      </c>
      <c r="AB228" s="51">
        <f t="shared" si="84"/>
        <v>0</v>
      </c>
      <c r="AC228" s="44">
        <f t="shared" si="85"/>
        <v>0</v>
      </c>
      <c r="AD228" s="44">
        <f t="shared" si="86"/>
        <v>0</v>
      </c>
      <c r="AE228" s="44">
        <f t="shared" si="87"/>
        <v>0</v>
      </c>
      <c r="AF228" s="52" t="e">
        <f>HLOOKUP(I228,ElecAvoidedCostsWOCC!$A$5:$Q$50,G228+1,FALSE)</f>
        <v>#N/A</v>
      </c>
      <c r="AG228" s="44" t="e">
        <f t="shared" si="88"/>
        <v>#N/A</v>
      </c>
      <c r="AH228" s="52" t="e">
        <f>HLOOKUP(I228,ElecAvoidedCostsWOCC!$A$5:$Q$50,T228+1,FALSE)</f>
        <v>#N/A</v>
      </c>
      <c r="AI228" s="44" t="e">
        <f t="shared" si="89"/>
        <v>#N/A</v>
      </c>
      <c r="AJ228" s="44" t="e">
        <f t="shared" si="90"/>
        <v>#N/A</v>
      </c>
      <c r="AK228" s="44" t="e">
        <f>HLOOKUP(I228,ElecAvoidedCostsWOCC!$A$5:$Q$50,G228+1,FALSE)*J228*L228</f>
        <v>#N/A</v>
      </c>
      <c r="AL228" s="44" t="e">
        <f t="shared" si="91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2"/>
        <v>0</v>
      </c>
      <c r="AO228" s="47">
        <f t="shared" si="93"/>
        <v>0</v>
      </c>
      <c r="AP228" s="47" t="e">
        <f t="shared" si="94"/>
        <v>#DIV/0!</v>
      </c>
    </row>
    <row r="229" spans="2:42">
      <c r="B229" s="97" t="s">
        <v>15</v>
      </c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76"/>
        <v>0</v>
      </c>
      <c r="U229" s="47">
        <f t="shared" si="77"/>
        <v>0</v>
      </c>
      <c r="V229" s="48">
        <f t="shared" si="78"/>
        <v>0</v>
      </c>
      <c r="W229" s="49">
        <f t="shared" si="79"/>
        <v>0</v>
      </c>
      <c r="X229" s="44">
        <f t="shared" si="80"/>
        <v>0</v>
      </c>
      <c r="Y229" s="44">
        <f t="shared" si="81"/>
        <v>0</v>
      </c>
      <c r="Z229" s="44">
        <f t="shared" si="82"/>
        <v>0</v>
      </c>
      <c r="AA229" s="50">
        <f t="shared" si="83"/>
        <v>0</v>
      </c>
      <c r="AB229" s="51">
        <f t="shared" si="84"/>
        <v>0</v>
      </c>
      <c r="AC229" s="44">
        <f t="shared" si="85"/>
        <v>0</v>
      </c>
      <c r="AD229" s="44">
        <f t="shared" si="86"/>
        <v>0</v>
      </c>
      <c r="AE229" s="44">
        <f t="shared" si="87"/>
        <v>0</v>
      </c>
      <c r="AF229" s="52" t="e">
        <f>HLOOKUP(I229,ElecAvoidedCostsWOCC!$A$5:$Q$50,G229+1,FALSE)</f>
        <v>#N/A</v>
      </c>
      <c r="AG229" s="44" t="e">
        <f t="shared" si="88"/>
        <v>#N/A</v>
      </c>
      <c r="AH229" s="52" t="e">
        <f>HLOOKUP(I229,ElecAvoidedCostsWOCC!$A$5:$Q$50,T229+1,FALSE)</f>
        <v>#N/A</v>
      </c>
      <c r="AI229" s="44" t="e">
        <f t="shared" si="89"/>
        <v>#N/A</v>
      </c>
      <c r="AJ229" s="44" t="e">
        <f t="shared" si="90"/>
        <v>#N/A</v>
      </c>
      <c r="AK229" s="44" t="e">
        <f>HLOOKUP(I229,ElecAvoidedCostsWOCC!$A$5:$Q$50,G229+1,FALSE)*J229*L229</f>
        <v>#N/A</v>
      </c>
      <c r="AL229" s="44" t="e">
        <f t="shared" si="91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2"/>
        <v>0</v>
      </c>
      <c r="AO229" s="47">
        <f t="shared" si="93"/>
        <v>0</v>
      </c>
      <c r="AP229" s="47" t="e">
        <f t="shared" si="94"/>
        <v>#DIV/0!</v>
      </c>
    </row>
    <row r="230" spans="2:42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76"/>
        <v>0</v>
      </c>
      <c r="U230" s="47">
        <f t="shared" si="77"/>
        <v>0</v>
      </c>
      <c r="V230" s="48">
        <f t="shared" si="78"/>
        <v>0</v>
      </c>
      <c r="W230" s="49">
        <f t="shared" si="79"/>
        <v>0</v>
      </c>
      <c r="X230" s="44">
        <f t="shared" si="80"/>
        <v>0</v>
      </c>
      <c r="Y230" s="44">
        <f t="shared" si="81"/>
        <v>0</v>
      </c>
      <c r="Z230" s="44">
        <f t="shared" si="82"/>
        <v>0</v>
      </c>
      <c r="AA230" s="50">
        <f t="shared" si="83"/>
        <v>0</v>
      </c>
      <c r="AB230" s="51">
        <f t="shared" si="84"/>
        <v>0</v>
      </c>
      <c r="AC230" s="44">
        <f t="shared" si="85"/>
        <v>0</v>
      </c>
      <c r="AD230" s="44">
        <f t="shared" si="86"/>
        <v>0</v>
      </c>
      <c r="AE230" s="44">
        <f t="shared" si="87"/>
        <v>0</v>
      </c>
      <c r="AF230" s="52" t="e">
        <f>HLOOKUP(I230,ElecAvoidedCostsWOCC!$A$5:$Q$50,G230+1,FALSE)</f>
        <v>#N/A</v>
      </c>
      <c r="AG230" s="44" t="e">
        <f t="shared" si="88"/>
        <v>#N/A</v>
      </c>
      <c r="AH230" s="52" t="e">
        <f>HLOOKUP(I230,ElecAvoidedCostsWOCC!$A$5:$Q$50,T230+1,FALSE)</f>
        <v>#N/A</v>
      </c>
      <c r="AI230" s="44" t="e">
        <f t="shared" si="89"/>
        <v>#N/A</v>
      </c>
      <c r="AJ230" s="44" t="e">
        <f t="shared" si="90"/>
        <v>#N/A</v>
      </c>
      <c r="AK230" s="44" t="e">
        <f>HLOOKUP(I230,ElecAvoidedCostsWOCC!$A$5:$Q$50,G230+1,FALSE)*J230*L230</f>
        <v>#N/A</v>
      </c>
      <c r="AL230" s="44" t="e">
        <f t="shared" si="91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2"/>
        <v>0</v>
      </c>
      <c r="AO230" s="47">
        <f t="shared" si="93"/>
        <v>0</v>
      </c>
      <c r="AP230" s="47" t="e">
        <f t="shared" si="94"/>
        <v>#DIV/0!</v>
      </c>
    </row>
    <row r="231" spans="2:42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76"/>
        <v>0</v>
      </c>
      <c r="U231" s="47">
        <f t="shared" si="77"/>
        <v>0</v>
      </c>
      <c r="V231" s="48">
        <f t="shared" si="78"/>
        <v>0</v>
      </c>
      <c r="W231" s="49">
        <f t="shared" si="79"/>
        <v>0</v>
      </c>
      <c r="X231" s="44">
        <f t="shared" si="80"/>
        <v>0</v>
      </c>
      <c r="Y231" s="44">
        <f t="shared" si="81"/>
        <v>0</v>
      </c>
      <c r="Z231" s="44">
        <f t="shared" si="82"/>
        <v>0</v>
      </c>
      <c r="AA231" s="50">
        <f t="shared" si="83"/>
        <v>0</v>
      </c>
      <c r="AB231" s="51">
        <f t="shared" si="84"/>
        <v>0</v>
      </c>
      <c r="AC231" s="44">
        <f t="shared" si="85"/>
        <v>0</v>
      </c>
      <c r="AD231" s="44">
        <f t="shared" si="86"/>
        <v>0</v>
      </c>
      <c r="AE231" s="44">
        <f t="shared" si="87"/>
        <v>0</v>
      </c>
      <c r="AF231" s="52" t="e">
        <f>HLOOKUP(I231,ElecAvoidedCostsWOCC!$A$5:$Q$50,G231+1,FALSE)</f>
        <v>#N/A</v>
      </c>
      <c r="AG231" s="44" t="e">
        <f t="shared" si="88"/>
        <v>#N/A</v>
      </c>
      <c r="AH231" s="52" t="e">
        <f>HLOOKUP(I231,ElecAvoidedCostsWOCC!$A$5:$Q$50,T231+1,FALSE)</f>
        <v>#N/A</v>
      </c>
      <c r="AI231" s="44" t="e">
        <f t="shared" si="89"/>
        <v>#N/A</v>
      </c>
      <c r="AJ231" s="44" t="e">
        <f t="shared" si="90"/>
        <v>#N/A</v>
      </c>
      <c r="AK231" s="44" t="e">
        <f>HLOOKUP(I231,ElecAvoidedCostsWOCC!$A$5:$Q$50,G231+1,FALSE)*J231*L231</f>
        <v>#N/A</v>
      </c>
      <c r="AL231" s="44" t="e">
        <f t="shared" si="91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2"/>
        <v>0</v>
      </c>
      <c r="AO231" s="47">
        <f t="shared" si="93"/>
        <v>0</v>
      </c>
      <c r="AP231" s="47" t="e">
        <f t="shared" si="94"/>
        <v>#DIV/0!</v>
      </c>
    </row>
    <row r="232" spans="2:42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76"/>
        <v>0</v>
      </c>
      <c r="U232" s="47">
        <f t="shared" si="77"/>
        <v>0</v>
      </c>
      <c r="V232" s="48">
        <f t="shared" si="78"/>
        <v>0</v>
      </c>
      <c r="W232" s="49">
        <f t="shared" si="79"/>
        <v>0</v>
      </c>
      <c r="X232" s="44">
        <f t="shared" si="80"/>
        <v>0</v>
      </c>
      <c r="Y232" s="44">
        <f t="shared" si="81"/>
        <v>0</v>
      </c>
      <c r="Z232" s="44">
        <f t="shared" si="82"/>
        <v>0</v>
      </c>
      <c r="AA232" s="50">
        <f t="shared" si="83"/>
        <v>0</v>
      </c>
      <c r="AB232" s="51">
        <f t="shared" si="84"/>
        <v>0</v>
      </c>
      <c r="AC232" s="44">
        <f t="shared" si="85"/>
        <v>0</v>
      </c>
      <c r="AD232" s="44">
        <f t="shared" si="86"/>
        <v>0</v>
      </c>
      <c r="AE232" s="44">
        <f t="shared" si="87"/>
        <v>0</v>
      </c>
      <c r="AF232" s="52" t="e">
        <f>HLOOKUP(I232,ElecAvoidedCostsWOCC!$A$5:$Q$50,G232+1,FALSE)</f>
        <v>#N/A</v>
      </c>
      <c r="AG232" s="44" t="e">
        <f t="shared" si="88"/>
        <v>#N/A</v>
      </c>
      <c r="AH232" s="52" t="e">
        <f>HLOOKUP(I232,ElecAvoidedCostsWOCC!$A$5:$Q$50,T232+1,FALSE)</f>
        <v>#N/A</v>
      </c>
      <c r="AI232" s="44" t="e">
        <f t="shared" si="89"/>
        <v>#N/A</v>
      </c>
      <c r="AJ232" s="44" t="e">
        <f t="shared" si="90"/>
        <v>#N/A</v>
      </c>
      <c r="AK232" s="44" t="e">
        <f>HLOOKUP(I232,ElecAvoidedCostsWOCC!$A$5:$Q$50,G232+1,FALSE)*J232*L232</f>
        <v>#N/A</v>
      </c>
      <c r="AL232" s="44" t="e">
        <f t="shared" si="91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2"/>
        <v>0</v>
      </c>
      <c r="AO232" s="47">
        <f t="shared" si="93"/>
        <v>0</v>
      </c>
      <c r="AP232" s="47" t="e">
        <f t="shared" si="94"/>
        <v>#DIV/0!</v>
      </c>
    </row>
    <row r="233" spans="2:42">
      <c r="B233" s="37"/>
      <c r="C233" s="61"/>
      <c r="D233" s="61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76"/>
        <v>0</v>
      </c>
      <c r="U233" s="47">
        <f t="shared" si="77"/>
        <v>0</v>
      </c>
      <c r="V233" s="48">
        <f t="shared" si="78"/>
        <v>0</v>
      </c>
      <c r="W233" s="49">
        <f t="shared" si="79"/>
        <v>0</v>
      </c>
      <c r="X233" s="44">
        <f t="shared" si="80"/>
        <v>0</v>
      </c>
      <c r="Y233" s="44">
        <f t="shared" si="81"/>
        <v>0</v>
      </c>
      <c r="Z233" s="44">
        <f t="shared" si="82"/>
        <v>0</v>
      </c>
      <c r="AA233" s="50">
        <f t="shared" si="83"/>
        <v>0</v>
      </c>
      <c r="AB233" s="51">
        <f t="shared" si="84"/>
        <v>0</v>
      </c>
      <c r="AC233" s="44">
        <f t="shared" si="85"/>
        <v>0</v>
      </c>
      <c r="AD233" s="44">
        <f t="shared" si="86"/>
        <v>0</v>
      </c>
      <c r="AE233" s="44">
        <f t="shared" si="87"/>
        <v>0</v>
      </c>
      <c r="AF233" s="52" t="e">
        <f>HLOOKUP(I233,ElecAvoidedCostsWOCC!$A$5:$Q$50,G233+1,FALSE)</f>
        <v>#N/A</v>
      </c>
      <c r="AG233" s="44" t="e">
        <f t="shared" si="88"/>
        <v>#N/A</v>
      </c>
      <c r="AH233" s="52" t="e">
        <f>HLOOKUP(I233,ElecAvoidedCostsWOCC!$A$5:$Q$50,T233+1,FALSE)</f>
        <v>#N/A</v>
      </c>
      <c r="AI233" s="44" t="e">
        <f t="shared" si="89"/>
        <v>#N/A</v>
      </c>
      <c r="AJ233" s="44" t="e">
        <f t="shared" si="90"/>
        <v>#N/A</v>
      </c>
      <c r="AK233" s="44" t="e">
        <f>HLOOKUP(I233,ElecAvoidedCostsWOCC!$A$5:$Q$50,G233+1,FALSE)*J233*L233</f>
        <v>#N/A</v>
      </c>
      <c r="AL233" s="44" t="e">
        <f t="shared" si="91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92"/>
        <v>0</v>
      </c>
      <c r="AO233" s="47">
        <f t="shared" si="93"/>
        <v>0</v>
      </c>
      <c r="AP233" s="47" t="e">
        <f t="shared" si="94"/>
        <v>#DIV/0!</v>
      </c>
    </row>
    <row r="234" spans="2:42">
      <c r="B234" s="37"/>
      <c r="C234" s="61"/>
      <c r="D234" s="61"/>
      <c r="E234" s="38"/>
      <c r="F234" s="39"/>
      <c r="G234" s="39"/>
      <c r="H234" s="39"/>
      <c r="I234" s="40"/>
      <c r="J234" s="41"/>
      <c r="K234" s="41"/>
      <c r="L234" s="41"/>
      <c r="M234" s="42"/>
      <c r="N234" s="42"/>
      <c r="O234" s="43"/>
      <c r="P234" s="44"/>
      <c r="Q234" s="44"/>
      <c r="R234" s="45"/>
      <c r="S234" s="46"/>
      <c r="T234" s="39">
        <f t="shared" si="76"/>
        <v>0</v>
      </c>
      <c r="U234" s="47">
        <f t="shared" si="77"/>
        <v>0</v>
      </c>
      <c r="V234" s="48">
        <f t="shared" si="78"/>
        <v>0</v>
      </c>
      <c r="W234" s="49">
        <f t="shared" si="79"/>
        <v>0</v>
      </c>
      <c r="X234" s="44">
        <f t="shared" si="80"/>
        <v>0</v>
      </c>
      <c r="Y234" s="44">
        <f t="shared" si="81"/>
        <v>0</v>
      </c>
      <c r="Z234" s="44">
        <f t="shared" si="82"/>
        <v>0</v>
      </c>
      <c r="AA234" s="50">
        <f t="shared" si="83"/>
        <v>0</v>
      </c>
      <c r="AB234" s="51">
        <f t="shared" si="84"/>
        <v>0</v>
      </c>
      <c r="AC234" s="44">
        <f t="shared" si="85"/>
        <v>0</v>
      </c>
      <c r="AD234" s="44">
        <f t="shared" si="86"/>
        <v>0</v>
      </c>
      <c r="AE234" s="44">
        <f t="shared" si="87"/>
        <v>0</v>
      </c>
      <c r="AF234" s="52" t="e">
        <f>HLOOKUP(I234,ElecAvoidedCostsWOCC!$A$5:$Q$50,G234+1,FALSE)</f>
        <v>#N/A</v>
      </c>
      <c r="AG234" s="44" t="e">
        <f t="shared" si="88"/>
        <v>#N/A</v>
      </c>
      <c r="AH234" s="52" t="e">
        <f>HLOOKUP(I234,ElecAvoidedCostsWOCC!$A$5:$Q$50,T234+1,FALSE)</f>
        <v>#N/A</v>
      </c>
      <c r="AI234" s="44" t="e">
        <f t="shared" si="89"/>
        <v>#N/A</v>
      </c>
      <c r="AJ234" s="44" t="e">
        <f t="shared" si="90"/>
        <v>#N/A</v>
      </c>
      <c r="AK234" s="44" t="e">
        <f>HLOOKUP(I234,ElecAvoidedCostsWOCC!$A$5:$Q$50,G234+1,FALSE)*J234*L234</f>
        <v>#N/A</v>
      </c>
      <c r="AL234" s="44" t="e">
        <f t="shared" si="91"/>
        <v>#N/A</v>
      </c>
      <c r="AM234" s="48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8">
        <f t="shared" si="92"/>
        <v>0</v>
      </c>
      <c r="AO234" s="47">
        <f t="shared" si="93"/>
        <v>0</v>
      </c>
      <c r="AP234" s="47" t="e">
        <f t="shared" si="94"/>
        <v>#DIV/0!</v>
      </c>
    </row>
    <row r="235" spans="2:42">
      <c r="B235" s="37"/>
      <c r="C235" s="61"/>
      <c r="D235" s="61"/>
      <c r="E235" s="38"/>
      <c r="F235" s="39"/>
      <c r="G235" s="39"/>
      <c r="H235" s="39"/>
      <c r="I235" s="40"/>
      <c r="J235" s="41"/>
      <c r="K235" s="41"/>
      <c r="L235" s="41"/>
      <c r="M235" s="42"/>
      <c r="N235" s="42"/>
      <c r="O235" s="43"/>
      <c r="P235" s="44"/>
      <c r="Q235" s="44"/>
      <c r="R235" s="45"/>
      <c r="S235" s="46"/>
      <c r="T235" s="39">
        <f t="shared" si="76"/>
        <v>0</v>
      </c>
      <c r="U235" s="47">
        <f t="shared" si="77"/>
        <v>0</v>
      </c>
      <c r="V235" s="48">
        <f t="shared" si="78"/>
        <v>0</v>
      </c>
      <c r="W235" s="49">
        <f t="shared" si="79"/>
        <v>0</v>
      </c>
      <c r="X235" s="44">
        <f t="shared" si="80"/>
        <v>0</v>
      </c>
      <c r="Y235" s="44">
        <f t="shared" si="81"/>
        <v>0</v>
      </c>
      <c r="Z235" s="44">
        <f t="shared" si="82"/>
        <v>0</v>
      </c>
      <c r="AA235" s="50">
        <f t="shared" si="83"/>
        <v>0</v>
      </c>
      <c r="AB235" s="51">
        <f t="shared" si="84"/>
        <v>0</v>
      </c>
      <c r="AC235" s="44">
        <f t="shared" si="85"/>
        <v>0</v>
      </c>
      <c r="AD235" s="44">
        <f t="shared" si="86"/>
        <v>0</v>
      </c>
      <c r="AE235" s="44">
        <f t="shared" si="87"/>
        <v>0</v>
      </c>
      <c r="AF235" s="52" t="e">
        <f>HLOOKUP(I235,ElecAvoidedCostsWOCC!$A$5:$Q$50,G235+1,FALSE)</f>
        <v>#N/A</v>
      </c>
      <c r="AG235" s="44" t="e">
        <f t="shared" si="88"/>
        <v>#N/A</v>
      </c>
      <c r="AH235" s="52" t="e">
        <f>HLOOKUP(I235,ElecAvoidedCostsWOCC!$A$5:$Q$50,T235+1,FALSE)</f>
        <v>#N/A</v>
      </c>
      <c r="AI235" s="44" t="e">
        <f t="shared" si="89"/>
        <v>#N/A</v>
      </c>
      <c r="AJ235" s="44" t="e">
        <f t="shared" si="90"/>
        <v>#N/A</v>
      </c>
      <c r="AK235" s="44" t="e">
        <f>HLOOKUP(I235,ElecAvoidedCostsWOCC!$A$5:$Q$50,G235+1,FALSE)*J235*L235</f>
        <v>#N/A</v>
      </c>
      <c r="AL235" s="44" t="e">
        <f t="shared" si="91"/>
        <v>#N/A</v>
      </c>
      <c r="AM235" s="48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8">
        <f t="shared" si="92"/>
        <v>0</v>
      </c>
      <c r="AO235" s="47">
        <f t="shared" si="93"/>
        <v>0</v>
      </c>
      <c r="AP235" s="47" t="e">
        <f t="shared" si="94"/>
        <v>#DIV/0!</v>
      </c>
    </row>
    <row r="236" spans="2:42">
      <c r="B236" s="37"/>
      <c r="C236" s="61"/>
      <c r="D236" s="61"/>
      <c r="E236" s="38"/>
      <c r="F236" s="39"/>
      <c r="G236" s="39"/>
      <c r="H236" s="39"/>
      <c r="I236" s="40"/>
      <c r="J236" s="41"/>
      <c r="K236" s="41"/>
      <c r="L236" s="41"/>
      <c r="M236" s="42"/>
      <c r="N236" s="42"/>
      <c r="O236" s="43"/>
      <c r="P236" s="44"/>
      <c r="Q236" s="44"/>
      <c r="R236" s="45"/>
      <c r="S236" s="46"/>
      <c r="T236" s="39">
        <f t="shared" si="76"/>
        <v>0</v>
      </c>
      <c r="U236" s="47">
        <f t="shared" si="77"/>
        <v>0</v>
      </c>
      <c r="V236" s="48">
        <f t="shared" si="78"/>
        <v>0</v>
      </c>
      <c r="W236" s="49">
        <f t="shared" si="79"/>
        <v>0</v>
      </c>
      <c r="X236" s="44">
        <f t="shared" si="80"/>
        <v>0</v>
      </c>
      <c r="Y236" s="44">
        <f t="shared" si="81"/>
        <v>0</v>
      </c>
      <c r="Z236" s="44">
        <f t="shared" si="82"/>
        <v>0</v>
      </c>
      <c r="AA236" s="50">
        <f t="shared" si="83"/>
        <v>0</v>
      </c>
      <c r="AB236" s="51">
        <f t="shared" si="84"/>
        <v>0</v>
      </c>
      <c r="AC236" s="44">
        <f t="shared" si="85"/>
        <v>0</v>
      </c>
      <c r="AD236" s="44">
        <f t="shared" si="86"/>
        <v>0</v>
      </c>
      <c r="AE236" s="44">
        <f t="shared" si="87"/>
        <v>0</v>
      </c>
      <c r="AF236" s="52" t="e">
        <f>HLOOKUP(I236,ElecAvoidedCostsWOCC!$A$5:$Q$50,G236+1,FALSE)</f>
        <v>#N/A</v>
      </c>
      <c r="AG236" s="44" t="e">
        <f t="shared" si="88"/>
        <v>#N/A</v>
      </c>
      <c r="AH236" s="52" t="e">
        <f>HLOOKUP(I236,ElecAvoidedCostsWOCC!$A$5:$Q$50,T236+1,FALSE)</f>
        <v>#N/A</v>
      </c>
      <c r="AI236" s="44" t="e">
        <f t="shared" si="89"/>
        <v>#N/A</v>
      </c>
      <c r="AJ236" s="44" t="e">
        <f t="shared" si="90"/>
        <v>#N/A</v>
      </c>
      <c r="AK236" s="44" t="e">
        <f>HLOOKUP(I236,ElecAvoidedCostsWOCC!$A$5:$Q$50,G236+1,FALSE)*J236*L236</f>
        <v>#N/A</v>
      </c>
      <c r="AL236" s="44" t="e">
        <f t="shared" si="91"/>
        <v>#N/A</v>
      </c>
      <c r="AM236" s="48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8">
        <f t="shared" si="92"/>
        <v>0</v>
      </c>
      <c r="AO236" s="47">
        <f t="shared" si="93"/>
        <v>0</v>
      </c>
      <c r="AP236" s="47" t="e">
        <f t="shared" si="94"/>
        <v>#DIV/0!</v>
      </c>
    </row>
    <row r="237" spans="2:42">
      <c r="B237" s="37"/>
      <c r="C237" s="61"/>
      <c r="D237" s="61"/>
      <c r="E237" s="38"/>
      <c r="F237" s="39"/>
      <c r="G237" s="39"/>
      <c r="H237" s="39"/>
      <c r="I237" s="40"/>
      <c r="J237" s="41"/>
      <c r="K237" s="41"/>
      <c r="L237" s="41"/>
      <c r="M237" s="42"/>
      <c r="N237" s="42"/>
      <c r="O237" s="43"/>
      <c r="P237" s="44"/>
      <c r="Q237" s="44"/>
      <c r="R237" s="45"/>
      <c r="S237" s="46"/>
      <c r="T237" s="39">
        <f t="shared" si="76"/>
        <v>0</v>
      </c>
      <c r="U237" s="47">
        <f t="shared" si="77"/>
        <v>0</v>
      </c>
      <c r="V237" s="48">
        <f t="shared" si="78"/>
        <v>0</v>
      </c>
      <c r="W237" s="49">
        <f t="shared" si="79"/>
        <v>0</v>
      </c>
      <c r="X237" s="44">
        <f t="shared" si="80"/>
        <v>0</v>
      </c>
      <c r="Y237" s="44">
        <f t="shared" si="81"/>
        <v>0</v>
      </c>
      <c r="Z237" s="44">
        <f t="shared" si="82"/>
        <v>0</v>
      </c>
      <c r="AA237" s="50">
        <f t="shared" si="83"/>
        <v>0</v>
      </c>
      <c r="AB237" s="51">
        <f t="shared" si="84"/>
        <v>0</v>
      </c>
      <c r="AC237" s="44">
        <f t="shared" si="85"/>
        <v>0</v>
      </c>
      <c r="AD237" s="44">
        <f t="shared" si="86"/>
        <v>0</v>
      </c>
      <c r="AE237" s="44">
        <f t="shared" si="87"/>
        <v>0</v>
      </c>
      <c r="AF237" s="52" t="e">
        <f>HLOOKUP(I237,ElecAvoidedCostsWOCC!$A$5:$Q$50,G237+1,FALSE)</f>
        <v>#N/A</v>
      </c>
      <c r="AG237" s="44" t="e">
        <f t="shared" si="88"/>
        <v>#N/A</v>
      </c>
      <c r="AH237" s="52" t="e">
        <f>HLOOKUP(I237,ElecAvoidedCostsWOCC!$A$5:$Q$50,T237+1,FALSE)</f>
        <v>#N/A</v>
      </c>
      <c r="AI237" s="44" t="e">
        <f t="shared" si="89"/>
        <v>#N/A</v>
      </c>
      <c r="AJ237" s="44" t="e">
        <f t="shared" si="90"/>
        <v>#N/A</v>
      </c>
      <c r="AK237" s="44" t="e">
        <f>HLOOKUP(I237,ElecAvoidedCostsWOCC!$A$5:$Q$50,G237+1,FALSE)*J237*L237</f>
        <v>#N/A</v>
      </c>
      <c r="AL237" s="44" t="e">
        <f t="shared" si="91"/>
        <v>#N/A</v>
      </c>
      <c r="AM237" s="48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8">
        <f t="shared" si="92"/>
        <v>0</v>
      </c>
      <c r="AO237" s="47">
        <f t="shared" si="93"/>
        <v>0</v>
      </c>
      <c r="AP237" s="47" t="e">
        <f t="shared" si="94"/>
        <v>#DIV/0!</v>
      </c>
    </row>
    <row r="238" spans="2:42">
      <c r="B238" s="37"/>
      <c r="C238" s="61"/>
      <c r="D238" s="61"/>
      <c r="E238" s="38"/>
      <c r="F238" s="39"/>
      <c r="G238" s="39"/>
      <c r="H238" s="39"/>
      <c r="I238" s="40"/>
      <c r="J238" s="41"/>
      <c r="K238" s="41"/>
      <c r="L238" s="41"/>
      <c r="M238" s="42"/>
      <c r="N238" s="42"/>
      <c r="O238" s="43"/>
      <c r="P238" s="44"/>
      <c r="Q238" s="44"/>
      <c r="R238" s="45"/>
      <c r="S238" s="46"/>
      <c r="T238" s="39">
        <f t="shared" si="76"/>
        <v>0</v>
      </c>
      <c r="U238" s="47">
        <f t="shared" si="77"/>
        <v>0</v>
      </c>
      <c r="V238" s="48">
        <f t="shared" si="78"/>
        <v>0</v>
      </c>
      <c r="W238" s="49">
        <f t="shared" si="79"/>
        <v>0</v>
      </c>
      <c r="X238" s="44">
        <f t="shared" si="80"/>
        <v>0</v>
      </c>
      <c r="Y238" s="44">
        <f t="shared" si="81"/>
        <v>0</v>
      </c>
      <c r="Z238" s="44">
        <f t="shared" si="82"/>
        <v>0</v>
      </c>
      <c r="AA238" s="50">
        <f t="shared" si="83"/>
        <v>0</v>
      </c>
      <c r="AB238" s="51">
        <f t="shared" si="84"/>
        <v>0</v>
      </c>
      <c r="AC238" s="44">
        <f t="shared" si="85"/>
        <v>0</v>
      </c>
      <c r="AD238" s="44">
        <f t="shared" si="86"/>
        <v>0</v>
      </c>
      <c r="AE238" s="44">
        <f t="shared" si="87"/>
        <v>0</v>
      </c>
      <c r="AF238" s="52" t="e">
        <f>HLOOKUP(I238,ElecAvoidedCostsWOCC!$A$5:$Q$50,G238+1,FALSE)</f>
        <v>#N/A</v>
      </c>
      <c r="AG238" s="44" t="e">
        <f t="shared" si="88"/>
        <v>#N/A</v>
      </c>
      <c r="AH238" s="52" t="e">
        <f>HLOOKUP(I238,ElecAvoidedCostsWOCC!$A$5:$Q$50,T238+1,FALSE)</f>
        <v>#N/A</v>
      </c>
      <c r="AI238" s="44" t="e">
        <f t="shared" si="89"/>
        <v>#N/A</v>
      </c>
      <c r="AJ238" s="44" t="e">
        <f t="shared" si="90"/>
        <v>#N/A</v>
      </c>
      <c r="AK238" s="44" t="e">
        <f>HLOOKUP(I238,ElecAvoidedCostsWOCC!$A$5:$Q$50,G238+1,FALSE)*J238*L238</f>
        <v>#N/A</v>
      </c>
      <c r="AL238" s="44" t="e">
        <f t="shared" si="91"/>
        <v>#N/A</v>
      </c>
      <c r="AM238" s="48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8">
        <f t="shared" si="92"/>
        <v>0</v>
      </c>
      <c r="AO238" s="47">
        <f t="shared" si="93"/>
        <v>0</v>
      </c>
      <c r="AP238" s="47" t="e">
        <f t="shared" si="94"/>
        <v>#DIV/0!</v>
      </c>
    </row>
    <row r="239" spans="2:42">
      <c r="B239" s="37"/>
      <c r="C239" s="61"/>
      <c r="D239" s="61"/>
      <c r="E239" s="38"/>
      <c r="F239" s="39"/>
      <c r="G239" s="39"/>
      <c r="H239" s="39"/>
      <c r="I239" s="40"/>
      <c r="J239" s="41"/>
      <c r="K239" s="41"/>
      <c r="L239" s="41"/>
      <c r="M239" s="42"/>
      <c r="N239" s="42"/>
      <c r="O239" s="43"/>
      <c r="P239" s="44"/>
      <c r="Q239" s="44"/>
      <c r="R239" s="45"/>
      <c r="S239" s="46"/>
      <c r="T239" s="39">
        <f t="shared" si="76"/>
        <v>0</v>
      </c>
      <c r="U239" s="47">
        <f t="shared" si="77"/>
        <v>0</v>
      </c>
      <c r="V239" s="48">
        <f t="shared" si="78"/>
        <v>0</v>
      </c>
      <c r="W239" s="49">
        <f t="shared" si="79"/>
        <v>0</v>
      </c>
      <c r="X239" s="44">
        <f t="shared" si="80"/>
        <v>0</v>
      </c>
      <c r="Y239" s="44">
        <f t="shared" si="81"/>
        <v>0</v>
      </c>
      <c r="Z239" s="44">
        <f t="shared" si="82"/>
        <v>0</v>
      </c>
      <c r="AA239" s="50">
        <f t="shared" si="83"/>
        <v>0</v>
      </c>
      <c r="AB239" s="51">
        <f t="shared" si="84"/>
        <v>0</v>
      </c>
      <c r="AC239" s="44">
        <f t="shared" si="85"/>
        <v>0</v>
      </c>
      <c r="AD239" s="44">
        <f t="shared" si="86"/>
        <v>0</v>
      </c>
      <c r="AE239" s="44">
        <f t="shared" si="87"/>
        <v>0</v>
      </c>
      <c r="AF239" s="52" t="e">
        <f>HLOOKUP(I239,ElecAvoidedCostsWOCC!$A$5:$Q$50,G239+1,FALSE)</f>
        <v>#N/A</v>
      </c>
      <c r="AG239" s="44" t="e">
        <f t="shared" si="88"/>
        <v>#N/A</v>
      </c>
      <c r="AH239" s="52" t="e">
        <f>HLOOKUP(I239,ElecAvoidedCostsWOCC!$A$5:$Q$50,T239+1,FALSE)</f>
        <v>#N/A</v>
      </c>
      <c r="AI239" s="44" t="e">
        <f t="shared" si="89"/>
        <v>#N/A</v>
      </c>
      <c r="AJ239" s="44" t="e">
        <f t="shared" si="90"/>
        <v>#N/A</v>
      </c>
      <c r="AK239" s="44" t="e">
        <f>HLOOKUP(I239,ElecAvoidedCostsWOCC!$A$5:$Q$50,G239+1,FALSE)*J239*L239</f>
        <v>#N/A</v>
      </c>
      <c r="AL239" s="44" t="e">
        <f t="shared" si="91"/>
        <v>#N/A</v>
      </c>
      <c r="AM239" s="48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8">
        <f t="shared" si="92"/>
        <v>0</v>
      </c>
      <c r="AO239" s="47">
        <f t="shared" si="93"/>
        <v>0</v>
      </c>
      <c r="AP239" s="47" t="e">
        <f t="shared" si="94"/>
        <v>#DIV/0!</v>
      </c>
    </row>
    <row r="240" spans="2:42">
      <c r="B240" s="37"/>
      <c r="C240" s="61"/>
      <c r="D240" s="61"/>
      <c r="E240" s="38"/>
      <c r="F240" s="39"/>
      <c r="G240" s="39"/>
      <c r="H240" s="39"/>
      <c r="I240" s="40"/>
      <c r="J240" s="41"/>
      <c r="K240" s="41"/>
      <c r="L240" s="41"/>
      <c r="M240" s="42"/>
      <c r="N240" s="42"/>
      <c r="O240" s="43"/>
      <c r="P240" s="44"/>
      <c r="Q240" s="44"/>
      <c r="R240" s="45"/>
      <c r="S240" s="46"/>
      <c r="T240" s="39">
        <f t="shared" si="76"/>
        <v>0</v>
      </c>
      <c r="U240" s="47">
        <f t="shared" si="77"/>
        <v>0</v>
      </c>
      <c r="V240" s="48">
        <f t="shared" si="78"/>
        <v>0</v>
      </c>
      <c r="W240" s="49">
        <f t="shared" si="79"/>
        <v>0</v>
      </c>
      <c r="X240" s="44">
        <f t="shared" si="80"/>
        <v>0</v>
      </c>
      <c r="Y240" s="44">
        <f t="shared" si="81"/>
        <v>0</v>
      </c>
      <c r="Z240" s="44">
        <f t="shared" si="82"/>
        <v>0</v>
      </c>
      <c r="AA240" s="50">
        <f t="shared" si="83"/>
        <v>0</v>
      </c>
      <c r="AB240" s="51">
        <f t="shared" si="84"/>
        <v>0</v>
      </c>
      <c r="AC240" s="44">
        <f t="shared" si="85"/>
        <v>0</v>
      </c>
      <c r="AD240" s="44">
        <f t="shared" si="86"/>
        <v>0</v>
      </c>
      <c r="AE240" s="44">
        <f t="shared" si="87"/>
        <v>0</v>
      </c>
      <c r="AF240" s="52" t="e">
        <f>HLOOKUP(I240,ElecAvoidedCostsWOCC!$A$5:$Q$50,G240+1,FALSE)</f>
        <v>#N/A</v>
      </c>
      <c r="AG240" s="44" t="e">
        <f t="shared" si="88"/>
        <v>#N/A</v>
      </c>
      <c r="AH240" s="52" t="e">
        <f>HLOOKUP(I240,ElecAvoidedCostsWOCC!$A$5:$Q$50,T240+1,FALSE)</f>
        <v>#N/A</v>
      </c>
      <c r="AI240" s="44" t="e">
        <f t="shared" si="89"/>
        <v>#N/A</v>
      </c>
      <c r="AJ240" s="44" t="e">
        <f t="shared" si="90"/>
        <v>#N/A</v>
      </c>
      <c r="AK240" s="44" t="e">
        <f>HLOOKUP(I240,ElecAvoidedCostsWOCC!$A$5:$Q$50,G240+1,FALSE)*J240*L240</f>
        <v>#N/A</v>
      </c>
      <c r="AL240" s="44" t="e">
        <f t="shared" si="91"/>
        <v>#N/A</v>
      </c>
      <c r="AM240" s="48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8">
        <f t="shared" si="92"/>
        <v>0</v>
      </c>
      <c r="AO240" s="47">
        <f t="shared" si="93"/>
        <v>0</v>
      </c>
      <c r="AP240" s="47" t="e">
        <f t="shared" si="94"/>
        <v>#DIV/0!</v>
      </c>
    </row>
    <row r="241" spans="2:42">
      <c r="B241" s="37"/>
      <c r="C241" s="61"/>
      <c r="D241" s="61"/>
      <c r="E241" s="38"/>
      <c r="F241" s="39"/>
      <c r="G241" s="39"/>
      <c r="H241" s="39"/>
      <c r="I241" s="40"/>
      <c r="J241" s="41"/>
      <c r="K241" s="41"/>
      <c r="L241" s="41"/>
      <c r="M241" s="42"/>
      <c r="N241" s="42"/>
      <c r="O241" s="43"/>
      <c r="P241" s="44"/>
      <c r="Q241" s="44"/>
      <c r="R241" s="45"/>
      <c r="S241" s="46"/>
      <c r="T241" s="39">
        <f t="shared" si="76"/>
        <v>0</v>
      </c>
      <c r="U241" s="47">
        <f t="shared" si="77"/>
        <v>0</v>
      </c>
      <c r="V241" s="48">
        <f t="shared" si="78"/>
        <v>0</v>
      </c>
      <c r="W241" s="49">
        <f t="shared" si="79"/>
        <v>0</v>
      </c>
      <c r="X241" s="44">
        <f t="shared" si="80"/>
        <v>0</v>
      </c>
      <c r="Y241" s="44">
        <f t="shared" si="81"/>
        <v>0</v>
      </c>
      <c r="Z241" s="44">
        <f t="shared" si="82"/>
        <v>0</v>
      </c>
      <c r="AA241" s="50">
        <f t="shared" si="83"/>
        <v>0</v>
      </c>
      <c r="AB241" s="51">
        <f t="shared" si="84"/>
        <v>0</v>
      </c>
      <c r="AC241" s="44">
        <f t="shared" si="85"/>
        <v>0</v>
      </c>
      <c r="AD241" s="44">
        <f t="shared" si="86"/>
        <v>0</v>
      </c>
      <c r="AE241" s="44">
        <f t="shared" si="87"/>
        <v>0</v>
      </c>
      <c r="AF241" s="52" t="e">
        <f>HLOOKUP(I241,ElecAvoidedCostsWOCC!$A$5:$Q$50,G241+1,FALSE)</f>
        <v>#N/A</v>
      </c>
      <c r="AG241" s="44" t="e">
        <f t="shared" si="88"/>
        <v>#N/A</v>
      </c>
      <c r="AH241" s="52" t="e">
        <f>HLOOKUP(I241,ElecAvoidedCostsWOCC!$A$5:$Q$50,T241+1,FALSE)</f>
        <v>#N/A</v>
      </c>
      <c r="AI241" s="44" t="e">
        <f t="shared" si="89"/>
        <v>#N/A</v>
      </c>
      <c r="AJ241" s="44" t="e">
        <f t="shared" si="90"/>
        <v>#N/A</v>
      </c>
      <c r="AK241" s="44" t="e">
        <f>HLOOKUP(I241,ElecAvoidedCostsWOCC!$A$5:$Q$50,G241+1,FALSE)*J241*L241</f>
        <v>#N/A</v>
      </c>
      <c r="AL241" s="44" t="e">
        <f t="shared" si="91"/>
        <v>#N/A</v>
      </c>
      <c r="AM241" s="48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8">
        <f t="shared" si="92"/>
        <v>0</v>
      </c>
      <c r="AO241" s="47">
        <f t="shared" si="93"/>
        <v>0</v>
      </c>
      <c r="AP241" s="47" t="e">
        <f t="shared" si="94"/>
        <v>#DIV/0!</v>
      </c>
    </row>
    <row r="242" spans="2:42">
      <c r="B242" s="37"/>
      <c r="C242" s="61"/>
      <c r="D242" s="61"/>
      <c r="E242" s="38"/>
      <c r="F242" s="39"/>
      <c r="G242" s="39"/>
      <c r="H242" s="39"/>
      <c r="I242" s="40"/>
      <c r="J242" s="41"/>
      <c r="K242" s="41"/>
      <c r="L242" s="41"/>
      <c r="M242" s="42"/>
      <c r="N242" s="42"/>
      <c r="O242" s="43"/>
      <c r="P242" s="44"/>
      <c r="Q242" s="44"/>
      <c r="R242" s="45"/>
      <c r="S242" s="46"/>
      <c r="T242" s="39">
        <f t="shared" si="76"/>
        <v>0</v>
      </c>
      <c r="U242" s="47">
        <f t="shared" si="77"/>
        <v>0</v>
      </c>
      <c r="V242" s="48">
        <f t="shared" si="78"/>
        <v>0</v>
      </c>
      <c r="W242" s="49">
        <f t="shared" si="79"/>
        <v>0</v>
      </c>
      <c r="X242" s="44">
        <f t="shared" si="80"/>
        <v>0</v>
      </c>
      <c r="Y242" s="44">
        <f t="shared" si="81"/>
        <v>0</v>
      </c>
      <c r="Z242" s="44">
        <f t="shared" si="82"/>
        <v>0</v>
      </c>
      <c r="AA242" s="50">
        <f t="shared" si="83"/>
        <v>0</v>
      </c>
      <c r="AB242" s="51">
        <f t="shared" si="84"/>
        <v>0</v>
      </c>
      <c r="AC242" s="44">
        <f t="shared" si="85"/>
        <v>0</v>
      </c>
      <c r="AD242" s="44">
        <f t="shared" si="86"/>
        <v>0</v>
      </c>
      <c r="AE242" s="44">
        <f t="shared" si="87"/>
        <v>0</v>
      </c>
      <c r="AF242" s="52" t="e">
        <f>HLOOKUP(I242,ElecAvoidedCostsWOCC!$A$5:$Q$50,G242+1,FALSE)</f>
        <v>#N/A</v>
      </c>
      <c r="AG242" s="44" t="e">
        <f t="shared" si="88"/>
        <v>#N/A</v>
      </c>
      <c r="AH242" s="52" t="e">
        <f>HLOOKUP(I242,ElecAvoidedCostsWOCC!$A$5:$Q$50,T242+1,FALSE)</f>
        <v>#N/A</v>
      </c>
      <c r="AI242" s="44" t="e">
        <f t="shared" si="89"/>
        <v>#N/A</v>
      </c>
      <c r="AJ242" s="44" t="e">
        <f t="shared" si="90"/>
        <v>#N/A</v>
      </c>
      <c r="AK242" s="44" t="e">
        <f>HLOOKUP(I242,ElecAvoidedCostsWOCC!$A$5:$Q$50,G242+1,FALSE)*J242*L242</f>
        <v>#N/A</v>
      </c>
      <c r="AL242" s="44" t="e">
        <f t="shared" si="91"/>
        <v>#N/A</v>
      </c>
      <c r="AM242" s="48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8">
        <f t="shared" si="92"/>
        <v>0</v>
      </c>
      <c r="AO242" s="47">
        <f t="shared" si="93"/>
        <v>0</v>
      </c>
      <c r="AP242" s="47" t="e">
        <f t="shared" si="94"/>
        <v>#DIV/0!</v>
      </c>
    </row>
    <row r="243" spans="2:42">
      <c r="B243" s="37"/>
      <c r="C243" s="61"/>
      <c r="D243" s="61"/>
      <c r="E243" s="38"/>
      <c r="F243" s="39"/>
      <c r="G243" s="39"/>
      <c r="H243" s="39"/>
      <c r="I243" s="40"/>
      <c r="J243" s="41"/>
      <c r="K243" s="41"/>
      <c r="L243" s="41"/>
      <c r="M243" s="42"/>
      <c r="N243" s="42"/>
      <c r="O243" s="43"/>
      <c r="P243" s="44"/>
      <c r="Q243" s="44"/>
      <c r="R243" s="45"/>
      <c r="S243" s="46"/>
      <c r="T243" s="39">
        <f t="shared" si="76"/>
        <v>0</v>
      </c>
      <c r="U243" s="47">
        <f t="shared" si="77"/>
        <v>0</v>
      </c>
      <c r="V243" s="48">
        <f t="shared" si="78"/>
        <v>0</v>
      </c>
      <c r="W243" s="49">
        <f t="shared" si="79"/>
        <v>0</v>
      </c>
      <c r="X243" s="44">
        <f t="shared" si="80"/>
        <v>0</v>
      </c>
      <c r="Y243" s="44">
        <f t="shared" si="81"/>
        <v>0</v>
      </c>
      <c r="Z243" s="44">
        <f t="shared" si="82"/>
        <v>0</v>
      </c>
      <c r="AA243" s="50">
        <f t="shared" si="83"/>
        <v>0</v>
      </c>
      <c r="AB243" s="51">
        <f t="shared" si="84"/>
        <v>0</v>
      </c>
      <c r="AC243" s="44">
        <f t="shared" si="85"/>
        <v>0</v>
      </c>
      <c r="AD243" s="44">
        <f t="shared" si="86"/>
        <v>0</v>
      </c>
      <c r="AE243" s="44">
        <f t="shared" si="87"/>
        <v>0</v>
      </c>
      <c r="AF243" s="52" t="e">
        <f>HLOOKUP(I243,ElecAvoidedCostsWOCC!$A$5:$Q$50,G243+1,FALSE)</f>
        <v>#N/A</v>
      </c>
      <c r="AG243" s="44" t="e">
        <f t="shared" si="88"/>
        <v>#N/A</v>
      </c>
      <c r="AH243" s="52" t="e">
        <f>HLOOKUP(I243,ElecAvoidedCostsWOCC!$A$5:$Q$50,T243+1,FALSE)</f>
        <v>#N/A</v>
      </c>
      <c r="AI243" s="44" t="e">
        <f t="shared" si="89"/>
        <v>#N/A</v>
      </c>
      <c r="AJ243" s="44" t="e">
        <f t="shared" si="90"/>
        <v>#N/A</v>
      </c>
      <c r="AK243" s="44" t="e">
        <f>HLOOKUP(I243,ElecAvoidedCostsWOCC!$A$5:$Q$50,G243+1,FALSE)*J243*L243</f>
        <v>#N/A</v>
      </c>
      <c r="AL243" s="44" t="e">
        <f t="shared" si="91"/>
        <v>#N/A</v>
      </c>
      <c r="AM243" s="48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8">
        <f t="shared" si="92"/>
        <v>0</v>
      </c>
      <c r="AO243" s="47">
        <f t="shared" si="93"/>
        <v>0</v>
      </c>
      <c r="AP243" s="47" t="e">
        <f t="shared" si="94"/>
        <v>#DIV/0!</v>
      </c>
    </row>
    <row r="244" spans="2:42">
      <c r="B244" s="37"/>
      <c r="C244" s="61"/>
      <c r="D244" s="61"/>
      <c r="E244" s="38"/>
      <c r="F244" s="39"/>
      <c r="G244" s="39"/>
      <c r="H244" s="39"/>
      <c r="I244" s="40"/>
      <c r="J244" s="41"/>
      <c r="K244" s="41"/>
      <c r="L244" s="41"/>
      <c r="M244" s="42"/>
      <c r="N244" s="42"/>
      <c r="O244" s="43"/>
      <c r="P244" s="44"/>
      <c r="Q244" s="44"/>
      <c r="R244" s="45"/>
      <c r="S244" s="46"/>
      <c r="T244" s="39">
        <f t="shared" si="76"/>
        <v>0</v>
      </c>
      <c r="U244" s="47">
        <f t="shared" si="77"/>
        <v>0</v>
      </c>
      <c r="V244" s="48">
        <f t="shared" si="78"/>
        <v>0</v>
      </c>
      <c r="W244" s="49">
        <f t="shared" si="79"/>
        <v>0</v>
      </c>
      <c r="X244" s="44">
        <f t="shared" si="80"/>
        <v>0</v>
      </c>
      <c r="Y244" s="44">
        <f t="shared" si="81"/>
        <v>0</v>
      </c>
      <c r="Z244" s="44">
        <f t="shared" si="82"/>
        <v>0</v>
      </c>
      <c r="AA244" s="50">
        <f t="shared" si="83"/>
        <v>0</v>
      </c>
      <c r="AB244" s="51">
        <f t="shared" si="84"/>
        <v>0</v>
      </c>
      <c r="AC244" s="44">
        <f t="shared" si="85"/>
        <v>0</v>
      </c>
      <c r="AD244" s="44">
        <f t="shared" si="86"/>
        <v>0</v>
      </c>
      <c r="AE244" s="44">
        <f t="shared" si="87"/>
        <v>0</v>
      </c>
      <c r="AF244" s="52" t="e">
        <f>HLOOKUP(I244,ElecAvoidedCostsWOCC!$A$5:$Q$50,G244+1,FALSE)</f>
        <v>#N/A</v>
      </c>
      <c r="AG244" s="44" t="e">
        <f t="shared" si="88"/>
        <v>#N/A</v>
      </c>
      <c r="AH244" s="52" t="e">
        <f>HLOOKUP(I244,ElecAvoidedCostsWOCC!$A$5:$Q$50,T244+1,FALSE)</f>
        <v>#N/A</v>
      </c>
      <c r="AI244" s="44" t="e">
        <f t="shared" si="89"/>
        <v>#N/A</v>
      </c>
      <c r="AJ244" s="44" t="e">
        <f t="shared" si="90"/>
        <v>#N/A</v>
      </c>
      <c r="AK244" s="44" t="e">
        <f>HLOOKUP(I244,ElecAvoidedCostsWOCC!$A$5:$Q$50,G244+1,FALSE)*J244*L244</f>
        <v>#N/A</v>
      </c>
      <c r="AL244" s="44" t="e">
        <f t="shared" si="91"/>
        <v>#N/A</v>
      </c>
      <c r="AM244" s="48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8">
        <f t="shared" si="92"/>
        <v>0</v>
      </c>
      <c r="AO244" s="47">
        <f t="shared" si="93"/>
        <v>0</v>
      </c>
      <c r="AP244" s="47" t="e">
        <f t="shared" si="94"/>
        <v>#DIV/0!</v>
      </c>
    </row>
    <row r="245" spans="2:42">
      <c r="B245" s="37"/>
      <c r="C245" s="61"/>
      <c r="D245" s="61"/>
      <c r="E245" s="38"/>
      <c r="F245" s="39"/>
      <c r="G245" s="39"/>
      <c r="H245" s="39"/>
      <c r="I245" s="40"/>
      <c r="J245" s="41"/>
      <c r="K245" s="41"/>
      <c r="L245" s="41"/>
      <c r="M245" s="42"/>
      <c r="N245" s="42"/>
      <c r="O245" s="43"/>
      <c r="P245" s="44"/>
      <c r="Q245" s="44"/>
      <c r="R245" s="45"/>
      <c r="S245" s="46"/>
      <c r="T245" s="39">
        <f t="shared" si="76"/>
        <v>0</v>
      </c>
      <c r="U245" s="47">
        <f t="shared" si="77"/>
        <v>0</v>
      </c>
      <c r="V245" s="48">
        <f t="shared" si="78"/>
        <v>0</v>
      </c>
      <c r="W245" s="49">
        <f t="shared" si="79"/>
        <v>0</v>
      </c>
      <c r="X245" s="44">
        <f t="shared" si="80"/>
        <v>0</v>
      </c>
      <c r="Y245" s="44">
        <f t="shared" si="81"/>
        <v>0</v>
      </c>
      <c r="Z245" s="44">
        <f t="shared" si="82"/>
        <v>0</v>
      </c>
      <c r="AA245" s="50">
        <f t="shared" si="83"/>
        <v>0</v>
      </c>
      <c r="AB245" s="51">
        <f t="shared" si="84"/>
        <v>0</v>
      </c>
      <c r="AC245" s="44">
        <f t="shared" si="85"/>
        <v>0</v>
      </c>
      <c r="AD245" s="44">
        <f t="shared" si="86"/>
        <v>0</v>
      </c>
      <c r="AE245" s="44">
        <f t="shared" si="87"/>
        <v>0</v>
      </c>
      <c r="AF245" s="52" t="e">
        <f>HLOOKUP(I245,ElecAvoidedCostsWOCC!$A$5:$Q$50,G245+1,FALSE)</f>
        <v>#N/A</v>
      </c>
      <c r="AG245" s="44" t="e">
        <f t="shared" si="88"/>
        <v>#N/A</v>
      </c>
      <c r="AH245" s="52" t="e">
        <f>HLOOKUP(I245,ElecAvoidedCostsWOCC!$A$5:$Q$50,T245+1,FALSE)</f>
        <v>#N/A</v>
      </c>
      <c r="AI245" s="44" t="e">
        <f t="shared" si="89"/>
        <v>#N/A</v>
      </c>
      <c r="AJ245" s="44" t="e">
        <f t="shared" si="90"/>
        <v>#N/A</v>
      </c>
      <c r="AK245" s="44" t="e">
        <f>HLOOKUP(I245,ElecAvoidedCostsWOCC!$A$5:$Q$50,G245+1,FALSE)*J245*L245</f>
        <v>#N/A</v>
      </c>
      <c r="AL245" s="44" t="e">
        <f t="shared" si="91"/>
        <v>#N/A</v>
      </c>
      <c r="AM245" s="48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8">
        <f t="shared" si="92"/>
        <v>0</v>
      </c>
      <c r="AO245" s="47">
        <f t="shared" si="93"/>
        <v>0</v>
      </c>
      <c r="AP245" s="47" t="e">
        <f t="shared" si="94"/>
        <v>#DIV/0!</v>
      </c>
    </row>
    <row r="246" spans="2:42">
      <c r="B246" s="37"/>
      <c r="C246" s="61"/>
      <c r="D246" s="61"/>
      <c r="E246" s="38"/>
      <c r="F246" s="39"/>
      <c r="G246" s="39"/>
      <c r="H246" s="39"/>
      <c r="I246" s="40"/>
      <c r="J246" s="41"/>
      <c r="K246" s="41"/>
      <c r="L246" s="41"/>
      <c r="M246" s="42"/>
      <c r="N246" s="42"/>
      <c r="O246" s="43"/>
      <c r="P246" s="44"/>
      <c r="Q246" s="44"/>
      <c r="R246" s="45"/>
      <c r="S246" s="46"/>
      <c r="T246" s="39">
        <f t="shared" si="76"/>
        <v>0</v>
      </c>
      <c r="U246" s="47">
        <f t="shared" si="77"/>
        <v>0</v>
      </c>
      <c r="V246" s="48">
        <f t="shared" si="78"/>
        <v>0</v>
      </c>
      <c r="W246" s="49">
        <f t="shared" si="79"/>
        <v>0</v>
      </c>
      <c r="X246" s="44">
        <f t="shared" si="80"/>
        <v>0</v>
      </c>
      <c r="Y246" s="44">
        <f t="shared" si="81"/>
        <v>0</v>
      </c>
      <c r="Z246" s="44">
        <f t="shared" si="82"/>
        <v>0</v>
      </c>
      <c r="AA246" s="50">
        <f t="shared" si="83"/>
        <v>0</v>
      </c>
      <c r="AB246" s="51">
        <f t="shared" si="84"/>
        <v>0</v>
      </c>
      <c r="AC246" s="44">
        <f t="shared" si="85"/>
        <v>0</v>
      </c>
      <c r="AD246" s="44">
        <f t="shared" si="86"/>
        <v>0</v>
      </c>
      <c r="AE246" s="44">
        <f t="shared" si="87"/>
        <v>0</v>
      </c>
      <c r="AF246" s="52" t="e">
        <f>HLOOKUP(I246,ElecAvoidedCostsWOCC!$A$5:$Q$50,G246+1,FALSE)</f>
        <v>#N/A</v>
      </c>
      <c r="AG246" s="44" t="e">
        <f t="shared" si="88"/>
        <v>#N/A</v>
      </c>
      <c r="AH246" s="52" t="e">
        <f>HLOOKUP(I246,ElecAvoidedCostsWOCC!$A$5:$Q$50,T246+1,FALSE)</f>
        <v>#N/A</v>
      </c>
      <c r="AI246" s="44" t="e">
        <f t="shared" si="89"/>
        <v>#N/A</v>
      </c>
      <c r="AJ246" s="44" t="e">
        <f t="shared" si="90"/>
        <v>#N/A</v>
      </c>
      <c r="AK246" s="44" t="e">
        <f>HLOOKUP(I246,ElecAvoidedCostsWOCC!$A$5:$Q$50,G246+1,FALSE)*J246*L246</f>
        <v>#N/A</v>
      </c>
      <c r="AL246" s="44" t="e">
        <f t="shared" si="91"/>
        <v>#N/A</v>
      </c>
      <c r="AM246" s="48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8">
        <f t="shared" si="92"/>
        <v>0</v>
      </c>
      <c r="AO246" s="47">
        <f t="shared" si="93"/>
        <v>0</v>
      </c>
      <c r="AP246" s="47" t="e">
        <f t="shared" si="94"/>
        <v>#DIV/0!</v>
      </c>
    </row>
    <row r="247" spans="2:42">
      <c r="B247" s="37"/>
      <c r="C247" s="61"/>
      <c r="D247" s="61"/>
      <c r="E247" s="38"/>
      <c r="F247" s="39"/>
      <c r="G247" s="39"/>
      <c r="H247" s="39"/>
      <c r="I247" s="40"/>
      <c r="J247" s="41"/>
      <c r="K247" s="41"/>
      <c r="L247" s="41"/>
      <c r="M247" s="42"/>
      <c r="N247" s="42"/>
      <c r="O247" s="43"/>
      <c r="P247" s="44"/>
      <c r="Q247" s="44"/>
      <c r="R247" s="45"/>
      <c r="S247" s="46"/>
      <c r="T247" s="39">
        <f t="shared" si="76"/>
        <v>0</v>
      </c>
      <c r="U247" s="47">
        <f t="shared" si="77"/>
        <v>0</v>
      </c>
      <c r="V247" s="48">
        <f t="shared" si="78"/>
        <v>0</v>
      </c>
      <c r="W247" s="49">
        <f t="shared" si="79"/>
        <v>0</v>
      </c>
      <c r="X247" s="44">
        <f t="shared" si="80"/>
        <v>0</v>
      </c>
      <c r="Y247" s="44">
        <f t="shared" si="81"/>
        <v>0</v>
      </c>
      <c r="Z247" s="44">
        <f t="shared" si="82"/>
        <v>0</v>
      </c>
      <c r="AA247" s="50">
        <f t="shared" si="83"/>
        <v>0</v>
      </c>
      <c r="AB247" s="51">
        <f t="shared" si="84"/>
        <v>0</v>
      </c>
      <c r="AC247" s="44">
        <f t="shared" si="85"/>
        <v>0</v>
      </c>
      <c r="AD247" s="44">
        <f t="shared" si="86"/>
        <v>0</v>
      </c>
      <c r="AE247" s="44">
        <f t="shared" si="87"/>
        <v>0</v>
      </c>
      <c r="AF247" s="52" t="e">
        <f>HLOOKUP(I247,ElecAvoidedCostsWOCC!$A$5:$Q$50,G247+1,FALSE)</f>
        <v>#N/A</v>
      </c>
      <c r="AG247" s="44" t="e">
        <f t="shared" si="88"/>
        <v>#N/A</v>
      </c>
      <c r="AH247" s="52" t="e">
        <f>HLOOKUP(I247,ElecAvoidedCostsWOCC!$A$5:$Q$50,T247+1,FALSE)</f>
        <v>#N/A</v>
      </c>
      <c r="AI247" s="44" t="e">
        <f t="shared" si="89"/>
        <v>#N/A</v>
      </c>
      <c r="AJ247" s="44" t="e">
        <f t="shared" si="90"/>
        <v>#N/A</v>
      </c>
      <c r="AK247" s="44" t="e">
        <f>HLOOKUP(I247,ElecAvoidedCostsWOCC!$A$5:$Q$50,G247+1,FALSE)*J247*L247</f>
        <v>#N/A</v>
      </c>
      <c r="AL247" s="44" t="e">
        <f t="shared" si="91"/>
        <v>#N/A</v>
      </c>
      <c r="AM247" s="48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8">
        <f t="shared" si="92"/>
        <v>0</v>
      </c>
      <c r="AO247" s="47">
        <f t="shared" si="93"/>
        <v>0</v>
      </c>
      <c r="AP247" s="47" t="e">
        <f t="shared" si="94"/>
        <v>#DIV/0!</v>
      </c>
    </row>
    <row r="248" spans="2:42">
      <c r="B248" s="37"/>
      <c r="C248" s="61"/>
      <c r="D248" s="61"/>
      <c r="E248" s="38"/>
      <c r="F248" s="39"/>
      <c r="G248" s="39"/>
      <c r="H248" s="39"/>
      <c r="I248" s="40"/>
      <c r="J248" s="41"/>
      <c r="K248" s="41"/>
      <c r="L248" s="41"/>
      <c r="M248" s="42"/>
      <c r="N248" s="42"/>
      <c r="O248" s="43"/>
      <c r="P248" s="44"/>
      <c r="Q248" s="44"/>
      <c r="R248" s="45"/>
      <c r="S248" s="46"/>
      <c r="T248" s="39">
        <f t="shared" si="76"/>
        <v>0</v>
      </c>
      <c r="U248" s="47">
        <f t="shared" si="77"/>
        <v>0</v>
      </c>
      <c r="V248" s="48">
        <f t="shared" si="78"/>
        <v>0</v>
      </c>
      <c r="W248" s="49">
        <f t="shared" si="79"/>
        <v>0</v>
      </c>
      <c r="X248" s="44">
        <f t="shared" si="80"/>
        <v>0</v>
      </c>
      <c r="Y248" s="44">
        <f t="shared" si="81"/>
        <v>0</v>
      </c>
      <c r="Z248" s="44">
        <f t="shared" si="82"/>
        <v>0</v>
      </c>
      <c r="AA248" s="50">
        <f t="shared" si="83"/>
        <v>0</v>
      </c>
      <c r="AB248" s="51">
        <f t="shared" si="84"/>
        <v>0</v>
      </c>
      <c r="AC248" s="44">
        <f t="shared" si="85"/>
        <v>0</v>
      </c>
      <c r="AD248" s="44">
        <f t="shared" si="86"/>
        <v>0</v>
      </c>
      <c r="AE248" s="44">
        <f t="shared" si="87"/>
        <v>0</v>
      </c>
      <c r="AF248" s="52" t="e">
        <f>HLOOKUP(I248,ElecAvoidedCostsWOCC!$A$5:$Q$50,G248+1,FALSE)</f>
        <v>#N/A</v>
      </c>
      <c r="AG248" s="44" t="e">
        <f t="shared" si="88"/>
        <v>#N/A</v>
      </c>
      <c r="AH248" s="52" t="e">
        <f>HLOOKUP(I248,ElecAvoidedCostsWOCC!$A$5:$Q$50,T248+1,FALSE)</f>
        <v>#N/A</v>
      </c>
      <c r="AI248" s="44" t="e">
        <f t="shared" si="89"/>
        <v>#N/A</v>
      </c>
      <c r="AJ248" s="44" t="e">
        <f t="shared" si="90"/>
        <v>#N/A</v>
      </c>
      <c r="AK248" s="44" t="e">
        <f>HLOOKUP(I248,ElecAvoidedCostsWOCC!$A$5:$Q$50,G248+1,FALSE)*J248*L248</f>
        <v>#N/A</v>
      </c>
      <c r="AL248" s="44" t="e">
        <f t="shared" si="91"/>
        <v>#N/A</v>
      </c>
      <c r="AM248" s="48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8">
        <f t="shared" si="92"/>
        <v>0</v>
      </c>
      <c r="AO248" s="47">
        <f t="shared" si="93"/>
        <v>0</v>
      </c>
      <c r="AP248" s="47" t="e">
        <f t="shared" si="94"/>
        <v>#DIV/0!</v>
      </c>
    </row>
    <row r="249" spans="2:42">
      <c r="B249" s="37"/>
      <c r="C249" s="61"/>
      <c r="D249" s="61"/>
      <c r="E249" s="38"/>
      <c r="F249" s="39"/>
      <c r="G249" s="39"/>
      <c r="H249" s="39"/>
      <c r="I249" s="40"/>
      <c r="J249" s="41"/>
      <c r="K249" s="41"/>
      <c r="L249" s="41"/>
      <c r="M249" s="42"/>
      <c r="N249" s="42"/>
      <c r="O249" s="43"/>
      <c r="P249" s="44"/>
      <c r="Q249" s="44"/>
      <c r="R249" s="45"/>
      <c r="S249" s="46"/>
      <c r="T249" s="39">
        <f t="shared" si="76"/>
        <v>0</v>
      </c>
      <c r="U249" s="47">
        <f t="shared" si="77"/>
        <v>0</v>
      </c>
      <c r="V249" s="48">
        <f t="shared" si="78"/>
        <v>0</v>
      </c>
      <c r="W249" s="49">
        <f t="shared" si="79"/>
        <v>0</v>
      </c>
      <c r="X249" s="44">
        <f t="shared" si="80"/>
        <v>0</v>
      </c>
      <c r="Y249" s="44">
        <f t="shared" si="81"/>
        <v>0</v>
      </c>
      <c r="Z249" s="44">
        <f t="shared" si="82"/>
        <v>0</v>
      </c>
      <c r="AA249" s="50">
        <f t="shared" si="83"/>
        <v>0</v>
      </c>
      <c r="AB249" s="51">
        <f t="shared" si="84"/>
        <v>0</v>
      </c>
      <c r="AC249" s="44">
        <f t="shared" si="85"/>
        <v>0</v>
      </c>
      <c r="AD249" s="44">
        <f t="shared" si="86"/>
        <v>0</v>
      </c>
      <c r="AE249" s="44">
        <f t="shared" si="87"/>
        <v>0</v>
      </c>
      <c r="AF249" s="52" t="e">
        <f>HLOOKUP(I249,ElecAvoidedCostsWOCC!$A$5:$Q$50,G249+1,FALSE)</f>
        <v>#N/A</v>
      </c>
      <c r="AG249" s="44" t="e">
        <f t="shared" si="88"/>
        <v>#N/A</v>
      </c>
      <c r="AH249" s="52" t="e">
        <f>HLOOKUP(I249,ElecAvoidedCostsWOCC!$A$5:$Q$50,T249+1,FALSE)</f>
        <v>#N/A</v>
      </c>
      <c r="AI249" s="44" t="e">
        <f t="shared" si="89"/>
        <v>#N/A</v>
      </c>
      <c r="AJ249" s="44" t="e">
        <f t="shared" si="90"/>
        <v>#N/A</v>
      </c>
      <c r="AK249" s="44" t="e">
        <f>HLOOKUP(I249,ElecAvoidedCostsWOCC!$A$5:$Q$50,G249+1,FALSE)*J249*L249</f>
        <v>#N/A</v>
      </c>
      <c r="AL249" s="44" t="e">
        <f t="shared" si="91"/>
        <v>#N/A</v>
      </c>
      <c r="AM249" s="48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8">
        <f t="shared" si="92"/>
        <v>0</v>
      </c>
      <c r="AO249" s="47">
        <f t="shared" si="93"/>
        <v>0</v>
      </c>
      <c r="AP249" s="47" t="e">
        <f t="shared" si="94"/>
        <v>#DIV/0!</v>
      </c>
    </row>
    <row r="250" spans="2:42">
      <c r="B250" s="37"/>
      <c r="C250" s="61"/>
      <c r="D250" s="61"/>
      <c r="E250" s="38"/>
      <c r="F250" s="39"/>
      <c r="G250" s="39"/>
      <c r="H250" s="39"/>
      <c r="I250" s="40"/>
      <c r="J250" s="41"/>
      <c r="K250" s="41"/>
      <c r="L250" s="41"/>
      <c r="M250" s="42"/>
      <c r="N250" s="42"/>
      <c r="O250" s="43"/>
      <c r="P250" s="44"/>
      <c r="Q250" s="44"/>
      <c r="R250" s="45"/>
      <c r="S250" s="46"/>
      <c r="T250" s="39">
        <f t="shared" si="76"/>
        <v>0</v>
      </c>
      <c r="U250" s="47">
        <f t="shared" si="77"/>
        <v>0</v>
      </c>
      <c r="V250" s="48">
        <f t="shared" si="78"/>
        <v>0</v>
      </c>
      <c r="W250" s="49">
        <f t="shared" si="79"/>
        <v>0</v>
      </c>
      <c r="X250" s="44">
        <f t="shared" si="80"/>
        <v>0</v>
      </c>
      <c r="Y250" s="44">
        <f t="shared" si="81"/>
        <v>0</v>
      </c>
      <c r="Z250" s="44">
        <f t="shared" si="82"/>
        <v>0</v>
      </c>
      <c r="AA250" s="50">
        <f t="shared" si="83"/>
        <v>0</v>
      </c>
      <c r="AB250" s="51">
        <f t="shared" si="84"/>
        <v>0</v>
      </c>
      <c r="AC250" s="44">
        <f t="shared" si="85"/>
        <v>0</v>
      </c>
      <c r="AD250" s="44">
        <f t="shared" si="86"/>
        <v>0</v>
      </c>
      <c r="AE250" s="44">
        <f t="shared" si="87"/>
        <v>0</v>
      </c>
      <c r="AF250" s="52" t="e">
        <f>HLOOKUP(I250,ElecAvoidedCostsWOCC!$A$5:$Q$50,G250+1,FALSE)</f>
        <v>#N/A</v>
      </c>
      <c r="AG250" s="44" t="e">
        <f t="shared" si="88"/>
        <v>#N/A</v>
      </c>
      <c r="AH250" s="52" t="e">
        <f>HLOOKUP(I250,ElecAvoidedCostsWOCC!$A$5:$Q$50,T250+1,FALSE)</f>
        <v>#N/A</v>
      </c>
      <c r="AI250" s="44" t="e">
        <f t="shared" si="89"/>
        <v>#N/A</v>
      </c>
      <c r="AJ250" s="44" t="e">
        <f t="shared" si="90"/>
        <v>#N/A</v>
      </c>
      <c r="AK250" s="44" t="e">
        <f>HLOOKUP(I250,ElecAvoidedCostsWOCC!$A$5:$Q$50,G250+1,FALSE)*J250*L250</f>
        <v>#N/A</v>
      </c>
      <c r="AL250" s="44" t="e">
        <f t="shared" si="91"/>
        <v>#N/A</v>
      </c>
      <c r="AM250" s="48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8">
        <f t="shared" si="92"/>
        <v>0</v>
      </c>
      <c r="AO250" s="47">
        <f t="shared" si="93"/>
        <v>0</v>
      </c>
      <c r="AP250" s="47" t="e">
        <f t="shared" si="94"/>
        <v>#DIV/0!</v>
      </c>
    </row>
    <row r="251" spans="2:42">
      <c r="B251" s="37"/>
      <c r="C251" s="61"/>
      <c r="D251" s="61"/>
      <c r="E251" s="38"/>
      <c r="F251" s="39"/>
      <c r="G251" s="39"/>
      <c r="H251" s="39"/>
      <c r="I251" s="40"/>
      <c r="J251" s="41"/>
      <c r="K251" s="41"/>
      <c r="L251" s="41"/>
      <c r="M251" s="42"/>
      <c r="N251" s="42"/>
      <c r="O251" s="43"/>
      <c r="P251" s="44"/>
      <c r="Q251" s="44"/>
      <c r="R251" s="45"/>
      <c r="S251" s="46"/>
      <c r="T251" s="39">
        <f t="shared" si="76"/>
        <v>0</v>
      </c>
      <c r="U251" s="47">
        <f t="shared" si="77"/>
        <v>0</v>
      </c>
      <c r="V251" s="48">
        <f t="shared" si="78"/>
        <v>0</v>
      </c>
      <c r="W251" s="49">
        <f t="shared" si="79"/>
        <v>0</v>
      </c>
      <c r="X251" s="44">
        <f t="shared" si="80"/>
        <v>0</v>
      </c>
      <c r="Y251" s="44">
        <f t="shared" si="81"/>
        <v>0</v>
      </c>
      <c r="Z251" s="44">
        <f t="shared" si="82"/>
        <v>0</v>
      </c>
      <c r="AA251" s="50">
        <f t="shared" si="83"/>
        <v>0</v>
      </c>
      <c r="AB251" s="51">
        <f t="shared" si="84"/>
        <v>0</v>
      </c>
      <c r="AC251" s="44">
        <f t="shared" si="85"/>
        <v>0</v>
      </c>
      <c r="AD251" s="44">
        <f t="shared" si="86"/>
        <v>0</v>
      </c>
      <c r="AE251" s="44">
        <f t="shared" si="87"/>
        <v>0</v>
      </c>
      <c r="AF251" s="52" t="e">
        <f>HLOOKUP(I251,ElecAvoidedCostsWOCC!$A$5:$Q$50,G251+1,FALSE)</f>
        <v>#N/A</v>
      </c>
      <c r="AG251" s="44" t="e">
        <f t="shared" si="88"/>
        <v>#N/A</v>
      </c>
      <c r="AH251" s="52" t="e">
        <f>HLOOKUP(I251,ElecAvoidedCostsWOCC!$A$5:$Q$50,T251+1,FALSE)</f>
        <v>#N/A</v>
      </c>
      <c r="AI251" s="44" t="e">
        <f t="shared" si="89"/>
        <v>#N/A</v>
      </c>
      <c r="AJ251" s="44" t="e">
        <f t="shared" si="90"/>
        <v>#N/A</v>
      </c>
      <c r="AK251" s="44" t="e">
        <f>HLOOKUP(I251,ElecAvoidedCostsWOCC!$A$5:$Q$50,G251+1,FALSE)*J251*L251</f>
        <v>#N/A</v>
      </c>
      <c r="AL251" s="44" t="e">
        <f t="shared" si="91"/>
        <v>#N/A</v>
      </c>
      <c r="AM251" s="48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8">
        <f t="shared" si="92"/>
        <v>0</v>
      </c>
      <c r="AO251" s="47">
        <f t="shared" si="93"/>
        <v>0</v>
      </c>
      <c r="AP251" s="47" t="e">
        <f t="shared" si="94"/>
        <v>#DIV/0!</v>
      </c>
    </row>
    <row r="252" spans="2:42">
      <c r="B252" s="37"/>
      <c r="C252" s="61"/>
      <c r="D252" s="61"/>
      <c r="E252" s="38"/>
      <c r="F252" s="39"/>
      <c r="G252" s="39"/>
      <c r="H252" s="39"/>
      <c r="I252" s="40"/>
      <c r="J252" s="41"/>
      <c r="K252" s="41"/>
      <c r="L252" s="41"/>
      <c r="M252" s="42"/>
      <c r="N252" s="42"/>
      <c r="O252" s="43"/>
      <c r="P252" s="44"/>
      <c r="Q252" s="44"/>
      <c r="R252" s="45"/>
      <c r="S252" s="46"/>
      <c r="T252" s="39">
        <f t="shared" si="76"/>
        <v>0</v>
      </c>
      <c r="U252" s="47">
        <f t="shared" si="77"/>
        <v>0</v>
      </c>
      <c r="V252" s="48">
        <f t="shared" si="78"/>
        <v>0</v>
      </c>
      <c r="W252" s="49">
        <f t="shared" si="79"/>
        <v>0</v>
      </c>
      <c r="X252" s="44">
        <f t="shared" si="80"/>
        <v>0</v>
      </c>
      <c r="Y252" s="44">
        <f t="shared" si="81"/>
        <v>0</v>
      </c>
      <c r="Z252" s="44">
        <f t="shared" si="82"/>
        <v>0</v>
      </c>
      <c r="AA252" s="50">
        <f t="shared" si="83"/>
        <v>0</v>
      </c>
      <c r="AB252" s="51">
        <f t="shared" si="84"/>
        <v>0</v>
      </c>
      <c r="AC252" s="44">
        <f t="shared" si="85"/>
        <v>0</v>
      </c>
      <c r="AD252" s="44">
        <f t="shared" si="86"/>
        <v>0</v>
      </c>
      <c r="AE252" s="44">
        <f t="shared" si="87"/>
        <v>0</v>
      </c>
      <c r="AF252" s="52" t="e">
        <f>HLOOKUP(I252,ElecAvoidedCostsWOCC!$A$5:$Q$50,G252+1,FALSE)</f>
        <v>#N/A</v>
      </c>
      <c r="AG252" s="44" t="e">
        <f t="shared" si="88"/>
        <v>#N/A</v>
      </c>
      <c r="AH252" s="52" t="e">
        <f>HLOOKUP(I252,ElecAvoidedCostsWOCC!$A$5:$Q$50,T252+1,FALSE)</f>
        <v>#N/A</v>
      </c>
      <c r="AI252" s="44" t="e">
        <f t="shared" si="89"/>
        <v>#N/A</v>
      </c>
      <c r="AJ252" s="44" t="e">
        <f t="shared" si="90"/>
        <v>#N/A</v>
      </c>
      <c r="AK252" s="44" t="e">
        <f>HLOOKUP(I252,ElecAvoidedCostsWOCC!$A$5:$Q$50,G252+1,FALSE)*J252*L252</f>
        <v>#N/A</v>
      </c>
      <c r="AL252" s="44" t="e">
        <f t="shared" si="91"/>
        <v>#N/A</v>
      </c>
      <c r="AM252" s="48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8">
        <f t="shared" si="92"/>
        <v>0</v>
      </c>
      <c r="AO252" s="47">
        <f t="shared" si="93"/>
        <v>0</v>
      </c>
      <c r="AP252" s="47" t="e">
        <f t="shared" si="94"/>
        <v>#DIV/0!</v>
      </c>
    </row>
    <row r="253" spans="2:42">
      <c r="B253" s="37"/>
      <c r="C253" s="61"/>
      <c r="D253" s="61"/>
      <c r="E253" s="38"/>
      <c r="F253" s="39"/>
      <c r="G253" s="39"/>
      <c r="H253" s="39"/>
      <c r="I253" s="40"/>
      <c r="J253" s="41"/>
      <c r="K253" s="41"/>
      <c r="L253" s="41"/>
      <c r="M253" s="42"/>
      <c r="N253" s="42"/>
      <c r="O253" s="43"/>
      <c r="P253" s="44"/>
      <c r="Q253" s="44"/>
      <c r="R253" s="45"/>
      <c r="S253" s="46"/>
      <c r="T253" s="39">
        <f t="shared" si="76"/>
        <v>0</v>
      </c>
      <c r="U253" s="47">
        <f t="shared" si="77"/>
        <v>0</v>
      </c>
      <c r="V253" s="48">
        <f t="shared" si="78"/>
        <v>0</v>
      </c>
      <c r="W253" s="49">
        <f t="shared" si="79"/>
        <v>0</v>
      </c>
      <c r="X253" s="44">
        <f t="shared" si="80"/>
        <v>0</v>
      </c>
      <c r="Y253" s="44">
        <f t="shared" si="81"/>
        <v>0</v>
      </c>
      <c r="Z253" s="44">
        <f t="shared" si="82"/>
        <v>0</v>
      </c>
      <c r="AA253" s="50">
        <f t="shared" si="83"/>
        <v>0</v>
      </c>
      <c r="AB253" s="51">
        <f t="shared" si="84"/>
        <v>0</v>
      </c>
      <c r="AC253" s="44">
        <f t="shared" si="85"/>
        <v>0</v>
      </c>
      <c r="AD253" s="44">
        <f t="shared" si="86"/>
        <v>0</v>
      </c>
      <c r="AE253" s="44">
        <f t="shared" si="87"/>
        <v>0</v>
      </c>
      <c r="AF253" s="52" t="e">
        <f>HLOOKUP(I253,ElecAvoidedCostsWOCC!$A$5:$Q$50,G253+1,FALSE)</f>
        <v>#N/A</v>
      </c>
      <c r="AG253" s="44" t="e">
        <f t="shared" si="88"/>
        <v>#N/A</v>
      </c>
      <c r="AH253" s="52" t="e">
        <f>HLOOKUP(I253,ElecAvoidedCostsWOCC!$A$5:$Q$50,T253+1,FALSE)</f>
        <v>#N/A</v>
      </c>
      <c r="AI253" s="44" t="e">
        <f t="shared" si="89"/>
        <v>#N/A</v>
      </c>
      <c r="AJ253" s="44" t="e">
        <f t="shared" si="90"/>
        <v>#N/A</v>
      </c>
      <c r="AK253" s="44" t="e">
        <f>HLOOKUP(I253,ElecAvoidedCostsWOCC!$A$5:$Q$50,G253+1,FALSE)*J253*L253</f>
        <v>#N/A</v>
      </c>
      <c r="AL253" s="44" t="e">
        <f t="shared" si="91"/>
        <v>#N/A</v>
      </c>
      <c r="AM253" s="48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8">
        <f t="shared" si="92"/>
        <v>0</v>
      </c>
      <c r="AO253" s="47">
        <f t="shared" si="93"/>
        <v>0</v>
      </c>
      <c r="AP253" s="47" t="e">
        <f t="shared" si="94"/>
        <v>#DIV/0!</v>
      </c>
    </row>
    <row r="254" spans="2:42">
      <c r="B254" s="37"/>
      <c r="C254" s="61"/>
      <c r="D254" s="61"/>
      <c r="E254" s="38"/>
      <c r="F254" s="39"/>
      <c r="G254" s="39"/>
      <c r="H254" s="39"/>
      <c r="I254" s="40"/>
      <c r="J254" s="41"/>
      <c r="K254" s="41"/>
      <c r="L254" s="41"/>
      <c r="M254" s="42"/>
      <c r="N254" s="42"/>
      <c r="O254" s="43"/>
      <c r="P254" s="44"/>
      <c r="Q254" s="44"/>
      <c r="R254" s="45"/>
      <c r="S254" s="46"/>
      <c r="T254" s="39">
        <f t="shared" si="76"/>
        <v>0</v>
      </c>
      <c r="U254" s="47">
        <f t="shared" si="77"/>
        <v>0</v>
      </c>
      <c r="V254" s="48">
        <f t="shared" si="78"/>
        <v>0</v>
      </c>
      <c r="W254" s="49">
        <f t="shared" si="79"/>
        <v>0</v>
      </c>
      <c r="X254" s="44">
        <f t="shared" si="80"/>
        <v>0</v>
      </c>
      <c r="Y254" s="44">
        <f t="shared" si="81"/>
        <v>0</v>
      </c>
      <c r="Z254" s="44">
        <f t="shared" si="82"/>
        <v>0</v>
      </c>
      <c r="AA254" s="50">
        <f t="shared" si="83"/>
        <v>0</v>
      </c>
      <c r="AB254" s="51">
        <f t="shared" si="84"/>
        <v>0</v>
      </c>
      <c r="AC254" s="44">
        <f t="shared" si="85"/>
        <v>0</v>
      </c>
      <c r="AD254" s="44">
        <f t="shared" si="86"/>
        <v>0</v>
      </c>
      <c r="AE254" s="44">
        <f t="shared" si="87"/>
        <v>0</v>
      </c>
      <c r="AF254" s="52" t="e">
        <f>HLOOKUP(I254,ElecAvoidedCostsWOCC!$A$5:$Q$50,G254+1,FALSE)</f>
        <v>#N/A</v>
      </c>
      <c r="AG254" s="44" t="e">
        <f t="shared" si="88"/>
        <v>#N/A</v>
      </c>
      <c r="AH254" s="52" t="e">
        <f>HLOOKUP(I254,ElecAvoidedCostsWOCC!$A$5:$Q$50,T254+1,FALSE)</f>
        <v>#N/A</v>
      </c>
      <c r="AI254" s="44" t="e">
        <f t="shared" si="89"/>
        <v>#N/A</v>
      </c>
      <c r="AJ254" s="44" t="e">
        <f t="shared" si="90"/>
        <v>#N/A</v>
      </c>
      <c r="AK254" s="44" t="e">
        <f>HLOOKUP(I254,ElecAvoidedCostsWOCC!$A$5:$Q$50,G254+1,FALSE)*J254*L254</f>
        <v>#N/A</v>
      </c>
      <c r="AL254" s="44" t="e">
        <f t="shared" si="91"/>
        <v>#N/A</v>
      </c>
      <c r="AM254" s="48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8">
        <f t="shared" si="92"/>
        <v>0</v>
      </c>
      <c r="AO254" s="47">
        <f t="shared" si="93"/>
        <v>0</v>
      </c>
      <c r="AP254" s="47" t="e">
        <f t="shared" si="94"/>
        <v>#DIV/0!</v>
      </c>
    </row>
    <row r="255" spans="2:42">
      <c r="B255" s="37"/>
      <c r="C255" s="61"/>
      <c r="D255" s="61"/>
      <c r="E255" s="38"/>
      <c r="F255" s="39"/>
      <c r="G255" s="39"/>
      <c r="H255" s="39"/>
      <c r="I255" s="40"/>
      <c r="J255" s="41"/>
      <c r="K255" s="41"/>
      <c r="L255" s="41"/>
      <c r="M255" s="42"/>
      <c r="N255" s="42"/>
      <c r="O255" s="43"/>
      <c r="P255" s="44"/>
      <c r="Q255" s="44"/>
      <c r="R255" s="45"/>
      <c r="S255" s="46"/>
      <c r="T255" s="39">
        <f t="shared" si="76"/>
        <v>0</v>
      </c>
      <c r="U255" s="47">
        <f t="shared" si="77"/>
        <v>0</v>
      </c>
      <c r="V255" s="48">
        <f t="shared" si="78"/>
        <v>0</v>
      </c>
      <c r="W255" s="49">
        <f t="shared" si="79"/>
        <v>0</v>
      </c>
      <c r="X255" s="44">
        <f t="shared" si="80"/>
        <v>0</v>
      </c>
      <c r="Y255" s="44">
        <f t="shared" si="81"/>
        <v>0</v>
      </c>
      <c r="Z255" s="44">
        <f t="shared" si="82"/>
        <v>0</v>
      </c>
      <c r="AA255" s="50">
        <f t="shared" si="83"/>
        <v>0</v>
      </c>
      <c r="AB255" s="51">
        <f t="shared" si="84"/>
        <v>0</v>
      </c>
      <c r="AC255" s="44">
        <f t="shared" si="85"/>
        <v>0</v>
      </c>
      <c r="AD255" s="44">
        <f t="shared" si="86"/>
        <v>0</v>
      </c>
      <c r="AE255" s="44">
        <f t="shared" si="87"/>
        <v>0</v>
      </c>
      <c r="AF255" s="52" t="e">
        <f>HLOOKUP(I255,ElecAvoidedCostsWOCC!$A$5:$Q$50,G255+1,FALSE)</f>
        <v>#N/A</v>
      </c>
      <c r="AG255" s="44" t="e">
        <f t="shared" si="88"/>
        <v>#N/A</v>
      </c>
      <c r="AH255" s="52" t="e">
        <f>HLOOKUP(I255,ElecAvoidedCostsWOCC!$A$5:$Q$50,T255+1,FALSE)</f>
        <v>#N/A</v>
      </c>
      <c r="AI255" s="44" t="e">
        <f t="shared" si="89"/>
        <v>#N/A</v>
      </c>
      <c r="AJ255" s="44" t="e">
        <f t="shared" si="90"/>
        <v>#N/A</v>
      </c>
      <c r="AK255" s="44" t="e">
        <f>HLOOKUP(I255,ElecAvoidedCostsWOCC!$A$5:$Q$50,G255+1,FALSE)*J255*L255</f>
        <v>#N/A</v>
      </c>
      <c r="AL255" s="44" t="e">
        <f t="shared" si="91"/>
        <v>#N/A</v>
      </c>
      <c r="AM255" s="48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8">
        <f t="shared" si="92"/>
        <v>0</v>
      </c>
      <c r="AO255" s="47">
        <f t="shared" si="93"/>
        <v>0</v>
      </c>
      <c r="AP255" s="47" t="e">
        <f t="shared" si="94"/>
        <v>#DIV/0!</v>
      </c>
    </row>
    <row r="256" spans="2:42">
      <c r="B256" s="37"/>
      <c r="C256" s="61"/>
      <c r="D256" s="61"/>
      <c r="E256" s="38"/>
      <c r="F256" s="39"/>
      <c r="G256" s="39"/>
      <c r="H256" s="39"/>
      <c r="I256" s="40"/>
      <c r="J256" s="41"/>
      <c r="K256" s="41"/>
      <c r="L256" s="41"/>
      <c r="M256" s="42"/>
      <c r="N256" s="42"/>
      <c r="O256" s="43"/>
      <c r="P256" s="44"/>
      <c r="Q256" s="44"/>
      <c r="R256" s="45"/>
      <c r="S256" s="46"/>
      <c r="T256" s="39">
        <f t="shared" si="76"/>
        <v>0</v>
      </c>
      <c r="U256" s="47">
        <f t="shared" si="77"/>
        <v>0</v>
      </c>
      <c r="V256" s="48">
        <f t="shared" si="78"/>
        <v>0</v>
      </c>
      <c r="W256" s="49">
        <f t="shared" si="79"/>
        <v>0</v>
      </c>
      <c r="X256" s="44">
        <f t="shared" si="80"/>
        <v>0</v>
      </c>
      <c r="Y256" s="44">
        <f t="shared" si="81"/>
        <v>0</v>
      </c>
      <c r="Z256" s="44">
        <f t="shared" si="82"/>
        <v>0</v>
      </c>
      <c r="AA256" s="50">
        <f t="shared" si="83"/>
        <v>0</v>
      </c>
      <c r="AB256" s="51">
        <f t="shared" si="84"/>
        <v>0</v>
      </c>
      <c r="AC256" s="44">
        <f t="shared" si="85"/>
        <v>0</v>
      </c>
      <c r="AD256" s="44">
        <f t="shared" si="86"/>
        <v>0</v>
      </c>
      <c r="AE256" s="44">
        <f t="shared" si="87"/>
        <v>0</v>
      </c>
      <c r="AF256" s="52" t="e">
        <f>HLOOKUP(I256,ElecAvoidedCostsWOCC!$A$5:$Q$50,G256+1,FALSE)</f>
        <v>#N/A</v>
      </c>
      <c r="AG256" s="44" t="e">
        <f t="shared" si="88"/>
        <v>#N/A</v>
      </c>
      <c r="AH256" s="52" t="e">
        <f>HLOOKUP(I256,ElecAvoidedCostsWOCC!$A$5:$Q$50,T256+1,FALSE)</f>
        <v>#N/A</v>
      </c>
      <c r="AI256" s="44" t="e">
        <f t="shared" si="89"/>
        <v>#N/A</v>
      </c>
      <c r="AJ256" s="44" t="e">
        <f t="shared" si="90"/>
        <v>#N/A</v>
      </c>
      <c r="AK256" s="44" t="e">
        <f>HLOOKUP(I256,ElecAvoidedCostsWOCC!$A$5:$Q$50,G256+1,FALSE)*J256*L256</f>
        <v>#N/A</v>
      </c>
      <c r="AL256" s="44" t="e">
        <f t="shared" si="91"/>
        <v>#N/A</v>
      </c>
      <c r="AM256" s="48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8">
        <f t="shared" si="92"/>
        <v>0</v>
      </c>
      <c r="AO256" s="47">
        <f t="shared" si="93"/>
        <v>0</v>
      </c>
      <c r="AP256" s="47" t="e">
        <f t="shared" si="94"/>
        <v>#DIV/0!</v>
      </c>
    </row>
    <row r="257" spans="2:42">
      <c r="B257" s="37"/>
      <c r="C257" s="61"/>
      <c r="D257" s="61"/>
      <c r="E257" s="38"/>
      <c r="F257" s="39"/>
      <c r="G257" s="39"/>
      <c r="H257" s="39"/>
      <c r="I257" s="40"/>
      <c r="J257" s="41"/>
      <c r="K257" s="41"/>
      <c r="L257" s="41"/>
      <c r="M257" s="42"/>
      <c r="N257" s="42"/>
      <c r="O257" s="43"/>
      <c r="P257" s="44"/>
      <c r="Q257" s="44"/>
      <c r="R257" s="45"/>
      <c r="S257" s="46"/>
      <c r="T257" s="39">
        <f t="shared" si="76"/>
        <v>0</v>
      </c>
      <c r="U257" s="47">
        <f t="shared" si="77"/>
        <v>0</v>
      </c>
      <c r="V257" s="48">
        <f t="shared" si="78"/>
        <v>0</v>
      </c>
      <c r="W257" s="49">
        <f t="shared" si="79"/>
        <v>0</v>
      </c>
      <c r="X257" s="44">
        <f t="shared" si="80"/>
        <v>0</v>
      </c>
      <c r="Y257" s="44">
        <f t="shared" si="81"/>
        <v>0</v>
      </c>
      <c r="Z257" s="44">
        <f t="shared" si="82"/>
        <v>0</v>
      </c>
      <c r="AA257" s="50">
        <f t="shared" si="83"/>
        <v>0</v>
      </c>
      <c r="AB257" s="51">
        <f t="shared" si="84"/>
        <v>0</v>
      </c>
      <c r="AC257" s="44">
        <f t="shared" si="85"/>
        <v>0</v>
      </c>
      <c r="AD257" s="44">
        <f t="shared" si="86"/>
        <v>0</v>
      </c>
      <c r="AE257" s="44">
        <f t="shared" si="87"/>
        <v>0</v>
      </c>
      <c r="AF257" s="52" t="e">
        <f>HLOOKUP(I257,ElecAvoidedCostsWOCC!$A$5:$Q$50,G257+1,FALSE)</f>
        <v>#N/A</v>
      </c>
      <c r="AG257" s="44" t="e">
        <f t="shared" si="88"/>
        <v>#N/A</v>
      </c>
      <c r="AH257" s="52" t="e">
        <f>HLOOKUP(I257,ElecAvoidedCostsWOCC!$A$5:$Q$50,T257+1,FALSE)</f>
        <v>#N/A</v>
      </c>
      <c r="AI257" s="44" t="e">
        <f t="shared" si="89"/>
        <v>#N/A</v>
      </c>
      <c r="AJ257" s="44" t="e">
        <f t="shared" si="90"/>
        <v>#N/A</v>
      </c>
      <c r="AK257" s="44" t="e">
        <f>HLOOKUP(I257,ElecAvoidedCostsWOCC!$A$5:$Q$50,G257+1,FALSE)*J257*L257</f>
        <v>#N/A</v>
      </c>
      <c r="AL257" s="44" t="e">
        <f t="shared" si="91"/>
        <v>#N/A</v>
      </c>
      <c r="AM257" s="48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8">
        <f t="shared" si="92"/>
        <v>0</v>
      </c>
      <c r="AO257" s="47">
        <f t="shared" si="93"/>
        <v>0</v>
      </c>
      <c r="AP257" s="47" t="e">
        <f t="shared" si="94"/>
        <v>#DIV/0!</v>
      </c>
    </row>
    <row r="258" spans="2:42">
      <c r="B258" s="37"/>
      <c r="C258" s="61"/>
      <c r="D258" s="61"/>
      <c r="E258" s="38"/>
      <c r="F258" s="39"/>
      <c r="G258" s="39"/>
      <c r="H258" s="39"/>
      <c r="I258" s="40"/>
      <c r="J258" s="41"/>
      <c r="K258" s="41"/>
      <c r="L258" s="41"/>
      <c r="M258" s="42"/>
      <c r="N258" s="42"/>
      <c r="O258" s="43"/>
      <c r="P258" s="44"/>
      <c r="Q258" s="44"/>
      <c r="R258" s="45"/>
      <c r="S258" s="46"/>
      <c r="T258" s="39">
        <f t="shared" si="76"/>
        <v>0</v>
      </c>
      <c r="U258" s="47">
        <f t="shared" si="77"/>
        <v>0</v>
      </c>
      <c r="V258" s="48">
        <f t="shared" si="78"/>
        <v>0</v>
      </c>
      <c r="W258" s="49">
        <f t="shared" si="79"/>
        <v>0</v>
      </c>
      <c r="X258" s="44">
        <f t="shared" si="80"/>
        <v>0</v>
      </c>
      <c r="Y258" s="44">
        <f t="shared" si="81"/>
        <v>0</v>
      </c>
      <c r="Z258" s="44">
        <f t="shared" si="82"/>
        <v>0</v>
      </c>
      <c r="AA258" s="50">
        <f t="shared" si="83"/>
        <v>0</v>
      </c>
      <c r="AB258" s="51">
        <f t="shared" si="84"/>
        <v>0</v>
      </c>
      <c r="AC258" s="44">
        <f t="shared" si="85"/>
        <v>0</v>
      </c>
      <c r="AD258" s="44">
        <f t="shared" si="86"/>
        <v>0</v>
      </c>
      <c r="AE258" s="44">
        <f t="shared" si="87"/>
        <v>0</v>
      </c>
      <c r="AF258" s="52" t="e">
        <f>HLOOKUP(I258,ElecAvoidedCostsWOCC!$A$5:$Q$50,G258+1,FALSE)</f>
        <v>#N/A</v>
      </c>
      <c r="AG258" s="44" t="e">
        <f t="shared" si="88"/>
        <v>#N/A</v>
      </c>
      <c r="AH258" s="52" t="e">
        <f>HLOOKUP(I258,ElecAvoidedCostsWOCC!$A$5:$Q$50,T258+1,FALSE)</f>
        <v>#N/A</v>
      </c>
      <c r="AI258" s="44" t="e">
        <f t="shared" si="89"/>
        <v>#N/A</v>
      </c>
      <c r="AJ258" s="44" t="e">
        <f t="shared" si="90"/>
        <v>#N/A</v>
      </c>
      <c r="AK258" s="44" t="e">
        <f>HLOOKUP(I258,ElecAvoidedCostsWOCC!$A$5:$Q$50,G258+1,FALSE)*J258*L258</f>
        <v>#N/A</v>
      </c>
      <c r="AL258" s="44" t="e">
        <f t="shared" si="91"/>
        <v>#N/A</v>
      </c>
      <c r="AM258" s="48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8">
        <f t="shared" si="92"/>
        <v>0</v>
      </c>
      <c r="AO258" s="47">
        <f t="shared" si="93"/>
        <v>0</v>
      </c>
      <c r="AP258" s="47" t="e">
        <f t="shared" si="94"/>
        <v>#DIV/0!</v>
      </c>
    </row>
    <row r="259" spans="2:42">
      <c r="B259" s="37"/>
      <c r="C259" s="61"/>
      <c r="D259" s="61"/>
      <c r="E259" s="38"/>
      <c r="F259" s="39"/>
      <c r="G259" s="39"/>
      <c r="H259" s="39"/>
      <c r="I259" s="40"/>
      <c r="J259" s="41"/>
      <c r="K259" s="41"/>
      <c r="L259" s="41"/>
      <c r="M259" s="42"/>
      <c r="N259" s="42"/>
      <c r="O259" s="43"/>
      <c r="P259" s="44"/>
      <c r="Q259" s="44"/>
      <c r="R259" s="45"/>
      <c r="S259" s="46"/>
      <c r="T259" s="39">
        <f t="shared" si="76"/>
        <v>0</v>
      </c>
      <c r="U259" s="47">
        <f t="shared" si="77"/>
        <v>0</v>
      </c>
      <c r="V259" s="48">
        <f t="shared" si="78"/>
        <v>0</v>
      </c>
      <c r="W259" s="49">
        <f t="shared" si="79"/>
        <v>0</v>
      </c>
      <c r="X259" s="44">
        <f t="shared" si="80"/>
        <v>0</v>
      </c>
      <c r="Y259" s="44">
        <f t="shared" si="81"/>
        <v>0</v>
      </c>
      <c r="Z259" s="44">
        <f t="shared" si="82"/>
        <v>0</v>
      </c>
      <c r="AA259" s="50">
        <f t="shared" si="83"/>
        <v>0</v>
      </c>
      <c r="AB259" s="51">
        <f t="shared" si="84"/>
        <v>0</v>
      </c>
      <c r="AC259" s="44">
        <f t="shared" si="85"/>
        <v>0</v>
      </c>
      <c r="AD259" s="44">
        <f t="shared" si="86"/>
        <v>0</v>
      </c>
      <c r="AE259" s="44">
        <f t="shared" si="87"/>
        <v>0</v>
      </c>
      <c r="AF259" s="52" t="e">
        <f>HLOOKUP(I259,ElecAvoidedCostsWOCC!$A$5:$Q$50,G259+1,FALSE)</f>
        <v>#N/A</v>
      </c>
      <c r="AG259" s="44" t="e">
        <f t="shared" si="88"/>
        <v>#N/A</v>
      </c>
      <c r="AH259" s="52" t="e">
        <f>HLOOKUP(I259,ElecAvoidedCostsWOCC!$A$5:$Q$50,T259+1,FALSE)</f>
        <v>#N/A</v>
      </c>
      <c r="AI259" s="44" t="e">
        <f t="shared" si="89"/>
        <v>#N/A</v>
      </c>
      <c r="AJ259" s="44" t="e">
        <f t="shared" si="90"/>
        <v>#N/A</v>
      </c>
      <c r="AK259" s="44" t="e">
        <f>HLOOKUP(I259,ElecAvoidedCostsWOCC!$A$5:$Q$50,G259+1,FALSE)*J259*L259</f>
        <v>#N/A</v>
      </c>
      <c r="AL259" s="44" t="e">
        <f t="shared" si="91"/>
        <v>#N/A</v>
      </c>
      <c r="AM259" s="48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8">
        <f t="shared" si="92"/>
        <v>0</v>
      </c>
      <c r="AO259" s="47">
        <f t="shared" si="93"/>
        <v>0</v>
      </c>
      <c r="AP259" s="47" t="e">
        <f t="shared" si="94"/>
        <v>#DIV/0!</v>
      </c>
    </row>
    <row r="260" spans="2:42">
      <c r="B260" s="37"/>
      <c r="C260" s="61"/>
      <c r="D260" s="61"/>
      <c r="E260" s="38"/>
      <c r="F260" s="39"/>
      <c r="G260" s="39"/>
      <c r="H260" s="39"/>
      <c r="I260" s="40"/>
      <c r="J260" s="41"/>
      <c r="K260" s="41"/>
      <c r="L260" s="41"/>
      <c r="M260" s="42"/>
      <c r="N260" s="42"/>
      <c r="O260" s="43"/>
      <c r="P260" s="44"/>
      <c r="Q260" s="44"/>
      <c r="R260" s="45"/>
      <c r="S260" s="46"/>
      <c r="T260" s="39">
        <f t="shared" ref="T260:T323" si="95">G260+H260</f>
        <v>0</v>
      </c>
      <c r="U260" s="47">
        <f t="shared" ref="U260:U323" si="96">(O260/$A$10)*T260</f>
        <v>0</v>
      </c>
      <c r="V260" s="48">
        <f t="shared" ref="V260:V323" si="97">N260-M260</f>
        <v>0</v>
      </c>
      <c r="W260" s="49">
        <f t="shared" ref="W260:W323" si="98">(O260/A$10)</f>
        <v>0</v>
      </c>
      <c r="X260" s="44">
        <f t="shared" ref="X260:X323" si="99">W260*A$8</f>
        <v>0</v>
      </c>
      <c r="Y260" s="44">
        <f t="shared" ref="Y260:Y323" si="100">Q260-P260</f>
        <v>0</v>
      </c>
      <c r="Z260" s="44">
        <f t="shared" ref="Z260:Z323" si="101">X260+(A$6*W260)</f>
        <v>0</v>
      </c>
      <c r="AA260" s="50">
        <f t="shared" ref="AA260:AA323" si="102">Q260+X260</f>
        <v>0</v>
      </c>
      <c r="AB260" s="51">
        <f t="shared" ref="AB260:AB323" si="103">Z260/(1+ElecDiscountRate)^1</f>
        <v>0</v>
      </c>
      <c r="AC260" s="44">
        <f t="shared" ref="AC260:AC323" si="104">AA260/(1+ElecDiscountRate)^1</f>
        <v>0</v>
      </c>
      <c r="AD260" s="44">
        <f t="shared" ref="AD260:AD323" si="105">-PV(ElecDiscountRate,T260,R260)*J260</f>
        <v>0</v>
      </c>
      <c r="AE260" s="44">
        <f t="shared" ref="AE260:AE323" si="106">-PV(ElecDiscountRate,T260,S260)*J260</f>
        <v>0</v>
      </c>
      <c r="AF260" s="52" t="e">
        <f>HLOOKUP(I260,ElecAvoidedCostsWOCC!$A$5:$Q$50,G260+1,FALSE)</f>
        <v>#N/A</v>
      </c>
      <c r="AG260" s="44" t="e">
        <f t="shared" ref="AG260:AG323" si="107">AF260*J260*K260</f>
        <v>#N/A</v>
      </c>
      <c r="AH260" s="52" t="e">
        <f>HLOOKUP(I260,ElecAvoidedCostsWOCC!$A$5:$Q$50,T260+1,FALSE)</f>
        <v>#N/A</v>
      </c>
      <c r="AI260" s="44" t="e">
        <f t="shared" ref="AI260:AI323" si="108">AH260*J260*L260</f>
        <v>#N/A</v>
      </c>
      <c r="AJ260" s="44" t="e">
        <f t="shared" ref="AJ260:AJ323" si="109">AG260+AI260</f>
        <v>#N/A</v>
      </c>
      <c r="AK260" s="44" t="e">
        <f>HLOOKUP(I260,ElecAvoidedCostsWOCC!$A$5:$Q$50,G260+1,FALSE)*J260*L260</f>
        <v>#N/A</v>
      </c>
      <c r="AL260" s="44" t="e">
        <f t="shared" ref="AL260:AL323" si="110">AG260+AI260-AK260</f>
        <v>#N/A</v>
      </c>
      <c r="AM260" s="48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8">
        <f t="shared" ref="AN260:AN323" si="111">AM260*1.1+AD260+AE260</f>
        <v>0</v>
      </c>
      <c r="AO260" s="47">
        <f t="shared" ref="AO260:AO323" si="112">IFERROR(AM260/AB260,0)</f>
        <v>0</v>
      </c>
      <c r="AP260" s="47" t="e">
        <f t="shared" ref="AP260:AP323" si="113">AN260/AC260</f>
        <v>#DIV/0!</v>
      </c>
    </row>
    <row r="261" spans="2:42">
      <c r="B261" s="37"/>
      <c r="C261" s="61"/>
      <c r="D261" s="61"/>
      <c r="E261" s="38"/>
      <c r="F261" s="39"/>
      <c r="G261" s="39"/>
      <c r="H261" s="39"/>
      <c r="I261" s="40"/>
      <c r="J261" s="41"/>
      <c r="K261" s="41"/>
      <c r="L261" s="41"/>
      <c r="M261" s="42"/>
      <c r="N261" s="42"/>
      <c r="O261" s="43"/>
      <c r="P261" s="44"/>
      <c r="Q261" s="44"/>
      <c r="R261" s="45"/>
      <c r="S261" s="46"/>
      <c r="T261" s="39">
        <f t="shared" si="95"/>
        <v>0</v>
      </c>
      <c r="U261" s="47">
        <f t="shared" si="96"/>
        <v>0</v>
      </c>
      <c r="V261" s="48">
        <f t="shared" si="97"/>
        <v>0</v>
      </c>
      <c r="W261" s="49">
        <f t="shared" si="98"/>
        <v>0</v>
      </c>
      <c r="X261" s="44">
        <f t="shared" si="99"/>
        <v>0</v>
      </c>
      <c r="Y261" s="44">
        <f t="shared" si="100"/>
        <v>0</v>
      </c>
      <c r="Z261" s="44">
        <f t="shared" si="101"/>
        <v>0</v>
      </c>
      <c r="AA261" s="50">
        <f t="shared" si="102"/>
        <v>0</v>
      </c>
      <c r="AB261" s="51">
        <f t="shared" si="103"/>
        <v>0</v>
      </c>
      <c r="AC261" s="44">
        <f t="shared" si="104"/>
        <v>0</v>
      </c>
      <c r="AD261" s="44">
        <f t="shared" si="105"/>
        <v>0</v>
      </c>
      <c r="AE261" s="44">
        <f t="shared" si="106"/>
        <v>0</v>
      </c>
      <c r="AF261" s="52" t="e">
        <f>HLOOKUP(I261,ElecAvoidedCostsWOCC!$A$5:$Q$50,G261+1,FALSE)</f>
        <v>#N/A</v>
      </c>
      <c r="AG261" s="44" t="e">
        <f t="shared" si="107"/>
        <v>#N/A</v>
      </c>
      <c r="AH261" s="52" t="e">
        <f>HLOOKUP(I261,ElecAvoidedCostsWOCC!$A$5:$Q$50,T261+1,FALSE)</f>
        <v>#N/A</v>
      </c>
      <c r="AI261" s="44" t="e">
        <f t="shared" si="108"/>
        <v>#N/A</v>
      </c>
      <c r="AJ261" s="44" t="e">
        <f t="shared" si="109"/>
        <v>#N/A</v>
      </c>
      <c r="AK261" s="44" t="e">
        <f>HLOOKUP(I261,ElecAvoidedCostsWOCC!$A$5:$Q$50,G261+1,FALSE)*J261*L261</f>
        <v>#N/A</v>
      </c>
      <c r="AL261" s="44" t="e">
        <f t="shared" si="110"/>
        <v>#N/A</v>
      </c>
      <c r="AM261" s="48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8">
        <f t="shared" si="111"/>
        <v>0</v>
      </c>
      <c r="AO261" s="47">
        <f t="shared" si="112"/>
        <v>0</v>
      </c>
      <c r="AP261" s="47" t="e">
        <f t="shared" si="113"/>
        <v>#DIV/0!</v>
      </c>
    </row>
    <row r="262" spans="2:42">
      <c r="B262" s="37"/>
      <c r="C262" s="61"/>
      <c r="D262" s="61"/>
      <c r="E262" s="38"/>
      <c r="F262" s="39"/>
      <c r="G262" s="39"/>
      <c r="H262" s="39"/>
      <c r="I262" s="40"/>
      <c r="J262" s="41"/>
      <c r="K262" s="41"/>
      <c r="L262" s="41"/>
      <c r="M262" s="42"/>
      <c r="N262" s="42"/>
      <c r="O262" s="43"/>
      <c r="P262" s="44"/>
      <c r="Q262" s="44"/>
      <c r="R262" s="45"/>
      <c r="S262" s="46"/>
      <c r="T262" s="39">
        <f t="shared" si="95"/>
        <v>0</v>
      </c>
      <c r="U262" s="47">
        <f t="shared" si="96"/>
        <v>0</v>
      </c>
      <c r="V262" s="48">
        <f t="shared" si="97"/>
        <v>0</v>
      </c>
      <c r="W262" s="49">
        <f t="shared" si="98"/>
        <v>0</v>
      </c>
      <c r="X262" s="44">
        <f t="shared" si="99"/>
        <v>0</v>
      </c>
      <c r="Y262" s="44">
        <f t="shared" si="100"/>
        <v>0</v>
      </c>
      <c r="Z262" s="44">
        <f t="shared" si="101"/>
        <v>0</v>
      </c>
      <c r="AA262" s="50">
        <f t="shared" si="102"/>
        <v>0</v>
      </c>
      <c r="AB262" s="51">
        <f t="shared" si="103"/>
        <v>0</v>
      </c>
      <c r="AC262" s="44">
        <f t="shared" si="104"/>
        <v>0</v>
      </c>
      <c r="AD262" s="44">
        <f t="shared" si="105"/>
        <v>0</v>
      </c>
      <c r="AE262" s="44">
        <f t="shared" si="106"/>
        <v>0</v>
      </c>
      <c r="AF262" s="52" t="e">
        <f>HLOOKUP(I262,ElecAvoidedCostsWOCC!$A$5:$Q$50,G262+1,FALSE)</f>
        <v>#N/A</v>
      </c>
      <c r="AG262" s="44" t="e">
        <f t="shared" si="107"/>
        <v>#N/A</v>
      </c>
      <c r="AH262" s="52" t="e">
        <f>HLOOKUP(I262,ElecAvoidedCostsWOCC!$A$5:$Q$50,T262+1,FALSE)</f>
        <v>#N/A</v>
      </c>
      <c r="AI262" s="44" t="e">
        <f t="shared" si="108"/>
        <v>#N/A</v>
      </c>
      <c r="AJ262" s="44" t="e">
        <f t="shared" si="109"/>
        <v>#N/A</v>
      </c>
      <c r="AK262" s="44" t="e">
        <f>HLOOKUP(I262,ElecAvoidedCostsWOCC!$A$5:$Q$50,G262+1,FALSE)*J262*L262</f>
        <v>#N/A</v>
      </c>
      <c r="AL262" s="44" t="e">
        <f t="shared" si="110"/>
        <v>#N/A</v>
      </c>
      <c r="AM262" s="48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8">
        <f t="shared" si="111"/>
        <v>0</v>
      </c>
      <c r="AO262" s="47">
        <f t="shared" si="112"/>
        <v>0</v>
      </c>
      <c r="AP262" s="47" t="e">
        <f t="shared" si="113"/>
        <v>#DIV/0!</v>
      </c>
    </row>
    <row r="263" spans="2:42">
      <c r="B263" s="37"/>
      <c r="C263" s="61"/>
      <c r="D263" s="61"/>
      <c r="E263" s="38"/>
      <c r="F263" s="39"/>
      <c r="G263" s="39"/>
      <c r="H263" s="39"/>
      <c r="I263" s="40"/>
      <c r="J263" s="41"/>
      <c r="K263" s="41"/>
      <c r="L263" s="41"/>
      <c r="M263" s="42"/>
      <c r="N263" s="42"/>
      <c r="O263" s="43"/>
      <c r="P263" s="44"/>
      <c r="Q263" s="44"/>
      <c r="R263" s="45"/>
      <c r="S263" s="46"/>
      <c r="T263" s="39">
        <f t="shared" si="95"/>
        <v>0</v>
      </c>
      <c r="U263" s="47">
        <f t="shared" si="96"/>
        <v>0</v>
      </c>
      <c r="V263" s="48">
        <f t="shared" si="97"/>
        <v>0</v>
      </c>
      <c r="W263" s="49">
        <f t="shared" si="98"/>
        <v>0</v>
      </c>
      <c r="X263" s="44">
        <f t="shared" si="99"/>
        <v>0</v>
      </c>
      <c r="Y263" s="44">
        <f t="shared" si="100"/>
        <v>0</v>
      </c>
      <c r="Z263" s="44">
        <f t="shared" si="101"/>
        <v>0</v>
      </c>
      <c r="AA263" s="50">
        <f t="shared" si="102"/>
        <v>0</v>
      </c>
      <c r="AB263" s="51">
        <f t="shared" si="103"/>
        <v>0</v>
      </c>
      <c r="AC263" s="44">
        <f t="shared" si="104"/>
        <v>0</v>
      </c>
      <c r="AD263" s="44">
        <f t="shared" si="105"/>
        <v>0</v>
      </c>
      <c r="AE263" s="44">
        <f t="shared" si="106"/>
        <v>0</v>
      </c>
      <c r="AF263" s="52" t="e">
        <f>HLOOKUP(I263,ElecAvoidedCostsWOCC!$A$5:$Q$50,G263+1,FALSE)</f>
        <v>#N/A</v>
      </c>
      <c r="AG263" s="44" t="e">
        <f t="shared" si="107"/>
        <v>#N/A</v>
      </c>
      <c r="AH263" s="52" t="e">
        <f>HLOOKUP(I263,ElecAvoidedCostsWOCC!$A$5:$Q$50,T263+1,FALSE)</f>
        <v>#N/A</v>
      </c>
      <c r="AI263" s="44" t="e">
        <f t="shared" si="108"/>
        <v>#N/A</v>
      </c>
      <c r="AJ263" s="44" t="e">
        <f t="shared" si="109"/>
        <v>#N/A</v>
      </c>
      <c r="AK263" s="44" t="e">
        <f>HLOOKUP(I263,ElecAvoidedCostsWOCC!$A$5:$Q$50,G263+1,FALSE)*J263*L263</f>
        <v>#N/A</v>
      </c>
      <c r="AL263" s="44" t="e">
        <f t="shared" si="110"/>
        <v>#N/A</v>
      </c>
      <c r="AM263" s="48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8">
        <f t="shared" si="111"/>
        <v>0</v>
      </c>
      <c r="AO263" s="47">
        <f t="shared" si="112"/>
        <v>0</v>
      </c>
      <c r="AP263" s="47" t="e">
        <f t="shared" si="113"/>
        <v>#DIV/0!</v>
      </c>
    </row>
    <row r="264" spans="2:42">
      <c r="B264" s="37"/>
      <c r="C264" s="61"/>
      <c r="D264" s="61"/>
      <c r="E264" s="38"/>
      <c r="F264" s="39"/>
      <c r="G264" s="39"/>
      <c r="H264" s="39"/>
      <c r="I264" s="40"/>
      <c r="J264" s="41"/>
      <c r="K264" s="41"/>
      <c r="L264" s="41"/>
      <c r="M264" s="42"/>
      <c r="N264" s="42"/>
      <c r="O264" s="43"/>
      <c r="P264" s="44"/>
      <c r="Q264" s="44"/>
      <c r="R264" s="45"/>
      <c r="S264" s="46"/>
      <c r="T264" s="39">
        <f t="shared" si="95"/>
        <v>0</v>
      </c>
      <c r="U264" s="47">
        <f t="shared" si="96"/>
        <v>0</v>
      </c>
      <c r="V264" s="48">
        <f t="shared" si="97"/>
        <v>0</v>
      </c>
      <c r="W264" s="49">
        <f t="shared" si="98"/>
        <v>0</v>
      </c>
      <c r="X264" s="44">
        <f t="shared" si="99"/>
        <v>0</v>
      </c>
      <c r="Y264" s="44">
        <f t="shared" si="100"/>
        <v>0</v>
      </c>
      <c r="Z264" s="44">
        <f t="shared" si="101"/>
        <v>0</v>
      </c>
      <c r="AA264" s="50">
        <f t="shared" si="102"/>
        <v>0</v>
      </c>
      <c r="AB264" s="51">
        <f t="shared" si="103"/>
        <v>0</v>
      </c>
      <c r="AC264" s="44">
        <f t="shared" si="104"/>
        <v>0</v>
      </c>
      <c r="AD264" s="44">
        <f t="shared" si="105"/>
        <v>0</v>
      </c>
      <c r="AE264" s="44">
        <f t="shared" si="106"/>
        <v>0</v>
      </c>
      <c r="AF264" s="52" t="e">
        <f>HLOOKUP(I264,ElecAvoidedCostsWOCC!$A$5:$Q$50,G264+1,FALSE)</f>
        <v>#N/A</v>
      </c>
      <c r="AG264" s="44" t="e">
        <f t="shared" si="107"/>
        <v>#N/A</v>
      </c>
      <c r="AH264" s="52" t="e">
        <f>HLOOKUP(I264,ElecAvoidedCostsWOCC!$A$5:$Q$50,T264+1,FALSE)</f>
        <v>#N/A</v>
      </c>
      <c r="AI264" s="44" t="e">
        <f t="shared" si="108"/>
        <v>#N/A</v>
      </c>
      <c r="AJ264" s="44" t="e">
        <f t="shared" si="109"/>
        <v>#N/A</v>
      </c>
      <c r="AK264" s="44" t="e">
        <f>HLOOKUP(I264,ElecAvoidedCostsWOCC!$A$5:$Q$50,G264+1,FALSE)*J264*L264</f>
        <v>#N/A</v>
      </c>
      <c r="AL264" s="44" t="e">
        <f t="shared" si="110"/>
        <v>#N/A</v>
      </c>
      <c r="AM264" s="48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8">
        <f t="shared" si="111"/>
        <v>0</v>
      </c>
      <c r="AO264" s="47">
        <f t="shared" si="112"/>
        <v>0</v>
      </c>
      <c r="AP264" s="47" t="e">
        <f t="shared" si="113"/>
        <v>#DIV/0!</v>
      </c>
    </row>
    <row r="265" spans="2:42">
      <c r="B265" s="37"/>
      <c r="C265" s="61"/>
      <c r="D265" s="61"/>
      <c r="E265" s="38"/>
      <c r="F265" s="39"/>
      <c r="G265" s="39"/>
      <c r="H265" s="39"/>
      <c r="I265" s="40"/>
      <c r="J265" s="41"/>
      <c r="K265" s="41"/>
      <c r="L265" s="41"/>
      <c r="M265" s="42"/>
      <c r="N265" s="42"/>
      <c r="O265" s="43"/>
      <c r="P265" s="44"/>
      <c r="Q265" s="44"/>
      <c r="R265" s="45"/>
      <c r="S265" s="46"/>
      <c r="T265" s="39">
        <f t="shared" si="95"/>
        <v>0</v>
      </c>
      <c r="U265" s="47">
        <f t="shared" si="96"/>
        <v>0</v>
      </c>
      <c r="V265" s="48">
        <f t="shared" si="97"/>
        <v>0</v>
      </c>
      <c r="W265" s="49">
        <f t="shared" si="98"/>
        <v>0</v>
      </c>
      <c r="X265" s="44">
        <f t="shared" si="99"/>
        <v>0</v>
      </c>
      <c r="Y265" s="44">
        <f t="shared" si="100"/>
        <v>0</v>
      </c>
      <c r="Z265" s="44">
        <f t="shared" si="101"/>
        <v>0</v>
      </c>
      <c r="AA265" s="50">
        <f t="shared" si="102"/>
        <v>0</v>
      </c>
      <c r="AB265" s="51">
        <f t="shared" si="103"/>
        <v>0</v>
      </c>
      <c r="AC265" s="44">
        <f t="shared" si="104"/>
        <v>0</v>
      </c>
      <c r="AD265" s="44">
        <f t="shared" si="105"/>
        <v>0</v>
      </c>
      <c r="AE265" s="44">
        <f t="shared" si="106"/>
        <v>0</v>
      </c>
      <c r="AF265" s="52" t="e">
        <f>HLOOKUP(I265,ElecAvoidedCostsWOCC!$A$5:$Q$50,G265+1,FALSE)</f>
        <v>#N/A</v>
      </c>
      <c r="AG265" s="44" t="e">
        <f t="shared" si="107"/>
        <v>#N/A</v>
      </c>
      <c r="AH265" s="52" t="e">
        <f>HLOOKUP(I265,ElecAvoidedCostsWOCC!$A$5:$Q$50,T265+1,FALSE)</f>
        <v>#N/A</v>
      </c>
      <c r="AI265" s="44" t="e">
        <f t="shared" si="108"/>
        <v>#N/A</v>
      </c>
      <c r="AJ265" s="44" t="e">
        <f t="shared" si="109"/>
        <v>#N/A</v>
      </c>
      <c r="AK265" s="44" t="e">
        <f>HLOOKUP(I265,ElecAvoidedCostsWOCC!$A$5:$Q$50,G265+1,FALSE)*J265*L265</f>
        <v>#N/A</v>
      </c>
      <c r="AL265" s="44" t="e">
        <f t="shared" si="110"/>
        <v>#N/A</v>
      </c>
      <c r="AM265" s="48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8">
        <f t="shared" si="111"/>
        <v>0</v>
      </c>
      <c r="AO265" s="47">
        <f t="shared" si="112"/>
        <v>0</v>
      </c>
      <c r="AP265" s="47" t="e">
        <f t="shared" si="113"/>
        <v>#DIV/0!</v>
      </c>
    </row>
    <row r="266" spans="2:42">
      <c r="B266" s="37"/>
      <c r="C266" s="61"/>
      <c r="D266" s="61"/>
      <c r="E266" s="38"/>
      <c r="F266" s="39"/>
      <c r="G266" s="39"/>
      <c r="H266" s="39"/>
      <c r="I266" s="40"/>
      <c r="J266" s="41"/>
      <c r="K266" s="41"/>
      <c r="L266" s="41"/>
      <c r="M266" s="42"/>
      <c r="N266" s="42"/>
      <c r="O266" s="43"/>
      <c r="P266" s="44"/>
      <c r="Q266" s="44"/>
      <c r="R266" s="45"/>
      <c r="S266" s="46"/>
      <c r="T266" s="39">
        <f t="shared" si="95"/>
        <v>0</v>
      </c>
      <c r="U266" s="47">
        <f t="shared" si="96"/>
        <v>0</v>
      </c>
      <c r="V266" s="48">
        <f t="shared" si="97"/>
        <v>0</v>
      </c>
      <c r="W266" s="49">
        <f t="shared" si="98"/>
        <v>0</v>
      </c>
      <c r="X266" s="44">
        <f t="shared" si="99"/>
        <v>0</v>
      </c>
      <c r="Y266" s="44">
        <f t="shared" si="100"/>
        <v>0</v>
      </c>
      <c r="Z266" s="44">
        <f t="shared" si="101"/>
        <v>0</v>
      </c>
      <c r="AA266" s="50">
        <f t="shared" si="102"/>
        <v>0</v>
      </c>
      <c r="AB266" s="51">
        <f t="shared" si="103"/>
        <v>0</v>
      </c>
      <c r="AC266" s="44">
        <f t="shared" si="104"/>
        <v>0</v>
      </c>
      <c r="AD266" s="44">
        <f t="shared" si="105"/>
        <v>0</v>
      </c>
      <c r="AE266" s="44">
        <f t="shared" si="106"/>
        <v>0</v>
      </c>
      <c r="AF266" s="52" t="e">
        <f>HLOOKUP(I266,ElecAvoidedCostsWOCC!$A$5:$Q$50,G266+1,FALSE)</f>
        <v>#N/A</v>
      </c>
      <c r="AG266" s="44" t="e">
        <f t="shared" si="107"/>
        <v>#N/A</v>
      </c>
      <c r="AH266" s="52" t="e">
        <f>HLOOKUP(I266,ElecAvoidedCostsWOCC!$A$5:$Q$50,T266+1,FALSE)</f>
        <v>#N/A</v>
      </c>
      <c r="AI266" s="44" t="e">
        <f t="shared" si="108"/>
        <v>#N/A</v>
      </c>
      <c r="AJ266" s="44" t="e">
        <f t="shared" si="109"/>
        <v>#N/A</v>
      </c>
      <c r="AK266" s="44" t="e">
        <f>HLOOKUP(I266,ElecAvoidedCostsWOCC!$A$5:$Q$50,G266+1,FALSE)*J266*L266</f>
        <v>#N/A</v>
      </c>
      <c r="AL266" s="44" t="e">
        <f t="shared" si="110"/>
        <v>#N/A</v>
      </c>
      <c r="AM266" s="48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8">
        <f t="shared" si="111"/>
        <v>0</v>
      </c>
      <c r="AO266" s="47">
        <f t="shared" si="112"/>
        <v>0</v>
      </c>
      <c r="AP266" s="47" t="e">
        <f t="shared" si="113"/>
        <v>#DIV/0!</v>
      </c>
    </row>
    <row r="267" spans="2:42">
      <c r="B267" s="37"/>
      <c r="C267" s="61"/>
      <c r="D267" s="61"/>
      <c r="E267" s="38"/>
      <c r="F267" s="39"/>
      <c r="G267" s="39"/>
      <c r="H267" s="39"/>
      <c r="I267" s="40"/>
      <c r="J267" s="41"/>
      <c r="K267" s="41"/>
      <c r="L267" s="41"/>
      <c r="M267" s="42"/>
      <c r="N267" s="42"/>
      <c r="O267" s="43"/>
      <c r="P267" s="44"/>
      <c r="Q267" s="44"/>
      <c r="R267" s="45"/>
      <c r="S267" s="46"/>
      <c r="T267" s="39">
        <f t="shared" si="95"/>
        <v>0</v>
      </c>
      <c r="U267" s="47">
        <f t="shared" si="96"/>
        <v>0</v>
      </c>
      <c r="V267" s="48">
        <f t="shared" si="97"/>
        <v>0</v>
      </c>
      <c r="W267" s="49">
        <f t="shared" si="98"/>
        <v>0</v>
      </c>
      <c r="X267" s="44">
        <f t="shared" si="99"/>
        <v>0</v>
      </c>
      <c r="Y267" s="44">
        <f t="shared" si="100"/>
        <v>0</v>
      </c>
      <c r="Z267" s="44">
        <f t="shared" si="101"/>
        <v>0</v>
      </c>
      <c r="AA267" s="50">
        <f t="shared" si="102"/>
        <v>0</v>
      </c>
      <c r="AB267" s="51">
        <f t="shared" si="103"/>
        <v>0</v>
      </c>
      <c r="AC267" s="44">
        <f t="shared" si="104"/>
        <v>0</v>
      </c>
      <c r="AD267" s="44">
        <f t="shared" si="105"/>
        <v>0</v>
      </c>
      <c r="AE267" s="44">
        <f t="shared" si="106"/>
        <v>0</v>
      </c>
      <c r="AF267" s="52" t="e">
        <f>HLOOKUP(I267,ElecAvoidedCostsWOCC!$A$5:$Q$50,G267+1,FALSE)</f>
        <v>#N/A</v>
      </c>
      <c r="AG267" s="44" t="e">
        <f t="shared" si="107"/>
        <v>#N/A</v>
      </c>
      <c r="AH267" s="52" t="e">
        <f>HLOOKUP(I267,ElecAvoidedCostsWOCC!$A$5:$Q$50,T267+1,FALSE)</f>
        <v>#N/A</v>
      </c>
      <c r="AI267" s="44" t="e">
        <f t="shared" si="108"/>
        <v>#N/A</v>
      </c>
      <c r="AJ267" s="44" t="e">
        <f t="shared" si="109"/>
        <v>#N/A</v>
      </c>
      <c r="AK267" s="44" t="e">
        <f>HLOOKUP(I267,ElecAvoidedCostsWOCC!$A$5:$Q$50,G267+1,FALSE)*J267*L267</f>
        <v>#N/A</v>
      </c>
      <c r="AL267" s="44" t="e">
        <f t="shared" si="110"/>
        <v>#N/A</v>
      </c>
      <c r="AM267" s="48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8">
        <f t="shared" si="111"/>
        <v>0</v>
      </c>
      <c r="AO267" s="47">
        <f t="shared" si="112"/>
        <v>0</v>
      </c>
      <c r="AP267" s="47" t="e">
        <f t="shared" si="113"/>
        <v>#DIV/0!</v>
      </c>
    </row>
    <row r="268" spans="2:42">
      <c r="B268" s="37"/>
      <c r="C268" s="61"/>
      <c r="D268" s="61"/>
      <c r="E268" s="38"/>
      <c r="F268" s="39"/>
      <c r="G268" s="39"/>
      <c r="H268" s="39"/>
      <c r="I268" s="40"/>
      <c r="J268" s="41"/>
      <c r="K268" s="41"/>
      <c r="L268" s="41"/>
      <c r="M268" s="42"/>
      <c r="N268" s="42"/>
      <c r="O268" s="43"/>
      <c r="P268" s="44"/>
      <c r="Q268" s="44"/>
      <c r="R268" s="45"/>
      <c r="S268" s="46"/>
      <c r="T268" s="39">
        <f t="shared" si="95"/>
        <v>0</v>
      </c>
      <c r="U268" s="47">
        <f t="shared" si="96"/>
        <v>0</v>
      </c>
      <c r="V268" s="48">
        <f t="shared" si="97"/>
        <v>0</v>
      </c>
      <c r="W268" s="49">
        <f t="shared" si="98"/>
        <v>0</v>
      </c>
      <c r="X268" s="44">
        <f t="shared" si="99"/>
        <v>0</v>
      </c>
      <c r="Y268" s="44">
        <f t="shared" si="100"/>
        <v>0</v>
      </c>
      <c r="Z268" s="44">
        <f t="shared" si="101"/>
        <v>0</v>
      </c>
      <c r="AA268" s="50">
        <f t="shared" si="102"/>
        <v>0</v>
      </c>
      <c r="AB268" s="51">
        <f t="shared" si="103"/>
        <v>0</v>
      </c>
      <c r="AC268" s="44">
        <f t="shared" si="104"/>
        <v>0</v>
      </c>
      <c r="AD268" s="44">
        <f t="shared" si="105"/>
        <v>0</v>
      </c>
      <c r="AE268" s="44">
        <f t="shared" si="106"/>
        <v>0</v>
      </c>
      <c r="AF268" s="52" t="e">
        <f>HLOOKUP(I268,ElecAvoidedCostsWOCC!$A$5:$Q$50,G268+1,FALSE)</f>
        <v>#N/A</v>
      </c>
      <c r="AG268" s="44" t="e">
        <f t="shared" si="107"/>
        <v>#N/A</v>
      </c>
      <c r="AH268" s="52" t="e">
        <f>HLOOKUP(I268,ElecAvoidedCostsWOCC!$A$5:$Q$50,T268+1,FALSE)</f>
        <v>#N/A</v>
      </c>
      <c r="AI268" s="44" t="e">
        <f t="shared" si="108"/>
        <v>#N/A</v>
      </c>
      <c r="AJ268" s="44" t="e">
        <f t="shared" si="109"/>
        <v>#N/A</v>
      </c>
      <c r="AK268" s="44" t="e">
        <f>HLOOKUP(I268,ElecAvoidedCostsWOCC!$A$5:$Q$50,G268+1,FALSE)*J268*L268</f>
        <v>#N/A</v>
      </c>
      <c r="AL268" s="44" t="e">
        <f t="shared" si="110"/>
        <v>#N/A</v>
      </c>
      <c r="AM268" s="48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8">
        <f t="shared" si="111"/>
        <v>0</v>
      </c>
      <c r="AO268" s="47">
        <f t="shared" si="112"/>
        <v>0</v>
      </c>
      <c r="AP268" s="47" t="e">
        <f t="shared" si="113"/>
        <v>#DIV/0!</v>
      </c>
    </row>
    <row r="269" spans="2:42">
      <c r="B269" s="37"/>
      <c r="C269" s="61"/>
      <c r="D269" s="61"/>
      <c r="E269" s="38"/>
      <c r="F269" s="39"/>
      <c r="G269" s="39"/>
      <c r="H269" s="39"/>
      <c r="I269" s="40"/>
      <c r="J269" s="41"/>
      <c r="K269" s="41"/>
      <c r="L269" s="41"/>
      <c r="M269" s="42"/>
      <c r="N269" s="42"/>
      <c r="O269" s="43"/>
      <c r="P269" s="44"/>
      <c r="Q269" s="44"/>
      <c r="R269" s="45"/>
      <c r="S269" s="46"/>
      <c r="T269" s="39">
        <f t="shared" si="95"/>
        <v>0</v>
      </c>
      <c r="U269" s="47">
        <f t="shared" si="96"/>
        <v>0</v>
      </c>
      <c r="V269" s="48">
        <f t="shared" si="97"/>
        <v>0</v>
      </c>
      <c r="W269" s="49">
        <f t="shared" si="98"/>
        <v>0</v>
      </c>
      <c r="X269" s="44">
        <f t="shared" si="99"/>
        <v>0</v>
      </c>
      <c r="Y269" s="44">
        <f t="shared" si="100"/>
        <v>0</v>
      </c>
      <c r="Z269" s="44">
        <f t="shared" si="101"/>
        <v>0</v>
      </c>
      <c r="AA269" s="50">
        <f t="shared" si="102"/>
        <v>0</v>
      </c>
      <c r="AB269" s="51">
        <f t="shared" si="103"/>
        <v>0</v>
      </c>
      <c r="AC269" s="44">
        <f t="shared" si="104"/>
        <v>0</v>
      </c>
      <c r="AD269" s="44">
        <f t="shared" si="105"/>
        <v>0</v>
      </c>
      <c r="AE269" s="44">
        <f t="shared" si="106"/>
        <v>0</v>
      </c>
      <c r="AF269" s="52" t="e">
        <f>HLOOKUP(I269,ElecAvoidedCostsWOCC!$A$5:$Q$50,G269+1,FALSE)</f>
        <v>#N/A</v>
      </c>
      <c r="AG269" s="44" t="e">
        <f t="shared" si="107"/>
        <v>#N/A</v>
      </c>
      <c r="AH269" s="52" t="e">
        <f>HLOOKUP(I269,ElecAvoidedCostsWOCC!$A$5:$Q$50,T269+1,FALSE)</f>
        <v>#N/A</v>
      </c>
      <c r="AI269" s="44" t="e">
        <f t="shared" si="108"/>
        <v>#N/A</v>
      </c>
      <c r="AJ269" s="44" t="e">
        <f t="shared" si="109"/>
        <v>#N/A</v>
      </c>
      <c r="AK269" s="44" t="e">
        <f>HLOOKUP(I269,ElecAvoidedCostsWOCC!$A$5:$Q$50,G269+1,FALSE)*J269*L269</f>
        <v>#N/A</v>
      </c>
      <c r="AL269" s="44" t="e">
        <f t="shared" si="110"/>
        <v>#N/A</v>
      </c>
      <c r="AM269" s="48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8">
        <f t="shared" si="111"/>
        <v>0</v>
      </c>
      <c r="AO269" s="47">
        <f t="shared" si="112"/>
        <v>0</v>
      </c>
      <c r="AP269" s="47" t="e">
        <f t="shared" si="113"/>
        <v>#DIV/0!</v>
      </c>
    </row>
    <row r="270" spans="2:42">
      <c r="B270" s="37"/>
      <c r="C270" s="61"/>
      <c r="D270" s="61"/>
      <c r="E270" s="38"/>
      <c r="F270" s="39"/>
      <c r="G270" s="39"/>
      <c r="H270" s="39"/>
      <c r="I270" s="40"/>
      <c r="J270" s="41"/>
      <c r="K270" s="41"/>
      <c r="L270" s="41"/>
      <c r="M270" s="42"/>
      <c r="N270" s="42"/>
      <c r="O270" s="43"/>
      <c r="P270" s="44"/>
      <c r="Q270" s="44"/>
      <c r="R270" s="45"/>
      <c r="S270" s="46"/>
      <c r="T270" s="39">
        <f t="shared" si="95"/>
        <v>0</v>
      </c>
      <c r="U270" s="47">
        <f t="shared" si="96"/>
        <v>0</v>
      </c>
      <c r="V270" s="48">
        <f t="shared" si="97"/>
        <v>0</v>
      </c>
      <c r="W270" s="49">
        <f t="shared" si="98"/>
        <v>0</v>
      </c>
      <c r="X270" s="44">
        <f t="shared" si="99"/>
        <v>0</v>
      </c>
      <c r="Y270" s="44">
        <f t="shared" si="100"/>
        <v>0</v>
      </c>
      <c r="Z270" s="44">
        <f t="shared" si="101"/>
        <v>0</v>
      </c>
      <c r="AA270" s="50">
        <f t="shared" si="102"/>
        <v>0</v>
      </c>
      <c r="AB270" s="51">
        <f t="shared" si="103"/>
        <v>0</v>
      </c>
      <c r="AC270" s="44">
        <f t="shared" si="104"/>
        <v>0</v>
      </c>
      <c r="AD270" s="44">
        <f t="shared" si="105"/>
        <v>0</v>
      </c>
      <c r="AE270" s="44">
        <f t="shared" si="106"/>
        <v>0</v>
      </c>
      <c r="AF270" s="52" t="e">
        <f>HLOOKUP(I270,ElecAvoidedCostsWOCC!$A$5:$Q$50,G270+1,FALSE)</f>
        <v>#N/A</v>
      </c>
      <c r="AG270" s="44" t="e">
        <f t="shared" si="107"/>
        <v>#N/A</v>
      </c>
      <c r="AH270" s="52" t="e">
        <f>HLOOKUP(I270,ElecAvoidedCostsWOCC!$A$5:$Q$50,T270+1,FALSE)</f>
        <v>#N/A</v>
      </c>
      <c r="AI270" s="44" t="e">
        <f t="shared" si="108"/>
        <v>#N/A</v>
      </c>
      <c r="AJ270" s="44" t="e">
        <f t="shared" si="109"/>
        <v>#N/A</v>
      </c>
      <c r="AK270" s="44" t="e">
        <f>HLOOKUP(I270,ElecAvoidedCostsWOCC!$A$5:$Q$50,G270+1,FALSE)*J270*L270</f>
        <v>#N/A</v>
      </c>
      <c r="AL270" s="44" t="e">
        <f t="shared" si="110"/>
        <v>#N/A</v>
      </c>
      <c r="AM270" s="48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8">
        <f t="shared" si="111"/>
        <v>0</v>
      </c>
      <c r="AO270" s="47">
        <f t="shared" si="112"/>
        <v>0</v>
      </c>
      <c r="AP270" s="47" t="e">
        <f t="shared" si="113"/>
        <v>#DIV/0!</v>
      </c>
    </row>
    <row r="271" spans="2:42">
      <c r="B271" s="37"/>
      <c r="C271" s="61"/>
      <c r="D271" s="61"/>
      <c r="E271" s="38"/>
      <c r="F271" s="39"/>
      <c r="G271" s="39"/>
      <c r="H271" s="39"/>
      <c r="I271" s="40"/>
      <c r="J271" s="41"/>
      <c r="K271" s="41"/>
      <c r="L271" s="41"/>
      <c r="M271" s="42"/>
      <c r="N271" s="42"/>
      <c r="O271" s="43"/>
      <c r="P271" s="44"/>
      <c r="Q271" s="44"/>
      <c r="R271" s="45"/>
      <c r="S271" s="46"/>
      <c r="T271" s="39">
        <f t="shared" si="95"/>
        <v>0</v>
      </c>
      <c r="U271" s="47">
        <f t="shared" si="96"/>
        <v>0</v>
      </c>
      <c r="V271" s="48">
        <f t="shared" si="97"/>
        <v>0</v>
      </c>
      <c r="W271" s="49">
        <f t="shared" si="98"/>
        <v>0</v>
      </c>
      <c r="X271" s="44">
        <f t="shared" si="99"/>
        <v>0</v>
      </c>
      <c r="Y271" s="44">
        <f t="shared" si="100"/>
        <v>0</v>
      </c>
      <c r="Z271" s="44">
        <f t="shared" si="101"/>
        <v>0</v>
      </c>
      <c r="AA271" s="50">
        <f t="shared" si="102"/>
        <v>0</v>
      </c>
      <c r="AB271" s="51">
        <f t="shared" si="103"/>
        <v>0</v>
      </c>
      <c r="AC271" s="44">
        <f t="shared" si="104"/>
        <v>0</v>
      </c>
      <c r="AD271" s="44">
        <f t="shared" si="105"/>
        <v>0</v>
      </c>
      <c r="AE271" s="44">
        <f t="shared" si="106"/>
        <v>0</v>
      </c>
      <c r="AF271" s="52" t="e">
        <f>HLOOKUP(I271,ElecAvoidedCostsWOCC!$A$5:$Q$50,G271+1,FALSE)</f>
        <v>#N/A</v>
      </c>
      <c r="AG271" s="44" t="e">
        <f t="shared" si="107"/>
        <v>#N/A</v>
      </c>
      <c r="AH271" s="52" t="e">
        <f>HLOOKUP(I271,ElecAvoidedCostsWOCC!$A$5:$Q$50,T271+1,FALSE)</f>
        <v>#N/A</v>
      </c>
      <c r="AI271" s="44" t="e">
        <f t="shared" si="108"/>
        <v>#N/A</v>
      </c>
      <c r="AJ271" s="44" t="e">
        <f t="shared" si="109"/>
        <v>#N/A</v>
      </c>
      <c r="AK271" s="44" t="e">
        <f>HLOOKUP(I271,ElecAvoidedCostsWOCC!$A$5:$Q$50,G271+1,FALSE)*J271*L271</f>
        <v>#N/A</v>
      </c>
      <c r="AL271" s="44" t="e">
        <f t="shared" si="110"/>
        <v>#N/A</v>
      </c>
      <c r="AM271" s="48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8">
        <f t="shared" si="111"/>
        <v>0</v>
      </c>
      <c r="AO271" s="47">
        <f t="shared" si="112"/>
        <v>0</v>
      </c>
      <c r="AP271" s="47" t="e">
        <f t="shared" si="113"/>
        <v>#DIV/0!</v>
      </c>
    </row>
    <row r="272" spans="2:42">
      <c r="B272" s="37"/>
      <c r="C272" s="61"/>
      <c r="D272" s="61"/>
      <c r="E272" s="38"/>
      <c r="F272" s="39"/>
      <c r="G272" s="39"/>
      <c r="H272" s="39"/>
      <c r="I272" s="40"/>
      <c r="J272" s="41"/>
      <c r="K272" s="41"/>
      <c r="L272" s="41"/>
      <c r="M272" s="42"/>
      <c r="N272" s="42"/>
      <c r="O272" s="43"/>
      <c r="P272" s="44"/>
      <c r="Q272" s="44"/>
      <c r="R272" s="45"/>
      <c r="S272" s="46"/>
      <c r="T272" s="39">
        <f t="shared" si="95"/>
        <v>0</v>
      </c>
      <c r="U272" s="47">
        <f t="shared" si="96"/>
        <v>0</v>
      </c>
      <c r="V272" s="48">
        <f t="shared" si="97"/>
        <v>0</v>
      </c>
      <c r="W272" s="49">
        <f t="shared" si="98"/>
        <v>0</v>
      </c>
      <c r="X272" s="44">
        <f t="shared" si="99"/>
        <v>0</v>
      </c>
      <c r="Y272" s="44">
        <f t="shared" si="100"/>
        <v>0</v>
      </c>
      <c r="Z272" s="44">
        <f t="shared" si="101"/>
        <v>0</v>
      </c>
      <c r="AA272" s="50">
        <f t="shared" si="102"/>
        <v>0</v>
      </c>
      <c r="AB272" s="51">
        <f t="shared" si="103"/>
        <v>0</v>
      </c>
      <c r="AC272" s="44">
        <f t="shared" si="104"/>
        <v>0</v>
      </c>
      <c r="AD272" s="44">
        <f t="shared" si="105"/>
        <v>0</v>
      </c>
      <c r="AE272" s="44">
        <f t="shared" si="106"/>
        <v>0</v>
      </c>
      <c r="AF272" s="52" t="e">
        <f>HLOOKUP(I272,ElecAvoidedCostsWOCC!$A$5:$Q$50,G272+1,FALSE)</f>
        <v>#N/A</v>
      </c>
      <c r="AG272" s="44" t="e">
        <f t="shared" si="107"/>
        <v>#N/A</v>
      </c>
      <c r="AH272" s="52" t="e">
        <f>HLOOKUP(I272,ElecAvoidedCostsWOCC!$A$5:$Q$50,T272+1,FALSE)</f>
        <v>#N/A</v>
      </c>
      <c r="AI272" s="44" t="e">
        <f t="shared" si="108"/>
        <v>#N/A</v>
      </c>
      <c r="AJ272" s="44" t="e">
        <f t="shared" si="109"/>
        <v>#N/A</v>
      </c>
      <c r="AK272" s="44" t="e">
        <f>HLOOKUP(I272,ElecAvoidedCostsWOCC!$A$5:$Q$50,G272+1,FALSE)*J272*L272</f>
        <v>#N/A</v>
      </c>
      <c r="AL272" s="44" t="e">
        <f t="shared" si="110"/>
        <v>#N/A</v>
      </c>
      <c r="AM272" s="48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8">
        <f t="shared" si="111"/>
        <v>0</v>
      </c>
      <c r="AO272" s="47">
        <f t="shared" si="112"/>
        <v>0</v>
      </c>
      <c r="AP272" s="47" t="e">
        <f t="shared" si="113"/>
        <v>#DIV/0!</v>
      </c>
    </row>
    <row r="273" spans="2:42">
      <c r="B273" s="37"/>
      <c r="C273" s="61"/>
      <c r="D273" s="61"/>
      <c r="E273" s="38"/>
      <c r="F273" s="39"/>
      <c r="G273" s="39"/>
      <c r="H273" s="39"/>
      <c r="I273" s="40"/>
      <c r="J273" s="41"/>
      <c r="K273" s="41"/>
      <c r="L273" s="41"/>
      <c r="M273" s="42"/>
      <c r="N273" s="42"/>
      <c r="O273" s="43"/>
      <c r="P273" s="44"/>
      <c r="Q273" s="44"/>
      <c r="R273" s="45"/>
      <c r="S273" s="46"/>
      <c r="T273" s="39">
        <f t="shared" si="95"/>
        <v>0</v>
      </c>
      <c r="U273" s="47">
        <f t="shared" si="96"/>
        <v>0</v>
      </c>
      <c r="V273" s="48">
        <f t="shared" si="97"/>
        <v>0</v>
      </c>
      <c r="W273" s="49">
        <f t="shared" si="98"/>
        <v>0</v>
      </c>
      <c r="X273" s="44">
        <f t="shared" si="99"/>
        <v>0</v>
      </c>
      <c r="Y273" s="44">
        <f t="shared" si="100"/>
        <v>0</v>
      </c>
      <c r="Z273" s="44">
        <f t="shared" si="101"/>
        <v>0</v>
      </c>
      <c r="AA273" s="50">
        <f t="shared" si="102"/>
        <v>0</v>
      </c>
      <c r="AB273" s="51">
        <f t="shared" si="103"/>
        <v>0</v>
      </c>
      <c r="AC273" s="44">
        <f t="shared" si="104"/>
        <v>0</v>
      </c>
      <c r="AD273" s="44">
        <f t="shared" si="105"/>
        <v>0</v>
      </c>
      <c r="AE273" s="44">
        <f t="shared" si="106"/>
        <v>0</v>
      </c>
      <c r="AF273" s="52" t="e">
        <f>HLOOKUP(I273,ElecAvoidedCostsWOCC!$A$5:$Q$50,G273+1,FALSE)</f>
        <v>#N/A</v>
      </c>
      <c r="AG273" s="44" t="e">
        <f t="shared" si="107"/>
        <v>#N/A</v>
      </c>
      <c r="AH273" s="52" t="e">
        <f>HLOOKUP(I273,ElecAvoidedCostsWOCC!$A$5:$Q$50,T273+1,FALSE)</f>
        <v>#N/A</v>
      </c>
      <c r="AI273" s="44" t="e">
        <f t="shared" si="108"/>
        <v>#N/A</v>
      </c>
      <c r="AJ273" s="44" t="e">
        <f t="shared" si="109"/>
        <v>#N/A</v>
      </c>
      <c r="AK273" s="44" t="e">
        <f>HLOOKUP(I273,ElecAvoidedCostsWOCC!$A$5:$Q$50,G273+1,FALSE)*J273*L273</f>
        <v>#N/A</v>
      </c>
      <c r="AL273" s="44" t="e">
        <f t="shared" si="110"/>
        <v>#N/A</v>
      </c>
      <c r="AM273" s="48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8">
        <f t="shared" si="111"/>
        <v>0</v>
      </c>
      <c r="AO273" s="47">
        <f t="shared" si="112"/>
        <v>0</v>
      </c>
      <c r="AP273" s="47" t="e">
        <f t="shared" si="113"/>
        <v>#DIV/0!</v>
      </c>
    </row>
    <row r="274" spans="2:42">
      <c r="B274" s="37"/>
      <c r="C274" s="61"/>
      <c r="D274" s="61"/>
      <c r="E274" s="38"/>
      <c r="F274" s="39"/>
      <c r="G274" s="39"/>
      <c r="H274" s="39"/>
      <c r="I274" s="40"/>
      <c r="J274" s="41"/>
      <c r="K274" s="41"/>
      <c r="L274" s="41"/>
      <c r="M274" s="42"/>
      <c r="N274" s="42"/>
      <c r="O274" s="43"/>
      <c r="P274" s="44"/>
      <c r="Q274" s="44"/>
      <c r="R274" s="45"/>
      <c r="S274" s="46"/>
      <c r="T274" s="39">
        <f t="shared" si="95"/>
        <v>0</v>
      </c>
      <c r="U274" s="47">
        <f t="shared" si="96"/>
        <v>0</v>
      </c>
      <c r="V274" s="48">
        <f t="shared" si="97"/>
        <v>0</v>
      </c>
      <c r="W274" s="49">
        <f t="shared" si="98"/>
        <v>0</v>
      </c>
      <c r="X274" s="44">
        <f t="shared" si="99"/>
        <v>0</v>
      </c>
      <c r="Y274" s="44">
        <f t="shared" si="100"/>
        <v>0</v>
      </c>
      <c r="Z274" s="44">
        <f t="shared" si="101"/>
        <v>0</v>
      </c>
      <c r="AA274" s="50">
        <f t="shared" si="102"/>
        <v>0</v>
      </c>
      <c r="AB274" s="51">
        <f t="shared" si="103"/>
        <v>0</v>
      </c>
      <c r="AC274" s="44">
        <f t="shared" si="104"/>
        <v>0</v>
      </c>
      <c r="AD274" s="44">
        <f t="shared" si="105"/>
        <v>0</v>
      </c>
      <c r="AE274" s="44">
        <f t="shared" si="106"/>
        <v>0</v>
      </c>
      <c r="AF274" s="52" t="e">
        <f>HLOOKUP(I274,ElecAvoidedCostsWOCC!$A$5:$Q$50,G274+1,FALSE)</f>
        <v>#N/A</v>
      </c>
      <c r="AG274" s="44" t="e">
        <f t="shared" si="107"/>
        <v>#N/A</v>
      </c>
      <c r="AH274" s="52" t="e">
        <f>HLOOKUP(I274,ElecAvoidedCostsWOCC!$A$5:$Q$50,T274+1,FALSE)</f>
        <v>#N/A</v>
      </c>
      <c r="AI274" s="44" t="e">
        <f t="shared" si="108"/>
        <v>#N/A</v>
      </c>
      <c r="AJ274" s="44" t="e">
        <f t="shared" si="109"/>
        <v>#N/A</v>
      </c>
      <c r="AK274" s="44" t="e">
        <f>HLOOKUP(I274,ElecAvoidedCostsWOCC!$A$5:$Q$50,G274+1,FALSE)*J274*L274</f>
        <v>#N/A</v>
      </c>
      <c r="AL274" s="44" t="e">
        <f t="shared" si="110"/>
        <v>#N/A</v>
      </c>
      <c r="AM274" s="48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8">
        <f t="shared" si="111"/>
        <v>0</v>
      </c>
      <c r="AO274" s="47">
        <f t="shared" si="112"/>
        <v>0</v>
      </c>
      <c r="AP274" s="47" t="e">
        <f t="shared" si="113"/>
        <v>#DIV/0!</v>
      </c>
    </row>
    <row r="275" spans="2:42">
      <c r="B275" s="37"/>
      <c r="C275" s="61"/>
      <c r="D275" s="61"/>
      <c r="E275" s="38"/>
      <c r="F275" s="39"/>
      <c r="G275" s="39"/>
      <c r="H275" s="39"/>
      <c r="I275" s="40"/>
      <c r="J275" s="41"/>
      <c r="K275" s="41"/>
      <c r="L275" s="41"/>
      <c r="M275" s="42"/>
      <c r="N275" s="42"/>
      <c r="O275" s="43"/>
      <c r="P275" s="44"/>
      <c r="Q275" s="44"/>
      <c r="R275" s="45"/>
      <c r="S275" s="46"/>
      <c r="T275" s="39">
        <f t="shared" si="95"/>
        <v>0</v>
      </c>
      <c r="U275" s="47">
        <f t="shared" si="96"/>
        <v>0</v>
      </c>
      <c r="V275" s="48">
        <f t="shared" si="97"/>
        <v>0</v>
      </c>
      <c r="W275" s="49">
        <f t="shared" si="98"/>
        <v>0</v>
      </c>
      <c r="X275" s="44">
        <f t="shared" si="99"/>
        <v>0</v>
      </c>
      <c r="Y275" s="44">
        <f t="shared" si="100"/>
        <v>0</v>
      </c>
      <c r="Z275" s="44">
        <f t="shared" si="101"/>
        <v>0</v>
      </c>
      <c r="AA275" s="50">
        <f t="shared" si="102"/>
        <v>0</v>
      </c>
      <c r="AB275" s="51">
        <f t="shared" si="103"/>
        <v>0</v>
      </c>
      <c r="AC275" s="44">
        <f t="shared" si="104"/>
        <v>0</v>
      </c>
      <c r="AD275" s="44">
        <f t="shared" si="105"/>
        <v>0</v>
      </c>
      <c r="AE275" s="44">
        <f t="shared" si="106"/>
        <v>0</v>
      </c>
      <c r="AF275" s="52" t="e">
        <f>HLOOKUP(I275,ElecAvoidedCostsWOCC!$A$5:$Q$50,G275+1,FALSE)</f>
        <v>#N/A</v>
      </c>
      <c r="AG275" s="44" t="e">
        <f t="shared" si="107"/>
        <v>#N/A</v>
      </c>
      <c r="AH275" s="52" t="e">
        <f>HLOOKUP(I275,ElecAvoidedCostsWOCC!$A$5:$Q$50,T275+1,FALSE)</f>
        <v>#N/A</v>
      </c>
      <c r="AI275" s="44" t="e">
        <f t="shared" si="108"/>
        <v>#N/A</v>
      </c>
      <c r="AJ275" s="44" t="e">
        <f t="shared" si="109"/>
        <v>#N/A</v>
      </c>
      <c r="AK275" s="44" t="e">
        <f>HLOOKUP(I275,ElecAvoidedCostsWOCC!$A$5:$Q$50,G275+1,FALSE)*J275*L275</f>
        <v>#N/A</v>
      </c>
      <c r="AL275" s="44" t="e">
        <f t="shared" si="110"/>
        <v>#N/A</v>
      </c>
      <c r="AM275" s="48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8">
        <f t="shared" si="111"/>
        <v>0</v>
      </c>
      <c r="AO275" s="47">
        <f t="shared" si="112"/>
        <v>0</v>
      </c>
      <c r="AP275" s="47" t="e">
        <f t="shared" si="113"/>
        <v>#DIV/0!</v>
      </c>
    </row>
    <row r="276" spans="2:42">
      <c r="B276" s="37"/>
      <c r="C276" s="61"/>
      <c r="D276" s="61"/>
      <c r="E276" s="38"/>
      <c r="F276" s="39"/>
      <c r="G276" s="39"/>
      <c r="H276" s="39"/>
      <c r="I276" s="40"/>
      <c r="J276" s="41"/>
      <c r="K276" s="41"/>
      <c r="L276" s="41"/>
      <c r="M276" s="42"/>
      <c r="N276" s="42"/>
      <c r="O276" s="43"/>
      <c r="P276" s="44"/>
      <c r="Q276" s="44"/>
      <c r="R276" s="45"/>
      <c r="S276" s="46"/>
      <c r="T276" s="39">
        <f t="shared" si="95"/>
        <v>0</v>
      </c>
      <c r="U276" s="47">
        <f t="shared" si="96"/>
        <v>0</v>
      </c>
      <c r="V276" s="48">
        <f t="shared" si="97"/>
        <v>0</v>
      </c>
      <c r="W276" s="49">
        <f t="shared" si="98"/>
        <v>0</v>
      </c>
      <c r="X276" s="44">
        <f t="shared" si="99"/>
        <v>0</v>
      </c>
      <c r="Y276" s="44">
        <f t="shared" si="100"/>
        <v>0</v>
      </c>
      <c r="Z276" s="44">
        <f t="shared" si="101"/>
        <v>0</v>
      </c>
      <c r="AA276" s="50">
        <f t="shared" si="102"/>
        <v>0</v>
      </c>
      <c r="AB276" s="51">
        <f t="shared" si="103"/>
        <v>0</v>
      </c>
      <c r="AC276" s="44">
        <f t="shared" si="104"/>
        <v>0</v>
      </c>
      <c r="AD276" s="44">
        <f t="shared" si="105"/>
        <v>0</v>
      </c>
      <c r="AE276" s="44">
        <f t="shared" si="106"/>
        <v>0</v>
      </c>
      <c r="AF276" s="52" t="e">
        <f>HLOOKUP(I276,ElecAvoidedCostsWOCC!$A$5:$Q$50,G276+1,FALSE)</f>
        <v>#N/A</v>
      </c>
      <c r="AG276" s="44" t="e">
        <f t="shared" si="107"/>
        <v>#N/A</v>
      </c>
      <c r="AH276" s="52" t="e">
        <f>HLOOKUP(I276,ElecAvoidedCostsWOCC!$A$5:$Q$50,T276+1,FALSE)</f>
        <v>#N/A</v>
      </c>
      <c r="AI276" s="44" t="e">
        <f t="shared" si="108"/>
        <v>#N/A</v>
      </c>
      <c r="AJ276" s="44" t="e">
        <f t="shared" si="109"/>
        <v>#N/A</v>
      </c>
      <c r="AK276" s="44" t="e">
        <f>HLOOKUP(I276,ElecAvoidedCostsWOCC!$A$5:$Q$50,G276+1,FALSE)*J276*L276</f>
        <v>#N/A</v>
      </c>
      <c r="AL276" s="44" t="e">
        <f t="shared" si="110"/>
        <v>#N/A</v>
      </c>
      <c r="AM276" s="48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8">
        <f t="shared" si="111"/>
        <v>0</v>
      </c>
      <c r="AO276" s="47">
        <f t="shared" si="112"/>
        <v>0</v>
      </c>
      <c r="AP276" s="47" t="e">
        <f t="shared" si="113"/>
        <v>#DIV/0!</v>
      </c>
    </row>
    <row r="277" spans="2:42">
      <c r="B277" s="37"/>
      <c r="C277" s="61"/>
      <c r="D277" s="61"/>
      <c r="E277" s="38"/>
      <c r="F277" s="39"/>
      <c r="G277" s="39"/>
      <c r="H277" s="39"/>
      <c r="I277" s="40"/>
      <c r="J277" s="41"/>
      <c r="K277" s="41"/>
      <c r="L277" s="41"/>
      <c r="M277" s="42"/>
      <c r="N277" s="42"/>
      <c r="O277" s="43"/>
      <c r="P277" s="44"/>
      <c r="Q277" s="44"/>
      <c r="R277" s="45"/>
      <c r="S277" s="46"/>
      <c r="T277" s="39">
        <f t="shared" si="95"/>
        <v>0</v>
      </c>
      <c r="U277" s="47">
        <f t="shared" si="96"/>
        <v>0</v>
      </c>
      <c r="V277" s="48">
        <f t="shared" si="97"/>
        <v>0</v>
      </c>
      <c r="W277" s="49">
        <f t="shared" si="98"/>
        <v>0</v>
      </c>
      <c r="X277" s="44">
        <f t="shared" si="99"/>
        <v>0</v>
      </c>
      <c r="Y277" s="44">
        <f t="shared" si="100"/>
        <v>0</v>
      </c>
      <c r="Z277" s="44">
        <f t="shared" si="101"/>
        <v>0</v>
      </c>
      <c r="AA277" s="50">
        <f t="shared" si="102"/>
        <v>0</v>
      </c>
      <c r="AB277" s="51">
        <f t="shared" si="103"/>
        <v>0</v>
      </c>
      <c r="AC277" s="44">
        <f t="shared" si="104"/>
        <v>0</v>
      </c>
      <c r="AD277" s="44">
        <f t="shared" si="105"/>
        <v>0</v>
      </c>
      <c r="AE277" s="44">
        <f t="shared" si="106"/>
        <v>0</v>
      </c>
      <c r="AF277" s="52" t="e">
        <f>HLOOKUP(I277,ElecAvoidedCostsWOCC!$A$5:$Q$50,G277+1,FALSE)</f>
        <v>#N/A</v>
      </c>
      <c r="AG277" s="44" t="e">
        <f t="shared" si="107"/>
        <v>#N/A</v>
      </c>
      <c r="AH277" s="52" t="e">
        <f>HLOOKUP(I277,ElecAvoidedCostsWOCC!$A$5:$Q$50,T277+1,FALSE)</f>
        <v>#N/A</v>
      </c>
      <c r="AI277" s="44" t="e">
        <f t="shared" si="108"/>
        <v>#N/A</v>
      </c>
      <c r="AJ277" s="44" t="e">
        <f t="shared" si="109"/>
        <v>#N/A</v>
      </c>
      <c r="AK277" s="44" t="e">
        <f>HLOOKUP(I277,ElecAvoidedCostsWOCC!$A$5:$Q$50,G277+1,FALSE)*J277*L277</f>
        <v>#N/A</v>
      </c>
      <c r="AL277" s="44" t="e">
        <f t="shared" si="110"/>
        <v>#N/A</v>
      </c>
      <c r="AM277" s="48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8">
        <f t="shared" si="111"/>
        <v>0</v>
      </c>
      <c r="AO277" s="47">
        <f t="shared" si="112"/>
        <v>0</v>
      </c>
      <c r="AP277" s="47" t="e">
        <f t="shared" si="113"/>
        <v>#DIV/0!</v>
      </c>
    </row>
    <row r="278" spans="2:42">
      <c r="B278" s="37"/>
      <c r="C278" s="61"/>
      <c r="D278" s="61"/>
      <c r="E278" s="38"/>
      <c r="F278" s="39"/>
      <c r="G278" s="39"/>
      <c r="H278" s="39"/>
      <c r="I278" s="40"/>
      <c r="J278" s="41"/>
      <c r="K278" s="41"/>
      <c r="L278" s="41"/>
      <c r="M278" s="42"/>
      <c r="N278" s="42"/>
      <c r="O278" s="43"/>
      <c r="P278" s="44"/>
      <c r="Q278" s="44"/>
      <c r="R278" s="45"/>
      <c r="S278" s="46"/>
      <c r="T278" s="39">
        <f t="shared" si="95"/>
        <v>0</v>
      </c>
      <c r="U278" s="47">
        <f t="shared" si="96"/>
        <v>0</v>
      </c>
      <c r="V278" s="48">
        <f t="shared" si="97"/>
        <v>0</v>
      </c>
      <c r="W278" s="49">
        <f t="shared" si="98"/>
        <v>0</v>
      </c>
      <c r="X278" s="44">
        <f t="shared" si="99"/>
        <v>0</v>
      </c>
      <c r="Y278" s="44">
        <f t="shared" si="100"/>
        <v>0</v>
      </c>
      <c r="Z278" s="44">
        <f t="shared" si="101"/>
        <v>0</v>
      </c>
      <c r="AA278" s="50">
        <f t="shared" si="102"/>
        <v>0</v>
      </c>
      <c r="AB278" s="51">
        <f t="shared" si="103"/>
        <v>0</v>
      </c>
      <c r="AC278" s="44">
        <f t="shared" si="104"/>
        <v>0</v>
      </c>
      <c r="AD278" s="44">
        <f t="shared" si="105"/>
        <v>0</v>
      </c>
      <c r="AE278" s="44">
        <f t="shared" si="106"/>
        <v>0</v>
      </c>
      <c r="AF278" s="52" t="e">
        <f>HLOOKUP(I278,ElecAvoidedCostsWOCC!$A$5:$Q$50,G278+1,FALSE)</f>
        <v>#N/A</v>
      </c>
      <c r="AG278" s="44" t="e">
        <f t="shared" si="107"/>
        <v>#N/A</v>
      </c>
      <c r="AH278" s="52" t="e">
        <f>HLOOKUP(I278,ElecAvoidedCostsWOCC!$A$5:$Q$50,T278+1,FALSE)</f>
        <v>#N/A</v>
      </c>
      <c r="AI278" s="44" t="e">
        <f t="shared" si="108"/>
        <v>#N/A</v>
      </c>
      <c r="AJ278" s="44" t="e">
        <f t="shared" si="109"/>
        <v>#N/A</v>
      </c>
      <c r="AK278" s="44" t="e">
        <f>HLOOKUP(I278,ElecAvoidedCostsWOCC!$A$5:$Q$50,G278+1,FALSE)*J278*L278</f>
        <v>#N/A</v>
      </c>
      <c r="AL278" s="44" t="e">
        <f t="shared" si="110"/>
        <v>#N/A</v>
      </c>
      <c r="AM278" s="48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8">
        <f t="shared" si="111"/>
        <v>0</v>
      </c>
      <c r="AO278" s="47">
        <f t="shared" si="112"/>
        <v>0</v>
      </c>
      <c r="AP278" s="47" t="e">
        <f t="shared" si="113"/>
        <v>#DIV/0!</v>
      </c>
    </row>
    <row r="279" spans="2:42">
      <c r="B279" s="37"/>
      <c r="C279" s="61"/>
      <c r="D279" s="61"/>
      <c r="E279" s="38"/>
      <c r="F279" s="39"/>
      <c r="G279" s="39"/>
      <c r="H279" s="39"/>
      <c r="I279" s="40"/>
      <c r="J279" s="41"/>
      <c r="K279" s="41"/>
      <c r="L279" s="41"/>
      <c r="M279" s="42"/>
      <c r="N279" s="42"/>
      <c r="O279" s="43"/>
      <c r="P279" s="44"/>
      <c r="Q279" s="44"/>
      <c r="R279" s="45"/>
      <c r="S279" s="46"/>
      <c r="T279" s="39">
        <f t="shared" si="95"/>
        <v>0</v>
      </c>
      <c r="U279" s="47">
        <f t="shared" si="96"/>
        <v>0</v>
      </c>
      <c r="V279" s="48">
        <f t="shared" si="97"/>
        <v>0</v>
      </c>
      <c r="W279" s="49">
        <f t="shared" si="98"/>
        <v>0</v>
      </c>
      <c r="X279" s="44">
        <f t="shared" si="99"/>
        <v>0</v>
      </c>
      <c r="Y279" s="44">
        <f t="shared" si="100"/>
        <v>0</v>
      </c>
      <c r="Z279" s="44">
        <f t="shared" si="101"/>
        <v>0</v>
      </c>
      <c r="AA279" s="50">
        <f t="shared" si="102"/>
        <v>0</v>
      </c>
      <c r="AB279" s="51">
        <f t="shared" si="103"/>
        <v>0</v>
      </c>
      <c r="AC279" s="44">
        <f t="shared" si="104"/>
        <v>0</v>
      </c>
      <c r="AD279" s="44">
        <f t="shared" si="105"/>
        <v>0</v>
      </c>
      <c r="AE279" s="44">
        <f t="shared" si="106"/>
        <v>0</v>
      </c>
      <c r="AF279" s="52" t="e">
        <f>HLOOKUP(I279,ElecAvoidedCostsWOCC!$A$5:$Q$50,G279+1,FALSE)</f>
        <v>#N/A</v>
      </c>
      <c r="AG279" s="44" t="e">
        <f t="shared" si="107"/>
        <v>#N/A</v>
      </c>
      <c r="AH279" s="52" t="e">
        <f>HLOOKUP(I279,ElecAvoidedCostsWOCC!$A$5:$Q$50,T279+1,FALSE)</f>
        <v>#N/A</v>
      </c>
      <c r="AI279" s="44" t="e">
        <f t="shared" si="108"/>
        <v>#N/A</v>
      </c>
      <c r="AJ279" s="44" t="e">
        <f t="shared" si="109"/>
        <v>#N/A</v>
      </c>
      <c r="AK279" s="44" t="e">
        <f>HLOOKUP(I279,ElecAvoidedCostsWOCC!$A$5:$Q$50,G279+1,FALSE)*J279*L279</f>
        <v>#N/A</v>
      </c>
      <c r="AL279" s="44" t="e">
        <f t="shared" si="110"/>
        <v>#N/A</v>
      </c>
      <c r="AM279" s="48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8">
        <f t="shared" si="111"/>
        <v>0</v>
      </c>
      <c r="AO279" s="47">
        <f t="shared" si="112"/>
        <v>0</v>
      </c>
      <c r="AP279" s="47" t="e">
        <f t="shared" si="113"/>
        <v>#DIV/0!</v>
      </c>
    </row>
    <row r="280" spans="2:42">
      <c r="B280" s="37"/>
      <c r="C280" s="61"/>
      <c r="D280" s="61"/>
      <c r="E280" s="38"/>
      <c r="F280" s="39"/>
      <c r="G280" s="39"/>
      <c r="H280" s="39"/>
      <c r="I280" s="40"/>
      <c r="J280" s="41"/>
      <c r="K280" s="41"/>
      <c r="L280" s="41"/>
      <c r="M280" s="42"/>
      <c r="N280" s="42"/>
      <c r="O280" s="43"/>
      <c r="P280" s="44"/>
      <c r="Q280" s="44"/>
      <c r="R280" s="45"/>
      <c r="S280" s="46"/>
      <c r="T280" s="39">
        <f t="shared" si="95"/>
        <v>0</v>
      </c>
      <c r="U280" s="47">
        <f t="shared" si="96"/>
        <v>0</v>
      </c>
      <c r="V280" s="48">
        <f t="shared" si="97"/>
        <v>0</v>
      </c>
      <c r="W280" s="49">
        <f t="shared" si="98"/>
        <v>0</v>
      </c>
      <c r="X280" s="44">
        <f t="shared" si="99"/>
        <v>0</v>
      </c>
      <c r="Y280" s="44">
        <f t="shared" si="100"/>
        <v>0</v>
      </c>
      <c r="Z280" s="44">
        <f t="shared" si="101"/>
        <v>0</v>
      </c>
      <c r="AA280" s="50">
        <f t="shared" si="102"/>
        <v>0</v>
      </c>
      <c r="AB280" s="51">
        <f t="shared" si="103"/>
        <v>0</v>
      </c>
      <c r="AC280" s="44">
        <f t="shared" si="104"/>
        <v>0</v>
      </c>
      <c r="AD280" s="44">
        <f t="shared" si="105"/>
        <v>0</v>
      </c>
      <c r="AE280" s="44">
        <f t="shared" si="106"/>
        <v>0</v>
      </c>
      <c r="AF280" s="52" t="e">
        <f>HLOOKUP(I280,ElecAvoidedCostsWOCC!$A$5:$Q$50,G280+1,FALSE)</f>
        <v>#N/A</v>
      </c>
      <c r="AG280" s="44" t="e">
        <f t="shared" si="107"/>
        <v>#N/A</v>
      </c>
      <c r="AH280" s="52" t="e">
        <f>HLOOKUP(I280,ElecAvoidedCostsWOCC!$A$5:$Q$50,T280+1,FALSE)</f>
        <v>#N/A</v>
      </c>
      <c r="AI280" s="44" t="e">
        <f t="shared" si="108"/>
        <v>#N/A</v>
      </c>
      <c r="AJ280" s="44" t="e">
        <f t="shared" si="109"/>
        <v>#N/A</v>
      </c>
      <c r="AK280" s="44" t="e">
        <f>HLOOKUP(I280,ElecAvoidedCostsWOCC!$A$5:$Q$50,G280+1,FALSE)*J280*L280</f>
        <v>#N/A</v>
      </c>
      <c r="AL280" s="44" t="e">
        <f t="shared" si="110"/>
        <v>#N/A</v>
      </c>
      <c r="AM280" s="48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8">
        <f t="shared" si="111"/>
        <v>0</v>
      </c>
      <c r="AO280" s="47">
        <f t="shared" si="112"/>
        <v>0</v>
      </c>
      <c r="AP280" s="47" t="e">
        <f t="shared" si="113"/>
        <v>#DIV/0!</v>
      </c>
    </row>
    <row r="281" spans="2:42">
      <c r="B281" s="37"/>
      <c r="C281" s="61"/>
      <c r="D281" s="61"/>
      <c r="E281" s="38"/>
      <c r="F281" s="39"/>
      <c r="G281" s="39"/>
      <c r="H281" s="39"/>
      <c r="I281" s="40"/>
      <c r="J281" s="41"/>
      <c r="K281" s="41"/>
      <c r="L281" s="41"/>
      <c r="M281" s="42"/>
      <c r="N281" s="42"/>
      <c r="O281" s="43"/>
      <c r="P281" s="44"/>
      <c r="Q281" s="44"/>
      <c r="R281" s="45"/>
      <c r="S281" s="46"/>
      <c r="T281" s="39">
        <f t="shared" si="95"/>
        <v>0</v>
      </c>
      <c r="U281" s="47">
        <f t="shared" si="96"/>
        <v>0</v>
      </c>
      <c r="V281" s="48">
        <f t="shared" si="97"/>
        <v>0</v>
      </c>
      <c r="W281" s="49">
        <f t="shared" si="98"/>
        <v>0</v>
      </c>
      <c r="X281" s="44">
        <f t="shared" si="99"/>
        <v>0</v>
      </c>
      <c r="Y281" s="44">
        <f t="shared" si="100"/>
        <v>0</v>
      </c>
      <c r="Z281" s="44">
        <f t="shared" si="101"/>
        <v>0</v>
      </c>
      <c r="AA281" s="50">
        <f t="shared" si="102"/>
        <v>0</v>
      </c>
      <c r="AB281" s="51">
        <f t="shared" si="103"/>
        <v>0</v>
      </c>
      <c r="AC281" s="44">
        <f t="shared" si="104"/>
        <v>0</v>
      </c>
      <c r="AD281" s="44">
        <f t="shared" si="105"/>
        <v>0</v>
      </c>
      <c r="AE281" s="44">
        <f t="shared" si="106"/>
        <v>0</v>
      </c>
      <c r="AF281" s="52" t="e">
        <f>HLOOKUP(I281,ElecAvoidedCostsWOCC!$A$5:$Q$50,G281+1,FALSE)</f>
        <v>#N/A</v>
      </c>
      <c r="AG281" s="44" t="e">
        <f t="shared" si="107"/>
        <v>#N/A</v>
      </c>
      <c r="AH281" s="52" t="e">
        <f>HLOOKUP(I281,ElecAvoidedCostsWOCC!$A$5:$Q$50,T281+1,FALSE)</f>
        <v>#N/A</v>
      </c>
      <c r="AI281" s="44" t="e">
        <f t="shared" si="108"/>
        <v>#N/A</v>
      </c>
      <c r="AJ281" s="44" t="e">
        <f t="shared" si="109"/>
        <v>#N/A</v>
      </c>
      <c r="AK281" s="44" t="e">
        <f>HLOOKUP(I281,ElecAvoidedCostsWOCC!$A$5:$Q$50,G281+1,FALSE)*J281*L281</f>
        <v>#N/A</v>
      </c>
      <c r="AL281" s="44" t="e">
        <f t="shared" si="110"/>
        <v>#N/A</v>
      </c>
      <c r="AM281" s="48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8">
        <f t="shared" si="111"/>
        <v>0</v>
      </c>
      <c r="AO281" s="47">
        <f t="shared" si="112"/>
        <v>0</v>
      </c>
      <c r="AP281" s="47" t="e">
        <f t="shared" si="113"/>
        <v>#DIV/0!</v>
      </c>
    </row>
    <row r="282" spans="2:42">
      <c r="B282" s="37"/>
      <c r="C282" s="61"/>
      <c r="D282" s="61"/>
      <c r="E282" s="38"/>
      <c r="F282" s="39"/>
      <c r="G282" s="39"/>
      <c r="H282" s="39"/>
      <c r="I282" s="40"/>
      <c r="J282" s="41"/>
      <c r="K282" s="41"/>
      <c r="L282" s="41"/>
      <c r="M282" s="42"/>
      <c r="N282" s="42"/>
      <c r="O282" s="43"/>
      <c r="P282" s="44"/>
      <c r="Q282" s="44"/>
      <c r="R282" s="45"/>
      <c r="S282" s="46"/>
      <c r="T282" s="39">
        <f t="shared" si="95"/>
        <v>0</v>
      </c>
      <c r="U282" s="47">
        <f t="shared" si="96"/>
        <v>0</v>
      </c>
      <c r="V282" s="48">
        <f t="shared" si="97"/>
        <v>0</v>
      </c>
      <c r="W282" s="49">
        <f t="shared" si="98"/>
        <v>0</v>
      </c>
      <c r="X282" s="44">
        <f t="shared" si="99"/>
        <v>0</v>
      </c>
      <c r="Y282" s="44">
        <f t="shared" si="100"/>
        <v>0</v>
      </c>
      <c r="Z282" s="44">
        <f t="shared" si="101"/>
        <v>0</v>
      </c>
      <c r="AA282" s="50">
        <f t="shared" si="102"/>
        <v>0</v>
      </c>
      <c r="AB282" s="51">
        <f t="shared" si="103"/>
        <v>0</v>
      </c>
      <c r="AC282" s="44">
        <f t="shared" si="104"/>
        <v>0</v>
      </c>
      <c r="AD282" s="44">
        <f t="shared" si="105"/>
        <v>0</v>
      </c>
      <c r="AE282" s="44">
        <f t="shared" si="106"/>
        <v>0</v>
      </c>
      <c r="AF282" s="52" t="e">
        <f>HLOOKUP(I282,ElecAvoidedCostsWOCC!$A$5:$Q$50,G282+1,FALSE)</f>
        <v>#N/A</v>
      </c>
      <c r="AG282" s="44" t="e">
        <f t="shared" si="107"/>
        <v>#N/A</v>
      </c>
      <c r="AH282" s="52" t="e">
        <f>HLOOKUP(I282,ElecAvoidedCostsWOCC!$A$5:$Q$50,T282+1,FALSE)</f>
        <v>#N/A</v>
      </c>
      <c r="AI282" s="44" t="e">
        <f t="shared" si="108"/>
        <v>#N/A</v>
      </c>
      <c r="AJ282" s="44" t="e">
        <f t="shared" si="109"/>
        <v>#N/A</v>
      </c>
      <c r="AK282" s="44" t="e">
        <f>HLOOKUP(I282,ElecAvoidedCostsWOCC!$A$5:$Q$50,G282+1,FALSE)*J282*L282</f>
        <v>#N/A</v>
      </c>
      <c r="AL282" s="44" t="e">
        <f t="shared" si="110"/>
        <v>#N/A</v>
      </c>
      <c r="AM282" s="48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8">
        <f t="shared" si="111"/>
        <v>0</v>
      </c>
      <c r="AO282" s="47">
        <f t="shared" si="112"/>
        <v>0</v>
      </c>
      <c r="AP282" s="47" t="e">
        <f t="shared" si="113"/>
        <v>#DIV/0!</v>
      </c>
    </row>
    <row r="283" spans="2:42">
      <c r="B283" s="37"/>
      <c r="C283" s="61"/>
      <c r="D283" s="61"/>
      <c r="E283" s="38"/>
      <c r="F283" s="39"/>
      <c r="G283" s="39"/>
      <c r="H283" s="39"/>
      <c r="I283" s="40"/>
      <c r="J283" s="41"/>
      <c r="K283" s="41"/>
      <c r="L283" s="41"/>
      <c r="M283" s="42"/>
      <c r="N283" s="42"/>
      <c r="O283" s="43"/>
      <c r="P283" s="44"/>
      <c r="Q283" s="44"/>
      <c r="R283" s="45"/>
      <c r="S283" s="46"/>
      <c r="T283" s="39">
        <f t="shared" si="95"/>
        <v>0</v>
      </c>
      <c r="U283" s="47">
        <f t="shared" si="96"/>
        <v>0</v>
      </c>
      <c r="V283" s="48">
        <f t="shared" si="97"/>
        <v>0</v>
      </c>
      <c r="W283" s="49">
        <f t="shared" si="98"/>
        <v>0</v>
      </c>
      <c r="X283" s="44">
        <f t="shared" si="99"/>
        <v>0</v>
      </c>
      <c r="Y283" s="44">
        <f t="shared" si="100"/>
        <v>0</v>
      </c>
      <c r="Z283" s="44">
        <f t="shared" si="101"/>
        <v>0</v>
      </c>
      <c r="AA283" s="50">
        <f t="shared" si="102"/>
        <v>0</v>
      </c>
      <c r="AB283" s="51">
        <f t="shared" si="103"/>
        <v>0</v>
      </c>
      <c r="AC283" s="44">
        <f t="shared" si="104"/>
        <v>0</v>
      </c>
      <c r="AD283" s="44">
        <f t="shared" si="105"/>
        <v>0</v>
      </c>
      <c r="AE283" s="44">
        <f t="shared" si="106"/>
        <v>0</v>
      </c>
      <c r="AF283" s="52" t="e">
        <f>HLOOKUP(I283,ElecAvoidedCostsWOCC!$A$5:$Q$50,G283+1,FALSE)</f>
        <v>#N/A</v>
      </c>
      <c r="AG283" s="44" t="e">
        <f t="shared" si="107"/>
        <v>#N/A</v>
      </c>
      <c r="AH283" s="52" t="e">
        <f>HLOOKUP(I283,ElecAvoidedCostsWOCC!$A$5:$Q$50,T283+1,FALSE)</f>
        <v>#N/A</v>
      </c>
      <c r="AI283" s="44" t="e">
        <f t="shared" si="108"/>
        <v>#N/A</v>
      </c>
      <c r="AJ283" s="44" t="e">
        <f t="shared" si="109"/>
        <v>#N/A</v>
      </c>
      <c r="AK283" s="44" t="e">
        <f>HLOOKUP(I283,ElecAvoidedCostsWOCC!$A$5:$Q$50,G283+1,FALSE)*J283*L283</f>
        <v>#N/A</v>
      </c>
      <c r="AL283" s="44" t="e">
        <f t="shared" si="110"/>
        <v>#N/A</v>
      </c>
      <c r="AM283" s="48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8">
        <f t="shared" si="111"/>
        <v>0</v>
      </c>
      <c r="AO283" s="47">
        <f t="shared" si="112"/>
        <v>0</v>
      </c>
      <c r="AP283" s="47" t="e">
        <f t="shared" si="113"/>
        <v>#DIV/0!</v>
      </c>
    </row>
    <row r="284" spans="2:42">
      <c r="B284" s="37"/>
      <c r="C284" s="61"/>
      <c r="D284" s="61"/>
      <c r="E284" s="38"/>
      <c r="F284" s="39"/>
      <c r="G284" s="39"/>
      <c r="H284" s="39"/>
      <c r="I284" s="40"/>
      <c r="J284" s="41"/>
      <c r="K284" s="41"/>
      <c r="L284" s="41"/>
      <c r="M284" s="42"/>
      <c r="N284" s="42"/>
      <c r="O284" s="43"/>
      <c r="P284" s="44"/>
      <c r="Q284" s="44"/>
      <c r="R284" s="45"/>
      <c r="S284" s="46"/>
      <c r="T284" s="39">
        <f t="shared" si="95"/>
        <v>0</v>
      </c>
      <c r="U284" s="47">
        <f t="shared" si="96"/>
        <v>0</v>
      </c>
      <c r="V284" s="48">
        <f t="shared" si="97"/>
        <v>0</v>
      </c>
      <c r="W284" s="49">
        <f t="shared" si="98"/>
        <v>0</v>
      </c>
      <c r="X284" s="44">
        <f t="shared" si="99"/>
        <v>0</v>
      </c>
      <c r="Y284" s="44">
        <f t="shared" si="100"/>
        <v>0</v>
      </c>
      <c r="Z284" s="44">
        <f t="shared" si="101"/>
        <v>0</v>
      </c>
      <c r="AA284" s="50">
        <f t="shared" si="102"/>
        <v>0</v>
      </c>
      <c r="AB284" s="51">
        <f t="shared" si="103"/>
        <v>0</v>
      </c>
      <c r="AC284" s="44">
        <f t="shared" si="104"/>
        <v>0</v>
      </c>
      <c r="AD284" s="44">
        <f t="shared" si="105"/>
        <v>0</v>
      </c>
      <c r="AE284" s="44">
        <f t="shared" si="106"/>
        <v>0</v>
      </c>
      <c r="AF284" s="52" t="e">
        <f>HLOOKUP(I284,ElecAvoidedCostsWOCC!$A$5:$Q$50,G284+1,FALSE)</f>
        <v>#N/A</v>
      </c>
      <c r="AG284" s="44" t="e">
        <f t="shared" si="107"/>
        <v>#N/A</v>
      </c>
      <c r="AH284" s="52" t="e">
        <f>HLOOKUP(I284,ElecAvoidedCostsWOCC!$A$5:$Q$50,T284+1,FALSE)</f>
        <v>#N/A</v>
      </c>
      <c r="AI284" s="44" t="e">
        <f t="shared" si="108"/>
        <v>#N/A</v>
      </c>
      <c r="AJ284" s="44" t="e">
        <f t="shared" si="109"/>
        <v>#N/A</v>
      </c>
      <c r="AK284" s="44" t="e">
        <f>HLOOKUP(I284,ElecAvoidedCostsWOCC!$A$5:$Q$50,G284+1,FALSE)*J284*L284</f>
        <v>#N/A</v>
      </c>
      <c r="AL284" s="44" t="e">
        <f t="shared" si="110"/>
        <v>#N/A</v>
      </c>
      <c r="AM284" s="48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8">
        <f t="shared" si="111"/>
        <v>0</v>
      </c>
      <c r="AO284" s="47">
        <f t="shared" si="112"/>
        <v>0</v>
      </c>
      <c r="AP284" s="47" t="e">
        <f t="shared" si="113"/>
        <v>#DIV/0!</v>
      </c>
    </row>
    <row r="285" spans="2:42">
      <c r="B285" s="37"/>
      <c r="C285" s="61"/>
      <c r="D285" s="61"/>
      <c r="E285" s="38"/>
      <c r="F285" s="39"/>
      <c r="G285" s="39"/>
      <c r="H285" s="39"/>
      <c r="I285" s="40"/>
      <c r="J285" s="41"/>
      <c r="K285" s="41"/>
      <c r="L285" s="41"/>
      <c r="M285" s="42"/>
      <c r="N285" s="42"/>
      <c r="O285" s="43"/>
      <c r="P285" s="44"/>
      <c r="Q285" s="44"/>
      <c r="R285" s="45"/>
      <c r="S285" s="46"/>
      <c r="T285" s="39">
        <f t="shared" si="95"/>
        <v>0</v>
      </c>
      <c r="U285" s="47">
        <f t="shared" si="96"/>
        <v>0</v>
      </c>
      <c r="V285" s="48">
        <f t="shared" si="97"/>
        <v>0</v>
      </c>
      <c r="W285" s="49">
        <f t="shared" si="98"/>
        <v>0</v>
      </c>
      <c r="X285" s="44">
        <f t="shared" si="99"/>
        <v>0</v>
      </c>
      <c r="Y285" s="44">
        <f t="shared" si="100"/>
        <v>0</v>
      </c>
      <c r="Z285" s="44">
        <f t="shared" si="101"/>
        <v>0</v>
      </c>
      <c r="AA285" s="50">
        <f t="shared" si="102"/>
        <v>0</v>
      </c>
      <c r="AB285" s="51">
        <f t="shared" si="103"/>
        <v>0</v>
      </c>
      <c r="AC285" s="44">
        <f t="shared" si="104"/>
        <v>0</v>
      </c>
      <c r="AD285" s="44">
        <f t="shared" si="105"/>
        <v>0</v>
      </c>
      <c r="AE285" s="44">
        <f t="shared" si="106"/>
        <v>0</v>
      </c>
      <c r="AF285" s="52" t="e">
        <f>HLOOKUP(I285,ElecAvoidedCostsWOCC!$A$5:$Q$50,G285+1,FALSE)</f>
        <v>#N/A</v>
      </c>
      <c r="AG285" s="44" t="e">
        <f t="shared" si="107"/>
        <v>#N/A</v>
      </c>
      <c r="AH285" s="52" t="e">
        <f>HLOOKUP(I285,ElecAvoidedCostsWOCC!$A$5:$Q$50,T285+1,FALSE)</f>
        <v>#N/A</v>
      </c>
      <c r="AI285" s="44" t="e">
        <f t="shared" si="108"/>
        <v>#N/A</v>
      </c>
      <c r="AJ285" s="44" t="e">
        <f t="shared" si="109"/>
        <v>#N/A</v>
      </c>
      <c r="AK285" s="44" t="e">
        <f>HLOOKUP(I285,ElecAvoidedCostsWOCC!$A$5:$Q$50,G285+1,FALSE)*J285*L285</f>
        <v>#N/A</v>
      </c>
      <c r="AL285" s="44" t="e">
        <f t="shared" si="110"/>
        <v>#N/A</v>
      </c>
      <c r="AM285" s="48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8">
        <f t="shared" si="111"/>
        <v>0</v>
      </c>
      <c r="AO285" s="47">
        <f t="shared" si="112"/>
        <v>0</v>
      </c>
      <c r="AP285" s="47" t="e">
        <f t="shared" si="113"/>
        <v>#DIV/0!</v>
      </c>
    </row>
    <row r="286" spans="2:42">
      <c r="B286" s="37"/>
      <c r="C286" s="61"/>
      <c r="D286" s="61"/>
      <c r="E286" s="38"/>
      <c r="F286" s="39"/>
      <c r="G286" s="39"/>
      <c r="H286" s="39"/>
      <c r="I286" s="40"/>
      <c r="J286" s="41"/>
      <c r="K286" s="41"/>
      <c r="L286" s="41"/>
      <c r="M286" s="42"/>
      <c r="N286" s="42"/>
      <c r="O286" s="43"/>
      <c r="P286" s="44"/>
      <c r="Q286" s="44"/>
      <c r="R286" s="45"/>
      <c r="S286" s="46"/>
      <c r="T286" s="39">
        <f t="shared" si="95"/>
        <v>0</v>
      </c>
      <c r="U286" s="47">
        <f t="shared" si="96"/>
        <v>0</v>
      </c>
      <c r="V286" s="48">
        <f t="shared" si="97"/>
        <v>0</v>
      </c>
      <c r="W286" s="49">
        <f t="shared" si="98"/>
        <v>0</v>
      </c>
      <c r="X286" s="44">
        <f t="shared" si="99"/>
        <v>0</v>
      </c>
      <c r="Y286" s="44">
        <f t="shared" si="100"/>
        <v>0</v>
      </c>
      <c r="Z286" s="44">
        <f t="shared" si="101"/>
        <v>0</v>
      </c>
      <c r="AA286" s="50">
        <f t="shared" si="102"/>
        <v>0</v>
      </c>
      <c r="AB286" s="51">
        <f t="shared" si="103"/>
        <v>0</v>
      </c>
      <c r="AC286" s="44">
        <f t="shared" si="104"/>
        <v>0</v>
      </c>
      <c r="AD286" s="44">
        <f t="shared" si="105"/>
        <v>0</v>
      </c>
      <c r="AE286" s="44">
        <f t="shared" si="106"/>
        <v>0</v>
      </c>
      <c r="AF286" s="52" t="e">
        <f>HLOOKUP(I286,ElecAvoidedCostsWOCC!$A$5:$Q$50,G286+1,FALSE)</f>
        <v>#N/A</v>
      </c>
      <c r="AG286" s="44" t="e">
        <f t="shared" si="107"/>
        <v>#N/A</v>
      </c>
      <c r="AH286" s="52" t="e">
        <f>HLOOKUP(I286,ElecAvoidedCostsWOCC!$A$5:$Q$50,T286+1,FALSE)</f>
        <v>#N/A</v>
      </c>
      <c r="AI286" s="44" t="e">
        <f t="shared" si="108"/>
        <v>#N/A</v>
      </c>
      <c r="AJ286" s="44" t="e">
        <f t="shared" si="109"/>
        <v>#N/A</v>
      </c>
      <c r="AK286" s="44" t="e">
        <f>HLOOKUP(I286,ElecAvoidedCostsWOCC!$A$5:$Q$50,G286+1,FALSE)*J286*L286</f>
        <v>#N/A</v>
      </c>
      <c r="AL286" s="44" t="e">
        <f t="shared" si="110"/>
        <v>#N/A</v>
      </c>
      <c r="AM286" s="48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8">
        <f t="shared" si="111"/>
        <v>0</v>
      </c>
      <c r="AO286" s="47">
        <f t="shared" si="112"/>
        <v>0</v>
      </c>
      <c r="AP286" s="47" t="e">
        <f t="shared" si="113"/>
        <v>#DIV/0!</v>
      </c>
    </row>
    <row r="287" spans="2:42">
      <c r="B287" s="37"/>
      <c r="C287" s="61"/>
      <c r="D287" s="61"/>
      <c r="E287" s="38"/>
      <c r="F287" s="39"/>
      <c r="G287" s="39"/>
      <c r="H287" s="39"/>
      <c r="I287" s="40"/>
      <c r="J287" s="41"/>
      <c r="K287" s="41"/>
      <c r="L287" s="41"/>
      <c r="M287" s="42"/>
      <c r="N287" s="42"/>
      <c r="O287" s="43"/>
      <c r="P287" s="44"/>
      <c r="Q287" s="44"/>
      <c r="R287" s="45"/>
      <c r="S287" s="46"/>
      <c r="T287" s="39">
        <f t="shared" si="95"/>
        <v>0</v>
      </c>
      <c r="U287" s="47">
        <f t="shared" si="96"/>
        <v>0</v>
      </c>
      <c r="V287" s="48">
        <f t="shared" si="97"/>
        <v>0</v>
      </c>
      <c r="W287" s="49">
        <f t="shared" si="98"/>
        <v>0</v>
      </c>
      <c r="X287" s="44">
        <f t="shared" si="99"/>
        <v>0</v>
      </c>
      <c r="Y287" s="44">
        <f t="shared" si="100"/>
        <v>0</v>
      </c>
      <c r="Z287" s="44">
        <f t="shared" si="101"/>
        <v>0</v>
      </c>
      <c r="AA287" s="50">
        <f t="shared" si="102"/>
        <v>0</v>
      </c>
      <c r="AB287" s="51">
        <f t="shared" si="103"/>
        <v>0</v>
      </c>
      <c r="AC287" s="44">
        <f t="shared" si="104"/>
        <v>0</v>
      </c>
      <c r="AD287" s="44">
        <f t="shared" si="105"/>
        <v>0</v>
      </c>
      <c r="AE287" s="44">
        <f t="shared" si="106"/>
        <v>0</v>
      </c>
      <c r="AF287" s="52" t="e">
        <f>HLOOKUP(I287,ElecAvoidedCostsWOCC!$A$5:$Q$50,G287+1,FALSE)</f>
        <v>#N/A</v>
      </c>
      <c r="AG287" s="44" t="e">
        <f t="shared" si="107"/>
        <v>#N/A</v>
      </c>
      <c r="AH287" s="52" t="e">
        <f>HLOOKUP(I287,ElecAvoidedCostsWOCC!$A$5:$Q$50,T287+1,FALSE)</f>
        <v>#N/A</v>
      </c>
      <c r="AI287" s="44" t="e">
        <f t="shared" si="108"/>
        <v>#N/A</v>
      </c>
      <c r="AJ287" s="44" t="e">
        <f t="shared" si="109"/>
        <v>#N/A</v>
      </c>
      <c r="AK287" s="44" t="e">
        <f>HLOOKUP(I287,ElecAvoidedCostsWOCC!$A$5:$Q$50,G287+1,FALSE)*J287*L287</f>
        <v>#N/A</v>
      </c>
      <c r="AL287" s="44" t="e">
        <f t="shared" si="110"/>
        <v>#N/A</v>
      </c>
      <c r="AM287" s="48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8">
        <f t="shared" si="111"/>
        <v>0</v>
      </c>
      <c r="AO287" s="47">
        <f t="shared" si="112"/>
        <v>0</v>
      </c>
      <c r="AP287" s="47" t="e">
        <f t="shared" si="113"/>
        <v>#DIV/0!</v>
      </c>
    </row>
    <row r="288" spans="2:42">
      <c r="B288" s="37"/>
      <c r="C288" s="61"/>
      <c r="D288" s="61"/>
      <c r="E288" s="38"/>
      <c r="F288" s="39"/>
      <c r="G288" s="39"/>
      <c r="H288" s="39"/>
      <c r="I288" s="40"/>
      <c r="J288" s="41"/>
      <c r="K288" s="41"/>
      <c r="L288" s="41"/>
      <c r="M288" s="42"/>
      <c r="N288" s="42"/>
      <c r="O288" s="43"/>
      <c r="P288" s="44"/>
      <c r="Q288" s="44"/>
      <c r="R288" s="45"/>
      <c r="S288" s="46"/>
      <c r="T288" s="39">
        <f t="shared" si="95"/>
        <v>0</v>
      </c>
      <c r="U288" s="47">
        <f t="shared" si="96"/>
        <v>0</v>
      </c>
      <c r="V288" s="48">
        <f t="shared" si="97"/>
        <v>0</v>
      </c>
      <c r="W288" s="49">
        <f t="shared" si="98"/>
        <v>0</v>
      </c>
      <c r="X288" s="44">
        <f t="shared" si="99"/>
        <v>0</v>
      </c>
      <c r="Y288" s="44">
        <f t="shared" si="100"/>
        <v>0</v>
      </c>
      <c r="Z288" s="44">
        <f t="shared" si="101"/>
        <v>0</v>
      </c>
      <c r="AA288" s="50">
        <f t="shared" si="102"/>
        <v>0</v>
      </c>
      <c r="AB288" s="51">
        <f t="shared" si="103"/>
        <v>0</v>
      </c>
      <c r="AC288" s="44">
        <f t="shared" si="104"/>
        <v>0</v>
      </c>
      <c r="AD288" s="44">
        <f t="shared" si="105"/>
        <v>0</v>
      </c>
      <c r="AE288" s="44">
        <f t="shared" si="106"/>
        <v>0</v>
      </c>
      <c r="AF288" s="52" t="e">
        <f>HLOOKUP(I288,ElecAvoidedCostsWOCC!$A$5:$Q$50,G288+1,FALSE)</f>
        <v>#N/A</v>
      </c>
      <c r="AG288" s="44" t="e">
        <f t="shared" si="107"/>
        <v>#N/A</v>
      </c>
      <c r="AH288" s="52" t="e">
        <f>HLOOKUP(I288,ElecAvoidedCostsWOCC!$A$5:$Q$50,T288+1,FALSE)</f>
        <v>#N/A</v>
      </c>
      <c r="AI288" s="44" t="e">
        <f t="shared" si="108"/>
        <v>#N/A</v>
      </c>
      <c r="AJ288" s="44" t="e">
        <f t="shared" si="109"/>
        <v>#N/A</v>
      </c>
      <c r="AK288" s="44" t="e">
        <f>HLOOKUP(I288,ElecAvoidedCostsWOCC!$A$5:$Q$50,G288+1,FALSE)*J288*L288</f>
        <v>#N/A</v>
      </c>
      <c r="AL288" s="44" t="e">
        <f t="shared" si="110"/>
        <v>#N/A</v>
      </c>
      <c r="AM288" s="48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8">
        <f t="shared" si="111"/>
        <v>0</v>
      </c>
      <c r="AO288" s="47">
        <f t="shared" si="112"/>
        <v>0</v>
      </c>
      <c r="AP288" s="47" t="e">
        <f t="shared" si="113"/>
        <v>#DIV/0!</v>
      </c>
    </row>
    <row r="289" spans="2:42">
      <c r="B289" s="37"/>
      <c r="C289" s="61"/>
      <c r="D289" s="61"/>
      <c r="E289" s="38"/>
      <c r="F289" s="39"/>
      <c r="G289" s="39"/>
      <c r="H289" s="39"/>
      <c r="I289" s="40"/>
      <c r="J289" s="41"/>
      <c r="K289" s="41"/>
      <c r="L289" s="41"/>
      <c r="M289" s="42"/>
      <c r="N289" s="42"/>
      <c r="O289" s="43"/>
      <c r="P289" s="44"/>
      <c r="Q289" s="44"/>
      <c r="R289" s="45"/>
      <c r="S289" s="46"/>
      <c r="T289" s="39">
        <f t="shared" si="95"/>
        <v>0</v>
      </c>
      <c r="U289" s="47">
        <f t="shared" si="96"/>
        <v>0</v>
      </c>
      <c r="V289" s="48">
        <f t="shared" si="97"/>
        <v>0</v>
      </c>
      <c r="W289" s="49">
        <f t="shared" si="98"/>
        <v>0</v>
      </c>
      <c r="X289" s="44">
        <f t="shared" si="99"/>
        <v>0</v>
      </c>
      <c r="Y289" s="44">
        <f t="shared" si="100"/>
        <v>0</v>
      </c>
      <c r="Z289" s="44">
        <f t="shared" si="101"/>
        <v>0</v>
      </c>
      <c r="AA289" s="50">
        <f t="shared" si="102"/>
        <v>0</v>
      </c>
      <c r="AB289" s="51">
        <f t="shared" si="103"/>
        <v>0</v>
      </c>
      <c r="AC289" s="44">
        <f t="shared" si="104"/>
        <v>0</v>
      </c>
      <c r="AD289" s="44">
        <f t="shared" si="105"/>
        <v>0</v>
      </c>
      <c r="AE289" s="44">
        <f t="shared" si="106"/>
        <v>0</v>
      </c>
      <c r="AF289" s="52" t="e">
        <f>HLOOKUP(I289,ElecAvoidedCostsWOCC!$A$5:$Q$50,G289+1,FALSE)</f>
        <v>#N/A</v>
      </c>
      <c r="AG289" s="44" t="e">
        <f t="shared" si="107"/>
        <v>#N/A</v>
      </c>
      <c r="AH289" s="52" t="e">
        <f>HLOOKUP(I289,ElecAvoidedCostsWOCC!$A$5:$Q$50,T289+1,FALSE)</f>
        <v>#N/A</v>
      </c>
      <c r="AI289" s="44" t="e">
        <f t="shared" si="108"/>
        <v>#N/A</v>
      </c>
      <c r="AJ289" s="44" t="e">
        <f t="shared" si="109"/>
        <v>#N/A</v>
      </c>
      <c r="AK289" s="44" t="e">
        <f>HLOOKUP(I289,ElecAvoidedCostsWOCC!$A$5:$Q$50,G289+1,FALSE)*J289*L289</f>
        <v>#N/A</v>
      </c>
      <c r="AL289" s="44" t="e">
        <f t="shared" si="110"/>
        <v>#N/A</v>
      </c>
      <c r="AM289" s="48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8">
        <f t="shared" si="111"/>
        <v>0</v>
      </c>
      <c r="AO289" s="47">
        <f t="shared" si="112"/>
        <v>0</v>
      </c>
      <c r="AP289" s="47" t="e">
        <f t="shared" si="113"/>
        <v>#DIV/0!</v>
      </c>
    </row>
    <row r="290" spans="2:42">
      <c r="B290" s="37"/>
      <c r="C290" s="61"/>
      <c r="D290" s="61"/>
      <c r="E290" s="38"/>
      <c r="F290" s="39"/>
      <c r="G290" s="39"/>
      <c r="H290" s="39"/>
      <c r="I290" s="40"/>
      <c r="J290" s="41"/>
      <c r="K290" s="41"/>
      <c r="L290" s="41"/>
      <c r="M290" s="42"/>
      <c r="N290" s="42"/>
      <c r="O290" s="43"/>
      <c r="P290" s="44"/>
      <c r="Q290" s="44"/>
      <c r="R290" s="45"/>
      <c r="S290" s="46"/>
      <c r="T290" s="39">
        <f t="shared" si="95"/>
        <v>0</v>
      </c>
      <c r="U290" s="47">
        <f t="shared" si="96"/>
        <v>0</v>
      </c>
      <c r="V290" s="48">
        <f t="shared" si="97"/>
        <v>0</v>
      </c>
      <c r="W290" s="49">
        <f t="shared" si="98"/>
        <v>0</v>
      </c>
      <c r="X290" s="44">
        <f t="shared" si="99"/>
        <v>0</v>
      </c>
      <c r="Y290" s="44">
        <f t="shared" si="100"/>
        <v>0</v>
      </c>
      <c r="Z290" s="44">
        <f t="shared" si="101"/>
        <v>0</v>
      </c>
      <c r="AA290" s="50">
        <f t="shared" si="102"/>
        <v>0</v>
      </c>
      <c r="AB290" s="51">
        <f t="shared" si="103"/>
        <v>0</v>
      </c>
      <c r="AC290" s="44">
        <f t="shared" si="104"/>
        <v>0</v>
      </c>
      <c r="AD290" s="44">
        <f t="shared" si="105"/>
        <v>0</v>
      </c>
      <c r="AE290" s="44">
        <f t="shared" si="106"/>
        <v>0</v>
      </c>
      <c r="AF290" s="52" t="e">
        <f>HLOOKUP(I290,ElecAvoidedCostsWOCC!$A$5:$Q$50,G290+1,FALSE)</f>
        <v>#N/A</v>
      </c>
      <c r="AG290" s="44" t="e">
        <f t="shared" si="107"/>
        <v>#N/A</v>
      </c>
      <c r="AH290" s="52" t="e">
        <f>HLOOKUP(I290,ElecAvoidedCostsWOCC!$A$5:$Q$50,T290+1,FALSE)</f>
        <v>#N/A</v>
      </c>
      <c r="AI290" s="44" t="e">
        <f t="shared" si="108"/>
        <v>#N/A</v>
      </c>
      <c r="AJ290" s="44" t="e">
        <f t="shared" si="109"/>
        <v>#N/A</v>
      </c>
      <c r="AK290" s="44" t="e">
        <f>HLOOKUP(I290,ElecAvoidedCostsWOCC!$A$5:$Q$50,G290+1,FALSE)*J290*L290</f>
        <v>#N/A</v>
      </c>
      <c r="AL290" s="44" t="e">
        <f t="shared" si="110"/>
        <v>#N/A</v>
      </c>
      <c r="AM290" s="48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8">
        <f t="shared" si="111"/>
        <v>0</v>
      </c>
      <c r="AO290" s="47">
        <f t="shared" si="112"/>
        <v>0</v>
      </c>
      <c r="AP290" s="47" t="e">
        <f t="shared" si="113"/>
        <v>#DIV/0!</v>
      </c>
    </row>
    <row r="291" spans="2:42">
      <c r="B291" s="37"/>
      <c r="C291" s="61"/>
      <c r="D291" s="61"/>
      <c r="E291" s="38"/>
      <c r="F291" s="39"/>
      <c r="G291" s="39"/>
      <c r="H291" s="39"/>
      <c r="I291" s="40"/>
      <c r="J291" s="41"/>
      <c r="K291" s="41"/>
      <c r="L291" s="41"/>
      <c r="M291" s="42"/>
      <c r="N291" s="42"/>
      <c r="O291" s="43"/>
      <c r="P291" s="44"/>
      <c r="Q291" s="44"/>
      <c r="R291" s="45"/>
      <c r="S291" s="46"/>
      <c r="T291" s="39">
        <f t="shared" si="95"/>
        <v>0</v>
      </c>
      <c r="U291" s="47">
        <f t="shared" si="96"/>
        <v>0</v>
      </c>
      <c r="V291" s="48">
        <f t="shared" si="97"/>
        <v>0</v>
      </c>
      <c r="W291" s="49">
        <f t="shared" si="98"/>
        <v>0</v>
      </c>
      <c r="X291" s="44">
        <f t="shared" si="99"/>
        <v>0</v>
      </c>
      <c r="Y291" s="44">
        <f t="shared" si="100"/>
        <v>0</v>
      </c>
      <c r="Z291" s="44">
        <f t="shared" si="101"/>
        <v>0</v>
      </c>
      <c r="AA291" s="50">
        <f t="shared" si="102"/>
        <v>0</v>
      </c>
      <c r="AB291" s="51">
        <f t="shared" si="103"/>
        <v>0</v>
      </c>
      <c r="AC291" s="44">
        <f t="shared" si="104"/>
        <v>0</v>
      </c>
      <c r="AD291" s="44">
        <f t="shared" si="105"/>
        <v>0</v>
      </c>
      <c r="AE291" s="44">
        <f t="shared" si="106"/>
        <v>0</v>
      </c>
      <c r="AF291" s="52" t="e">
        <f>HLOOKUP(I291,ElecAvoidedCostsWOCC!$A$5:$Q$50,G291+1,FALSE)</f>
        <v>#N/A</v>
      </c>
      <c r="AG291" s="44" t="e">
        <f t="shared" si="107"/>
        <v>#N/A</v>
      </c>
      <c r="AH291" s="52" t="e">
        <f>HLOOKUP(I291,ElecAvoidedCostsWOCC!$A$5:$Q$50,T291+1,FALSE)</f>
        <v>#N/A</v>
      </c>
      <c r="AI291" s="44" t="e">
        <f t="shared" si="108"/>
        <v>#N/A</v>
      </c>
      <c r="AJ291" s="44" t="e">
        <f t="shared" si="109"/>
        <v>#N/A</v>
      </c>
      <c r="AK291" s="44" t="e">
        <f>HLOOKUP(I291,ElecAvoidedCostsWOCC!$A$5:$Q$50,G291+1,FALSE)*J291*L291</f>
        <v>#N/A</v>
      </c>
      <c r="AL291" s="44" t="e">
        <f t="shared" si="110"/>
        <v>#N/A</v>
      </c>
      <c r="AM291" s="48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8">
        <f t="shared" si="111"/>
        <v>0</v>
      </c>
      <c r="AO291" s="47">
        <f t="shared" si="112"/>
        <v>0</v>
      </c>
      <c r="AP291" s="47" t="e">
        <f t="shared" si="113"/>
        <v>#DIV/0!</v>
      </c>
    </row>
    <row r="292" spans="2:42">
      <c r="B292" s="37"/>
      <c r="C292" s="61"/>
      <c r="D292" s="61"/>
      <c r="E292" s="38"/>
      <c r="F292" s="39"/>
      <c r="G292" s="39"/>
      <c r="H292" s="39"/>
      <c r="I292" s="40"/>
      <c r="J292" s="41"/>
      <c r="K292" s="41"/>
      <c r="L292" s="41"/>
      <c r="M292" s="42"/>
      <c r="N292" s="42"/>
      <c r="O292" s="43"/>
      <c r="P292" s="44"/>
      <c r="Q292" s="44"/>
      <c r="R292" s="45"/>
      <c r="S292" s="46"/>
      <c r="T292" s="39">
        <f t="shared" si="95"/>
        <v>0</v>
      </c>
      <c r="U292" s="47">
        <f t="shared" si="96"/>
        <v>0</v>
      </c>
      <c r="V292" s="48">
        <f t="shared" si="97"/>
        <v>0</v>
      </c>
      <c r="W292" s="49">
        <f t="shared" si="98"/>
        <v>0</v>
      </c>
      <c r="X292" s="44">
        <f t="shared" si="99"/>
        <v>0</v>
      </c>
      <c r="Y292" s="44">
        <f t="shared" si="100"/>
        <v>0</v>
      </c>
      <c r="Z292" s="44">
        <f t="shared" si="101"/>
        <v>0</v>
      </c>
      <c r="AA292" s="50">
        <f t="shared" si="102"/>
        <v>0</v>
      </c>
      <c r="AB292" s="51">
        <f t="shared" si="103"/>
        <v>0</v>
      </c>
      <c r="AC292" s="44">
        <f t="shared" si="104"/>
        <v>0</v>
      </c>
      <c r="AD292" s="44">
        <f t="shared" si="105"/>
        <v>0</v>
      </c>
      <c r="AE292" s="44">
        <f t="shared" si="106"/>
        <v>0</v>
      </c>
      <c r="AF292" s="52" t="e">
        <f>HLOOKUP(I292,ElecAvoidedCostsWOCC!$A$5:$Q$50,G292+1,FALSE)</f>
        <v>#N/A</v>
      </c>
      <c r="AG292" s="44" t="e">
        <f t="shared" si="107"/>
        <v>#N/A</v>
      </c>
      <c r="AH292" s="52" t="e">
        <f>HLOOKUP(I292,ElecAvoidedCostsWOCC!$A$5:$Q$50,T292+1,FALSE)</f>
        <v>#N/A</v>
      </c>
      <c r="AI292" s="44" t="e">
        <f t="shared" si="108"/>
        <v>#N/A</v>
      </c>
      <c r="AJ292" s="44" t="e">
        <f t="shared" si="109"/>
        <v>#N/A</v>
      </c>
      <c r="AK292" s="44" t="e">
        <f>HLOOKUP(I292,ElecAvoidedCostsWOCC!$A$5:$Q$50,G292+1,FALSE)*J292*L292</f>
        <v>#N/A</v>
      </c>
      <c r="AL292" s="44" t="e">
        <f t="shared" si="110"/>
        <v>#N/A</v>
      </c>
      <c r="AM292" s="48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8">
        <f t="shared" si="111"/>
        <v>0</v>
      </c>
      <c r="AO292" s="47">
        <f t="shared" si="112"/>
        <v>0</v>
      </c>
      <c r="AP292" s="47" t="e">
        <f t="shared" si="113"/>
        <v>#DIV/0!</v>
      </c>
    </row>
    <row r="293" spans="2:42">
      <c r="B293" s="37"/>
      <c r="C293" s="61"/>
      <c r="D293" s="61"/>
      <c r="E293" s="38"/>
      <c r="F293" s="39"/>
      <c r="G293" s="39"/>
      <c r="H293" s="39"/>
      <c r="I293" s="40"/>
      <c r="J293" s="41"/>
      <c r="K293" s="41"/>
      <c r="L293" s="41"/>
      <c r="M293" s="42"/>
      <c r="N293" s="42"/>
      <c r="O293" s="43"/>
      <c r="P293" s="44"/>
      <c r="Q293" s="44"/>
      <c r="R293" s="45"/>
      <c r="S293" s="46"/>
      <c r="T293" s="39">
        <f t="shared" si="95"/>
        <v>0</v>
      </c>
      <c r="U293" s="47">
        <f t="shared" si="96"/>
        <v>0</v>
      </c>
      <c r="V293" s="48">
        <f t="shared" si="97"/>
        <v>0</v>
      </c>
      <c r="W293" s="49">
        <f t="shared" si="98"/>
        <v>0</v>
      </c>
      <c r="X293" s="44">
        <f t="shared" si="99"/>
        <v>0</v>
      </c>
      <c r="Y293" s="44">
        <f t="shared" si="100"/>
        <v>0</v>
      </c>
      <c r="Z293" s="44">
        <f t="shared" si="101"/>
        <v>0</v>
      </c>
      <c r="AA293" s="50">
        <f t="shared" si="102"/>
        <v>0</v>
      </c>
      <c r="AB293" s="51">
        <f t="shared" si="103"/>
        <v>0</v>
      </c>
      <c r="AC293" s="44">
        <f t="shared" si="104"/>
        <v>0</v>
      </c>
      <c r="AD293" s="44">
        <f t="shared" si="105"/>
        <v>0</v>
      </c>
      <c r="AE293" s="44">
        <f t="shared" si="106"/>
        <v>0</v>
      </c>
      <c r="AF293" s="52" t="e">
        <f>HLOOKUP(I293,ElecAvoidedCostsWOCC!$A$5:$Q$50,G293+1,FALSE)</f>
        <v>#N/A</v>
      </c>
      <c r="AG293" s="44" t="e">
        <f t="shared" si="107"/>
        <v>#N/A</v>
      </c>
      <c r="AH293" s="52" t="e">
        <f>HLOOKUP(I293,ElecAvoidedCostsWOCC!$A$5:$Q$50,T293+1,FALSE)</f>
        <v>#N/A</v>
      </c>
      <c r="AI293" s="44" t="e">
        <f t="shared" si="108"/>
        <v>#N/A</v>
      </c>
      <c r="AJ293" s="44" t="e">
        <f t="shared" si="109"/>
        <v>#N/A</v>
      </c>
      <c r="AK293" s="44" t="e">
        <f>HLOOKUP(I293,ElecAvoidedCostsWOCC!$A$5:$Q$50,G293+1,FALSE)*J293*L293</f>
        <v>#N/A</v>
      </c>
      <c r="AL293" s="44" t="e">
        <f t="shared" si="110"/>
        <v>#N/A</v>
      </c>
      <c r="AM293" s="48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8">
        <f t="shared" si="111"/>
        <v>0</v>
      </c>
      <c r="AO293" s="47">
        <f t="shared" si="112"/>
        <v>0</v>
      </c>
      <c r="AP293" s="47" t="e">
        <f t="shared" si="113"/>
        <v>#DIV/0!</v>
      </c>
    </row>
    <row r="294" spans="2:42">
      <c r="B294" s="37"/>
      <c r="C294" s="61"/>
      <c r="D294" s="61"/>
      <c r="E294" s="38"/>
      <c r="F294" s="39"/>
      <c r="G294" s="39"/>
      <c r="H294" s="39"/>
      <c r="I294" s="40"/>
      <c r="J294" s="41"/>
      <c r="K294" s="41"/>
      <c r="L294" s="41"/>
      <c r="M294" s="42"/>
      <c r="N294" s="42"/>
      <c r="O294" s="43"/>
      <c r="P294" s="44"/>
      <c r="Q294" s="44"/>
      <c r="R294" s="45"/>
      <c r="S294" s="46"/>
      <c r="T294" s="39">
        <f t="shared" si="95"/>
        <v>0</v>
      </c>
      <c r="U294" s="47">
        <f t="shared" si="96"/>
        <v>0</v>
      </c>
      <c r="V294" s="48">
        <f t="shared" si="97"/>
        <v>0</v>
      </c>
      <c r="W294" s="49">
        <f t="shared" si="98"/>
        <v>0</v>
      </c>
      <c r="X294" s="44">
        <f t="shared" si="99"/>
        <v>0</v>
      </c>
      <c r="Y294" s="44">
        <f t="shared" si="100"/>
        <v>0</v>
      </c>
      <c r="Z294" s="44">
        <f t="shared" si="101"/>
        <v>0</v>
      </c>
      <c r="AA294" s="50">
        <f t="shared" si="102"/>
        <v>0</v>
      </c>
      <c r="AB294" s="51">
        <f t="shared" si="103"/>
        <v>0</v>
      </c>
      <c r="AC294" s="44">
        <f t="shared" si="104"/>
        <v>0</v>
      </c>
      <c r="AD294" s="44">
        <f t="shared" si="105"/>
        <v>0</v>
      </c>
      <c r="AE294" s="44">
        <f t="shared" si="106"/>
        <v>0</v>
      </c>
      <c r="AF294" s="52" t="e">
        <f>HLOOKUP(I294,ElecAvoidedCostsWOCC!$A$5:$Q$50,G294+1,FALSE)</f>
        <v>#N/A</v>
      </c>
      <c r="AG294" s="44" t="e">
        <f t="shared" si="107"/>
        <v>#N/A</v>
      </c>
      <c r="AH294" s="52" t="e">
        <f>HLOOKUP(I294,ElecAvoidedCostsWOCC!$A$5:$Q$50,T294+1,FALSE)</f>
        <v>#N/A</v>
      </c>
      <c r="AI294" s="44" t="e">
        <f t="shared" si="108"/>
        <v>#N/A</v>
      </c>
      <c r="AJ294" s="44" t="e">
        <f t="shared" si="109"/>
        <v>#N/A</v>
      </c>
      <c r="AK294" s="44" t="e">
        <f>HLOOKUP(I294,ElecAvoidedCostsWOCC!$A$5:$Q$50,G294+1,FALSE)*J294*L294</f>
        <v>#N/A</v>
      </c>
      <c r="AL294" s="44" t="e">
        <f t="shared" si="110"/>
        <v>#N/A</v>
      </c>
      <c r="AM294" s="48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8">
        <f t="shared" si="111"/>
        <v>0</v>
      </c>
      <c r="AO294" s="47">
        <f t="shared" si="112"/>
        <v>0</v>
      </c>
      <c r="AP294" s="47" t="e">
        <f t="shared" si="113"/>
        <v>#DIV/0!</v>
      </c>
    </row>
    <row r="295" spans="2:42">
      <c r="B295" s="37"/>
      <c r="C295" s="61"/>
      <c r="D295" s="61"/>
      <c r="E295" s="38"/>
      <c r="F295" s="39"/>
      <c r="G295" s="39"/>
      <c r="H295" s="39"/>
      <c r="I295" s="40"/>
      <c r="J295" s="41"/>
      <c r="K295" s="41"/>
      <c r="L295" s="41"/>
      <c r="M295" s="42"/>
      <c r="N295" s="42"/>
      <c r="O295" s="43"/>
      <c r="P295" s="44"/>
      <c r="Q295" s="44"/>
      <c r="R295" s="45"/>
      <c r="S295" s="46"/>
      <c r="T295" s="39">
        <f t="shared" si="95"/>
        <v>0</v>
      </c>
      <c r="U295" s="47">
        <f t="shared" si="96"/>
        <v>0</v>
      </c>
      <c r="V295" s="48">
        <f t="shared" si="97"/>
        <v>0</v>
      </c>
      <c r="W295" s="49">
        <f t="shared" si="98"/>
        <v>0</v>
      </c>
      <c r="X295" s="44">
        <f t="shared" si="99"/>
        <v>0</v>
      </c>
      <c r="Y295" s="44">
        <f t="shared" si="100"/>
        <v>0</v>
      </c>
      <c r="Z295" s="44">
        <f t="shared" si="101"/>
        <v>0</v>
      </c>
      <c r="AA295" s="50">
        <f t="shared" si="102"/>
        <v>0</v>
      </c>
      <c r="AB295" s="51">
        <f t="shared" si="103"/>
        <v>0</v>
      </c>
      <c r="AC295" s="44">
        <f t="shared" si="104"/>
        <v>0</v>
      </c>
      <c r="AD295" s="44">
        <f t="shared" si="105"/>
        <v>0</v>
      </c>
      <c r="AE295" s="44">
        <f t="shared" si="106"/>
        <v>0</v>
      </c>
      <c r="AF295" s="52" t="e">
        <f>HLOOKUP(I295,ElecAvoidedCostsWOCC!$A$5:$Q$50,G295+1,FALSE)</f>
        <v>#N/A</v>
      </c>
      <c r="AG295" s="44" t="e">
        <f t="shared" si="107"/>
        <v>#N/A</v>
      </c>
      <c r="AH295" s="52" t="e">
        <f>HLOOKUP(I295,ElecAvoidedCostsWOCC!$A$5:$Q$50,T295+1,FALSE)</f>
        <v>#N/A</v>
      </c>
      <c r="AI295" s="44" t="e">
        <f t="shared" si="108"/>
        <v>#N/A</v>
      </c>
      <c r="AJ295" s="44" t="e">
        <f t="shared" si="109"/>
        <v>#N/A</v>
      </c>
      <c r="AK295" s="44" t="e">
        <f>HLOOKUP(I295,ElecAvoidedCostsWOCC!$A$5:$Q$50,G295+1,FALSE)*J295*L295</f>
        <v>#N/A</v>
      </c>
      <c r="AL295" s="44" t="e">
        <f t="shared" si="110"/>
        <v>#N/A</v>
      </c>
      <c r="AM295" s="48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8">
        <f t="shared" si="111"/>
        <v>0</v>
      </c>
      <c r="AO295" s="47">
        <f t="shared" si="112"/>
        <v>0</v>
      </c>
      <c r="AP295" s="47" t="e">
        <f t="shared" si="113"/>
        <v>#DIV/0!</v>
      </c>
    </row>
    <row r="296" spans="2:42">
      <c r="B296" s="37"/>
      <c r="C296" s="61"/>
      <c r="D296" s="61"/>
      <c r="E296" s="38"/>
      <c r="F296" s="39"/>
      <c r="G296" s="39"/>
      <c r="H296" s="39"/>
      <c r="I296" s="40"/>
      <c r="J296" s="41"/>
      <c r="K296" s="41"/>
      <c r="L296" s="41"/>
      <c r="M296" s="42"/>
      <c r="N296" s="42"/>
      <c r="O296" s="43"/>
      <c r="P296" s="44"/>
      <c r="Q296" s="44"/>
      <c r="R296" s="45"/>
      <c r="S296" s="46"/>
      <c r="T296" s="39">
        <f t="shared" si="95"/>
        <v>0</v>
      </c>
      <c r="U296" s="47">
        <f t="shared" si="96"/>
        <v>0</v>
      </c>
      <c r="V296" s="48">
        <f t="shared" si="97"/>
        <v>0</v>
      </c>
      <c r="W296" s="49">
        <f t="shared" si="98"/>
        <v>0</v>
      </c>
      <c r="X296" s="44">
        <f t="shared" si="99"/>
        <v>0</v>
      </c>
      <c r="Y296" s="44">
        <f t="shared" si="100"/>
        <v>0</v>
      </c>
      <c r="Z296" s="44">
        <f t="shared" si="101"/>
        <v>0</v>
      </c>
      <c r="AA296" s="50">
        <f t="shared" si="102"/>
        <v>0</v>
      </c>
      <c r="AB296" s="51">
        <f t="shared" si="103"/>
        <v>0</v>
      </c>
      <c r="AC296" s="44">
        <f t="shared" si="104"/>
        <v>0</v>
      </c>
      <c r="AD296" s="44">
        <f t="shared" si="105"/>
        <v>0</v>
      </c>
      <c r="AE296" s="44">
        <f t="shared" si="106"/>
        <v>0</v>
      </c>
      <c r="AF296" s="52" t="e">
        <f>HLOOKUP(I296,ElecAvoidedCostsWOCC!$A$5:$Q$50,G296+1,FALSE)</f>
        <v>#N/A</v>
      </c>
      <c r="AG296" s="44" t="e">
        <f t="shared" si="107"/>
        <v>#N/A</v>
      </c>
      <c r="AH296" s="52" t="e">
        <f>HLOOKUP(I296,ElecAvoidedCostsWOCC!$A$5:$Q$50,T296+1,FALSE)</f>
        <v>#N/A</v>
      </c>
      <c r="AI296" s="44" t="e">
        <f t="shared" si="108"/>
        <v>#N/A</v>
      </c>
      <c r="AJ296" s="44" t="e">
        <f t="shared" si="109"/>
        <v>#N/A</v>
      </c>
      <c r="AK296" s="44" t="e">
        <f>HLOOKUP(I296,ElecAvoidedCostsWOCC!$A$5:$Q$50,G296+1,FALSE)*J296*L296</f>
        <v>#N/A</v>
      </c>
      <c r="AL296" s="44" t="e">
        <f t="shared" si="110"/>
        <v>#N/A</v>
      </c>
      <c r="AM296" s="48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8">
        <f t="shared" si="111"/>
        <v>0</v>
      </c>
      <c r="AO296" s="47">
        <f t="shared" si="112"/>
        <v>0</v>
      </c>
      <c r="AP296" s="47" t="e">
        <f t="shared" si="113"/>
        <v>#DIV/0!</v>
      </c>
    </row>
    <row r="297" spans="2:42">
      <c r="B297" s="37"/>
      <c r="C297" s="61"/>
      <c r="D297" s="61"/>
      <c r="E297" s="38"/>
      <c r="F297" s="39"/>
      <c r="G297" s="39"/>
      <c r="H297" s="39"/>
      <c r="I297" s="40"/>
      <c r="J297" s="41"/>
      <c r="K297" s="41"/>
      <c r="L297" s="41"/>
      <c r="M297" s="42"/>
      <c r="N297" s="42"/>
      <c r="O297" s="43"/>
      <c r="P297" s="44"/>
      <c r="Q297" s="44"/>
      <c r="R297" s="45"/>
      <c r="S297" s="46"/>
      <c r="T297" s="39">
        <f t="shared" si="95"/>
        <v>0</v>
      </c>
      <c r="U297" s="47">
        <f t="shared" si="96"/>
        <v>0</v>
      </c>
      <c r="V297" s="48">
        <f t="shared" si="97"/>
        <v>0</v>
      </c>
      <c r="W297" s="49">
        <f t="shared" si="98"/>
        <v>0</v>
      </c>
      <c r="X297" s="44">
        <f t="shared" si="99"/>
        <v>0</v>
      </c>
      <c r="Y297" s="44">
        <f t="shared" si="100"/>
        <v>0</v>
      </c>
      <c r="Z297" s="44">
        <f t="shared" si="101"/>
        <v>0</v>
      </c>
      <c r="AA297" s="50">
        <f t="shared" si="102"/>
        <v>0</v>
      </c>
      <c r="AB297" s="51">
        <f t="shared" si="103"/>
        <v>0</v>
      </c>
      <c r="AC297" s="44">
        <f t="shared" si="104"/>
        <v>0</v>
      </c>
      <c r="AD297" s="44">
        <f t="shared" si="105"/>
        <v>0</v>
      </c>
      <c r="AE297" s="44">
        <f t="shared" si="106"/>
        <v>0</v>
      </c>
      <c r="AF297" s="52" t="e">
        <f>HLOOKUP(I297,ElecAvoidedCostsWOCC!$A$5:$Q$50,G297+1,FALSE)</f>
        <v>#N/A</v>
      </c>
      <c r="AG297" s="44" t="e">
        <f t="shared" si="107"/>
        <v>#N/A</v>
      </c>
      <c r="AH297" s="52" t="e">
        <f>HLOOKUP(I297,ElecAvoidedCostsWOCC!$A$5:$Q$50,T297+1,FALSE)</f>
        <v>#N/A</v>
      </c>
      <c r="AI297" s="44" t="e">
        <f t="shared" si="108"/>
        <v>#N/A</v>
      </c>
      <c r="AJ297" s="44" t="e">
        <f t="shared" si="109"/>
        <v>#N/A</v>
      </c>
      <c r="AK297" s="44" t="e">
        <f>HLOOKUP(I297,ElecAvoidedCostsWOCC!$A$5:$Q$50,G297+1,FALSE)*J297*L297</f>
        <v>#N/A</v>
      </c>
      <c r="AL297" s="44" t="e">
        <f t="shared" si="110"/>
        <v>#N/A</v>
      </c>
      <c r="AM297" s="48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8">
        <f t="shared" si="111"/>
        <v>0</v>
      </c>
      <c r="AO297" s="47">
        <f t="shared" si="112"/>
        <v>0</v>
      </c>
      <c r="AP297" s="47" t="e">
        <f t="shared" si="113"/>
        <v>#DIV/0!</v>
      </c>
    </row>
    <row r="298" spans="2:42">
      <c r="B298" s="37"/>
      <c r="C298" s="61"/>
      <c r="D298" s="61"/>
      <c r="E298" s="38"/>
      <c r="F298" s="39"/>
      <c r="G298" s="39"/>
      <c r="H298" s="39"/>
      <c r="I298" s="40"/>
      <c r="J298" s="41"/>
      <c r="K298" s="41"/>
      <c r="L298" s="41"/>
      <c r="M298" s="42"/>
      <c r="N298" s="42"/>
      <c r="O298" s="43"/>
      <c r="P298" s="44"/>
      <c r="Q298" s="44"/>
      <c r="R298" s="45"/>
      <c r="S298" s="46"/>
      <c r="T298" s="39">
        <f t="shared" si="95"/>
        <v>0</v>
      </c>
      <c r="U298" s="47">
        <f t="shared" si="96"/>
        <v>0</v>
      </c>
      <c r="V298" s="48">
        <f t="shared" si="97"/>
        <v>0</v>
      </c>
      <c r="W298" s="49">
        <f t="shared" si="98"/>
        <v>0</v>
      </c>
      <c r="X298" s="44">
        <f t="shared" si="99"/>
        <v>0</v>
      </c>
      <c r="Y298" s="44">
        <f t="shared" si="100"/>
        <v>0</v>
      </c>
      <c r="Z298" s="44">
        <f t="shared" si="101"/>
        <v>0</v>
      </c>
      <c r="AA298" s="50">
        <f t="shared" si="102"/>
        <v>0</v>
      </c>
      <c r="AB298" s="51">
        <f t="shared" si="103"/>
        <v>0</v>
      </c>
      <c r="AC298" s="44">
        <f t="shared" si="104"/>
        <v>0</v>
      </c>
      <c r="AD298" s="44">
        <f t="shared" si="105"/>
        <v>0</v>
      </c>
      <c r="AE298" s="44">
        <f t="shared" si="106"/>
        <v>0</v>
      </c>
      <c r="AF298" s="52" t="e">
        <f>HLOOKUP(I298,ElecAvoidedCostsWOCC!$A$5:$Q$50,G298+1,FALSE)</f>
        <v>#N/A</v>
      </c>
      <c r="AG298" s="44" t="e">
        <f t="shared" si="107"/>
        <v>#N/A</v>
      </c>
      <c r="AH298" s="52" t="e">
        <f>HLOOKUP(I298,ElecAvoidedCostsWOCC!$A$5:$Q$50,T298+1,FALSE)</f>
        <v>#N/A</v>
      </c>
      <c r="AI298" s="44" t="e">
        <f t="shared" si="108"/>
        <v>#N/A</v>
      </c>
      <c r="AJ298" s="44" t="e">
        <f t="shared" si="109"/>
        <v>#N/A</v>
      </c>
      <c r="AK298" s="44" t="e">
        <f>HLOOKUP(I298,ElecAvoidedCostsWOCC!$A$5:$Q$50,G298+1,FALSE)*J298*L298</f>
        <v>#N/A</v>
      </c>
      <c r="AL298" s="44" t="e">
        <f t="shared" si="110"/>
        <v>#N/A</v>
      </c>
      <c r="AM298" s="48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8">
        <f t="shared" si="111"/>
        <v>0</v>
      </c>
      <c r="AO298" s="47">
        <f t="shared" si="112"/>
        <v>0</v>
      </c>
      <c r="AP298" s="47" t="e">
        <f t="shared" si="113"/>
        <v>#DIV/0!</v>
      </c>
    </row>
    <row r="299" spans="2:42">
      <c r="B299" s="37"/>
      <c r="C299" s="61"/>
      <c r="D299" s="61"/>
      <c r="E299" s="38"/>
      <c r="F299" s="39"/>
      <c r="G299" s="39"/>
      <c r="H299" s="39"/>
      <c r="I299" s="40"/>
      <c r="J299" s="41"/>
      <c r="K299" s="41"/>
      <c r="L299" s="41"/>
      <c r="M299" s="42"/>
      <c r="N299" s="42"/>
      <c r="O299" s="43"/>
      <c r="P299" s="44"/>
      <c r="Q299" s="44"/>
      <c r="R299" s="45"/>
      <c r="S299" s="46"/>
      <c r="T299" s="39">
        <f t="shared" si="95"/>
        <v>0</v>
      </c>
      <c r="U299" s="47">
        <f t="shared" si="96"/>
        <v>0</v>
      </c>
      <c r="V299" s="48">
        <f t="shared" si="97"/>
        <v>0</v>
      </c>
      <c r="W299" s="49">
        <f t="shared" si="98"/>
        <v>0</v>
      </c>
      <c r="X299" s="44">
        <f t="shared" si="99"/>
        <v>0</v>
      </c>
      <c r="Y299" s="44">
        <f t="shared" si="100"/>
        <v>0</v>
      </c>
      <c r="Z299" s="44">
        <f t="shared" si="101"/>
        <v>0</v>
      </c>
      <c r="AA299" s="50">
        <f t="shared" si="102"/>
        <v>0</v>
      </c>
      <c r="AB299" s="51">
        <f t="shared" si="103"/>
        <v>0</v>
      </c>
      <c r="AC299" s="44">
        <f t="shared" si="104"/>
        <v>0</v>
      </c>
      <c r="AD299" s="44">
        <f t="shared" si="105"/>
        <v>0</v>
      </c>
      <c r="AE299" s="44">
        <f t="shared" si="106"/>
        <v>0</v>
      </c>
      <c r="AF299" s="52" t="e">
        <f>HLOOKUP(I299,ElecAvoidedCostsWOCC!$A$5:$Q$50,G299+1,FALSE)</f>
        <v>#N/A</v>
      </c>
      <c r="AG299" s="44" t="e">
        <f t="shared" si="107"/>
        <v>#N/A</v>
      </c>
      <c r="AH299" s="52" t="e">
        <f>HLOOKUP(I299,ElecAvoidedCostsWOCC!$A$5:$Q$50,T299+1,FALSE)</f>
        <v>#N/A</v>
      </c>
      <c r="AI299" s="44" t="e">
        <f t="shared" si="108"/>
        <v>#N/A</v>
      </c>
      <c r="AJ299" s="44" t="e">
        <f t="shared" si="109"/>
        <v>#N/A</v>
      </c>
      <c r="AK299" s="44" t="e">
        <f>HLOOKUP(I299,ElecAvoidedCostsWOCC!$A$5:$Q$50,G299+1,FALSE)*J299*L299</f>
        <v>#N/A</v>
      </c>
      <c r="AL299" s="44" t="e">
        <f t="shared" si="110"/>
        <v>#N/A</v>
      </c>
      <c r="AM299" s="48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8">
        <f t="shared" si="111"/>
        <v>0</v>
      </c>
      <c r="AO299" s="47">
        <f t="shared" si="112"/>
        <v>0</v>
      </c>
      <c r="AP299" s="47" t="e">
        <f t="shared" si="113"/>
        <v>#DIV/0!</v>
      </c>
    </row>
    <row r="300" spans="2:42">
      <c r="B300" s="37"/>
      <c r="C300" s="61"/>
      <c r="D300" s="61"/>
      <c r="E300" s="38"/>
      <c r="F300" s="39"/>
      <c r="G300" s="39"/>
      <c r="H300" s="39"/>
      <c r="I300" s="40"/>
      <c r="J300" s="41"/>
      <c r="K300" s="41"/>
      <c r="L300" s="41"/>
      <c r="M300" s="42"/>
      <c r="N300" s="42"/>
      <c r="O300" s="43"/>
      <c r="P300" s="44"/>
      <c r="Q300" s="44"/>
      <c r="R300" s="45"/>
      <c r="S300" s="46"/>
      <c r="T300" s="39">
        <f t="shared" si="95"/>
        <v>0</v>
      </c>
      <c r="U300" s="47">
        <f t="shared" si="96"/>
        <v>0</v>
      </c>
      <c r="V300" s="48">
        <f t="shared" si="97"/>
        <v>0</v>
      </c>
      <c r="W300" s="49">
        <f t="shared" si="98"/>
        <v>0</v>
      </c>
      <c r="X300" s="44">
        <f t="shared" si="99"/>
        <v>0</v>
      </c>
      <c r="Y300" s="44">
        <f t="shared" si="100"/>
        <v>0</v>
      </c>
      <c r="Z300" s="44">
        <f t="shared" si="101"/>
        <v>0</v>
      </c>
      <c r="AA300" s="50">
        <f t="shared" si="102"/>
        <v>0</v>
      </c>
      <c r="AB300" s="51">
        <f t="shared" si="103"/>
        <v>0</v>
      </c>
      <c r="AC300" s="44">
        <f t="shared" si="104"/>
        <v>0</v>
      </c>
      <c r="AD300" s="44">
        <f t="shared" si="105"/>
        <v>0</v>
      </c>
      <c r="AE300" s="44">
        <f t="shared" si="106"/>
        <v>0</v>
      </c>
      <c r="AF300" s="52" t="e">
        <f>HLOOKUP(I300,ElecAvoidedCostsWOCC!$A$5:$Q$50,G300+1,FALSE)</f>
        <v>#N/A</v>
      </c>
      <c r="AG300" s="44" t="e">
        <f t="shared" si="107"/>
        <v>#N/A</v>
      </c>
      <c r="AH300" s="52" t="e">
        <f>HLOOKUP(I300,ElecAvoidedCostsWOCC!$A$5:$Q$50,T300+1,FALSE)</f>
        <v>#N/A</v>
      </c>
      <c r="AI300" s="44" t="e">
        <f t="shared" si="108"/>
        <v>#N/A</v>
      </c>
      <c r="AJ300" s="44" t="e">
        <f t="shared" si="109"/>
        <v>#N/A</v>
      </c>
      <c r="AK300" s="44" t="e">
        <f>HLOOKUP(I300,ElecAvoidedCostsWOCC!$A$5:$Q$50,G300+1,FALSE)*J300*L300</f>
        <v>#N/A</v>
      </c>
      <c r="AL300" s="44" t="e">
        <f t="shared" si="110"/>
        <v>#N/A</v>
      </c>
      <c r="AM300" s="48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8">
        <f t="shared" si="111"/>
        <v>0</v>
      </c>
      <c r="AO300" s="47">
        <f t="shared" si="112"/>
        <v>0</v>
      </c>
      <c r="AP300" s="47" t="e">
        <f t="shared" si="113"/>
        <v>#DIV/0!</v>
      </c>
    </row>
    <row r="301" spans="2:42">
      <c r="B301" s="37"/>
      <c r="C301" s="61"/>
      <c r="D301" s="61"/>
      <c r="E301" s="38"/>
      <c r="F301" s="39"/>
      <c r="G301" s="39"/>
      <c r="H301" s="39"/>
      <c r="I301" s="40"/>
      <c r="J301" s="41"/>
      <c r="K301" s="41"/>
      <c r="L301" s="41"/>
      <c r="M301" s="42"/>
      <c r="N301" s="42"/>
      <c r="O301" s="43"/>
      <c r="P301" s="44"/>
      <c r="Q301" s="44"/>
      <c r="R301" s="45"/>
      <c r="S301" s="46"/>
      <c r="T301" s="39">
        <f t="shared" si="95"/>
        <v>0</v>
      </c>
      <c r="U301" s="47">
        <f t="shared" si="96"/>
        <v>0</v>
      </c>
      <c r="V301" s="48">
        <f t="shared" si="97"/>
        <v>0</v>
      </c>
      <c r="W301" s="49">
        <f t="shared" si="98"/>
        <v>0</v>
      </c>
      <c r="X301" s="44">
        <f t="shared" si="99"/>
        <v>0</v>
      </c>
      <c r="Y301" s="44">
        <f t="shared" si="100"/>
        <v>0</v>
      </c>
      <c r="Z301" s="44">
        <f t="shared" si="101"/>
        <v>0</v>
      </c>
      <c r="AA301" s="50">
        <f t="shared" si="102"/>
        <v>0</v>
      </c>
      <c r="AB301" s="51">
        <f t="shared" si="103"/>
        <v>0</v>
      </c>
      <c r="AC301" s="44">
        <f t="shared" si="104"/>
        <v>0</v>
      </c>
      <c r="AD301" s="44">
        <f t="shared" si="105"/>
        <v>0</v>
      </c>
      <c r="AE301" s="44">
        <f t="shared" si="106"/>
        <v>0</v>
      </c>
      <c r="AF301" s="52" t="e">
        <f>HLOOKUP(I301,ElecAvoidedCostsWOCC!$A$5:$Q$50,G301+1,FALSE)</f>
        <v>#N/A</v>
      </c>
      <c r="AG301" s="44" t="e">
        <f t="shared" si="107"/>
        <v>#N/A</v>
      </c>
      <c r="AH301" s="52" t="e">
        <f>HLOOKUP(I301,ElecAvoidedCostsWOCC!$A$5:$Q$50,T301+1,FALSE)</f>
        <v>#N/A</v>
      </c>
      <c r="AI301" s="44" t="e">
        <f t="shared" si="108"/>
        <v>#N/A</v>
      </c>
      <c r="AJ301" s="44" t="e">
        <f t="shared" si="109"/>
        <v>#N/A</v>
      </c>
      <c r="AK301" s="44" t="e">
        <f>HLOOKUP(I301,ElecAvoidedCostsWOCC!$A$5:$Q$50,G301+1,FALSE)*J301*L301</f>
        <v>#N/A</v>
      </c>
      <c r="AL301" s="44" t="e">
        <f t="shared" si="110"/>
        <v>#N/A</v>
      </c>
      <c r="AM301" s="48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8">
        <f t="shared" si="111"/>
        <v>0</v>
      </c>
      <c r="AO301" s="47">
        <f t="shared" si="112"/>
        <v>0</v>
      </c>
      <c r="AP301" s="47" t="e">
        <f t="shared" si="113"/>
        <v>#DIV/0!</v>
      </c>
    </row>
    <row r="302" spans="2:42">
      <c r="B302" s="37"/>
      <c r="C302" s="61"/>
      <c r="D302" s="61"/>
      <c r="E302" s="38"/>
      <c r="F302" s="39"/>
      <c r="G302" s="39"/>
      <c r="H302" s="39"/>
      <c r="I302" s="40"/>
      <c r="J302" s="41"/>
      <c r="K302" s="41"/>
      <c r="L302" s="41"/>
      <c r="M302" s="42"/>
      <c r="N302" s="42"/>
      <c r="O302" s="43"/>
      <c r="P302" s="44"/>
      <c r="Q302" s="44"/>
      <c r="R302" s="45"/>
      <c r="S302" s="46"/>
      <c r="T302" s="39">
        <f t="shared" si="95"/>
        <v>0</v>
      </c>
      <c r="U302" s="47">
        <f t="shared" si="96"/>
        <v>0</v>
      </c>
      <c r="V302" s="48">
        <f t="shared" si="97"/>
        <v>0</v>
      </c>
      <c r="W302" s="49">
        <f t="shared" si="98"/>
        <v>0</v>
      </c>
      <c r="X302" s="44">
        <f t="shared" si="99"/>
        <v>0</v>
      </c>
      <c r="Y302" s="44">
        <f t="shared" si="100"/>
        <v>0</v>
      </c>
      <c r="Z302" s="44">
        <f t="shared" si="101"/>
        <v>0</v>
      </c>
      <c r="AA302" s="50">
        <f t="shared" si="102"/>
        <v>0</v>
      </c>
      <c r="AB302" s="51">
        <f t="shared" si="103"/>
        <v>0</v>
      </c>
      <c r="AC302" s="44">
        <f t="shared" si="104"/>
        <v>0</v>
      </c>
      <c r="AD302" s="44">
        <f t="shared" si="105"/>
        <v>0</v>
      </c>
      <c r="AE302" s="44">
        <f t="shared" si="106"/>
        <v>0</v>
      </c>
      <c r="AF302" s="52" t="e">
        <f>HLOOKUP(I302,ElecAvoidedCostsWOCC!$A$5:$Q$50,G302+1,FALSE)</f>
        <v>#N/A</v>
      </c>
      <c r="AG302" s="44" t="e">
        <f t="shared" si="107"/>
        <v>#N/A</v>
      </c>
      <c r="AH302" s="52" t="e">
        <f>HLOOKUP(I302,ElecAvoidedCostsWOCC!$A$5:$Q$50,T302+1,FALSE)</f>
        <v>#N/A</v>
      </c>
      <c r="AI302" s="44" t="e">
        <f t="shared" si="108"/>
        <v>#N/A</v>
      </c>
      <c r="AJ302" s="44" t="e">
        <f t="shared" si="109"/>
        <v>#N/A</v>
      </c>
      <c r="AK302" s="44" t="e">
        <f>HLOOKUP(I302,ElecAvoidedCostsWOCC!$A$5:$Q$50,G302+1,FALSE)*J302*L302</f>
        <v>#N/A</v>
      </c>
      <c r="AL302" s="44" t="e">
        <f t="shared" si="110"/>
        <v>#N/A</v>
      </c>
      <c r="AM302" s="48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8">
        <f t="shared" si="111"/>
        <v>0</v>
      </c>
      <c r="AO302" s="47">
        <f t="shared" si="112"/>
        <v>0</v>
      </c>
      <c r="AP302" s="47" t="e">
        <f t="shared" si="113"/>
        <v>#DIV/0!</v>
      </c>
    </row>
    <row r="303" spans="2:42">
      <c r="B303" s="37"/>
      <c r="C303" s="61"/>
      <c r="D303" s="61"/>
      <c r="E303" s="38"/>
      <c r="F303" s="39"/>
      <c r="G303" s="39"/>
      <c r="H303" s="39"/>
      <c r="I303" s="40"/>
      <c r="J303" s="41"/>
      <c r="K303" s="41"/>
      <c r="L303" s="41"/>
      <c r="M303" s="42"/>
      <c r="N303" s="42"/>
      <c r="O303" s="43"/>
      <c r="P303" s="44"/>
      <c r="Q303" s="44"/>
      <c r="R303" s="45"/>
      <c r="S303" s="46"/>
      <c r="T303" s="39">
        <f t="shared" si="95"/>
        <v>0</v>
      </c>
      <c r="U303" s="47">
        <f t="shared" si="96"/>
        <v>0</v>
      </c>
      <c r="V303" s="48">
        <f t="shared" si="97"/>
        <v>0</v>
      </c>
      <c r="W303" s="49">
        <f t="shared" si="98"/>
        <v>0</v>
      </c>
      <c r="X303" s="44">
        <f t="shared" si="99"/>
        <v>0</v>
      </c>
      <c r="Y303" s="44">
        <f t="shared" si="100"/>
        <v>0</v>
      </c>
      <c r="Z303" s="44">
        <f t="shared" si="101"/>
        <v>0</v>
      </c>
      <c r="AA303" s="50">
        <f t="shared" si="102"/>
        <v>0</v>
      </c>
      <c r="AB303" s="51">
        <f t="shared" si="103"/>
        <v>0</v>
      </c>
      <c r="AC303" s="44">
        <f t="shared" si="104"/>
        <v>0</v>
      </c>
      <c r="AD303" s="44">
        <f t="shared" si="105"/>
        <v>0</v>
      </c>
      <c r="AE303" s="44">
        <f t="shared" si="106"/>
        <v>0</v>
      </c>
      <c r="AF303" s="52" t="e">
        <f>HLOOKUP(I303,ElecAvoidedCostsWOCC!$A$5:$Q$50,G303+1,FALSE)</f>
        <v>#N/A</v>
      </c>
      <c r="AG303" s="44" t="e">
        <f t="shared" si="107"/>
        <v>#N/A</v>
      </c>
      <c r="AH303" s="52" t="e">
        <f>HLOOKUP(I303,ElecAvoidedCostsWOCC!$A$5:$Q$50,T303+1,FALSE)</f>
        <v>#N/A</v>
      </c>
      <c r="AI303" s="44" t="e">
        <f t="shared" si="108"/>
        <v>#N/A</v>
      </c>
      <c r="AJ303" s="44" t="e">
        <f t="shared" si="109"/>
        <v>#N/A</v>
      </c>
      <c r="AK303" s="44" t="e">
        <f>HLOOKUP(I303,ElecAvoidedCostsWOCC!$A$5:$Q$50,G303+1,FALSE)*J303*L303</f>
        <v>#N/A</v>
      </c>
      <c r="AL303" s="44" t="e">
        <f t="shared" si="110"/>
        <v>#N/A</v>
      </c>
      <c r="AM303" s="48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8">
        <f t="shared" si="111"/>
        <v>0</v>
      </c>
      <c r="AO303" s="47">
        <f t="shared" si="112"/>
        <v>0</v>
      </c>
      <c r="AP303" s="47" t="e">
        <f t="shared" si="113"/>
        <v>#DIV/0!</v>
      </c>
    </row>
    <row r="304" spans="2:42">
      <c r="B304" s="37"/>
      <c r="C304" s="61"/>
      <c r="D304" s="61"/>
      <c r="E304" s="38"/>
      <c r="F304" s="39"/>
      <c r="G304" s="39"/>
      <c r="H304" s="39"/>
      <c r="I304" s="40"/>
      <c r="J304" s="41"/>
      <c r="K304" s="41"/>
      <c r="L304" s="41"/>
      <c r="M304" s="42"/>
      <c r="N304" s="42"/>
      <c r="O304" s="43"/>
      <c r="P304" s="44"/>
      <c r="Q304" s="44"/>
      <c r="R304" s="45"/>
      <c r="S304" s="46"/>
      <c r="T304" s="39">
        <f t="shared" si="95"/>
        <v>0</v>
      </c>
      <c r="U304" s="47">
        <f t="shared" si="96"/>
        <v>0</v>
      </c>
      <c r="V304" s="48">
        <f t="shared" si="97"/>
        <v>0</v>
      </c>
      <c r="W304" s="49">
        <f t="shared" si="98"/>
        <v>0</v>
      </c>
      <c r="X304" s="44">
        <f t="shared" si="99"/>
        <v>0</v>
      </c>
      <c r="Y304" s="44">
        <f t="shared" si="100"/>
        <v>0</v>
      </c>
      <c r="Z304" s="44">
        <f t="shared" si="101"/>
        <v>0</v>
      </c>
      <c r="AA304" s="50">
        <f t="shared" si="102"/>
        <v>0</v>
      </c>
      <c r="AB304" s="51">
        <f t="shared" si="103"/>
        <v>0</v>
      </c>
      <c r="AC304" s="44">
        <f t="shared" si="104"/>
        <v>0</v>
      </c>
      <c r="AD304" s="44">
        <f t="shared" si="105"/>
        <v>0</v>
      </c>
      <c r="AE304" s="44">
        <f t="shared" si="106"/>
        <v>0</v>
      </c>
      <c r="AF304" s="52" t="e">
        <f>HLOOKUP(I304,ElecAvoidedCostsWOCC!$A$5:$Q$50,G304+1,FALSE)</f>
        <v>#N/A</v>
      </c>
      <c r="AG304" s="44" t="e">
        <f t="shared" si="107"/>
        <v>#N/A</v>
      </c>
      <c r="AH304" s="52" t="e">
        <f>HLOOKUP(I304,ElecAvoidedCostsWOCC!$A$5:$Q$50,T304+1,FALSE)</f>
        <v>#N/A</v>
      </c>
      <c r="AI304" s="44" t="e">
        <f t="shared" si="108"/>
        <v>#N/A</v>
      </c>
      <c r="AJ304" s="44" t="e">
        <f t="shared" si="109"/>
        <v>#N/A</v>
      </c>
      <c r="AK304" s="44" t="e">
        <f>HLOOKUP(I304,ElecAvoidedCostsWOCC!$A$5:$Q$50,G304+1,FALSE)*J304*L304</f>
        <v>#N/A</v>
      </c>
      <c r="AL304" s="44" t="e">
        <f t="shared" si="110"/>
        <v>#N/A</v>
      </c>
      <c r="AM304" s="48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8">
        <f t="shared" si="111"/>
        <v>0</v>
      </c>
      <c r="AO304" s="47">
        <f t="shared" si="112"/>
        <v>0</v>
      </c>
      <c r="AP304" s="47" t="e">
        <f t="shared" si="113"/>
        <v>#DIV/0!</v>
      </c>
    </row>
    <row r="305" spans="2:42">
      <c r="B305" s="37"/>
      <c r="C305" s="61"/>
      <c r="D305" s="61"/>
      <c r="E305" s="38"/>
      <c r="F305" s="39"/>
      <c r="G305" s="39"/>
      <c r="H305" s="39"/>
      <c r="I305" s="40"/>
      <c r="J305" s="41"/>
      <c r="K305" s="41"/>
      <c r="L305" s="41"/>
      <c r="M305" s="42"/>
      <c r="N305" s="42"/>
      <c r="O305" s="43"/>
      <c r="P305" s="44"/>
      <c r="Q305" s="44"/>
      <c r="R305" s="45"/>
      <c r="S305" s="46"/>
      <c r="T305" s="39">
        <f t="shared" si="95"/>
        <v>0</v>
      </c>
      <c r="U305" s="47">
        <f t="shared" si="96"/>
        <v>0</v>
      </c>
      <c r="V305" s="48">
        <f t="shared" si="97"/>
        <v>0</v>
      </c>
      <c r="W305" s="49">
        <f t="shared" si="98"/>
        <v>0</v>
      </c>
      <c r="X305" s="44">
        <f t="shared" si="99"/>
        <v>0</v>
      </c>
      <c r="Y305" s="44">
        <f t="shared" si="100"/>
        <v>0</v>
      </c>
      <c r="Z305" s="44">
        <f t="shared" si="101"/>
        <v>0</v>
      </c>
      <c r="AA305" s="50">
        <f t="shared" si="102"/>
        <v>0</v>
      </c>
      <c r="AB305" s="51">
        <f t="shared" si="103"/>
        <v>0</v>
      </c>
      <c r="AC305" s="44">
        <f t="shared" si="104"/>
        <v>0</v>
      </c>
      <c r="AD305" s="44">
        <f t="shared" si="105"/>
        <v>0</v>
      </c>
      <c r="AE305" s="44">
        <f t="shared" si="106"/>
        <v>0</v>
      </c>
      <c r="AF305" s="52" t="e">
        <f>HLOOKUP(I305,ElecAvoidedCostsWOCC!$A$5:$Q$50,G305+1,FALSE)</f>
        <v>#N/A</v>
      </c>
      <c r="AG305" s="44" t="e">
        <f t="shared" si="107"/>
        <v>#N/A</v>
      </c>
      <c r="AH305" s="52" t="e">
        <f>HLOOKUP(I305,ElecAvoidedCostsWOCC!$A$5:$Q$50,T305+1,FALSE)</f>
        <v>#N/A</v>
      </c>
      <c r="AI305" s="44" t="e">
        <f t="shared" si="108"/>
        <v>#N/A</v>
      </c>
      <c r="AJ305" s="44" t="e">
        <f t="shared" si="109"/>
        <v>#N/A</v>
      </c>
      <c r="AK305" s="44" t="e">
        <f>HLOOKUP(I305,ElecAvoidedCostsWOCC!$A$5:$Q$50,G305+1,FALSE)*J305*L305</f>
        <v>#N/A</v>
      </c>
      <c r="AL305" s="44" t="e">
        <f t="shared" si="110"/>
        <v>#N/A</v>
      </c>
      <c r="AM305" s="48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8">
        <f t="shared" si="111"/>
        <v>0</v>
      </c>
      <c r="AO305" s="47">
        <f t="shared" si="112"/>
        <v>0</v>
      </c>
      <c r="AP305" s="47" t="e">
        <f t="shared" si="113"/>
        <v>#DIV/0!</v>
      </c>
    </row>
    <row r="306" spans="2:42">
      <c r="B306" s="37"/>
      <c r="C306" s="61"/>
      <c r="D306" s="61"/>
      <c r="E306" s="38"/>
      <c r="F306" s="39"/>
      <c r="G306" s="39"/>
      <c r="H306" s="39"/>
      <c r="I306" s="40"/>
      <c r="J306" s="41"/>
      <c r="K306" s="41"/>
      <c r="L306" s="41"/>
      <c r="M306" s="42"/>
      <c r="N306" s="42"/>
      <c r="O306" s="43"/>
      <c r="P306" s="44"/>
      <c r="Q306" s="44"/>
      <c r="R306" s="45"/>
      <c r="S306" s="46"/>
      <c r="T306" s="39">
        <f t="shared" si="95"/>
        <v>0</v>
      </c>
      <c r="U306" s="47">
        <f t="shared" si="96"/>
        <v>0</v>
      </c>
      <c r="V306" s="48">
        <f t="shared" si="97"/>
        <v>0</v>
      </c>
      <c r="W306" s="49">
        <f t="shared" si="98"/>
        <v>0</v>
      </c>
      <c r="X306" s="44">
        <f t="shared" si="99"/>
        <v>0</v>
      </c>
      <c r="Y306" s="44">
        <f t="shared" si="100"/>
        <v>0</v>
      </c>
      <c r="Z306" s="44">
        <f t="shared" si="101"/>
        <v>0</v>
      </c>
      <c r="AA306" s="50">
        <f t="shared" si="102"/>
        <v>0</v>
      </c>
      <c r="AB306" s="51">
        <f t="shared" si="103"/>
        <v>0</v>
      </c>
      <c r="AC306" s="44">
        <f t="shared" si="104"/>
        <v>0</v>
      </c>
      <c r="AD306" s="44">
        <f t="shared" si="105"/>
        <v>0</v>
      </c>
      <c r="AE306" s="44">
        <f t="shared" si="106"/>
        <v>0</v>
      </c>
      <c r="AF306" s="52" t="e">
        <f>HLOOKUP(I306,ElecAvoidedCostsWOCC!$A$5:$Q$50,G306+1,FALSE)</f>
        <v>#N/A</v>
      </c>
      <c r="AG306" s="44" t="e">
        <f t="shared" si="107"/>
        <v>#N/A</v>
      </c>
      <c r="AH306" s="52" t="e">
        <f>HLOOKUP(I306,ElecAvoidedCostsWOCC!$A$5:$Q$50,T306+1,FALSE)</f>
        <v>#N/A</v>
      </c>
      <c r="AI306" s="44" t="e">
        <f t="shared" si="108"/>
        <v>#N/A</v>
      </c>
      <c r="AJ306" s="44" t="e">
        <f t="shared" si="109"/>
        <v>#N/A</v>
      </c>
      <c r="AK306" s="44" t="e">
        <f>HLOOKUP(I306,ElecAvoidedCostsWOCC!$A$5:$Q$50,G306+1,FALSE)*J306*L306</f>
        <v>#N/A</v>
      </c>
      <c r="AL306" s="44" t="e">
        <f t="shared" si="110"/>
        <v>#N/A</v>
      </c>
      <c r="AM306" s="48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8">
        <f t="shared" si="111"/>
        <v>0</v>
      </c>
      <c r="AO306" s="47">
        <f t="shared" si="112"/>
        <v>0</v>
      </c>
      <c r="AP306" s="47" t="e">
        <f t="shared" si="113"/>
        <v>#DIV/0!</v>
      </c>
    </row>
    <row r="307" spans="2:42">
      <c r="B307" s="37"/>
      <c r="C307" s="61"/>
      <c r="D307" s="61"/>
      <c r="E307" s="38"/>
      <c r="F307" s="39"/>
      <c r="G307" s="39"/>
      <c r="H307" s="39"/>
      <c r="I307" s="40"/>
      <c r="J307" s="41"/>
      <c r="K307" s="41"/>
      <c r="L307" s="41"/>
      <c r="M307" s="42"/>
      <c r="N307" s="42"/>
      <c r="O307" s="43"/>
      <c r="P307" s="44"/>
      <c r="Q307" s="44"/>
      <c r="R307" s="45"/>
      <c r="S307" s="46"/>
      <c r="T307" s="39">
        <f t="shared" si="95"/>
        <v>0</v>
      </c>
      <c r="U307" s="47">
        <f t="shared" si="96"/>
        <v>0</v>
      </c>
      <c r="V307" s="48">
        <f t="shared" si="97"/>
        <v>0</v>
      </c>
      <c r="W307" s="49">
        <f t="shared" si="98"/>
        <v>0</v>
      </c>
      <c r="X307" s="44">
        <f t="shared" si="99"/>
        <v>0</v>
      </c>
      <c r="Y307" s="44">
        <f t="shared" si="100"/>
        <v>0</v>
      </c>
      <c r="Z307" s="44">
        <f t="shared" si="101"/>
        <v>0</v>
      </c>
      <c r="AA307" s="50">
        <f t="shared" si="102"/>
        <v>0</v>
      </c>
      <c r="AB307" s="51">
        <f t="shared" si="103"/>
        <v>0</v>
      </c>
      <c r="AC307" s="44">
        <f t="shared" si="104"/>
        <v>0</v>
      </c>
      <c r="AD307" s="44">
        <f t="shared" si="105"/>
        <v>0</v>
      </c>
      <c r="AE307" s="44">
        <f t="shared" si="106"/>
        <v>0</v>
      </c>
      <c r="AF307" s="52" t="e">
        <f>HLOOKUP(I307,ElecAvoidedCostsWOCC!$A$5:$Q$50,G307+1,FALSE)</f>
        <v>#N/A</v>
      </c>
      <c r="AG307" s="44" t="e">
        <f t="shared" si="107"/>
        <v>#N/A</v>
      </c>
      <c r="AH307" s="52" t="e">
        <f>HLOOKUP(I307,ElecAvoidedCostsWOCC!$A$5:$Q$50,T307+1,FALSE)</f>
        <v>#N/A</v>
      </c>
      <c r="AI307" s="44" t="e">
        <f t="shared" si="108"/>
        <v>#N/A</v>
      </c>
      <c r="AJ307" s="44" t="e">
        <f t="shared" si="109"/>
        <v>#N/A</v>
      </c>
      <c r="AK307" s="44" t="e">
        <f>HLOOKUP(I307,ElecAvoidedCostsWOCC!$A$5:$Q$50,G307+1,FALSE)*J307*L307</f>
        <v>#N/A</v>
      </c>
      <c r="AL307" s="44" t="e">
        <f t="shared" si="110"/>
        <v>#N/A</v>
      </c>
      <c r="AM307" s="48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8">
        <f t="shared" si="111"/>
        <v>0</v>
      </c>
      <c r="AO307" s="47">
        <f t="shared" si="112"/>
        <v>0</v>
      </c>
      <c r="AP307" s="47" t="e">
        <f t="shared" si="113"/>
        <v>#DIV/0!</v>
      </c>
    </row>
    <row r="308" spans="2:42">
      <c r="B308" s="37"/>
      <c r="C308" s="61"/>
      <c r="D308" s="61"/>
      <c r="E308" s="38"/>
      <c r="F308" s="39"/>
      <c r="G308" s="39"/>
      <c r="H308" s="39"/>
      <c r="I308" s="40"/>
      <c r="J308" s="41"/>
      <c r="K308" s="41"/>
      <c r="L308" s="41"/>
      <c r="M308" s="42"/>
      <c r="N308" s="42"/>
      <c r="O308" s="43"/>
      <c r="P308" s="44"/>
      <c r="Q308" s="44"/>
      <c r="R308" s="45"/>
      <c r="S308" s="46"/>
      <c r="T308" s="39">
        <f t="shared" si="95"/>
        <v>0</v>
      </c>
      <c r="U308" s="47">
        <f t="shared" si="96"/>
        <v>0</v>
      </c>
      <c r="V308" s="48">
        <f t="shared" si="97"/>
        <v>0</v>
      </c>
      <c r="W308" s="49">
        <f t="shared" si="98"/>
        <v>0</v>
      </c>
      <c r="X308" s="44">
        <f t="shared" si="99"/>
        <v>0</v>
      </c>
      <c r="Y308" s="44">
        <f t="shared" si="100"/>
        <v>0</v>
      </c>
      <c r="Z308" s="44">
        <f t="shared" si="101"/>
        <v>0</v>
      </c>
      <c r="AA308" s="50">
        <f t="shared" si="102"/>
        <v>0</v>
      </c>
      <c r="AB308" s="51">
        <f t="shared" si="103"/>
        <v>0</v>
      </c>
      <c r="AC308" s="44">
        <f t="shared" si="104"/>
        <v>0</v>
      </c>
      <c r="AD308" s="44">
        <f t="shared" si="105"/>
        <v>0</v>
      </c>
      <c r="AE308" s="44">
        <f t="shared" si="106"/>
        <v>0</v>
      </c>
      <c r="AF308" s="52" t="e">
        <f>HLOOKUP(I308,ElecAvoidedCostsWOCC!$A$5:$Q$50,G308+1,FALSE)</f>
        <v>#N/A</v>
      </c>
      <c r="AG308" s="44" t="e">
        <f t="shared" si="107"/>
        <v>#N/A</v>
      </c>
      <c r="AH308" s="52" t="e">
        <f>HLOOKUP(I308,ElecAvoidedCostsWOCC!$A$5:$Q$50,T308+1,FALSE)</f>
        <v>#N/A</v>
      </c>
      <c r="AI308" s="44" t="e">
        <f t="shared" si="108"/>
        <v>#N/A</v>
      </c>
      <c r="AJ308" s="44" t="e">
        <f t="shared" si="109"/>
        <v>#N/A</v>
      </c>
      <c r="AK308" s="44" t="e">
        <f>HLOOKUP(I308,ElecAvoidedCostsWOCC!$A$5:$Q$50,G308+1,FALSE)*J308*L308</f>
        <v>#N/A</v>
      </c>
      <c r="AL308" s="44" t="e">
        <f t="shared" si="110"/>
        <v>#N/A</v>
      </c>
      <c r="AM308" s="48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8">
        <f t="shared" si="111"/>
        <v>0</v>
      </c>
      <c r="AO308" s="47">
        <f t="shared" si="112"/>
        <v>0</v>
      </c>
      <c r="AP308" s="47" t="e">
        <f t="shared" si="113"/>
        <v>#DIV/0!</v>
      </c>
    </row>
    <row r="309" spans="2:42">
      <c r="B309" s="37"/>
      <c r="C309" s="61"/>
      <c r="D309" s="61"/>
      <c r="E309" s="38"/>
      <c r="F309" s="39"/>
      <c r="G309" s="39"/>
      <c r="H309" s="39"/>
      <c r="I309" s="40"/>
      <c r="J309" s="41"/>
      <c r="K309" s="41"/>
      <c r="L309" s="41"/>
      <c r="M309" s="42"/>
      <c r="N309" s="42"/>
      <c r="O309" s="43"/>
      <c r="P309" s="44"/>
      <c r="Q309" s="44"/>
      <c r="R309" s="45"/>
      <c r="S309" s="46"/>
      <c r="T309" s="39">
        <f t="shared" si="95"/>
        <v>0</v>
      </c>
      <c r="U309" s="47">
        <f t="shared" si="96"/>
        <v>0</v>
      </c>
      <c r="V309" s="48">
        <f t="shared" si="97"/>
        <v>0</v>
      </c>
      <c r="W309" s="49">
        <f t="shared" si="98"/>
        <v>0</v>
      </c>
      <c r="X309" s="44">
        <f t="shared" si="99"/>
        <v>0</v>
      </c>
      <c r="Y309" s="44">
        <f t="shared" si="100"/>
        <v>0</v>
      </c>
      <c r="Z309" s="44">
        <f t="shared" si="101"/>
        <v>0</v>
      </c>
      <c r="AA309" s="50">
        <f t="shared" si="102"/>
        <v>0</v>
      </c>
      <c r="AB309" s="51">
        <f t="shared" si="103"/>
        <v>0</v>
      </c>
      <c r="AC309" s="44">
        <f t="shared" si="104"/>
        <v>0</v>
      </c>
      <c r="AD309" s="44">
        <f t="shared" si="105"/>
        <v>0</v>
      </c>
      <c r="AE309" s="44">
        <f t="shared" si="106"/>
        <v>0</v>
      </c>
      <c r="AF309" s="52" t="e">
        <f>HLOOKUP(I309,ElecAvoidedCostsWOCC!$A$5:$Q$50,G309+1,FALSE)</f>
        <v>#N/A</v>
      </c>
      <c r="AG309" s="44" t="e">
        <f t="shared" si="107"/>
        <v>#N/A</v>
      </c>
      <c r="AH309" s="52" t="e">
        <f>HLOOKUP(I309,ElecAvoidedCostsWOCC!$A$5:$Q$50,T309+1,FALSE)</f>
        <v>#N/A</v>
      </c>
      <c r="AI309" s="44" t="e">
        <f t="shared" si="108"/>
        <v>#N/A</v>
      </c>
      <c r="AJ309" s="44" t="e">
        <f t="shared" si="109"/>
        <v>#N/A</v>
      </c>
      <c r="AK309" s="44" t="e">
        <f>HLOOKUP(I309,ElecAvoidedCostsWOCC!$A$5:$Q$50,G309+1,FALSE)*J309*L309</f>
        <v>#N/A</v>
      </c>
      <c r="AL309" s="44" t="e">
        <f t="shared" si="110"/>
        <v>#N/A</v>
      </c>
      <c r="AM309" s="48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8">
        <f t="shared" si="111"/>
        <v>0</v>
      </c>
      <c r="AO309" s="47">
        <f t="shared" si="112"/>
        <v>0</v>
      </c>
      <c r="AP309" s="47" t="e">
        <f t="shared" si="113"/>
        <v>#DIV/0!</v>
      </c>
    </row>
    <row r="310" spans="2:42">
      <c r="B310" s="37"/>
      <c r="C310" s="61"/>
      <c r="D310" s="61"/>
      <c r="E310" s="38"/>
      <c r="F310" s="39"/>
      <c r="G310" s="39"/>
      <c r="H310" s="39"/>
      <c r="I310" s="40"/>
      <c r="J310" s="41"/>
      <c r="K310" s="41"/>
      <c r="L310" s="41"/>
      <c r="M310" s="42"/>
      <c r="N310" s="42"/>
      <c r="O310" s="43"/>
      <c r="P310" s="44"/>
      <c r="Q310" s="44"/>
      <c r="R310" s="45"/>
      <c r="S310" s="46"/>
      <c r="T310" s="39">
        <f t="shared" si="95"/>
        <v>0</v>
      </c>
      <c r="U310" s="47">
        <f t="shared" si="96"/>
        <v>0</v>
      </c>
      <c r="V310" s="48">
        <f t="shared" si="97"/>
        <v>0</v>
      </c>
      <c r="W310" s="49">
        <f t="shared" si="98"/>
        <v>0</v>
      </c>
      <c r="X310" s="44">
        <f t="shared" si="99"/>
        <v>0</v>
      </c>
      <c r="Y310" s="44">
        <f t="shared" si="100"/>
        <v>0</v>
      </c>
      <c r="Z310" s="44">
        <f t="shared" si="101"/>
        <v>0</v>
      </c>
      <c r="AA310" s="50">
        <f t="shared" si="102"/>
        <v>0</v>
      </c>
      <c r="AB310" s="51">
        <f t="shared" si="103"/>
        <v>0</v>
      </c>
      <c r="AC310" s="44">
        <f t="shared" si="104"/>
        <v>0</v>
      </c>
      <c r="AD310" s="44">
        <f t="shared" si="105"/>
        <v>0</v>
      </c>
      <c r="AE310" s="44">
        <f t="shared" si="106"/>
        <v>0</v>
      </c>
      <c r="AF310" s="52" t="e">
        <f>HLOOKUP(I310,ElecAvoidedCostsWOCC!$A$5:$Q$50,G310+1,FALSE)</f>
        <v>#N/A</v>
      </c>
      <c r="AG310" s="44" t="e">
        <f t="shared" si="107"/>
        <v>#N/A</v>
      </c>
      <c r="AH310" s="52" t="e">
        <f>HLOOKUP(I310,ElecAvoidedCostsWOCC!$A$5:$Q$50,T310+1,FALSE)</f>
        <v>#N/A</v>
      </c>
      <c r="AI310" s="44" t="e">
        <f t="shared" si="108"/>
        <v>#N/A</v>
      </c>
      <c r="AJ310" s="44" t="e">
        <f t="shared" si="109"/>
        <v>#N/A</v>
      </c>
      <c r="AK310" s="44" t="e">
        <f>HLOOKUP(I310,ElecAvoidedCostsWOCC!$A$5:$Q$50,G310+1,FALSE)*J310*L310</f>
        <v>#N/A</v>
      </c>
      <c r="AL310" s="44" t="e">
        <f t="shared" si="110"/>
        <v>#N/A</v>
      </c>
      <c r="AM310" s="48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8">
        <f t="shared" si="111"/>
        <v>0</v>
      </c>
      <c r="AO310" s="47">
        <f t="shared" si="112"/>
        <v>0</v>
      </c>
      <c r="AP310" s="47" t="e">
        <f t="shared" si="113"/>
        <v>#DIV/0!</v>
      </c>
    </row>
    <row r="311" spans="2:42">
      <c r="B311" s="37"/>
      <c r="C311" s="61"/>
      <c r="D311" s="61"/>
      <c r="E311" s="38"/>
      <c r="F311" s="39"/>
      <c r="G311" s="39"/>
      <c r="H311" s="39"/>
      <c r="I311" s="40"/>
      <c r="J311" s="41"/>
      <c r="K311" s="41"/>
      <c r="L311" s="41"/>
      <c r="M311" s="42"/>
      <c r="N311" s="42"/>
      <c r="O311" s="43"/>
      <c r="P311" s="44"/>
      <c r="Q311" s="44"/>
      <c r="R311" s="45"/>
      <c r="S311" s="46"/>
      <c r="T311" s="39">
        <f t="shared" si="95"/>
        <v>0</v>
      </c>
      <c r="U311" s="47">
        <f t="shared" si="96"/>
        <v>0</v>
      </c>
      <c r="V311" s="48">
        <f t="shared" si="97"/>
        <v>0</v>
      </c>
      <c r="W311" s="49">
        <f t="shared" si="98"/>
        <v>0</v>
      </c>
      <c r="X311" s="44">
        <f t="shared" si="99"/>
        <v>0</v>
      </c>
      <c r="Y311" s="44">
        <f t="shared" si="100"/>
        <v>0</v>
      </c>
      <c r="Z311" s="44">
        <f t="shared" si="101"/>
        <v>0</v>
      </c>
      <c r="AA311" s="50">
        <f t="shared" si="102"/>
        <v>0</v>
      </c>
      <c r="AB311" s="51">
        <f t="shared" si="103"/>
        <v>0</v>
      </c>
      <c r="AC311" s="44">
        <f t="shared" si="104"/>
        <v>0</v>
      </c>
      <c r="AD311" s="44">
        <f t="shared" si="105"/>
        <v>0</v>
      </c>
      <c r="AE311" s="44">
        <f t="shared" si="106"/>
        <v>0</v>
      </c>
      <c r="AF311" s="52" t="e">
        <f>HLOOKUP(I311,ElecAvoidedCostsWOCC!$A$5:$Q$50,G311+1,FALSE)</f>
        <v>#N/A</v>
      </c>
      <c r="AG311" s="44" t="e">
        <f t="shared" si="107"/>
        <v>#N/A</v>
      </c>
      <c r="AH311" s="52" t="e">
        <f>HLOOKUP(I311,ElecAvoidedCostsWOCC!$A$5:$Q$50,T311+1,FALSE)</f>
        <v>#N/A</v>
      </c>
      <c r="AI311" s="44" t="e">
        <f t="shared" si="108"/>
        <v>#N/A</v>
      </c>
      <c r="AJ311" s="44" t="e">
        <f t="shared" si="109"/>
        <v>#N/A</v>
      </c>
      <c r="AK311" s="44" t="e">
        <f>HLOOKUP(I311,ElecAvoidedCostsWOCC!$A$5:$Q$50,G311+1,FALSE)*J311*L311</f>
        <v>#N/A</v>
      </c>
      <c r="AL311" s="44" t="e">
        <f t="shared" si="110"/>
        <v>#N/A</v>
      </c>
      <c r="AM311" s="48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8">
        <f t="shared" si="111"/>
        <v>0</v>
      </c>
      <c r="AO311" s="47">
        <f t="shared" si="112"/>
        <v>0</v>
      </c>
      <c r="AP311" s="47" t="e">
        <f t="shared" si="113"/>
        <v>#DIV/0!</v>
      </c>
    </row>
    <row r="312" spans="2:42">
      <c r="B312" s="37"/>
      <c r="C312" s="61"/>
      <c r="D312" s="61"/>
      <c r="E312" s="38"/>
      <c r="F312" s="39"/>
      <c r="G312" s="39"/>
      <c r="H312" s="39"/>
      <c r="I312" s="40"/>
      <c r="J312" s="41"/>
      <c r="K312" s="41"/>
      <c r="L312" s="41"/>
      <c r="M312" s="42"/>
      <c r="N312" s="42"/>
      <c r="O312" s="43"/>
      <c r="P312" s="44"/>
      <c r="Q312" s="44"/>
      <c r="R312" s="45"/>
      <c r="S312" s="46"/>
      <c r="T312" s="39">
        <f t="shared" si="95"/>
        <v>0</v>
      </c>
      <c r="U312" s="47">
        <f t="shared" si="96"/>
        <v>0</v>
      </c>
      <c r="V312" s="48">
        <f t="shared" si="97"/>
        <v>0</v>
      </c>
      <c r="W312" s="49">
        <f t="shared" si="98"/>
        <v>0</v>
      </c>
      <c r="X312" s="44">
        <f t="shared" si="99"/>
        <v>0</v>
      </c>
      <c r="Y312" s="44">
        <f t="shared" si="100"/>
        <v>0</v>
      </c>
      <c r="Z312" s="44">
        <f t="shared" si="101"/>
        <v>0</v>
      </c>
      <c r="AA312" s="50">
        <f t="shared" si="102"/>
        <v>0</v>
      </c>
      <c r="AB312" s="51">
        <f t="shared" si="103"/>
        <v>0</v>
      </c>
      <c r="AC312" s="44">
        <f t="shared" si="104"/>
        <v>0</v>
      </c>
      <c r="AD312" s="44">
        <f t="shared" si="105"/>
        <v>0</v>
      </c>
      <c r="AE312" s="44">
        <f t="shared" si="106"/>
        <v>0</v>
      </c>
      <c r="AF312" s="52" t="e">
        <f>HLOOKUP(I312,ElecAvoidedCostsWOCC!$A$5:$Q$50,G312+1,FALSE)</f>
        <v>#N/A</v>
      </c>
      <c r="AG312" s="44" t="e">
        <f t="shared" si="107"/>
        <v>#N/A</v>
      </c>
      <c r="AH312" s="52" t="e">
        <f>HLOOKUP(I312,ElecAvoidedCostsWOCC!$A$5:$Q$50,T312+1,FALSE)</f>
        <v>#N/A</v>
      </c>
      <c r="AI312" s="44" t="e">
        <f t="shared" si="108"/>
        <v>#N/A</v>
      </c>
      <c r="AJ312" s="44" t="e">
        <f t="shared" si="109"/>
        <v>#N/A</v>
      </c>
      <c r="AK312" s="44" t="e">
        <f>HLOOKUP(I312,ElecAvoidedCostsWOCC!$A$5:$Q$50,G312+1,FALSE)*J312*L312</f>
        <v>#N/A</v>
      </c>
      <c r="AL312" s="44" t="e">
        <f t="shared" si="110"/>
        <v>#N/A</v>
      </c>
      <c r="AM312" s="48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8">
        <f t="shared" si="111"/>
        <v>0</v>
      </c>
      <c r="AO312" s="47">
        <f t="shared" si="112"/>
        <v>0</v>
      </c>
      <c r="AP312" s="47" t="e">
        <f t="shared" si="113"/>
        <v>#DIV/0!</v>
      </c>
    </row>
    <row r="313" spans="2:42">
      <c r="B313" s="37"/>
      <c r="C313" s="61"/>
      <c r="D313" s="61"/>
      <c r="E313" s="38"/>
      <c r="F313" s="39"/>
      <c r="G313" s="39"/>
      <c r="H313" s="39"/>
      <c r="I313" s="40"/>
      <c r="J313" s="41"/>
      <c r="K313" s="41"/>
      <c r="L313" s="41"/>
      <c r="M313" s="42"/>
      <c r="N313" s="42"/>
      <c r="O313" s="43"/>
      <c r="P313" s="44"/>
      <c r="Q313" s="44"/>
      <c r="R313" s="45"/>
      <c r="S313" s="46"/>
      <c r="T313" s="39">
        <f t="shared" si="95"/>
        <v>0</v>
      </c>
      <c r="U313" s="47">
        <f t="shared" si="96"/>
        <v>0</v>
      </c>
      <c r="V313" s="48">
        <f t="shared" si="97"/>
        <v>0</v>
      </c>
      <c r="W313" s="49">
        <f t="shared" si="98"/>
        <v>0</v>
      </c>
      <c r="X313" s="44">
        <f t="shared" si="99"/>
        <v>0</v>
      </c>
      <c r="Y313" s="44">
        <f t="shared" si="100"/>
        <v>0</v>
      </c>
      <c r="Z313" s="44">
        <f t="shared" si="101"/>
        <v>0</v>
      </c>
      <c r="AA313" s="50">
        <f t="shared" si="102"/>
        <v>0</v>
      </c>
      <c r="AB313" s="51">
        <f t="shared" si="103"/>
        <v>0</v>
      </c>
      <c r="AC313" s="44">
        <f t="shared" si="104"/>
        <v>0</v>
      </c>
      <c r="AD313" s="44">
        <f t="shared" si="105"/>
        <v>0</v>
      </c>
      <c r="AE313" s="44">
        <f t="shared" si="106"/>
        <v>0</v>
      </c>
      <c r="AF313" s="52" t="e">
        <f>HLOOKUP(I313,ElecAvoidedCostsWOCC!$A$5:$Q$50,G313+1,FALSE)</f>
        <v>#N/A</v>
      </c>
      <c r="AG313" s="44" t="e">
        <f t="shared" si="107"/>
        <v>#N/A</v>
      </c>
      <c r="AH313" s="52" t="e">
        <f>HLOOKUP(I313,ElecAvoidedCostsWOCC!$A$5:$Q$50,T313+1,FALSE)</f>
        <v>#N/A</v>
      </c>
      <c r="AI313" s="44" t="e">
        <f t="shared" si="108"/>
        <v>#N/A</v>
      </c>
      <c r="AJ313" s="44" t="e">
        <f t="shared" si="109"/>
        <v>#N/A</v>
      </c>
      <c r="AK313" s="44" t="e">
        <f>HLOOKUP(I313,ElecAvoidedCostsWOCC!$A$5:$Q$50,G313+1,FALSE)*J313*L313</f>
        <v>#N/A</v>
      </c>
      <c r="AL313" s="44" t="e">
        <f t="shared" si="110"/>
        <v>#N/A</v>
      </c>
      <c r="AM313" s="48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8">
        <f t="shared" si="111"/>
        <v>0</v>
      </c>
      <c r="AO313" s="47">
        <f t="shared" si="112"/>
        <v>0</v>
      </c>
      <c r="AP313" s="47" t="e">
        <f t="shared" si="113"/>
        <v>#DIV/0!</v>
      </c>
    </row>
    <row r="314" spans="2:42">
      <c r="B314" s="37"/>
      <c r="C314" s="61"/>
      <c r="D314" s="61"/>
      <c r="E314" s="38"/>
      <c r="F314" s="39"/>
      <c r="G314" s="39"/>
      <c r="H314" s="39"/>
      <c r="I314" s="40"/>
      <c r="J314" s="41"/>
      <c r="K314" s="41"/>
      <c r="L314" s="41"/>
      <c r="M314" s="42"/>
      <c r="N314" s="42"/>
      <c r="O314" s="43"/>
      <c r="P314" s="44"/>
      <c r="Q314" s="44"/>
      <c r="R314" s="45"/>
      <c r="S314" s="46"/>
      <c r="T314" s="39">
        <f t="shared" si="95"/>
        <v>0</v>
      </c>
      <c r="U314" s="47">
        <f t="shared" si="96"/>
        <v>0</v>
      </c>
      <c r="V314" s="48">
        <f t="shared" si="97"/>
        <v>0</v>
      </c>
      <c r="W314" s="49">
        <f t="shared" si="98"/>
        <v>0</v>
      </c>
      <c r="X314" s="44">
        <f t="shared" si="99"/>
        <v>0</v>
      </c>
      <c r="Y314" s="44">
        <f t="shared" si="100"/>
        <v>0</v>
      </c>
      <c r="Z314" s="44">
        <f t="shared" si="101"/>
        <v>0</v>
      </c>
      <c r="AA314" s="50">
        <f t="shared" si="102"/>
        <v>0</v>
      </c>
      <c r="AB314" s="51">
        <f t="shared" si="103"/>
        <v>0</v>
      </c>
      <c r="AC314" s="44">
        <f t="shared" si="104"/>
        <v>0</v>
      </c>
      <c r="AD314" s="44">
        <f t="shared" si="105"/>
        <v>0</v>
      </c>
      <c r="AE314" s="44">
        <f t="shared" si="106"/>
        <v>0</v>
      </c>
      <c r="AF314" s="52" t="e">
        <f>HLOOKUP(I314,ElecAvoidedCostsWOCC!$A$5:$Q$50,G314+1,FALSE)</f>
        <v>#N/A</v>
      </c>
      <c r="AG314" s="44" t="e">
        <f t="shared" si="107"/>
        <v>#N/A</v>
      </c>
      <c r="AH314" s="52" t="e">
        <f>HLOOKUP(I314,ElecAvoidedCostsWOCC!$A$5:$Q$50,T314+1,FALSE)</f>
        <v>#N/A</v>
      </c>
      <c r="AI314" s="44" t="e">
        <f t="shared" si="108"/>
        <v>#N/A</v>
      </c>
      <c r="AJ314" s="44" t="e">
        <f t="shared" si="109"/>
        <v>#N/A</v>
      </c>
      <c r="AK314" s="44" t="e">
        <f>HLOOKUP(I314,ElecAvoidedCostsWOCC!$A$5:$Q$50,G314+1,FALSE)*J314*L314</f>
        <v>#N/A</v>
      </c>
      <c r="AL314" s="44" t="e">
        <f t="shared" si="110"/>
        <v>#N/A</v>
      </c>
      <c r="AM314" s="48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8">
        <f t="shared" si="111"/>
        <v>0</v>
      </c>
      <c r="AO314" s="47">
        <f t="shared" si="112"/>
        <v>0</v>
      </c>
      <c r="AP314" s="47" t="e">
        <f t="shared" si="113"/>
        <v>#DIV/0!</v>
      </c>
    </row>
    <row r="315" spans="2:42">
      <c r="B315" s="37"/>
      <c r="C315" s="61"/>
      <c r="D315" s="61"/>
      <c r="E315" s="38"/>
      <c r="F315" s="39"/>
      <c r="G315" s="39"/>
      <c r="H315" s="39"/>
      <c r="I315" s="40"/>
      <c r="J315" s="41"/>
      <c r="K315" s="41"/>
      <c r="L315" s="41"/>
      <c r="M315" s="42"/>
      <c r="N315" s="42"/>
      <c r="O315" s="43"/>
      <c r="P315" s="44"/>
      <c r="Q315" s="44"/>
      <c r="R315" s="45"/>
      <c r="S315" s="46"/>
      <c r="T315" s="39">
        <f t="shared" si="95"/>
        <v>0</v>
      </c>
      <c r="U315" s="47">
        <f t="shared" si="96"/>
        <v>0</v>
      </c>
      <c r="V315" s="48">
        <f t="shared" si="97"/>
        <v>0</v>
      </c>
      <c r="W315" s="49">
        <f t="shared" si="98"/>
        <v>0</v>
      </c>
      <c r="X315" s="44">
        <f t="shared" si="99"/>
        <v>0</v>
      </c>
      <c r="Y315" s="44">
        <f t="shared" si="100"/>
        <v>0</v>
      </c>
      <c r="Z315" s="44">
        <f t="shared" si="101"/>
        <v>0</v>
      </c>
      <c r="AA315" s="50">
        <f t="shared" si="102"/>
        <v>0</v>
      </c>
      <c r="AB315" s="51">
        <f t="shared" si="103"/>
        <v>0</v>
      </c>
      <c r="AC315" s="44">
        <f t="shared" si="104"/>
        <v>0</v>
      </c>
      <c r="AD315" s="44">
        <f t="shared" si="105"/>
        <v>0</v>
      </c>
      <c r="AE315" s="44">
        <f t="shared" si="106"/>
        <v>0</v>
      </c>
      <c r="AF315" s="52" t="e">
        <f>HLOOKUP(I315,ElecAvoidedCostsWOCC!$A$5:$Q$50,G315+1,FALSE)</f>
        <v>#N/A</v>
      </c>
      <c r="AG315" s="44" t="e">
        <f t="shared" si="107"/>
        <v>#N/A</v>
      </c>
      <c r="AH315" s="52" t="e">
        <f>HLOOKUP(I315,ElecAvoidedCostsWOCC!$A$5:$Q$50,T315+1,FALSE)</f>
        <v>#N/A</v>
      </c>
      <c r="AI315" s="44" t="e">
        <f t="shared" si="108"/>
        <v>#N/A</v>
      </c>
      <c r="AJ315" s="44" t="e">
        <f t="shared" si="109"/>
        <v>#N/A</v>
      </c>
      <c r="AK315" s="44" t="e">
        <f>HLOOKUP(I315,ElecAvoidedCostsWOCC!$A$5:$Q$50,G315+1,FALSE)*J315*L315</f>
        <v>#N/A</v>
      </c>
      <c r="AL315" s="44" t="e">
        <f t="shared" si="110"/>
        <v>#N/A</v>
      </c>
      <c r="AM315" s="48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8">
        <f t="shared" si="111"/>
        <v>0</v>
      </c>
      <c r="AO315" s="47">
        <f t="shared" si="112"/>
        <v>0</v>
      </c>
      <c r="AP315" s="47" t="e">
        <f t="shared" si="113"/>
        <v>#DIV/0!</v>
      </c>
    </row>
    <row r="316" spans="2:42">
      <c r="B316" s="37"/>
      <c r="C316" s="61"/>
      <c r="D316" s="61"/>
      <c r="E316" s="38"/>
      <c r="F316" s="39"/>
      <c r="G316" s="39"/>
      <c r="H316" s="39"/>
      <c r="I316" s="40"/>
      <c r="J316" s="41"/>
      <c r="K316" s="41"/>
      <c r="L316" s="41"/>
      <c r="M316" s="42"/>
      <c r="N316" s="42"/>
      <c r="O316" s="43"/>
      <c r="P316" s="44"/>
      <c r="Q316" s="44"/>
      <c r="R316" s="45"/>
      <c r="S316" s="46"/>
      <c r="T316" s="39">
        <f t="shared" si="95"/>
        <v>0</v>
      </c>
      <c r="U316" s="47">
        <f t="shared" si="96"/>
        <v>0</v>
      </c>
      <c r="V316" s="48">
        <f t="shared" si="97"/>
        <v>0</v>
      </c>
      <c r="W316" s="49">
        <f t="shared" si="98"/>
        <v>0</v>
      </c>
      <c r="X316" s="44">
        <f t="shared" si="99"/>
        <v>0</v>
      </c>
      <c r="Y316" s="44">
        <f t="shared" si="100"/>
        <v>0</v>
      </c>
      <c r="Z316" s="44">
        <f t="shared" si="101"/>
        <v>0</v>
      </c>
      <c r="AA316" s="50">
        <f t="shared" si="102"/>
        <v>0</v>
      </c>
      <c r="AB316" s="51">
        <f t="shared" si="103"/>
        <v>0</v>
      </c>
      <c r="AC316" s="44">
        <f t="shared" si="104"/>
        <v>0</v>
      </c>
      <c r="AD316" s="44">
        <f t="shared" si="105"/>
        <v>0</v>
      </c>
      <c r="AE316" s="44">
        <f t="shared" si="106"/>
        <v>0</v>
      </c>
      <c r="AF316" s="52" t="e">
        <f>HLOOKUP(I316,ElecAvoidedCostsWOCC!$A$5:$Q$50,G316+1,FALSE)</f>
        <v>#N/A</v>
      </c>
      <c r="AG316" s="44" t="e">
        <f t="shared" si="107"/>
        <v>#N/A</v>
      </c>
      <c r="AH316" s="52" t="e">
        <f>HLOOKUP(I316,ElecAvoidedCostsWOCC!$A$5:$Q$50,T316+1,FALSE)</f>
        <v>#N/A</v>
      </c>
      <c r="AI316" s="44" t="e">
        <f t="shared" si="108"/>
        <v>#N/A</v>
      </c>
      <c r="AJ316" s="44" t="e">
        <f t="shared" si="109"/>
        <v>#N/A</v>
      </c>
      <c r="AK316" s="44" t="e">
        <f>HLOOKUP(I316,ElecAvoidedCostsWOCC!$A$5:$Q$50,G316+1,FALSE)*J316*L316</f>
        <v>#N/A</v>
      </c>
      <c r="AL316" s="44" t="e">
        <f t="shared" si="110"/>
        <v>#N/A</v>
      </c>
      <c r="AM316" s="48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8">
        <f t="shared" si="111"/>
        <v>0</v>
      </c>
      <c r="AO316" s="47">
        <f t="shared" si="112"/>
        <v>0</v>
      </c>
      <c r="AP316" s="47" t="e">
        <f t="shared" si="113"/>
        <v>#DIV/0!</v>
      </c>
    </row>
    <row r="317" spans="2:42">
      <c r="B317" s="37"/>
      <c r="C317" s="61"/>
      <c r="D317" s="61"/>
      <c r="E317" s="38"/>
      <c r="F317" s="39"/>
      <c r="G317" s="39"/>
      <c r="H317" s="39"/>
      <c r="I317" s="40"/>
      <c r="J317" s="41"/>
      <c r="K317" s="41"/>
      <c r="L317" s="41"/>
      <c r="M317" s="42"/>
      <c r="N317" s="42"/>
      <c r="O317" s="43"/>
      <c r="P317" s="44"/>
      <c r="Q317" s="44"/>
      <c r="R317" s="45"/>
      <c r="S317" s="46"/>
      <c r="T317" s="39">
        <f t="shared" si="95"/>
        <v>0</v>
      </c>
      <c r="U317" s="47">
        <f t="shared" si="96"/>
        <v>0</v>
      </c>
      <c r="V317" s="48">
        <f t="shared" si="97"/>
        <v>0</v>
      </c>
      <c r="W317" s="49">
        <f t="shared" si="98"/>
        <v>0</v>
      </c>
      <c r="X317" s="44">
        <f t="shared" si="99"/>
        <v>0</v>
      </c>
      <c r="Y317" s="44">
        <f t="shared" si="100"/>
        <v>0</v>
      </c>
      <c r="Z317" s="44">
        <f t="shared" si="101"/>
        <v>0</v>
      </c>
      <c r="AA317" s="50">
        <f t="shared" si="102"/>
        <v>0</v>
      </c>
      <c r="AB317" s="51">
        <f t="shared" si="103"/>
        <v>0</v>
      </c>
      <c r="AC317" s="44">
        <f t="shared" si="104"/>
        <v>0</v>
      </c>
      <c r="AD317" s="44">
        <f t="shared" si="105"/>
        <v>0</v>
      </c>
      <c r="AE317" s="44">
        <f t="shared" si="106"/>
        <v>0</v>
      </c>
      <c r="AF317" s="52" t="e">
        <f>HLOOKUP(I317,ElecAvoidedCostsWOCC!$A$5:$Q$50,G317+1,FALSE)</f>
        <v>#N/A</v>
      </c>
      <c r="AG317" s="44" t="e">
        <f t="shared" si="107"/>
        <v>#N/A</v>
      </c>
      <c r="AH317" s="52" t="e">
        <f>HLOOKUP(I317,ElecAvoidedCostsWOCC!$A$5:$Q$50,T317+1,FALSE)</f>
        <v>#N/A</v>
      </c>
      <c r="AI317" s="44" t="e">
        <f t="shared" si="108"/>
        <v>#N/A</v>
      </c>
      <c r="AJ317" s="44" t="e">
        <f t="shared" si="109"/>
        <v>#N/A</v>
      </c>
      <c r="AK317" s="44" t="e">
        <f>HLOOKUP(I317,ElecAvoidedCostsWOCC!$A$5:$Q$50,G317+1,FALSE)*J317*L317</f>
        <v>#N/A</v>
      </c>
      <c r="AL317" s="44" t="e">
        <f t="shared" si="110"/>
        <v>#N/A</v>
      </c>
      <c r="AM317" s="48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8">
        <f t="shared" si="111"/>
        <v>0</v>
      </c>
      <c r="AO317" s="47">
        <f t="shared" si="112"/>
        <v>0</v>
      </c>
      <c r="AP317" s="47" t="e">
        <f t="shared" si="113"/>
        <v>#DIV/0!</v>
      </c>
    </row>
    <row r="318" spans="2:42">
      <c r="B318" s="37"/>
      <c r="C318" s="61"/>
      <c r="D318" s="61"/>
      <c r="E318" s="38"/>
      <c r="F318" s="39"/>
      <c r="G318" s="39"/>
      <c r="H318" s="39"/>
      <c r="I318" s="40"/>
      <c r="J318" s="41"/>
      <c r="K318" s="41"/>
      <c r="L318" s="41"/>
      <c r="M318" s="42"/>
      <c r="N318" s="42"/>
      <c r="O318" s="43"/>
      <c r="P318" s="44"/>
      <c r="Q318" s="44"/>
      <c r="R318" s="45"/>
      <c r="S318" s="46"/>
      <c r="T318" s="39">
        <f t="shared" si="95"/>
        <v>0</v>
      </c>
      <c r="U318" s="47">
        <f t="shared" si="96"/>
        <v>0</v>
      </c>
      <c r="V318" s="48">
        <f t="shared" si="97"/>
        <v>0</v>
      </c>
      <c r="W318" s="49">
        <f t="shared" si="98"/>
        <v>0</v>
      </c>
      <c r="X318" s="44">
        <f t="shared" si="99"/>
        <v>0</v>
      </c>
      <c r="Y318" s="44">
        <f t="shared" si="100"/>
        <v>0</v>
      </c>
      <c r="Z318" s="44">
        <f t="shared" si="101"/>
        <v>0</v>
      </c>
      <c r="AA318" s="50">
        <f t="shared" si="102"/>
        <v>0</v>
      </c>
      <c r="AB318" s="51">
        <f t="shared" si="103"/>
        <v>0</v>
      </c>
      <c r="AC318" s="44">
        <f t="shared" si="104"/>
        <v>0</v>
      </c>
      <c r="AD318" s="44">
        <f t="shared" si="105"/>
        <v>0</v>
      </c>
      <c r="AE318" s="44">
        <f t="shared" si="106"/>
        <v>0</v>
      </c>
      <c r="AF318" s="52" t="e">
        <f>HLOOKUP(I318,ElecAvoidedCostsWOCC!$A$5:$Q$50,G318+1,FALSE)</f>
        <v>#N/A</v>
      </c>
      <c r="AG318" s="44" t="e">
        <f t="shared" si="107"/>
        <v>#N/A</v>
      </c>
      <c r="AH318" s="52" t="e">
        <f>HLOOKUP(I318,ElecAvoidedCostsWOCC!$A$5:$Q$50,T318+1,FALSE)</f>
        <v>#N/A</v>
      </c>
      <c r="AI318" s="44" t="e">
        <f t="shared" si="108"/>
        <v>#N/A</v>
      </c>
      <c r="AJ318" s="44" t="e">
        <f t="shared" si="109"/>
        <v>#N/A</v>
      </c>
      <c r="AK318" s="44" t="e">
        <f>HLOOKUP(I318,ElecAvoidedCostsWOCC!$A$5:$Q$50,G318+1,FALSE)*J318*L318</f>
        <v>#N/A</v>
      </c>
      <c r="AL318" s="44" t="e">
        <f t="shared" si="110"/>
        <v>#N/A</v>
      </c>
      <c r="AM318" s="48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8">
        <f t="shared" si="111"/>
        <v>0</v>
      </c>
      <c r="AO318" s="47">
        <f t="shared" si="112"/>
        <v>0</v>
      </c>
      <c r="AP318" s="47" t="e">
        <f t="shared" si="113"/>
        <v>#DIV/0!</v>
      </c>
    </row>
    <row r="319" spans="2:42">
      <c r="B319" s="37"/>
      <c r="C319" s="61"/>
      <c r="D319" s="61"/>
      <c r="E319" s="38"/>
      <c r="F319" s="39"/>
      <c r="G319" s="39"/>
      <c r="H319" s="39"/>
      <c r="I319" s="40"/>
      <c r="J319" s="41"/>
      <c r="K319" s="41"/>
      <c r="L319" s="41"/>
      <c r="M319" s="42"/>
      <c r="N319" s="42"/>
      <c r="O319" s="43"/>
      <c r="P319" s="44"/>
      <c r="Q319" s="44"/>
      <c r="R319" s="45"/>
      <c r="S319" s="46"/>
      <c r="T319" s="39">
        <f t="shared" si="95"/>
        <v>0</v>
      </c>
      <c r="U319" s="47">
        <f t="shared" si="96"/>
        <v>0</v>
      </c>
      <c r="V319" s="48">
        <f t="shared" si="97"/>
        <v>0</v>
      </c>
      <c r="W319" s="49">
        <f t="shared" si="98"/>
        <v>0</v>
      </c>
      <c r="X319" s="44">
        <f t="shared" si="99"/>
        <v>0</v>
      </c>
      <c r="Y319" s="44">
        <f t="shared" si="100"/>
        <v>0</v>
      </c>
      <c r="Z319" s="44">
        <f t="shared" si="101"/>
        <v>0</v>
      </c>
      <c r="AA319" s="50">
        <f t="shared" si="102"/>
        <v>0</v>
      </c>
      <c r="AB319" s="51">
        <f t="shared" si="103"/>
        <v>0</v>
      </c>
      <c r="AC319" s="44">
        <f t="shared" si="104"/>
        <v>0</v>
      </c>
      <c r="AD319" s="44">
        <f t="shared" si="105"/>
        <v>0</v>
      </c>
      <c r="AE319" s="44">
        <f t="shared" si="106"/>
        <v>0</v>
      </c>
      <c r="AF319" s="52" t="e">
        <f>HLOOKUP(I319,ElecAvoidedCostsWOCC!$A$5:$Q$50,G319+1,FALSE)</f>
        <v>#N/A</v>
      </c>
      <c r="AG319" s="44" t="e">
        <f t="shared" si="107"/>
        <v>#N/A</v>
      </c>
      <c r="AH319" s="52" t="e">
        <f>HLOOKUP(I319,ElecAvoidedCostsWOCC!$A$5:$Q$50,T319+1,FALSE)</f>
        <v>#N/A</v>
      </c>
      <c r="AI319" s="44" t="e">
        <f t="shared" si="108"/>
        <v>#N/A</v>
      </c>
      <c r="AJ319" s="44" t="e">
        <f t="shared" si="109"/>
        <v>#N/A</v>
      </c>
      <c r="AK319" s="44" t="e">
        <f>HLOOKUP(I319,ElecAvoidedCostsWOCC!$A$5:$Q$50,G319+1,FALSE)*J319*L319</f>
        <v>#N/A</v>
      </c>
      <c r="AL319" s="44" t="e">
        <f t="shared" si="110"/>
        <v>#N/A</v>
      </c>
      <c r="AM319" s="48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8">
        <f t="shared" si="111"/>
        <v>0</v>
      </c>
      <c r="AO319" s="47">
        <f t="shared" si="112"/>
        <v>0</v>
      </c>
      <c r="AP319" s="47" t="e">
        <f t="shared" si="113"/>
        <v>#DIV/0!</v>
      </c>
    </row>
    <row r="320" spans="2:42">
      <c r="B320" s="37"/>
      <c r="C320" s="61"/>
      <c r="D320" s="61"/>
      <c r="E320" s="38"/>
      <c r="F320" s="39"/>
      <c r="G320" s="39"/>
      <c r="H320" s="39"/>
      <c r="I320" s="40"/>
      <c r="J320" s="41"/>
      <c r="K320" s="41"/>
      <c r="L320" s="41"/>
      <c r="M320" s="42"/>
      <c r="N320" s="42"/>
      <c r="O320" s="43"/>
      <c r="P320" s="44"/>
      <c r="Q320" s="44"/>
      <c r="R320" s="45"/>
      <c r="S320" s="46"/>
      <c r="T320" s="39">
        <f t="shared" si="95"/>
        <v>0</v>
      </c>
      <c r="U320" s="47">
        <f t="shared" si="96"/>
        <v>0</v>
      </c>
      <c r="V320" s="48">
        <f t="shared" si="97"/>
        <v>0</v>
      </c>
      <c r="W320" s="49">
        <f t="shared" si="98"/>
        <v>0</v>
      </c>
      <c r="X320" s="44">
        <f t="shared" si="99"/>
        <v>0</v>
      </c>
      <c r="Y320" s="44">
        <f t="shared" si="100"/>
        <v>0</v>
      </c>
      <c r="Z320" s="44">
        <f t="shared" si="101"/>
        <v>0</v>
      </c>
      <c r="AA320" s="50">
        <f t="shared" si="102"/>
        <v>0</v>
      </c>
      <c r="AB320" s="51">
        <f t="shared" si="103"/>
        <v>0</v>
      </c>
      <c r="AC320" s="44">
        <f t="shared" si="104"/>
        <v>0</v>
      </c>
      <c r="AD320" s="44">
        <f t="shared" si="105"/>
        <v>0</v>
      </c>
      <c r="AE320" s="44">
        <f t="shared" si="106"/>
        <v>0</v>
      </c>
      <c r="AF320" s="52" t="e">
        <f>HLOOKUP(I320,ElecAvoidedCostsWOCC!$A$5:$Q$50,G320+1,FALSE)</f>
        <v>#N/A</v>
      </c>
      <c r="AG320" s="44" t="e">
        <f t="shared" si="107"/>
        <v>#N/A</v>
      </c>
      <c r="AH320" s="52" t="e">
        <f>HLOOKUP(I320,ElecAvoidedCostsWOCC!$A$5:$Q$50,T320+1,FALSE)</f>
        <v>#N/A</v>
      </c>
      <c r="AI320" s="44" t="e">
        <f t="shared" si="108"/>
        <v>#N/A</v>
      </c>
      <c r="AJ320" s="44" t="e">
        <f t="shared" si="109"/>
        <v>#N/A</v>
      </c>
      <c r="AK320" s="44" t="e">
        <f>HLOOKUP(I320,ElecAvoidedCostsWOCC!$A$5:$Q$50,G320+1,FALSE)*J320*L320</f>
        <v>#N/A</v>
      </c>
      <c r="AL320" s="44" t="e">
        <f t="shared" si="110"/>
        <v>#N/A</v>
      </c>
      <c r="AM320" s="48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8">
        <f t="shared" si="111"/>
        <v>0</v>
      </c>
      <c r="AO320" s="47">
        <f t="shared" si="112"/>
        <v>0</v>
      </c>
      <c r="AP320" s="47" t="e">
        <f t="shared" si="113"/>
        <v>#DIV/0!</v>
      </c>
    </row>
    <row r="321" spans="2:42">
      <c r="B321" s="37"/>
      <c r="C321" s="61"/>
      <c r="D321" s="61"/>
      <c r="E321" s="38"/>
      <c r="F321" s="39"/>
      <c r="G321" s="39"/>
      <c r="H321" s="39"/>
      <c r="I321" s="40"/>
      <c r="J321" s="41"/>
      <c r="K321" s="41"/>
      <c r="L321" s="41"/>
      <c r="M321" s="42"/>
      <c r="N321" s="42"/>
      <c r="O321" s="43"/>
      <c r="P321" s="44"/>
      <c r="Q321" s="44"/>
      <c r="R321" s="45"/>
      <c r="S321" s="46"/>
      <c r="T321" s="39">
        <f t="shared" si="95"/>
        <v>0</v>
      </c>
      <c r="U321" s="47">
        <f t="shared" si="96"/>
        <v>0</v>
      </c>
      <c r="V321" s="48">
        <f t="shared" si="97"/>
        <v>0</v>
      </c>
      <c r="W321" s="49">
        <f t="shared" si="98"/>
        <v>0</v>
      </c>
      <c r="X321" s="44">
        <f t="shared" si="99"/>
        <v>0</v>
      </c>
      <c r="Y321" s="44">
        <f t="shared" si="100"/>
        <v>0</v>
      </c>
      <c r="Z321" s="44">
        <f t="shared" si="101"/>
        <v>0</v>
      </c>
      <c r="AA321" s="50">
        <f t="shared" si="102"/>
        <v>0</v>
      </c>
      <c r="AB321" s="51">
        <f t="shared" si="103"/>
        <v>0</v>
      </c>
      <c r="AC321" s="44">
        <f t="shared" si="104"/>
        <v>0</v>
      </c>
      <c r="AD321" s="44">
        <f t="shared" si="105"/>
        <v>0</v>
      </c>
      <c r="AE321" s="44">
        <f t="shared" si="106"/>
        <v>0</v>
      </c>
      <c r="AF321" s="52" t="e">
        <f>HLOOKUP(I321,ElecAvoidedCostsWOCC!$A$5:$Q$50,G321+1,FALSE)</f>
        <v>#N/A</v>
      </c>
      <c r="AG321" s="44" t="e">
        <f t="shared" si="107"/>
        <v>#N/A</v>
      </c>
      <c r="AH321" s="52" t="e">
        <f>HLOOKUP(I321,ElecAvoidedCostsWOCC!$A$5:$Q$50,T321+1,FALSE)</f>
        <v>#N/A</v>
      </c>
      <c r="AI321" s="44" t="e">
        <f t="shared" si="108"/>
        <v>#N/A</v>
      </c>
      <c r="AJ321" s="44" t="e">
        <f t="shared" si="109"/>
        <v>#N/A</v>
      </c>
      <c r="AK321" s="44" t="e">
        <f>HLOOKUP(I321,ElecAvoidedCostsWOCC!$A$5:$Q$50,G321+1,FALSE)*J321*L321</f>
        <v>#N/A</v>
      </c>
      <c r="AL321" s="44" t="e">
        <f t="shared" si="110"/>
        <v>#N/A</v>
      </c>
      <c r="AM321" s="48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8">
        <f t="shared" si="111"/>
        <v>0</v>
      </c>
      <c r="AO321" s="47">
        <f t="shared" si="112"/>
        <v>0</v>
      </c>
      <c r="AP321" s="47" t="e">
        <f t="shared" si="113"/>
        <v>#DIV/0!</v>
      </c>
    </row>
    <row r="322" spans="2:42">
      <c r="B322" s="37"/>
      <c r="C322" s="61"/>
      <c r="D322" s="61"/>
      <c r="E322" s="38"/>
      <c r="F322" s="39"/>
      <c r="G322" s="39"/>
      <c r="H322" s="39"/>
      <c r="I322" s="40"/>
      <c r="J322" s="41"/>
      <c r="K322" s="41"/>
      <c r="L322" s="41"/>
      <c r="M322" s="42"/>
      <c r="N322" s="42"/>
      <c r="O322" s="43"/>
      <c r="P322" s="44"/>
      <c r="Q322" s="44"/>
      <c r="R322" s="45"/>
      <c r="S322" s="46"/>
      <c r="T322" s="39">
        <f t="shared" si="95"/>
        <v>0</v>
      </c>
      <c r="U322" s="47">
        <f t="shared" si="96"/>
        <v>0</v>
      </c>
      <c r="V322" s="48">
        <f t="shared" si="97"/>
        <v>0</v>
      </c>
      <c r="W322" s="49">
        <f t="shared" si="98"/>
        <v>0</v>
      </c>
      <c r="X322" s="44">
        <f t="shared" si="99"/>
        <v>0</v>
      </c>
      <c r="Y322" s="44">
        <f t="shared" si="100"/>
        <v>0</v>
      </c>
      <c r="Z322" s="44">
        <f t="shared" si="101"/>
        <v>0</v>
      </c>
      <c r="AA322" s="50">
        <f t="shared" si="102"/>
        <v>0</v>
      </c>
      <c r="AB322" s="51">
        <f t="shared" si="103"/>
        <v>0</v>
      </c>
      <c r="AC322" s="44">
        <f t="shared" si="104"/>
        <v>0</v>
      </c>
      <c r="AD322" s="44">
        <f t="shared" si="105"/>
        <v>0</v>
      </c>
      <c r="AE322" s="44">
        <f t="shared" si="106"/>
        <v>0</v>
      </c>
      <c r="AF322" s="52" t="e">
        <f>HLOOKUP(I322,ElecAvoidedCostsWOCC!$A$5:$Q$50,G322+1,FALSE)</f>
        <v>#N/A</v>
      </c>
      <c r="AG322" s="44" t="e">
        <f t="shared" si="107"/>
        <v>#N/A</v>
      </c>
      <c r="AH322" s="52" t="e">
        <f>HLOOKUP(I322,ElecAvoidedCostsWOCC!$A$5:$Q$50,T322+1,FALSE)</f>
        <v>#N/A</v>
      </c>
      <c r="AI322" s="44" t="e">
        <f t="shared" si="108"/>
        <v>#N/A</v>
      </c>
      <c r="AJ322" s="44" t="e">
        <f t="shared" si="109"/>
        <v>#N/A</v>
      </c>
      <c r="AK322" s="44" t="e">
        <f>HLOOKUP(I322,ElecAvoidedCostsWOCC!$A$5:$Q$50,G322+1,FALSE)*J322*L322</f>
        <v>#N/A</v>
      </c>
      <c r="AL322" s="44" t="e">
        <f t="shared" si="110"/>
        <v>#N/A</v>
      </c>
      <c r="AM322" s="48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8">
        <f t="shared" si="111"/>
        <v>0</v>
      </c>
      <c r="AO322" s="47">
        <f t="shared" si="112"/>
        <v>0</v>
      </c>
      <c r="AP322" s="47" t="e">
        <f t="shared" si="113"/>
        <v>#DIV/0!</v>
      </c>
    </row>
    <row r="323" spans="2:42">
      <c r="B323" s="37"/>
      <c r="C323" s="61"/>
      <c r="D323" s="61"/>
      <c r="E323" s="38"/>
      <c r="F323" s="39"/>
      <c r="G323" s="39"/>
      <c r="H323" s="39"/>
      <c r="I323" s="40"/>
      <c r="J323" s="41"/>
      <c r="K323" s="41"/>
      <c r="L323" s="41"/>
      <c r="M323" s="42"/>
      <c r="N323" s="42"/>
      <c r="O323" s="43"/>
      <c r="P323" s="44"/>
      <c r="Q323" s="44"/>
      <c r="R323" s="45"/>
      <c r="S323" s="46"/>
      <c r="T323" s="39">
        <f t="shared" si="95"/>
        <v>0</v>
      </c>
      <c r="U323" s="47">
        <f t="shared" si="96"/>
        <v>0</v>
      </c>
      <c r="V323" s="48">
        <f t="shared" si="97"/>
        <v>0</v>
      </c>
      <c r="W323" s="49">
        <f t="shared" si="98"/>
        <v>0</v>
      </c>
      <c r="X323" s="44">
        <f t="shared" si="99"/>
        <v>0</v>
      </c>
      <c r="Y323" s="44">
        <f t="shared" si="100"/>
        <v>0</v>
      </c>
      <c r="Z323" s="44">
        <f t="shared" si="101"/>
        <v>0</v>
      </c>
      <c r="AA323" s="50">
        <f t="shared" si="102"/>
        <v>0</v>
      </c>
      <c r="AB323" s="51">
        <f t="shared" si="103"/>
        <v>0</v>
      </c>
      <c r="AC323" s="44">
        <f t="shared" si="104"/>
        <v>0</v>
      </c>
      <c r="AD323" s="44">
        <f t="shared" si="105"/>
        <v>0</v>
      </c>
      <c r="AE323" s="44">
        <f t="shared" si="106"/>
        <v>0</v>
      </c>
      <c r="AF323" s="52" t="e">
        <f>HLOOKUP(I323,ElecAvoidedCostsWOCC!$A$5:$Q$50,G323+1,FALSE)</f>
        <v>#N/A</v>
      </c>
      <c r="AG323" s="44" t="e">
        <f t="shared" si="107"/>
        <v>#N/A</v>
      </c>
      <c r="AH323" s="52" t="e">
        <f>HLOOKUP(I323,ElecAvoidedCostsWOCC!$A$5:$Q$50,T323+1,FALSE)</f>
        <v>#N/A</v>
      </c>
      <c r="AI323" s="44" t="e">
        <f t="shared" si="108"/>
        <v>#N/A</v>
      </c>
      <c r="AJ323" s="44" t="e">
        <f t="shared" si="109"/>
        <v>#N/A</v>
      </c>
      <c r="AK323" s="44" t="e">
        <f>HLOOKUP(I323,ElecAvoidedCostsWOCC!$A$5:$Q$50,G323+1,FALSE)*J323*L323</f>
        <v>#N/A</v>
      </c>
      <c r="AL323" s="44" t="e">
        <f t="shared" si="110"/>
        <v>#N/A</v>
      </c>
      <c r="AM323" s="48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8">
        <f t="shared" si="111"/>
        <v>0</v>
      </c>
      <c r="AO323" s="47">
        <f t="shared" si="112"/>
        <v>0</v>
      </c>
      <c r="AP323" s="47" t="e">
        <f t="shared" si="113"/>
        <v>#DIV/0!</v>
      </c>
    </row>
    <row r="324" spans="2:42">
      <c r="B324" s="37"/>
      <c r="C324" s="61"/>
      <c r="D324" s="61"/>
      <c r="E324" s="38"/>
      <c r="F324" s="39"/>
      <c r="G324" s="39"/>
      <c r="H324" s="39"/>
      <c r="I324" s="40"/>
      <c r="J324" s="41"/>
      <c r="K324" s="41"/>
      <c r="L324" s="41"/>
      <c r="M324" s="42"/>
      <c r="N324" s="42"/>
      <c r="O324" s="43"/>
      <c r="P324" s="44"/>
      <c r="Q324" s="44"/>
      <c r="R324" s="45"/>
      <c r="S324" s="46"/>
      <c r="T324" s="39">
        <f t="shared" ref="T324:T387" si="114">G324+H324</f>
        <v>0</v>
      </c>
      <c r="U324" s="47">
        <f t="shared" ref="U324:U387" si="115">(O324/$A$10)*T324</f>
        <v>0</v>
      </c>
      <c r="V324" s="48">
        <f t="shared" ref="V324:V387" si="116">N324-M324</f>
        <v>0</v>
      </c>
      <c r="W324" s="49">
        <f t="shared" ref="W324:W387" si="117">(O324/A$10)</f>
        <v>0</v>
      </c>
      <c r="X324" s="44">
        <f t="shared" ref="X324:X387" si="118">W324*A$8</f>
        <v>0</v>
      </c>
      <c r="Y324" s="44">
        <f t="shared" ref="Y324:Y387" si="119">Q324-P324</f>
        <v>0</v>
      </c>
      <c r="Z324" s="44">
        <f t="shared" ref="Z324:Z387" si="120">X324+(A$6*W324)</f>
        <v>0</v>
      </c>
      <c r="AA324" s="50">
        <f t="shared" ref="AA324:AA387" si="121">Q324+X324</f>
        <v>0</v>
      </c>
      <c r="AB324" s="51">
        <f t="shared" ref="AB324:AB387" si="122">Z324/(1+ElecDiscountRate)^1</f>
        <v>0</v>
      </c>
      <c r="AC324" s="44">
        <f t="shared" ref="AC324:AC387" si="123">AA324/(1+ElecDiscountRate)^1</f>
        <v>0</v>
      </c>
      <c r="AD324" s="44">
        <f t="shared" ref="AD324:AD387" si="124">-PV(ElecDiscountRate,T324,R324)*J324</f>
        <v>0</v>
      </c>
      <c r="AE324" s="44">
        <f t="shared" ref="AE324:AE387" si="125">-PV(ElecDiscountRate,T324,S324)*J324</f>
        <v>0</v>
      </c>
      <c r="AF324" s="52" t="e">
        <f>HLOOKUP(I324,ElecAvoidedCostsWOCC!$A$5:$Q$50,G324+1,FALSE)</f>
        <v>#N/A</v>
      </c>
      <c r="AG324" s="44" t="e">
        <f t="shared" ref="AG324:AG387" si="126">AF324*J324*K324</f>
        <v>#N/A</v>
      </c>
      <c r="AH324" s="52" t="e">
        <f>HLOOKUP(I324,ElecAvoidedCostsWOCC!$A$5:$Q$50,T324+1,FALSE)</f>
        <v>#N/A</v>
      </c>
      <c r="AI324" s="44" t="e">
        <f t="shared" ref="AI324:AI387" si="127">AH324*J324*L324</f>
        <v>#N/A</v>
      </c>
      <c r="AJ324" s="44" t="e">
        <f t="shared" ref="AJ324:AJ387" si="128">AG324+AI324</f>
        <v>#N/A</v>
      </c>
      <c r="AK324" s="44" t="e">
        <f>HLOOKUP(I324,ElecAvoidedCostsWOCC!$A$5:$Q$50,G324+1,FALSE)*J324*L324</f>
        <v>#N/A</v>
      </c>
      <c r="AL324" s="44" t="e">
        <f t="shared" ref="AL324:AL387" si="129">AG324+AI324-AK324</f>
        <v>#N/A</v>
      </c>
      <c r="AM324" s="48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8">
        <f t="shared" ref="AN324:AN387" si="130">AM324*1.1+AD324+AE324</f>
        <v>0</v>
      </c>
      <c r="AO324" s="47">
        <f t="shared" ref="AO324:AO387" si="131">IFERROR(AM324/AB324,0)</f>
        <v>0</v>
      </c>
      <c r="AP324" s="47" t="e">
        <f t="shared" ref="AP324:AP387" si="132">AN324/AC324</f>
        <v>#DIV/0!</v>
      </c>
    </row>
    <row r="325" spans="2:42">
      <c r="B325" s="37"/>
      <c r="C325" s="61"/>
      <c r="D325" s="61"/>
      <c r="E325" s="38"/>
      <c r="F325" s="39"/>
      <c r="G325" s="39"/>
      <c r="H325" s="39"/>
      <c r="I325" s="40"/>
      <c r="J325" s="41"/>
      <c r="K325" s="41"/>
      <c r="L325" s="41"/>
      <c r="M325" s="42"/>
      <c r="N325" s="42"/>
      <c r="O325" s="43"/>
      <c r="P325" s="44"/>
      <c r="Q325" s="44"/>
      <c r="R325" s="45"/>
      <c r="S325" s="46"/>
      <c r="T325" s="39">
        <f t="shared" si="114"/>
        <v>0</v>
      </c>
      <c r="U325" s="47">
        <f t="shared" si="115"/>
        <v>0</v>
      </c>
      <c r="V325" s="48">
        <f t="shared" si="116"/>
        <v>0</v>
      </c>
      <c r="W325" s="49">
        <f t="shared" si="117"/>
        <v>0</v>
      </c>
      <c r="X325" s="44">
        <f t="shared" si="118"/>
        <v>0</v>
      </c>
      <c r="Y325" s="44">
        <f t="shared" si="119"/>
        <v>0</v>
      </c>
      <c r="Z325" s="44">
        <f t="shared" si="120"/>
        <v>0</v>
      </c>
      <c r="AA325" s="50">
        <f t="shared" si="121"/>
        <v>0</v>
      </c>
      <c r="AB325" s="51">
        <f t="shared" si="122"/>
        <v>0</v>
      </c>
      <c r="AC325" s="44">
        <f t="shared" si="123"/>
        <v>0</v>
      </c>
      <c r="AD325" s="44">
        <f t="shared" si="124"/>
        <v>0</v>
      </c>
      <c r="AE325" s="44">
        <f t="shared" si="125"/>
        <v>0</v>
      </c>
      <c r="AF325" s="52" t="e">
        <f>HLOOKUP(I325,ElecAvoidedCostsWOCC!$A$5:$Q$50,G325+1,FALSE)</f>
        <v>#N/A</v>
      </c>
      <c r="AG325" s="44" t="e">
        <f t="shared" si="126"/>
        <v>#N/A</v>
      </c>
      <c r="AH325" s="52" t="e">
        <f>HLOOKUP(I325,ElecAvoidedCostsWOCC!$A$5:$Q$50,T325+1,FALSE)</f>
        <v>#N/A</v>
      </c>
      <c r="AI325" s="44" t="e">
        <f t="shared" si="127"/>
        <v>#N/A</v>
      </c>
      <c r="AJ325" s="44" t="e">
        <f t="shared" si="128"/>
        <v>#N/A</v>
      </c>
      <c r="AK325" s="44" t="e">
        <f>HLOOKUP(I325,ElecAvoidedCostsWOCC!$A$5:$Q$50,G325+1,FALSE)*J325*L325</f>
        <v>#N/A</v>
      </c>
      <c r="AL325" s="44" t="e">
        <f t="shared" si="129"/>
        <v>#N/A</v>
      </c>
      <c r="AM325" s="48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8">
        <f t="shared" si="130"/>
        <v>0</v>
      </c>
      <c r="AO325" s="47">
        <f t="shared" si="131"/>
        <v>0</v>
      </c>
      <c r="AP325" s="47" t="e">
        <f t="shared" si="132"/>
        <v>#DIV/0!</v>
      </c>
    </row>
    <row r="326" spans="2:42">
      <c r="B326" s="37"/>
      <c r="C326" s="61"/>
      <c r="D326" s="61"/>
      <c r="E326" s="38"/>
      <c r="F326" s="39"/>
      <c r="G326" s="39"/>
      <c r="H326" s="39"/>
      <c r="I326" s="40"/>
      <c r="J326" s="41"/>
      <c r="K326" s="41"/>
      <c r="L326" s="41"/>
      <c r="M326" s="42"/>
      <c r="N326" s="42"/>
      <c r="O326" s="43"/>
      <c r="P326" s="44"/>
      <c r="Q326" s="44"/>
      <c r="R326" s="45"/>
      <c r="S326" s="46"/>
      <c r="T326" s="39">
        <f t="shared" si="114"/>
        <v>0</v>
      </c>
      <c r="U326" s="47">
        <f t="shared" si="115"/>
        <v>0</v>
      </c>
      <c r="V326" s="48">
        <f t="shared" si="116"/>
        <v>0</v>
      </c>
      <c r="W326" s="49">
        <f t="shared" si="117"/>
        <v>0</v>
      </c>
      <c r="X326" s="44">
        <f t="shared" si="118"/>
        <v>0</v>
      </c>
      <c r="Y326" s="44">
        <f t="shared" si="119"/>
        <v>0</v>
      </c>
      <c r="Z326" s="44">
        <f t="shared" si="120"/>
        <v>0</v>
      </c>
      <c r="AA326" s="50">
        <f t="shared" si="121"/>
        <v>0</v>
      </c>
      <c r="AB326" s="51">
        <f t="shared" si="122"/>
        <v>0</v>
      </c>
      <c r="AC326" s="44">
        <f t="shared" si="123"/>
        <v>0</v>
      </c>
      <c r="AD326" s="44">
        <f t="shared" si="124"/>
        <v>0</v>
      </c>
      <c r="AE326" s="44">
        <f t="shared" si="125"/>
        <v>0</v>
      </c>
      <c r="AF326" s="52" t="e">
        <f>HLOOKUP(I326,ElecAvoidedCostsWOCC!$A$5:$Q$50,G326+1,FALSE)</f>
        <v>#N/A</v>
      </c>
      <c r="AG326" s="44" t="e">
        <f t="shared" si="126"/>
        <v>#N/A</v>
      </c>
      <c r="AH326" s="52" t="e">
        <f>HLOOKUP(I326,ElecAvoidedCostsWOCC!$A$5:$Q$50,T326+1,FALSE)</f>
        <v>#N/A</v>
      </c>
      <c r="AI326" s="44" t="e">
        <f t="shared" si="127"/>
        <v>#N/A</v>
      </c>
      <c r="AJ326" s="44" t="e">
        <f t="shared" si="128"/>
        <v>#N/A</v>
      </c>
      <c r="AK326" s="44" t="e">
        <f>HLOOKUP(I326,ElecAvoidedCostsWOCC!$A$5:$Q$50,G326+1,FALSE)*J326*L326</f>
        <v>#N/A</v>
      </c>
      <c r="AL326" s="44" t="e">
        <f t="shared" si="129"/>
        <v>#N/A</v>
      </c>
      <c r="AM326" s="48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8">
        <f t="shared" si="130"/>
        <v>0</v>
      </c>
      <c r="AO326" s="47">
        <f t="shared" si="131"/>
        <v>0</v>
      </c>
      <c r="AP326" s="47" t="e">
        <f t="shared" si="132"/>
        <v>#DIV/0!</v>
      </c>
    </row>
    <row r="327" spans="2:42">
      <c r="B327" s="37"/>
      <c r="C327" s="61"/>
      <c r="D327" s="61"/>
      <c r="E327" s="38"/>
      <c r="F327" s="39"/>
      <c r="G327" s="39"/>
      <c r="H327" s="39"/>
      <c r="I327" s="40"/>
      <c r="J327" s="41"/>
      <c r="K327" s="41"/>
      <c r="L327" s="41"/>
      <c r="M327" s="42"/>
      <c r="N327" s="42"/>
      <c r="O327" s="43"/>
      <c r="P327" s="44"/>
      <c r="Q327" s="44"/>
      <c r="R327" s="45"/>
      <c r="S327" s="46"/>
      <c r="T327" s="39">
        <f t="shared" si="114"/>
        <v>0</v>
      </c>
      <c r="U327" s="47">
        <f t="shared" si="115"/>
        <v>0</v>
      </c>
      <c r="V327" s="48">
        <f t="shared" si="116"/>
        <v>0</v>
      </c>
      <c r="W327" s="49">
        <f t="shared" si="117"/>
        <v>0</v>
      </c>
      <c r="X327" s="44">
        <f t="shared" si="118"/>
        <v>0</v>
      </c>
      <c r="Y327" s="44">
        <f t="shared" si="119"/>
        <v>0</v>
      </c>
      <c r="Z327" s="44">
        <f t="shared" si="120"/>
        <v>0</v>
      </c>
      <c r="AA327" s="50">
        <f t="shared" si="121"/>
        <v>0</v>
      </c>
      <c r="AB327" s="51">
        <f t="shared" si="122"/>
        <v>0</v>
      </c>
      <c r="AC327" s="44">
        <f t="shared" si="123"/>
        <v>0</v>
      </c>
      <c r="AD327" s="44">
        <f t="shared" si="124"/>
        <v>0</v>
      </c>
      <c r="AE327" s="44">
        <f t="shared" si="125"/>
        <v>0</v>
      </c>
      <c r="AF327" s="52" t="e">
        <f>HLOOKUP(I327,ElecAvoidedCostsWOCC!$A$5:$Q$50,G327+1,FALSE)</f>
        <v>#N/A</v>
      </c>
      <c r="AG327" s="44" t="e">
        <f t="shared" si="126"/>
        <v>#N/A</v>
      </c>
      <c r="AH327" s="52" t="e">
        <f>HLOOKUP(I327,ElecAvoidedCostsWOCC!$A$5:$Q$50,T327+1,FALSE)</f>
        <v>#N/A</v>
      </c>
      <c r="AI327" s="44" t="e">
        <f t="shared" si="127"/>
        <v>#N/A</v>
      </c>
      <c r="AJ327" s="44" t="e">
        <f t="shared" si="128"/>
        <v>#N/A</v>
      </c>
      <c r="AK327" s="44" t="e">
        <f>HLOOKUP(I327,ElecAvoidedCostsWOCC!$A$5:$Q$50,G327+1,FALSE)*J327*L327</f>
        <v>#N/A</v>
      </c>
      <c r="AL327" s="44" t="e">
        <f t="shared" si="129"/>
        <v>#N/A</v>
      </c>
      <c r="AM327" s="48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8">
        <f t="shared" si="130"/>
        <v>0</v>
      </c>
      <c r="AO327" s="47">
        <f t="shared" si="131"/>
        <v>0</v>
      </c>
      <c r="AP327" s="47" t="e">
        <f t="shared" si="132"/>
        <v>#DIV/0!</v>
      </c>
    </row>
    <row r="328" spans="2:42">
      <c r="B328" s="37"/>
      <c r="C328" s="61"/>
      <c r="D328" s="61"/>
      <c r="E328" s="38"/>
      <c r="F328" s="39"/>
      <c r="G328" s="39"/>
      <c r="H328" s="39"/>
      <c r="I328" s="40"/>
      <c r="J328" s="41"/>
      <c r="K328" s="41"/>
      <c r="L328" s="41"/>
      <c r="M328" s="42"/>
      <c r="N328" s="42"/>
      <c r="O328" s="43"/>
      <c r="P328" s="44"/>
      <c r="Q328" s="44"/>
      <c r="R328" s="45"/>
      <c r="S328" s="46"/>
      <c r="T328" s="39">
        <f t="shared" si="114"/>
        <v>0</v>
      </c>
      <c r="U328" s="47">
        <f t="shared" si="115"/>
        <v>0</v>
      </c>
      <c r="V328" s="48">
        <f t="shared" si="116"/>
        <v>0</v>
      </c>
      <c r="W328" s="49">
        <f t="shared" si="117"/>
        <v>0</v>
      </c>
      <c r="X328" s="44">
        <f t="shared" si="118"/>
        <v>0</v>
      </c>
      <c r="Y328" s="44">
        <f t="shared" si="119"/>
        <v>0</v>
      </c>
      <c r="Z328" s="44">
        <f t="shared" si="120"/>
        <v>0</v>
      </c>
      <c r="AA328" s="50">
        <f t="shared" si="121"/>
        <v>0</v>
      </c>
      <c r="AB328" s="51">
        <f t="shared" si="122"/>
        <v>0</v>
      </c>
      <c r="AC328" s="44">
        <f t="shared" si="123"/>
        <v>0</v>
      </c>
      <c r="AD328" s="44">
        <f t="shared" si="124"/>
        <v>0</v>
      </c>
      <c r="AE328" s="44">
        <f t="shared" si="125"/>
        <v>0</v>
      </c>
      <c r="AF328" s="52" t="e">
        <f>HLOOKUP(I328,ElecAvoidedCostsWOCC!$A$5:$Q$50,G328+1,FALSE)</f>
        <v>#N/A</v>
      </c>
      <c r="AG328" s="44" t="e">
        <f t="shared" si="126"/>
        <v>#N/A</v>
      </c>
      <c r="AH328" s="52" t="e">
        <f>HLOOKUP(I328,ElecAvoidedCostsWOCC!$A$5:$Q$50,T328+1,FALSE)</f>
        <v>#N/A</v>
      </c>
      <c r="AI328" s="44" t="e">
        <f t="shared" si="127"/>
        <v>#N/A</v>
      </c>
      <c r="AJ328" s="44" t="e">
        <f t="shared" si="128"/>
        <v>#N/A</v>
      </c>
      <c r="AK328" s="44" t="e">
        <f>HLOOKUP(I328,ElecAvoidedCostsWOCC!$A$5:$Q$50,G328+1,FALSE)*J328*L328</f>
        <v>#N/A</v>
      </c>
      <c r="AL328" s="44" t="e">
        <f t="shared" si="129"/>
        <v>#N/A</v>
      </c>
      <c r="AM328" s="48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8">
        <f t="shared" si="130"/>
        <v>0</v>
      </c>
      <c r="AO328" s="47">
        <f t="shared" si="131"/>
        <v>0</v>
      </c>
      <c r="AP328" s="47" t="e">
        <f t="shared" si="132"/>
        <v>#DIV/0!</v>
      </c>
    </row>
    <row r="329" spans="2:42">
      <c r="B329" s="37"/>
      <c r="C329" s="61"/>
      <c r="D329" s="61"/>
      <c r="E329" s="38"/>
      <c r="F329" s="39"/>
      <c r="G329" s="39"/>
      <c r="H329" s="39"/>
      <c r="I329" s="40"/>
      <c r="J329" s="41"/>
      <c r="K329" s="41"/>
      <c r="L329" s="41"/>
      <c r="M329" s="42"/>
      <c r="N329" s="42"/>
      <c r="O329" s="43"/>
      <c r="P329" s="44"/>
      <c r="Q329" s="44"/>
      <c r="R329" s="45"/>
      <c r="S329" s="46"/>
      <c r="T329" s="39">
        <f t="shared" si="114"/>
        <v>0</v>
      </c>
      <c r="U329" s="47">
        <f t="shared" si="115"/>
        <v>0</v>
      </c>
      <c r="V329" s="48">
        <f t="shared" si="116"/>
        <v>0</v>
      </c>
      <c r="W329" s="49">
        <f t="shared" si="117"/>
        <v>0</v>
      </c>
      <c r="X329" s="44">
        <f t="shared" si="118"/>
        <v>0</v>
      </c>
      <c r="Y329" s="44">
        <f t="shared" si="119"/>
        <v>0</v>
      </c>
      <c r="Z329" s="44">
        <f t="shared" si="120"/>
        <v>0</v>
      </c>
      <c r="AA329" s="50">
        <f t="shared" si="121"/>
        <v>0</v>
      </c>
      <c r="AB329" s="51">
        <f t="shared" si="122"/>
        <v>0</v>
      </c>
      <c r="AC329" s="44">
        <f t="shared" si="123"/>
        <v>0</v>
      </c>
      <c r="AD329" s="44">
        <f t="shared" si="124"/>
        <v>0</v>
      </c>
      <c r="AE329" s="44">
        <f t="shared" si="125"/>
        <v>0</v>
      </c>
      <c r="AF329" s="52" t="e">
        <f>HLOOKUP(I329,ElecAvoidedCostsWOCC!$A$5:$Q$50,G329+1,FALSE)</f>
        <v>#N/A</v>
      </c>
      <c r="AG329" s="44" t="e">
        <f t="shared" si="126"/>
        <v>#N/A</v>
      </c>
      <c r="AH329" s="52" t="e">
        <f>HLOOKUP(I329,ElecAvoidedCostsWOCC!$A$5:$Q$50,T329+1,FALSE)</f>
        <v>#N/A</v>
      </c>
      <c r="AI329" s="44" t="e">
        <f t="shared" si="127"/>
        <v>#N/A</v>
      </c>
      <c r="AJ329" s="44" t="e">
        <f t="shared" si="128"/>
        <v>#N/A</v>
      </c>
      <c r="AK329" s="44" t="e">
        <f>HLOOKUP(I329,ElecAvoidedCostsWOCC!$A$5:$Q$50,G329+1,FALSE)*J329*L329</f>
        <v>#N/A</v>
      </c>
      <c r="AL329" s="44" t="e">
        <f t="shared" si="129"/>
        <v>#N/A</v>
      </c>
      <c r="AM329" s="48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8">
        <f t="shared" si="130"/>
        <v>0</v>
      </c>
      <c r="AO329" s="47">
        <f t="shared" si="131"/>
        <v>0</v>
      </c>
      <c r="AP329" s="47" t="e">
        <f t="shared" si="132"/>
        <v>#DIV/0!</v>
      </c>
    </row>
    <row r="330" spans="2:42">
      <c r="B330" s="37"/>
      <c r="C330" s="61"/>
      <c r="D330" s="61"/>
      <c r="E330" s="38"/>
      <c r="F330" s="39"/>
      <c r="G330" s="39"/>
      <c r="H330" s="39"/>
      <c r="I330" s="40"/>
      <c r="J330" s="41"/>
      <c r="K330" s="41"/>
      <c r="L330" s="41"/>
      <c r="M330" s="42"/>
      <c r="N330" s="42"/>
      <c r="O330" s="43"/>
      <c r="P330" s="44"/>
      <c r="Q330" s="44"/>
      <c r="R330" s="45"/>
      <c r="S330" s="46"/>
      <c r="T330" s="39">
        <f t="shared" si="114"/>
        <v>0</v>
      </c>
      <c r="U330" s="47">
        <f t="shared" si="115"/>
        <v>0</v>
      </c>
      <c r="V330" s="48">
        <f t="shared" si="116"/>
        <v>0</v>
      </c>
      <c r="W330" s="49">
        <f t="shared" si="117"/>
        <v>0</v>
      </c>
      <c r="X330" s="44">
        <f t="shared" si="118"/>
        <v>0</v>
      </c>
      <c r="Y330" s="44">
        <f t="shared" si="119"/>
        <v>0</v>
      </c>
      <c r="Z330" s="44">
        <f t="shared" si="120"/>
        <v>0</v>
      </c>
      <c r="AA330" s="50">
        <f t="shared" si="121"/>
        <v>0</v>
      </c>
      <c r="AB330" s="51">
        <f t="shared" si="122"/>
        <v>0</v>
      </c>
      <c r="AC330" s="44">
        <f t="shared" si="123"/>
        <v>0</v>
      </c>
      <c r="AD330" s="44">
        <f t="shared" si="124"/>
        <v>0</v>
      </c>
      <c r="AE330" s="44">
        <f t="shared" si="125"/>
        <v>0</v>
      </c>
      <c r="AF330" s="52" t="e">
        <f>HLOOKUP(I330,ElecAvoidedCostsWOCC!$A$5:$Q$50,G330+1,FALSE)</f>
        <v>#N/A</v>
      </c>
      <c r="AG330" s="44" t="e">
        <f t="shared" si="126"/>
        <v>#N/A</v>
      </c>
      <c r="AH330" s="52" t="e">
        <f>HLOOKUP(I330,ElecAvoidedCostsWOCC!$A$5:$Q$50,T330+1,FALSE)</f>
        <v>#N/A</v>
      </c>
      <c r="AI330" s="44" t="e">
        <f t="shared" si="127"/>
        <v>#N/A</v>
      </c>
      <c r="AJ330" s="44" t="e">
        <f t="shared" si="128"/>
        <v>#N/A</v>
      </c>
      <c r="AK330" s="44" t="e">
        <f>HLOOKUP(I330,ElecAvoidedCostsWOCC!$A$5:$Q$50,G330+1,FALSE)*J330*L330</f>
        <v>#N/A</v>
      </c>
      <c r="AL330" s="44" t="e">
        <f t="shared" si="129"/>
        <v>#N/A</v>
      </c>
      <c r="AM330" s="48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8">
        <f t="shared" si="130"/>
        <v>0</v>
      </c>
      <c r="AO330" s="47">
        <f t="shared" si="131"/>
        <v>0</v>
      </c>
      <c r="AP330" s="47" t="e">
        <f t="shared" si="132"/>
        <v>#DIV/0!</v>
      </c>
    </row>
    <row r="331" spans="2:42">
      <c r="B331" s="37"/>
      <c r="C331" s="61"/>
      <c r="D331" s="61"/>
      <c r="E331" s="38"/>
      <c r="F331" s="39"/>
      <c r="G331" s="39"/>
      <c r="H331" s="39"/>
      <c r="I331" s="40"/>
      <c r="J331" s="41"/>
      <c r="K331" s="41"/>
      <c r="L331" s="41"/>
      <c r="M331" s="42"/>
      <c r="N331" s="42"/>
      <c r="O331" s="43"/>
      <c r="P331" s="44"/>
      <c r="Q331" s="44"/>
      <c r="R331" s="45"/>
      <c r="S331" s="46"/>
      <c r="T331" s="39">
        <f t="shared" si="114"/>
        <v>0</v>
      </c>
      <c r="U331" s="47">
        <f t="shared" si="115"/>
        <v>0</v>
      </c>
      <c r="V331" s="48">
        <f t="shared" si="116"/>
        <v>0</v>
      </c>
      <c r="W331" s="49">
        <f t="shared" si="117"/>
        <v>0</v>
      </c>
      <c r="X331" s="44">
        <f t="shared" si="118"/>
        <v>0</v>
      </c>
      <c r="Y331" s="44">
        <f t="shared" si="119"/>
        <v>0</v>
      </c>
      <c r="Z331" s="44">
        <f t="shared" si="120"/>
        <v>0</v>
      </c>
      <c r="AA331" s="50">
        <f t="shared" si="121"/>
        <v>0</v>
      </c>
      <c r="AB331" s="51">
        <f t="shared" si="122"/>
        <v>0</v>
      </c>
      <c r="AC331" s="44">
        <f t="shared" si="123"/>
        <v>0</v>
      </c>
      <c r="AD331" s="44">
        <f t="shared" si="124"/>
        <v>0</v>
      </c>
      <c r="AE331" s="44">
        <f t="shared" si="125"/>
        <v>0</v>
      </c>
      <c r="AF331" s="52" t="e">
        <f>HLOOKUP(I331,ElecAvoidedCostsWOCC!$A$5:$Q$50,G331+1,FALSE)</f>
        <v>#N/A</v>
      </c>
      <c r="AG331" s="44" t="e">
        <f t="shared" si="126"/>
        <v>#N/A</v>
      </c>
      <c r="AH331" s="52" t="e">
        <f>HLOOKUP(I331,ElecAvoidedCostsWOCC!$A$5:$Q$50,T331+1,FALSE)</f>
        <v>#N/A</v>
      </c>
      <c r="AI331" s="44" t="e">
        <f t="shared" si="127"/>
        <v>#N/A</v>
      </c>
      <c r="AJ331" s="44" t="e">
        <f t="shared" si="128"/>
        <v>#N/A</v>
      </c>
      <c r="AK331" s="44" t="e">
        <f>HLOOKUP(I331,ElecAvoidedCostsWOCC!$A$5:$Q$50,G331+1,FALSE)*J331*L331</f>
        <v>#N/A</v>
      </c>
      <c r="AL331" s="44" t="e">
        <f t="shared" si="129"/>
        <v>#N/A</v>
      </c>
      <c r="AM331" s="48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8">
        <f t="shared" si="130"/>
        <v>0</v>
      </c>
      <c r="AO331" s="47">
        <f t="shared" si="131"/>
        <v>0</v>
      </c>
      <c r="AP331" s="47" t="e">
        <f t="shared" si="132"/>
        <v>#DIV/0!</v>
      </c>
    </row>
    <row r="332" spans="2:42">
      <c r="B332" s="37"/>
      <c r="C332" s="61"/>
      <c r="D332" s="61"/>
      <c r="E332" s="38"/>
      <c r="F332" s="39"/>
      <c r="G332" s="39"/>
      <c r="H332" s="39"/>
      <c r="I332" s="40"/>
      <c r="J332" s="41"/>
      <c r="K332" s="41"/>
      <c r="L332" s="41"/>
      <c r="M332" s="42"/>
      <c r="N332" s="42"/>
      <c r="O332" s="43"/>
      <c r="P332" s="44"/>
      <c r="Q332" s="44"/>
      <c r="R332" s="45"/>
      <c r="S332" s="46"/>
      <c r="T332" s="39">
        <f t="shared" si="114"/>
        <v>0</v>
      </c>
      <c r="U332" s="47">
        <f t="shared" si="115"/>
        <v>0</v>
      </c>
      <c r="V332" s="48">
        <f t="shared" si="116"/>
        <v>0</v>
      </c>
      <c r="W332" s="49">
        <f t="shared" si="117"/>
        <v>0</v>
      </c>
      <c r="X332" s="44">
        <f t="shared" si="118"/>
        <v>0</v>
      </c>
      <c r="Y332" s="44">
        <f t="shared" si="119"/>
        <v>0</v>
      </c>
      <c r="Z332" s="44">
        <f t="shared" si="120"/>
        <v>0</v>
      </c>
      <c r="AA332" s="50">
        <f t="shared" si="121"/>
        <v>0</v>
      </c>
      <c r="AB332" s="51">
        <f t="shared" si="122"/>
        <v>0</v>
      </c>
      <c r="AC332" s="44">
        <f t="shared" si="123"/>
        <v>0</v>
      </c>
      <c r="AD332" s="44">
        <f t="shared" si="124"/>
        <v>0</v>
      </c>
      <c r="AE332" s="44">
        <f t="shared" si="125"/>
        <v>0</v>
      </c>
      <c r="AF332" s="52" t="e">
        <f>HLOOKUP(I332,ElecAvoidedCostsWOCC!$A$5:$Q$50,G332+1,FALSE)</f>
        <v>#N/A</v>
      </c>
      <c r="AG332" s="44" t="e">
        <f t="shared" si="126"/>
        <v>#N/A</v>
      </c>
      <c r="AH332" s="52" t="e">
        <f>HLOOKUP(I332,ElecAvoidedCostsWOCC!$A$5:$Q$50,T332+1,FALSE)</f>
        <v>#N/A</v>
      </c>
      <c r="AI332" s="44" t="e">
        <f t="shared" si="127"/>
        <v>#N/A</v>
      </c>
      <c r="AJ332" s="44" t="e">
        <f t="shared" si="128"/>
        <v>#N/A</v>
      </c>
      <c r="AK332" s="44" t="e">
        <f>HLOOKUP(I332,ElecAvoidedCostsWOCC!$A$5:$Q$50,G332+1,FALSE)*J332*L332</f>
        <v>#N/A</v>
      </c>
      <c r="AL332" s="44" t="e">
        <f t="shared" si="129"/>
        <v>#N/A</v>
      </c>
      <c r="AM332" s="48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8">
        <f t="shared" si="130"/>
        <v>0</v>
      </c>
      <c r="AO332" s="47">
        <f t="shared" si="131"/>
        <v>0</v>
      </c>
      <c r="AP332" s="47" t="e">
        <f t="shared" si="132"/>
        <v>#DIV/0!</v>
      </c>
    </row>
    <row r="333" spans="2:42">
      <c r="B333" s="37"/>
      <c r="C333" s="61"/>
      <c r="D333" s="61"/>
      <c r="E333" s="38"/>
      <c r="F333" s="39"/>
      <c r="G333" s="39"/>
      <c r="H333" s="39"/>
      <c r="I333" s="40"/>
      <c r="J333" s="41"/>
      <c r="K333" s="41"/>
      <c r="L333" s="41"/>
      <c r="M333" s="42"/>
      <c r="N333" s="42"/>
      <c r="O333" s="43"/>
      <c r="P333" s="44"/>
      <c r="Q333" s="44"/>
      <c r="R333" s="45"/>
      <c r="S333" s="46"/>
      <c r="T333" s="39">
        <f t="shared" si="114"/>
        <v>0</v>
      </c>
      <c r="U333" s="47">
        <f t="shared" si="115"/>
        <v>0</v>
      </c>
      <c r="V333" s="48">
        <f t="shared" si="116"/>
        <v>0</v>
      </c>
      <c r="W333" s="49">
        <f t="shared" si="117"/>
        <v>0</v>
      </c>
      <c r="X333" s="44">
        <f t="shared" si="118"/>
        <v>0</v>
      </c>
      <c r="Y333" s="44">
        <f t="shared" si="119"/>
        <v>0</v>
      </c>
      <c r="Z333" s="44">
        <f t="shared" si="120"/>
        <v>0</v>
      </c>
      <c r="AA333" s="50">
        <f t="shared" si="121"/>
        <v>0</v>
      </c>
      <c r="AB333" s="51">
        <f t="shared" si="122"/>
        <v>0</v>
      </c>
      <c r="AC333" s="44">
        <f t="shared" si="123"/>
        <v>0</v>
      </c>
      <c r="AD333" s="44">
        <f t="shared" si="124"/>
        <v>0</v>
      </c>
      <c r="AE333" s="44">
        <f t="shared" si="125"/>
        <v>0</v>
      </c>
      <c r="AF333" s="52" t="e">
        <f>HLOOKUP(I333,ElecAvoidedCostsWOCC!$A$5:$Q$50,G333+1,FALSE)</f>
        <v>#N/A</v>
      </c>
      <c r="AG333" s="44" t="e">
        <f t="shared" si="126"/>
        <v>#N/A</v>
      </c>
      <c r="AH333" s="52" t="e">
        <f>HLOOKUP(I333,ElecAvoidedCostsWOCC!$A$5:$Q$50,T333+1,FALSE)</f>
        <v>#N/A</v>
      </c>
      <c r="AI333" s="44" t="e">
        <f t="shared" si="127"/>
        <v>#N/A</v>
      </c>
      <c r="AJ333" s="44" t="e">
        <f t="shared" si="128"/>
        <v>#N/A</v>
      </c>
      <c r="AK333" s="44" t="e">
        <f>HLOOKUP(I333,ElecAvoidedCostsWOCC!$A$5:$Q$50,G333+1,FALSE)*J333*L333</f>
        <v>#N/A</v>
      </c>
      <c r="AL333" s="44" t="e">
        <f t="shared" si="129"/>
        <v>#N/A</v>
      </c>
      <c r="AM333" s="48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8">
        <f t="shared" si="130"/>
        <v>0</v>
      </c>
      <c r="AO333" s="47">
        <f t="shared" si="131"/>
        <v>0</v>
      </c>
      <c r="AP333" s="47" t="e">
        <f t="shared" si="132"/>
        <v>#DIV/0!</v>
      </c>
    </row>
    <row r="334" spans="2:42">
      <c r="B334" s="37"/>
      <c r="C334" s="61"/>
      <c r="D334" s="61"/>
      <c r="E334" s="38"/>
      <c r="F334" s="39"/>
      <c r="G334" s="39"/>
      <c r="H334" s="39"/>
      <c r="I334" s="40"/>
      <c r="J334" s="41"/>
      <c r="K334" s="41"/>
      <c r="L334" s="41"/>
      <c r="M334" s="42"/>
      <c r="N334" s="42"/>
      <c r="O334" s="43"/>
      <c r="P334" s="44"/>
      <c r="Q334" s="44"/>
      <c r="R334" s="45"/>
      <c r="S334" s="46"/>
      <c r="T334" s="39">
        <f t="shared" si="114"/>
        <v>0</v>
      </c>
      <c r="U334" s="47">
        <f t="shared" si="115"/>
        <v>0</v>
      </c>
      <c r="V334" s="48">
        <f t="shared" si="116"/>
        <v>0</v>
      </c>
      <c r="W334" s="49">
        <f t="shared" si="117"/>
        <v>0</v>
      </c>
      <c r="X334" s="44">
        <f t="shared" si="118"/>
        <v>0</v>
      </c>
      <c r="Y334" s="44">
        <f t="shared" si="119"/>
        <v>0</v>
      </c>
      <c r="Z334" s="44">
        <f t="shared" si="120"/>
        <v>0</v>
      </c>
      <c r="AA334" s="50">
        <f t="shared" si="121"/>
        <v>0</v>
      </c>
      <c r="AB334" s="51">
        <f t="shared" si="122"/>
        <v>0</v>
      </c>
      <c r="AC334" s="44">
        <f t="shared" si="123"/>
        <v>0</v>
      </c>
      <c r="AD334" s="44">
        <f t="shared" si="124"/>
        <v>0</v>
      </c>
      <c r="AE334" s="44">
        <f t="shared" si="125"/>
        <v>0</v>
      </c>
      <c r="AF334" s="52" t="e">
        <f>HLOOKUP(I334,ElecAvoidedCostsWOCC!$A$5:$Q$50,G334+1,FALSE)</f>
        <v>#N/A</v>
      </c>
      <c r="AG334" s="44" t="e">
        <f t="shared" si="126"/>
        <v>#N/A</v>
      </c>
      <c r="AH334" s="52" t="e">
        <f>HLOOKUP(I334,ElecAvoidedCostsWOCC!$A$5:$Q$50,T334+1,FALSE)</f>
        <v>#N/A</v>
      </c>
      <c r="AI334" s="44" t="e">
        <f t="shared" si="127"/>
        <v>#N/A</v>
      </c>
      <c r="AJ334" s="44" t="e">
        <f t="shared" si="128"/>
        <v>#N/A</v>
      </c>
      <c r="AK334" s="44" t="e">
        <f>HLOOKUP(I334,ElecAvoidedCostsWOCC!$A$5:$Q$50,G334+1,FALSE)*J334*L334</f>
        <v>#N/A</v>
      </c>
      <c r="AL334" s="44" t="e">
        <f t="shared" si="129"/>
        <v>#N/A</v>
      </c>
      <c r="AM334" s="48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8">
        <f t="shared" si="130"/>
        <v>0</v>
      </c>
      <c r="AO334" s="47">
        <f t="shared" si="131"/>
        <v>0</v>
      </c>
      <c r="AP334" s="47" t="e">
        <f t="shared" si="132"/>
        <v>#DIV/0!</v>
      </c>
    </row>
    <row r="335" spans="2:42">
      <c r="B335" s="37"/>
      <c r="C335" s="61"/>
      <c r="D335" s="61"/>
      <c r="E335" s="38"/>
      <c r="F335" s="39"/>
      <c r="G335" s="39"/>
      <c r="H335" s="39"/>
      <c r="I335" s="40"/>
      <c r="J335" s="41"/>
      <c r="K335" s="41"/>
      <c r="L335" s="41"/>
      <c r="M335" s="42"/>
      <c r="N335" s="42"/>
      <c r="O335" s="43"/>
      <c r="P335" s="44"/>
      <c r="Q335" s="44"/>
      <c r="R335" s="45"/>
      <c r="S335" s="46"/>
      <c r="T335" s="39">
        <f t="shared" si="114"/>
        <v>0</v>
      </c>
      <c r="U335" s="47">
        <f t="shared" si="115"/>
        <v>0</v>
      </c>
      <c r="V335" s="48">
        <f t="shared" si="116"/>
        <v>0</v>
      </c>
      <c r="W335" s="49">
        <f t="shared" si="117"/>
        <v>0</v>
      </c>
      <c r="X335" s="44">
        <f t="shared" si="118"/>
        <v>0</v>
      </c>
      <c r="Y335" s="44">
        <f t="shared" si="119"/>
        <v>0</v>
      </c>
      <c r="Z335" s="44">
        <f t="shared" si="120"/>
        <v>0</v>
      </c>
      <c r="AA335" s="50">
        <f t="shared" si="121"/>
        <v>0</v>
      </c>
      <c r="AB335" s="51">
        <f t="shared" si="122"/>
        <v>0</v>
      </c>
      <c r="AC335" s="44">
        <f t="shared" si="123"/>
        <v>0</v>
      </c>
      <c r="AD335" s="44">
        <f t="shared" si="124"/>
        <v>0</v>
      </c>
      <c r="AE335" s="44">
        <f t="shared" si="125"/>
        <v>0</v>
      </c>
      <c r="AF335" s="52" t="e">
        <f>HLOOKUP(I335,ElecAvoidedCostsWOCC!$A$5:$Q$50,G335+1,FALSE)</f>
        <v>#N/A</v>
      </c>
      <c r="AG335" s="44" t="e">
        <f t="shared" si="126"/>
        <v>#N/A</v>
      </c>
      <c r="AH335" s="52" t="e">
        <f>HLOOKUP(I335,ElecAvoidedCostsWOCC!$A$5:$Q$50,T335+1,FALSE)</f>
        <v>#N/A</v>
      </c>
      <c r="AI335" s="44" t="e">
        <f t="shared" si="127"/>
        <v>#N/A</v>
      </c>
      <c r="AJ335" s="44" t="e">
        <f t="shared" si="128"/>
        <v>#N/A</v>
      </c>
      <c r="AK335" s="44" t="e">
        <f>HLOOKUP(I335,ElecAvoidedCostsWOCC!$A$5:$Q$50,G335+1,FALSE)*J335*L335</f>
        <v>#N/A</v>
      </c>
      <c r="AL335" s="44" t="e">
        <f t="shared" si="129"/>
        <v>#N/A</v>
      </c>
      <c r="AM335" s="48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8">
        <f t="shared" si="130"/>
        <v>0</v>
      </c>
      <c r="AO335" s="47">
        <f t="shared" si="131"/>
        <v>0</v>
      </c>
      <c r="AP335" s="47" t="e">
        <f t="shared" si="132"/>
        <v>#DIV/0!</v>
      </c>
    </row>
    <row r="336" spans="2:42">
      <c r="B336" s="37"/>
      <c r="C336" s="61"/>
      <c r="D336" s="61"/>
      <c r="E336" s="38"/>
      <c r="F336" s="39"/>
      <c r="G336" s="39"/>
      <c r="H336" s="39"/>
      <c r="I336" s="40"/>
      <c r="J336" s="41"/>
      <c r="K336" s="41"/>
      <c r="L336" s="41"/>
      <c r="M336" s="42"/>
      <c r="N336" s="42"/>
      <c r="O336" s="43"/>
      <c r="P336" s="44"/>
      <c r="Q336" s="44"/>
      <c r="R336" s="45"/>
      <c r="S336" s="46"/>
      <c r="T336" s="39">
        <f t="shared" si="114"/>
        <v>0</v>
      </c>
      <c r="U336" s="47">
        <f t="shared" si="115"/>
        <v>0</v>
      </c>
      <c r="V336" s="48">
        <f t="shared" si="116"/>
        <v>0</v>
      </c>
      <c r="W336" s="49">
        <f t="shared" si="117"/>
        <v>0</v>
      </c>
      <c r="X336" s="44">
        <f t="shared" si="118"/>
        <v>0</v>
      </c>
      <c r="Y336" s="44">
        <f t="shared" si="119"/>
        <v>0</v>
      </c>
      <c r="Z336" s="44">
        <f t="shared" si="120"/>
        <v>0</v>
      </c>
      <c r="AA336" s="50">
        <f t="shared" si="121"/>
        <v>0</v>
      </c>
      <c r="AB336" s="51">
        <f t="shared" si="122"/>
        <v>0</v>
      </c>
      <c r="AC336" s="44">
        <f t="shared" si="123"/>
        <v>0</v>
      </c>
      <c r="AD336" s="44">
        <f t="shared" si="124"/>
        <v>0</v>
      </c>
      <c r="AE336" s="44">
        <f t="shared" si="125"/>
        <v>0</v>
      </c>
      <c r="AF336" s="52" t="e">
        <f>HLOOKUP(I336,ElecAvoidedCostsWOCC!$A$5:$Q$50,G336+1,FALSE)</f>
        <v>#N/A</v>
      </c>
      <c r="AG336" s="44" t="e">
        <f t="shared" si="126"/>
        <v>#N/A</v>
      </c>
      <c r="AH336" s="52" t="e">
        <f>HLOOKUP(I336,ElecAvoidedCostsWOCC!$A$5:$Q$50,T336+1,FALSE)</f>
        <v>#N/A</v>
      </c>
      <c r="AI336" s="44" t="e">
        <f t="shared" si="127"/>
        <v>#N/A</v>
      </c>
      <c r="AJ336" s="44" t="e">
        <f t="shared" si="128"/>
        <v>#N/A</v>
      </c>
      <c r="AK336" s="44" t="e">
        <f>HLOOKUP(I336,ElecAvoidedCostsWOCC!$A$5:$Q$50,G336+1,FALSE)*J336*L336</f>
        <v>#N/A</v>
      </c>
      <c r="AL336" s="44" t="e">
        <f t="shared" si="129"/>
        <v>#N/A</v>
      </c>
      <c r="AM336" s="48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8">
        <f t="shared" si="130"/>
        <v>0</v>
      </c>
      <c r="AO336" s="47">
        <f t="shared" si="131"/>
        <v>0</v>
      </c>
      <c r="AP336" s="47" t="e">
        <f t="shared" si="132"/>
        <v>#DIV/0!</v>
      </c>
    </row>
    <row r="337" spans="2:42">
      <c r="B337" s="37"/>
      <c r="C337" s="61"/>
      <c r="D337" s="61"/>
      <c r="E337" s="38"/>
      <c r="F337" s="39"/>
      <c r="G337" s="39"/>
      <c r="H337" s="39"/>
      <c r="I337" s="40"/>
      <c r="J337" s="41"/>
      <c r="K337" s="41"/>
      <c r="L337" s="41"/>
      <c r="M337" s="42"/>
      <c r="N337" s="42"/>
      <c r="O337" s="43"/>
      <c r="P337" s="44"/>
      <c r="Q337" s="44"/>
      <c r="R337" s="45"/>
      <c r="S337" s="46"/>
      <c r="T337" s="39">
        <f t="shared" si="114"/>
        <v>0</v>
      </c>
      <c r="U337" s="47">
        <f t="shared" si="115"/>
        <v>0</v>
      </c>
      <c r="V337" s="48">
        <f t="shared" si="116"/>
        <v>0</v>
      </c>
      <c r="W337" s="49">
        <f t="shared" si="117"/>
        <v>0</v>
      </c>
      <c r="X337" s="44">
        <f t="shared" si="118"/>
        <v>0</v>
      </c>
      <c r="Y337" s="44">
        <f t="shared" si="119"/>
        <v>0</v>
      </c>
      <c r="Z337" s="44">
        <f t="shared" si="120"/>
        <v>0</v>
      </c>
      <c r="AA337" s="50">
        <f t="shared" si="121"/>
        <v>0</v>
      </c>
      <c r="AB337" s="51">
        <f t="shared" si="122"/>
        <v>0</v>
      </c>
      <c r="AC337" s="44">
        <f t="shared" si="123"/>
        <v>0</v>
      </c>
      <c r="AD337" s="44">
        <f t="shared" si="124"/>
        <v>0</v>
      </c>
      <c r="AE337" s="44">
        <f t="shared" si="125"/>
        <v>0</v>
      </c>
      <c r="AF337" s="52" t="e">
        <f>HLOOKUP(I337,ElecAvoidedCostsWOCC!$A$5:$Q$50,G337+1,FALSE)</f>
        <v>#N/A</v>
      </c>
      <c r="AG337" s="44" t="e">
        <f t="shared" si="126"/>
        <v>#N/A</v>
      </c>
      <c r="AH337" s="52" t="e">
        <f>HLOOKUP(I337,ElecAvoidedCostsWOCC!$A$5:$Q$50,T337+1,FALSE)</f>
        <v>#N/A</v>
      </c>
      <c r="AI337" s="44" t="e">
        <f t="shared" si="127"/>
        <v>#N/A</v>
      </c>
      <c r="AJ337" s="44" t="e">
        <f t="shared" si="128"/>
        <v>#N/A</v>
      </c>
      <c r="AK337" s="44" t="e">
        <f>HLOOKUP(I337,ElecAvoidedCostsWOCC!$A$5:$Q$50,G337+1,FALSE)*J337*L337</f>
        <v>#N/A</v>
      </c>
      <c r="AL337" s="44" t="e">
        <f t="shared" si="129"/>
        <v>#N/A</v>
      </c>
      <c r="AM337" s="48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8">
        <f t="shared" si="130"/>
        <v>0</v>
      </c>
      <c r="AO337" s="47">
        <f t="shared" si="131"/>
        <v>0</v>
      </c>
      <c r="AP337" s="47" t="e">
        <f t="shared" si="132"/>
        <v>#DIV/0!</v>
      </c>
    </row>
    <row r="338" spans="2:42">
      <c r="B338" s="37"/>
      <c r="C338" s="61"/>
      <c r="D338" s="61"/>
      <c r="E338" s="38"/>
      <c r="F338" s="39"/>
      <c r="G338" s="39"/>
      <c r="H338" s="39"/>
      <c r="I338" s="40"/>
      <c r="J338" s="41"/>
      <c r="K338" s="41"/>
      <c r="L338" s="41"/>
      <c r="M338" s="42"/>
      <c r="N338" s="42"/>
      <c r="O338" s="43"/>
      <c r="P338" s="44"/>
      <c r="Q338" s="44"/>
      <c r="R338" s="45"/>
      <c r="S338" s="46"/>
      <c r="T338" s="39">
        <f t="shared" si="114"/>
        <v>0</v>
      </c>
      <c r="U338" s="47">
        <f t="shared" si="115"/>
        <v>0</v>
      </c>
      <c r="V338" s="48">
        <f t="shared" si="116"/>
        <v>0</v>
      </c>
      <c r="W338" s="49">
        <f t="shared" si="117"/>
        <v>0</v>
      </c>
      <c r="X338" s="44">
        <f t="shared" si="118"/>
        <v>0</v>
      </c>
      <c r="Y338" s="44">
        <f t="shared" si="119"/>
        <v>0</v>
      </c>
      <c r="Z338" s="44">
        <f t="shared" si="120"/>
        <v>0</v>
      </c>
      <c r="AA338" s="50">
        <f t="shared" si="121"/>
        <v>0</v>
      </c>
      <c r="AB338" s="51">
        <f t="shared" si="122"/>
        <v>0</v>
      </c>
      <c r="AC338" s="44">
        <f t="shared" si="123"/>
        <v>0</v>
      </c>
      <c r="AD338" s="44">
        <f t="shared" si="124"/>
        <v>0</v>
      </c>
      <c r="AE338" s="44">
        <f t="shared" si="125"/>
        <v>0</v>
      </c>
      <c r="AF338" s="52" t="e">
        <f>HLOOKUP(I338,ElecAvoidedCostsWOCC!$A$5:$Q$50,G338+1,FALSE)</f>
        <v>#N/A</v>
      </c>
      <c r="AG338" s="44" t="e">
        <f t="shared" si="126"/>
        <v>#N/A</v>
      </c>
      <c r="AH338" s="52" t="e">
        <f>HLOOKUP(I338,ElecAvoidedCostsWOCC!$A$5:$Q$50,T338+1,FALSE)</f>
        <v>#N/A</v>
      </c>
      <c r="AI338" s="44" t="e">
        <f t="shared" si="127"/>
        <v>#N/A</v>
      </c>
      <c r="AJ338" s="44" t="e">
        <f t="shared" si="128"/>
        <v>#N/A</v>
      </c>
      <c r="AK338" s="44" t="e">
        <f>HLOOKUP(I338,ElecAvoidedCostsWOCC!$A$5:$Q$50,G338+1,FALSE)*J338*L338</f>
        <v>#N/A</v>
      </c>
      <c r="AL338" s="44" t="e">
        <f t="shared" si="129"/>
        <v>#N/A</v>
      </c>
      <c r="AM338" s="48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8">
        <f t="shared" si="130"/>
        <v>0</v>
      </c>
      <c r="AO338" s="47">
        <f t="shared" si="131"/>
        <v>0</v>
      </c>
      <c r="AP338" s="47" t="e">
        <f t="shared" si="132"/>
        <v>#DIV/0!</v>
      </c>
    </row>
    <row r="339" spans="2:42">
      <c r="B339" s="37"/>
      <c r="C339" s="61"/>
      <c r="D339" s="61"/>
      <c r="E339" s="38"/>
      <c r="F339" s="39"/>
      <c r="G339" s="39"/>
      <c r="H339" s="39"/>
      <c r="I339" s="40"/>
      <c r="J339" s="41"/>
      <c r="K339" s="41"/>
      <c r="L339" s="41"/>
      <c r="M339" s="42"/>
      <c r="N339" s="42"/>
      <c r="O339" s="43"/>
      <c r="P339" s="44"/>
      <c r="Q339" s="44"/>
      <c r="R339" s="45"/>
      <c r="S339" s="46"/>
      <c r="T339" s="39">
        <f t="shared" si="114"/>
        <v>0</v>
      </c>
      <c r="U339" s="47">
        <f t="shared" si="115"/>
        <v>0</v>
      </c>
      <c r="V339" s="48">
        <f t="shared" si="116"/>
        <v>0</v>
      </c>
      <c r="W339" s="49">
        <f t="shared" si="117"/>
        <v>0</v>
      </c>
      <c r="X339" s="44">
        <f t="shared" si="118"/>
        <v>0</v>
      </c>
      <c r="Y339" s="44">
        <f t="shared" si="119"/>
        <v>0</v>
      </c>
      <c r="Z339" s="44">
        <f t="shared" si="120"/>
        <v>0</v>
      </c>
      <c r="AA339" s="50">
        <f t="shared" si="121"/>
        <v>0</v>
      </c>
      <c r="AB339" s="51">
        <f t="shared" si="122"/>
        <v>0</v>
      </c>
      <c r="AC339" s="44">
        <f t="shared" si="123"/>
        <v>0</v>
      </c>
      <c r="AD339" s="44">
        <f t="shared" si="124"/>
        <v>0</v>
      </c>
      <c r="AE339" s="44">
        <f t="shared" si="125"/>
        <v>0</v>
      </c>
      <c r="AF339" s="52" t="e">
        <f>HLOOKUP(I339,ElecAvoidedCostsWOCC!$A$5:$Q$50,G339+1,FALSE)</f>
        <v>#N/A</v>
      </c>
      <c r="AG339" s="44" t="e">
        <f t="shared" si="126"/>
        <v>#N/A</v>
      </c>
      <c r="AH339" s="52" t="e">
        <f>HLOOKUP(I339,ElecAvoidedCostsWOCC!$A$5:$Q$50,T339+1,FALSE)</f>
        <v>#N/A</v>
      </c>
      <c r="AI339" s="44" t="e">
        <f t="shared" si="127"/>
        <v>#N/A</v>
      </c>
      <c r="AJ339" s="44" t="e">
        <f t="shared" si="128"/>
        <v>#N/A</v>
      </c>
      <c r="AK339" s="44" t="e">
        <f>HLOOKUP(I339,ElecAvoidedCostsWOCC!$A$5:$Q$50,G339+1,FALSE)*J339*L339</f>
        <v>#N/A</v>
      </c>
      <c r="AL339" s="44" t="e">
        <f t="shared" si="129"/>
        <v>#N/A</v>
      </c>
      <c r="AM339" s="48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8">
        <f t="shared" si="130"/>
        <v>0</v>
      </c>
      <c r="AO339" s="47">
        <f t="shared" si="131"/>
        <v>0</v>
      </c>
      <c r="AP339" s="47" t="e">
        <f t="shared" si="132"/>
        <v>#DIV/0!</v>
      </c>
    </row>
    <row r="340" spans="2:42">
      <c r="B340" s="37"/>
      <c r="C340" s="61"/>
      <c r="D340" s="61"/>
      <c r="E340" s="38"/>
      <c r="F340" s="39"/>
      <c r="G340" s="39"/>
      <c r="H340" s="39"/>
      <c r="I340" s="40"/>
      <c r="J340" s="41"/>
      <c r="K340" s="41"/>
      <c r="L340" s="41"/>
      <c r="M340" s="42"/>
      <c r="N340" s="42"/>
      <c r="O340" s="43"/>
      <c r="P340" s="44"/>
      <c r="Q340" s="44"/>
      <c r="R340" s="45"/>
      <c r="S340" s="46"/>
      <c r="T340" s="39">
        <f t="shared" si="114"/>
        <v>0</v>
      </c>
      <c r="U340" s="47">
        <f t="shared" si="115"/>
        <v>0</v>
      </c>
      <c r="V340" s="48">
        <f t="shared" si="116"/>
        <v>0</v>
      </c>
      <c r="W340" s="49">
        <f t="shared" si="117"/>
        <v>0</v>
      </c>
      <c r="X340" s="44">
        <f t="shared" si="118"/>
        <v>0</v>
      </c>
      <c r="Y340" s="44">
        <f t="shared" si="119"/>
        <v>0</v>
      </c>
      <c r="Z340" s="44">
        <f t="shared" si="120"/>
        <v>0</v>
      </c>
      <c r="AA340" s="50">
        <f t="shared" si="121"/>
        <v>0</v>
      </c>
      <c r="AB340" s="51">
        <f t="shared" si="122"/>
        <v>0</v>
      </c>
      <c r="AC340" s="44">
        <f t="shared" si="123"/>
        <v>0</v>
      </c>
      <c r="AD340" s="44">
        <f t="shared" si="124"/>
        <v>0</v>
      </c>
      <c r="AE340" s="44">
        <f t="shared" si="125"/>
        <v>0</v>
      </c>
      <c r="AF340" s="52" t="e">
        <f>HLOOKUP(I340,ElecAvoidedCostsWOCC!$A$5:$Q$50,G340+1,FALSE)</f>
        <v>#N/A</v>
      </c>
      <c r="AG340" s="44" t="e">
        <f t="shared" si="126"/>
        <v>#N/A</v>
      </c>
      <c r="AH340" s="52" t="e">
        <f>HLOOKUP(I340,ElecAvoidedCostsWOCC!$A$5:$Q$50,T340+1,FALSE)</f>
        <v>#N/A</v>
      </c>
      <c r="AI340" s="44" t="e">
        <f t="shared" si="127"/>
        <v>#N/A</v>
      </c>
      <c r="AJ340" s="44" t="e">
        <f t="shared" si="128"/>
        <v>#N/A</v>
      </c>
      <c r="AK340" s="44" t="e">
        <f>HLOOKUP(I340,ElecAvoidedCostsWOCC!$A$5:$Q$50,G340+1,FALSE)*J340*L340</f>
        <v>#N/A</v>
      </c>
      <c r="AL340" s="44" t="e">
        <f t="shared" si="129"/>
        <v>#N/A</v>
      </c>
      <c r="AM340" s="48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8">
        <f t="shared" si="130"/>
        <v>0</v>
      </c>
      <c r="AO340" s="47">
        <f t="shared" si="131"/>
        <v>0</v>
      </c>
      <c r="AP340" s="47" t="e">
        <f t="shared" si="132"/>
        <v>#DIV/0!</v>
      </c>
    </row>
    <row r="341" spans="2:42">
      <c r="B341" s="37"/>
      <c r="C341" s="61"/>
      <c r="D341" s="61"/>
      <c r="E341" s="38"/>
      <c r="F341" s="39"/>
      <c r="G341" s="39"/>
      <c r="H341" s="39"/>
      <c r="I341" s="40"/>
      <c r="J341" s="41"/>
      <c r="K341" s="41"/>
      <c r="L341" s="41"/>
      <c r="M341" s="42"/>
      <c r="N341" s="42"/>
      <c r="O341" s="43"/>
      <c r="P341" s="44"/>
      <c r="Q341" s="44"/>
      <c r="R341" s="45"/>
      <c r="S341" s="46"/>
      <c r="T341" s="39">
        <f t="shared" si="114"/>
        <v>0</v>
      </c>
      <c r="U341" s="47">
        <f t="shared" si="115"/>
        <v>0</v>
      </c>
      <c r="V341" s="48">
        <f t="shared" si="116"/>
        <v>0</v>
      </c>
      <c r="W341" s="49">
        <f t="shared" si="117"/>
        <v>0</v>
      </c>
      <c r="X341" s="44">
        <f t="shared" si="118"/>
        <v>0</v>
      </c>
      <c r="Y341" s="44">
        <f t="shared" si="119"/>
        <v>0</v>
      </c>
      <c r="Z341" s="44">
        <f t="shared" si="120"/>
        <v>0</v>
      </c>
      <c r="AA341" s="50">
        <f t="shared" si="121"/>
        <v>0</v>
      </c>
      <c r="AB341" s="51">
        <f t="shared" si="122"/>
        <v>0</v>
      </c>
      <c r="AC341" s="44">
        <f t="shared" si="123"/>
        <v>0</v>
      </c>
      <c r="AD341" s="44">
        <f t="shared" si="124"/>
        <v>0</v>
      </c>
      <c r="AE341" s="44">
        <f t="shared" si="125"/>
        <v>0</v>
      </c>
      <c r="AF341" s="52" t="e">
        <f>HLOOKUP(I341,ElecAvoidedCostsWOCC!$A$5:$Q$50,G341+1,FALSE)</f>
        <v>#N/A</v>
      </c>
      <c r="AG341" s="44" t="e">
        <f t="shared" si="126"/>
        <v>#N/A</v>
      </c>
      <c r="AH341" s="52" t="e">
        <f>HLOOKUP(I341,ElecAvoidedCostsWOCC!$A$5:$Q$50,T341+1,FALSE)</f>
        <v>#N/A</v>
      </c>
      <c r="AI341" s="44" t="e">
        <f t="shared" si="127"/>
        <v>#N/A</v>
      </c>
      <c r="AJ341" s="44" t="e">
        <f t="shared" si="128"/>
        <v>#N/A</v>
      </c>
      <c r="AK341" s="44" t="e">
        <f>HLOOKUP(I341,ElecAvoidedCostsWOCC!$A$5:$Q$50,G341+1,FALSE)*J341*L341</f>
        <v>#N/A</v>
      </c>
      <c r="AL341" s="44" t="e">
        <f t="shared" si="129"/>
        <v>#N/A</v>
      </c>
      <c r="AM341" s="48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8">
        <f t="shared" si="130"/>
        <v>0</v>
      </c>
      <c r="AO341" s="47">
        <f t="shared" si="131"/>
        <v>0</v>
      </c>
      <c r="AP341" s="47" t="e">
        <f t="shared" si="132"/>
        <v>#DIV/0!</v>
      </c>
    </row>
    <row r="342" spans="2:42">
      <c r="B342" s="37"/>
      <c r="C342" s="61"/>
      <c r="D342" s="61"/>
      <c r="E342" s="38"/>
      <c r="F342" s="39"/>
      <c r="G342" s="39"/>
      <c r="H342" s="39"/>
      <c r="I342" s="40"/>
      <c r="J342" s="41"/>
      <c r="K342" s="41"/>
      <c r="L342" s="41"/>
      <c r="M342" s="42"/>
      <c r="N342" s="42"/>
      <c r="O342" s="43"/>
      <c r="P342" s="44"/>
      <c r="Q342" s="44"/>
      <c r="R342" s="45"/>
      <c r="S342" s="46"/>
      <c r="T342" s="39">
        <f t="shared" si="114"/>
        <v>0</v>
      </c>
      <c r="U342" s="47">
        <f t="shared" si="115"/>
        <v>0</v>
      </c>
      <c r="V342" s="48">
        <f t="shared" si="116"/>
        <v>0</v>
      </c>
      <c r="W342" s="49">
        <f t="shared" si="117"/>
        <v>0</v>
      </c>
      <c r="X342" s="44">
        <f t="shared" si="118"/>
        <v>0</v>
      </c>
      <c r="Y342" s="44">
        <f t="shared" si="119"/>
        <v>0</v>
      </c>
      <c r="Z342" s="44">
        <f t="shared" si="120"/>
        <v>0</v>
      </c>
      <c r="AA342" s="50">
        <f t="shared" si="121"/>
        <v>0</v>
      </c>
      <c r="AB342" s="51">
        <f t="shared" si="122"/>
        <v>0</v>
      </c>
      <c r="AC342" s="44">
        <f t="shared" si="123"/>
        <v>0</v>
      </c>
      <c r="AD342" s="44">
        <f t="shared" si="124"/>
        <v>0</v>
      </c>
      <c r="AE342" s="44">
        <f t="shared" si="125"/>
        <v>0</v>
      </c>
      <c r="AF342" s="52" t="e">
        <f>HLOOKUP(I342,ElecAvoidedCostsWOCC!$A$5:$Q$50,G342+1,FALSE)</f>
        <v>#N/A</v>
      </c>
      <c r="AG342" s="44" t="e">
        <f t="shared" si="126"/>
        <v>#N/A</v>
      </c>
      <c r="AH342" s="52" t="e">
        <f>HLOOKUP(I342,ElecAvoidedCostsWOCC!$A$5:$Q$50,T342+1,FALSE)</f>
        <v>#N/A</v>
      </c>
      <c r="AI342" s="44" t="e">
        <f t="shared" si="127"/>
        <v>#N/A</v>
      </c>
      <c r="AJ342" s="44" t="e">
        <f t="shared" si="128"/>
        <v>#N/A</v>
      </c>
      <c r="AK342" s="44" t="e">
        <f>HLOOKUP(I342,ElecAvoidedCostsWOCC!$A$5:$Q$50,G342+1,FALSE)*J342*L342</f>
        <v>#N/A</v>
      </c>
      <c r="AL342" s="44" t="e">
        <f t="shared" si="129"/>
        <v>#N/A</v>
      </c>
      <c r="AM342" s="48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8">
        <f t="shared" si="130"/>
        <v>0</v>
      </c>
      <c r="AO342" s="47">
        <f t="shared" si="131"/>
        <v>0</v>
      </c>
      <c r="AP342" s="47" t="e">
        <f t="shared" si="132"/>
        <v>#DIV/0!</v>
      </c>
    </row>
    <row r="343" spans="2:42">
      <c r="B343" s="37"/>
      <c r="C343" s="61"/>
      <c r="D343" s="61"/>
      <c r="E343" s="38"/>
      <c r="F343" s="39"/>
      <c r="G343" s="39"/>
      <c r="H343" s="39"/>
      <c r="I343" s="40"/>
      <c r="J343" s="41"/>
      <c r="K343" s="41"/>
      <c r="L343" s="41"/>
      <c r="M343" s="42"/>
      <c r="N343" s="42"/>
      <c r="O343" s="43"/>
      <c r="P343" s="44"/>
      <c r="Q343" s="44"/>
      <c r="R343" s="45"/>
      <c r="S343" s="46"/>
      <c r="T343" s="39">
        <f t="shared" si="114"/>
        <v>0</v>
      </c>
      <c r="U343" s="47">
        <f t="shared" si="115"/>
        <v>0</v>
      </c>
      <c r="V343" s="48">
        <f t="shared" si="116"/>
        <v>0</v>
      </c>
      <c r="W343" s="49">
        <f t="shared" si="117"/>
        <v>0</v>
      </c>
      <c r="X343" s="44">
        <f t="shared" si="118"/>
        <v>0</v>
      </c>
      <c r="Y343" s="44">
        <f t="shared" si="119"/>
        <v>0</v>
      </c>
      <c r="Z343" s="44">
        <f t="shared" si="120"/>
        <v>0</v>
      </c>
      <c r="AA343" s="50">
        <f t="shared" si="121"/>
        <v>0</v>
      </c>
      <c r="AB343" s="51">
        <f t="shared" si="122"/>
        <v>0</v>
      </c>
      <c r="AC343" s="44">
        <f t="shared" si="123"/>
        <v>0</v>
      </c>
      <c r="AD343" s="44">
        <f t="shared" si="124"/>
        <v>0</v>
      </c>
      <c r="AE343" s="44">
        <f t="shared" si="125"/>
        <v>0</v>
      </c>
      <c r="AF343" s="52" t="e">
        <f>HLOOKUP(I343,ElecAvoidedCostsWOCC!$A$5:$Q$50,G343+1,FALSE)</f>
        <v>#N/A</v>
      </c>
      <c r="AG343" s="44" t="e">
        <f t="shared" si="126"/>
        <v>#N/A</v>
      </c>
      <c r="AH343" s="52" t="e">
        <f>HLOOKUP(I343,ElecAvoidedCostsWOCC!$A$5:$Q$50,T343+1,FALSE)</f>
        <v>#N/A</v>
      </c>
      <c r="AI343" s="44" t="e">
        <f t="shared" si="127"/>
        <v>#N/A</v>
      </c>
      <c r="AJ343" s="44" t="e">
        <f t="shared" si="128"/>
        <v>#N/A</v>
      </c>
      <c r="AK343" s="44" t="e">
        <f>HLOOKUP(I343,ElecAvoidedCostsWOCC!$A$5:$Q$50,G343+1,FALSE)*J343*L343</f>
        <v>#N/A</v>
      </c>
      <c r="AL343" s="44" t="e">
        <f t="shared" si="129"/>
        <v>#N/A</v>
      </c>
      <c r="AM343" s="48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8">
        <f t="shared" si="130"/>
        <v>0</v>
      </c>
      <c r="AO343" s="47">
        <f t="shared" si="131"/>
        <v>0</v>
      </c>
      <c r="AP343" s="47" t="e">
        <f t="shared" si="132"/>
        <v>#DIV/0!</v>
      </c>
    </row>
    <row r="344" spans="2:42">
      <c r="B344" s="37"/>
      <c r="C344" s="61"/>
      <c r="D344" s="61"/>
      <c r="E344" s="38"/>
      <c r="F344" s="39"/>
      <c r="G344" s="39"/>
      <c r="H344" s="39"/>
      <c r="I344" s="40"/>
      <c r="J344" s="41"/>
      <c r="K344" s="41"/>
      <c r="L344" s="41"/>
      <c r="M344" s="42"/>
      <c r="N344" s="42"/>
      <c r="O344" s="43"/>
      <c r="P344" s="44"/>
      <c r="Q344" s="44"/>
      <c r="R344" s="45"/>
      <c r="S344" s="46"/>
      <c r="T344" s="39">
        <f t="shared" si="114"/>
        <v>0</v>
      </c>
      <c r="U344" s="47">
        <f t="shared" si="115"/>
        <v>0</v>
      </c>
      <c r="V344" s="48">
        <f t="shared" si="116"/>
        <v>0</v>
      </c>
      <c r="W344" s="49">
        <f t="shared" si="117"/>
        <v>0</v>
      </c>
      <c r="X344" s="44">
        <f t="shared" si="118"/>
        <v>0</v>
      </c>
      <c r="Y344" s="44">
        <f t="shared" si="119"/>
        <v>0</v>
      </c>
      <c r="Z344" s="44">
        <f t="shared" si="120"/>
        <v>0</v>
      </c>
      <c r="AA344" s="50">
        <f t="shared" si="121"/>
        <v>0</v>
      </c>
      <c r="AB344" s="51">
        <f t="shared" si="122"/>
        <v>0</v>
      </c>
      <c r="AC344" s="44">
        <f t="shared" si="123"/>
        <v>0</v>
      </c>
      <c r="AD344" s="44">
        <f t="shared" si="124"/>
        <v>0</v>
      </c>
      <c r="AE344" s="44">
        <f t="shared" si="125"/>
        <v>0</v>
      </c>
      <c r="AF344" s="52" t="e">
        <f>HLOOKUP(I344,ElecAvoidedCostsWOCC!$A$5:$Q$50,G344+1,FALSE)</f>
        <v>#N/A</v>
      </c>
      <c r="AG344" s="44" t="e">
        <f t="shared" si="126"/>
        <v>#N/A</v>
      </c>
      <c r="AH344" s="52" t="e">
        <f>HLOOKUP(I344,ElecAvoidedCostsWOCC!$A$5:$Q$50,T344+1,FALSE)</f>
        <v>#N/A</v>
      </c>
      <c r="AI344" s="44" t="e">
        <f t="shared" si="127"/>
        <v>#N/A</v>
      </c>
      <c r="AJ344" s="44" t="e">
        <f t="shared" si="128"/>
        <v>#N/A</v>
      </c>
      <c r="AK344" s="44" t="e">
        <f>HLOOKUP(I344,ElecAvoidedCostsWOCC!$A$5:$Q$50,G344+1,FALSE)*J344*L344</f>
        <v>#N/A</v>
      </c>
      <c r="AL344" s="44" t="e">
        <f t="shared" si="129"/>
        <v>#N/A</v>
      </c>
      <c r="AM344" s="48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8">
        <f t="shared" si="130"/>
        <v>0</v>
      </c>
      <c r="AO344" s="47">
        <f t="shared" si="131"/>
        <v>0</v>
      </c>
      <c r="AP344" s="47" t="e">
        <f t="shared" si="132"/>
        <v>#DIV/0!</v>
      </c>
    </row>
    <row r="345" spans="2:42">
      <c r="B345" s="37"/>
      <c r="C345" s="61"/>
      <c r="D345" s="61"/>
      <c r="E345" s="38"/>
      <c r="F345" s="39"/>
      <c r="G345" s="39"/>
      <c r="H345" s="39"/>
      <c r="I345" s="40"/>
      <c r="J345" s="41"/>
      <c r="K345" s="41"/>
      <c r="L345" s="41"/>
      <c r="M345" s="42"/>
      <c r="N345" s="42"/>
      <c r="O345" s="43"/>
      <c r="P345" s="44"/>
      <c r="Q345" s="44"/>
      <c r="R345" s="45"/>
      <c r="S345" s="46"/>
      <c r="T345" s="39">
        <f t="shared" si="114"/>
        <v>0</v>
      </c>
      <c r="U345" s="47">
        <f t="shared" si="115"/>
        <v>0</v>
      </c>
      <c r="V345" s="48">
        <f t="shared" si="116"/>
        <v>0</v>
      </c>
      <c r="W345" s="49">
        <f t="shared" si="117"/>
        <v>0</v>
      </c>
      <c r="X345" s="44">
        <f t="shared" si="118"/>
        <v>0</v>
      </c>
      <c r="Y345" s="44">
        <f t="shared" si="119"/>
        <v>0</v>
      </c>
      <c r="Z345" s="44">
        <f t="shared" si="120"/>
        <v>0</v>
      </c>
      <c r="AA345" s="50">
        <f t="shared" si="121"/>
        <v>0</v>
      </c>
      <c r="AB345" s="51">
        <f t="shared" si="122"/>
        <v>0</v>
      </c>
      <c r="AC345" s="44">
        <f t="shared" si="123"/>
        <v>0</v>
      </c>
      <c r="AD345" s="44">
        <f t="shared" si="124"/>
        <v>0</v>
      </c>
      <c r="AE345" s="44">
        <f t="shared" si="125"/>
        <v>0</v>
      </c>
      <c r="AF345" s="52" t="e">
        <f>HLOOKUP(I345,ElecAvoidedCostsWOCC!$A$5:$Q$50,G345+1,FALSE)</f>
        <v>#N/A</v>
      </c>
      <c r="AG345" s="44" t="e">
        <f t="shared" si="126"/>
        <v>#N/A</v>
      </c>
      <c r="AH345" s="52" t="e">
        <f>HLOOKUP(I345,ElecAvoidedCostsWOCC!$A$5:$Q$50,T345+1,FALSE)</f>
        <v>#N/A</v>
      </c>
      <c r="AI345" s="44" t="e">
        <f t="shared" si="127"/>
        <v>#N/A</v>
      </c>
      <c r="AJ345" s="44" t="e">
        <f t="shared" si="128"/>
        <v>#N/A</v>
      </c>
      <c r="AK345" s="44" t="e">
        <f>HLOOKUP(I345,ElecAvoidedCostsWOCC!$A$5:$Q$50,G345+1,FALSE)*J345*L345</f>
        <v>#N/A</v>
      </c>
      <c r="AL345" s="44" t="e">
        <f t="shared" si="129"/>
        <v>#N/A</v>
      </c>
      <c r="AM345" s="48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8">
        <f t="shared" si="130"/>
        <v>0</v>
      </c>
      <c r="AO345" s="47">
        <f t="shared" si="131"/>
        <v>0</v>
      </c>
      <c r="AP345" s="47" t="e">
        <f t="shared" si="132"/>
        <v>#DIV/0!</v>
      </c>
    </row>
    <row r="346" spans="2:42">
      <c r="B346" s="37"/>
      <c r="C346" s="61"/>
      <c r="D346" s="61"/>
      <c r="E346" s="38"/>
      <c r="F346" s="39"/>
      <c r="G346" s="39"/>
      <c r="H346" s="39"/>
      <c r="I346" s="40"/>
      <c r="J346" s="41"/>
      <c r="K346" s="41"/>
      <c r="L346" s="41"/>
      <c r="M346" s="42"/>
      <c r="N346" s="42"/>
      <c r="O346" s="43"/>
      <c r="P346" s="44"/>
      <c r="Q346" s="44"/>
      <c r="R346" s="45"/>
      <c r="S346" s="46"/>
      <c r="T346" s="39">
        <f t="shared" si="114"/>
        <v>0</v>
      </c>
      <c r="U346" s="47">
        <f t="shared" si="115"/>
        <v>0</v>
      </c>
      <c r="V346" s="48">
        <f t="shared" si="116"/>
        <v>0</v>
      </c>
      <c r="W346" s="49">
        <f t="shared" si="117"/>
        <v>0</v>
      </c>
      <c r="X346" s="44">
        <f t="shared" si="118"/>
        <v>0</v>
      </c>
      <c r="Y346" s="44">
        <f t="shared" si="119"/>
        <v>0</v>
      </c>
      <c r="Z346" s="44">
        <f t="shared" si="120"/>
        <v>0</v>
      </c>
      <c r="AA346" s="50">
        <f t="shared" si="121"/>
        <v>0</v>
      </c>
      <c r="AB346" s="51">
        <f t="shared" si="122"/>
        <v>0</v>
      </c>
      <c r="AC346" s="44">
        <f t="shared" si="123"/>
        <v>0</v>
      </c>
      <c r="AD346" s="44">
        <f t="shared" si="124"/>
        <v>0</v>
      </c>
      <c r="AE346" s="44">
        <f t="shared" si="125"/>
        <v>0</v>
      </c>
      <c r="AF346" s="52" t="e">
        <f>HLOOKUP(I346,ElecAvoidedCostsWOCC!$A$5:$Q$50,G346+1,FALSE)</f>
        <v>#N/A</v>
      </c>
      <c r="AG346" s="44" t="e">
        <f t="shared" si="126"/>
        <v>#N/A</v>
      </c>
      <c r="AH346" s="52" t="e">
        <f>HLOOKUP(I346,ElecAvoidedCostsWOCC!$A$5:$Q$50,T346+1,FALSE)</f>
        <v>#N/A</v>
      </c>
      <c r="AI346" s="44" t="e">
        <f t="shared" si="127"/>
        <v>#N/A</v>
      </c>
      <c r="AJ346" s="44" t="e">
        <f t="shared" si="128"/>
        <v>#N/A</v>
      </c>
      <c r="AK346" s="44" t="e">
        <f>HLOOKUP(I346,ElecAvoidedCostsWOCC!$A$5:$Q$50,G346+1,FALSE)*J346*L346</f>
        <v>#N/A</v>
      </c>
      <c r="AL346" s="44" t="e">
        <f t="shared" si="129"/>
        <v>#N/A</v>
      </c>
      <c r="AM346" s="48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8">
        <f t="shared" si="130"/>
        <v>0</v>
      </c>
      <c r="AO346" s="47">
        <f t="shared" si="131"/>
        <v>0</v>
      </c>
      <c r="AP346" s="47" t="e">
        <f t="shared" si="132"/>
        <v>#DIV/0!</v>
      </c>
    </row>
    <row r="347" spans="2:42">
      <c r="B347" s="37"/>
      <c r="C347" s="61"/>
      <c r="D347" s="61"/>
      <c r="E347" s="38"/>
      <c r="F347" s="39"/>
      <c r="G347" s="39"/>
      <c r="H347" s="39"/>
      <c r="I347" s="40"/>
      <c r="J347" s="41"/>
      <c r="K347" s="41"/>
      <c r="L347" s="41"/>
      <c r="M347" s="42"/>
      <c r="N347" s="42"/>
      <c r="O347" s="43"/>
      <c r="P347" s="44"/>
      <c r="Q347" s="44"/>
      <c r="R347" s="45"/>
      <c r="S347" s="46"/>
      <c r="T347" s="39">
        <f t="shared" si="114"/>
        <v>0</v>
      </c>
      <c r="U347" s="47">
        <f t="shared" si="115"/>
        <v>0</v>
      </c>
      <c r="V347" s="48">
        <f t="shared" si="116"/>
        <v>0</v>
      </c>
      <c r="W347" s="49">
        <f t="shared" si="117"/>
        <v>0</v>
      </c>
      <c r="X347" s="44">
        <f t="shared" si="118"/>
        <v>0</v>
      </c>
      <c r="Y347" s="44">
        <f t="shared" si="119"/>
        <v>0</v>
      </c>
      <c r="Z347" s="44">
        <f t="shared" si="120"/>
        <v>0</v>
      </c>
      <c r="AA347" s="50">
        <f t="shared" si="121"/>
        <v>0</v>
      </c>
      <c r="AB347" s="51">
        <f t="shared" si="122"/>
        <v>0</v>
      </c>
      <c r="AC347" s="44">
        <f t="shared" si="123"/>
        <v>0</v>
      </c>
      <c r="AD347" s="44">
        <f t="shared" si="124"/>
        <v>0</v>
      </c>
      <c r="AE347" s="44">
        <f t="shared" si="125"/>
        <v>0</v>
      </c>
      <c r="AF347" s="52" t="e">
        <f>HLOOKUP(I347,ElecAvoidedCostsWOCC!$A$5:$Q$50,G347+1,FALSE)</f>
        <v>#N/A</v>
      </c>
      <c r="AG347" s="44" t="e">
        <f t="shared" si="126"/>
        <v>#N/A</v>
      </c>
      <c r="AH347" s="52" t="e">
        <f>HLOOKUP(I347,ElecAvoidedCostsWOCC!$A$5:$Q$50,T347+1,FALSE)</f>
        <v>#N/A</v>
      </c>
      <c r="AI347" s="44" t="e">
        <f t="shared" si="127"/>
        <v>#N/A</v>
      </c>
      <c r="AJ347" s="44" t="e">
        <f t="shared" si="128"/>
        <v>#N/A</v>
      </c>
      <c r="AK347" s="44" t="e">
        <f>HLOOKUP(I347,ElecAvoidedCostsWOCC!$A$5:$Q$50,G347+1,FALSE)*J347*L347</f>
        <v>#N/A</v>
      </c>
      <c r="AL347" s="44" t="e">
        <f t="shared" si="129"/>
        <v>#N/A</v>
      </c>
      <c r="AM347" s="48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8">
        <f t="shared" si="130"/>
        <v>0</v>
      </c>
      <c r="AO347" s="47">
        <f t="shared" si="131"/>
        <v>0</v>
      </c>
      <c r="AP347" s="47" t="e">
        <f t="shared" si="132"/>
        <v>#DIV/0!</v>
      </c>
    </row>
    <row r="348" spans="2:42">
      <c r="B348" s="37"/>
      <c r="C348" s="61"/>
      <c r="D348" s="61"/>
      <c r="E348" s="38"/>
      <c r="F348" s="39"/>
      <c r="G348" s="39"/>
      <c r="H348" s="39"/>
      <c r="I348" s="40"/>
      <c r="J348" s="41"/>
      <c r="K348" s="41"/>
      <c r="L348" s="41"/>
      <c r="M348" s="42"/>
      <c r="N348" s="42"/>
      <c r="O348" s="43"/>
      <c r="P348" s="44"/>
      <c r="Q348" s="44"/>
      <c r="R348" s="45"/>
      <c r="S348" s="46"/>
      <c r="T348" s="39">
        <f t="shared" si="114"/>
        <v>0</v>
      </c>
      <c r="U348" s="47">
        <f t="shared" si="115"/>
        <v>0</v>
      </c>
      <c r="V348" s="48">
        <f t="shared" si="116"/>
        <v>0</v>
      </c>
      <c r="W348" s="49">
        <f t="shared" si="117"/>
        <v>0</v>
      </c>
      <c r="X348" s="44">
        <f t="shared" si="118"/>
        <v>0</v>
      </c>
      <c r="Y348" s="44">
        <f t="shared" si="119"/>
        <v>0</v>
      </c>
      <c r="Z348" s="44">
        <f t="shared" si="120"/>
        <v>0</v>
      </c>
      <c r="AA348" s="50">
        <f t="shared" si="121"/>
        <v>0</v>
      </c>
      <c r="AB348" s="51">
        <f t="shared" si="122"/>
        <v>0</v>
      </c>
      <c r="AC348" s="44">
        <f t="shared" si="123"/>
        <v>0</v>
      </c>
      <c r="AD348" s="44">
        <f t="shared" si="124"/>
        <v>0</v>
      </c>
      <c r="AE348" s="44">
        <f t="shared" si="125"/>
        <v>0</v>
      </c>
      <c r="AF348" s="52" t="e">
        <f>HLOOKUP(I348,ElecAvoidedCostsWOCC!$A$5:$Q$50,G348+1,FALSE)</f>
        <v>#N/A</v>
      </c>
      <c r="AG348" s="44" t="e">
        <f t="shared" si="126"/>
        <v>#N/A</v>
      </c>
      <c r="AH348" s="52" t="e">
        <f>HLOOKUP(I348,ElecAvoidedCostsWOCC!$A$5:$Q$50,T348+1,FALSE)</f>
        <v>#N/A</v>
      </c>
      <c r="AI348" s="44" t="e">
        <f t="shared" si="127"/>
        <v>#N/A</v>
      </c>
      <c r="AJ348" s="44" t="e">
        <f t="shared" si="128"/>
        <v>#N/A</v>
      </c>
      <c r="AK348" s="44" t="e">
        <f>HLOOKUP(I348,ElecAvoidedCostsWOCC!$A$5:$Q$50,G348+1,FALSE)*J348*L348</f>
        <v>#N/A</v>
      </c>
      <c r="AL348" s="44" t="e">
        <f t="shared" si="129"/>
        <v>#N/A</v>
      </c>
      <c r="AM348" s="48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8">
        <f t="shared" si="130"/>
        <v>0</v>
      </c>
      <c r="AO348" s="47">
        <f t="shared" si="131"/>
        <v>0</v>
      </c>
      <c r="AP348" s="47" t="e">
        <f t="shared" si="132"/>
        <v>#DIV/0!</v>
      </c>
    </row>
    <row r="349" spans="2:42">
      <c r="B349" s="37"/>
      <c r="C349" s="61"/>
      <c r="D349" s="61"/>
      <c r="E349" s="38"/>
      <c r="F349" s="39"/>
      <c r="G349" s="39"/>
      <c r="H349" s="39"/>
      <c r="I349" s="40"/>
      <c r="J349" s="41"/>
      <c r="K349" s="41"/>
      <c r="L349" s="41"/>
      <c r="M349" s="42"/>
      <c r="N349" s="42"/>
      <c r="O349" s="43"/>
      <c r="P349" s="44"/>
      <c r="Q349" s="44"/>
      <c r="R349" s="45"/>
      <c r="S349" s="46"/>
      <c r="T349" s="39">
        <f t="shared" si="114"/>
        <v>0</v>
      </c>
      <c r="U349" s="47">
        <f t="shared" si="115"/>
        <v>0</v>
      </c>
      <c r="V349" s="48">
        <f t="shared" si="116"/>
        <v>0</v>
      </c>
      <c r="W349" s="49">
        <f t="shared" si="117"/>
        <v>0</v>
      </c>
      <c r="X349" s="44">
        <f t="shared" si="118"/>
        <v>0</v>
      </c>
      <c r="Y349" s="44">
        <f t="shared" si="119"/>
        <v>0</v>
      </c>
      <c r="Z349" s="44">
        <f t="shared" si="120"/>
        <v>0</v>
      </c>
      <c r="AA349" s="50">
        <f t="shared" si="121"/>
        <v>0</v>
      </c>
      <c r="AB349" s="51">
        <f t="shared" si="122"/>
        <v>0</v>
      </c>
      <c r="AC349" s="44">
        <f t="shared" si="123"/>
        <v>0</v>
      </c>
      <c r="AD349" s="44">
        <f t="shared" si="124"/>
        <v>0</v>
      </c>
      <c r="AE349" s="44">
        <f t="shared" si="125"/>
        <v>0</v>
      </c>
      <c r="AF349" s="52" t="e">
        <f>HLOOKUP(I349,ElecAvoidedCostsWOCC!$A$5:$Q$50,G349+1,FALSE)</f>
        <v>#N/A</v>
      </c>
      <c r="AG349" s="44" t="e">
        <f t="shared" si="126"/>
        <v>#N/A</v>
      </c>
      <c r="AH349" s="52" t="e">
        <f>HLOOKUP(I349,ElecAvoidedCostsWOCC!$A$5:$Q$50,T349+1,FALSE)</f>
        <v>#N/A</v>
      </c>
      <c r="AI349" s="44" t="e">
        <f t="shared" si="127"/>
        <v>#N/A</v>
      </c>
      <c r="AJ349" s="44" t="e">
        <f t="shared" si="128"/>
        <v>#N/A</v>
      </c>
      <c r="AK349" s="44" t="e">
        <f>HLOOKUP(I349,ElecAvoidedCostsWOCC!$A$5:$Q$50,G349+1,FALSE)*J349*L349</f>
        <v>#N/A</v>
      </c>
      <c r="AL349" s="44" t="e">
        <f t="shared" si="129"/>
        <v>#N/A</v>
      </c>
      <c r="AM349" s="48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8">
        <f t="shared" si="130"/>
        <v>0</v>
      </c>
      <c r="AO349" s="47">
        <f t="shared" si="131"/>
        <v>0</v>
      </c>
      <c r="AP349" s="47" t="e">
        <f t="shared" si="132"/>
        <v>#DIV/0!</v>
      </c>
    </row>
    <row r="350" spans="2:42">
      <c r="B350" s="37"/>
      <c r="C350" s="61"/>
      <c r="D350" s="61"/>
      <c r="E350" s="38"/>
      <c r="F350" s="39"/>
      <c r="G350" s="39"/>
      <c r="H350" s="39"/>
      <c r="I350" s="40"/>
      <c r="J350" s="41"/>
      <c r="K350" s="41"/>
      <c r="L350" s="41"/>
      <c r="M350" s="42"/>
      <c r="N350" s="42"/>
      <c r="O350" s="43"/>
      <c r="P350" s="44"/>
      <c r="Q350" s="44"/>
      <c r="R350" s="45"/>
      <c r="S350" s="46"/>
      <c r="T350" s="39">
        <f t="shared" si="114"/>
        <v>0</v>
      </c>
      <c r="U350" s="47">
        <f t="shared" si="115"/>
        <v>0</v>
      </c>
      <c r="V350" s="48">
        <f t="shared" si="116"/>
        <v>0</v>
      </c>
      <c r="W350" s="49">
        <f t="shared" si="117"/>
        <v>0</v>
      </c>
      <c r="X350" s="44">
        <f t="shared" si="118"/>
        <v>0</v>
      </c>
      <c r="Y350" s="44">
        <f t="shared" si="119"/>
        <v>0</v>
      </c>
      <c r="Z350" s="44">
        <f t="shared" si="120"/>
        <v>0</v>
      </c>
      <c r="AA350" s="50">
        <f t="shared" si="121"/>
        <v>0</v>
      </c>
      <c r="AB350" s="51">
        <f t="shared" si="122"/>
        <v>0</v>
      </c>
      <c r="AC350" s="44">
        <f t="shared" si="123"/>
        <v>0</v>
      </c>
      <c r="AD350" s="44">
        <f t="shared" si="124"/>
        <v>0</v>
      </c>
      <c r="AE350" s="44">
        <f t="shared" si="125"/>
        <v>0</v>
      </c>
      <c r="AF350" s="52" t="e">
        <f>HLOOKUP(I350,ElecAvoidedCostsWOCC!$A$5:$Q$50,G350+1,FALSE)</f>
        <v>#N/A</v>
      </c>
      <c r="AG350" s="44" t="e">
        <f t="shared" si="126"/>
        <v>#N/A</v>
      </c>
      <c r="AH350" s="52" t="e">
        <f>HLOOKUP(I350,ElecAvoidedCostsWOCC!$A$5:$Q$50,T350+1,FALSE)</f>
        <v>#N/A</v>
      </c>
      <c r="AI350" s="44" t="e">
        <f t="shared" si="127"/>
        <v>#N/A</v>
      </c>
      <c r="AJ350" s="44" t="e">
        <f t="shared" si="128"/>
        <v>#N/A</v>
      </c>
      <c r="AK350" s="44" t="e">
        <f>HLOOKUP(I350,ElecAvoidedCostsWOCC!$A$5:$Q$50,G350+1,FALSE)*J350*L350</f>
        <v>#N/A</v>
      </c>
      <c r="AL350" s="44" t="e">
        <f t="shared" si="129"/>
        <v>#N/A</v>
      </c>
      <c r="AM350" s="48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8">
        <f t="shared" si="130"/>
        <v>0</v>
      </c>
      <c r="AO350" s="47">
        <f t="shared" si="131"/>
        <v>0</v>
      </c>
      <c r="AP350" s="47" t="e">
        <f t="shared" si="132"/>
        <v>#DIV/0!</v>
      </c>
    </row>
    <row r="351" spans="2:42">
      <c r="B351" s="37"/>
      <c r="C351" s="61"/>
      <c r="D351" s="61"/>
      <c r="E351" s="38"/>
      <c r="F351" s="39"/>
      <c r="G351" s="39"/>
      <c r="H351" s="39"/>
      <c r="I351" s="40"/>
      <c r="J351" s="41"/>
      <c r="K351" s="41"/>
      <c r="L351" s="41"/>
      <c r="M351" s="42"/>
      <c r="N351" s="42"/>
      <c r="O351" s="43"/>
      <c r="P351" s="44"/>
      <c r="Q351" s="44"/>
      <c r="R351" s="45"/>
      <c r="S351" s="46"/>
      <c r="T351" s="39">
        <f t="shared" si="114"/>
        <v>0</v>
      </c>
      <c r="U351" s="47">
        <f t="shared" si="115"/>
        <v>0</v>
      </c>
      <c r="V351" s="48">
        <f t="shared" si="116"/>
        <v>0</v>
      </c>
      <c r="W351" s="49">
        <f t="shared" si="117"/>
        <v>0</v>
      </c>
      <c r="X351" s="44">
        <f t="shared" si="118"/>
        <v>0</v>
      </c>
      <c r="Y351" s="44">
        <f t="shared" si="119"/>
        <v>0</v>
      </c>
      <c r="Z351" s="44">
        <f t="shared" si="120"/>
        <v>0</v>
      </c>
      <c r="AA351" s="50">
        <f t="shared" si="121"/>
        <v>0</v>
      </c>
      <c r="AB351" s="51">
        <f t="shared" si="122"/>
        <v>0</v>
      </c>
      <c r="AC351" s="44">
        <f t="shared" si="123"/>
        <v>0</v>
      </c>
      <c r="AD351" s="44">
        <f t="shared" si="124"/>
        <v>0</v>
      </c>
      <c r="AE351" s="44">
        <f t="shared" si="125"/>
        <v>0</v>
      </c>
      <c r="AF351" s="52" t="e">
        <f>HLOOKUP(I351,ElecAvoidedCostsWOCC!$A$5:$Q$50,G351+1,FALSE)</f>
        <v>#N/A</v>
      </c>
      <c r="AG351" s="44" t="e">
        <f t="shared" si="126"/>
        <v>#N/A</v>
      </c>
      <c r="AH351" s="52" t="e">
        <f>HLOOKUP(I351,ElecAvoidedCostsWOCC!$A$5:$Q$50,T351+1,FALSE)</f>
        <v>#N/A</v>
      </c>
      <c r="AI351" s="44" t="e">
        <f t="shared" si="127"/>
        <v>#N/A</v>
      </c>
      <c r="AJ351" s="44" t="e">
        <f t="shared" si="128"/>
        <v>#N/A</v>
      </c>
      <c r="AK351" s="44" t="e">
        <f>HLOOKUP(I351,ElecAvoidedCostsWOCC!$A$5:$Q$50,G351+1,FALSE)*J351*L351</f>
        <v>#N/A</v>
      </c>
      <c r="AL351" s="44" t="e">
        <f t="shared" si="129"/>
        <v>#N/A</v>
      </c>
      <c r="AM351" s="48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8">
        <f t="shared" si="130"/>
        <v>0</v>
      </c>
      <c r="AO351" s="47">
        <f t="shared" si="131"/>
        <v>0</v>
      </c>
      <c r="AP351" s="47" t="e">
        <f t="shared" si="132"/>
        <v>#DIV/0!</v>
      </c>
    </row>
    <row r="352" spans="2:42">
      <c r="B352" s="37"/>
      <c r="C352" s="61"/>
      <c r="D352" s="61"/>
      <c r="E352" s="38"/>
      <c r="F352" s="39"/>
      <c r="G352" s="39"/>
      <c r="H352" s="39"/>
      <c r="I352" s="40"/>
      <c r="J352" s="41"/>
      <c r="K352" s="41"/>
      <c r="L352" s="41"/>
      <c r="M352" s="42"/>
      <c r="N352" s="42"/>
      <c r="O352" s="43"/>
      <c r="P352" s="44"/>
      <c r="Q352" s="44"/>
      <c r="R352" s="45"/>
      <c r="S352" s="46"/>
      <c r="T352" s="39">
        <f t="shared" si="114"/>
        <v>0</v>
      </c>
      <c r="U352" s="47">
        <f t="shared" si="115"/>
        <v>0</v>
      </c>
      <c r="V352" s="48">
        <f t="shared" si="116"/>
        <v>0</v>
      </c>
      <c r="W352" s="49">
        <f t="shared" si="117"/>
        <v>0</v>
      </c>
      <c r="X352" s="44">
        <f t="shared" si="118"/>
        <v>0</v>
      </c>
      <c r="Y352" s="44">
        <f t="shared" si="119"/>
        <v>0</v>
      </c>
      <c r="Z352" s="44">
        <f t="shared" si="120"/>
        <v>0</v>
      </c>
      <c r="AA352" s="50">
        <f t="shared" si="121"/>
        <v>0</v>
      </c>
      <c r="AB352" s="51">
        <f t="shared" si="122"/>
        <v>0</v>
      </c>
      <c r="AC352" s="44">
        <f t="shared" si="123"/>
        <v>0</v>
      </c>
      <c r="AD352" s="44">
        <f t="shared" si="124"/>
        <v>0</v>
      </c>
      <c r="AE352" s="44">
        <f t="shared" si="125"/>
        <v>0</v>
      </c>
      <c r="AF352" s="52" t="e">
        <f>HLOOKUP(I352,ElecAvoidedCostsWOCC!$A$5:$Q$50,G352+1,FALSE)</f>
        <v>#N/A</v>
      </c>
      <c r="AG352" s="44" t="e">
        <f t="shared" si="126"/>
        <v>#N/A</v>
      </c>
      <c r="AH352" s="52" t="e">
        <f>HLOOKUP(I352,ElecAvoidedCostsWOCC!$A$5:$Q$50,T352+1,FALSE)</f>
        <v>#N/A</v>
      </c>
      <c r="AI352" s="44" t="e">
        <f t="shared" si="127"/>
        <v>#N/A</v>
      </c>
      <c r="AJ352" s="44" t="e">
        <f t="shared" si="128"/>
        <v>#N/A</v>
      </c>
      <c r="AK352" s="44" t="e">
        <f>HLOOKUP(I352,ElecAvoidedCostsWOCC!$A$5:$Q$50,G352+1,FALSE)*J352*L352</f>
        <v>#N/A</v>
      </c>
      <c r="AL352" s="44" t="e">
        <f t="shared" si="129"/>
        <v>#N/A</v>
      </c>
      <c r="AM352" s="48">
        <f>IF(O352=0,0,IF(H352=0, HLOOKUP(I352,ElecAvoidedCostsWOCC!$A$5:$Q$50,T352+1,FALSE)*K352*J352,HLOOKUP(I352,ElecAvoidedCostsWOCC!$A$5:$Q$50,T352+1,FALSE)*L352*J352+HLOOKUP(I352,ElecAvoidedCostsWOCC!$A$5:$Q$50,G352+1,FALSE)*K352*J352-HLOOKUP(I352,ElecAvoidedCostsWOCC!$A$5:$Q$50,G352+1,FALSE)*L352*J352))</f>
        <v>0</v>
      </c>
      <c r="AN352" s="48">
        <f t="shared" si="130"/>
        <v>0</v>
      </c>
      <c r="AO352" s="47">
        <f t="shared" si="131"/>
        <v>0</v>
      </c>
      <c r="AP352" s="47" t="e">
        <f t="shared" si="132"/>
        <v>#DIV/0!</v>
      </c>
    </row>
    <row r="353" spans="2:42">
      <c r="B353" s="37"/>
      <c r="C353" s="61"/>
      <c r="D353" s="61"/>
      <c r="E353" s="38"/>
      <c r="F353" s="39"/>
      <c r="G353" s="39"/>
      <c r="H353" s="39"/>
      <c r="I353" s="40"/>
      <c r="J353" s="41"/>
      <c r="K353" s="41"/>
      <c r="L353" s="41"/>
      <c r="M353" s="42"/>
      <c r="N353" s="42"/>
      <c r="O353" s="43"/>
      <c r="P353" s="44"/>
      <c r="Q353" s="44"/>
      <c r="R353" s="45"/>
      <c r="S353" s="46"/>
      <c r="T353" s="39">
        <f t="shared" si="114"/>
        <v>0</v>
      </c>
      <c r="U353" s="47">
        <f t="shared" si="115"/>
        <v>0</v>
      </c>
      <c r="V353" s="48">
        <f t="shared" si="116"/>
        <v>0</v>
      </c>
      <c r="W353" s="49">
        <f t="shared" si="117"/>
        <v>0</v>
      </c>
      <c r="X353" s="44">
        <f t="shared" si="118"/>
        <v>0</v>
      </c>
      <c r="Y353" s="44">
        <f t="shared" si="119"/>
        <v>0</v>
      </c>
      <c r="Z353" s="44">
        <f t="shared" si="120"/>
        <v>0</v>
      </c>
      <c r="AA353" s="50">
        <f t="shared" si="121"/>
        <v>0</v>
      </c>
      <c r="AB353" s="51">
        <f t="shared" si="122"/>
        <v>0</v>
      </c>
      <c r="AC353" s="44">
        <f t="shared" si="123"/>
        <v>0</v>
      </c>
      <c r="AD353" s="44">
        <f t="shared" si="124"/>
        <v>0</v>
      </c>
      <c r="AE353" s="44">
        <f t="shared" si="125"/>
        <v>0</v>
      </c>
      <c r="AF353" s="52" t="e">
        <f>HLOOKUP(I353,ElecAvoidedCostsWOCC!$A$5:$Q$50,G353+1,FALSE)</f>
        <v>#N/A</v>
      </c>
      <c r="AG353" s="44" t="e">
        <f t="shared" si="126"/>
        <v>#N/A</v>
      </c>
      <c r="AH353" s="52" t="e">
        <f>HLOOKUP(I353,ElecAvoidedCostsWOCC!$A$5:$Q$50,T353+1,FALSE)</f>
        <v>#N/A</v>
      </c>
      <c r="AI353" s="44" t="e">
        <f t="shared" si="127"/>
        <v>#N/A</v>
      </c>
      <c r="AJ353" s="44" t="e">
        <f t="shared" si="128"/>
        <v>#N/A</v>
      </c>
      <c r="AK353" s="44" t="e">
        <f>HLOOKUP(I353,ElecAvoidedCostsWOCC!$A$5:$Q$50,G353+1,FALSE)*J353*L353</f>
        <v>#N/A</v>
      </c>
      <c r="AL353" s="44" t="e">
        <f t="shared" si="129"/>
        <v>#N/A</v>
      </c>
      <c r="AM353" s="48">
        <f>IF(O353=0,0,IF(H353=0, HLOOKUP(I353,ElecAvoidedCostsWOCC!$A$5:$Q$50,T353+1,FALSE)*K353*J353,HLOOKUP(I353,ElecAvoidedCostsWOCC!$A$5:$Q$50,T353+1,FALSE)*L353*J353+HLOOKUP(I353,ElecAvoidedCostsWOCC!$A$5:$Q$50,G353+1,FALSE)*K353*J353-HLOOKUP(I353,ElecAvoidedCostsWOCC!$A$5:$Q$50,G353+1,FALSE)*L353*J353))</f>
        <v>0</v>
      </c>
      <c r="AN353" s="48">
        <f t="shared" si="130"/>
        <v>0</v>
      </c>
      <c r="AO353" s="47">
        <f t="shared" si="131"/>
        <v>0</v>
      </c>
      <c r="AP353" s="47" t="e">
        <f t="shared" si="132"/>
        <v>#DIV/0!</v>
      </c>
    </row>
    <row r="354" spans="2:42">
      <c r="B354" s="37"/>
      <c r="C354" s="61"/>
      <c r="D354" s="61"/>
      <c r="E354" s="38"/>
      <c r="F354" s="39"/>
      <c r="G354" s="39"/>
      <c r="H354" s="39"/>
      <c r="I354" s="40"/>
      <c r="J354" s="41"/>
      <c r="K354" s="41"/>
      <c r="L354" s="41"/>
      <c r="M354" s="42"/>
      <c r="N354" s="42"/>
      <c r="O354" s="43"/>
      <c r="P354" s="44"/>
      <c r="Q354" s="44"/>
      <c r="R354" s="45"/>
      <c r="S354" s="46"/>
      <c r="T354" s="39">
        <f t="shared" si="114"/>
        <v>0</v>
      </c>
      <c r="U354" s="47">
        <f t="shared" si="115"/>
        <v>0</v>
      </c>
      <c r="V354" s="48">
        <f t="shared" si="116"/>
        <v>0</v>
      </c>
      <c r="W354" s="49">
        <f t="shared" si="117"/>
        <v>0</v>
      </c>
      <c r="X354" s="44">
        <f t="shared" si="118"/>
        <v>0</v>
      </c>
      <c r="Y354" s="44">
        <f t="shared" si="119"/>
        <v>0</v>
      </c>
      <c r="Z354" s="44">
        <f t="shared" si="120"/>
        <v>0</v>
      </c>
      <c r="AA354" s="50">
        <f t="shared" si="121"/>
        <v>0</v>
      </c>
      <c r="AB354" s="51">
        <f t="shared" si="122"/>
        <v>0</v>
      </c>
      <c r="AC354" s="44">
        <f t="shared" si="123"/>
        <v>0</v>
      </c>
      <c r="AD354" s="44">
        <f t="shared" si="124"/>
        <v>0</v>
      </c>
      <c r="AE354" s="44">
        <f t="shared" si="125"/>
        <v>0</v>
      </c>
      <c r="AF354" s="52" t="e">
        <f>HLOOKUP(I354,ElecAvoidedCostsWOCC!$A$5:$Q$50,G354+1,FALSE)</f>
        <v>#N/A</v>
      </c>
      <c r="AG354" s="44" t="e">
        <f t="shared" si="126"/>
        <v>#N/A</v>
      </c>
      <c r="AH354" s="52" t="e">
        <f>HLOOKUP(I354,ElecAvoidedCostsWOCC!$A$5:$Q$50,T354+1,FALSE)</f>
        <v>#N/A</v>
      </c>
      <c r="AI354" s="44" t="e">
        <f t="shared" si="127"/>
        <v>#N/A</v>
      </c>
      <c r="AJ354" s="44" t="e">
        <f t="shared" si="128"/>
        <v>#N/A</v>
      </c>
      <c r="AK354" s="44" t="e">
        <f>HLOOKUP(I354,ElecAvoidedCostsWOCC!$A$5:$Q$50,G354+1,FALSE)*J354*L354</f>
        <v>#N/A</v>
      </c>
      <c r="AL354" s="44" t="e">
        <f t="shared" si="129"/>
        <v>#N/A</v>
      </c>
      <c r="AM354" s="48">
        <f>IF(O354=0,0,IF(H354=0, HLOOKUP(I354,ElecAvoidedCostsWOCC!$A$5:$Q$50,T354+1,FALSE)*K354*J354,HLOOKUP(I354,ElecAvoidedCostsWOCC!$A$5:$Q$50,T354+1,FALSE)*L354*J354+HLOOKUP(I354,ElecAvoidedCostsWOCC!$A$5:$Q$50,G354+1,FALSE)*K354*J354-HLOOKUP(I354,ElecAvoidedCostsWOCC!$A$5:$Q$50,G354+1,FALSE)*L354*J354))</f>
        <v>0</v>
      </c>
      <c r="AN354" s="48">
        <f t="shared" si="130"/>
        <v>0</v>
      </c>
      <c r="AO354" s="47">
        <f t="shared" si="131"/>
        <v>0</v>
      </c>
      <c r="AP354" s="47" t="e">
        <f t="shared" si="132"/>
        <v>#DIV/0!</v>
      </c>
    </row>
    <row r="355" spans="2:42">
      <c r="B355" s="37"/>
      <c r="C355" s="61"/>
      <c r="D355" s="61"/>
      <c r="E355" s="38"/>
      <c r="F355" s="39"/>
      <c r="G355" s="39"/>
      <c r="H355" s="39"/>
      <c r="I355" s="40"/>
      <c r="J355" s="41"/>
      <c r="K355" s="41"/>
      <c r="L355" s="41"/>
      <c r="M355" s="42"/>
      <c r="N355" s="42"/>
      <c r="O355" s="43"/>
      <c r="P355" s="44"/>
      <c r="Q355" s="44"/>
      <c r="R355" s="45"/>
      <c r="S355" s="46"/>
      <c r="T355" s="39">
        <f t="shared" si="114"/>
        <v>0</v>
      </c>
      <c r="U355" s="47">
        <f t="shared" si="115"/>
        <v>0</v>
      </c>
      <c r="V355" s="48">
        <f t="shared" si="116"/>
        <v>0</v>
      </c>
      <c r="W355" s="49">
        <f t="shared" si="117"/>
        <v>0</v>
      </c>
      <c r="X355" s="44">
        <f t="shared" si="118"/>
        <v>0</v>
      </c>
      <c r="Y355" s="44">
        <f t="shared" si="119"/>
        <v>0</v>
      </c>
      <c r="Z355" s="44">
        <f t="shared" si="120"/>
        <v>0</v>
      </c>
      <c r="AA355" s="50">
        <f t="shared" si="121"/>
        <v>0</v>
      </c>
      <c r="AB355" s="51">
        <f t="shared" si="122"/>
        <v>0</v>
      </c>
      <c r="AC355" s="44">
        <f t="shared" si="123"/>
        <v>0</v>
      </c>
      <c r="AD355" s="44">
        <f t="shared" si="124"/>
        <v>0</v>
      </c>
      <c r="AE355" s="44">
        <f t="shared" si="125"/>
        <v>0</v>
      </c>
      <c r="AF355" s="52" t="e">
        <f>HLOOKUP(I355,ElecAvoidedCostsWOCC!$A$5:$Q$50,G355+1,FALSE)</f>
        <v>#N/A</v>
      </c>
      <c r="AG355" s="44" t="e">
        <f t="shared" si="126"/>
        <v>#N/A</v>
      </c>
      <c r="AH355" s="52" t="e">
        <f>HLOOKUP(I355,ElecAvoidedCostsWOCC!$A$5:$Q$50,T355+1,FALSE)</f>
        <v>#N/A</v>
      </c>
      <c r="AI355" s="44" t="e">
        <f t="shared" si="127"/>
        <v>#N/A</v>
      </c>
      <c r="AJ355" s="44" t="e">
        <f t="shared" si="128"/>
        <v>#N/A</v>
      </c>
      <c r="AK355" s="44" t="e">
        <f>HLOOKUP(I355,ElecAvoidedCostsWOCC!$A$5:$Q$50,G355+1,FALSE)*J355*L355</f>
        <v>#N/A</v>
      </c>
      <c r="AL355" s="44" t="e">
        <f t="shared" si="129"/>
        <v>#N/A</v>
      </c>
      <c r="AM355" s="48">
        <f>IF(O355=0,0,IF(H355=0, HLOOKUP(I355,ElecAvoidedCostsWOCC!$A$5:$Q$50,T355+1,FALSE)*K355*J355,HLOOKUP(I355,ElecAvoidedCostsWOCC!$A$5:$Q$50,T355+1,FALSE)*L355*J355+HLOOKUP(I355,ElecAvoidedCostsWOCC!$A$5:$Q$50,G355+1,FALSE)*K355*J355-HLOOKUP(I355,ElecAvoidedCostsWOCC!$A$5:$Q$50,G355+1,FALSE)*L355*J355))</f>
        <v>0</v>
      </c>
      <c r="AN355" s="48">
        <f t="shared" si="130"/>
        <v>0</v>
      </c>
      <c r="AO355" s="47">
        <f t="shared" si="131"/>
        <v>0</v>
      </c>
      <c r="AP355" s="47" t="e">
        <f t="shared" si="132"/>
        <v>#DIV/0!</v>
      </c>
    </row>
    <row r="356" spans="2:42">
      <c r="B356" s="37"/>
      <c r="C356" s="61"/>
      <c r="D356" s="61"/>
      <c r="E356" s="38"/>
      <c r="F356" s="39"/>
      <c r="G356" s="39"/>
      <c r="H356" s="39"/>
      <c r="I356" s="40"/>
      <c r="J356" s="41"/>
      <c r="K356" s="41"/>
      <c r="L356" s="41"/>
      <c r="M356" s="42"/>
      <c r="N356" s="42"/>
      <c r="O356" s="43"/>
      <c r="P356" s="44"/>
      <c r="Q356" s="44"/>
      <c r="R356" s="45"/>
      <c r="S356" s="46"/>
      <c r="T356" s="39">
        <f t="shared" si="114"/>
        <v>0</v>
      </c>
      <c r="U356" s="47">
        <f t="shared" si="115"/>
        <v>0</v>
      </c>
      <c r="V356" s="48">
        <f t="shared" si="116"/>
        <v>0</v>
      </c>
      <c r="W356" s="49">
        <f t="shared" si="117"/>
        <v>0</v>
      </c>
      <c r="X356" s="44">
        <f t="shared" si="118"/>
        <v>0</v>
      </c>
      <c r="Y356" s="44">
        <f t="shared" si="119"/>
        <v>0</v>
      </c>
      <c r="Z356" s="44">
        <f t="shared" si="120"/>
        <v>0</v>
      </c>
      <c r="AA356" s="50">
        <f t="shared" si="121"/>
        <v>0</v>
      </c>
      <c r="AB356" s="51">
        <f t="shared" si="122"/>
        <v>0</v>
      </c>
      <c r="AC356" s="44">
        <f t="shared" si="123"/>
        <v>0</v>
      </c>
      <c r="AD356" s="44">
        <f t="shared" si="124"/>
        <v>0</v>
      </c>
      <c r="AE356" s="44">
        <f t="shared" si="125"/>
        <v>0</v>
      </c>
      <c r="AF356" s="52" t="e">
        <f>HLOOKUP(I356,ElecAvoidedCostsWOCC!$A$5:$Q$50,G356+1,FALSE)</f>
        <v>#N/A</v>
      </c>
      <c r="AG356" s="44" t="e">
        <f t="shared" si="126"/>
        <v>#N/A</v>
      </c>
      <c r="AH356" s="52" t="e">
        <f>HLOOKUP(I356,ElecAvoidedCostsWOCC!$A$5:$Q$50,T356+1,FALSE)</f>
        <v>#N/A</v>
      </c>
      <c r="AI356" s="44" t="e">
        <f t="shared" si="127"/>
        <v>#N/A</v>
      </c>
      <c r="AJ356" s="44" t="e">
        <f t="shared" si="128"/>
        <v>#N/A</v>
      </c>
      <c r="AK356" s="44" t="e">
        <f>HLOOKUP(I356,ElecAvoidedCostsWOCC!$A$5:$Q$50,G356+1,FALSE)*J356*L356</f>
        <v>#N/A</v>
      </c>
      <c r="AL356" s="44" t="e">
        <f t="shared" si="129"/>
        <v>#N/A</v>
      </c>
      <c r="AM356" s="48">
        <f>IF(O356=0,0,IF(H356=0, HLOOKUP(I356,ElecAvoidedCostsWOCC!$A$5:$Q$50,T356+1,FALSE)*K356*J356,HLOOKUP(I356,ElecAvoidedCostsWOCC!$A$5:$Q$50,T356+1,FALSE)*L356*J356+HLOOKUP(I356,ElecAvoidedCostsWOCC!$A$5:$Q$50,G356+1,FALSE)*K356*J356-HLOOKUP(I356,ElecAvoidedCostsWOCC!$A$5:$Q$50,G356+1,FALSE)*L356*J356))</f>
        <v>0</v>
      </c>
      <c r="AN356" s="48">
        <f t="shared" si="130"/>
        <v>0</v>
      </c>
      <c r="AO356" s="47">
        <f t="shared" si="131"/>
        <v>0</v>
      </c>
      <c r="AP356" s="47" t="e">
        <f t="shared" si="132"/>
        <v>#DIV/0!</v>
      </c>
    </row>
    <row r="357" spans="2:42">
      <c r="B357" s="37"/>
      <c r="C357" s="61"/>
      <c r="D357" s="61"/>
      <c r="E357" s="38"/>
      <c r="F357" s="39"/>
      <c r="G357" s="39"/>
      <c r="H357" s="39"/>
      <c r="I357" s="40"/>
      <c r="J357" s="41"/>
      <c r="K357" s="41"/>
      <c r="L357" s="41"/>
      <c r="M357" s="42"/>
      <c r="N357" s="42"/>
      <c r="O357" s="43"/>
      <c r="P357" s="44"/>
      <c r="Q357" s="44"/>
      <c r="R357" s="45"/>
      <c r="S357" s="46"/>
      <c r="T357" s="39">
        <f t="shared" si="114"/>
        <v>0</v>
      </c>
      <c r="U357" s="47">
        <f t="shared" si="115"/>
        <v>0</v>
      </c>
      <c r="V357" s="48">
        <f t="shared" si="116"/>
        <v>0</v>
      </c>
      <c r="W357" s="49">
        <f t="shared" si="117"/>
        <v>0</v>
      </c>
      <c r="X357" s="44">
        <f t="shared" si="118"/>
        <v>0</v>
      </c>
      <c r="Y357" s="44">
        <f t="shared" si="119"/>
        <v>0</v>
      </c>
      <c r="Z357" s="44">
        <f t="shared" si="120"/>
        <v>0</v>
      </c>
      <c r="AA357" s="50">
        <f t="shared" si="121"/>
        <v>0</v>
      </c>
      <c r="AB357" s="51">
        <f t="shared" si="122"/>
        <v>0</v>
      </c>
      <c r="AC357" s="44">
        <f t="shared" si="123"/>
        <v>0</v>
      </c>
      <c r="AD357" s="44">
        <f t="shared" si="124"/>
        <v>0</v>
      </c>
      <c r="AE357" s="44">
        <f t="shared" si="125"/>
        <v>0</v>
      </c>
      <c r="AF357" s="52" t="e">
        <f>HLOOKUP(I357,ElecAvoidedCostsWOCC!$A$5:$Q$50,G357+1,FALSE)</f>
        <v>#N/A</v>
      </c>
      <c r="AG357" s="44" t="e">
        <f t="shared" si="126"/>
        <v>#N/A</v>
      </c>
      <c r="AH357" s="52" t="e">
        <f>HLOOKUP(I357,ElecAvoidedCostsWOCC!$A$5:$Q$50,T357+1,FALSE)</f>
        <v>#N/A</v>
      </c>
      <c r="AI357" s="44" t="e">
        <f t="shared" si="127"/>
        <v>#N/A</v>
      </c>
      <c r="AJ357" s="44" t="e">
        <f t="shared" si="128"/>
        <v>#N/A</v>
      </c>
      <c r="AK357" s="44" t="e">
        <f>HLOOKUP(I357,ElecAvoidedCostsWOCC!$A$5:$Q$50,G357+1,FALSE)*J357*L357</f>
        <v>#N/A</v>
      </c>
      <c r="AL357" s="44" t="e">
        <f t="shared" si="129"/>
        <v>#N/A</v>
      </c>
      <c r="AM357" s="48">
        <f>IF(O357=0,0,IF(H357=0, HLOOKUP(I357,ElecAvoidedCostsWOCC!$A$5:$Q$50,T357+1,FALSE)*K357*J357,HLOOKUP(I357,ElecAvoidedCostsWOCC!$A$5:$Q$50,T357+1,FALSE)*L357*J357+HLOOKUP(I357,ElecAvoidedCostsWOCC!$A$5:$Q$50,G357+1,FALSE)*K357*J357-HLOOKUP(I357,ElecAvoidedCostsWOCC!$A$5:$Q$50,G357+1,FALSE)*L357*J357))</f>
        <v>0</v>
      </c>
      <c r="AN357" s="48">
        <f t="shared" si="130"/>
        <v>0</v>
      </c>
      <c r="AO357" s="47">
        <f t="shared" si="131"/>
        <v>0</v>
      </c>
      <c r="AP357" s="47" t="e">
        <f t="shared" si="132"/>
        <v>#DIV/0!</v>
      </c>
    </row>
    <row r="358" spans="2:42">
      <c r="B358" s="37"/>
      <c r="C358" s="61"/>
      <c r="D358" s="61"/>
      <c r="E358" s="38"/>
      <c r="F358" s="39"/>
      <c r="G358" s="39"/>
      <c r="H358" s="39"/>
      <c r="I358" s="40"/>
      <c r="J358" s="41"/>
      <c r="K358" s="41"/>
      <c r="L358" s="41"/>
      <c r="M358" s="42"/>
      <c r="N358" s="42"/>
      <c r="O358" s="43"/>
      <c r="P358" s="44"/>
      <c r="Q358" s="44"/>
      <c r="R358" s="45"/>
      <c r="S358" s="46"/>
      <c r="T358" s="39">
        <f t="shared" si="114"/>
        <v>0</v>
      </c>
      <c r="U358" s="47">
        <f t="shared" si="115"/>
        <v>0</v>
      </c>
      <c r="V358" s="48">
        <f t="shared" si="116"/>
        <v>0</v>
      </c>
      <c r="W358" s="49">
        <f t="shared" si="117"/>
        <v>0</v>
      </c>
      <c r="X358" s="44">
        <f t="shared" si="118"/>
        <v>0</v>
      </c>
      <c r="Y358" s="44">
        <f t="shared" si="119"/>
        <v>0</v>
      </c>
      <c r="Z358" s="44">
        <f t="shared" si="120"/>
        <v>0</v>
      </c>
      <c r="AA358" s="50">
        <f t="shared" si="121"/>
        <v>0</v>
      </c>
      <c r="AB358" s="51">
        <f t="shared" si="122"/>
        <v>0</v>
      </c>
      <c r="AC358" s="44">
        <f t="shared" si="123"/>
        <v>0</v>
      </c>
      <c r="AD358" s="44">
        <f t="shared" si="124"/>
        <v>0</v>
      </c>
      <c r="AE358" s="44">
        <f t="shared" si="125"/>
        <v>0</v>
      </c>
      <c r="AF358" s="52" t="e">
        <f>HLOOKUP(I358,ElecAvoidedCostsWOCC!$A$5:$Q$50,G358+1,FALSE)</f>
        <v>#N/A</v>
      </c>
      <c r="AG358" s="44" t="e">
        <f t="shared" si="126"/>
        <v>#N/A</v>
      </c>
      <c r="AH358" s="52" t="e">
        <f>HLOOKUP(I358,ElecAvoidedCostsWOCC!$A$5:$Q$50,T358+1,FALSE)</f>
        <v>#N/A</v>
      </c>
      <c r="AI358" s="44" t="e">
        <f t="shared" si="127"/>
        <v>#N/A</v>
      </c>
      <c r="AJ358" s="44" t="e">
        <f t="shared" si="128"/>
        <v>#N/A</v>
      </c>
      <c r="AK358" s="44" t="e">
        <f>HLOOKUP(I358,ElecAvoidedCostsWOCC!$A$5:$Q$50,G358+1,FALSE)*J358*L358</f>
        <v>#N/A</v>
      </c>
      <c r="AL358" s="44" t="e">
        <f t="shared" si="129"/>
        <v>#N/A</v>
      </c>
      <c r="AM358" s="48">
        <f>IF(O358=0,0,IF(H358=0, HLOOKUP(I358,ElecAvoidedCostsWOCC!$A$5:$Q$50,T358+1,FALSE)*K358*J358,HLOOKUP(I358,ElecAvoidedCostsWOCC!$A$5:$Q$50,T358+1,FALSE)*L358*J358+HLOOKUP(I358,ElecAvoidedCostsWOCC!$A$5:$Q$50,G358+1,FALSE)*K358*J358-HLOOKUP(I358,ElecAvoidedCostsWOCC!$A$5:$Q$50,G358+1,FALSE)*L358*J358))</f>
        <v>0</v>
      </c>
      <c r="AN358" s="48">
        <f t="shared" si="130"/>
        <v>0</v>
      </c>
      <c r="AO358" s="47">
        <f t="shared" si="131"/>
        <v>0</v>
      </c>
      <c r="AP358" s="47" t="e">
        <f t="shared" si="132"/>
        <v>#DIV/0!</v>
      </c>
    </row>
    <row r="359" spans="2:42">
      <c r="B359" s="37"/>
      <c r="C359" s="61"/>
      <c r="D359" s="61"/>
      <c r="E359" s="38"/>
      <c r="F359" s="39"/>
      <c r="G359" s="39"/>
      <c r="H359" s="39"/>
      <c r="I359" s="40"/>
      <c r="J359" s="41"/>
      <c r="K359" s="41"/>
      <c r="L359" s="41"/>
      <c r="M359" s="42"/>
      <c r="N359" s="42"/>
      <c r="O359" s="43"/>
      <c r="P359" s="44"/>
      <c r="Q359" s="44"/>
      <c r="R359" s="45"/>
      <c r="S359" s="46"/>
      <c r="T359" s="39">
        <f t="shared" si="114"/>
        <v>0</v>
      </c>
      <c r="U359" s="47">
        <f t="shared" si="115"/>
        <v>0</v>
      </c>
      <c r="V359" s="48">
        <f t="shared" si="116"/>
        <v>0</v>
      </c>
      <c r="W359" s="49">
        <f t="shared" si="117"/>
        <v>0</v>
      </c>
      <c r="X359" s="44">
        <f t="shared" si="118"/>
        <v>0</v>
      </c>
      <c r="Y359" s="44">
        <f t="shared" si="119"/>
        <v>0</v>
      </c>
      <c r="Z359" s="44">
        <f t="shared" si="120"/>
        <v>0</v>
      </c>
      <c r="AA359" s="50">
        <f t="shared" si="121"/>
        <v>0</v>
      </c>
      <c r="AB359" s="51">
        <f t="shared" si="122"/>
        <v>0</v>
      </c>
      <c r="AC359" s="44">
        <f t="shared" si="123"/>
        <v>0</v>
      </c>
      <c r="AD359" s="44">
        <f t="shared" si="124"/>
        <v>0</v>
      </c>
      <c r="AE359" s="44">
        <f t="shared" si="125"/>
        <v>0</v>
      </c>
      <c r="AF359" s="52" t="e">
        <f>HLOOKUP(I359,ElecAvoidedCostsWOCC!$A$5:$Q$50,G359+1,FALSE)</f>
        <v>#N/A</v>
      </c>
      <c r="AG359" s="44" t="e">
        <f t="shared" si="126"/>
        <v>#N/A</v>
      </c>
      <c r="AH359" s="52" t="e">
        <f>HLOOKUP(I359,ElecAvoidedCostsWOCC!$A$5:$Q$50,T359+1,FALSE)</f>
        <v>#N/A</v>
      </c>
      <c r="AI359" s="44" t="e">
        <f t="shared" si="127"/>
        <v>#N/A</v>
      </c>
      <c r="AJ359" s="44" t="e">
        <f t="shared" si="128"/>
        <v>#N/A</v>
      </c>
      <c r="AK359" s="44" t="e">
        <f>HLOOKUP(I359,ElecAvoidedCostsWOCC!$A$5:$Q$50,G359+1,FALSE)*J359*L359</f>
        <v>#N/A</v>
      </c>
      <c r="AL359" s="44" t="e">
        <f t="shared" si="129"/>
        <v>#N/A</v>
      </c>
      <c r="AM359" s="48">
        <f>IF(O359=0,0,IF(H359=0, HLOOKUP(I359,ElecAvoidedCostsWOCC!$A$5:$Q$50,T359+1,FALSE)*K359*J359,HLOOKUP(I359,ElecAvoidedCostsWOCC!$A$5:$Q$50,T359+1,FALSE)*L359*J359+HLOOKUP(I359,ElecAvoidedCostsWOCC!$A$5:$Q$50,G359+1,FALSE)*K359*J359-HLOOKUP(I359,ElecAvoidedCostsWOCC!$A$5:$Q$50,G359+1,FALSE)*L359*J359))</f>
        <v>0</v>
      </c>
      <c r="AN359" s="48">
        <f t="shared" si="130"/>
        <v>0</v>
      </c>
      <c r="AO359" s="47">
        <f t="shared" si="131"/>
        <v>0</v>
      </c>
      <c r="AP359" s="47" t="e">
        <f t="shared" si="132"/>
        <v>#DIV/0!</v>
      </c>
    </row>
    <row r="360" spans="2:42">
      <c r="B360" s="37"/>
      <c r="C360" s="61"/>
      <c r="D360" s="61"/>
      <c r="E360" s="38"/>
      <c r="F360" s="39"/>
      <c r="G360" s="39"/>
      <c r="H360" s="39"/>
      <c r="I360" s="40"/>
      <c r="J360" s="41"/>
      <c r="K360" s="41"/>
      <c r="L360" s="41"/>
      <c r="M360" s="42"/>
      <c r="N360" s="42"/>
      <c r="O360" s="43"/>
      <c r="P360" s="44"/>
      <c r="Q360" s="44"/>
      <c r="R360" s="45"/>
      <c r="S360" s="46"/>
      <c r="T360" s="39">
        <f t="shared" si="114"/>
        <v>0</v>
      </c>
      <c r="U360" s="47">
        <f t="shared" si="115"/>
        <v>0</v>
      </c>
      <c r="V360" s="48">
        <f t="shared" si="116"/>
        <v>0</v>
      </c>
      <c r="W360" s="49">
        <f t="shared" si="117"/>
        <v>0</v>
      </c>
      <c r="X360" s="44">
        <f t="shared" si="118"/>
        <v>0</v>
      </c>
      <c r="Y360" s="44">
        <f t="shared" si="119"/>
        <v>0</v>
      </c>
      <c r="Z360" s="44">
        <f t="shared" si="120"/>
        <v>0</v>
      </c>
      <c r="AA360" s="50">
        <f t="shared" si="121"/>
        <v>0</v>
      </c>
      <c r="AB360" s="51">
        <f t="shared" si="122"/>
        <v>0</v>
      </c>
      <c r="AC360" s="44">
        <f t="shared" si="123"/>
        <v>0</v>
      </c>
      <c r="AD360" s="44">
        <f t="shared" si="124"/>
        <v>0</v>
      </c>
      <c r="AE360" s="44">
        <f t="shared" si="125"/>
        <v>0</v>
      </c>
      <c r="AF360" s="52" t="e">
        <f>HLOOKUP(I360,ElecAvoidedCostsWOCC!$A$5:$Q$50,G360+1,FALSE)</f>
        <v>#N/A</v>
      </c>
      <c r="AG360" s="44" t="e">
        <f t="shared" si="126"/>
        <v>#N/A</v>
      </c>
      <c r="AH360" s="52" t="e">
        <f>HLOOKUP(I360,ElecAvoidedCostsWOCC!$A$5:$Q$50,T360+1,FALSE)</f>
        <v>#N/A</v>
      </c>
      <c r="AI360" s="44" t="e">
        <f t="shared" si="127"/>
        <v>#N/A</v>
      </c>
      <c r="AJ360" s="44" t="e">
        <f t="shared" si="128"/>
        <v>#N/A</v>
      </c>
      <c r="AK360" s="44" t="e">
        <f>HLOOKUP(I360,ElecAvoidedCostsWOCC!$A$5:$Q$50,G360+1,FALSE)*J360*L360</f>
        <v>#N/A</v>
      </c>
      <c r="AL360" s="44" t="e">
        <f t="shared" si="129"/>
        <v>#N/A</v>
      </c>
      <c r="AM360" s="48">
        <f>IF(O360=0,0,IF(H360=0, HLOOKUP(I360,ElecAvoidedCostsWOCC!$A$5:$Q$50,T360+1,FALSE)*K360*J360,HLOOKUP(I360,ElecAvoidedCostsWOCC!$A$5:$Q$50,T360+1,FALSE)*L360*J360+HLOOKUP(I360,ElecAvoidedCostsWOCC!$A$5:$Q$50,G360+1,FALSE)*K360*J360-HLOOKUP(I360,ElecAvoidedCostsWOCC!$A$5:$Q$50,G360+1,FALSE)*L360*J360))</f>
        <v>0</v>
      </c>
      <c r="AN360" s="48">
        <f t="shared" si="130"/>
        <v>0</v>
      </c>
      <c r="AO360" s="47">
        <f t="shared" si="131"/>
        <v>0</v>
      </c>
      <c r="AP360" s="47" t="e">
        <f t="shared" si="132"/>
        <v>#DIV/0!</v>
      </c>
    </row>
    <row r="361" spans="2:42">
      <c r="B361" s="37"/>
      <c r="C361" s="61"/>
      <c r="D361" s="61"/>
      <c r="E361" s="38"/>
      <c r="F361" s="39"/>
      <c r="G361" s="39"/>
      <c r="H361" s="39"/>
      <c r="I361" s="40"/>
      <c r="J361" s="41"/>
      <c r="K361" s="41"/>
      <c r="L361" s="41"/>
      <c r="M361" s="42"/>
      <c r="N361" s="42"/>
      <c r="O361" s="43"/>
      <c r="P361" s="44"/>
      <c r="Q361" s="44"/>
      <c r="R361" s="45"/>
      <c r="S361" s="46"/>
      <c r="T361" s="39">
        <f t="shared" si="114"/>
        <v>0</v>
      </c>
      <c r="U361" s="47">
        <f t="shared" si="115"/>
        <v>0</v>
      </c>
      <c r="V361" s="48">
        <f t="shared" si="116"/>
        <v>0</v>
      </c>
      <c r="W361" s="49">
        <f t="shared" si="117"/>
        <v>0</v>
      </c>
      <c r="X361" s="44">
        <f t="shared" si="118"/>
        <v>0</v>
      </c>
      <c r="Y361" s="44">
        <f t="shared" si="119"/>
        <v>0</v>
      </c>
      <c r="Z361" s="44">
        <f t="shared" si="120"/>
        <v>0</v>
      </c>
      <c r="AA361" s="50">
        <f t="shared" si="121"/>
        <v>0</v>
      </c>
      <c r="AB361" s="51">
        <f t="shared" si="122"/>
        <v>0</v>
      </c>
      <c r="AC361" s="44">
        <f t="shared" si="123"/>
        <v>0</v>
      </c>
      <c r="AD361" s="44">
        <f t="shared" si="124"/>
        <v>0</v>
      </c>
      <c r="AE361" s="44">
        <f t="shared" si="125"/>
        <v>0</v>
      </c>
      <c r="AF361" s="52" t="e">
        <f>HLOOKUP(I361,ElecAvoidedCostsWOCC!$A$5:$Q$50,G361+1,FALSE)</f>
        <v>#N/A</v>
      </c>
      <c r="AG361" s="44" t="e">
        <f t="shared" si="126"/>
        <v>#N/A</v>
      </c>
      <c r="AH361" s="52" t="e">
        <f>HLOOKUP(I361,ElecAvoidedCostsWOCC!$A$5:$Q$50,T361+1,FALSE)</f>
        <v>#N/A</v>
      </c>
      <c r="AI361" s="44" t="e">
        <f t="shared" si="127"/>
        <v>#N/A</v>
      </c>
      <c r="AJ361" s="44" t="e">
        <f t="shared" si="128"/>
        <v>#N/A</v>
      </c>
      <c r="AK361" s="44" t="e">
        <f>HLOOKUP(I361,ElecAvoidedCostsWOCC!$A$5:$Q$50,G361+1,FALSE)*J361*L361</f>
        <v>#N/A</v>
      </c>
      <c r="AL361" s="44" t="e">
        <f t="shared" si="129"/>
        <v>#N/A</v>
      </c>
      <c r="AM361" s="48">
        <f>IF(O361=0,0,IF(H361=0, HLOOKUP(I361,ElecAvoidedCostsWOCC!$A$5:$Q$50,T361+1,FALSE)*K361*J361,HLOOKUP(I361,ElecAvoidedCostsWOCC!$A$5:$Q$50,T361+1,FALSE)*L361*J361+HLOOKUP(I361,ElecAvoidedCostsWOCC!$A$5:$Q$50,G361+1,FALSE)*K361*J361-HLOOKUP(I361,ElecAvoidedCostsWOCC!$A$5:$Q$50,G361+1,FALSE)*L361*J361))</f>
        <v>0</v>
      </c>
      <c r="AN361" s="48">
        <f t="shared" si="130"/>
        <v>0</v>
      </c>
      <c r="AO361" s="47">
        <f t="shared" si="131"/>
        <v>0</v>
      </c>
      <c r="AP361" s="47" t="e">
        <f t="shared" si="132"/>
        <v>#DIV/0!</v>
      </c>
    </row>
    <row r="362" spans="2:42">
      <c r="B362" s="37"/>
      <c r="C362" s="61"/>
      <c r="D362" s="61"/>
      <c r="E362" s="38"/>
      <c r="F362" s="39"/>
      <c r="G362" s="39"/>
      <c r="H362" s="39"/>
      <c r="I362" s="40"/>
      <c r="J362" s="41"/>
      <c r="K362" s="41"/>
      <c r="L362" s="41"/>
      <c r="M362" s="42"/>
      <c r="N362" s="42"/>
      <c r="O362" s="43"/>
      <c r="P362" s="44"/>
      <c r="Q362" s="44"/>
      <c r="R362" s="45"/>
      <c r="S362" s="46"/>
      <c r="T362" s="39">
        <f t="shared" si="114"/>
        <v>0</v>
      </c>
      <c r="U362" s="47">
        <f t="shared" si="115"/>
        <v>0</v>
      </c>
      <c r="V362" s="48">
        <f t="shared" si="116"/>
        <v>0</v>
      </c>
      <c r="W362" s="49">
        <f t="shared" si="117"/>
        <v>0</v>
      </c>
      <c r="X362" s="44">
        <f t="shared" si="118"/>
        <v>0</v>
      </c>
      <c r="Y362" s="44">
        <f t="shared" si="119"/>
        <v>0</v>
      </c>
      <c r="Z362" s="44">
        <f t="shared" si="120"/>
        <v>0</v>
      </c>
      <c r="AA362" s="50">
        <f t="shared" si="121"/>
        <v>0</v>
      </c>
      <c r="AB362" s="51">
        <f t="shared" si="122"/>
        <v>0</v>
      </c>
      <c r="AC362" s="44">
        <f t="shared" si="123"/>
        <v>0</v>
      </c>
      <c r="AD362" s="44">
        <f t="shared" si="124"/>
        <v>0</v>
      </c>
      <c r="AE362" s="44">
        <f t="shared" si="125"/>
        <v>0</v>
      </c>
      <c r="AF362" s="52" t="e">
        <f>HLOOKUP(I362,ElecAvoidedCostsWOCC!$A$5:$Q$50,G362+1,FALSE)</f>
        <v>#N/A</v>
      </c>
      <c r="AG362" s="44" t="e">
        <f t="shared" si="126"/>
        <v>#N/A</v>
      </c>
      <c r="AH362" s="52" t="e">
        <f>HLOOKUP(I362,ElecAvoidedCostsWOCC!$A$5:$Q$50,T362+1,FALSE)</f>
        <v>#N/A</v>
      </c>
      <c r="AI362" s="44" t="e">
        <f t="shared" si="127"/>
        <v>#N/A</v>
      </c>
      <c r="AJ362" s="44" t="e">
        <f t="shared" si="128"/>
        <v>#N/A</v>
      </c>
      <c r="AK362" s="44" t="e">
        <f>HLOOKUP(I362,ElecAvoidedCostsWOCC!$A$5:$Q$50,G362+1,FALSE)*J362*L362</f>
        <v>#N/A</v>
      </c>
      <c r="AL362" s="44" t="e">
        <f t="shared" si="129"/>
        <v>#N/A</v>
      </c>
      <c r="AM362" s="48">
        <f>IF(O362=0,0,IF(H362=0, HLOOKUP(I362,ElecAvoidedCostsWOCC!$A$5:$Q$50,T362+1,FALSE)*K362*J362,HLOOKUP(I362,ElecAvoidedCostsWOCC!$A$5:$Q$50,T362+1,FALSE)*L362*J362+HLOOKUP(I362,ElecAvoidedCostsWOCC!$A$5:$Q$50,G362+1,FALSE)*K362*J362-HLOOKUP(I362,ElecAvoidedCostsWOCC!$A$5:$Q$50,G362+1,FALSE)*L362*J362))</f>
        <v>0</v>
      </c>
      <c r="AN362" s="48">
        <f t="shared" si="130"/>
        <v>0</v>
      </c>
      <c r="AO362" s="47">
        <f t="shared" si="131"/>
        <v>0</v>
      </c>
      <c r="AP362" s="47" t="e">
        <f t="shared" si="132"/>
        <v>#DIV/0!</v>
      </c>
    </row>
    <row r="363" spans="2:42">
      <c r="B363" s="37"/>
      <c r="C363" s="61"/>
      <c r="D363" s="61"/>
      <c r="E363" s="38"/>
      <c r="F363" s="39"/>
      <c r="G363" s="39"/>
      <c r="H363" s="39"/>
      <c r="I363" s="40"/>
      <c r="J363" s="41"/>
      <c r="K363" s="41"/>
      <c r="L363" s="41"/>
      <c r="M363" s="42"/>
      <c r="N363" s="42"/>
      <c r="O363" s="43"/>
      <c r="P363" s="44"/>
      <c r="Q363" s="44"/>
      <c r="R363" s="45"/>
      <c r="S363" s="46"/>
      <c r="T363" s="39">
        <f t="shared" si="114"/>
        <v>0</v>
      </c>
      <c r="U363" s="47">
        <f t="shared" si="115"/>
        <v>0</v>
      </c>
      <c r="V363" s="48">
        <f t="shared" si="116"/>
        <v>0</v>
      </c>
      <c r="W363" s="49">
        <f t="shared" si="117"/>
        <v>0</v>
      </c>
      <c r="X363" s="44">
        <f t="shared" si="118"/>
        <v>0</v>
      </c>
      <c r="Y363" s="44">
        <f t="shared" si="119"/>
        <v>0</v>
      </c>
      <c r="Z363" s="44">
        <f t="shared" si="120"/>
        <v>0</v>
      </c>
      <c r="AA363" s="50">
        <f t="shared" si="121"/>
        <v>0</v>
      </c>
      <c r="AB363" s="51">
        <f t="shared" si="122"/>
        <v>0</v>
      </c>
      <c r="AC363" s="44">
        <f t="shared" si="123"/>
        <v>0</v>
      </c>
      <c r="AD363" s="44">
        <f t="shared" si="124"/>
        <v>0</v>
      </c>
      <c r="AE363" s="44">
        <f t="shared" si="125"/>
        <v>0</v>
      </c>
      <c r="AF363" s="52" t="e">
        <f>HLOOKUP(I363,ElecAvoidedCostsWOCC!$A$5:$Q$50,G363+1,FALSE)</f>
        <v>#N/A</v>
      </c>
      <c r="AG363" s="44" t="e">
        <f t="shared" si="126"/>
        <v>#N/A</v>
      </c>
      <c r="AH363" s="52" t="e">
        <f>HLOOKUP(I363,ElecAvoidedCostsWOCC!$A$5:$Q$50,T363+1,FALSE)</f>
        <v>#N/A</v>
      </c>
      <c r="AI363" s="44" t="e">
        <f t="shared" si="127"/>
        <v>#N/A</v>
      </c>
      <c r="AJ363" s="44" t="e">
        <f t="shared" si="128"/>
        <v>#N/A</v>
      </c>
      <c r="AK363" s="44" t="e">
        <f>HLOOKUP(I363,ElecAvoidedCostsWOCC!$A$5:$Q$50,G363+1,FALSE)*J363*L363</f>
        <v>#N/A</v>
      </c>
      <c r="AL363" s="44" t="e">
        <f t="shared" si="129"/>
        <v>#N/A</v>
      </c>
      <c r="AM363" s="48">
        <f>IF(O363=0,0,IF(H363=0, HLOOKUP(I363,ElecAvoidedCostsWOCC!$A$5:$Q$50,T363+1,FALSE)*K363*J363,HLOOKUP(I363,ElecAvoidedCostsWOCC!$A$5:$Q$50,T363+1,FALSE)*L363*J363+HLOOKUP(I363,ElecAvoidedCostsWOCC!$A$5:$Q$50,G363+1,FALSE)*K363*J363-HLOOKUP(I363,ElecAvoidedCostsWOCC!$A$5:$Q$50,G363+1,FALSE)*L363*J363))</f>
        <v>0</v>
      </c>
      <c r="AN363" s="48">
        <f t="shared" si="130"/>
        <v>0</v>
      </c>
      <c r="AO363" s="47">
        <f t="shared" si="131"/>
        <v>0</v>
      </c>
      <c r="AP363" s="47" t="e">
        <f t="shared" si="132"/>
        <v>#DIV/0!</v>
      </c>
    </row>
    <row r="364" spans="2:42">
      <c r="B364" s="37"/>
      <c r="C364" s="61"/>
      <c r="D364" s="61"/>
      <c r="E364" s="38"/>
      <c r="F364" s="39"/>
      <c r="G364" s="39"/>
      <c r="H364" s="39"/>
      <c r="I364" s="40"/>
      <c r="J364" s="41"/>
      <c r="K364" s="41"/>
      <c r="L364" s="41"/>
      <c r="M364" s="42"/>
      <c r="N364" s="42"/>
      <c r="O364" s="43"/>
      <c r="P364" s="44"/>
      <c r="Q364" s="44"/>
      <c r="R364" s="45"/>
      <c r="S364" s="46"/>
      <c r="T364" s="39">
        <f t="shared" si="114"/>
        <v>0</v>
      </c>
      <c r="U364" s="47">
        <f t="shared" si="115"/>
        <v>0</v>
      </c>
      <c r="V364" s="48">
        <f t="shared" si="116"/>
        <v>0</v>
      </c>
      <c r="W364" s="49">
        <f t="shared" si="117"/>
        <v>0</v>
      </c>
      <c r="X364" s="44">
        <f t="shared" si="118"/>
        <v>0</v>
      </c>
      <c r="Y364" s="44">
        <f t="shared" si="119"/>
        <v>0</v>
      </c>
      <c r="Z364" s="44">
        <f t="shared" si="120"/>
        <v>0</v>
      </c>
      <c r="AA364" s="50">
        <f t="shared" si="121"/>
        <v>0</v>
      </c>
      <c r="AB364" s="51">
        <f t="shared" si="122"/>
        <v>0</v>
      </c>
      <c r="AC364" s="44">
        <f t="shared" si="123"/>
        <v>0</v>
      </c>
      <c r="AD364" s="44">
        <f t="shared" si="124"/>
        <v>0</v>
      </c>
      <c r="AE364" s="44">
        <f t="shared" si="125"/>
        <v>0</v>
      </c>
      <c r="AF364" s="52" t="e">
        <f>HLOOKUP(I364,ElecAvoidedCostsWOCC!$A$5:$Q$50,G364+1,FALSE)</f>
        <v>#N/A</v>
      </c>
      <c r="AG364" s="44" t="e">
        <f t="shared" si="126"/>
        <v>#N/A</v>
      </c>
      <c r="AH364" s="52" t="e">
        <f>HLOOKUP(I364,ElecAvoidedCostsWOCC!$A$5:$Q$50,T364+1,FALSE)</f>
        <v>#N/A</v>
      </c>
      <c r="AI364" s="44" t="e">
        <f t="shared" si="127"/>
        <v>#N/A</v>
      </c>
      <c r="AJ364" s="44" t="e">
        <f t="shared" si="128"/>
        <v>#N/A</v>
      </c>
      <c r="AK364" s="44" t="e">
        <f>HLOOKUP(I364,ElecAvoidedCostsWOCC!$A$5:$Q$50,G364+1,FALSE)*J364*L364</f>
        <v>#N/A</v>
      </c>
      <c r="AL364" s="44" t="e">
        <f t="shared" si="129"/>
        <v>#N/A</v>
      </c>
      <c r="AM364" s="48">
        <f>IF(O364=0,0,IF(H364=0, HLOOKUP(I364,ElecAvoidedCostsWOCC!$A$5:$Q$50,T364+1,FALSE)*K364*J364,HLOOKUP(I364,ElecAvoidedCostsWOCC!$A$5:$Q$50,T364+1,FALSE)*L364*J364+HLOOKUP(I364,ElecAvoidedCostsWOCC!$A$5:$Q$50,G364+1,FALSE)*K364*J364-HLOOKUP(I364,ElecAvoidedCostsWOCC!$A$5:$Q$50,G364+1,FALSE)*L364*J364))</f>
        <v>0</v>
      </c>
      <c r="AN364" s="48">
        <f t="shared" si="130"/>
        <v>0</v>
      </c>
      <c r="AO364" s="47">
        <f t="shared" si="131"/>
        <v>0</v>
      </c>
      <c r="AP364" s="47" t="e">
        <f t="shared" si="132"/>
        <v>#DIV/0!</v>
      </c>
    </row>
    <row r="365" spans="2:42">
      <c r="B365" s="37"/>
      <c r="C365" s="61"/>
      <c r="D365" s="61"/>
      <c r="E365" s="38"/>
      <c r="F365" s="39"/>
      <c r="G365" s="39"/>
      <c r="H365" s="39"/>
      <c r="I365" s="40"/>
      <c r="J365" s="41"/>
      <c r="K365" s="41"/>
      <c r="L365" s="41"/>
      <c r="M365" s="42"/>
      <c r="N365" s="42"/>
      <c r="O365" s="43"/>
      <c r="P365" s="44"/>
      <c r="Q365" s="44"/>
      <c r="R365" s="45"/>
      <c r="S365" s="46"/>
      <c r="T365" s="39">
        <f t="shared" si="114"/>
        <v>0</v>
      </c>
      <c r="U365" s="47">
        <f t="shared" si="115"/>
        <v>0</v>
      </c>
      <c r="V365" s="48">
        <f t="shared" si="116"/>
        <v>0</v>
      </c>
      <c r="W365" s="49">
        <f t="shared" si="117"/>
        <v>0</v>
      </c>
      <c r="X365" s="44">
        <f t="shared" si="118"/>
        <v>0</v>
      </c>
      <c r="Y365" s="44">
        <f t="shared" si="119"/>
        <v>0</v>
      </c>
      <c r="Z365" s="44">
        <f t="shared" si="120"/>
        <v>0</v>
      </c>
      <c r="AA365" s="50">
        <f t="shared" si="121"/>
        <v>0</v>
      </c>
      <c r="AB365" s="51">
        <f t="shared" si="122"/>
        <v>0</v>
      </c>
      <c r="AC365" s="44">
        <f t="shared" si="123"/>
        <v>0</v>
      </c>
      <c r="AD365" s="44">
        <f t="shared" si="124"/>
        <v>0</v>
      </c>
      <c r="AE365" s="44">
        <f t="shared" si="125"/>
        <v>0</v>
      </c>
      <c r="AF365" s="52" t="e">
        <f>HLOOKUP(I365,ElecAvoidedCostsWOCC!$A$5:$Q$50,G365+1,FALSE)</f>
        <v>#N/A</v>
      </c>
      <c r="AG365" s="44" t="e">
        <f t="shared" si="126"/>
        <v>#N/A</v>
      </c>
      <c r="AH365" s="52" t="e">
        <f>HLOOKUP(I365,ElecAvoidedCostsWOCC!$A$5:$Q$50,T365+1,FALSE)</f>
        <v>#N/A</v>
      </c>
      <c r="AI365" s="44" t="e">
        <f t="shared" si="127"/>
        <v>#N/A</v>
      </c>
      <c r="AJ365" s="44" t="e">
        <f t="shared" si="128"/>
        <v>#N/A</v>
      </c>
      <c r="AK365" s="44" t="e">
        <f>HLOOKUP(I365,ElecAvoidedCostsWOCC!$A$5:$Q$50,G365+1,FALSE)*J365*L365</f>
        <v>#N/A</v>
      </c>
      <c r="AL365" s="44" t="e">
        <f t="shared" si="129"/>
        <v>#N/A</v>
      </c>
      <c r="AM365" s="48">
        <f>IF(O365=0,0,IF(H365=0, HLOOKUP(I365,ElecAvoidedCostsWOCC!$A$5:$Q$50,T365+1,FALSE)*K365*J365,HLOOKUP(I365,ElecAvoidedCostsWOCC!$A$5:$Q$50,T365+1,FALSE)*L365*J365+HLOOKUP(I365,ElecAvoidedCostsWOCC!$A$5:$Q$50,G365+1,FALSE)*K365*J365-HLOOKUP(I365,ElecAvoidedCostsWOCC!$A$5:$Q$50,G365+1,FALSE)*L365*J365))</f>
        <v>0</v>
      </c>
      <c r="AN365" s="48">
        <f t="shared" si="130"/>
        <v>0</v>
      </c>
      <c r="AO365" s="47">
        <f t="shared" si="131"/>
        <v>0</v>
      </c>
      <c r="AP365" s="47" t="e">
        <f t="shared" si="132"/>
        <v>#DIV/0!</v>
      </c>
    </row>
    <row r="366" spans="2:42">
      <c r="B366" s="37"/>
      <c r="C366" s="61"/>
      <c r="D366" s="61"/>
      <c r="E366" s="38"/>
      <c r="F366" s="39"/>
      <c r="G366" s="39"/>
      <c r="H366" s="39"/>
      <c r="I366" s="40"/>
      <c r="J366" s="41"/>
      <c r="K366" s="41"/>
      <c r="L366" s="41"/>
      <c r="M366" s="42"/>
      <c r="N366" s="42"/>
      <c r="O366" s="43"/>
      <c r="P366" s="44"/>
      <c r="Q366" s="44"/>
      <c r="R366" s="45"/>
      <c r="S366" s="46"/>
      <c r="T366" s="39">
        <f t="shared" si="114"/>
        <v>0</v>
      </c>
      <c r="U366" s="47">
        <f t="shared" si="115"/>
        <v>0</v>
      </c>
      <c r="V366" s="48">
        <f t="shared" si="116"/>
        <v>0</v>
      </c>
      <c r="W366" s="49">
        <f t="shared" si="117"/>
        <v>0</v>
      </c>
      <c r="X366" s="44">
        <f t="shared" si="118"/>
        <v>0</v>
      </c>
      <c r="Y366" s="44">
        <f t="shared" si="119"/>
        <v>0</v>
      </c>
      <c r="Z366" s="44">
        <f t="shared" si="120"/>
        <v>0</v>
      </c>
      <c r="AA366" s="50">
        <f t="shared" si="121"/>
        <v>0</v>
      </c>
      <c r="AB366" s="51">
        <f t="shared" si="122"/>
        <v>0</v>
      </c>
      <c r="AC366" s="44">
        <f t="shared" si="123"/>
        <v>0</v>
      </c>
      <c r="AD366" s="44">
        <f t="shared" si="124"/>
        <v>0</v>
      </c>
      <c r="AE366" s="44">
        <f t="shared" si="125"/>
        <v>0</v>
      </c>
      <c r="AF366" s="52" t="e">
        <f>HLOOKUP(I366,ElecAvoidedCostsWOCC!$A$5:$Q$50,G366+1,FALSE)</f>
        <v>#N/A</v>
      </c>
      <c r="AG366" s="44" t="e">
        <f t="shared" si="126"/>
        <v>#N/A</v>
      </c>
      <c r="AH366" s="52" t="e">
        <f>HLOOKUP(I366,ElecAvoidedCostsWOCC!$A$5:$Q$50,T366+1,FALSE)</f>
        <v>#N/A</v>
      </c>
      <c r="AI366" s="44" t="e">
        <f t="shared" si="127"/>
        <v>#N/A</v>
      </c>
      <c r="AJ366" s="44" t="e">
        <f t="shared" si="128"/>
        <v>#N/A</v>
      </c>
      <c r="AK366" s="44" t="e">
        <f>HLOOKUP(I366,ElecAvoidedCostsWOCC!$A$5:$Q$50,G366+1,FALSE)*J366*L366</f>
        <v>#N/A</v>
      </c>
      <c r="AL366" s="44" t="e">
        <f t="shared" si="129"/>
        <v>#N/A</v>
      </c>
      <c r="AM366" s="48">
        <f>IF(O366=0,0,IF(H366=0, HLOOKUP(I366,ElecAvoidedCostsWOCC!$A$5:$Q$50,T366+1,FALSE)*K366*J366,HLOOKUP(I366,ElecAvoidedCostsWOCC!$A$5:$Q$50,T366+1,FALSE)*L366*J366+HLOOKUP(I366,ElecAvoidedCostsWOCC!$A$5:$Q$50,G366+1,FALSE)*K366*J366-HLOOKUP(I366,ElecAvoidedCostsWOCC!$A$5:$Q$50,G366+1,FALSE)*L366*J366))</f>
        <v>0</v>
      </c>
      <c r="AN366" s="48">
        <f t="shared" si="130"/>
        <v>0</v>
      </c>
      <c r="AO366" s="47">
        <f t="shared" si="131"/>
        <v>0</v>
      </c>
      <c r="AP366" s="47" t="e">
        <f t="shared" si="132"/>
        <v>#DIV/0!</v>
      </c>
    </row>
    <row r="367" spans="2:42">
      <c r="B367" s="37"/>
      <c r="C367" s="61"/>
      <c r="D367" s="61"/>
      <c r="E367" s="38"/>
      <c r="F367" s="39"/>
      <c r="G367" s="39"/>
      <c r="H367" s="39"/>
      <c r="I367" s="40"/>
      <c r="J367" s="41"/>
      <c r="K367" s="41"/>
      <c r="L367" s="41"/>
      <c r="M367" s="42"/>
      <c r="N367" s="42"/>
      <c r="O367" s="43"/>
      <c r="P367" s="44"/>
      <c r="Q367" s="44"/>
      <c r="R367" s="45"/>
      <c r="S367" s="46"/>
      <c r="T367" s="39">
        <f t="shared" si="114"/>
        <v>0</v>
      </c>
      <c r="U367" s="47">
        <f t="shared" si="115"/>
        <v>0</v>
      </c>
      <c r="V367" s="48">
        <f t="shared" si="116"/>
        <v>0</v>
      </c>
      <c r="W367" s="49">
        <f t="shared" si="117"/>
        <v>0</v>
      </c>
      <c r="X367" s="44">
        <f t="shared" si="118"/>
        <v>0</v>
      </c>
      <c r="Y367" s="44">
        <f t="shared" si="119"/>
        <v>0</v>
      </c>
      <c r="Z367" s="44">
        <f t="shared" si="120"/>
        <v>0</v>
      </c>
      <c r="AA367" s="50">
        <f t="shared" si="121"/>
        <v>0</v>
      </c>
      <c r="AB367" s="51">
        <f t="shared" si="122"/>
        <v>0</v>
      </c>
      <c r="AC367" s="44">
        <f t="shared" si="123"/>
        <v>0</v>
      </c>
      <c r="AD367" s="44">
        <f t="shared" si="124"/>
        <v>0</v>
      </c>
      <c r="AE367" s="44">
        <f t="shared" si="125"/>
        <v>0</v>
      </c>
      <c r="AF367" s="52" t="e">
        <f>HLOOKUP(I367,ElecAvoidedCostsWOCC!$A$5:$Q$50,G367+1,FALSE)</f>
        <v>#N/A</v>
      </c>
      <c r="AG367" s="44" t="e">
        <f t="shared" si="126"/>
        <v>#N/A</v>
      </c>
      <c r="AH367" s="52" t="e">
        <f>HLOOKUP(I367,ElecAvoidedCostsWOCC!$A$5:$Q$50,T367+1,FALSE)</f>
        <v>#N/A</v>
      </c>
      <c r="AI367" s="44" t="e">
        <f t="shared" si="127"/>
        <v>#N/A</v>
      </c>
      <c r="AJ367" s="44" t="e">
        <f t="shared" si="128"/>
        <v>#N/A</v>
      </c>
      <c r="AK367" s="44" t="e">
        <f>HLOOKUP(I367,ElecAvoidedCostsWOCC!$A$5:$Q$50,G367+1,FALSE)*J367*L367</f>
        <v>#N/A</v>
      </c>
      <c r="AL367" s="44" t="e">
        <f t="shared" si="129"/>
        <v>#N/A</v>
      </c>
      <c r="AM367" s="48">
        <f>IF(O367=0,0,IF(H367=0, HLOOKUP(I367,ElecAvoidedCostsWOCC!$A$5:$Q$50,T367+1,FALSE)*K367*J367,HLOOKUP(I367,ElecAvoidedCostsWOCC!$A$5:$Q$50,T367+1,FALSE)*L367*J367+HLOOKUP(I367,ElecAvoidedCostsWOCC!$A$5:$Q$50,G367+1,FALSE)*K367*J367-HLOOKUP(I367,ElecAvoidedCostsWOCC!$A$5:$Q$50,G367+1,FALSE)*L367*J367))</f>
        <v>0</v>
      </c>
      <c r="AN367" s="48">
        <f t="shared" si="130"/>
        <v>0</v>
      </c>
      <c r="AO367" s="47">
        <f t="shared" si="131"/>
        <v>0</v>
      </c>
      <c r="AP367" s="47" t="e">
        <f t="shared" si="132"/>
        <v>#DIV/0!</v>
      </c>
    </row>
    <row r="368" spans="2:42">
      <c r="B368" s="37"/>
      <c r="C368" s="61"/>
      <c r="D368" s="61"/>
      <c r="E368" s="38"/>
      <c r="F368" s="39"/>
      <c r="G368" s="39"/>
      <c r="H368" s="39"/>
      <c r="I368" s="40"/>
      <c r="J368" s="41"/>
      <c r="K368" s="41"/>
      <c r="L368" s="41"/>
      <c r="M368" s="42"/>
      <c r="N368" s="42"/>
      <c r="O368" s="43"/>
      <c r="P368" s="44"/>
      <c r="Q368" s="44"/>
      <c r="R368" s="45"/>
      <c r="S368" s="46"/>
      <c r="T368" s="39">
        <f t="shared" si="114"/>
        <v>0</v>
      </c>
      <c r="U368" s="47">
        <f t="shared" si="115"/>
        <v>0</v>
      </c>
      <c r="V368" s="48">
        <f t="shared" si="116"/>
        <v>0</v>
      </c>
      <c r="W368" s="49">
        <f t="shared" si="117"/>
        <v>0</v>
      </c>
      <c r="X368" s="44">
        <f t="shared" si="118"/>
        <v>0</v>
      </c>
      <c r="Y368" s="44">
        <f t="shared" si="119"/>
        <v>0</v>
      </c>
      <c r="Z368" s="44">
        <f t="shared" si="120"/>
        <v>0</v>
      </c>
      <c r="AA368" s="50">
        <f t="shared" si="121"/>
        <v>0</v>
      </c>
      <c r="AB368" s="51">
        <f t="shared" si="122"/>
        <v>0</v>
      </c>
      <c r="AC368" s="44">
        <f t="shared" si="123"/>
        <v>0</v>
      </c>
      <c r="AD368" s="44">
        <f t="shared" si="124"/>
        <v>0</v>
      </c>
      <c r="AE368" s="44">
        <f t="shared" si="125"/>
        <v>0</v>
      </c>
      <c r="AF368" s="52" t="e">
        <f>HLOOKUP(I368,ElecAvoidedCostsWOCC!$A$5:$Q$50,G368+1,FALSE)</f>
        <v>#N/A</v>
      </c>
      <c r="AG368" s="44" t="e">
        <f t="shared" si="126"/>
        <v>#N/A</v>
      </c>
      <c r="AH368" s="52" t="e">
        <f>HLOOKUP(I368,ElecAvoidedCostsWOCC!$A$5:$Q$50,T368+1,FALSE)</f>
        <v>#N/A</v>
      </c>
      <c r="AI368" s="44" t="e">
        <f t="shared" si="127"/>
        <v>#N/A</v>
      </c>
      <c r="AJ368" s="44" t="e">
        <f t="shared" si="128"/>
        <v>#N/A</v>
      </c>
      <c r="AK368" s="44" t="e">
        <f>HLOOKUP(I368,ElecAvoidedCostsWOCC!$A$5:$Q$50,G368+1,FALSE)*J368*L368</f>
        <v>#N/A</v>
      </c>
      <c r="AL368" s="44" t="e">
        <f t="shared" si="129"/>
        <v>#N/A</v>
      </c>
      <c r="AM368" s="48">
        <f>IF(O368=0,0,IF(H368=0, HLOOKUP(I368,ElecAvoidedCostsWOCC!$A$5:$Q$50,T368+1,FALSE)*K368*J368,HLOOKUP(I368,ElecAvoidedCostsWOCC!$A$5:$Q$50,T368+1,FALSE)*L368*J368+HLOOKUP(I368,ElecAvoidedCostsWOCC!$A$5:$Q$50,G368+1,FALSE)*K368*J368-HLOOKUP(I368,ElecAvoidedCostsWOCC!$A$5:$Q$50,G368+1,FALSE)*L368*J368))</f>
        <v>0</v>
      </c>
      <c r="AN368" s="48">
        <f t="shared" si="130"/>
        <v>0</v>
      </c>
      <c r="AO368" s="47">
        <f t="shared" si="131"/>
        <v>0</v>
      </c>
      <c r="AP368" s="47" t="e">
        <f t="shared" si="132"/>
        <v>#DIV/0!</v>
      </c>
    </row>
    <row r="369" spans="2:42">
      <c r="B369" s="37"/>
      <c r="C369" s="61"/>
      <c r="D369" s="61"/>
      <c r="E369" s="38"/>
      <c r="F369" s="39"/>
      <c r="G369" s="39"/>
      <c r="H369" s="39"/>
      <c r="I369" s="40"/>
      <c r="J369" s="41"/>
      <c r="K369" s="41"/>
      <c r="L369" s="41"/>
      <c r="M369" s="42"/>
      <c r="N369" s="42"/>
      <c r="O369" s="43"/>
      <c r="P369" s="44"/>
      <c r="Q369" s="44"/>
      <c r="R369" s="45"/>
      <c r="S369" s="46"/>
      <c r="T369" s="39">
        <f t="shared" si="114"/>
        <v>0</v>
      </c>
      <c r="U369" s="47">
        <f t="shared" si="115"/>
        <v>0</v>
      </c>
      <c r="V369" s="48">
        <f t="shared" si="116"/>
        <v>0</v>
      </c>
      <c r="W369" s="49">
        <f t="shared" si="117"/>
        <v>0</v>
      </c>
      <c r="X369" s="44">
        <f t="shared" si="118"/>
        <v>0</v>
      </c>
      <c r="Y369" s="44">
        <f t="shared" si="119"/>
        <v>0</v>
      </c>
      <c r="Z369" s="44">
        <f t="shared" si="120"/>
        <v>0</v>
      </c>
      <c r="AA369" s="50">
        <f t="shared" si="121"/>
        <v>0</v>
      </c>
      <c r="AB369" s="51">
        <f t="shared" si="122"/>
        <v>0</v>
      </c>
      <c r="AC369" s="44">
        <f t="shared" si="123"/>
        <v>0</v>
      </c>
      <c r="AD369" s="44">
        <f t="shared" si="124"/>
        <v>0</v>
      </c>
      <c r="AE369" s="44">
        <f t="shared" si="125"/>
        <v>0</v>
      </c>
      <c r="AF369" s="52" t="e">
        <f>HLOOKUP(I369,ElecAvoidedCostsWOCC!$A$5:$Q$50,G369+1,FALSE)</f>
        <v>#N/A</v>
      </c>
      <c r="AG369" s="44" t="e">
        <f t="shared" si="126"/>
        <v>#N/A</v>
      </c>
      <c r="AH369" s="52" t="e">
        <f>HLOOKUP(I369,ElecAvoidedCostsWOCC!$A$5:$Q$50,T369+1,FALSE)</f>
        <v>#N/A</v>
      </c>
      <c r="AI369" s="44" t="e">
        <f t="shared" si="127"/>
        <v>#N/A</v>
      </c>
      <c r="AJ369" s="44" t="e">
        <f t="shared" si="128"/>
        <v>#N/A</v>
      </c>
      <c r="AK369" s="44" t="e">
        <f>HLOOKUP(I369,ElecAvoidedCostsWOCC!$A$5:$Q$50,G369+1,FALSE)*J369*L369</f>
        <v>#N/A</v>
      </c>
      <c r="AL369" s="44" t="e">
        <f t="shared" si="129"/>
        <v>#N/A</v>
      </c>
      <c r="AM369" s="48">
        <f>IF(O369=0,0,IF(H369=0, HLOOKUP(I369,ElecAvoidedCostsWOCC!$A$5:$Q$50,T369+1,FALSE)*K369*J369,HLOOKUP(I369,ElecAvoidedCostsWOCC!$A$5:$Q$50,T369+1,FALSE)*L369*J369+HLOOKUP(I369,ElecAvoidedCostsWOCC!$A$5:$Q$50,G369+1,FALSE)*K369*J369-HLOOKUP(I369,ElecAvoidedCostsWOCC!$A$5:$Q$50,G369+1,FALSE)*L369*J369))</f>
        <v>0</v>
      </c>
      <c r="AN369" s="48">
        <f t="shared" si="130"/>
        <v>0</v>
      </c>
      <c r="AO369" s="47">
        <f t="shared" si="131"/>
        <v>0</v>
      </c>
      <c r="AP369" s="47" t="e">
        <f t="shared" si="132"/>
        <v>#DIV/0!</v>
      </c>
    </row>
    <row r="370" spans="2:42">
      <c r="B370" s="37"/>
      <c r="C370" s="61"/>
      <c r="D370" s="61"/>
      <c r="E370" s="38"/>
      <c r="F370" s="39"/>
      <c r="G370" s="39"/>
      <c r="H370" s="39"/>
      <c r="I370" s="40"/>
      <c r="J370" s="41"/>
      <c r="K370" s="41"/>
      <c r="L370" s="41"/>
      <c r="M370" s="42"/>
      <c r="N370" s="42"/>
      <c r="O370" s="43"/>
      <c r="P370" s="44"/>
      <c r="Q370" s="44"/>
      <c r="R370" s="45"/>
      <c r="S370" s="46"/>
      <c r="T370" s="39">
        <f t="shared" si="114"/>
        <v>0</v>
      </c>
      <c r="U370" s="47">
        <f t="shared" si="115"/>
        <v>0</v>
      </c>
      <c r="V370" s="48">
        <f t="shared" si="116"/>
        <v>0</v>
      </c>
      <c r="W370" s="49">
        <f t="shared" si="117"/>
        <v>0</v>
      </c>
      <c r="X370" s="44">
        <f t="shared" si="118"/>
        <v>0</v>
      </c>
      <c r="Y370" s="44">
        <f t="shared" si="119"/>
        <v>0</v>
      </c>
      <c r="Z370" s="44">
        <f t="shared" si="120"/>
        <v>0</v>
      </c>
      <c r="AA370" s="50">
        <f t="shared" si="121"/>
        <v>0</v>
      </c>
      <c r="AB370" s="51">
        <f t="shared" si="122"/>
        <v>0</v>
      </c>
      <c r="AC370" s="44">
        <f t="shared" si="123"/>
        <v>0</v>
      </c>
      <c r="AD370" s="44">
        <f t="shared" si="124"/>
        <v>0</v>
      </c>
      <c r="AE370" s="44">
        <f t="shared" si="125"/>
        <v>0</v>
      </c>
      <c r="AF370" s="52" t="e">
        <f>HLOOKUP(I370,ElecAvoidedCostsWOCC!$A$5:$Q$50,G370+1,FALSE)</f>
        <v>#N/A</v>
      </c>
      <c r="AG370" s="44" t="e">
        <f t="shared" si="126"/>
        <v>#N/A</v>
      </c>
      <c r="AH370" s="52" t="e">
        <f>HLOOKUP(I370,ElecAvoidedCostsWOCC!$A$5:$Q$50,T370+1,FALSE)</f>
        <v>#N/A</v>
      </c>
      <c r="AI370" s="44" t="e">
        <f t="shared" si="127"/>
        <v>#N/A</v>
      </c>
      <c r="AJ370" s="44" t="e">
        <f t="shared" si="128"/>
        <v>#N/A</v>
      </c>
      <c r="AK370" s="44" t="e">
        <f>HLOOKUP(I370,ElecAvoidedCostsWOCC!$A$5:$Q$50,G370+1,FALSE)*J370*L370</f>
        <v>#N/A</v>
      </c>
      <c r="AL370" s="44" t="e">
        <f t="shared" si="129"/>
        <v>#N/A</v>
      </c>
      <c r="AM370" s="48">
        <f>IF(O370=0,0,IF(H370=0, HLOOKUP(I370,ElecAvoidedCostsWOCC!$A$5:$Q$50,T370+1,FALSE)*K370*J370,HLOOKUP(I370,ElecAvoidedCostsWOCC!$A$5:$Q$50,T370+1,FALSE)*L370*J370+HLOOKUP(I370,ElecAvoidedCostsWOCC!$A$5:$Q$50,G370+1,FALSE)*K370*J370-HLOOKUP(I370,ElecAvoidedCostsWOCC!$A$5:$Q$50,G370+1,FALSE)*L370*J370))</f>
        <v>0</v>
      </c>
      <c r="AN370" s="48">
        <f t="shared" si="130"/>
        <v>0</v>
      </c>
      <c r="AO370" s="47">
        <f t="shared" si="131"/>
        <v>0</v>
      </c>
      <c r="AP370" s="47" t="e">
        <f t="shared" si="132"/>
        <v>#DIV/0!</v>
      </c>
    </row>
    <row r="371" spans="2:42">
      <c r="B371" s="37"/>
      <c r="C371" s="61"/>
      <c r="D371" s="61"/>
      <c r="E371" s="38"/>
      <c r="F371" s="39"/>
      <c r="G371" s="39"/>
      <c r="H371" s="39"/>
      <c r="I371" s="40"/>
      <c r="J371" s="41"/>
      <c r="K371" s="41"/>
      <c r="L371" s="41"/>
      <c r="M371" s="42"/>
      <c r="N371" s="42"/>
      <c r="O371" s="43"/>
      <c r="P371" s="44"/>
      <c r="Q371" s="44"/>
      <c r="R371" s="45"/>
      <c r="S371" s="46"/>
      <c r="T371" s="39">
        <f t="shared" si="114"/>
        <v>0</v>
      </c>
      <c r="U371" s="47">
        <f t="shared" si="115"/>
        <v>0</v>
      </c>
      <c r="V371" s="48">
        <f t="shared" si="116"/>
        <v>0</v>
      </c>
      <c r="W371" s="49">
        <f t="shared" si="117"/>
        <v>0</v>
      </c>
      <c r="X371" s="44">
        <f t="shared" si="118"/>
        <v>0</v>
      </c>
      <c r="Y371" s="44">
        <f t="shared" si="119"/>
        <v>0</v>
      </c>
      <c r="Z371" s="44">
        <f t="shared" si="120"/>
        <v>0</v>
      </c>
      <c r="AA371" s="50">
        <f t="shared" si="121"/>
        <v>0</v>
      </c>
      <c r="AB371" s="51">
        <f t="shared" si="122"/>
        <v>0</v>
      </c>
      <c r="AC371" s="44">
        <f t="shared" si="123"/>
        <v>0</v>
      </c>
      <c r="AD371" s="44">
        <f t="shared" si="124"/>
        <v>0</v>
      </c>
      <c r="AE371" s="44">
        <f t="shared" si="125"/>
        <v>0</v>
      </c>
      <c r="AF371" s="52" t="e">
        <f>HLOOKUP(I371,ElecAvoidedCostsWOCC!$A$5:$Q$50,G371+1,FALSE)</f>
        <v>#N/A</v>
      </c>
      <c r="AG371" s="44" t="e">
        <f t="shared" si="126"/>
        <v>#N/A</v>
      </c>
      <c r="AH371" s="52" t="e">
        <f>HLOOKUP(I371,ElecAvoidedCostsWOCC!$A$5:$Q$50,T371+1,FALSE)</f>
        <v>#N/A</v>
      </c>
      <c r="AI371" s="44" t="e">
        <f t="shared" si="127"/>
        <v>#N/A</v>
      </c>
      <c r="AJ371" s="44" t="e">
        <f t="shared" si="128"/>
        <v>#N/A</v>
      </c>
      <c r="AK371" s="44" t="e">
        <f>HLOOKUP(I371,ElecAvoidedCostsWOCC!$A$5:$Q$50,G371+1,FALSE)*J371*L371</f>
        <v>#N/A</v>
      </c>
      <c r="AL371" s="44" t="e">
        <f t="shared" si="129"/>
        <v>#N/A</v>
      </c>
      <c r="AM371" s="48">
        <f>IF(O371=0,0,IF(H371=0, HLOOKUP(I371,ElecAvoidedCostsWOCC!$A$5:$Q$50,T371+1,FALSE)*K371*J371,HLOOKUP(I371,ElecAvoidedCostsWOCC!$A$5:$Q$50,T371+1,FALSE)*L371*J371+HLOOKUP(I371,ElecAvoidedCostsWOCC!$A$5:$Q$50,G371+1,FALSE)*K371*J371-HLOOKUP(I371,ElecAvoidedCostsWOCC!$A$5:$Q$50,G371+1,FALSE)*L371*J371))</f>
        <v>0</v>
      </c>
      <c r="AN371" s="48">
        <f t="shared" si="130"/>
        <v>0</v>
      </c>
      <c r="AO371" s="47">
        <f t="shared" si="131"/>
        <v>0</v>
      </c>
      <c r="AP371" s="47" t="e">
        <f t="shared" si="132"/>
        <v>#DIV/0!</v>
      </c>
    </row>
    <row r="372" spans="2:42">
      <c r="B372" s="37"/>
      <c r="C372" s="61"/>
      <c r="D372" s="61"/>
      <c r="E372" s="38"/>
      <c r="F372" s="39"/>
      <c r="G372" s="39"/>
      <c r="H372" s="39"/>
      <c r="I372" s="40"/>
      <c r="J372" s="41"/>
      <c r="K372" s="41"/>
      <c r="L372" s="41"/>
      <c r="M372" s="42"/>
      <c r="N372" s="42"/>
      <c r="O372" s="43"/>
      <c r="P372" s="44"/>
      <c r="Q372" s="44"/>
      <c r="R372" s="45"/>
      <c r="S372" s="46"/>
      <c r="T372" s="39">
        <f t="shared" si="114"/>
        <v>0</v>
      </c>
      <c r="U372" s="47">
        <f t="shared" si="115"/>
        <v>0</v>
      </c>
      <c r="V372" s="48">
        <f t="shared" si="116"/>
        <v>0</v>
      </c>
      <c r="W372" s="49">
        <f t="shared" si="117"/>
        <v>0</v>
      </c>
      <c r="X372" s="44">
        <f t="shared" si="118"/>
        <v>0</v>
      </c>
      <c r="Y372" s="44">
        <f t="shared" si="119"/>
        <v>0</v>
      </c>
      <c r="Z372" s="44">
        <f t="shared" si="120"/>
        <v>0</v>
      </c>
      <c r="AA372" s="50">
        <f t="shared" si="121"/>
        <v>0</v>
      </c>
      <c r="AB372" s="51">
        <f t="shared" si="122"/>
        <v>0</v>
      </c>
      <c r="AC372" s="44">
        <f t="shared" si="123"/>
        <v>0</v>
      </c>
      <c r="AD372" s="44">
        <f t="shared" si="124"/>
        <v>0</v>
      </c>
      <c r="AE372" s="44">
        <f t="shared" si="125"/>
        <v>0</v>
      </c>
      <c r="AF372" s="52" t="e">
        <f>HLOOKUP(I372,ElecAvoidedCostsWOCC!$A$5:$Q$50,G372+1,FALSE)</f>
        <v>#N/A</v>
      </c>
      <c r="AG372" s="44" t="e">
        <f t="shared" si="126"/>
        <v>#N/A</v>
      </c>
      <c r="AH372" s="52" t="e">
        <f>HLOOKUP(I372,ElecAvoidedCostsWOCC!$A$5:$Q$50,T372+1,FALSE)</f>
        <v>#N/A</v>
      </c>
      <c r="AI372" s="44" t="e">
        <f t="shared" si="127"/>
        <v>#N/A</v>
      </c>
      <c r="AJ372" s="44" t="e">
        <f t="shared" si="128"/>
        <v>#N/A</v>
      </c>
      <c r="AK372" s="44" t="e">
        <f>HLOOKUP(I372,ElecAvoidedCostsWOCC!$A$5:$Q$50,G372+1,FALSE)*J372*L372</f>
        <v>#N/A</v>
      </c>
      <c r="AL372" s="44" t="e">
        <f t="shared" si="129"/>
        <v>#N/A</v>
      </c>
      <c r="AM372" s="48">
        <f>IF(O372=0,0,IF(H372=0, HLOOKUP(I372,ElecAvoidedCostsWOCC!$A$5:$Q$50,T372+1,FALSE)*K372*J372,HLOOKUP(I372,ElecAvoidedCostsWOCC!$A$5:$Q$50,T372+1,FALSE)*L372*J372+HLOOKUP(I372,ElecAvoidedCostsWOCC!$A$5:$Q$50,G372+1,FALSE)*K372*J372-HLOOKUP(I372,ElecAvoidedCostsWOCC!$A$5:$Q$50,G372+1,FALSE)*L372*J372))</f>
        <v>0</v>
      </c>
      <c r="AN372" s="48">
        <f t="shared" si="130"/>
        <v>0</v>
      </c>
      <c r="AO372" s="47">
        <f t="shared" si="131"/>
        <v>0</v>
      </c>
      <c r="AP372" s="47" t="e">
        <f t="shared" si="132"/>
        <v>#DIV/0!</v>
      </c>
    </row>
    <row r="373" spans="2:42">
      <c r="B373" s="37"/>
      <c r="C373" s="61"/>
      <c r="D373" s="61"/>
      <c r="E373" s="38"/>
      <c r="F373" s="39"/>
      <c r="G373" s="39"/>
      <c r="H373" s="39"/>
      <c r="I373" s="40"/>
      <c r="J373" s="41"/>
      <c r="K373" s="41"/>
      <c r="L373" s="41"/>
      <c r="M373" s="42"/>
      <c r="N373" s="42"/>
      <c r="O373" s="43"/>
      <c r="P373" s="44"/>
      <c r="Q373" s="44"/>
      <c r="R373" s="45"/>
      <c r="S373" s="46"/>
      <c r="T373" s="39">
        <f t="shared" si="114"/>
        <v>0</v>
      </c>
      <c r="U373" s="47">
        <f t="shared" si="115"/>
        <v>0</v>
      </c>
      <c r="V373" s="48">
        <f t="shared" si="116"/>
        <v>0</v>
      </c>
      <c r="W373" s="49">
        <f t="shared" si="117"/>
        <v>0</v>
      </c>
      <c r="X373" s="44">
        <f t="shared" si="118"/>
        <v>0</v>
      </c>
      <c r="Y373" s="44">
        <f t="shared" si="119"/>
        <v>0</v>
      </c>
      <c r="Z373" s="44">
        <f t="shared" si="120"/>
        <v>0</v>
      </c>
      <c r="AA373" s="50">
        <f t="shared" si="121"/>
        <v>0</v>
      </c>
      <c r="AB373" s="51">
        <f t="shared" si="122"/>
        <v>0</v>
      </c>
      <c r="AC373" s="44">
        <f t="shared" si="123"/>
        <v>0</v>
      </c>
      <c r="AD373" s="44">
        <f t="shared" si="124"/>
        <v>0</v>
      </c>
      <c r="AE373" s="44">
        <f t="shared" si="125"/>
        <v>0</v>
      </c>
      <c r="AF373" s="52" t="e">
        <f>HLOOKUP(I373,ElecAvoidedCostsWOCC!$A$5:$Q$50,G373+1,FALSE)</f>
        <v>#N/A</v>
      </c>
      <c r="AG373" s="44" t="e">
        <f t="shared" si="126"/>
        <v>#N/A</v>
      </c>
      <c r="AH373" s="52" t="e">
        <f>HLOOKUP(I373,ElecAvoidedCostsWOCC!$A$5:$Q$50,T373+1,FALSE)</f>
        <v>#N/A</v>
      </c>
      <c r="AI373" s="44" t="e">
        <f t="shared" si="127"/>
        <v>#N/A</v>
      </c>
      <c r="AJ373" s="44" t="e">
        <f t="shared" si="128"/>
        <v>#N/A</v>
      </c>
      <c r="AK373" s="44" t="e">
        <f>HLOOKUP(I373,ElecAvoidedCostsWOCC!$A$5:$Q$50,G373+1,FALSE)*J373*L373</f>
        <v>#N/A</v>
      </c>
      <c r="AL373" s="44" t="e">
        <f t="shared" si="129"/>
        <v>#N/A</v>
      </c>
      <c r="AM373" s="48">
        <f>IF(O373=0,0,IF(H373=0, HLOOKUP(I373,ElecAvoidedCostsWOCC!$A$5:$Q$50,T373+1,FALSE)*K373*J373,HLOOKUP(I373,ElecAvoidedCostsWOCC!$A$5:$Q$50,T373+1,FALSE)*L373*J373+HLOOKUP(I373,ElecAvoidedCostsWOCC!$A$5:$Q$50,G373+1,FALSE)*K373*J373-HLOOKUP(I373,ElecAvoidedCostsWOCC!$A$5:$Q$50,G373+1,FALSE)*L373*J373))</f>
        <v>0</v>
      </c>
      <c r="AN373" s="48">
        <f t="shared" si="130"/>
        <v>0</v>
      </c>
      <c r="AO373" s="47">
        <f t="shared" si="131"/>
        <v>0</v>
      </c>
      <c r="AP373" s="47" t="e">
        <f t="shared" si="132"/>
        <v>#DIV/0!</v>
      </c>
    </row>
    <row r="374" spans="2:42">
      <c r="B374" s="37"/>
      <c r="C374" s="61"/>
      <c r="D374" s="61"/>
      <c r="E374" s="38"/>
      <c r="F374" s="39"/>
      <c r="G374" s="39"/>
      <c r="H374" s="39"/>
      <c r="I374" s="40"/>
      <c r="J374" s="41"/>
      <c r="K374" s="41"/>
      <c r="L374" s="41"/>
      <c r="M374" s="42"/>
      <c r="N374" s="42"/>
      <c r="O374" s="43"/>
      <c r="P374" s="44"/>
      <c r="Q374" s="44"/>
      <c r="R374" s="45"/>
      <c r="S374" s="46"/>
      <c r="T374" s="39">
        <f t="shared" si="114"/>
        <v>0</v>
      </c>
      <c r="U374" s="47">
        <f t="shared" si="115"/>
        <v>0</v>
      </c>
      <c r="V374" s="48">
        <f t="shared" si="116"/>
        <v>0</v>
      </c>
      <c r="W374" s="49">
        <f t="shared" si="117"/>
        <v>0</v>
      </c>
      <c r="X374" s="44">
        <f t="shared" si="118"/>
        <v>0</v>
      </c>
      <c r="Y374" s="44">
        <f t="shared" si="119"/>
        <v>0</v>
      </c>
      <c r="Z374" s="44">
        <f t="shared" si="120"/>
        <v>0</v>
      </c>
      <c r="AA374" s="50">
        <f t="shared" si="121"/>
        <v>0</v>
      </c>
      <c r="AB374" s="51">
        <f t="shared" si="122"/>
        <v>0</v>
      </c>
      <c r="AC374" s="44">
        <f t="shared" si="123"/>
        <v>0</v>
      </c>
      <c r="AD374" s="44">
        <f t="shared" si="124"/>
        <v>0</v>
      </c>
      <c r="AE374" s="44">
        <f t="shared" si="125"/>
        <v>0</v>
      </c>
      <c r="AF374" s="52" t="e">
        <f>HLOOKUP(I374,ElecAvoidedCostsWOCC!$A$5:$Q$50,G374+1,FALSE)</f>
        <v>#N/A</v>
      </c>
      <c r="AG374" s="44" t="e">
        <f t="shared" si="126"/>
        <v>#N/A</v>
      </c>
      <c r="AH374" s="52" t="e">
        <f>HLOOKUP(I374,ElecAvoidedCostsWOCC!$A$5:$Q$50,T374+1,FALSE)</f>
        <v>#N/A</v>
      </c>
      <c r="AI374" s="44" t="e">
        <f t="shared" si="127"/>
        <v>#N/A</v>
      </c>
      <c r="AJ374" s="44" t="e">
        <f t="shared" si="128"/>
        <v>#N/A</v>
      </c>
      <c r="AK374" s="44" t="e">
        <f>HLOOKUP(I374,ElecAvoidedCostsWOCC!$A$5:$Q$50,G374+1,FALSE)*J374*L374</f>
        <v>#N/A</v>
      </c>
      <c r="AL374" s="44" t="e">
        <f t="shared" si="129"/>
        <v>#N/A</v>
      </c>
      <c r="AM374" s="48">
        <f>IF(O374=0,0,IF(H374=0, HLOOKUP(I374,ElecAvoidedCostsWOCC!$A$5:$Q$50,T374+1,FALSE)*K374*J374,HLOOKUP(I374,ElecAvoidedCostsWOCC!$A$5:$Q$50,T374+1,FALSE)*L374*J374+HLOOKUP(I374,ElecAvoidedCostsWOCC!$A$5:$Q$50,G374+1,FALSE)*K374*J374-HLOOKUP(I374,ElecAvoidedCostsWOCC!$A$5:$Q$50,G374+1,FALSE)*L374*J374))</f>
        <v>0</v>
      </c>
      <c r="AN374" s="48">
        <f t="shared" si="130"/>
        <v>0</v>
      </c>
      <c r="AO374" s="47">
        <f t="shared" si="131"/>
        <v>0</v>
      </c>
      <c r="AP374" s="47" t="e">
        <f t="shared" si="132"/>
        <v>#DIV/0!</v>
      </c>
    </row>
    <row r="375" spans="2:42">
      <c r="B375" s="37"/>
      <c r="C375" s="61"/>
      <c r="D375" s="61"/>
      <c r="E375" s="38"/>
      <c r="F375" s="39"/>
      <c r="G375" s="39"/>
      <c r="H375" s="39"/>
      <c r="I375" s="40"/>
      <c r="J375" s="41"/>
      <c r="K375" s="41"/>
      <c r="L375" s="41"/>
      <c r="M375" s="42"/>
      <c r="N375" s="42"/>
      <c r="O375" s="43"/>
      <c r="P375" s="44"/>
      <c r="Q375" s="44"/>
      <c r="R375" s="45"/>
      <c r="S375" s="46"/>
      <c r="T375" s="39">
        <f t="shared" si="114"/>
        <v>0</v>
      </c>
      <c r="U375" s="47">
        <f t="shared" si="115"/>
        <v>0</v>
      </c>
      <c r="V375" s="48">
        <f t="shared" si="116"/>
        <v>0</v>
      </c>
      <c r="W375" s="49">
        <f t="shared" si="117"/>
        <v>0</v>
      </c>
      <c r="X375" s="44">
        <f t="shared" si="118"/>
        <v>0</v>
      </c>
      <c r="Y375" s="44">
        <f t="shared" si="119"/>
        <v>0</v>
      </c>
      <c r="Z375" s="44">
        <f t="shared" si="120"/>
        <v>0</v>
      </c>
      <c r="AA375" s="50">
        <f t="shared" si="121"/>
        <v>0</v>
      </c>
      <c r="AB375" s="51">
        <f t="shared" si="122"/>
        <v>0</v>
      </c>
      <c r="AC375" s="44">
        <f t="shared" si="123"/>
        <v>0</v>
      </c>
      <c r="AD375" s="44">
        <f t="shared" si="124"/>
        <v>0</v>
      </c>
      <c r="AE375" s="44">
        <f t="shared" si="125"/>
        <v>0</v>
      </c>
      <c r="AF375" s="52" t="e">
        <f>HLOOKUP(I375,ElecAvoidedCostsWOCC!$A$5:$Q$50,G375+1,FALSE)</f>
        <v>#N/A</v>
      </c>
      <c r="AG375" s="44" t="e">
        <f t="shared" si="126"/>
        <v>#N/A</v>
      </c>
      <c r="AH375" s="52" t="e">
        <f>HLOOKUP(I375,ElecAvoidedCostsWOCC!$A$5:$Q$50,T375+1,FALSE)</f>
        <v>#N/A</v>
      </c>
      <c r="AI375" s="44" t="e">
        <f t="shared" si="127"/>
        <v>#N/A</v>
      </c>
      <c r="AJ375" s="44" t="e">
        <f t="shared" si="128"/>
        <v>#N/A</v>
      </c>
      <c r="AK375" s="44" t="e">
        <f>HLOOKUP(I375,ElecAvoidedCostsWOCC!$A$5:$Q$50,G375+1,FALSE)*J375*L375</f>
        <v>#N/A</v>
      </c>
      <c r="AL375" s="44" t="e">
        <f t="shared" si="129"/>
        <v>#N/A</v>
      </c>
      <c r="AM375" s="48">
        <f>IF(O375=0,0,IF(H375=0, HLOOKUP(I375,ElecAvoidedCostsWOCC!$A$5:$Q$50,T375+1,FALSE)*K375*J375,HLOOKUP(I375,ElecAvoidedCostsWOCC!$A$5:$Q$50,T375+1,FALSE)*L375*J375+HLOOKUP(I375,ElecAvoidedCostsWOCC!$A$5:$Q$50,G375+1,FALSE)*K375*J375-HLOOKUP(I375,ElecAvoidedCostsWOCC!$A$5:$Q$50,G375+1,FALSE)*L375*J375))</f>
        <v>0</v>
      </c>
      <c r="AN375" s="48">
        <f t="shared" si="130"/>
        <v>0</v>
      </c>
      <c r="AO375" s="47">
        <f t="shared" si="131"/>
        <v>0</v>
      </c>
      <c r="AP375" s="47" t="e">
        <f t="shared" si="132"/>
        <v>#DIV/0!</v>
      </c>
    </row>
    <row r="376" spans="2:42">
      <c r="B376" s="37"/>
      <c r="C376" s="61"/>
      <c r="D376" s="61"/>
      <c r="E376" s="38"/>
      <c r="F376" s="39"/>
      <c r="G376" s="39"/>
      <c r="H376" s="39"/>
      <c r="I376" s="40"/>
      <c r="J376" s="41"/>
      <c r="K376" s="41"/>
      <c r="L376" s="41"/>
      <c r="M376" s="42"/>
      <c r="N376" s="42"/>
      <c r="O376" s="43"/>
      <c r="P376" s="44"/>
      <c r="Q376" s="44"/>
      <c r="R376" s="45"/>
      <c r="S376" s="46"/>
      <c r="T376" s="39">
        <f t="shared" si="114"/>
        <v>0</v>
      </c>
      <c r="U376" s="47">
        <f t="shared" si="115"/>
        <v>0</v>
      </c>
      <c r="V376" s="48">
        <f t="shared" si="116"/>
        <v>0</v>
      </c>
      <c r="W376" s="49">
        <f t="shared" si="117"/>
        <v>0</v>
      </c>
      <c r="X376" s="44">
        <f t="shared" si="118"/>
        <v>0</v>
      </c>
      <c r="Y376" s="44">
        <f t="shared" si="119"/>
        <v>0</v>
      </c>
      <c r="Z376" s="44">
        <f t="shared" si="120"/>
        <v>0</v>
      </c>
      <c r="AA376" s="50">
        <f t="shared" si="121"/>
        <v>0</v>
      </c>
      <c r="AB376" s="51">
        <f t="shared" si="122"/>
        <v>0</v>
      </c>
      <c r="AC376" s="44">
        <f t="shared" si="123"/>
        <v>0</v>
      </c>
      <c r="AD376" s="44">
        <f t="shared" si="124"/>
        <v>0</v>
      </c>
      <c r="AE376" s="44">
        <f t="shared" si="125"/>
        <v>0</v>
      </c>
      <c r="AF376" s="52" t="e">
        <f>HLOOKUP(I376,ElecAvoidedCostsWOCC!$A$5:$Q$50,G376+1,FALSE)</f>
        <v>#N/A</v>
      </c>
      <c r="AG376" s="44" t="e">
        <f t="shared" si="126"/>
        <v>#N/A</v>
      </c>
      <c r="AH376" s="52" t="e">
        <f>HLOOKUP(I376,ElecAvoidedCostsWOCC!$A$5:$Q$50,T376+1,FALSE)</f>
        <v>#N/A</v>
      </c>
      <c r="AI376" s="44" t="e">
        <f t="shared" si="127"/>
        <v>#N/A</v>
      </c>
      <c r="AJ376" s="44" t="e">
        <f t="shared" si="128"/>
        <v>#N/A</v>
      </c>
      <c r="AK376" s="44" t="e">
        <f>HLOOKUP(I376,ElecAvoidedCostsWOCC!$A$5:$Q$50,G376+1,FALSE)*J376*L376</f>
        <v>#N/A</v>
      </c>
      <c r="AL376" s="44" t="e">
        <f t="shared" si="129"/>
        <v>#N/A</v>
      </c>
      <c r="AM376" s="48">
        <f>IF(O376=0,0,IF(H376=0, HLOOKUP(I376,ElecAvoidedCostsWOCC!$A$5:$Q$50,T376+1,FALSE)*K376*J376,HLOOKUP(I376,ElecAvoidedCostsWOCC!$A$5:$Q$50,T376+1,FALSE)*L376*J376+HLOOKUP(I376,ElecAvoidedCostsWOCC!$A$5:$Q$50,G376+1,FALSE)*K376*J376-HLOOKUP(I376,ElecAvoidedCostsWOCC!$A$5:$Q$50,G376+1,FALSE)*L376*J376))</f>
        <v>0</v>
      </c>
      <c r="AN376" s="48">
        <f t="shared" si="130"/>
        <v>0</v>
      </c>
      <c r="AO376" s="47">
        <f t="shared" si="131"/>
        <v>0</v>
      </c>
      <c r="AP376" s="47" t="e">
        <f t="shared" si="132"/>
        <v>#DIV/0!</v>
      </c>
    </row>
    <row r="377" spans="2:42">
      <c r="B377" s="37"/>
      <c r="C377" s="61"/>
      <c r="D377" s="61"/>
      <c r="E377" s="38"/>
      <c r="F377" s="39"/>
      <c r="G377" s="39"/>
      <c r="H377" s="39"/>
      <c r="I377" s="40"/>
      <c r="J377" s="41"/>
      <c r="K377" s="41"/>
      <c r="L377" s="41"/>
      <c r="M377" s="42"/>
      <c r="N377" s="42"/>
      <c r="O377" s="43"/>
      <c r="P377" s="44"/>
      <c r="Q377" s="44"/>
      <c r="R377" s="45"/>
      <c r="S377" s="46"/>
      <c r="T377" s="39">
        <f t="shared" si="114"/>
        <v>0</v>
      </c>
      <c r="U377" s="47">
        <f t="shared" si="115"/>
        <v>0</v>
      </c>
      <c r="V377" s="48">
        <f t="shared" si="116"/>
        <v>0</v>
      </c>
      <c r="W377" s="49">
        <f t="shared" si="117"/>
        <v>0</v>
      </c>
      <c r="X377" s="44">
        <f t="shared" si="118"/>
        <v>0</v>
      </c>
      <c r="Y377" s="44">
        <f t="shared" si="119"/>
        <v>0</v>
      </c>
      <c r="Z377" s="44">
        <f t="shared" si="120"/>
        <v>0</v>
      </c>
      <c r="AA377" s="50">
        <f t="shared" si="121"/>
        <v>0</v>
      </c>
      <c r="AB377" s="51">
        <f t="shared" si="122"/>
        <v>0</v>
      </c>
      <c r="AC377" s="44">
        <f t="shared" si="123"/>
        <v>0</v>
      </c>
      <c r="AD377" s="44">
        <f t="shared" si="124"/>
        <v>0</v>
      </c>
      <c r="AE377" s="44">
        <f t="shared" si="125"/>
        <v>0</v>
      </c>
      <c r="AF377" s="52" t="e">
        <f>HLOOKUP(I377,ElecAvoidedCostsWOCC!$A$5:$Q$50,G377+1,FALSE)</f>
        <v>#N/A</v>
      </c>
      <c r="AG377" s="44" t="e">
        <f t="shared" si="126"/>
        <v>#N/A</v>
      </c>
      <c r="AH377" s="52" t="e">
        <f>HLOOKUP(I377,ElecAvoidedCostsWOCC!$A$5:$Q$50,T377+1,FALSE)</f>
        <v>#N/A</v>
      </c>
      <c r="AI377" s="44" t="e">
        <f t="shared" si="127"/>
        <v>#N/A</v>
      </c>
      <c r="AJ377" s="44" t="e">
        <f t="shared" si="128"/>
        <v>#N/A</v>
      </c>
      <c r="AK377" s="44" t="e">
        <f>HLOOKUP(I377,ElecAvoidedCostsWOCC!$A$5:$Q$50,G377+1,FALSE)*J377*L377</f>
        <v>#N/A</v>
      </c>
      <c r="AL377" s="44" t="e">
        <f t="shared" si="129"/>
        <v>#N/A</v>
      </c>
      <c r="AM377" s="48">
        <f>IF(O377=0,0,IF(H377=0, HLOOKUP(I377,ElecAvoidedCostsWOCC!$A$5:$Q$50,T377+1,FALSE)*K377*J377,HLOOKUP(I377,ElecAvoidedCostsWOCC!$A$5:$Q$50,T377+1,FALSE)*L377*J377+HLOOKUP(I377,ElecAvoidedCostsWOCC!$A$5:$Q$50,G377+1,FALSE)*K377*J377-HLOOKUP(I377,ElecAvoidedCostsWOCC!$A$5:$Q$50,G377+1,FALSE)*L377*J377))</f>
        <v>0</v>
      </c>
      <c r="AN377" s="48">
        <f t="shared" si="130"/>
        <v>0</v>
      </c>
      <c r="AO377" s="47">
        <f t="shared" si="131"/>
        <v>0</v>
      </c>
      <c r="AP377" s="47" t="e">
        <f t="shared" si="132"/>
        <v>#DIV/0!</v>
      </c>
    </row>
    <row r="378" spans="2:42">
      <c r="B378" s="37"/>
      <c r="C378" s="61"/>
      <c r="D378" s="61"/>
      <c r="E378" s="38"/>
      <c r="F378" s="39"/>
      <c r="G378" s="39"/>
      <c r="H378" s="39"/>
      <c r="I378" s="40"/>
      <c r="J378" s="41"/>
      <c r="K378" s="41"/>
      <c r="L378" s="41"/>
      <c r="M378" s="42"/>
      <c r="N378" s="42"/>
      <c r="O378" s="43"/>
      <c r="P378" s="44"/>
      <c r="Q378" s="44"/>
      <c r="R378" s="45"/>
      <c r="S378" s="46"/>
      <c r="T378" s="39">
        <f t="shared" si="114"/>
        <v>0</v>
      </c>
      <c r="U378" s="47">
        <f t="shared" si="115"/>
        <v>0</v>
      </c>
      <c r="V378" s="48">
        <f t="shared" si="116"/>
        <v>0</v>
      </c>
      <c r="W378" s="49">
        <f t="shared" si="117"/>
        <v>0</v>
      </c>
      <c r="X378" s="44">
        <f t="shared" si="118"/>
        <v>0</v>
      </c>
      <c r="Y378" s="44">
        <f t="shared" si="119"/>
        <v>0</v>
      </c>
      <c r="Z378" s="44">
        <f t="shared" si="120"/>
        <v>0</v>
      </c>
      <c r="AA378" s="50">
        <f t="shared" si="121"/>
        <v>0</v>
      </c>
      <c r="AB378" s="51">
        <f t="shared" si="122"/>
        <v>0</v>
      </c>
      <c r="AC378" s="44">
        <f t="shared" si="123"/>
        <v>0</v>
      </c>
      <c r="AD378" s="44">
        <f t="shared" si="124"/>
        <v>0</v>
      </c>
      <c r="AE378" s="44">
        <f t="shared" si="125"/>
        <v>0</v>
      </c>
      <c r="AF378" s="52" t="e">
        <f>HLOOKUP(I378,ElecAvoidedCostsWOCC!$A$5:$Q$50,G378+1,FALSE)</f>
        <v>#N/A</v>
      </c>
      <c r="AG378" s="44" t="e">
        <f t="shared" si="126"/>
        <v>#N/A</v>
      </c>
      <c r="AH378" s="52" t="e">
        <f>HLOOKUP(I378,ElecAvoidedCostsWOCC!$A$5:$Q$50,T378+1,FALSE)</f>
        <v>#N/A</v>
      </c>
      <c r="AI378" s="44" t="e">
        <f t="shared" si="127"/>
        <v>#N/A</v>
      </c>
      <c r="AJ378" s="44" t="e">
        <f t="shared" si="128"/>
        <v>#N/A</v>
      </c>
      <c r="AK378" s="44" t="e">
        <f>HLOOKUP(I378,ElecAvoidedCostsWOCC!$A$5:$Q$50,G378+1,FALSE)*J378*L378</f>
        <v>#N/A</v>
      </c>
      <c r="AL378" s="44" t="e">
        <f t="shared" si="129"/>
        <v>#N/A</v>
      </c>
      <c r="AM378" s="48">
        <f>IF(O378=0,0,IF(H378=0, HLOOKUP(I378,ElecAvoidedCostsWOCC!$A$5:$Q$50,T378+1,FALSE)*K378*J378,HLOOKUP(I378,ElecAvoidedCostsWOCC!$A$5:$Q$50,T378+1,FALSE)*L378*J378+HLOOKUP(I378,ElecAvoidedCostsWOCC!$A$5:$Q$50,G378+1,FALSE)*K378*J378-HLOOKUP(I378,ElecAvoidedCostsWOCC!$A$5:$Q$50,G378+1,FALSE)*L378*J378))</f>
        <v>0</v>
      </c>
      <c r="AN378" s="48">
        <f t="shared" si="130"/>
        <v>0</v>
      </c>
      <c r="AO378" s="47">
        <f t="shared" si="131"/>
        <v>0</v>
      </c>
      <c r="AP378" s="47" t="e">
        <f t="shared" si="132"/>
        <v>#DIV/0!</v>
      </c>
    </row>
    <row r="379" spans="2:42">
      <c r="B379" s="37"/>
      <c r="C379" s="61"/>
      <c r="D379" s="61"/>
      <c r="E379" s="38"/>
      <c r="F379" s="39"/>
      <c r="G379" s="39"/>
      <c r="H379" s="39"/>
      <c r="I379" s="40"/>
      <c r="J379" s="41"/>
      <c r="K379" s="41"/>
      <c r="L379" s="41"/>
      <c r="M379" s="42"/>
      <c r="N379" s="42"/>
      <c r="O379" s="43"/>
      <c r="P379" s="44"/>
      <c r="Q379" s="44"/>
      <c r="R379" s="45"/>
      <c r="S379" s="46"/>
      <c r="T379" s="39">
        <f t="shared" si="114"/>
        <v>0</v>
      </c>
      <c r="U379" s="47">
        <f t="shared" si="115"/>
        <v>0</v>
      </c>
      <c r="V379" s="48">
        <f t="shared" si="116"/>
        <v>0</v>
      </c>
      <c r="W379" s="49">
        <f t="shared" si="117"/>
        <v>0</v>
      </c>
      <c r="X379" s="44">
        <f t="shared" si="118"/>
        <v>0</v>
      </c>
      <c r="Y379" s="44">
        <f t="shared" si="119"/>
        <v>0</v>
      </c>
      <c r="Z379" s="44">
        <f t="shared" si="120"/>
        <v>0</v>
      </c>
      <c r="AA379" s="50">
        <f t="shared" si="121"/>
        <v>0</v>
      </c>
      <c r="AB379" s="51">
        <f t="shared" si="122"/>
        <v>0</v>
      </c>
      <c r="AC379" s="44">
        <f t="shared" si="123"/>
        <v>0</v>
      </c>
      <c r="AD379" s="44">
        <f t="shared" si="124"/>
        <v>0</v>
      </c>
      <c r="AE379" s="44">
        <f t="shared" si="125"/>
        <v>0</v>
      </c>
      <c r="AF379" s="52" t="e">
        <f>HLOOKUP(I379,ElecAvoidedCostsWOCC!$A$5:$Q$50,G379+1,FALSE)</f>
        <v>#N/A</v>
      </c>
      <c r="AG379" s="44" t="e">
        <f t="shared" si="126"/>
        <v>#N/A</v>
      </c>
      <c r="AH379" s="52" t="e">
        <f>HLOOKUP(I379,ElecAvoidedCostsWOCC!$A$5:$Q$50,T379+1,FALSE)</f>
        <v>#N/A</v>
      </c>
      <c r="AI379" s="44" t="e">
        <f t="shared" si="127"/>
        <v>#N/A</v>
      </c>
      <c r="AJ379" s="44" t="e">
        <f t="shared" si="128"/>
        <v>#N/A</v>
      </c>
      <c r="AK379" s="44" t="e">
        <f>HLOOKUP(I379,ElecAvoidedCostsWOCC!$A$5:$Q$50,G379+1,FALSE)*J379*L379</f>
        <v>#N/A</v>
      </c>
      <c r="AL379" s="44" t="e">
        <f t="shared" si="129"/>
        <v>#N/A</v>
      </c>
      <c r="AM379" s="48">
        <f>IF(O379=0,0,IF(H379=0, HLOOKUP(I379,ElecAvoidedCostsWOCC!$A$5:$Q$50,T379+1,FALSE)*K379*J379,HLOOKUP(I379,ElecAvoidedCostsWOCC!$A$5:$Q$50,T379+1,FALSE)*L379*J379+HLOOKUP(I379,ElecAvoidedCostsWOCC!$A$5:$Q$50,G379+1,FALSE)*K379*J379-HLOOKUP(I379,ElecAvoidedCostsWOCC!$A$5:$Q$50,G379+1,FALSE)*L379*J379))</f>
        <v>0</v>
      </c>
      <c r="AN379" s="48">
        <f t="shared" si="130"/>
        <v>0</v>
      </c>
      <c r="AO379" s="47">
        <f t="shared" si="131"/>
        <v>0</v>
      </c>
      <c r="AP379" s="47" t="e">
        <f t="shared" si="132"/>
        <v>#DIV/0!</v>
      </c>
    </row>
    <row r="380" spans="2:42">
      <c r="B380" s="37"/>
      <c r="C380" s="61"/>
      <c r="D380" s="61"/>
      <c r="E380" s="38"/>
      <c r="F380" s="39"/>
      <c r="G380" s="39"/>
      <c r="H380" s="39"/>
      <c r="I380" s="40"/>
      <c r="J380" s="41"/>
      <c r="K380" s="41"/>
      <c r="L380" s="41"/>
      <c r="M380" s="42"/>
      <c r="N380" s="42"/>
      <c r="O380" s="43"/>
      <c r="P380" s="44"/>
      <c r="Q380" s="44"/>
      <c r="R380" s="45"/>
      <c r="S380" s="46"/>
      <c r="T380" s="39">
        <f t="shared" si="114"/>
        <v>0</v>
      </c>
      <c r="U380" s="47">
        <f t="shared" si="115"/>
        <v>0</v>
      </c>
      <c r="V380" s="48">
        <f t="shared" si="116"/>
        <v>0</v>
      </c>
      <c r="W380" s="49">
        <f t="shared" si="117"/>
        <v>0</v>
      </c>
      <c r="X380" s="44">
        <f t="shared" si="118"/>
        <v>0</v>
      </c>
      <c r="Y380" s="44">
        <f t="shared" si="119"/>
        <v>0</v>
      </c>
      <c r="Z380" s="44">
        <f t="shared" si="120"/>
        <v>0</v>
      </c>
      <c r="AA380" s="50">
        <f t="shared" si="121"/>
        <v>0</v>
      </c>
      <c r="AB380" s="51">
        <f t="shared" si="122"/>
        <v>0</v>
      </c>
      <c r="AC380" s="44">
        <f t="shared" si="123"/>
        <v>0</v>
      </c>
      <c r="AD380" s="44">
        <f t="shared" si="124"/>
        <v>0</v>
      </c>
      <c r="AE380" s="44">
        <f t="shared" si="125"/>
        <v>0</v>
      </c>
      <c r="AF380" s="52" t="e">
        <f>HLOOKUP(I380,ElecAvoidedCostsWOCC!$A$5:$Q$50,G380+1,FALSE)</f>
        <v>#N/A</v>
      </c>
      <c r="AG380" s="44" t="e">
        <f t="shared" si="126"/>
        <v>#N/A</v>
      </c>
      <c r="AH380" s="52" t="e">
        <f>HLOOKUP(I380,ElecAvoidedCostsWOCC!$A$5:$Q$50,T380+1,FALSE)</f>
        <v>#N/A</v>
      </c>
      <c r="AI380" s="44" t="e">
        <f t="shared" si="127"/>
        <v>#N/A</v>
      </c>
      <c r="AJ380" s="44" t="e">
        <f t="shared" si="128"/>
        <v>#N/A</v>
      </c>
      <c r="AK380" s="44" t="e">
        <f>HLOOKUP(I380,ElecAvoidedCostsWOCC!$A$5:$Q$50,G380+1,FALSE)*J380*L380</f>
        <v>#N/A</v>
      </c>
      <c r="AL380" s="44" t="e">
        <f t="shared" si="129"/>
        <v>#N/A</v>
      </c>
      <c r="AM380" s="48">
        <f>IF(O380=0,0,IF(H380=0, HLOOKUP(I380,ElecAvoidedCostsWOCC!$A$5:$Q$50,T380+1,FALSE)*K380*J380,HLOOKUP(I380,ElecAvoidedCostsWOCC!$A$5:$Q$50,T380+1,FALSE)*L380*J380+HLOOKUP(I380,ElecAvoidedCostsWOCC!$A$5:$Q$50,G380+1,FALSE)*K380*J380-HLOOKUP(I380,ElecAvoidedCostsWOCC!$A$5:$Q$50,G380+1,FALSE)*L380*J380))</f>
        <v>0</v>
      </c>
      <c r="AN380" s="48">
        <f t="shared" si="130"/>
        <v>0</v>
      </c>
      <c r="AO380" s="47">
        <f t="shared" si="131"/>
        <v>0</v>
      </c>
      <c r="AP380" s="47" t="e">
        <f t="shared" si="132"/>
        <v>#DIV/0!</v>
      </c>
    </row>
    <row r="381" spans="2:42">
      <c r="B381" s="37"/>
      <c r="C381" s="61"/>
      <c r="D381" s="61"/>
      <c r="E381" s="38"/>
      <c r="F381" s="39"/>
      <c r="G381" s="39"/>
      <c r="H381" s="39"/>
      <c r="I381" s="40"/>
      <c r="J381" s="41"/>
      <c r="K381" s="41"/>
      <c r="L381" s="41"/>
      <c r="M381" s="42"/>
      <c r="N381" s="42"/>
      <c r="O381" s="43"/>
      <c r="P381" s="44"/>
      <c r="Q381" s="44"/>
      <c r="R381" s="45"/>
      <c r="S381" s="46"/>
      <c r="T381" s="39">
        <f t="shared" si="114"/>
        <v>0</v>
      </c>
      <c r="U381" s="47">
        <f t="shared" si="115"/>
        <v>0</v>
      </c>
      <c r="V381" s="48">
        <f t="shared" si="116"/>
        <v>0</v>
      </c>
      <c r="W381" s="49">
        <f t="shared" si="117"/>
        <v>0</v>
      </c>
      <c r="X381" s="44">
        <f t="shared" si="118"/>
        <v>0</v>
      </c>
      <c r="Y381" s="44">
        <f t="shared" si="119"/>
        <v>0</v>
      </c>
      <c r="Z381" s="44">
        <f t="shared" si="120"/>
        <v>0</v>
      </c>
      <c r="AA381" s="50">
        <f t="shared" si="121"/>
        <v>0</v>
      </c>
      <c r="AB381" s="51">
        <f t="shared" si="122"/>
        <v>0</v>
      </c>
      <c r="AC381" s="44">
        <f t="shared" si="123"/>
        <v>0</v>
      </c>
      <c r="AD381" s="44">
        <f t="shared" si="124"/>
        <v>0</v>
      </c>
      <c r="AE381" s="44">
        <f t="shared" si="125"/>
        <v>0</v>
      </c>
      <c r="AF381" s="52" t="e">
        <f>HLOOKUP(I381,ElecAvoidedCostsWOCC!$A$5:$Q$50,G381+1,FALSE)</f>
        <v>#N/A</v>
      </c>
      <c r="AG381" s="44" t="e">
        <f t="shared" si="126"/>
        <v>#N/A</v>
      </c>
      <c r="AH381" s="52" t="e">
        <f>HLOOKUP(I381,ElecAvoidedCostsWOCC!$A$5:$Q$50,T381+1,FALSE)</f>
        <v>#N/A</v>
      </c>
      <c r="AI381" s="44" t="e">
        <f t="shared" si="127"/>
        <v>#N/A</v>
      </c>
      <c r="AJ381" s="44" t="e">
        <f t="shared" si="128"/>
        <v>#N/A</v>
      </c>
      <c r="AK381" s="44" t="e">
        <f>HLOOKUP(I381,ElecAvoidedCostsWOCC!$A$5:$Q$50,G381+1,FALSE)*J381*L381</f>
        <v>#N/A</v>
      </c>
      <c r="AL381" s="44" t="e">
        <f t="shared" si="129"/>
        <v>#N/A</v>
      </c>
      <c r="AM381" s="48">
        <f>IF(O381=0,0,IF(H381=0, HLOOKUP(I381,ElecAvoidedCostsWOCC!$A$5:$Q$50,T381+1,FALSE)*K381*J381,HLOOKUP(I381,ElecAvoidedCostsWOCC!$A$5:$Q$50,T381+1,FALSE)*L381*J381+HLOOKUP(I381,ElecAvoidedCostsWOCC!$A$5:$Q$50,G381+1,FALSE)*K381*J381-HLOOKUP(I381,ElecAvoidedCostsWOCC!$A$5:$Q$50,G381+1,FALSE)*L381*J381))</f>
        <v>0</v>
      </c>
      <c r="AN381" s="48">
        <f t="shared" si="130"/>
        <v>0</v>
      </c>
      <c r="AO381" s="47">
        <f t="shared" si="131"/>
        <v>0</v>
      </c>
      <c r="AP381" s="47" t="e">
        <f t="shared" si="132"/>
        <v>#DIV/0!</v>
      </c>
    </row>
    <row r="382" spans="2:42">
      <c r="B382" s="37"/>
      <c r="C382" s="61"/>
      <c r="D382" s="61"/>
      <c r="E382" s="38"/>
      <c r="F382" s="39"/>
      <c r="G382" s="39"/>
      <c r="H382" s="39"/>
      <c r="I382" s="40"/>
      <c r="J382" s="41"/>
      <c r="K382" s="41"/>
      <c r="L382" s="41"/>
      <c r="M382" s="42"/>
      <c r="N382" s="42"/>
      <c r="O382" s="43"/>
      <c r="P382" s="44"/>
      <c r="Q382" s="44"/>
      <c r="R382" s="45"/>
      <c r="S382" s="46"/>
      <c r="T382" s="39">
        <f t="shared" si="114"/>
        <v>0</v>
      </c>
      <c r="U382" s="47">
        <f t="shared" si="115"/>
        <v>0</v>
      </c>
      <c r="V382" s="48">
        <f t="shared" si="116"/>
        <v>0</v>
      </c>
      <c r="W382" s="49">
        <f t="shared" si="117"/>
        <v>0</v>
      </c>
      <c r="X382" s="44">
        <f t="shared" si="118"/>
        <v>0</v>
      </c>
      <c r="Y382" s="44">
        <f t="shared" si="119"/>
        <v>0</v>
      </c>
      <c r="Z382" s="44">
        <f t="shared" si="120"/>
        <v>0</v>
      </c>
      <c r="AA382" s="50">
        <f t="shared" si="121"/>
        <v>0</v>
      </c>
      <c r="AB382" s="51">
        <f t="shared" si="122"/>
        <v>0</v>
      </c>
      <c r="AC382" s="44">
        <f t="shared" si="123"/>
        <v>0</v>
      </c>
      <c r="AD382" s="44">
        <f t="shared" si="124"/>
        <v>0</v>
      </c>
      <c r="AE382" s="44">
        <f t="shared" si="125"/>
        <v>0</v>
      </c>
      <c r="AF382" s="52" t="e">
        <f>HLOOKUP(I382,ElecAvoidedCostsWOCC!$A$5:$Q$50,G382+1,FALSE)</f>
        <v>#N/A</v>
      </c>
      <c r="AG382" s="44" t="e">
        <f t="shared" si="126"/>
        <v>#N/A</v>
      </c>
      <c r="AH382" s="52" t="e">
        <f>HLOOKUP(I382,ElecAvoidedCostsWOCC!$A$5:$Q$50,T382+1,FALSE)</f>
        <v>#N/A</v>
      </c>
      <c r="AI382" s="44" t="e">
        <f t="shared" si="127"/>
        <v>#N/A</v>
      </c>
      <c r="AJ382" s="44" t="e">
        <f t="shared" si="128"/>
        <v>#N/A</v>
      </c>
      <c r="AK382" s="44" t="e">
        <f>HLOOKUP(I382,ElecAvoidedCostsWOCC!$A$5:$Q$50,G382+1,FALSE)*J382*L382</f>
        <v>#N/A</v>
      </c>
      <c r="AL382" s="44" t="e">
        <f t="shared" si="129"/>
        <v>#N/A</v>
      </c>
      <c r="AM382" s="48">
        <f>IF(O382=0,0,IF(H382=0, HLOOKUP(I382,ElecAvoidedCostsWOCC!$A$5:$Q$50,T382+1,FALSE)*K382*J382,HLOOKUP(I382,ElecAvoidedCostsWOCC!$A$5:$Q$50,T382+1,FALSE)*L382*J382+HLOOKUP(I382,ElecAvoidedCostsWOCC!$A$5:$Q$50,G382+1,FALSE)*K382*J382-HLOOKUP(I382,ElecAvoidedCostsWOCC!$A$5:$Q$50,G382+1,FALSE)*L382*J382))</f>
        <v>0</v>
      </c>
      <c r="AN382" s="48">
        <f t="shared" si="130"/>
        <v>0</v>
      </c>
      <c r="AO382" s="47">
        <f t="shared" si="131"/>
        <v>0</v>
      </c>
      <c r="AP382" s="47" t="e">
        <f t="shared" si="132"/>
        <v>#DIV/0!</v>
      </c>
    </row>
    <row r="383" spans="2:42">
      <c r="B383" s="37"/>
      <c r="C383" s="61"/>
      <c r="D383" s="61"/>
      <c r="E383" s="38"/>
      <c r="F383" s="39"/>
      <c r="G383" s="39"/>
      <c r="H383" s="39"/>
      <c r="I383" s="40"/>
      <c r="J383" s="41"/>
      <c r="K383" s="41"/>
      <c r="L383" s="41"/>
      <c r="M383" s="42"/>
      <c r="N383" s="42"/>
      <c r="O383" s="43"/>
      <c r="P383" s="44"/>
      <c r="Q383" s="44"/>
      <c r="R383" s="45"/>
      <c r="S383" s="46"/>
      <c r="T383" s="39">
        <f t="shared" si="114"/>
        <v>0</v>
      </c>
      <c r="U383" s="47">
        <f t="shared" si="115"/>
        <v>0</v>
      </c>
      <c r="V383" s="48">
        <f t="shared" si="116"/>
        <v>0</v>
      </c>
      <c r="W383" s="49">
        <f t="shared" si="117"/>
        <v>0</v>
      </c>
      <c r="X383" s="44">
        <f t="shared" si="118"/>
        <v>0</v>
      </c>
      <c r="Y383" s="44">
        <f t="shared" si="119"/>
        <v>0</v>
      </c>
      <c r="Z383" s="44">
        <f t="shared" si="120"/>
        <v>0</v>
      </c>
      <c r="AA383" s="50">
        <f t="shared" si="121"/>
        <v>0</v>
      </c>
      <c r="AB383" s="51">
        <f t="shared" si="122"/>
        <v>0</v>
      </c>
      <c r="AC383" s="44">
        <f t="shared" si="123"/>
        <v>0</v>
      </c>
      <c r="AD383" s="44">
        <f t="shared" si="124"/>
        <v>0</v>
      </c>
      <c r="AE383" s="44">
        <f t="shared" si="125"/>
        <v>0</v>
      </c>
      <c r="AF383" s="52" t="e">
        <f>HLOOKUP(I383,ElecAvoidedCostsWOCC!$A$5:$Q$50,G383+1,FALSE)</f>
        <v>#N/A</v>
      </c>
      <c r="AG383" s="44" t="e">
        <f t="shared" si="126"/>
        <v>#N/A</v>
      </c>
      <c r="AH383" s="52" t="e">
        <f>HLOOKUP(I383,ElecAvoidedCostsWOCC!$A$5:$Q$50,T383+1,FALSE)</f>
        <v>#N/A</v>
      </c>
      <c r="AI383" s="44" t="e">
        <f t="shared" si="127"/>
        <v>#N/A</v>
      </c>
      <c r="AJ383" s="44" t="e">
        <f t="shared" si="128"/>
        <v>#N/A</v>
      </c>
      <c r="AK383" s="44" t="e">
        <f>HLOOKUP(I383,ElecAvoidedCostsWOCC!$A$5:$Q$50,G383+1,FALSE)*J383*L383</f>
        <v>#N/A</v>
      </c>
      <c r="AL383" s="44" t="e">
        <f t="shared" si="129"/>
        <v>#N/A</v>
      </c>
      <c r="AM383" s="48">
        <f>IF(O383=0,0,IF(H383=0, HLOOKUP(I383,ElecAvoidedCostsWOCC!$A$5:$Q$50,T383+1,FALSE)*K383*J383,HLOOKUP(I383,ElecAvoidedCostsWOCC!$A$5:$Q$50,T383+1,FALSE)*L383*J383+HLOOKUP(I383,ElecAvoidedCostsWOCC!$A$5:$Q$50,G383+1,FALSE)*K383*J383-HLOOKUP(I383,ElecAvoidedCostsWOCC!$A$5:$Q$50,G383+1,FALSE)*L383*J383))</f>
        <v>0</v>
      </c>
      <c r="AN383" s="48">
        <f t="shared" si="130"/>
        <v>0</v>
      </c>
      <c r="AO383" s="47">
        <f t="shared" si="131"/>
        <v>0</v>
      </c>
      <c r="AP383" s="47" t="e">
        <f t="shared" si="132"/>
        <v>#DIV/0!</v>
      </c>
    </row>
    <row r="384" spans="2:42">
      <c r="B384" s="37"/>
      <c r="C384" s="61"/>
      <c r="D384" s="61"/>
      <c r="E384" s="38"/>
      <c r="F384" s="39"/>
      <c r="G384" s="39"/>
      <c r="H384" s="39"/>
      <c r="I384" s="40"/>
      <c r="J384" s="41"/>
      <c r="K384" s="41"/>
      <c r="L384" s="41"/>
      <c r="M384" s="42"/>
      <c r="N384" s="42"/>
      <c r="O384" s="43"/>
      <c r="P384" s="44"/>
      <c r="Q384" s="44"/>
      <c r="R384" s="45"/>
      <c r="S384" s="46"/>
      <c r="T384" s="39">
        <f t="shared" si="114"/>
        <v>0</v>
      </c>
      <c r="U384" s="47">
        <f t="shared" si="115"/>
        <v>0</v>
      </c>
      <c r="V384" s="48">
        <f t="shared" si="116"/>
        <v>0</v>
      </c>
      <c r="W384" s="49">
        <f t="shared" si="117"/>
        <v>0</v>
      </c>
      <c r="X384" s="44">
        <f t="shared" si="118"/>
        <v>0</v>
      </c>
      <c r="Y384" s="44">
        <f t="shared" si="119"/>
        <v>0</v>
      </c>
      <c r="Z384" s="44">
        <f t="shared" si="120"/>
        <v>0</v>
      </c>
      <c r="AA384" s="50">
        <f t="shared" si="121"/>
        <v>0</v>
      </c>
      <c r="AB384" s="51">
        <f t="shared" si="122"/>
        <v>0</v>
      </c>
      <c r="AC384" s="44">
        <f t="shared" si="123"/>
        <v>0</v>
      </c>
      <c r="AD384" s="44">
        <f t="shared" si="124"/>
        <v>0</v>
      </c>
      <c r="AE384" s="44">
        <f t="shared" si="125"/>
        <v>0</v>
      </c>
      <c r="AF384" s="52" t="e">
        <f>HLOOKUP(I384,ElecAvoidedCostsWOCC!$A$5:$Q$50,G384+1,FALSE)</f>
        <v>#N/A</v>
      </c>
      <c r="AG384" s="44" t="e">
        <f t="shared" si="126"/>
        <v>#N/A</v>
      </c>
      <c r="AH384" s="52" t="e">
        <f>HLOOKUP(I384,ElecAvoidedCostsWOCC!$A$5:$Q$50,T384+1,FALSE)</f>
        <v>#N/A</v>
      </c>
      <c r="AI384" s="44" t="e">
        <f t="shared" si="127"/>
        <v>#N/A</v>
      </c>
      <c r="AJ384" s="44" t="e">
        <f t="shared" si="128"/>
        <v>#N/A</v>
      </c>
      <c r="AK384" s="44" t="e">
        <f>HLOOKUP(I384,ElecAvoidedCostsWOCC!$A$5:$Q$50,G384+1,FALSE)*J384*L384</f>
        <v>#N/A</v>
      </c>
      <c r="AL384" s="44" t="e">
        <f t="shared" si="129"/>
        <v>#N/A</v>
      </c>
      <c r="AM384" s="48">
        <f>IF(O384=0,0,IF(H384=0, HLOOKUP(I384,ElecAvoidedCostsWOCC!$A$5:$Q$50,T384+1,FALSE)*K384*J384,HLOOKUP(I384,ElecAvoidedCostsWOCC!$A$5:$Q$50,T384+1,FALSE)*L384*J384+HLOOKUP(I384,ElecAvoidedCostsWOCC!$A$5:$Q$50,G384+1,FALSE)*K384*J384-HLOOKUP(I384,ElecAvoidedCostsWOCC!$A$5:$Q$50,G384+1,FALSE)*L384*J384))</f>
        <v>0</v>
      </c>
      <c r="AN384" s="48">
        <f t="shared" si="130"/>
        <v>0</v>
      </c>
      <c r="AO384" s="47">
        <f t="shared" si="131"/>
        <v>0</v>
      </c>
      <c r="AP384" s="47" t="e">
        <f t="shared" si="132"/>
        <v>#DIV/0!</v>
      </c>
    </row>
    <row r="385" spans="2:42">
      <c r="B385" s="37"/>
      <c r="C385" s="61"/>
      <c r="D385" s="61"/>
      <c r="E385" s="38"/>
      <c r="F385" s="39"/>
      <c r="G385" s="39"/>
      <c r="H385" s="39"/>
      <c r="I385" s="40"/>
      <c r="J385" s="41"/>
      <c r="K385" s="41"/>
      <c r="L385" s="41"/>
      <c r="M385" s="42"/>
      <c r="N385" s="42"/>
      <c r="O385" s="43"/>
      <c r="P385" s="44"/>
      <c r="Q385" s="44"/>
      <c r="R385" s="45"/>
      <c r="S385" s="46"/>
      <c r="T385" s="39">
        <f t="shared" si="114"/>
        <v>0</v>
      </c>
      <c r="U385" s="47">
        <f t="shared" si="115"/>
        <v>0</v>
      </c>
      <c r="V385" s="48">
        <f t="shared" si="116"/>
        <v>0</v>
      </c>
      <c r="W385" s="49">
        <f t="shared" si="117"/>
        <v>0</v>
      </c>
      <c r="X385" s="44">
        <f t="shared" si="118"/>
        <v>0</v>
      </c>
      <c r="Y385" s="44">
        <f t="shared" si="119"/>
        <v>0</v>
      </c>
      <c r="Z385" s="44">
        <f t="shared" si="120"/>
        <v>0</v>
      </c>
      <c r="AA385" s="50">
        <f t="shared" si="121"/>
        <v>0</v>
      </c>
      <c r="AB385" s="51">
        <f t="shared" si="122"/>
        <v>0</v>
      </c>
      <c r="AC385" s="44">
        <f t="shared" si="123"/>
        <v>0</v>
      </c>
      <c r="AD385" s="44">
        <f t="shared" si="124"/>
        <v>0</v>
      </c>
      <c r="AE385" s="44">
        <f t="shared" si="125"/>
        <v>0</v>
      </c>
      <c r="AF385" s="52" t="e">
        <f>HLOOKUP(I385,ElecAvoidedCostsWOCC!$A$5:$Q$50,G385+1,FALSE)</f>
        <v>#N/A</v>
      </c>
      <c r="AG385" s="44" t="e">
        <f t="shared" si="126"/>
        <v>#N/A</v>
      </c>
      <c r="AH385" s="52" t="e">
        <f>HLOOKUP(I385,ElecAvoidedCostsWOCC!$A$5:$Q$50,T385+1,FALSE)</f>
        <v>#N/A</v>
      </c>
      <c r="AI385" s="44" t="e">
        <f t="shared" si="127"/>
        <v>#N/A</v>
      </c>
      <c r="AJ385" s="44" t="e">
        <f t="shared" si="128"/>
        <v>#N/A</v>
      </c>
      <c r="AK385" s="44" t="e">
        <f>HLOOKUP(I385,ElecAvoidedCostsWOCC!$A$5:$Q$50,G385+1,FALSE)*J385*L385</f>
        <v>#N/A</v>
      </c>
      <c r="AL385" s="44" t="e">
        <f t="shared" si="129"/>
        <v>#N/A</v>
      </c>
      <c r="AM385" s="48">
        <f>IF(O385=0,0,IF(H385=0, HLOOKUP(I385,ElecAvoidedCostsWOCC!$A$5:$Q$50,T385+1,FALSE)*K385*J385,HLOOKUP(I385,ElecAvoidedCostsWOCC!$A$5:$Q$50,T385+1,FALSE)*L385*J385+HLOOKUP(I385,ElecAvoidedCostsWOCC!$A$5:$Q$50,G385+1,FALSE)*K385*J385-HLOOKUP(I385,ElecAvoidedCostsWOCC!$A$5:$Q$50,G385+1,FALSE)*L385*J385))</f>
        <v>0</v>
      </c>
      <c r="AN385" s="48">
        <f t="shared" si="130"/>
        <v>0</v>
      </c>
      <c r="AO385" s="47">
        <f t="shared" si="131"/>
        <v>0</v>
      </c>
      <c r="AP385" s="47" t="e">
        <f t="shared" si="132"/>
        <v>#DIV/0!</v>
      </c>
    </row>
    <row r="386" spans="2:42">
      <c r="B386" s="37"/>
      <c r="C386" s="61"/>
      <c r="D386" s="61"/>
      <c r="E386" s="38"/>
      <c r="F386" s="39"/>
      <c r="G386" s="39"/>
      <c r="H386" s="39"/>
      <c r="I386" s="40"/>
      <c r="J386" s="41"/>
      <c r="K386" s="41"/>
      <c r="L386" s="41"/>
      <c r="M386" s="42"/>
      <c r="N386" s="42"/>
      <c r="O386" s="43"/>
      <c r="P386" s="44"/>
      <c r="Q386" s="44"/>
      <c r="R386" s="45"/>
      <c r="S386" s="46"/>
      <c r="T386" s="39">
        <f t="shared" si="114"/>
        <v>0</v>
      </c>
      <c r="U386" s="47">
        <f t="shared" si="115"/>
        <v>0</v>
      </c>
      <c r="V386" s="48">
        <f t="shared" si="116"/>
        <v>0</v>
      </c>
      <c r="W386" s="49">
        <f t="shared" si="117"/>
        <v>0</v>
      </c>
      <c r="X386" s="44">
        <f t="shared" si="118"/>
        <v>0</v>
      </c>
      <c r="Y386" s="44">
        <f t="shared" si="119"/>
        <v>0</v>
      </c>
      <c r="Z386" s="44">
        <f t="shared" si="120"/>
        <v>0</v>
      </c>
      <c r="AA386" s="50">
        <f t="shared" si="121"/>
        <v>0</v>
      </c>
      <c r="AB386" s="51">
        <f t="shared" si="122"/>
        <v>0</v>
      </c>
      <c r="AC386" s="44">
        <f t="shared" si="123"/>
        <v>0</v>
      </c>
      <c r="AD386" s="44">
        <f t="shared" si="124"/>
        <v>0</v>
      </c>
      <c r="AE386" s="44">
        <f t="shared" si="125"/>
        <v>0</v>
      </c>
      <c r="AF386" s="52" t="e">
        <f>HLOOKUP(I386,ElecAvoidedCostsWOCC!$A$5:$Q$50,G386+1,FALSE)</f>
        <v>#N/A</v>
      </c>
      <c r="AG386" s="44" t="e">
        <f t="shared" si="126"/>
        <v>#N/A</v>
      </c>
      <c r="AH386" s="52" t="e">
        <f>HLOOKUP(I386,ElecAvoidedCostsWOCC!$A$5:$Q$50,T386+1,FALSE)</f>
        <v>#N/A</v>
      </c>
      <c r="AI386" s="44" t="e">
        <f t="shared" si="127"/>
        <v>#N/A</v>
      </c>
      <c r="AJ386" s="44" t="e">
        <f t="shared" si="128"/>
        <v>#N/A</v>
      </c>
      <c r="AK386" s="44" t="e">
        <f>HLOOKUP(I386,ElecAvoidedCostsWOCC!$A$5:$Q$50,G386+1,FALSE)*J386*L386</f>
        <v>#N/A</v>
      </c>
      <c r="AL386" s="44" t="e">
        <f t="shared" si="129"/>
        <v>#N/A</v>
      </c>
      <c r="AM386" s="48">
        <f>IF(O386=0,0,IF(H386=0, HLOOKUP(I386,ElecAvoidedCostsWOCC!$A$5:$Q$50,T386+1,FALSE)*K386*J386,HLOOKUP(I386,ElecAvoidedCostsWOCC!$A$5:$Q$50,T386+1,FALSE)*L386*J386+HLOOKUP(I386,ElecAvoidedCostsWOCC!$A$5:$Q$50,G386+1,FALSE)*K386*J386-HLOOKUP(I386,ElecAvoidedCostsWOCC!$A$5:$Q$50,G386+1,FALSE)*L386*J386))</f>
        <v>0</v>
      </c>
      <c r="AN386" s="48">
        <f t="shared" si="130"/>
        <v>0</v>
      </c>
      <c r="AO386" s="47">
        <f t="shared" si="131"/>
        <v>0</v>
      </c>
      <c r="AP386" s="47" t="e">
        <f t="shared" si="132"/>
        <v>#DIV/0!</v>
      </c>
    </row>
    <row r="387" spans="2:42">
      <c r="B387" s="37"/>
      <c r="C387" s="61"/>
      <c r="D387" s="61"/>
      <c r="E387" s="38"/>
      <c r="F387" s="39"/>
      <c r="G387" s="39"/>
      <c r="H387" s="39"/>
      <c r="I387" s="40"/>
      <c r="J387" s="41"/>
      <c r="K387" s="41"/>
      <c r="L387" s="41"/>
      <c r="M387" s="42"/>
      <c r="N387" s="42"/>
      <c r="O387" s="43"/>
      <c r="P387" s="44"/>
      <c r="Q387" s="44"/>
      <c r="R387" s="45"/>
      <c r="S387" s="46"/>
      <c r="T387" s="39">
        <f t="shared" si="114"/>
        <v>0</v>
      </c>
      <c r="U387" s="47">
        <f t="shared" si="115"/>
        <v>0</v>
      </c>
      <c r="V387" s="48">
        <f t="shared" si="116"/>
        <v>0</v>
      </c>
      <c r="W387" s="49">
        <f t="shared" si="117"/>
        <v>0</v>
      </c>
      <c r="X387" s="44">
        <f t="shared" si="118"/>
        <v>0</v>
      </c>
      <c r="Y387" s="44">
        <f t="shared" si="119"/>
        <v>0</v>
      </c>
      <c r="Z387" s="44">
        <f t="shared" si="120"/>
        <v>0</v>
      </c>
      <c r="AA387" s="50">
        <f t="shared" si="121"/>
        <v>0</v>
      </c>
      <c r="AB387" s="51">
        <f t="shared" si="122"/>
        <v>0</v>
      </c>
      <c r="AC387" s="44">
        <f t="shared" si="123"/>
        <v>0</v>
      </c>
      <c r="AD387" s="44">
        <f t="shared" si="124"/>
        <v>0</v>
      </c>
      <c r="AE387" s="44">
        <f t="shared" si="125"/>
        <v>0</v>
      </c>
      <c r="AF387" s="52" t="e">
        <f>HLOOKUP(I387,ElecAvoidedCostsWOCC!$A$5:$Q$50,G387+1,FALSE)</f>
        <v>#N/A</v>
      </c>
      <c r="AG387" s="44" t="e">
        <f t="shared" si="126"/>
        <v>#N/A</v>
      </c>
      <c r="AH387" s="52" t="e">
        <f>HLOOKUP(I387,ElecAvoidedCostsWOCC!$A$5:$Q$50,T387+1,FALSE)</f>
        <v>#N/A</v>
      </c>
      <c r="AI387" s="44" t="e">
        <f t="shared" si="127"/>
        <v>#N/A</v>
      </c>
      <c r="AJ387" s="44" t="e">
        <f t="shared" si="128"/>
        <v>#N/A</v>
      </c>
      <c r="AK387" s="44" t="e">
        <f>HLOOKUP(I387,ElecAvoidedCostsWOCC!$A$5:$Q$50,G387+1,FALSE)*J387*L387</f>
        <v>#N/A</v>
      </c>
      <c r="AL387" s="44" t="e">
        <f t="shared" si="129"/>
        <v>#N/A</v>
      </c>
      <c r="AM387" s="48">
        <f>IF(O387=0,0,IF(H387=0, HLOOKUP(I387,ElecAvoidedCostsWOCC!$A$5:$Q$50,T387+1,FALSE)*K387*J387,HLOOKUP(I387,ElecAvoidedCostsWOCC!$A$5:$Q$50,T387+1,FALSE)*L387*J387+HLOOKUP(I387,ElecAvoidedCostsWOCC!$A$5:$Q$50,G387+1,FALSE)*K387*J387-HLOOKUP(I387,ElecAvoidedCostsWOCC!$A$5:$Q$50,G387+1,FALSE)*L387*J387))</f>
        <v>0</v>
      </c>
      <c r="AN387" s="48">
        <f t="shared" si="130"/>
        <v>0</v>
      </c>
      <c r="AO387" s="47">
        <f t="shared" si="131"/>
        <v>0</v>
      </c>
      <c r="AP387" s="47" t="e">
        <f t="shared" si="132"/>
        <v>#DIV/0!</v>
      </c>
    </row>
    <row r="388" spans="2:42">
      <c r="B388" s="37"/>
      <c r="C388" s="61"/>
      <c r="D388" s="61"/>
      <c r="E388" s="38"/>
      <c r="F388" s="39"/>
      <c r="G388" s="39"/>
      <c r="H388" s="39"/>
      <c r="I388" s="40"/>
      <c r="J388" s="41"/>
      <c r="K388" s="41"/>
      <c r="L388" s="41"/>
      <c r="M388" s="42"/>
      <c r="N388" s="42"/>
      <c r="O388" s="43"/>
      <c r="P388" s="44"/>
      <c r="Q388" s="44"/>
      <c r="R388" s="45"/>
      <c r="S388" s="46"/>
      <c r="T388" s="39">
        <f t="shared" ref="T388:T451" si="133">G388+H388</f>
        <v>0</v>
      </c>
      <c r="U388" s="47">
        <f t="shared" ref="U388:U451" si="134">(O388/$A$10)*T388</f>
        <v>0</v>
      </c>
      <c r="V388" s="48">
        <f t="shared" ref="V388:V451" si="135">N388-M388</f>
        <v>0</v>
      </c>
      <c r="W388" s="49">
        <f t="shared" ref="W388:W451" si="136">(O388/A$10)</f>
        <v>0</v>
      </c>
      <c r="X388" s="44">
        <f t="shared" ref="X388:X451" si="137">W388*A$8</f>
        <v>0</v>
      </c>
      <c r="Y388" s="44">
        <f t="shared" ref="Y388:Y451" si="138">Q388-P388</f>
        <v>0</v>
      </c>
      <c r="Z388" s="44">
        <f t="shared" ref="Z388:Z451" si="139">X388+(A$6*W388)</f>
        <v>0</v>
      </c>
      <c r="AA388" s="50">
        <f t="shared" ref="AA388:AA451" si="140">Q388+X388</f>
        <v>0</v>
      </c>
      <c r="AB388" s="51">
        <f t="shared" ref="AB388:AB451" si="141">Z388/(1+ElecDiscountRate)^1</f>
        <v>0</v>
      </c>
      <c r="AC388" s="44">
        <f t="shared" ref="AC388:AC451" si="142">AA388/(1+ElecDiscountRate)^1</f>
        <v>0</v>
      </c>
      <c r="AD388" s="44">
        <f t="shared" ref="AD388:AD451" si="143">-PV(ElecDiscountRate,T388,R388)*J388</f>
        <v>0</v>
      </c>
      <c r="AE388" s="44">
        <f t="shared" ref="AE388:AE451" si="144">-PV(ElecDiscountRate,T388,S388)*J388</f>
        <v>0</v>
      </c>
      <c r="AF388" s="52" t="e">
        <f>HLOOKUP(I388,ElecAvoidedCostsWOCC!$A$5:$Q$50,G388+1,FALSE)</f>
        <v>#N/A</v>
      </c>
      <c r="AG388" s="44" t="e">
        <f t="shared" ref="AG388:AG451" si="145">AF388*J388*K388</f>
        <v>#N/A</v>
      </c>
      <c r="AH388" s="52" t="e">
        <f>HLOOKUP(I388,ElecAvoidedCostsWOCC!$A$5:$Q$50,T388+1,FALSE)</f>
        <v>#N/A</v>
      </c>
      <c r="AI388" s="44" t="e">
        <f t="shared" ref="AI388:AI451" si="146">AH388*J388*L388</f>
        <v>#N/A</v>
      </c>
      <c r="AJ388" s="44" t="e">
        <f t="shared" ref="AJ388:AJ451" si="147">AG388+AI388</f>
        <v>#N/A</v>
      </c>
      <c r="AK388" s="44" t="e">
        <f>HLOOKUP(I388,ElecAvoidedCostsWOCC!$A$5:$Q$50,G388+1,FALSE)*J388*L388</f>
        <v>#N/A</v>
      </c>
      <c r="AL388" s="44" t="e">
        <f t="shared" ref="AL388:AL451" si="148">AG388+AI388-AK388</f>
        <v>#N/A</v>
      </c>
      <c r="AM388" s="48">
        <f>IF(O388=0,0,IF(H388=0, HLOOKUP(I388,ElecAvoidedCostsWOCC!$A$5:$Q$50,T388+1,FALSE)*K388*J388,HLOOKUP(I388,ElecAvoidedCostsWOCC!$A$5:$Q$50,T388+1,FALSE)*L388*J388+HLOOKUP(I388,ElecAvoidedCostsWOCC!$A$5:$Q$50,G388+1,FALSE)*K388*J388-HLOOKUP(I388,ElecAvoidedCostsWOCC!$A$5:$Q$50,G388+1,FALSE)*L388*J388))</f>
        <v>0</v>
      </c>
      <c r="AN388" s="48">
        <f t="shared" ref="AN388:AN451" si="149">AM388*1.1+AD388+AE388</f>
        <v>0</v>
      </c>
      <c r="AO388" s="47">
        <f t="shared" ref="AO388:AO451" si="150">IFERROR(AM388/AB388,0)</f>
        <v>0</v>
      </c>
      <c r="AP388" s="47" t="e">
        <f t="shared" ref="AP388:AP451" si="151">AN388/AC388</f>
        <v>#DIV/0!</v>
      </c>
    </row>
    <row r="389" spans="2:42">
      <c r="B389" s="37"/>
      <c r="C389" s="61"/>
      <c r="D389" s="61"/>
      <c r="E389" s="38"/>
      <c r="F389" s="39"/>
      <c r="G389" s="39"/>
      <c r="H389" s="39"/>
      <c r="I389" s="40"/>
      <c r="J389" s="41"/>
      <c r="K389" s="41"/>
      <c r="L389" s="41"/>
      <c r="M389" s="42"/>
      <c r="N389" s="42"/>
      <c r="O389" s="43"/>
      <c r="P389" s="44"/>
      <c r="Q389" s="44"/>
      <c r="R389" s="45"/>
      <c r="S389" s="46"/>
      <c r="T389" s="39">
        <f t="shared" si="133"/>
        <v>0</v>
      </c>
      <c r="U389" s="47">
        <f t="shared" si="134"/>
        <v>0</v>
      </c>
      <c r="V389" s="48">
        <f t="shared" si="135"/>
        <v>0</v>
      </c>
      <c r="W389" s="49">
        <f t="shared" si="136"/>
        <v>0</v>
      </c>
      <c r="X389" s="44">
        <f t="shared" si="137"/>
        <v>0</v>
      </c>
      <c r="Y389" s="44">
        <f t="shared" si="138"/>
        <v>0</v>
      </c>
      <c r="Z389" s="44">
        <f t="shared" si="139"/>
        <v>0</v>
      </c>
      <c r="AA389" s="50">
        <f t="shared" si="140"/>
        <v>0</v>
      </c>
      <c r="AB389" s="51">
        <f t="shared" si="141"/>
        <v>0</v>
      </c>
      <c r="AC389" s="44">
        <f t="shared" si="142"/>
        <v>0</v>
      </c>
      <c r="AD389" s="44">
        <f t="shared" si="143"/>
        <v>0</v>
      </c>
      <c r="AE389" s="44">
        <f t="shared" si="144"/>
        <v>0</v>
      </c>
      <c r="AF389" s="52" t="e">
        <f>HLOOKUP(I389,ElecAvoidedCostsWOCC!$A$5:$Q$50,G389+1,FALSE)</f>
        <v>#N/A</v>
      </c>
      <c r="AG389" s="44" t="e">
        <f t="shared" si="145"/>
        <v>#N/A</v>
      </c>
      <c r="AH389" s="52" t="e">
        <f>HLOOKUP(I389,ElecAvoidedCostsWOCC!$A$5:$Q$50,T389+1,FALSE)</f>
        <v>#N/A</v>
      </c>
      <c r="AI389" s="44" t="e">
        <f t="shared" si="146"/>
        <v>#N/A</v>
      </c>
      <c r="AJ389" s="44" t="e">
        <f t="shared" si="147"/>
        <v>#N/A</v>
      </c>
      <c r="AK389" s="44" t="e">
        <f>HLOOKUP(I389,ElecAvoidedCostsWOCC!$A$5:$Q$50,G389+1,FALSE)*J389*L389</f>
        <v>#N/A</v>
      </c>
      <c r="AL389" s="44" t="e">
        <f t="shared" si="148"/>
        <v>#N/A</v>
      </c>
      <c r="AM389" s="48">
        <f>IF(O389=0,0,IF(H389=0, HLOOKUP(I389,ElecAvoidedCostsWOCC!$A$5:$Q$50,T389+1,FALSE)*K389*J389,HLOOKUP(I389,ElecAvoidedCostsWOCC!$A$5:$Q$50,T389+1,FALSE)*L389*J389+HLOOKUP(I389,ElecAvoidedCostsWOCC!$A$5:$Q$50,G389+1,FALSE)*K389*J389-HLOOKUP(I389,ElecAvoidedCostsWOCC!$A$5:$Q$50,G389+1,FALSE)*L389*J389))</f>
        <v>0</v>
      </c>
      <c r="AN389" s="48">
        <f t="shared" si="149"/>
        <v>0</v>
      </c>
      <c r="AO389" s="47">
        <f t="shared" si="150"/>
        <v>0</v>
      </c>
      <c r="AP389" s="47" t="e">
        <f t="shared" si="151"/>
        <v>#DIV/0!</v>
      </c>
    </row>
    <row r="390" spans="2:42">
      <c r="B390" s="37"/>
      <c r="C390" s="61"/>
      <c r="D390" s="61"/>
      <c r="E390" s="38"/>
      <c r="F390" s="39"/>
      <c r="G390" s="39"/>
      <c r="H390" s="39"/>
      <c r="I390" s="40"/>
      <c r="J390" s="41"/>
      <c r="K390" s="41"/>
      <c r="L390" s="41"/>
      <c r="M390" s="42"/>
      <c r="N390" s="42"/>
      <c r="O390" s="43"/>
      <c r="P390" s="44"/>
      <c r="Q390" s="44"/>
      <c r="R390" s="45"/>
      <c r="S390" s="46"/>
      <c r="T390" s="39">
        <f t="shared" si="133"/>
        <v>0</v>
      </c>
      <c r="U390" s="47">
        <f t="shared" si="134"/>
        <v>0</v>
      </c>
      <c r="V390" s="48">
        <f t="shared" si="135"/>
        <v>0</v>
      </c>
      <c r="W390" s="49">
        <f t="shared" si="136"/>
        <v>0</v>
      </c>
      <c r="X390" s="44">
        <f t="shared" si="137"/>
        <v>0</v>
      </c>
      <c r="Y390" s="44">
        <f t="shared" si="138"/>
        <v>0</v>
      </c>
      <c r="Z390" s="44">
        <f t="shared" si="139"/>
        <v>0</v>
      </c>
      <c r="AA390" s="50">
        <f t="shared" si="140"/>
        <v>0</v>
      </c>
      <c r="AB390" s="51">
        <f t="shared" si="141"/>
        <v>0</v>
      </c>
      <c r="AC390" s="44">
        <f t="shared" si="142"/>
        <v>0</v>
      </c>
      <c r="AD390" s="44">
        <f t="shared" si="143"/>
        <v>0</v>
      </c>
      <c r="AE390" s="44">
        <f t="shared" si="144"/>
        <v>0</v>
      </c>
      <c r="AF390" s="52" t="e">
        <f>HLOOKUP(I390,ElecAvoidedCostsWOCC!$A$5:$Q$50,G390+1,FALSE)</f>
        <v>#N/A</v>
      </c>
      <c r="AG390" s="44" t="e">
        <f t="shared" si="145"/>
        <v>#N/A</v>
      </c>
      <c r="AH390" s="52" t="e">
        <f>HLOOKUP(I390,ElecAvoidedCostsWOCC!$A$5:$Q$50,T390+1,FALSE)</f>
        <v>#N/A</v>
      </c>
      <c r="AI390" s="44" t="e">
        <f t="shared" si="146"/>
        <v>#N/A</v>
      </c>
      <c r="AJ390" s="44" t="e">
        <f t="shared" si="147"/>
        <v>#N/A</v>
      </c>
      <c r="AK390" s="44" t="e">
        <f>HLOOKUP(I390,ElecAvoidedCostsWOCC!$A$5:$Q$50,G390+1,FALSE)*J390*L390</f>
        <v>#N/A</v>
      </c>
      <c r="AL390" s="44" t="e">
        <f t="shared" si="148"/>
        <v>#N/A</v>
      </c>
      <c r="AM390" s="48">
        <f>IF(O390=0,0,IF(H390=0, HLOOKUP(I390,ElecAvoidedCostsWOCC!$A$5:$Q$50,T390+1,FALSE)*K390*J390,HLOOKUP(I390,ElecAvoidedCostsWOCC!$A$5:$Q$50,T390+1,FALSE)*L390*J390+HLOOKUP(I390,ElecAvoidedCostsWOCC!$A$5:$Q$50,G390+1,FALSE)*K390*J390-HLOOKUP(I390,ElecAvoidedCostsWOCC!$A$5:$Q$50,G390+1,FALSE)*L390*J390))</f>
        <v>0</v>
      </c>
      <c r="AN390" s="48">
        <f t="shared" si="149"/>
        <v>0</v>
      </c>
      <c r="AO390" s="47">
        <f t="shared" si="150"/>
        <v>0</v>
      </c>
      <c r="AP390" s="47" t="e">
        <f t="shared" si="151"/>
        <v>#DIV/0!</v>
      </c>
    </row>
    <row r="391" spans="2:42">
      <c r="B391" s="37"/>
      <c r="C391" s="61"/>
      <c r="D391" s="61"/>
      <c r="E391" s="38"/>
      <c r="F391" s="39"/>
      <c r="G391" s="39"/>
      <c r="H391" s="39"/>
      <c r="I391" s="40"/>
      <c r="J391" s="41"/>
      <c r="K391" s="41"/>
      <c r="L391" s="41"/>
      <c r="M391" s="42"/>
      <c r="N391" s="42"/>
      <c r="O391" s="43"/>
      <c r="P391" s="44"/>
      <c r="Q391" s="44"/>
      <c r="R391" s="45"/>
      <c r="S391" s="46"/>
      <c r="T391" s="39">
        <f t="shared" si="133"/>
        <v>0</v>
      </c>
      <c r="U391" s="47">
        <f t="shared" si="134"/>
        <v>0</v>
      </c>
      <c r="V391" s="48">
        <f t="shared" si="135"/>
        <v>0</v>
      </c>
      <c r="W391" s="49">
        <f t="shared" si="136"/>
        <v>0</v>
      </c>
      <c r="X391" s="44">
        <f t="shared" si="137"/>
        <v>0</v>
      </c>
      <c r="Y391" s="44">
        <f t="shared" si="138"/>
        <v>0</v>
      </c>
      <c r="Z391" s="44">
        <f t="shared" si="139"/>
        <v>0</v>
      </c>
      <c r="AA391" s="50">
        <f t="shared" si="140"/>
        <v>0</v>
      </c>
      <c r="AB391" s="51">
        <f t="shared" si="141"/>
        <v>0</v>
      </c>
      <c r="AC391" s="44">
        <f t="shared" si="142"/>
        <v>0</v>
      </c>
      <c r="AD391" s="44">
        <f t="shared" si="143"/>
        <v>0</v>
      </c>
      <c r="AE391" s="44">
        <f t="shared" si="144"/>
        <v>0</v>
      </c>
      <c r="AF391" s="52" t="e">
        <f>HLOOKUP(I391,ElecAvoidedCostsWOCC!$A$5:$Q$50,G391+1,FALSE)</f>
        <v>#N/A</v>
      </c>
      <c r="AG391" s="44" t="e">
        <f t="shared" si="145"/>
        <v>#N/A</v>
      </c>
      <c r="AH391" s="52" t="e">
        <f>HLOOKUP(I391,ElecAvoidedCostsWOCC!$A$5:$Q$50,T391+1,FALSE)</f>
        <v>#N/A</v>
      </c>
      <c r="AI391" s="44" t="e">
        <f t="shared" si="146"/>
        <v>#N/A</v>
      </c>
      <c r="AJ391" s="44" t="e">
        <f t="shared" si="147"/>
        <v>#N/A</v>
      </c>
      <c r="AK391" s="44" t="e">
        <f>HLOOKUP(I391,ElecAvoidedCostsWOCC!$A$5:$Q$50,G391+1,FALSE)*J391*L391</f>
        <v>#N/A</v>
      </c>
      <c r="AL391" s="44" t="e">
        <f t="shared" si="148"/>
        <v>#N/A</v>
      </c>
      <c r="AM391" s="48">
        <f>IF(O391=0,0,IF(H391=0, HLOOKUP(I391,ElecAvoidedCostsWOCC!$A$5:$Q$50,T391+1,FALSE)*K391*J391,HLOOKUP(I391,ElecAvoidedCostsWOCC!$A$5:$Q$50,T391+1,FALSE)*L391*J391+HLOOKUP(I391,ElecAvoidedCostsWOCC!$A$5:$Q$50,G391+1,FALSE)*K391*J391-HLOOKUP(I391,ElecAvoidedCostsWOCC!$A$5:$Q$50,G391+1,FALSE)*L391*J391))</f>
        <v>0</v>
      </c>
      <c r="AN391" s="48">
        <f t="shared" si="149"/>
        <v>0</v>
      </c>
      <c r="AO391" s="47">
        <f t="shared" si="150"/>
        <v>0</v>
      </c>
      <c r="AP391" s="47" t="e">
        <f t="shared" si="151"/>
        <v>#DIV/0!</v>
      </c>
    </row>
    <row r="392" spans="2:42">
      <c r="B392" s="37"/>
      <c r="C392" s="61"/>
      <c r="D392" s="61"/>
      <c r="E392" s="38"/>
      <c r="F392" s="39"/>
      <c r="G392" s="39"/>
      <c r="H392" s="39"/>
      <c r="I392" s="40"/>
      <c r="J392" s="41"/>
      <c r="K392" s="41"/>
      <c r="L392" s="41"/>
      <c r="M392" s="42"/>
      <c r="N392" s="42"/>
      <c r="O392" s="43"/>
      <c r="P392" s="44"/>
      <c r="Q392" s="44"/>
      <c r="R392" s="45"/>
      <c r="S392" s="46"/>
      <c r="T392" s="39">
        <f t="shared" si="133"/>
        <v>0</v>
      </c>
      <c r="U392" s="47">
        <f t="shared" si="134"/>
        <v>0</v>
      </c>
      <c r="V392" s="48">
        <f t="shared" si="135"/>
        <v>0</v>
      </c>
      <c r="W392" s="49">
        <f t="shared" si="136"/>
        <v>0</v>
      </c>
      <c r="X392" s="44">
        <f t="shared" si="137"/>
        <v>0</v>
      </c>
      <c r="Y392" s="44">
        <f t="shared" si="138"/>
        <v>0</v>
      </c>
      <c r="Z392" s="44">
        <f t="shared" si="139"/>
        <v>0</v>
      </c>
      <c r="AA392" s="50">
        <f t="shared" si="140"/>
        <v>0</v>
      </c>
      <c r="AB392" s="51">
        <f t="shared" si="141"/>
        <v>0</v>
      </c>
      <c r="AC392" s="44">
        <f t="shared" si="142"/>
        <v>0</v>
      </c>
      <c r="AD392" s="44">
        <f t="shared" si="143"/>
        <v>0</v>
      </c>
      <c r="AE392" s="44">
        <f t="shared" si="144"/>
        <v>0</v>
      </c>
      <c r="AF392" s="52" t="e">
        <f>HLOOKUP(I392,ElecAvoidedCostsWOCC!$A$5:$Q$50,G392+1,FALSE)</f>
        <v>#N/A</v>
      </c>
      <c r="AG392" s="44" t="e">
        <f t="shared" si="145"/>
        <v>#N/A</v>
      </c>
      <c r="AH392" s="52" t="e">
        <f>HLOOKUP(I392,ElecAvoidedCostsWOCC!$A$5:$Q$50,T392+1,FALSE)</f>
        <v>#N/A</v>
      </c>
      <c r="AI392" s="44" t="e">
        <f t="shared" si="146"/>
        <v>#N/A</v>
      </c>
      <c r="AJ392" s="44" t="e">
        <f t="shared" si="147"/>
        <v>#N/A</v>
      </c>
      <c r="AK392" s="44" t="e">
        <f>HLOOKUP(I392,ElecAvoidedCostsWOCC!$A$5:$Q$50,G392+1,FALSE)*J392*L392</f>
        <v>#N/A</v>
      </c>
      <c r="AL392" s="44" t="e">
        <f t="shared" si="148"/>
        <v>#N/A</v>
      </c>
      <c r="AM392" s="48">
        <f>IF(O392=0,0,IF(H392=0, HLOOKUP(I392,ElecAvoidedCostsWOCC!$A$5:$Q$50,T392+1,FALSE)*K392*J392,HLOOKUP(I392,ElecAvoidedCostsWOCC!$A$5:$Q$50,T392+1,FALSE)*L392*J392+HLOOKUP(I392,ElecAvoidedCostsWOCC!$A$5:$Q$50,G392+1,FALSE)*K392*J392-HLOOKUP(I392,ElecAvoidedCostsWOCC!$A$5:$Q$50,G392+1,FALSE)*L392*J392))</f>
        <v>0</v>
      </c>
      <c r="AN392" s="48">
        <f t="shared" si="149"/>
        <v>0</v>
      </c>
      <c r="AO392" s="47">
        <f t="shared" si="150"/>
        <v>0</v>
      </c>
      <c r="AP392" s="47" t="e">
        <f t="shared" si="151"/>
        <v>#DIV/0!</v>
      </c>
    </row>
    <row r="393" spans="2:42">
      <c r="B393" s="37"/>
      <c r="C393" s="61"/>
      <c r="D393" s="61"/>
      <c r="E393" s="38"/>
      <c r="F393" s="39"/>
      <c r="G393" s="39"/>
      <c r="H393" s="39"/>
      <c r="I393" s="40"/>
      <c r="J393" s="41"/>
      <c r="K393" s="41"/>
      <c r="L393" s="41"/>
      <c r="M393" s="42"/>
      <c r="N393" s="42"/>
      <c r="O393" s="43"/>
      <c r="P393" s="44"/>
      <c r="Q393" s="44"/>
      <c r="R393" s="45"/>
      <c r="S393" s="46"/>
      <c r="T393" s="39">
        <f t="shared" si="133"/>
        <v>0</v>
      </c>
      <c r="U393" s="47">
        <f t="shared" si="134"/>
        <v>0</v>
      </c>
      <c r="V393" s="48">
        <f t="shared" si="135"/>
        <v>0</v>
      </c>
      <c r="W393" s="49">
        <f t="shared" si="136"/>
        <v>0</v>
      </c>
      <c r="X393" s="44">
        <f t="shared" si="137"/>
        <v>0</v>
      </c>
      <c r="Y393" s="44">
        <f t="shared" si="138"/>
        <v>0</v>
      </c>
      <c r="Z393" s="44">
        <f t="shared" si="139"/>
        <v>0</v>
      </c>
      <c r="AA393" s="50">
        <f t="shared" si="140"/>
        <v>0</v>
      </c>
      <c r="AB393" s="51">
        <f t="shared" si="141"/>
        <v>0</v>
      </c>
      <c r="AC393" s="44">
        <f t="shared" si="142"/>
        <v>0</v>
      </c>
      <c r="AD393" s="44">
        <f t="shared" si="143"/>
        <v>0</v>
      </c>
      <c r="AE393" s="44">
        <f t="shared" si="144"/>
        <v>0</v>
      </c>
      <c r="AF393" s="52" t="e">
        <f>HLOOKUP(I393,ElecAvoidedCostsWOCC!$A$5:$Q$50,G393+1,FALSE)</f>
        <v>#N/A</v>
      </c>
      <c r="AG393" s="44" t="e">
        <f t="shared" si="145"/>
        <v>#N/A</v>
      </c>
      <c r="AH393" s="52" t="e">
        <f>HLOOKUP(I393,ElecAvoidedCostsWOCC!$A$5:$Q$50,T393+1,FALSE)</f>
        <v>#N/A</v>
      </c>
      <c r="AI393" s="44" t="e">
        <f t="shared" si="146"/>
        <v>#N/A</v>
      </c>
      <c r="AJ393" s="44" t="e">
        <f t="shared" si="147"/>
        <v>#N/A</v>
      </c>
      <c r="AK393" s="44" t="e">
        <f>HLOOKUP(I393,ElecAvoidedCostsWOCC!$A$5:$Q$50,G393+1,FALSE)*J393*L393</f>
        <v>#N/A</v>
      </c>
      <c r="AL393" s="44" t="e">
        <f t="shared" si="148"/>
        <v>#N/A</v>
      </c>
      <c r="AM393" s="48">
        <f>IF(O393=0,0,IF(H393=0, HLOOKUP(I393,ElecAvoidedCostsWOCC!$A$5:$Q$50,T393+1,FALSE)*K393*J393,HLOOKUP(I393,ElecAvoidedCostsWOCC!$A$5:$Q$50,T393+1,FALSE)*L393*J393+HLOOKUP(I393,ElecAvoidedCostsWOCC!$A$5:$Q$50,G393+1,FALSE)*K393*J393-HLOOKUP(I393,ElecAvoidedCostsWOCC!$A$5:$Q$50,G393+1,FALSE)*L393*J393))</f>
        <v>0</v>
      </c>
      <c r="AN393" s="48">
        <f t="shared" si="149"/>
        <v>0</v>
      </c>
      <c r="AO393" s="47">
        <f t="shared" si="150"/>
        <v>0</v>
      </c>
      <c r="AP393" s="47" t="e">
        <f t="shared" si="151"/>
        <v>#DIV/0!</v>
      </c>
    </row>
    <row r="394" spans="2:42">
      <c r="B394" s="37"/>
      <c r="C394" s="61"/>
      <c r="D394" s="61"/>
      <c r="E394" s="38"/>
      <c r="F394" s="39"/>
      <c r="G394" s="39"/>
      <c r="H394" s="39"/>
      <c r="I394" s="40"/>
      <c r="J394" s="41"/>
      <c r="K394" s="41"/>
      <c r="L394" s="41"/>
      <c r="M394" s="42"/>
      <c r="N394" s="42"/>
      <c r="O394" s="43"/>
      <c r="P394" s="44"/>
      <c r="Q394" s="44"/>
      <c r="R394" s="45"/>
      <c r="S394" s="46"/>
      <c r="T394" s="39">
        <f t="shared" si="133"/>
        <v>0</v>
      </c>
      <c r="U394" s="47">
        <f t="shared" si="134"/>
        <v>0</v>
      </c>
      <c r="V394" s="48">
        <f t="shared" si="135"/>
        <v>0</v>
      </c>
      <c r="W394" s="49">
        <f t="shared" si="136"/>
        <v>0</v>
      </c>
      <c r="X394" s="44">
        <f t="shared" si="137"/>
        <v>0</v>
      </c>
      <c r="Y394" s="44">
        <f t="shared" si="138"/>
        <v>0</v>
      </c>
      <c r="Z394" s="44">
        <f t="shared" si="139"/>
        <v>0</v>
      </c>
      <c r="AA394" s="50">
        <f t="shared" si="140"/>
        <v>0</v>
      </c>
      <c r="AB394" s="51">
        <f t="shared" si="141"/>
        <v>0</v>
      </c>
      <c r="AC394" s="44">
        <f t="shared" si="142"/>
        <v>0</v>
      </c>
      <c r="AD394" s="44">
        <f t="shared" si="143"/>
        <v>0</v>
      </c>
      <c r="AE394" s="44">
        <f t="shared" si="144"/>
        <v>0</v>
      </c>
      <c r="AF394" s="52" t="e">
        <f>HLOOKUP(I394,ElecAvoidedCostsWOCC!$A$5:$Q$50,G394+1,FALSE)</f>
        <v>#N/A</v>
      </c>
      <c r="AG394" s="44" t="e">
        <f t="shared" si="145"/>
        <v>#N/A</v>
      </c>
      <c r="AH394" s="52" t="e">
        <f>HLOOKUP(I394,ElecAvoidedCostsWOCC!$A$5:$Q$50,T394+1,FALSE)</f>
        <v>#N/A</v>
      </c>
      <c r="AI394" s="44" t="e">
        <f t="shared" si="146"/>
        <v>#N/A</v>
      </c>
      <c r="AJ394" s="44" t="e">
        <f t="shared" si="147"/>
        <v>#N/A</v>
      </c>
      <c r="AK394" s="44" t="e">
        <f>HLOOKUP(I394,ElecAvoidedCostsWOCC!$A$5:$Q$50,G394+1,FALSE)*J394*L394</f>
        <v>#N/A</v>
      </c>
      <c r="AL394" s="44" t="e">
        <f t="shared" si="148"/>
        <v>#N/A</v>
      </c>
      <c r="AM394" s="48">
        <f>IF(O394=0,0,IF(H394=0, HLOOKUP(I394,ElecAvoidedCostsWOCC!$A$5:$Q$50,T394+1,FALSE)*K394*J394,HLOOKUP(I394,ElecAvoidedCostsWOCC!$A$5:$Q$50,T394+1,FALSE)*L394*J394+HLOOKUP(I394,ElecAvoidedCostsWOCC!$A$5:$Q$50,G394+1,FALSE)*K394*J394-HLOOKUP(I394,ElecAvoidedCostsWOCC!$A$5:$Q$50,G394+1,FALSE)*L394*J394))</f>
        <v>0</v>
      </c>
      <c r="AN394" s="48">
        <f t="shared" si="149"/>
        <v>0</v>
      </c>
      <c r="AO394" s="47">
        <f t="shared" si="150"/>
        <v>0</v>
      </c>
      <c r="AP394" s="47" t="e">
        <f t="shared" si="151"/>
        <v>#DIV/0!</v>
      </c>
    </row>
    <row r="395" spans="2:42">
      <c r="B395" s="37"/>
      <c r="C395" s="61"/>
      <c r="D395" s="61"/>
      <c r="E395" s="38"/>
      <c r="F395" s="39"/>
      <c r="G395" s="39"/>
      <c r="H395" s="39"/>
      <c r="I395" s="40"/>
      <c r="J395" s="41"/>
      <c r="K395" s="41"/>
      <c r="L395" s="41"/>
      <c r="M395" s="42"/>
      <c r="N395" s="42"/>
      <c r="O395" s="43"/>
      <c r="P395" s="44"/>
      <c r="Q395" s="44"/>
      <c r="R395" s="45"/>
      <c r="S395" s="46"/>
      <c r="T395" s="39">
        <f t="shared" si="133"/>
        <v>0</v>
      </c>
      <c r="U395" s="47">
        <f t="shared" si="134"/>
        <v>0</v>
      </c>
      <c r="V395" s="48">
        <f t="shared" si="135"/>
        <v>0</v>
      </c>
      <c r="W395" s="49">
        <f t="shared" si="136"/>
        <v>0</v>
      </c>
      <c r="X395" s="44">
        <f t="shared" si="137"/>
        <v>0</v>
      </c>
      <c r="Y395" s="44">
        <f t="shared" si="138"/>
        <v>0</v>
      </c>
      <c r="Z395" s="44">
        <f t="shared" si="139"/>
        <v>0</v>
      </c>
      <c r="AA395" s="50">
        <f t="shared" si="140"/>
        <v>0</v>
      </c>
      <c r="AB395" s="51">
        <f t="shared" si="141"/>
        <v>0</v>
      </c>
      <c r="AC395" s="44">
        <f t="shared" si="142"/>
        <v>0</v>
      </c>
      <c r="AD395" s="44">
        <f t="shared" si="143"/>
        <v>0</v>
      </c>
      <c r="AE395" s="44">
        <f t="shared" si="144"/>
        <v>0</v>
      </c>
      <c r="AF395" s="52" t="e">
        <f>HLOOKUP(I395,ElecAvoidedCostsWOCC!$A$5:$Q$50,G395+1,FALSE)</f>
        <v>#N/A</v>
      </c>
      <c r="AG395" s="44" t="e">
        <f t="shared" si="145"/>
        <v>#N/A</v>
      </c>
      <c r="AH395" s="52" t="e">
        <f>HLOOKUP(I395,ElecAvoidedCostsWOCC!$A$5:$Q$50,T395+1,FALSE)</f>
        <v>#N/A</v>
      </c>
      <c r="AI395" s="44" t="e">
        <f t="shared" si="146"/>
        <v>#N/A</v>
      </c>
      <c r="AJ395" s="44" t="e">
        <f t="shared" si="147"/>
        <v>#N/A</v>
      </c>
      <c r="AK395" s="44" t="e">
        <f>HLOOKUP(I395,ElecAvoidedCostsWOCC!$A$5:$Q$50,G395+1,FALSE)*J395*L395</f>
        <v>#N/A</v>
      </c>
      <c r="AL395" s="44" t="e">
        <f t="shared" si="148"/>
        <v>#N/A</v>
      </c>
      <c r="AM395" s="48">
        <f>IF(O395=0,0,IF(H395=0, HLOOKUP(I395,ElecAvoidedCostsWOCC!$A$5:$Q$50,T395+1,FALSE)*K395*J395,HLOOKUP(I395,ElecAvoidedCostsWOCC!$A$5:$Q$50,T395+1,FALSE)*L395*J395+HLOOKUP(I395,ElecAvoidedCostsWOCC!$A$5:$Q$50,G395+1,FALSE)*K395*J395-HLOOKUP(I395,ElecAvoidedCostsWOCC!$A$5:$Q$50,G395+1,FALSE)*L395*J395))</f>
        <v>0</v>
      </c>
      <c r="AN395" s="48">
        <f t="shared" si="149"/>
        <v>0</v>
      </c>
      <c r="AO395" s="47">
        <f t="shared" si="150"/>
        <v>0</v>
      </c>
      <c r="AP395" s="47" t="e">
        <f t="shared" si="151"/>
        <v>#DIV/0!</v>
      </c>
    </row>
    <row r="396" spans="2:42">
      <c r="B396" s="37"/>
      <c r="C396" s="61"/>
      <c r="D396" s="61"/>
      <c r="E396" s="38"/>
      <c r="F396" s="39"/>
      <c r="G396" s="39"/>
      <c r="H396" s="39"/>
      <c r="I396" s="40"/>
      <c r="J396" s="41"/>
      <c r="K396" s="41"/>
      <c r="L396" s="41"/>
      <c r="M396" s="42"/>
      <c r="N396" s="42"/>
      <c r="O396" s="43"/>
      <c r="P396" s="44"/>
      <c r="Q396" s="44"/>
      <c r="R396" s="45"/>
      <c r="S396" s="46"/>
      <c r="T396" s="39">
        <f t="shared" si="133"/>
        <v>0</v>
      </c>
      <c r="U396" s="47">
        <f t="shared" si="134"/>
        <v>0</v>
      </c>
      <c r="V396" s="48">
        <f t="shared" si="135"/>
        <v>0</v>
      </c>
      <c r="W396" s="49">
        <f t="shared" si="136"/>
        <v>0</v>
      </c>
      <c r="X396" s="44">
        <f t="shared" si="137"/>
        <v>0</v>
      </c>
      <c r="Y396" s="44">
        <f t="shared" si="138"/>
        <v>0</v>
      </c>
      <c r="Z396" s="44">
        <f t="shared" si="139"/>
        <v>0</v>
      </c>
      <c r="AA396" s="50">
        <f t="shared" si="140"/>
        <v>0</v>
      </c>
      <c r="AB396" s="51">
        <f t="shared" si="141"/>
        <v>0</v>
      </c>
      <c r="AC396" s="44">
        <f t="shared" si="142"/>
        <v>0</v>
      </c>
      <c r="AD396" s="44">
        <f t="shared" si="143"/>
        <v>0</v>
      </c>
      <c r="AE396" s="44">
        <f t="shared" si="144"/>
        <v>0</v>
      </c>
      <c r="AF396" s="52" t="e">
        <f>HLOOKUP(I396,ElecAvoidedCostsWOCC!$A$5:$Q$50,G396+1,FALSE)</f>
        <v>#N/A</v>
      </c>
      <c r="AG396" s="44" t="e">
        <f t="shared" si="145"/>
        <v>#N/A</v>
      </c>
      <c r="AH396" s="52" t="e">
        <f>HLOOKUP(I396,ElecAvoidedCostsWOCC!$A$5:$Q$50,T396+1,FALSE)</f>
        <v>#N/A</v>
      </c>
      <c r="AI396" s="44" t="e">
        <f t="shared" si="146"/>
        <v>#N/A</v>
      </c>
      <c r="AJ396" s="44" t="e">
        <f t="shared" si="147"/>
        <v>#N/A</v>
      </c>
      <c r="AK396" s="44" t="e">
        <f>HLOOKUP(I396,ElecAvoidedCostsWOCC!$A$5:$Q$50,G396+1,FALSE)*J396*L396</f>
        <v>#N/A</v>
      </c>
      <c r="AL396" s="44" t="e">
        <f t="shared" si="148"/>
        <v>#N/A</v>
      </c>
      <c r="AM396" s="48">
        <f>IF(O396=0,0,IF(H396=0, HLOOKUP(I396,ElecAvoidedCostsWOCC!$A$5:$Q$50,T396+1,FALSE)*K396*J396,HLOOKUP(I396,ElecAvoidedCostsWOCC!$A$5:$Q$50,T396+1,FALSE)*L396*J396+HLOOKUP(I396,ElecAvoidedCostsWOCC!$A$5:$Q$50,G396+1,FALSE)*K396*J396-HLOOKUP(I396,ElecAvoidedCostsWOCC!$A$5:$Q$50,G396+1,FALSE)*L396*J396))</f>
        <v>0</v>
      </c>
      <c r="AN396" s="48">
        <f t="shared" si="149"/>
        <v>0</v>
      </c>
      <c r="AO396" s="47">
        <f t="shared" si="150"/>
        <v>0</v>
      </c>
      <c r="AP396" s="47" t="e">
        <f t="shared" si="151"/>
        <v>#DIV/0!</v>
      </c>
    </row>
    <row r="397" spans="2:42">
      <c r="B397" s="37"/>
      <c r="C397" s="61"/>
      <c r="D397" s="61"/>
      <c r="E397" s="38"/>
      <c r="F397" s="39"/>
      <c r="G397" s="39"/>
      <c r="H397" s="39"/>
      <c r="I397" s="40"/>
      <c r="J397" s="41"/>
      <c r="K397" s="41"/>
      <c r="L397" s="41"/>
      <c r="M397" s="42"/>
      <c r="N397" s="42"/>
      <c r="O397" s="43"/>
      <c r="P397" s="44"/>
      <c r="Q397" s="44"/>
      <c r="R397" s="45"/>
      <c r="S397" s="46"/>
      <c r="T397" s="39">
        <f t="shared" si="133"/>
        <v>0</v>
      </c>
      <c r="U397" s="47">
        <f t="shared" si="134"/>
        <v>0</v>
      </c>
      <c r="V397" s="48">
        <f t="shared" si="135"/>
        <v>0</v>
      </c>
      <c r="W397" s="49">
        <f t="shared" si="136"/>
        <v>0</v>
      </c>
      <c r="X397" s="44">
        <f t="shared" si="137"/>
        <v>0</v>
      </c>
      <c r="Y397" s="44">
        <f t="shared" si="138"/>
        <v>0</v>
      </c>
      <c r="Z397" s="44">
        <f t="shared" si="139"/>
        <v>0</v>
      </c>
      <c r="AA397" s="50">
        <f t="shared" si="140"/>
        <v>0</v>
      </c>
      <c r="AB397" s="51">
        <f t="shared" si="141"/>
        <v>0</v>
      </c>
      <c r="AC397" s="44">
        <f t="shared" si="142"/>
        <v>0</v>
      </c>
      <c r="AD397" s="44">
        <f t="shared" si="143"/>
        <v>0</v>
      </c>
      <c r="AE397" s="44">
        <f t="shared" si="144"/>
        <v>0</v>
      </c>
      <c r="AF397" s="52" t="e">
        <f>HLOOKUP(I397,ElecAvoidedCostsWOCC!$A$5:$Q$50,G397+1,FALSE)</f>
        <v>#N/A</v>
      </c>
      <c r="AG397" s="44" t="e">
        <f t="shared" si="145"/>
        <v>#N/A</v>
      </c>
      <c r="AH397" s="52" t="e">
        <f>HLOOKUP(I397,ElecAvoidedCostsWOCC!$A$5:$Q$50,T397+1,FALSE)</f>
        <v>#N/A</v>
      </c>
      <c r="AI397" s="44" t="e">
        <f t="shared" si="146"/>
        <v>#N/A</v>
      </c>
      <c r="AJ397" s="44" t="e">
        <f t="shared" si="147"/>
        <v>#N/A</v>
      </c>
      <c r="AK397" s="44" t="e">
        <f>HLOOKUP(I397,ElecAvoidedCostsWOCC!$A$5:$Q$50,G397+1,FALSE)*J397*L397</f>
        <v>#N/A</v>
      </c>
      <c r="AL397" s="44" t="e">
        <f t="shared" si="148"/>
        <v>#N/A</v>
      </c>
      <c r="AM397" s="48">
        <f>IF(O397=0,0,IF(H397=0, HLOOKUP(I397,ElecAvoidedCostsWOCC!$A$5:$Q$50,T397+1,FALSE)*K397*J397,HLOOKUP(I397,ElecAvoidedCostsWOCC!$A$5:$Q$50,T397+1,FALSE)*L397*J397+HLOOKUP(I397,ElecAvoidedCostsWOCC!$A$5:$Q$50,G397+1,FALSE)*K397*J397-HLOOKUP(I397,ElecAvoidedCostsWOCC!$A$5:$Q$50,G397+1,FALSE)*L397*J397))</f>
        <v>0</v>
      </c>
      <c r="AN397" s="48">
        <f t="shared" si="149"/>
        <v>0</v>
      </c>
      <c r="AO397" s="47">
        <f t="shared" si="150"/>
        <v>0</v>
      </c>
      <c r="AP397" s="47" t="e">
        <f t="shared" si="151"/>
        <v>#DIV/0!</v>
      </c>
    </row>
    <row r="398" spans="2:42">
      <c r="B398" s="37"/>
      <c r="C398" s="61"/>
      <c r="D398" s="61"/>
      <c r="E398" s="38"/>
      <c r="F398" s="39"/>
      <c r="G398" s="39"/>
      <c r="H398" s="39"/>
      <c r="I398" s="40"/>
      <c r="J398" s="41"/>
      <c r="K398" s="41"/>
      <c r="L398" s="41"/>
      <c r="M398" s="42"/>
      <c r="N398" s="42"/>
      <c r="O398" s="43"/>
      <c r="P398" s="44"/>
      <c r="Q398" s="44"/>
      <c r="R398" s="45"/>
      <c r="S398" s="46"/>
      <c r="T398" s="39">
        <f t="shared" si="133"/>
        <v>0</v>
      </c>
      <c r="U398" s="47">
        <f t="shared" si="134"/>
        <v>0</v>
      </c>
      <c r="V398" s="48">
        <f t="shared" si="135"/>
        <v>0</v>
      </c>
      <c r="W398" s="49">
        <f t="shared" si="136"/>
        <v>0</v>
      </c>
      <c r="X398" s="44">
        <f t="shared" si="137"/>
        <v>0</v>
      </c>
      <c r="Y398" s="44">
        <f t="shared" si="138"/>
        <v>0</v>
      </c>
      <c r="Z398" s="44">
        <f t="shared" si="139"/>
        <v>0</v>
      </c>
      <c r="AA398" s="50">
        <f t="shared" si="140"/>
        <v>0</v>
      </c>
      <c r="AB398" s="51">
        <f t="shared" si="141"/>
        <v>0</v>
      </c>
      <c r="AC398" s="44">
        <f t="shared" si="142"/>
        <v>0</v>
      </c>
      <c r="AD398" s="44">
        <f t="shared" si="143"/>
        <v>0</v>
      </c>
      <c r="AE398" s="44">
        <f t="shared" si="144"/>
        <v>0</v>
      </c>
      <c r="AF398" s="52" t="e">
        <f>HLOOKUP(I398,ElecAvoidedCostsWOCC!$A$5:$Q$50,G398+1,FALSE)</f>
        <v>#N/A</v>
      </c>
      <c r="AG398" s="44" t="e">
        <f t="shared" si="145"/>
        <v>#N/A</v>
      </c>
      <c r="AH398" s="52" t="e">
        <f>HLOOKUP(I398,ElecAvoidedCostsWOCC!$A$5:$Q$50,T398+1,FALSE)</f>
        <v>#N/A</v>
      </c>
      <c r="AI398" s="44" t="e">
        <f t="shared" si="146"/>
        <v>#N/A</v>
      </c>
      <c r="AJ398" s="44" t="e">
        <f t="shared" si="147"/>
        <v>#N/A</v>
      </c>
      <c r="AK398" s="44" t="e">
        <f>HLOOKUP(I398,ElecAvoidedCostsWOCC!$A$5:$Q$50,G398+1,FALSE)*J398*L398</f>
        <v>#N/A</v>
      </c>
      <c r="AL398" s="44" t="e">
        <f t="shared" si="148"/>
        <v>#N/A</v>
      </c>
      <c r="AM398" s="48">
        <f>IF(O398=0,0,IF(H398=0, HLOOKUP(I398,ElecAvoidedCostsWOCC!$A$5:$Q$50,T398+1,FALSE)*K398*J398,HLOOKUP(I398,ElecAvoidedCostsWOCC!$A$5:$Q$50,T398+1,FALSE)*L398*J398+HLOOKUP(I398,ElecAvoidedCostsWOCC!$A$5:$Q$50,G398+1,FALSE)*K398*J398-HLOOKUP(I398,ElecAvoidedCostsWOCC!$A$5:$Q$50,G398+1,FALSE)*L398*J398))</f>
        <v>0</v>
      </c>
      <c r="AN398" s="48">
        <f t="shared" si="149"/>
        <v>0</v>
      </c>
      <c r="AO398" s="47">
        <f t="shared" si="150"/>
        <v>0</v>
      </c>
      <c r="AP398" s="47" t="e">
        <f t="shared" si="151"/>
        <v>#DIV/0!</v>
      </c>
    </row>
    <row r="399" spans="2:42">
      <c r="B399" s="37"/>
      <c r="C399" s="61"/>
      <c r="D399" s="61"/>
      <c r="E399" s="38"/>
      <c r="F399" s="39"/>
      <c r="G399" s="39"/>
      <c r="H399" s="39"/>
      <c r="I399" s="40"/>
      <c r="J399" s="41"/>
      <c r="K399" s="41"/>
      <c r="L399" s="41"/>
      <c r="M399" s="42"/>
      <c r="N399" s="42"/>
      <c r="O399" s="43"/>
      <c r="P399" s="44"/>
      <c r="Q399" s="44"/>
      <c r="R399" s="45"/>
      <c r="S399" s="46"/>
      <c r="T399" s="39">
        <f t="shared" si="133"/>
        <v>0</v>
      </c>
      <c r="U399" s="47">
        <f t="shared" si="134"/>
        <v>0</v>
      </c>
      <c r="V399" s="48">
        <f t="shared" si="135"/>
        <v>0</v>
      </c>
      <c r="W399" s="49">
        <f t="shared" si="136"/>
        <v>0</v>
      </c>
      <c r="X399" s="44">
        <f t="shared" si="137"/>
        <v>0</v>
      </c>
      <c r="Y399" s="44">
        <f t="shared" si="138"/>
        <v>0</v>
      </c>
      <c r="Z399" s="44">
        <f t="shared" si="139"/>
        <v>0</v>
      </c>
      <c r="AA399" s="50">
        <f t="shared" si="140"/>
        <v>0</v>
      </c>
      <c r="AB399" s="51">
        <f t="shared" si="141"/>
        <v>0</v>
      </c>
      <c r="AC399" s="44">
        <f t="shared" si="142"/>
        <v>0</v>
      </c>
      <c r="AD399" s="44">
        <f t="shared" si="143"/>
        <v>0</v>
      </c>
      <c r="AE399" s="44">
        <f t="shared" si="144"/>
        <v>0</v>
      </c>
      <c r="AF399" s="52" t="e">
        <f>HLOOKUP(I399,ElecAvoidedCostsWOCC!$A$5:$Q$50,G399+1,FALSE)</f>
        <v>#N/A</v>
      </c>
      <c r="AG399" s="44" t="e">
        <f t="shared" si="145"/>
        <v>#N/A</v>
      </c>
      <c r="AH399" s="52" t="e">
        <f>HLOOKUP(I399,ElecAvoidedCostsWOCC!$A$5:$Q$50,T399+1,FALSE)</f>
        <v>#N/A</v>
      </c>
      <c r="AI399" s="44" t="e">
        <f t="shared" si="146"/>
        <v>#N/A</v>
      </c>
      <c r="AJ399" s="44" t="e">
        <f t="shared" si="147"/>
        <v>#N/A</v>
      </c>
      <c r="AK399" s="44" t="e">
        <f>HLOOKUP(I399,ElecAvoidedCostsWOCC!$A$5:$Q$50,G399+1,FALSE)*J399*L399</f>
        <v>#N/A</v>
      </c>
      <c r="AL399" s="44" t="e">
        <f t="shared" si="148"/>
        <v>#N/A</v>
      </c>
      <c r="AM399" s="48">
        <f>IF(O399=0,0,IF(H399=0, HLOOKUP(I399,ElecAvoidedCostsWOCC!$A$5:$Q$50,T399+1,FALSE)*K399*J399,HLOOKUP(I399,ElecAvoidedCostsWOCC!$A$5:$Q$50,T399+1,FALSE)*L399*J399+HLOOKUP(I399,ElecAvoidedCostsWOCC!$A$5:$Q$50,G399+1,FALSE)*K399*J399-HLOOKUP(I399,ElecAvoidedCostsWOCC!$A$5:$Q$50,G399+1,FALSE)*L399*J399))</f>
        <v>0</v>
      </c>
      <c r="AN399" s="48">
        <f t="shared" si="149"/>
        <v>0</v>
      </c>
      <c r="AO399" s="47">
        <f t="shared" si="150"/>
        <v>0</v>
      </c>
      <c r="AP399" s="47" t="e">
        <f t="shared" si="151"/>
        <v>#DIV/0!</v>
      </c>
    </row>
    <row r="400" spans="2:42">
      <c r="B400" s="37"/>
      <c r="C400" s="61"/>
      <c r="D400" s="61"/>
      <c r="E400" s="38"/>
      <c r="F400" s="39"/>
      <c r="G400" s="39"/>
      <c r="H400" s="39"/>
      <c r="I400" s="40"/>
      <c r="J400" s="41"/>
      <c r="K400" s="41"/>
      <c r="L400" s="41"/>
      <c r="M400" s="42"/>
      <c r="N400" s="42"/>
      <c r="O400" s="43"/>
      <c r="P400" s="44"/>
      <c r="Q400" s="44"/>
      <c r="R400" s="45"/>
      <c r="S400" s="46"/>
      <c r="T400" s="39">
        <f t="shared" si="133"/>
        <v>0</v>
      </c>
      <c r="U400" s="47">
        <f t="shared" si="134"/>
        <v>0</v>
      </c>
      <c r="V400" s="48">
        <f t="shared" si="135"/>
        <v>0</v>
      </c>
      <c r="W400" s="49">
        <f t="shared" si="136"/>
        <v>0</v>
      </c>
      <c r="X400" s="44">
        <f t="shared" si="137"/>
        <v>0</v>
      </c>
      <c r="Y400" s="44">
        <f t="shared" si="138"/>
        <v>0</v>
      </c>
      <c r="Z400" s="44">
        <f t="shared" si="139"/>
        <v>0</v>
      </c>
      <c r="AA400" s="50">
        <f t="shared" si="140"/>
        <v>0</v>
      </c>
      <c r="AB400" s="51">
        <f t="shared" si="141"/>
        <v>0</v>
      </c>
      <c r="AC400" s="44">
        <f t="shared" si="142"/>
        <v>0</v>
      </c>
      <c r="AD400" s="44">
        <f t="shared" si="143"/>
        <v>0</v>
      </c>
      <c r="AE400" s="44">
        <f t="shared" si="144"/>
        <v>0</v>
      </c>
      <c r="AF400" s="52" t="e">
        <f>HLOOKUP(I400,ElecAvoidedCostsWOCC!$A$5:$Q$50,G400+1,FALSE)</f>
        <v>#N/A</v>
      </c>
      <c r="AG400" s="44" t="e">
        <f t="shared" si="145"/>
        <v>#N/A</v>
      </c>
      <c r="AH400" s="52" t="e">
        <f>HLOOKUP(I400,ElecAvoidedCostsWOCC!$A$5:$Q$50,T400+1,FALSE)</f>
        <v>#N/A</v>
      </c>
      <c r="AI400" s="44" t="e">
        <f t="shared" si="146"/>
        <v>#N/A</v>
      </c>
      <c r="AJ400" s="44" t="e">
        <f t="shared" si="147"/>
        <v>#N/A</v>
      </c>
      <c r="AK400" s="44" t="e">
        <f>HLOOKUP(I400,ElecAvoidedCostsWOCC!$A$5:$Q$50,G400+1,FALSE)*J400*L400</f>
        <v>#N/A</v>
      </c>
      <c r="AL400" s="44" t="e">
        <f t="shared" si="148"/>
        <v>#N/A</v>
      </c>
      <c r="AM400" s="48">
        <f>IF(O400=0,0,IF(H400=0, HLOOKUP(I400,ElecAvoidedCostsWOCC!$A$5:$Q$50,T400+1,FALSE)*K400*J400,HLOOKUP(I400,ElecAvoidedCostsWOCC!$A$5:$Q$50,T400+1,FALSE)*L400*J400+HLOOKUP(I400,ElecAvoidedCostsWOCC!$A$5:$Q$50,G400+1,FALSE)*K400*J400-HLOOKUP(I400,ElecAvoidedCostsWOCC!$A$5:$Q$50,G400+1,FALSE)*L400*J400))</f>
        <v>0</v>
      </c>
      <c r="AN400" s="48">
        <f t="shared" si="149"/>
        <v>0</v>
      </c>
      <c r="AO400" s="47">
        <f t="shared" si="150"/>
        <v>0</v>
      </c>
      <c r="AP400" s="47" t="e">
        <f t="shared" si="151"/>
        <v>#DIV/0!</v>
      </c>
    </row>
    <row r="401" spans="2:42">
      <c r="B401" s="37"/>
      <c r="C401" s="61"/>
      <c r="D401" s="61"/>
      <c r="E401" s="38"/>
      <c r="F401" s="39"/>
      <c r="G401" s="39"/>
      <c r="H401" s="39"/>
      <c r="I401" s="40"/>
      <c r="J401" s="41"/>
      <c r="K401" s="41"/>
      <c r="L401" s="41"/>
      <c r="M401" s="42"/>
      <c r="N401" s="42"/>
      <c r="O401" s="43"/>
      <c r="P401" s="44"/>
      <c r="Q401" s="44"/>
      <c r="R401" s="45"/>
      <c r="S401" s="46"/>
      <c r="T401" s="39">
        <f t="shared" si="133"/>
        <v>0</v>
      </c>
      <c r="U401" s="47">
        <f t="shared" si="134"/>
        <v>0</v>
      </c>
      <c r="V401" s="48">
        <f t="shared" si="135"/>
        <v>0</v>
      </c>
      <c r="W401" s="49">
        <f t="shared" si="136"/>
        <v>0</v>
      </c>
      <c r="X401" s="44">
        <f t="shared" si="137"/>
        <v>0</v>
      </c>
      <c r="Y401" s="44">
        <f t="shared" si="138"/>
        <v>0</v>
      </c>
      <c r="Z401" s="44">
        <f t="shared" si="139"/>
        <v>0</v>
      </c>
      <c r="AA401" s="50">
        <f t="shared" si="140"/>
        <v>0</v>
      </c>
      <c r="AB401" s="51">
        <f t="shared" si="141"/>
        <v>0</v>
      </c>
      <c r="AC401" s="44">
        <f t="shared" si="142"/>
        <v>0</v>
      </c>
      <c r="AD401" s="44">
        <f t="shared" si="143"/>
        <v>0</v>
      </c>
      <c r="AE401" s="44">
        <f t="shared" si="144"/>
        <v>0</v>
      </c>
      <c r="AF401" s="52" t="e">
        <f>HLOOKUP(I401,ElecAvoidedCostsWOCC!$A$5:$Q$50,G401+1,FALSE)</f>
        <v>#N/A</v>
      </c>
      <c r="AG401" s="44" t="e">
        <f t="shared" si="145"/>
        <v>#N/A</v>
      </c>
      <c r="AH401" s="52" t="e">
        <f>HLOOKUP(I401,ElecAvoidedCostsWOCC!$A$5:$Q$50,T401+1,FALSE)</f>
        <v>#N/A</v>
      </c>
      <c r="AI401" s="44" t="e">
        <f t="shared" si="146"/>
        <v>#N/A</v>
      </c>
      <c r="AJ401" s="44" t="e">
        <f t="shared" si="147"/>
        <v>#N/A</v>
      </c>
      <c r="AK401" s="44" t="e">
        <f>HLOOKUP(I401,ElecAvoidedCostsWOCC!$A$5:$Q$50,G401+1,FALSE)*J401*L401</f>
        <v>#N/A</v>
      </c>
      <c r="AL401" s="44" t="e">
        <f t="shared" si="148"/>
        <v>#N/A</v>
      </c>
      <c r="AM401" s="48">
        <f>IF(O401=0,0,IF(H401=0, HLOOKUP(I401,ElecAvoidedCostsWOCC!$A$5:$Q$50,T401+1,FALSE)*K401*J401,HLOOKUP(I401,ElecAvoidedCostsWOCC!$A$5:$Q$50,T401+1,FALSE)*L401*J401+HLOOKUP(I401,ElecAvoidedCostsWOCC!$A$5:$Q$50,G401+1,FALSE)*K401*J401-HLOOKUP(I401,ElecAvoidedCostsWOCC!$A$5:$Q$50,G401+1,FALSE)*L401*J401))</f>
        <v>0</v>
      </c>
      <c r="AN401" s="48">
        <f t="shared" si="149"/>
        <v>0</v>
      </c>
      <c r="AO401" s="47">
        <f t="shared" si="150"/>
        <v>0</v>
      </c>
      <c r="AP401" s="47" t="e">
        <f t="shared" si="151"/>
        <v>#DIV/0!</v>
      </c>
    </row>
    <row r="402" spans="2:42">
      <c r="B402" s="37"/>
      <c r="C402" s="61"/>
      <c r="D402" s="61"/>
      <c r="E402" s="38"/>
      <c r="F402" s="39"/>
      <c r="G402" s="39"/>
      <c r="H402" s="39"/>
      <c r="I402" s="40"/>
      <c r="J402" s="41"/>
      <c r="K402" s="41"/>
      <c r="L402" s="41"/>
      <c r="M402" s="42"/>
      <c r="N402" s="42"/>
      <c r="O402" s="43"/>
      <c r="P402" s="44"/>
      <c r="Q402" s="44"/>
      <c r="R402" s="45"/>
      <c r="S402" s="46"/>
      <c r="T402" s="39">
        <f t="shared" si="133"/>
        <v>0</v>
      </c>
      <c r="U402" s="47">
        <f t="shared" si="134"/>
        <v>0</v>
      </c>
      <c r="V402" s="48">
        <f t="shared" si="135"/>
        <v>0</v>
      </c>
      <c r="W402" s="49">
        <f t="shared" si="136"/>
        <v>0</v>
      </c>
      <c r="X402" s="44">
        <f t="shared" si="137"/>
        <v>0</v>
      </c>
      <c r="Y402" s="44">
        <f t="shared" si="138"/>
        <v>0</v>
      </c>
      <c r="Z402" s="44">
        <f t="shared" si="139"/>
        <v>0</v>
      </c>
      <c r="AA402" s="50">
        <f t="shared" si="140"/>
        <v>0</v>
      </c>
      <c r="AB402" s="51">
        <f t="shared" si="141"/>
        <v>0</v>
      </c>
      <c r="AC402" s="44">
        <f t="shared" si="142"/>
        <v>0</v>
      </c>
      <c r="AD402" s="44">
        <f t="shared" si="143"/>
        <v>0</v>
      </c>
      <c r="AE402" s="44">
        <f t="shared" si="144"/>
        <v>0</v>
      </c>
      <c r="AF402" s="52" t="e">
        <f>HLOOKUP(I402,ElecAvoidedCostsWOCC!$A$5:$Q$50,G402+1,FALSE)</f>
        <v>#N/A</v>
      </c>
      <c r="AG402" s="44" t="e">
        <f t="shared" si="145"/>
        <v>#N/A</v>
      </c>
      <c r="AH402" s="52" t="e">
        <f>HLOOKUP(I402,ElecAvoidedCostsWOCC!$A$5:$Q$50,T402+1,FALSE)</f>
        <v>#N/A</v>
      </c>
      <c r="AI402" s="44" t="e">
        <f t="shared" si="146"/>
        <v>#N/A</v>
      </c>
      <c r="AJ402" s="44" t="e">
        <f t="shared" si="147"/>
        <v>#N/A</v>
      </c>
      <c r="AK402" s="44" t="e">
        <f>HLOOKUP(I402,ElecAvoidedCostsWOCC!$A$5:$Q$50,G402+1,FALSE)*J402*L402</f>
        <v>#N/A</v>
      </c>
      <c r="AL402" s="44" t="e">
        <f t="shared" si="148"/>
        <v>#N/A</v>
      </c>
      <c r="AM402" s="48">
        <f>IF(O402=0,0,IF(H402=0, HLOOKUP(I402,ElecAvoidedCostsWOCC!$A$5:$Q$50,T402+1,FALSE)*K402*J402,HLOOKUP(I402,ElecAvoidedCostsWOCC!$A$5:$Q$50,T402+1,FALSE)*L402*J402+HLOOKUP(I402,ElecAvoidedCostsWOCC!$A$5:$Q$50,G402+1,FALSE)*K402*J402-HLOOKUP(I402,ElecAvoidedCostsWOCC!$A$5:$Q$50,G402+1,FALSE)*L402*J402))</f>
        <v>0</v>
      </c>
      <c r="AN402" s="48">
        <f t="shared" si="149"/>
        <v>0</v>
      </c>
      <c r="AO402" s="47">
        <f t="shared" si="150"/>
        <v>0</v>
      </c>
      <c r="AP402" s="47" t="e">
        <f t="shared" si="151"/>
        <v>#DIV/0!</v>
      </c>
    </row>
    <row r="403" spans="2:42">
      <c r="B403" s="37"/>
      <c r="C403" s="61"/>
      <c r="D403" s="61"/>
      <c r="E403" s="38"/>
      <c r="F403" s="39"/>
      <c r="G403" s="39"/>
      <c r="H403" s="39"/>
      <c r="I403" s="40"/>
      <c r="J403" s="41"/>
      <c r="K403" s="41"/>
      <c r="L403" s="41"/>
      <c r="M403" s="42"/>
      <c r="N403" s="42"/>
      <c r="O403" s="43"/>
      <c r="P403" s="44"/>
      <c r="Q403" s="44"/>
      <c r="R403" s="45"/>
      <c r="S403" s="46"/>
      <c r="T403" s="39">
        <f t="shared" si="133"/>
        <v>0</v>
      </c>
      <c r="U403" s="47">
        <f t="shared" si="134"/>
        <v>0</v>
      </c>
      <c r="V403" s="48">
        <f t="shared" si="135"/>
        <v>0</v>
      </c>
      <c r="W403" s="49">
        <f t="shared" si="136"/>
        <v>0</v>
      </c>
      <c r="X403" s="44">
        <f t="shared" si="137"/>
        <v>0</v>
      </c>
      <c r="Y403" s="44">
        <f t="shared" si="138"/>
        <v>0</v>
      </c>
      <c r="Z403" s="44">
        <f t="shared" si="139"/>
        <v>0</v>
      </c>
      <c r="AA403" s="50">
        <f t="shared" si="140"/>
        <v>0</v>
      </c>
      <c r="AB403" s="51">
        <f t="shared" si="141"/>
        <v>0</v>
      </c>
      <c r="AC403" s="44">
        <f t="shared" si="142"/>
        <v>0</v>
      </c>
      <c r="AD403" s="44">
        <f t="shared" si="143"/>
        <v>0</v>
      </c>
      <c r="AE403" s="44">
        <f t="shared" si="144"/>
        <v>0</v>
      </c>
      <c r="AF403" s="52" t="e">
        <f>HLOOKUP(I403,ElecAvoidedCostsWOCC!$A$5:$Q$50,G403+1,FALSE)</f>
        <v>#N/A</v>
      </c>
      <c r="AG403" s="44" t="e">
        <f t="shared" si="145"/>
        <v>#N/A</v>
      </c>
      <c r="AH403" s="52" t="e">
        <f>HLOOKUP(I403,ElecAvoidedCostsWOCC!$A$5:$Q$50,T403+1,FALSE)</f>
        <v>#N/A</v>
      </c>
      <c r="AI403" s="44" t="e">
        <f t="shared" si="146"/>
        <v>#N/A</v>
      </c>
      <c r="AJ403" s="44" t="e">
        <f t="shared" si="147"/>
        <v>#N/A</v>
      </c>
      <c r="AK403" s="44" t="e">
        <f>HLOOKUP(I403,ElecAvoidedCostsWOCC!$A$5:$Q$50,G403+1,FALSE)*J403*L403</f>
        <v>#N/A</v>
      </c>
      <c r="AL403" s="44" t="e">
        <f t="shared" si="148"/>
        <v>#N/A</v>
      </c>
      <c r="AM403" s="48">
        <f>IF(O403=0,0,IF(H403=0, HLOOKUP(I403,ElecAvoidedCostsWOCC!$A$5:$Q$50,T403+1,FALSE)*K403*J403,HLOOKUP(I403,ElecAvoidedCostsWOCC!$A$5:$Q$50,T403+1,FALSE)*L403*J403+HLOOKUP(I403,ElecAvoidedCostsWOCC!$A$5:$Q$50,G403+1,FALSE)*K403*J403-HLOOKUP(I403,ElecAvoidedCostsWOCC!$A$5:$Q$50,G403+1,FALSE)*L403*J403))</f>
        <v>0</v>
      </c>
      <c r="AN403" s="48">
        <f t="shared" si="149"/>
        <v>0</v>
      </c>
      <c r="AO403" s="47">
        <f t="shared" si="150"/>
        <v>0</v>
      </c>
      <c r="AP403" s="47" t="e">
        <f t="shared" si="151"/>
        <v>#DIV/0!</v>
      </c>
    </row>
    <row r="404" spans="2:42">
      <c r="B404" s="37"/>
      <c r="C404" s="61"/>
      <c r="D404" s="61"/>
      <c r="E404" s="38"/>
      <c r="F404" s="39"/>
      <c r="G404" s="39"/>
      <c r="H404" s="39"/>
      <c r="I404" s="40"/>
      <c r="J404" s="41"/>
      <c r="K404" s="41"/>
      <c r="L404" s="41"/>
      <c r="M404" s="42"/>
      <c r="N404" s="42"/>
      <c r="O404" s="43"/>
      <c r="P404" s="44"/>
      <c r="Q404" s="44"/>
      <c r="R404" s="45"/>
      <c r="S404" s="46"/>
      <c r="T404" s="39">
        <f t="shared" si="133"/>
        <v>0</v>
      </c>
      <c r="U404" s="47">
        <f t="shared" si="134"/>
        <v>0</v>
      </c>
      <c r="V404" s="48">
        <f t="shared" si="135"/>
        <v>0</v>
      </c>
      <c r="W404" s="49">
        <f t="shared" si="136"/>
        <v>0</v>
      </c>
      <c r="X404" s="44">
        <f t="shared" si="137"/>
        <v>0</v>
      </c>
      <c r="Y404" s="44">
        <f t="shared" si="138"/>
        <v>0</v>
      </c>
      <c r="Z404" s="44">
        <f t="shared" si="139"/>
        <v>0</v>
      </c>
      <c r="AA404" s="50">
        <f t="shared" si="140"/>
        <v>0</v>
      </c>
      <c r="AB404" s="51">
        <f t="shared" si="141"/>
        <v>0</v>
      </c>
      <c r="AC404" s="44">
        <f t="shared" si="142"/>
        <v>0</v>
      </c>
      <c r="AD404" s="44">
        <f t="shared" si="143"/>
        <v>0</v>
      </c>
      <c r="AE404" s="44">
        <f t="shared" si="144"/>
        <v>0</v>
      </c>
      <c r="AF404" s="52" t="e">
        <f>HLOOKUP(I404,ElecAvoidedCostsWOCC!$A$5:$Q$50,G404+1,FALSE)</f>
        <v>#N/A</v>
      </c>
      <c r="AG404" s="44" t="e">
        <f t="shared" si="145"/>
        <v>#N/A</v>
      </c>
      <c r="AH404" s="52" t="e">
        <f>HLOOKUP(I404,ElecAvoidedCostsWOCC!$A$5:$Q$50,T404+1,FALSE)</f>
        <v>#N/A</v>
      </c>
      <c r="AI404" s="44" t="e">
        <f t="shared" si="146"/>
        <v>#N/A</v>
      </c>
      <c r="AJ404" s="44" t="e">
        <f t="shared" si="147"/>
        <v>#N/A</v>
      </c>
      <c r="AK404" s="44" t="e">
        <f>HLOOKUP(I404,ElecAvoidedCostsWOCC!$A$5:$Q$50,G404+1,FALSE)*J404*L404</f>
        <v>#N/A</v>
      </c>
      <c r="AL404" s="44" t="e">
        <f t="shared" si="148"/>
        <v>#N/A</v>
      </c>
      <c r="AM404" s="48">
        <f>IF(O404=0,0,IF(H404=0, HLOOKUP(I404,ElecAvoidedCostsWOCC!$A$5:$Q$50,T404+1,FALSE)*K404*J404,HLOOKUP(I404,ElecAvoidedCostsWOCC!$A$5:$Q$50,T404+1,FALSE)*L404*J404+HLOOKUP(I404,ElecAvoidedCostsWOCC!$A$5:$Q$50,G404+1,FALSE)*K404*J404-HLOOKUP(I404,ElecAvoidedCostsWOCC!$A$5:$Q$50,G404+1,FALSE)*L404*J404))</f>
        <v>0</v>
      </c>
      <c r="AN404" s="48">
        <f t="shared" si="149"/>
        <v>0</v>
      </c>
      <c r="AO404" s="47">
        <f t="shared" si="150"/>
        <v>0</v>
      </c>
      <c r="AP404" s="47" t="e">
        <f t="shared" si="151"/>
        <v>#DIV/0!</v>
      </c>
    </row>
    <row r="405" spans="2:42">
      <c r="B405" s="37"/>
      <c r="C405" s="61"/>
      <c r="D405" s="61"/>
      <c r="E405" s="38"/>
      <c r="F405" s="39"/>
      <c r="G405" s="39"/>
      <c r="H405" s="39"/>
      <c r="I405" s="40"/>
      <c r="J405" s="41"/>
      <c r="K405" s="41"/>
      <c r="L405" s="41"/>
      <c r="M405" s="42"/>
      <c r="N405" s="42"/>
      <c r="O405" s="43"/>
      <c r="P405" s="44"/>
      <c r="Q405" s="44"/>
      <c r="R405" s="45"/>
      <c r="S405" s="46"/>
      <c r="T405" s="39">
        <f t="shared" si="133"/>
        <v>0</v>
      </c>
      <c r="U405" s="47">
        <f t="shared" si="134"/>
        <v>0</v>
      </c>
      <c r="V405" s="48">
        <f t="shared" si="135"/>
        <v>0</v>
      </c>
      <c r="W405" s="49">
        <f t="shared" si="136"/>
        <v>0</v>
      </c>
      <c r="X405" s="44">
        <f t="shared" si="137"/>
        <v>0</v>
      </c>
      <c r="Y405" s="44">
        <f t="shared" si="138"/>
        <v>0</v>
      </c>
      <c r="Z405" s="44">
        <f t="shared" si="139"/>
        <v>0</v>
      </c>
      <c r="AA405" s="50">
        <f t="shared" si="140"/>
        <v>0</v>
      </c>
      <c r="AB405" s="51">
        <f t="shared" si="141"/>
        <v>0</v>
      </c>
      <c r="AC405" s="44">
        <f t="shared" si="142"/>
        <v>0</v>
      </c>
      <c r="AD405" s="44">
        <f t="shared" si="143"/>
        <v>0</v>
      </c>
      <c r="AE405" s="44">
        <f t="shared" si="144"/>
        <v>0</v>
      </c>
      <c r="AF405" s="52" t="e">
        <f>HLOOKUP(I405,ElecAvoidedCostsWOCC!$A$5:$Q$50,G405+1,FALSE)</f>
        <v>#N/A</v>
      </c>
      <c r="AG405" s="44" t="e">
        <f t="shared" si="145"/>
        <v>#N/A</v>
      </c>
      <c r="AH405" s="52" t="e">
        <f>HLOOKUP(I405,ElecAvoidedCostsWOCC!$A$5:$Q$50,T405+1,FALSE)</f>
        <v>#N/A</v>
      </c>
      <c r="AI405" s="44" t="e">
        <f t="shared" si="146"/>
        <v>#N/A</v>
      </c>
      <c r="AJ405" s="44" t="e">
        <f t="shared" si="147"/>
        <v>#N/A</v>
      </c>
      <c r="AK405" s="44" t="e">
        <f>HLOOKUP(I405,ElecAvoidedCostsWOCC!$A$5:$Q$50,G405+1,FALSE)*J405*L405</f>
        <v>#N/A</v>
      </c>
      <c r="AL405" s="44" t="e">
        <f t="shared" si="148"/>
        <v>#N/A</v>
      </c>
      <c r="AM405" s="48">
        <f>IF(O405=0,0,IF(H405=0, HLOOKUP(I405,ElecAvoidedCostsWOCC!$A$5:$Q$50,T405+1,FALSE)*K405*J405,HLOOKUP(I405,ElecAvoidedCostsWOCC!$A$5:$Q$50,T405+1,FALSE)*L405*J405+HLOOKUP(I405,ElecAvoidedCostsWOCC!$A$5:$Q$50,G405+1,FALSE)*K405*J405-HLOOKUP(I405,ElecAvoidedCostsWOCC!$A$5:$Q$50,G405+1,FALSE)*L405*J405))</f>
        <v>0</v>
      </c>
      <c r="AN405" s="48">
        <f t="shared" si="149"/>
        <v>0</v>
      </c>
      <c r="AO405" s="47">
        <f t="shared" si="150"/>
        <v>0</v>
      </c>
      <c r="AP405" s="47" t="e">
        <f t="shared" si="151"/>
        <v>#DIV/0!</v>
      </c>
    </row>
    <row r="406" spans="2:42">
      <c r="B406" s="37"/>
      <c r="C406" s="61"/>
      <c r="D406" s="61"/>
      <c r="E406" s="38"/>
      <c r="F406" s="39"/>
      <c r="G406" s="39"/>
      <c r="H406" s="39"/>
      <c r="I406" s="40"/>
      <c r="J406" s="41"/>
      <c r="K406" s="41"/>
      <c r="L406" s="41"/>
      <c r="M406" s="42"/>
      <c r="N406" s="42"/>
      <c r="O406" s="43"/>
      <c r="P406" s="44"/>
      <c r="Q406" s="44"/>
      <c r="R406" s="45"/>
      <c r="S406" s="46"/>
      <c r="T406" s="39">
        <f t="shared" si="133"/>
        <v>0</v>
      </c>
      <c r="U406" s="47">
        <f t="shared" si="134"/>
        <v>0</v>
      </c>
      <c r="V406" s="48">
        <f t="shared" si="135"/>
        <v>0</v>
      </c>
      <c r="W406" s="49">
        <f t="shared" si="136"/>
        <v>0</v>
      </c>
      <c r="X406" s="44">
        <f t="shared" si="137"/>
        <v>0</v>
      </c>
      <c r="Y406" s="44">
        <f t="shared" si="138"/>
        <v>0</v>
      </c>
      <c r="Z406" s="44">
        <f t="shared" si="139"/>
        <v>0</v>
      </c>
      <c r="AA406" s="50">
        <f t="shared" si="140"/>
        <v>0</v>
      </c>
      <c r="AB406" s="51">
        <f t="shared" si="141"/>
        <v>0</v>
      </c>
      <c r="AC406" s="44">
        <f t="shared" si="142"/>
        <v>0</v>
      </c>
      <c r="AD406" s="44">
        <f t="shared" si="143"/>
        <v>0</v>
      </c>
      <c r="AE406" s="44">
        <f t="shared" si="144"/>
        <v>0</v>
      </c>
      <c r="AF406" s="52" t="e">
        <f>HLOOKUP(I406,ElecAvoidedCostsWOCC!$A$5:$Q$50,G406+1,FALSE)</f>
        <v>#N/A</v>
      </c>
      <c r="AG406" s="44" t="e">
        <f t="shared" si="145"/>
        <v>#N/A</v>
      </c>
      <c r="AH406" s="52" t="e">
        <f>HLOOKUP(I406,ElecAvoidedCostsWOCC!$A$5:$Q$50,T406+1,FALSE)</f>
        <v>#N/A</v>
      </c>
      <c r="AI406" s="44" t="e">
        <f t="shared" si="146"/>
        <v>#N/A</v>
      </c>
      <c r="AJ406" s="44" t="e">
        <f t="shared" si="147"/>
        <v>#N/A</v>
      </c>
      <c r="AK406" s="44" t="e">
        <f>HLOOKUP(I406,ElecAvoidedCostsWOCC!$A$5:$Q$50,G406+1,FALSE)*J406*L406</f>
        <v>#N/A</v>
      </c>
      <c r="AL406" s="44" t="e">
        <f t="shared" si="148"/>
        <v>#N/A</v>
      </c>
      <c r="AM406" s="48">
        <f>IF(O406=0,0,IF(H406=0, HLOOKUP(I406,ElecAvoidedCostsWOCC!$A$5:$Q$50,T406+1,FALSE)*K406*J406,HLOOKUP(I406,ElecAvoidedCostsWOCC!$A$5:$Q$50,T406+1,FALSE)*L406*J406+HLOOKUP(I406,ElecAvoidedCostsWOCC!$A$5:$Q$50,G406+1,FALSE)*K406*J406-HLOOKUP(I406,ElecAvoidedCostsWOCC!$A$5:$Q$50,G406+1,FALSE)*L406*J406))</f>
        <v>0</v>
      </c>
      <c r="AN406" s="48">
        <f t="shared" si="149"/>
        <v>0</v>
      </c>
      <c r="AO406" s="47">
        <f t="shared" si="150"/>
        <v>0</v>
      </c>
      <c r="AP406" s="47" t="e">
        <f t="shared" si="151"/>
        <v>#DIV/0!</v>
      </c>
    </row>
    <row r="407" spans="2:42">
      <c r="B407" s="37"/>
      <c r="C407" s="61"/>
      <c r="D407" s="61"/>
      <c r="E407" s="38"/>
      <c r="F407" s="39"/>
      <c r="G407" s="39"/>
      <c r="H407" s="39"/>
      <c r="I407" s="40"/>
      <c r="J407" s="41"/>
      <c r="K407" s="41"/>
      <c r="L407" s="41"/>
      <c r="M407" s="42"/>
      <c r="N407" s="42"/>
      <c r="O407" s="43"/>
      <c r="P407" s="44"/>
      <c r="Q407" s="44"/>
      <c r="R407" s="45"/>
      <c r="S407" s="46"/>
      <c r="T407" s="39">
        <f t="shared" si="133"/>
        <v>0</v>
      </c>
      <c r="U407" s="47">
        <f t="shared" si="134"/>
        <v>0</v>
      </c>
      <c r="V407" s="48">
        <f t="shared" si="135"/>
        <v>0</v>
      </c>
      <c r="W407" s="49">
        <f t="shared" si="136"/>
        <v>0</v>
      </c>
      <c r="X407" s="44">
        <f t="shared" si="137"/>
        <v>0</v>
      </c>
      <c r="Y407" s="44">
        <f t="shared" si="138"/>
        <v>0</v>
      </c>
      <c r="Z407" s="44">
        <f t="shared" si="139"/>
        <v>0</v>
      </c>
      <c r="AA407" s="50">
        <f t="shared" si="140"/>
        <v>0</v>
      </c>
      <c r="AB407" s="51">
        <f t="shared" si="141"/>
        <v>0</v>
      </c>
      <c r="AC407" s="44">
        <f t="shared" si="142"/>
        <v>0</v>
      </c>
      <c r="AD407" s="44">
        <f t="shared" si="143"/>
        <v>0</v>
      </c>
      <c r="AE407" s="44">
        <f t="shared" si="144"/>
        <v>0</v>
      </c>
      <c r="AF407" s="52" t="e">
        <f>HLOOKUP(I407,ElecAvoidedCostsWOCC!$A$5:$Q$50,G407+1,FALSE)</f>
        <v>#N/A</v>
      </c>
      <c r="AG407" s="44" t="e">
        <f t="shared" si="145"/>
        <v>#N/A</v>
      </c>
      <c r="AH407" s="52" t="e">
        <f>HLOOKUP(I407,ElecAvoidedCostsWOCC!$A$5:$Q$50,T407+1,FALSE)</f>
        <v>#N/A</v>
      </c>
      <c r="AI407" s="44" t="e">
        <f t="shared" si="146"/>
        <v>#N/A</v>
      </c>
      <c r="AJ407" s="44" t="e">
        <f t="shared" si="147"/>
        <v>#N/A</v>
      </c>
      <c r="AK407" s="44" t="e">
        <f>HLOOKUP(I407,ElecAvoidedCostsWOCC!$A$5:$Q$50,G407+1,FALSE)*J407*L407</f>
        <v>#N/A</v>
      </c>
      <c r="AL407" s="44" t="e">
        <f t="shared" si="148"/>
        <v>#N/A</v>
      </c>
      <c r="AM407" s="48">
        <f>IF(O407=0,0,IF(H407=0, HLOOKUP(I407,ElecAvoidedCostsWOCC!$A$5:$Q$50,T407+1,FALSE)*K407*J407,HLOOKUP(I407,ElecAvoidedCostsWOCC!$A$5:$Q$50,T407+1,FALSE)*L407*J407+HLOOKUP(I407,ElecAvoidedCostsWOCC!$A$5:$Q$50,G407+1,FALSE)*K407*J407-HLOOKUP(I407,ElecAvoidedCostsWOCC!$A$5:$Q$50,G407+1,FALSE)*L407*J407))</f>
        <v>0</v>
      </c>
      <c r="AN407" s="48">
        <f t="shared" si="149"/>
        <v>0</v>
      </c>
      <c r="AO407" s="47">
        <f t="shared" si="150"/>
        <v>0</v>
      </c>
      <c r="AP407" s="47" t="e">
        <f t="shared" si="151"/>
        <v>#DIV/0!</v>
      </c>
    </row>
    <row r="408" spans="2:42">
      <c r="B408" s="37"/>
      <c r="C408" s="61"/>
      <c r="D408" s="61"/>
      <c r="E408" s="38"/>
      <c r="F408" s="39"/>
      <c r="G408" s="39"/>
      <c r="H408" s="39"/>
      <c r="I408" s="40"/>
      <c r="J408" s="41"/>
      <c r="K408" s="41"/>
      <c r="L408" s="41"/>
      <c r="M408" s="42"/>
      <c r="N408" s="42"/>
      <c r="O408" s="43"/>
      <c r="P408" s="44"/>
      <c r="Q408" s="44"/>
      <c r="R408" s="45"/>
      <c r="S408" s="46"/>
      <c r="T408" s="39">
        <f t="shared" si="133"/>
        <v>0</v>
      </c>
      <c r="U408" s="47">
        <f t="shared" si="134"/>
        <v>0</v>
      </c>
      <c r="V408" s="48">
        <f t="shared" si="135"/>
        <v>0</v>
      </c>
      <c r="W408" s="49">
        <f t="shared" si="136"/>
        <v>0</v>
      </c>
      <c r="X408" s="44">
        <f t="shared" si="137"/>
        <v>0</v>
      </c>
      <c r="Y408" s="44">
        <f t="shared" si="138"/>
        <v>0</v>
      </c>
      <c r="Z408" s="44">
        <f t="shared" si="139"/>
        <v>0</v>
      </c>
      <c r="AA408" s="50">
        <f t="shared" si="140"/>
        <v>0</v>
      </c>
      <c r="AB408" s="51">
        <f t="shared" si="141"/>
        <v>0</v>
      </c>
      <c r="AC408" s="44">
        <f t="shared" si="142"/>
        <v>0</v>
      </c>
      <c r="AD408" s="44">
        <f t="shared" si="143"/>
        <v>0</v>
      </c>
      <c r="AE408" s="44">
        <f t="shared" si="144"/>
        <v>0</v>
      </c>
      <c r="AF408" s="52" t="e">
        <f>HLOOKUP(I408,ElecAvoidedCostsWOCC!$A$5:$Q$50,G408+1,FALSE)</f>
        <v>#N/A</v>
      </c>
      <c r="AG408" s="44" t="e">
        <f t="shared" si="145"/>
        <v>#N/A</v>
      </c>
      <c r="AH408" s="52" t="e">
        <f>HLOOKUP(I408,ElecAvoidedCostsWOCC!$A$5:$Q$50,T408+1,FALSE)</f>
        <v>#N/A</v>
      </c>
      <c r="AI408" s="44" t="e">
        <f t="shared" si="146"/>
        <v>#N/A</v>
      </c>
      <c r="AJ408" s="44" t="e">
        <f t="shared" si="147"/>
        <v>#N/A</v>
      </c>
      <c r="AK408" s="44" t="e">
        <f>HLOOKUP(I408,ElecAvoidedCostsWOCC!$A$5:$Q$50,G408+1,FALSE)*J408*L408</f>
        <v>#N/A</v>
      </c>
      <c r="AL408" s="44" t="e">
        <f t="shared" si="148"/>
        <v>#N/A</v>
      </c>
      <c r="AM408" s="48">
        <f>IF(O408=0,0,IF(H408=0, HLOOKUP(I408,ElecAvoidedCostsWOCC!$A$5:$Q$50,T408+1,FALSE)*K408*J408,HLOOKUP(I408,ElecAvoidedCostsWOCC!$A$5:$Q$50,T408+1,FALSE)*L408*J408+HLOOKUP(I408,ElecAvoidedCostsWOCC!$A$5:$Q$50,G408+1,FALSE)*K408*J408-HLOOKUP(I408,ElecAvoidedCostsWOCC!$A$5:$Q$50,G408+1,FALSE)*L408*J408))</f>
        <v>0</v>
      </c>
      <c r="AN408" s="48">
        <f t="shared" si="149"/>
        <v>0</v>
      </c>
      <c r="AO408" s="47">
        <f t="shared" si="150"/>
        <v>0</v>
      </c>
      <c r="AP408" s="47" t="e">
        <f t="shared" si="151"/>
        <v>#DIV/0!</v>
      </c>
    </row>
    <row r="409" spans="2:42">
      <c r="B409" s="37"/>
      <c r="C409" s="61"/>
      <c r="D409" s="61"/>
      <c r="E409" s="38"/>
      <c r="F409" s="39"/>
      <c r="G409" s="39"/>
      <c r="H409" s="39"/>
      <c r="I409" s="40"/>
      <c r="J409" s="41"/>
      <c r="K409" s="41"/>
      <c r="L409" s="41"/>
      <c r="M409" s="42"/>
      <c r="N409" s="42"/>
      <c r="O409" s="43"/>
      <c r="P409" s="44"/>
      <c r="Q409" s="44"/>
      <c r="R409" s="45"/>
      <c r="S409" s="46"/>
      <c r="T409" s="39">
        <f t="shared" si="133"/>
        <v>0</v>
      </c>
      <c r="U409" s="47">
        <f t="shared" si="134"/>
        <v>0</v>
      </c>
      <c r="V409" s="48">
        <f t="shared" si="135"/>
        <v>0</v>
      </c>
      <c r="W409" s="49">
        <f t="shared" si="136"/>
        <v>0</v>
      </c>
      <c r="X409" s="44">
        <f t="shared" si="137"/>
        <v>0</v>
      </c>
      <c r="Y409" s="44">
        <f t="shared" si="138"/>
        <v>0</v>
      </c>
      <c r="Z409" s="44">
        <f t="shared" si="139"/>
        <v>0</v>
      </c>
      <c r="AA409" s="50">
        <f t="shared" si="140"/>
        <v>0</v>
      </c>
      <c r="AB409" s="51">
        <f t="shared" si="141"/>
        <v>0</v>
      </c>
      <c r="AC409" s="44">
        <f t="shared" si="142"/>
        <v>0</v>
      </c>
      <c r="AD409" s="44">
        <f t="shared" si="143"/>
        <v>0</v>
      </c>
      <c r="AE409" s="44">
        <f t="shared" si="144"/>
        <v>0</v>
      </c>
      <c r="AF409" s="52" t="e">
        <f>HLOOKUP(I409,ElecAvoidedCostsWOCC!$A$5:$Q$50,G409+1,FALSE)</f>
        <v>#N/A</v>
      </c>
      <c r="AG409" s="44" t="e">
        <f t="shared" si="145"/>
        <v>#N/A</v>
      </c>
      <c r="AH409" s="52" t="e">
        <f>HLOOKUP(I409,ElecAvoidedCostsWOCC!$A$5:$Q$50,T409+1,FALSE)</f>
        <v>#N/A</v>
      </c>
      <c r="AI409" s="44" t="e">
        <f t="shared" si="146"/>
        <v>#N/A</v>
      </c>
      <c r="AJ409" s="44" t="e">
        <f t="shared" si="147"/>
        <v>#N/A</v>
      </c>
      <c r="AK409" s="44" t="e">
        <f>HLOOKUP(I409,ElecAvoidedCostsWOCC!$A$5:$Q$50,G409+1,FALSE)*J409*L409</f>
        <v>#N/A</v>
      </c>
      <c r="AL409" s="44" t="e">
        <f t="shared" si="148"/>
        <v>#N/A</v>
      </c>
      <c r="AM409" s="48">
        <f>IF(O409=0,0,IF(H409=0, HLOOKUP(I409,ElecAvoidedCostsWOCC!$A$5:$Q$50,T409+1,FALSE)*K409*J409,HLOOKUP(I409,ElecAvoidedCostsWOCC!$A$5:$Q$50,T409+1,FALSE)*L409*J409+HLOOKUP(I409,ElecAvoidedCostsWOCC!$A$5:$Q$50,G409+1,FALSE)*K409*J409-HLOOKUP(I409,ElecAvoidedCostsWOCC!$A$5:$Q$50,G409+1,FALSE)*L409*J409))</f>
        <v>0</v>
      </c>
      <c r="AN409" s="48">
        <f t="shared" si="149"/>
        <v>0</v>
      </c>
      <c r="AO409" s="47">
        <f t="shared" si="150"/>
        <v>0</v>
      </c>
      <c r="AP409" s="47" t="e">
        <f t="shared" si="151"/>
        <v>#DIV/0!</v>
      </c>
    </row>
    <row r="410" spans="2:42">
      <c r="B410" s="37"/>
      <c r="C410" s="61"/>
      <c r="D410" s="61"/>
      <c r="E410" s="38"/>
      <c r="F410" s="39"/>
      <c r="G410" s="39"/>
      <c r="H410" s="39"/>
      <c r="I410" s="40"/>
      <c r="J410" s="41"/>
      <c r="K410" s="41"/>
      <c r="L410" s="41"/>
      <c r="M410" s="42"/>
      <c r="N410" s="42"/>
      <c r="O410" s="43"/>
      <c r="P410" s="44"/>
      <c r="Q410" s="44"/>
      <c r="R410" s="45"/>
      <c r="S410" s="46"/>
      <c r="T410" s="39">
        <f t="shared" si="133"/>
        <v>0</v>
      </c>
      <c r="U410" s="47">
        <f t="shared" si="134"/>
        <v>0</v>
      </c>
      <c r="V410" s="48">
        <f t="shared" si="135"/>
        <v>0</v>
      </c>
      <c r="W410" s="49">
        <f t="shared" si="136"/>
        <v>0</v>
      </c>
      <c r="X410" s="44">
        <f t="shared" si="137"/>
        <v>0</v>
      </c>
      <c r="Y410" s="44">
        <f t="shared" si="138"/>
        <v>0</v>
      </c>
      <c r="Z410" s="44">
        <f t="shared" si="139"/>
        <v>0</v>
      </c>
      <c r="AA410" s="50">
        <f t="shared" si="140"/>
        <v>0</v>
      </c>
      <c r="AB410" s="51">
        <f t="shared" si="141"/>
        <v>0</v>
      </c>
      <c r="AC410" s="44">
        <f t="shared" si="142"/>
        <v>0</v>
      </c>
      <c r="AD410" s="44">
        <f t="shared" si="143"/>
        <v>0</v>
      </c>
      <c r="AE410" s="44">
        <f t="shared" si="144"/>
        <v>0</v>
      </c>
      <c r="AF410" s="52" t="e">
        <f>HLOOKUP(I410,ElecAvoidedCostsWOCC!$A$5:$Q$50,G410+1,FALSE)</f>
        <v>#N/A</v>
      </c>
      <c r="AG410" s="44" t="e">
        <f t="shared" si="145"/>
        <v>#N/A</v>
      </c>
      <c r="AH410" s="52" t="e">
        <f>HLOOKUP(I410,ElecAvoidedCostsWOCC!$A$5:$Q$50,T410+1,FALSE)</f>
        <v>#N/A</v>
      </c>
      <c r="AI410" s="44" t="e">
        <f t="shared" si="146"/>
        <v>#N/A</v>
      </c>
      <c r="AJ410" s="44" t="e">
        <f t="shared" si="147"/>
        <v>#N/A</v>
      </c>
      <c r="AK410" s="44" t="e">
        <f>HLOOKUP(I410,ElecAvoidedCostsWOCC!$A$5:$Q$50,G410+1,FALSE)*J410*L410</f>
        <v>#N/A</v>
      </c>
      <c r="AL410" s="44" t="e">
        <f t="shared" si="148"/>
        <v>#N/A</v>
      </c>
      <c r="AM410" s="48">
        <f>IF(O410=0,0,IF(H410=0, HLOOKUP(I410,ElecAvoidedCostsWOCC!$A$5:$Q$50,T410+1,FALSE)*K410*J410,HLOOKUP(I410,ElecAvoidedCostsWOCC!$A$5:$Q$50,T410+1,FALSE)*L410*J410+HLOOKUP(I410,ElecAvoidedCostsWOCC!$A$5:$Q$50,G410+1,FALSE)*K410*J410-HLOOKUP(I410,ElecAvoidedCostsWOCC!$A$5:$Q$50,G410+1,FALSE)*L410*J410))</f>
        <v>0</v>
      </c>
      <c r="AN410" s="48">
        <f t="shared" si="149"/>
        <v>0</v>
      </c>
      <c r="AO410" s="47">
        <f t="shared" si="150"/>
        <v>0</v>
      </c>
      <c r="AP410" s="47" t="e">
        <f t="shared" si="151"/>
        <v>#DIV/0!</v>
      </c>
    </row>
    <row r="411" spans="2:42">
      <c r="B411" s="37"/>
      <c r="C411" s="61"/>
      <c r="D411" s="61"/>
      <c r="E411" s="38"/>
      <c r="F411" s="39"/>
      <c r="G411" s="39"/>
      <c r="H411" s="39"/>
      <c r="I411" s="40"/>
      <c r="J411" s="41"/>
      <c r="K411" s="41"/>
      <c r="L411" s="41"/>
      <c r="M411" s="42"/>
      <c r="N411" s="42"/>
      <c r="O411" s="43"/>
      <c r="P411" s="44"/>
      <c r="Q411" s="44"/>
      <c r="R411" s="45"/>
      <c r="S411" s="46"/>
      <c r="T411" s="39">
        <f t="shared" si="133"/>
        <v>0</v>
      </c>
      <c r="U411" s="47">
        <f t="shared" si="134"/>
        <v>0</v>
      </c>
      <c r="V411" s="48">
        <f t="shared" si="135"/>
        <v>0</v>
      </c>
      <c r="W411" s="49">
        <f t="shared" si="136"/>
        <v>0</v>
      </c>
      <c r="X411" s="44">
        <f t="shared" si="137"/>
        <v>0</v>
      </c>
      <c r="Y411" s="44">
        <f t="shared" si="138"/>
        <v>0</v>
      </c>
      <c r="Z411" s="44">
        <f t="shared" si="139"/>
        <v>0</v>
      </c>
      <c r="AA411" s="50">
        <f t="shared" si="140"/>
        <v>0</v>
      </c>
      <c r="AB411" s="51">
        <f t="shared" si="141"/>
        <v>0</v>
      </c>
      <c r="AC411" s="44">
        <f t="shared" si="142"/>
        <v>0</v>
      </c>
      <c r="AD411" s="44">
        <f t="shared" si="143"/>
        <v>0</v>
      </c>
      <c r="AE411" s="44">
        <f t="shared" si="144"/>
        <v>0</v>
      </c>
      <c r="AF411" s="52" t="e">
        <f>HLOOKUP(I411,ElecAvoidedCostsWOCC!$A$5:$Q$50,G411+1,FALSE)</f>
        <v>#N/A</v>
      </c>
      <c r="AG411" s="44" t="e">
        <f t="shared" si="145"/>
        <v>#N/A</v>
      </c>
      <c r="AH411" s="52" t="e">
        <f>HLOOKUP(I411,ElecAvoidedCostsWOCC!$A$5:$Q$50,T411+1,FALSE)</f>
        <v>#N/A</v>
      </c>
      <c r="AI411" s="44" t="e">
        <f t="shared" si="146"/>
        <v>#N/A</v>
      </c>
      <c r="AJ411" s="44" t="e">
        <f t="shared" si="147"/>
        <v>#N/A</v>
      </c>
      <c r="AK411" s="44" t="e">
        <f>HLOOKUP(I411,ElecAvoidedCostsWOCC!$A$5:$Q$50,G411+1,FALSE)*J411*L411</f>
        <v>#N/A</v>
      </c>
      <c r="AL411" s="44" t="e">
        <f t="shared" si="148"/>
        <v>#N/A</v>
      </c>
      <c r="AM411" s="48">
        <f>IF(O411=0,0,IF(H411=0, HLOOKUP(I411,ElecAvoidedCostsWOCC!$A$5:$Q$50,T411+1,FALSE)*K411*J411,HLOOKUP(I411,ElecAvoidedCostsWOCC!$A$5:$Q$50,T411+1,FALSE)*L411*J411+HLOOKUP(I411,ElecAvoidedCostsWOCC!$A$5:$Q$50,G411+1,FALSE)*K411*J411-HLOOKUP(I411,ElecAvoidedCostsWOCC!$A$5:$Q$50,G411+1,FALSE)*L411*J411))</f>
        <v>0</v>
      </c>
      <c r="AN411" s="48">
        <f t="shared" si="149"/>
        <v>0</v>
      </c>
      <c r="AO411" s="47">
        <f t="shared" si="150"/>
        <v>0</v>
      </c>
      <c r="AP411" s="47" t="e">
        <f t="shared" si="151"/>
        <v>#DIV/0!</v>
      </c>
    </row>
    <row r="412" spans="2:42">
      <c r="B412" s="37"/>
      <c r="C412" s="61"/>
      <c r="D412" s="61"/>
      <c r="E412" s="38"/>
      <c r="F412" s="39"/>
      <c r="G412" s="39"/>
      <c r="H412" s="39"/>
      <c r="I412" s="40"/>
      <c r="J412" s="41"/>
      <c r="K412" s="41"/>
      <c r="L412" s="41"/>
      <c r="M412" s="42"/>
      <c r="N412" s="42"/>
      <c r="O412" s="43"/>
      <c r="P412" s="44"/>
      <c r="Q412" s="44"/>
      <c r="R412" s="45"/>
      <c r="S412" s="46"/>
      <c r="T412" s="39">
        <f t="shared" si="133"/>
        <v>0</v>
      </c>
      <c r="U412" s="47">
        <f t="shared" si="134"/>
        <v>0</v>
      </c>
      <c r="V412" s="48">
        <f t="shared" si="135"/>
        <v>0</v>
      </c>
      <c r="W412" s="49">
        <f t="shared" si="136"/>
        <v>0</v>
      </c>
      <c r="X412" s="44">
        <f t="shared" si="137"/>
        <v>0</v>
      </c>
      <c r="Y412" s="44">
        <f t="shared" si="138"/>
        <v>0</v>
      </c>
      <c r="Z412" s="44">
        <f t="shared" si="139"/>
        <v>0</v>
      </c>
      <c r="AA412" s="50">
        <f t="shared" si="140"/>
        <v>0</v>
      </c>
      <c r="AB412" s="51">
        <f t="shared" si="141"/>
        <v>0</v>
      </c>
      <c r="AC412" s="44">
        <f t="shared" si="142"/>
        <v>0</v>
      </c>
      <c r="AD412" s="44">
        <f t="shared" si="143"/>
        <v>0</v>
      </c>
      <c r="AE412" s="44">
        <f t="shared" si="144"/>
        <v>0</v>
      </c>
      <c r="AF412" s="52" t="e">
        <f>HLOOKUP(I412,ElecAvoidedCostsWOCC!$A$5:$Q$50,G412+1,FALSE)</f>
        <v>#N/A</v>
      </c>
      <c r="AG412" s="44" t="e">
        <f t="shared" si="145"/>
        <v>#N/A</v>
      </c>
      <c r="AH412" s="52" t="e">
        <f>HLOOKUP(I412,ElecAvoidedCostsWOCC!$A$5:$Q$50,T412+1,FALSE)</f>
        <v>#N/A</v>
      </c>
      <c r="AI412" s="44" t="e">
        <f t="shared" si="146"/>
        <v>#N/A</v>
      </c>
      <c r="AJ412" s="44" t="e">
        <f t="shared" si="147"/>
        <v>#N/A</v>
      </c>
      <c r="AK412" s="44" t="e">
        <f>HLOOKUP(I412,ElecAvoidedCostsWOCC!$A$5:$Q$50,G412+1,FALSE)*J412*L412</f>
        <v>#N/A</v>
      </c>
      <c r="AL412" s="44" t="e">
        <f t="shared" si="148"/>
        <v>#N/A</v>
      </c>
      <c r="AM412" s="48">
        <f>IF(O412=0,0,IF(H412=0, HLOOKUP(I412,ElecAvoidedCostsWOCC!$A$5:$Q$50,T412+1,FALSE)*K412*J412,HLOOKUP(I412,ElecAvoidedCostsWOCC!$A$5:$Q$50,T412+1,FALSE)*L412*J412+HLOOKUP(I412,ElecAvoidedCostsWOCC!$A$5:$Q$50,G412+1,FALSE)*K412*J412-HLOOKUP(I412,ElecAvoidedCostsWOCC!$A$5:$Q$50,G412+1,FALSE)*L412*J412))</f>
        <v>0</v>
      </c>
      <c r="AN412" s="48">
        <f t="shared" si="149"/>
        <v>0</v>
      </c>
      <c r="AO412" s="47">
        <f t="shared" si="150"/>
        <v>0</v>
      </c>
      <c r="AP412" s="47" t="e">
        <f t="shared" si="151"/>
        <v>#DIV/0!</v>
      </c>
    </row>
    <row r="413" spans="2:42">
      <c r="B413" s="37"/>
      <c r="C413" s="61"/>
      <c r="D413" s="61"/>
      <c r="E413" s="38"/>
      <c r="F413" s="39"/>
      <c r="G413" s="39"/>
      <c r="H413" s="39"/>
      <c r="I413" s="40"/>
      <c r="J413" s="41"/>
      <c r="K413" s="41"/>
      <c r="L413" s="41"/>
      <c r="M413" s="42"/>
      <c r="N413" s="42"/>
      <c r="O413" s="43"/>
      <c r="P413" s="44"/>
      <c r="Q413" s="44"/>
      <c r="R413" s="45"/>
      <c r="S413" s="46"/>
      <c r="T413" s="39">
        <f t="shared" si="133"/>
        <v>0</v>
      </c>
      <c r="U413" s="47">
        <f t="shared" si="134"/>
        <v>0</v>
      </c>
      <c r="V413" s="48">
        <f t="shared" si="135"/>
        <v>0</v>
      </c>
      <c r="W413" s="49">
        <f t="shared" si="136"/>
        <v>0</v>
      </c>
      <c r="X413" s="44">
        <f t="shared" si="137"/>
        <v>0</v>
      </c>
      <c r="Y413" s="44">
        <f t="shared" si="138"/>
        <v>0</v>
      </c>
      <c r="Z413" s="44">
        <f t="shared" si="139"/>
        <v>0</v>
      </c>
      <c r="AA413" s="50">
        <f t="shared" si="140"/>
        <v>0</v>
      </c>
      <c r="AB413" s="51">
        <f t="shared" si="141"/>
        <v>0</v>
      </c>
      <c r="AC413" s="44">
        <f t="shared" si="142"/>
        <v>0</v>
      </c>
      <c r="AD413" s="44">
        <f t="shared" si="143"/>
        <v>0</v>
      </c>
      <c r="AE413" s="44">
        <f t="shared" si="144"/>
        <v>0</v>
      </c>
      <c r="AF413" s="52" t="e">
        <f>HLOOKUP(I413,ElecAvoidedCostsWOCC!$A$5:$Q$50,G413+1,FALSE)</f>
        <v>#N/A</v>
      </c>
      <c r="AG413" s="44" t="e">
        <f t="shared" si="145"/>
        <v>#N/A</v>
      </c>
      <c r="AH413" s="52" t="e">
        <f>HLOOKUP(I413,ElecAvoidedCostsWOCC!$A$5:$Q$50,T413+1,FALSE)</f>
        <v>#N/A</v>
      </c>
      <c r="AI413" s="44" t="e">
        <f t="shared" si="146"/>
        <v>#N/A</v>
      </c>
      <c r="AJ413" s="44" t="e">
        <f t="shared" si="147"/>
        <v>#N/A</v>
      </c>
      <c r="AK413" s="44" t="e">
        <f>HLOOKUP(I413,ElecAvoidedCostsWOCC!$A$5:$Q$50,G413+1,FALSE)*J413*L413</f>
        <v>#N/A</v>
      </c>
      <c r="AL413" s="44" t="e">
        <f t="shared" si="148"/>
        <v>#N/A</v>
      </c>
      <c r="AM413" s="48">
        <f>IF(O413=0,0,IF(H413=0, HLOOKUP(I413,ElecAvoidedCostsWOCC!$A$5:$Q$50,T413+1,FALSE)*K413*J413,HLOOKUP(I413,ElecAvoidedCostsWOCC!$A$5:$Q$50,T413+1,FALSE)*L413*J413+HLOOKUP(I413,ElecAvoidedCostsWOCC!$A$5:$Q$50,G413+1,FALSE)*K413*J413-HLOOKUP(I413,ElecAvoidedCostsWOCC!$A$5:$Q$50,G413+1,FALSE)*L413*J413))</f>
        <v>0</v>
      </c>
      <c r="AN413" s="48">
        <f t="shared" si="149"/>
        <v>0</v>
      </c>
      <c r="AO413" s="47">
        <f t="shared" si="150"/>
        <v>0</v>
      </c>
      <c r="AP413" s="47" t="e">
        <f t="shared" si="151"/>
        <v>#DIV/0!</v>
      </c>
    </row>
    <row r="414" spans="2:42">
      <c r="B414" s="37"/>
      <c r="C414" s="61"/>
      <c r="D414" s="61"/>
      <c r="E414" s="38"/>
      <c r="F414" s="39"/>
      <c r="G414" s="39"/>
      <c r="H414" s="39"/>
      <c r="I414" s="40"/>
      <c r="J414" s="41"/>
      <c r="K414" s="41"/>
      <c r="L414" s="41"/>
      <c r="M414" s="42"/>
      <c r="N414" s="42"/>
      <c r="O414" s="43"/>
      <c r="P414" s="44"/>
      <c r="Q414" s="44"/>
      <c r="R414" s="45"/>
      <c r="S414" s="46"/>
      <c r="T414" s="39">
        <f t="shared" si="133"/>
        <v>0</v>
      </c>
      <c r="U414" s="47">
        <f t="shared" si="134"/>
        <v>0</v>
      </c>
      <c r="V414" s="48">
        <f t="shared" si="135"/>
        <v>0</v>
      </c>
      <c r="W414" s="49">
        <f t="shared" si="136"/>
        <v>0</v>
      </c>
      <c r="X414" s="44">
        <f t="shared" si="137"/>
        <v>0</v>
      </c>
      <c r="Y414" s="44">
        <f t="shared" si="138"/>
        <v>0</v>
      </c>
      <c r="Z414" s="44">
        <f t="shared" si="139"/>
        <v>0</v>
      </c>
      <c r="AA414" s="50">
        <f t="shared" si="140"/>
        <v>0</v>
      </c>
      <c r="AB414" s="51">
        <f t="shared" si="141"/>
        <v>0</v>
      </c>
      <c r="AC414" s="44">
        <f t="shared" si="142"/>
        <v>0</v>
      </c>
      <c r="AD414" s="44">
        <f t="shared" si="143"/>
        <v>0</v>
      </c>
      <c r="AE414" s="44">
        <f t="shared" si="144"/>
        <v>0</v>
      </c>
      <c r="AF414" s="52" t="e">
        <f>HLOOKUP(I414,ElecAvoidedCostsWOCC!$A$5:$Q$50,G414+1,FALSE)</f>
        <v>#N/A</v>
      </c>
      <c r="AG414" s="44" t="e">
        <f t="shared" si="145"/>
        <v>#N/A</v>
      </c>
      <c r="AH414" s="52" t="e">
        <f>HLOOKUP(I414,ElecAvoidedCostsWOCC!$A$5:$Q$50,T414+1,FALSE)</f>
        <v>#N/A</v>
      </c>
      <c r="AI414" s="44" t="e">
        <f t="shared" si="146"/>
        <v>#N/A</v>
      </c>
      <c r="AJ414" s="44" t="e">
        <f t="shared" si="147"/>
        <v>#N/A</v>
      </c>
      <c r="AK414" s="44" t="e">
        <f>HLOOKUP(I414,ElecAvoidedCostsWOCC!$A$5:$Q$50,G414+1,FALSE)*J414*L414</f>
        <v>#N/A</v>
      </c>
      <c r="AL414" s="44" t="e">
        <f t="shared" si="148"/>
        <v>#N/A</v>
      </c>
      <c r="AM414" s="48">
        <f>IF(O414=0,0,IF(H414=0, HLOOKUP(I414,ElecAvoidedCostsWOCC!$A$5:$Q$50,T414+1,FALSE)*K414*J414,HLOOKUP(I414,ElecAvoidedCostsWOCC!$A$5:$Q$50,T414+1,FALSE)*L414*J414+HLOOKUP(I414,ElecAvoidedCostsWOCC!$A$5:$Q$50,G414+1,FALSE)*K414*J414-HLOOKUP(I414,ElecAvoidedCostsWOCC!$A$5:$Q$50,G414+1,FALSE)*L414*J414))</f>
        <v>0</v>
      </c>
      <c r="AN414" s="48">
        <f t="shared" si="149"/>
        <v>0</v>
      </c>
      <c r="AO414" s="47">
        <f t="shared" si="150"/>
        <v>0</v>
      </c>
      <c r="AP414" s="47" t="e">
        <f t="shared" si="151"/>
        <v>#DIV/0!</v>
      </c>
    </row>
    <row r="415" spans="2:42">
      <c r="B415" s="37"/>
      <c r="C415" s="61"/>
      <c r="D415" s="61"/>
      <c r="E415" s="38"/>
      <c r="F415" s="39"/>
      <c r="G415" s="39"/>
      <c r="H415" s="39"/>
      <c r="I415" s="40"/>
      <c r="J415" s="41"/>
      <c r="K415" s="41"/>
      <c r="L415" s="41"/>
      <c r="M415" s="42"/>
      <c r="N415" s="42"/>
      <c r="O415" s="43"/>
      <c r="P415" s="44"/>
      <c r="Q415" s="44"/>
      <c r="R415" s="45"/>
      <c r="S415" s="46"/>
      <c r="T415" s="39">
        <f t="shared" si="133"/>
        <v>0</v>
      </c>
      <c r="U415" s="47">
        <f t="shared" si="134"/>
        <v>0</v>
      </c>
      <c r="V415" s="48">
        <f t="shared" si="135"/>
        <v>0</v>
      </c>
      <c r="W415" s="49">
        <f t="shared" si="136"/>
        <v>0</v>
      </c>
      <c r="X415" s="44">
        <f t="shared" si="137"/>
        <v>0</v>
      </c>
      <c r="Y415" s="44">
        <f t="shared" si="138"/>
        <v>0</v>
      </c>
      <c r="Z415" s="44">
        <f t="shared" si="139"/>
        <v>0</v>
      </c>
      <c r="AA415" s="50">
        <f t="shared" si="140"/>
        <v>0</v>
      </c>
      <c r="AB415" s="51">
        <f t="shared" si="141"/>
        <v>0</v>
      </c>
      <c r="AC415" s="44">
        <f t="shared" si="142"/>
        <v>0</v>
      </c>
      <c r="AD415" s="44">
        <f t="shared" si="143"/>
        <v>0</v>
      </c>
      <c r="AE415" s="44">
        <f t="shared" si="144"/>
        <v>0</v>
      </c>
      <c r="AF415" s="52" t="e">
        <f>HLOOKUP(I415,ElecAvoidedCostsWOCC!$A$5:$Q$50,G415+1,FALSE)</f>
        <v>#N/A</v>
      </c>
      <c r="AG415" s="44" t="e">
        <f t="shared" si="145"/>
        <v>#N/A</v>
      </c>
      <c r="AH415" s="52" t="e">
        <f>HLOOKUP(I415,ElecAvoidedCostsWOCC!$A$5:$Q$50,T415+1,FALSE)</f>
        <v>#N/A</v>
      </c>
      <c r="AI415" s="44" t="e">
        <f t="shared" si="146"/>
        <v>#N/A</v>
      </c>
      <c r="AJ415" s="44" t="e">
        <f t="shared" si="147"/>
        <v>#N/A</v>
      </c>
      <c r="AK415" s="44" t="e">
        <f>HLOOKUP(I415,ElecAvoidedCostsWOCC!$A$5:$Q$50,G415+1,FALSE)*J415*L415</f>
        <v>#N/A</v>
      </c>
      <c r="AL415" s="44" t="e">
        <f t="shared" si="148"/>
        <v>#N/A</v>
      </c>
      <c r="AM415" s="48">
        <f>IF(O415=0,0,IF(H415=0, HLOOKUP(I415,ElecAvoidedCostsWOCC!$A$5:$Q$50,T415+1,FALSE)*K415*J415,HLOOKUP(I415,ElecAvoidedCostsWOCC!$A$5:$Q$50,T415+1,FALSE)*L415*J415+HLOOKUP(I415,ElecAvoidedCostsWOCC!$A$5:$Q$50,G415+1,FALSE)*K415*J415-HLOOKUP(I415,ElecAvoidedCostsWOCC!$A$5:$Q$50,G415+1,FALSE)*L415*J415))</f>
        <v>0</v>
      </c>
      <c r="AN415" s="48">
        <f t="shared" si="149"/>
        <v>0</v>
      </c>
      <c r="AO415" s="47">
        <f t="shared" si="150"/>
        <v>0</v>
      </c>
      <c r="AP415" s="47" t="e">
        <f t="shared" si="151"/>
        <v>#DIV/0!</v>
      </c>
    </row>
    <row r="416" spans="2:42">
      <c r="B416" s="37"/>
      <c r="C416" s="61"/>
      <c r="D416" s="61"/>
      <c r="E416" s="38"/>
      <c r="F416" s="39"/>
      <c r="G416" s="39"/>
      <c r="H416" s="39"/>
      <c r="I416" s="40"/>
      <c r="J416" s="41"/>
      <c r="K416" s="41"/>
      <c r="L416" s="41"/>
      <c r="M416" s="42"/>
      <c r="N416" s="42"/>
      <c r="O416" s="43"/>
      <c r="P416" s="44"/>
      <c r="Q416" s="44"/>
      <c r="R416" s="45"/>
      <c r="S416" s="46"/>
      <c r="T416" s="39">
        <f t="shared" si="133"/>
        <v>0</v>
      </c>
      <c r="U416" s="47">
        <f t="shared" si="134"/>
        <v>0</v>
      </c>
      <c r="V416" s="48">
        <f t="shared" si="135"/>
        <v>0</v>
      </c>
      <c r="W416" s="49">
        <f t="shared" si="136"/>
        <v>0</v>
      </c>
      <c r="X416" s="44">
        <f t="shared" si="137"/>
        <v>0</v>
      </c>
      <c r="Y416" s="44">
        <f t="shared" si="138"/>
        <v>0</v>
      </c>
      <c r="Z416" s="44">
        <f t="shared" si="139"/>
        <v>0</v>
      </c>
      <c r="AA416" s="50">
        <f t="shared" si="140"/>
        <v>0</v>
      </c>
      <c r="AB416" s="51">
        <f t="shared" si="141"/>
        <v>0</v>
      </c>
      <c r="AC416" s="44">
        <f t="shared" si="142"/>
        <v>0</v>
      </c>
      <c r="AD416" s="44">
        <f t="shared" si="143"/>
        <v>0</v>
      </c>
      <c r="AE416" s="44">
        <f t="shared" si="144"/>
        <v>0</v>
      </c>
      <c r="AF416" s="52" t="e">
        <f>HLOOKUP(I416,ElecAvoidedCostsWOCC!$A$5:$Q$50,G416+1,FALSE)</f>
        <v>#N/A</v>
      </c>
      <c r="AG416" s="44" t="e">
        <f t="shared" si="145"/>
        <v>#N/A</v>
      </c>
      <c r="AH416" s="52" t="e">
        <f>HLOOKUP(I416,ElecAvoidedCostsWOCC!$A$5:$Q$50,T416+1,FALSE)</f>
        <v>#N/A</v>
      </c>
      <c r="AI416" s="44" t="e">
        <f t="shared" si="146"/>
        <v>#N/A</v>
      </c>
      <c r="AJ416" s="44" t="e">
        <f t="shared" si="147"/>
        <v>#N/A</v>
      </c>
      <c r="AK416" s="44" t="e">
        <f>HLOOKUP(I416,ElecAvoidedCostsWOCC!$A$5:$Q$50,G416+1,FALSE)*J416*L416</f>
        <v>#N/A</v>
      </c>
      <c r="AL416" s="44" t="e">
        <f t="shared" si="148"/>
        <v>#N/A</v>
      </c>
      <c r="AM416" s="48">
        <f>IF(O416=0,0,IF(H416=0, HLOOKUP(I416,ElecAvoidedCostsWOCC!$A$5:$Q$50,T416+1,FALSE)*K416*J416,HLOOKUP(I416,ElecAvoidedCostsWOCC!$A$5:$Q$50,T416+1,FALSE)*L416*J416+HLOOKUP(I416,ElecAvoidedCostsWOCC!$A$5:$Q$50,G416+1,FALSE)*K416*J416-HLOOKUP(I416,ElecAvoidedCostsWOCC!$A$5:$Q$50,G416+1,FALSE)*L416*J416))</f>
        <v>0</v>
      </c>
      <c r="AN416" s="48">
        <f t="shared" si="149"/>
        <v>0</v>
      </c>
      <c r="AO416" s="47">
        <f t="shared" si="150"/>
        <v>0</v>
      </c>
      <c r="AP416" s="47" t="e">
        <f t="shared" si="151"/>
        <v>#DIV/0!</v>
      </c>
    </row>
    <row r="417" spans="2:42">
      <c r="B417" s="37"/>
      <c r="C417" s="61"/>
      <c r="D417" s="61"/>
      <c r="E417" s="38"/>
      <c r="F417" s="39"/>
      <c r="G417" s="39"/>
      <c r="H417" s="39"/>
      <c r="I417" s="40"/>
      <c r="J417" s="41"/>
      <c r="K417" s="41"/>
      <c r="L417" s="41"/>
      <c r="M417" s="42"/>
      <c r="N417" s="42"/>
      <c r="O417" s="43"/>
      <c r="P417" s="44"/>
      <c r="Q417" s="44"/>
      <c r="R417" s="45"/>
      <c r="S417" s="46"/>
      <c r="T417" s="39">
        <f t="shared" si="133"/>
        <v>0</v>
      </c>
      <c r="U417" s="47">
        <f t="shared" si="134"/>
        <v>0</v>
      </c>
      <c r="V417" s="48">
        <f t="shared" si="135"/>
        <v>0</v>
      </c>
      <c r="W417" s="49">
        <f t="shared" si="136"/>
        <v>0</v>
      </c>
      <c r="X417" s="44">
        <f t="shared" si="137"/>
        <v>0</v>
      </c>
      <c r="Y417" s="44">
        <f t="shared" si="138"/>
        <v>0</v>
      </c>
      <c r="Z417" s="44">
        <f t="shared" si="139"/>
        <v>0</v>
      </c>
      <c r="AA417" s="50">
        <f t="shared" si="140"/>
        <v>0</v>
      </c>
      <c r="AB417" s="51">
        <f t="shared" si="141"/>
        <v>0</v>
      </c>
      <c r="AC417" s="44">
        <f t="shared" si="142"/>
        <v>0</v>
      </c>
      <c r="AD417" s="44">
        <f t="shared" si="143"/>
        <v>0</v>
      </c>
      <c r="AE417" s="44">
        <f t="shared" si="144"/>
        <v>0</v>
      </c>
      <c r="AF417" s="52" t="e">
        <f>HLOOKUP(I417,ElecAvoidedCostsWOCC!$A$5:$Q$50,G417+1,FALSE)</f>
        <v>#N/A</v>
      </c>
      <c r="AG417" s="44" t="e">
        <f t="shared" si="145"/>
        <v>#N/A</v>
      </c>
      <c r="AH417" s="52" t="e">
        <f>HLOOKUP(I417,ElecAvoidedCostsWOCC!$A$5:$Q$50,T417+1,FALSE)</f>
        <v>#N/A</v>
      </c>
      <c r="AI417" s="44" t="e">
        <f t="shared" si="146"/>
        <v>#N/A</v>
      </c>
      <c r="AJ417" s="44" t="e">
        <f t="shared" si="147"/>
        <v>#N/A</v>
      </c>
      <c r="AK417" s="44" t="e">
        <f>HLOOKUP(I417,ElecAvoidedCostsWOCC!$A$5:$Q$50,G417+1,FALSE)*J417*L417</f>
        <v>#N/A</v>
      </c>
      <c r="AL417" s="44" t="e">
        <f t="shared" si="148"/>
        <v>#N/A</v>
      </c>
      <c r="AM417" s="48">
        <f>IF(O417=0,0,IF(H417=0, HLOOKUP(I417,ElecAvoidedCostsWOCC!$A$5:$Q$50,T417+1,FALSE)*K417*J417,HLOOKUP(I417,ElecAvoidedCostsWOCC!$A$5:$Q$50,T417+1,FALSE)*L417*J417+HLOOKUP(I417,ElecAvoidedCostsWOCC!$A$5:$Q$50,G417+1,FALSE)*K417*J417-HLOOKUP(I417,ElecAvoidedCostsWOCC!$A$5:$Q$50,G417+1,FALSE)*L417*J417))</f>
        <v>0</v>
      </c>
      <c r="AN417" s="48">
        <f t="shared" si="149"/>
        <v>0</v>
      </c>
      <c r="AO417" s="47">
        <f t="shared" si="150"/>
        <v>0</v>
      </c>
      <c r="AP417" s="47" t="e">
        <f t="shared" si="151"/>
        <v>#DIV/0!</v>
      </c>
    </row>
    <row r="418" spans="2:42">
      <c r="B418" s="37"/>
      <c r="C418" s="61"/>
      <c r="D418" s="61"/>
      <c r="E418" s="38"/>
      <c r="F418" s="39"/>
      <c r="G418" s="39"/>
      <c r="H418" s="39"/>
      <c r="I418" s="40"/>
      <c r="J418" s="41"/>
      <c r="K418" s="41"/>
      <c r="L418" s="41"/>
      <c r="M418" s="42"/>
      <c r="N418" s="42"/>
      <c r="O418" s="43"/>
      <c r="P418" s="44"/>
      <c r="Q418" s="44"/>
      <c r="R418" s="45"/>
      <c r="S418" s="46"/>
      <c r="T418" s="39">
        <f t="shared" si="133"/>
        <v>0</v>
      </c>
      <c r="U418" s="47">
        <f t="shared" si="134"/>
        <v>0</v>
      </c>
      <c r="V418" s="48">
        <f t="shared" si="135"/>
        <v>0</v>
      </c>
      <c r="W418" s="49">
        <f t="shared" si="136"/>
        <v>0</v>
      </c>
      <c r="X418" s="44">
        <f t="shared" si="137"/>
        <v>0</v>
      </c>
      <c r="Y418" s="44">
        <f t="shared" si="138"/>
        <v>0</v>
      </c>
      <c r="Z418" s="44">
        <f t="shared" si="139"/>
        <v>0</v>
      </c>
      <c r="AA418" s="50">
        <f t="shared" si="140"/>
        <v>0</v>
      </c>
      <c r="AB418" s="51">
        <f t="shared" si="141"/>
        <v>0</v>
      </c>
      <c r="AC418" s="44">
        <f t="shared" si="142"/>
        <v>0</v>
      </c>
      <c r="AD418" s="44">
        <f t="shared" si="143"/>
        <v>0</v>
      </c>
      <c r="AE418" s="44">
        <f t="shared" si="144"/>
        <v>0</v>
      </c>
      <c r="AF418" s="52" t="e">
        <f>HLOOKUP(I418,ElecAvoidedCostsWOCC!$A$5:$Q$50,G418+1,FALSE)</f>
        <v>#N/A</v>
      </c>
      <c r="AG418" s="44" t="e">
        <f t="shared" si="145"/>
        <v>#N/A</v>
      </c>
      <c r="AH418" s="52" t="e">
        <f>HLOOKUP(I418,ElecAvoidedCostsWOCC!$A$5:$Q$50,T418+1,FALSE)</f>
        <v>#N/A</v>
      </c>
      <c r="AI418" s="44" t="e">
        <f t="shared" si="146"/>
        <v>#N/A</v>
      </c>
      <c r="AJ418" s="44" t="e">
        <f t="shared" si="147"/>
        <v>#N/A</v>
      </c>
      <c r="AK418" s="44" t="e">
        <f>HLOOKUP(I418,ElecAvoidedCostsWOCC!$A$5:$Q$50,G418+1,FALSE)*J418*L418</f>
        <v>#N/A</v>
      </c>
      <c r="AL418" s="44" t="e">
        <f t="shared" si="148"/>
        <v>#N/A</v>
      </c>
      <c r="AM418" s="48">
        <f>IF(O418=0,0,IF(H418=0, HLOOKUP(I418,ElecAvoidedCostsWOCC!$A$5:$Q$50,T418+1,FALSE)*K418*J418,HLOOKUP(I418,ElecAvoidedCostsWOCC!$A$5:$Q$50,T418+1,FALSE)*L418*J418+HLOOKUP(I418,ElecAvoidedCostsWOCC!$A$5:$Q$50,G418+1,FALSE)*K418*J418-HLOOKUP(I418,ElecAvoidedCostsWOCC!$A$5:$Q$50,G418+1,FALSE)*L418*J418))</f>
        <v>0</v>
      </c>
      <c r="AN418" s="48">
        <f t="shared" si="149"/>
        <v>0</v>
      </c>
      <c r="AO418" s="47">
        <f t="shared" si="150"/>
        <v>0</v>
      </c>
      <c r="AP418" s="47" t="e">
        <f t="shared" si="151"/>
        <v>#DIV/0!</v>
      </c>
    </row>
    <row r="419" spans="2:42">
      <c r="B419" s="37"/>
      <c r="C419" s="61"/>
      <c r="D419" s="61"/>
      <c r="E419" s="38"/>
      <c r="F419" s="39"/>
      <c r="G419" s="39"/>
      <c r="H419" s="39"/>
      <c r="I419" s="40"/>
      <c r="J419" s="41"/>
      <c r="K419" s="41"/>
      <c r="L419" s="41"/>
      <c r="M419" s="42"/>
      <c r="N419" s="42"/>
      <c r="O419" s="43"/>
      <c r="P419" s="44"/>
      <c r="Q419" s="44"/>
      <c r="R419" s="45"/>
      <c r="S419" s="46"/>
      <c r="T419" s="39">
        <f t="shared" si="133"/>
        <v>0</v>
      </c>
      <c r="U419" s="47">
        <f t="shared" si="134"/>
        <v>0</v>
      </c>
      <c r="V419" s="48">
        <f t="shared" si="135"/>
        <v>0</v>
      </c>
      <c r="W419" s="49">
        <f t="shared" si="136"/>
        <v>0</v>
      </c>
      <c r="X419" s="44">
        <f t="shared" si="137"/>
        <v>0</v>
      </c>
      <c r="Y419" s="44">
        <f t="shared" si="138"/>
        <v>0</v>
      </c>
      <c r="Z419" s="44">
        <f t="shared" si="139"/>
        <v>0</v>
      </c>
      <c r="AA419" s="50">
        <f t="shared" si="140"/>
        <v>0</v>
      </c>
      <c r="AB419" s="51">
        <f t="shared" si="141"/>
        <v>0</v>
      </c>
      <c r="AC419" s="44">
        <f t="shared" si="142"/>
        <v>0</v>
      </c>
      <c r="AD419" s="44">
        <f t="shared" si="143"/>
        <v>0</v>
      </c>
      <c r="AE419" s="44">
        <f t="shared" si="144"/>
        <v>0</v>
      </c>
      <c r="AF419" s="52" t="e">
        <f>HLOOKUP(I419,ElecAvoidedCostsWOCC!$A$5:$Q$50,G419+1,FALSE)</f>
        <v>#N/A</v>
      </c>
      <c r="AG419" s="44" t="e">
        <f t="shared" si="145"/>
        <v>#N/A</v>
      </c>
      <c r="AH419" s="52" t="e">
        <f>HLOOKUP(I419,ElecAvoidedCostsWOCC!$A$5:$Q$50,T419+1,FALSE)</f>
        <v>#N/A</v>
      </c>
      <c r="AI419" s="44" t="e">
        <f t="shared" si="146"/>
        <v>#N/A</v>
      </c>
      <c r="AJ419" s="44" t="e">
        <f t="shared" si="147"/>
        <v>#N/A</v>
      </c>
      <c r="AK419" s="44" t="e">
        <f>HLOOKUP(I419,ElecAvoidedCostsWOCC!$A$5:$Q$50,G419+1,FALSE)*J419*L419</f>
        <v>#N/A</v>
      </c>
      <c r="AL419" s="44" t="e">
        <f t="shared" si="148"/>
        <v>#N/A</v>
      </c>
      <c r="AM419" s="48">
        <f>IF(O419=0,0,IF(H419=0, HLOOKUP(I419,ElecAvoidedCostsWOCC!$A$5:$Q$50,T419+1,FALSE)*K419*J419,HLOOKUP(I419,ElecAvoidedCostsWOCC!$A$5:$Q$50,T419+1,FALSE)*L419*J419+HLOOKUP(I419,ElecAvoidedCostsWOCC!$A$5:$Q$50,G419+1,FALSE)*K419*J419-HLOOKUP(I419,ElecAvoidedCostsWOCC!$A$5:$Q$50,G419+1,FALSE)*L419*J419))</f>
        <v>0</v>
      </c>
      <c r="AN419" s="48">
        <f t="shared" si="149"/>
        <v>0</v>
      </c>
      <c r="AO419" s="47">
        <f t="shared" si="150"/>
        <v>0</v>
      </c>
      <c r="AP419" s="47" t="e">
        <f t="shared" si="151"/>
        <v>#DIV/0!</v>
      </c>
    </row>
    <row r="420" spans="2:42">
      <c r="B420" s="37"/>
      <c r="C420" s="61"/>
      <c r="D420" s="61"/>
      <c r="E420" s="38"/>
      <c r="F420" s="39"/>
      <c r="G420" s="39"/>
      <c r="H420" s="39"/>
      <c r="I420" s="40"/>
      <c r="J420" s="41"/>
      <c r="K420" s="41"/>
      <c r="L420" s="41"/>
      <c r="M420" s="42"/>
      <c r="N420" s="42"/>
      <c r="O420" s="43"/>
      <c r="P420" s="44"/>
      <c r="Q420" s="44"/>
      <c r="R420" s="45"/>
      <c r="S420" s="46"/>
      <c r="T420" s="39">
        <f t="shared" si="133"/>
        <v>0</v>
      </c>
      <c r="U420" s="47">
        <f t="shared" si="134"/>
        <v>0</v>
      </c>
      <c r="V420" s="48">
        <f t="shared" si="135"/>
        <v>0</v>
      </c>
      <c r="W420" s="49">
        <f t="shared" si="136"/>
        <v>0</v>
      </c>
      <c r="X420" s="44">
        <f t="shared" si="137"/>
        <v>0</v>
      </c>
      <c r="Y420" s="44">
        <f t="shared" si="138"/>
        <v>0</v>
      </c>
      <c r="Z420" s="44">
        <f t="shared" si="139"/>
        <v>0</v>
      </c>
      <c r="AA420" s="50">
        <f t="shared" si="140"/>
        <v>0</v>
      </c>
      <c r="AB420" s="51">
        <f t="shared" si="141"/>
        <v>0</v>
      </c>
      <c r="AC420" s="44">
        <f t="shared" si="142"/>
        <v>0</v>
      </c>
      <c r="AD420" s="44">
        <f t="shared" si="143"/>
        <v>0</v>
      </c>
      <c r="AE420" s="44">
        <f t="shared" si="144"/>
        <v>0</v>
      </c>
      <c r="AF420" s="52" t="e">
        <f>HLOOKUP(I420,ElecAvoidedCostsWOCC!$A$5:$Q$50,G420+1,FALSE)</f>
        <v>#N/A</v>
      </c>
      <c r="AG420" s="44" t="e">
        <f t="shared" si="145"/>
        <v>#N/A</v>
      </c>
      <c r="AH420" s="52" t="e">
        <f>HLOOKUP(I420,ElecAvoidedCostsWOCC!$A$5:$Q$50,T420+1,FALSE)</f>
        <v>#N/A</v>
      </c>
      <c r="AI420" s="44" t="e">
        <f t="shared" si="146"/>
        <v>#N/A</v>
      </c>
      <c r="AJ420" s="44" t="e">
        <f t="shared" si="147"/>
        <v>#N/A</v>
      </c>
      <c r="AK420" s="44" t="e">
        <f>HLOOKUP(I420,ElecAvoidedCostsWOCC!$A$5:$Q$50,G420+1,FALSE)*J420*L420</f>
        <v>#N/A</v>
      </c>
      <c r="AL420" s="44" t="e">
        <f t="shared" si="148"/>
        <v>#N/A</v>
      </c>
      <c r="AM420" s="48">
        <f>IF(O420=0,0,IF(H420=0, HLOOKUP(I420,ElecAvoidedCostsWOCC!$A$5:$Q$50,T420+1,FALSE)*K420*J420,HLOOKUP(I420,ElecAvoidedCostsWOCC!$A$5:$Q$50,T420+1,FALSE)*L420*J420+HLOOKUP(I420,ElecAvoidedCostsWOCC!$A$5:$Q$50,G420+1,FALSE)*K420*J420-HLOOKUP(I420,ElecAvoidedCostsWOCC!$A$5:$Q$50,G420+1,FALSE)*L420*J420))</f>
        <v>0</v>
      </c>
      <c r="AN420" s="48">
        <f t="shared" si="149"/>
        <v>0</v>
      </c>
      <c r="AO420" s="47">
        <f t="shared" si="150"/>
        <v>0</v>
      </c>
      <c r="AP420" s="47" t="e">
        <f t="shared" si="151"/>
        <v>#DIV/0!</v>
      </c>
    </row>
    <row r="421" spans="2:42">
      <c r="B421" s="37"/>
      <c r="C421" s="61"/>
      <c r="D421" s="61"/>
      <c r="E421" s="38"/>
      <c r="F421" s="39"/>
      <c r="G421" s="39"/>
      <c r="H421" s="39"/>
      <c r="I421" s="40"/>
      <c r="J421" s="41"/>
      <c r="K421" s="41"/>
      <c r="L421" s="41"/>
      <c r="M421" s="42"/>
      <c r="N421" s="42"/>
      <c r="O421" s="43"/>
      <c r="P421" s="44"/>
      <c r="Q421" s="44"/>
      <c r="R421" s="45"/>
      <c r="S421" s="46"/>
      <c r="T421" s="39">
        <f t="shared" si="133"/>
        <v>0</v>
      </c>
      <c r="U421" s="47">
        <f t="shared" si="134"/>
        <v>0</v>
      </c>
      <c r="V421" s="48">
        <f t="shared" si="135"/>
        <v>0</v>
      </c>
      <c r="W421" s="49">
        <f t="shared" si="136"/>
        <v>0</v>
      </c>
      <c r="X421" s="44">
        <f t="shared" si="137"/>
        <v>0</v>
      </c>
      <c r="Y421" s="44">
        <f t="shared" si="138"/>
        <v>0</v>
      </c>
      <c r="Z421" s="44">
        <f t="shared" si="139"/>
        <v>0</v>
      </c>
      <c r="AA421" s="50">
        <f t="shared" si="140"/>
        <v>0</v>
      </c>
      <c r="AB421" s="51">
        <f t="shared" si="141"/>
        <v>0</v>
      </c>
      <c r="AC421" s="44">
        <f t="shared" si="142"/>
        <v>0</v>
      </c>
      <c r="AD421" s="44">
        <f t="shared" si="143"/>
        <v>0</v>
      </c>
      <c r="AE421" s="44">
        <f t="shared" si="144"/>
        <v>0</v>
      </c>
      <c r="AF421" s="52" t="e">
        <f>HLOOKUP(I421,ElecAvoidedCostsWOCC!$A$5:$Q$50,G421+1,FALSE)</f>
        <v>#N/A</v>
      </c>
      <c r="AG421" s="44" t="e">
        <f t="shared" si="145"/>
        <v>#N/A</v>
      </c>
      <c r="AH421" s="52" t="e">
        <f>HLOOKUP(I421,ElecAvoidedCostsWOCC!$A$5:$Q$50,T421+1,FALSE)</f>
        <v>#N/A</v>
      </c>
      <c r="AI421" s="44" t="e">
        <f t="shared" si="146"/>
        <v>#N/A</v>
      </c>
      <c r="AJ421" s="44" t="e">
        <f t="shared" si="147"/>
        <v>#N/A</v>
      </c>
      <c r="AK421" s="44" t="e">
        <f>HLOOKUP(I421,ElecAvoidedCostsWOCC!$A$5:$Q$50,G421+1,FALSE)*J421*L421</f>
        <v>#N/A</v>
      </c>
      <c r="AL421" s="44" t="e">
        <f t="shared" si="148"/>
        <v>#N/A</v>
      </c>
      <c r="AM421" s="48">
        <f>IF(O421=0,0,IF(H421=0, HLOOKUP(I421,ElecAvoidedCostsWOCC!$A$5:$Q$50,T421+1,FALSE)*K421*J421,HLOOKUP(I421,ElecAvoidedCostsWOCC!$A$5:$Q$50,T421+1,FALSE)*L421*J421+HLOOKUP(I421,ElecAvoidedCostsWOCC!$A$5:$Q$50,G421+1,FALSE)*K421*J421-HLOOKUP(I421,ElecAvoidedCostsWOCC!$A$5:$Q$50,G421+1,FALSE)*L421*J421))</f>
        <v>0</v>
      </c>
      <c r="AN421" s="48">
        <f t="shared" si="149"/>
        <v>0</v>
      </c>
      <c r="AO421" s="47">
        <f t="shared" si="150"/>
        <v>0</v>
      </c>
      <c r="AP421" s="47" t="e">
        <f t="shared" si="151"/>
        <v>#DIV/0!</v>
      </c>
    </row>
    <row r="422" spans="2:42">
      <c r="B422" s="37"/>
      <c r="C422" s="61"/>
      <c r="D422" s="61"/>
      <c r="E422" s="38"/>
      <c r="F422" s="39"/>
      <c r="G422" s="39"/>
      <c r="H422" s="39"/>
      <c r="I422" s="40"/>
      <c r="J422" s="41"/>
      <c r="K422" s="41"/>
      <c r="L422" s="41"/>
      <c r="M422" s="42"/>
      <c r="N422" s="42"/>
      <c r="O422" s="43"/>
      <c r="P422" s="44"/>
      <c r="Q422" s="44"/>
      <c r="R422" s="45"/>
      <c r="S422" s="46"/>
      <c r="T422" s="39">
        <f t="shared" si="133"/>
        <v>0</v>
      </c>
      <c r="U422" s="47">
        <f t="shared" si="134"/>
        <v>0</v>
      </c>
      <c r="V422" s="48">
        <f t="shared" si="135"/>
        <v>0</v>
      </c>
      <c r="W422" s="49">
        <f t="shared" si="136"/>
        <v>0</v>
      </c>
      <c r="X422" s="44">
        <f t="shared" si="137"/>
        <v>0</v>
      </c>
      <c r="Y422" s="44">
        <f t="shared" si="138"/>
        <v>0</v>
      </c>
      <c r="Z422" s="44">
        <f t="shared" si="139"/>
        <v>0</v>
      </c>
      <c r="AA422" s="50">
        <f t="shared" si="140"/>
        <v>0</v>
      </c>
      <c r="AB422" s="51">
        <f t="shared" si="141"/>
        <v>0</v>
      </c>
      <c r="AC422" s="44">
        <f t="shared" si="142"/>
        <v>0</v>
      </c>
      <c r="AD422" s="44">
        <f t="shared" si="143"/>
        <v>0</v>
      </c>
      <c r="AE422" s="44">
        <f t="shared" si="144"/>
        <v>0</v>
      </c>
      <c r="AF422" s="52" t="e">
        <f>HLOOKUP(I422,ElecAvoidedCostsWOCC!$A$5:$Q$50,G422+1,FALSE)</f>
        <v>#N/A</v>
      </c>
      <c r="AG422" s="44" t="e">
        <f t="shared" si="145"/>
        <v>#N/A</v>
      </c>
      <c r="AH422" s="52" t="e">
        <f>HLOOKUP(I422,ElecAvoidedCostsWOCC!$A$5:$Q$50,T422+1,FALSE)</f>
        <v>#N/A</v>
      </c>
      <c r="AI422" s="44" t="e">
        <f t="shared" si="146"/>
        <v>#N/A</v>
      </c>
      <c r="AJ422" s="44" t="e">
        <f t="shared" si="147"/>
        <v>#N/A</v>
      </c>
      <c r="AK422" s="44" t="e">
        <f>HLOOKUP(I422,ElecAvoidedCostsWOCC!$A$5:$Q$50,G422+1,FALSE)*J422*L422</f>
        <v>#N/A</v>
      </c>
      <c r="AL422" s="44" t="e">
        <f t="shared" si="148"/>
        <v>#N/A</v>
      </c>
      <c r="AM422" s="48">
        <f>IF(O422=0,0,IF(H422=0, HLOOKUP(I422,ElecAvoidedCostsWOCC!$A$5:$Q$50,T422+1,FALSE)*K422*J422,HLOOKUP(I422,ElecAvoidedCostsWOCC!$A$5:$Q$50,T422+1,FALSE)*L422*J422+HLOOKUP(I422,ElecAvoidedCostsWOCC!$A$5:$Q$50,G422+1,FALSE)*K422*J422-HLOOKUP(I422,ElecAvoidedCostsWOCC!$A$5:$Q$50,G422+1,FALSE)*L422*J422))</f>
        <v>0</v>
      </c>
      <c r="AN422" s="48">
        <f t="shared" si="149"/>
        <v>0</v>
      </c>
      <c r="AO422" s="47">
        <f t="shared" si="150"/>
        <v>0</v>
      </c>
      <c r="AP422" s="47" t="e">
        <f t="shared" si="151"/>
        <v>#DIV/0!</v>
      </c>
    </row>
    <row r="423" spans="2:42">
      <c r="B423" s="37"/>
      <c r="C423" s="61"/>
      <c r="D423" s="61"/>
      <c r="E423" s="38"/>
      <c r="F423" s="39"/>
      <c r="G423" s="39"/>
      <c r="H423" s="39"/>
      <c r="I423" s="40"/>
      <c r="J423" s="41"/>
      <c r="K423" s="41"/>
      <c r="L423" s="41"/>
      <c r="M423" s="42"/>
      <c r="N423" s="42"/>
      <c r="O423" s="43"/>
      <c r="P423" s="44"/>
      <c r="Q423" s="44"/>
      <c r="R423" s="45"/>
      <c r="S423" s="46"/>
      <c r="T423" s="39">
        <f t="shared" si="133"/>
        <v>0</v>
      </c>
      <c r="U423" s="47">
        <f t="shared" si="134"/>
        <v>0</v>
      </c>
      <c r="V423" s="48">
        <f t="shared" si="135"/>
        <v>0</v>
      </c>
      <c r="W423" s="49">
        <f t="shared" si="136"/>
        <v>0</v>
      </c>
      <c r="X423" s="44">
        <f t="shared" si="137"/>
        <v>0</v>
      </c>
      <c r="Y423" s="44">
        <f t="shared" si="138"/>
        <v>0</v>
      </c>
      <c r="Z423" s="44">
        <f t="shared" si="139"/>
        <v>0</v>
      </c>
      <c r="AA423" s="50">
        <f t="shared" si="140"/>
        <v>0</v>
      </c>
      <c r="AB423" s="51">
        <f t="shared" si="141"/>
        <v>0</v>
      </c>
      <c r="AC423" s="44">
        <f t="shared" si="142"/>
        <v>0</v>
      </c>
      <c r="AD423" s="44">
        <f t="shared" si="143"/>
        <v>0</v>
      </c>
      <c r="AE423" s="44">
        <f t="shared" si="144"/>
        <v>0</v>
      </c>
      <c r="AF423" s="52" t="e">
        <f>HLOOKUP(I423,ElecAvoidedCostsWOCC!$A$5:$Q$50,G423+1,FALSE)</f>
        <v>#N/A</v>
      </c>
      <c r="AG423" s="44" t="e">
        <f t="shared" si="145"/>
        <v>#N/A</v>
      </c>
      <c r="AH423" s="52" t="e">
        <f>HLOOKUP(I423,ElecAvoidedCostsWOCC!$A$5:$Q$50,T423+1,FALSE)</f>
        <v>#N/A</v>
      </c>
      <c r="AI423" s="44" t="e">
        <f t="shared" si="146"/>
        <v>#N/A</v>
      </c>
      <c r="AJ423" s="44" t="e">
        <f t="shared" si="147"/>
        <v>#N/A</v>
      </c>
      <c r="AK423" s="44" t="e">
        <f>HLOOKUP(I423,ElecAvoidedCostsWOCC!$A$5:$Q$50,G423+1,FALSE)*J423*L423</f>
        <v>#N/A</v>
      </c>
      <c r="AL423" s="44" t="e">
        <f t="shared" si="148"/>
        <v>#N/A</v>
      </c>
      <c r="AM423" s="48">
        <f>IF(O423=0,0,IF(H423=0, HLOOKUP(I423,ElecAvoidedCostsWOCC!$A$5:$Q$50,T423+1,FALSE)*K423*J423,HLOOKUP(I423,ElecAvoidedCostsWOCC!$A$5:$Q$50,T423+1,FALSE)*L423*J423+HLOOKUP(I423,ElecAvoidedCostsWOCC!$A$5:$Q$50,G423+1,FALSE)*K423*J423-HLOOKUP(I423,ElecAvoidedCostsWOCC!$A$5:$Q$50,G423+1,FALSE)*L423*J423))</f>
        <v>0</v>
      </c>
      <c r="AN423" s="48">
        <f t="shared" si="149"/>
        <v>0</v>
      </c>
      <c r="AO423" s="47">
        <f t="shared" si="150"/>
        <v>0</v>
      </c>
      <c r="AP423" s="47" t="e">
        <f t="shared" si="151"/>
        <v>#DIV/0!</v>
      </c>
    </row>
    <row r="424" spans="2:42">
      <c r="B424" s="37"/>
      <c r="C424" s="61"/>
      <c r="D424" s="61"/>
      <c r="E424" s="38"/>
      <c r="F424" s="39"/>
      <c r="G424" s="39"/>
      <c r="H424" s="39"/>
      <c r="I424" s="40"/>
      <c r="J424" s="41"/>
      <c r="K424" s="41"/>
      <c r="L424" s="41"/>
      <c r="M424" s="42"/>
      <c r="N424" s="42"/>
      <c r="O424" s="43"/>
      <c r="P424" s="44"/>
      <c r="Q424" s="44"/>
      <c r="R424" s="45"/>
      <c r="S424" s="46"/>
      <c r="T424" s="39">
        <f t="shared" si="133"/>
        <v>0</v>
      </c>
      <c r="U424" s="47">
        <f t="shared" si="134"/>
        <v>0</v>
      </c>
      <c r="V424" s="48">
        <f t="shared" si="135"/>
        <v>0</v>
      </c>
      <c r="W424" s="49">
        <f t="shared" si="136"/>
        <v>0</v>
      </c>
      <c r="X424" s="44">
        <f t="shared" si="137"/>
        <v>0</v>
      </c>
      <c r="Y424" s="44">
        <f t="shared" si="138"/>
        <v>0</v>
      </c>
      <c r="Z424" s="44">
        <f t="shared" si="139"/>
        <v>0</v>
      </c>
      <c r="AA424" s="50">
        <f t="shared" si="140"/>
        <v>0</v>
      </c>
      <c r="AB424" s="51">
        <f t="shared" si="141"/>
        <v>0</v>
      </c>
      <c r="AC424" s="44">
        <f t="shared" si="142"/>
        <v>0</v>
      </c>
      <c r="AD424" s="44">
        <f t="shared" si="143"/>
        <v>0</v>
      </c>
      <c r="AE424" s="44">
        <f t="shared" si="144"/>
        <v>0</v>
      </c>
      <c r="AF424" s="52" t="e">
        <f>HLOOKUP(I424,ElecAvoidedCostsWOCC!$A$5:$Q$50,G424+1,FALSE)</f>
        <v>#N/A</v>
      </c>
      <c r="AG424" s="44" t="e">
        <f t="shared" si="145"/>
        <v>#N/A</v>
      </c>
      <c r="AH424" s="52" t="e">
        <f>HLOOKUP(I424,ElecAvoidedCostsWOCC!$A$5:$Q$50,T424+1,FALSE)</f>
        <v>#N/A</v>
      </c>
      <c r="AI424" s="44" t="e">
        <f t="shared" si="146"/>
        <v>#N/A</v>
      </c>
      <c r="AJ424" s="44" t="e">
        <f t="shared" si="147"/>
        <v>#N/A</v>
      </c>
      <c r="AK424" s="44" t="e">
        <f>HLOOKUP(I424,ElecAvoidedCostsWOCC!$A$5:$Q$50,G424+1,FALSE)*J424*L424</f>
        <v>#N/A</v>
      </c>
      <c r="AL424" s="44" t="e">
        <f t="shared" si="148"/>
        <v>#N/A</v>
      </c>
      <c r="AM424" s="48">
        <f>IF(O424=0,0,IF(H424=0, HLOOKUP(I424,ElecAvoidedCostsWOCC!$A$5:$Q$50,T424+1,FALSE)*K424*J424,HLOOKUP(I424,ElecAvoidedCostsWOCC!$A$5:$Q$50,T424+1,FALSE)*L424*J424+HLOOKUP(I424,ElecAvoidedCostsWOCC!$A$5:$Q$50,G424+1,FALSE)*K424*J424-HLOOKUP(I424,ElecAvoidedCostsWOCC!$A$5:$Q$50,G424+1,FALSE)*L424*J424))</f>
        <v>0</v>
      </c>
      <c r="AN424" s="48">
        <f t="shared" si="149"/>
        <v>0</v>
      </c>
      <c r="AO424" s="47">
        <f t="shared" si="150"/>
        <v>0</v>
      </c>
      <c r="AP424" s="47" t="e">
        <f t="shared" si="151"/>
        <v>#DIV/0!</v>
      </c>
    </row>
    <row r="425" spans="2:42">
      <c r="B425" s="37"/>
      <c r="C425" s="61"/>
      <c r="D425" s="61"/>
      <c r="E425" s="38"/>
      <c r="F425" s="39"/>
      <c r="G425" s="39"/>
      <c r="H425" s="39"/>
      <c r="I425" s="40"/>
      <c r="J425" s="41"/>
      <c r="K425" s="41"/>
      <c r="L425" s="41"/>
      <c r="M425" s="42"/>
      <c r="N425" s="42"/>
      <c r="O425" s="43"/>
      <c r="P425" s="44"/>
      <c r="Q425" s="44"/>
      <c r="R425" s="45"/>
      <c r="S425" s="46"/>
      <c r="T425" s="39">
        <f t="shared" si="133"/>
        <v>0</v>
      </c>
      <c r="U425" s="47">
        <f t="shared" si="134"/>
        <v>0</v>
      </c>
      <c r="V425" s="48">
        <f t="shared" si="135"/>
        <v>0</v>
      </c>
      <c r="W425" s="49">
        <f t="shared" si="136"/>
        <v>0</v>
      </c>
      <c r="X425" s="44">
        <f t="shared" si="137"/>
        <v>0</v>
      </c>
      <c r="Y425" s="44">
        <f t="shared" si="138"/>
        <v>0</v>
      </c>
      <c r="Z425" s="44">
        <f t="shared" si="139"/>
        <v>0</v>
      </c>
      <c r="AA425" s="50">
        <f t="shared" si="140"/>
        <v>0</v>
      </c>
      <c r="AB425" s="51">
        <f t="shared" si="141"/>
        <v>0</v>
      </c>
      <c r="AC425" s="44">
        <f t="shared" si="142"/>
        <v>0</v>
      </c>
      <c r="AD425" s="44">
        <f t="shared" si="143"/>
        <v>0</v>
      </c>
      <c r="AE425" s="44">
        <f t="shared" si="144"/>
        <v>0</v>
      </c>
      <c r="AF425" s="52" t="e">
        <f>HLOOKUP(I425,ElecAvoidedCostsWOCC!$A$5:$Q$50,G425+1,FALSE)</f>
        <v>#N/A</v>
      </c>
      <c r="AG425" s="44" t="e">
        <f t="shared" si="145"/>
        <v>#N/A</v>
      </c>
      <c r="AH425" s="52" t="e">
        <f>HLOOKUP(I425,ElecAvoidedCostsWOCC!$A$5:$Q$50,T425+1,FALSE)</f>
        <v>#N/A</v>
      </c>
      <c r="AI425" s="44" t="e">
        <f t="shared" si="146"/>
        <v>#N/A</v>
      </c>
      <c r="AJ425" s="44" t="e">
        <f t="shared" si="147"/>
        <v>#N/A</v>
      </c>
      <c r="AK425" s="44" t="e">
        <f>HLOOKUP(I425,ElecAvoidedCostsWOCC!$A$5:$Q$50,G425+1,FALSE)*J425*L425</f>
        <v>#N/A</v>
      </c>
      <c r="AL425" s="44" t="e">
        <f t="shared" si="148"/>
        <v>#N/A</v>
      </c>
      <c r="AM425" s="48">
        <f>IF(O425=0,0,IF(H425=0, HLOOKUP(I425,ElecAvoidedCostsWOCC!$A$5:$Q$50,T425+1,FALSE)*K425*J425,HLOOKUP(I425,ElecAvoidedCostsWOCC!$A$5:$Q$50,T425+1,FALSE)*L425*J425+HLOOKUP(I425,ElecAvoidedCostsWOCC!$A$5:$Q$50,G425+1,FALSE)*K425*J425-HLOOKUP(I425,ElecAvoidedCostsWOCC!$A$5:$Q$50,G425+1,FALSE)*L425*J425))</f>
        <v>0</v>
      </c>
      <c r="AN425" s="48">
        <f t="shared" si="149"/>
        <v>0</v>
      </c>
      <c r="AO425" s="47">
        <f t="shared" si="150"/>
        <v>0</v>
      </c>
      <c r="AP425" s="47" t="e">
        <f t="shared" si="151"/>
        <v>#DIV/0!</v>
      </c>
    </row>
    <row r="426" spans="2:42">
      <c r="B426" s="37"/>
      <c r="C426" s="61"/>
      <c r="D426" s="61"/>
      <c r="E426" s="38"/>
      <c r="F426" s="39"/>
      <c r="G426" s="39"/>
      <c r="H426" s="39"/>
      <c r="I426" s="40"/>
      <c r="J426" s="41"/>
      <c r="K426" s="41"/>
      <c r="L426" s="41"/>
      <c r="M426" s="42"/>
      <c r="N426" s="42"/>
      <c r="O426" s="43"/>
      <c r="P426" s="44"/>
      <c r="Q426" s="44"/>
      <c r="R426" s="45"/>
      <c r="S426" s="46"/>
      <c r="T426" s="39">
        <f t="shared" si="133"/>
        <v>0</v>
      </c>
      <c r="U426" s="47">
        <f t="shared" si="134"/>
        <v>0</v>
      </c>
      <c r="V426" s="48">
        <f t="shared" si="135"/>
        <v>0</v>
      </c>
      <c r="W426" s="49">
        <f t="shared" si="136"/>
        <v>0</v>
      </c>
      <c r="X426" s="44">
        <f t="shared" si="137"/>
        <v>0</v>
      </c>
      <c r="Y426" s="44">
        <f t="shared" si="138"/>
        <v>0</v>
      </c>
      <c r="Z426" s="44">
        <f t="shared" si="139"/>
        <v>0</v>
      </c>
      <c r="AA426" s="50">
        <f t="shared" si="140"/>
        <v>0</v>
      </c>
      <c r="AB426" s="51">
        <f t="shared" si="141"/>
        <v>0</v>
      </c>
      <c r="AC426" s="44">
        <f t="shared" si="142"/>
        <v>0</v>
      </c>
      <c r="AD426" s="44">
        <f t="shared" si="143"/>
        <v>0</v>
      </c>
      <c r="AE426" s="44">
        <f t="shared" si="144"/>
        <v>0</v>
      </c>
      <c r="AF426" s="52" t="e">
        <f>HLOOKUP(I426,ElecAvoidedCostsWOCC!$A$5:$Q$50,G426+1,FALSE)</f>
        <v>#N/A</v>
      </c>
      <c r="AG426" s="44" t="e">
        <f t="shared" si="145"/>
        <v>#N/A</v>
      </c>
      <c r="AH426" s="52" t="e">
        <f>HLOOKUP(I426,ElecAvoidedCostsWOCC!$A$5:$Q$50,T426+1,FALSE)</f>
        <v>#N/A</v>
      </c>
      <c r="AI426" s="44" t="e">
        <f t="shared" si="146"/>
        <v>#N/A</v>
      </c>
      <c r="AJ426" s="44" t="e">
        <f t="shared" si="147"/>
        <v>#N/A</v>
      </c>
      <c r="AK426" s="44" t="e">
        <f>HLOOKUP(I426,ElecAvoidedCostsWOCC!$A$5:$Q$50,G426+1,FALSE)*J426*L426</f>
        <v>#N/A</v>
      </c>
      <c r="AL426" s="44" t="e">
        <f t="shared" si="148"/>
        <v>#N/A</v>
      </c>
      <c r="AM426" s="48">
        <f>IF(O426=0,0,IF(H426=0, HLOOKUP(I426,ElecAvoidedCostsWOCC!$A$5:$Q$50,T426+1,FALSE)*K426*J426,HLOOKUP(I426,ElecAvoidedCostsWOCC!$A$5:$Q$50,T426+1,FALSE)*L426*J426+HLOOKUP(I426,ElecAvoidedCostsWOCC!$A$5:$Q$50,G426+1,FALSE)*K426*J426-HLOOKUP(I426,ElecAvoidedCostsWOCC!$A$5:$Q$50,G426+1,FALSE)*L426*J426))</f>
        <v>0</v>
      </c>
      <c r="AN426" s="48">
        <f t="shared" si="149"/>
        <v>0</v>
      </c>
      <c r="AO426" s="47">
        <f t="shared" si="150"/>
        <v>0</v>
      </c>
      <c r="AP426" s="47" t="e">
        <f t="shared" si="151"/>
        <v>#DIV/0!</v>
      </c>
    </row>
    <row r="427" spans="2:42">
      <c r="B427" s="37"/>
      <c r="C427" s="61"/>
      <c r="D427" s="61"/>
      <c r="E427" s="38"/>
      <c r="F427" s="39"/>
      <c r="G427" s="39"/>
      <c r="H427" s="39"/>
      <c r="I427" s="40"/>
      <c r="J427" s="41"/>
      <c r="K427" s="41"/>
      <c r="L427" s="41"/>
      <c r="M427" s="42"/>
      <c r="N427" s="42"/>
      <c r="O427" s="43"/>
      <c r="P427" s="44"/>
      <c r="Q427" s="44"/>
      <c r="R427" s="45"/>
      <c r="S427" s="46"/>
      <c r="T427" s="39">
        <f t="shared" si="133"/>
        <v>0</v>
      </c>
      <c r="U427" s="47">
        <f t="shared" si="134"/>
        <v>0</v>
      </c>
      <c r="V427" s="48">
        <f t="shared" si="135"/>
        <v>0</v>
      </c>
      <c r="W427" s="49">
        <f t="shared" si="136"/>
        <v>0</v>
      </c>
      <c r="X427" s="44">
        <f t="shared" si="137"/>
        <v>0</v>
      </c>
      <c r="Y427" s="44">
        <f t="shared" si="138"/>
        <v>0</v>
      </c>
      <c r="Z427" s="44">
        <f t="shared" si="139"/>
        <v>0</v>
      </c>
      <c r="AA427" s="50">
        <f t="shared" si="140"/>
        <v>0</v>
      </c>
      <c r="AB427" s="51">
        <f t="shared" si="141"/>
        <v>0</v>
      </c>
      <c r="AC427" s="44">
        <f t="shared" si="142"/>
        <v>0</v>
      </c>
      <c r="AD427" s="44">
        <f t="shared" si="143"/>
        <v>0</v>
      </c>
      <c r="AE427" s="44">
        <f t="shared" si="144"/>
        <v>0</v>
      </c>
      <c r="AF427" s="52" t="e">
        <f>HLOOKUP(I427,ElecAvoidedCostsWOCC!$A$5:$Q$50,G427+1,FALSE)</f>
        <v>#N/A</v>
      </c>
      <c r="AG427" s="44" t="e">
        <f t="shared" si="145"/>
        <v>#N/A</v>
      </c>
      <c r="AH427" s="52" t="e">
        <f>HLOOKUP(I427,ElecAvoidedCostsWOCC!$A$5:$Q$50,T427+1,FALSE)</f>
        <v>#N/A</v>
      </c>
      <c r="AI427" s="44" t="e">
        <f t="shared" si="146"/>
        <v>#N/A</v>
      </c>
      <c r="AJ427" s="44" t="e">
        <f t="shared" si="147"/>
        <v>#N/A</v>
      </c>
      <c r="AK427" s="44" t="e">
        <f>HLOOKUP(I427,ElecAvoidedCostsWOCC!$A$5:$Q$50,G427+1,FALSE)*J427*L427</f>
        <v>#N/A</v>
      </c>
      <c r="AL427" s="44" t="e">
        <f t="shared" si="148"/>
        <v>#N/A</v>
      </c>
      <c r="AM427" s="48">
        <f>IF(O427=0,0,IF(H427=0, HLOOKUP(I427,ElecAvoidedCostsWOCC!$A$5:$Q$50,T427+1,FALSE)*K427*J427,HLOOKUP(I427,ElecAvoidedCostsWOCC!$A$5:$Q$50,T427+1,FALSE)*L427*J427+HLOOKUP(I427,ElecAvoidedCostsWOCC!$A$5:$Q$50,G427+1,FALSE)*K427*J427-HLOOKUP(I427,ElecAvoidedCostsWOCC!$A$5:$Q$50,G427+1,FALSE)*L427*J427))</f>
        <v>0</v>
      </c>
      <c r="AN427" s="48">
        <f t="shared" si="149"/>
        <v>0</v>
      </c>
      <c r="AO427" s="47">
        <f t="shared" si="150"/>
        <v>0</v>
      </c>
      <c r="AP427" s="47" t="e">
        <f t="shared" si="151"/>
        <v>#DIV/0!</v>
      </c>
    </row>
    <row r="428" spans="2:42">
      <c r="B428" s="37"/>
      <c r="C428" s="61"/>
      <c r="D428" s="61"/>
      <c r="E428" s="38"/>
      <c r="F428" s="39"/>
      <c r="G428" s="39"/>
      <c r="H428" s="39"/>
      <c r="I428" s="40"/>
      <c r="J428" s="41"/>
      <c r="K428" s="41"/>
      <c r="L428" s="41"/>
      <c r="M428" s="42"/>
      <c r="N428" s="42"/>
      <c r="O428" s="43"/>
      <c r="P428" s="44"/>
      <c r="Q428" s="44"/>
      <c r="R428" s="45"/>
      <c r="S428" s="46"/>
      <c r="T428" s="39">
        <f t="shared" si="133"/>
        <v>0</v>
      </c>
      <c r="U428" s="47">
        <f t="shared" si="134"/>
        <v>0</v>
      </c>
      <c r="V428" s="48">
        <f t="shared" si="135"/>
        <v>0</v>
      </c>
      <c r="W428" s="49">
        <f t="shared" si="136"/>
        <v>0</v>
      </c>
      <c r="X428" s="44">
        <f t="shared" si="137"/>
        <v>0</v>
      </c>
      <c r="Y428" s="44">
        <f t="shared" si="138"/>
        <v>0</v>
      </c>
      <c r="Z428" s="44">
        <f t="shared" si="139"/>
        <v>0</v>
      </c>
      <c r="AA428" s="50">
        <f t="shared" si="140"/>
        <v>0</v>
      </c>
      <c r="AB428" s="51">
        <f t="shared" si="141"/>
        <v>0</v>
      </c>
      <c r="AC428" s="44">
        <f t="shared" si="142"/>
        <v>0</v>
      </c>
      <c r="AD428" s="44">
        <f t="shared" si="143"/>
        <v>0</v>
      </c>
      <c r="AE428" s="44">
        <f t="shared" si="144"/>
        <v>0</v>
      </c>
      <c r="AF428" s="52" t="e">
        <f>HLOOKUP(I428,ElecAvoidedCostsWOCC!$A$5:$Q$50,G428+1,FALSE)</f>
        <v>#N/A</v>
      </c>
      <c r="AG428" s="44" t="e">
        <f t="shared" si="145"/>
        <v>#N/A</v>
      </c>
      <c r="AH428" s="52" t="e">
        <f>HLOOKUP(I428,ElecAvoidedCostsWOCC!$A$5:$Q$50,T428+1,FALSE)</f>
        <v>#N/A</v>
      </c>
      <c r="AI428" s="44" t="e">
        <f t="shared" si="146"/>
        <v>#N/A</v>
      </c>
      <c r="AJ428" s="44" t="e">
        <f t="shared" si="147"/>
        <v>#N/A</v>
      </c>
      <c r="AK428" s="44" t="e">
        <f>HLOOKUP(I428,ElecAvoidedCostsWOCC!$A$5:$Q$50,G428+1,FALSE)*J428*L428</f>
        <v>#N/A</v>
      </c>
      <c r="AL428" s="44" t="e">
        <f t="shared" si="148"/>
        <v>#N/A</v>
      </c>
      <c r="AM428" s="48">
        <f>IF(O428=0,0,IF(H428=0, HLOOKUP(I428,ElecAvoidedCostsWOCC!$A$5:$Q$50,T428+1,FALSE)*K428*J428,HLOOKUP(I428,ElecAvoidedCostsWOCC!$A$5:$Q$50,T428+1,FALSE)*L428*J428+HLOOKUP(I428,ElecAvoidedCostsWOCC!$A$5:$Q$50,G428+1,FALSE)*K428*J428-HLOOKUP(I428,ElecAvoidedCostsWOCC!$A$5:$Q$50,G428+1,FALSE)*L428*J428))</f>
        <v>0</v>
      </c>
      <c r="AN428" s="48">
        <f t="shared" si="149"/>
        <v>0</v>
      </c>
      <c r="AO428" s="47">
        <f t="shared" si="150"/>
        <v>0</v>
      </c>
      <c r="AP428" s="47" t="e">
        <f t="shared" si="151"/>
        <v>#DIV/0!</v>
      </c>
    </row>
    <row r="429" spans="2:42">
      <c r="B429" s="37"/>
      <c r="C429" s="61"/>
      <c r="D429" s="61"/>
      <c r="E429" s="38"/>
      <c r="F429" s="39"/>
      <c r="G429" s="39"/>
      <c r="H429" s="39"/>
      <c r="I429" s="40"/>
      <c r="J429" s="41"/>
      <c r="K429" s="41"/>
      <c r="L429" s="41"/>
      <c r="M429" s="42"/>
      <c r="N429" s="42"/>
      <c r="O429" s="43"/>
      <c r="P429" s="44"/>
      <c r="Q429" s="44"/>
      <c r="R429" s="45"/>
      <c r="S429" s="46"/>
      <c r="T429" s="39">
        <f t="shared" si="133"/>
        <v>0</v>
      </c>
      <c r="U429" s="47">
        <f t="shared" si="134"/>
        <v>0</v>
      </c>
      <c r="V429" s="48">
        <f t="shared" si="135"/>
        <v>0</v>
      </c>
      <c r="W429" s="49">
        <f t="shared" si="136"/>
        <v>0</v>
      </c>
      <c r="X429" s="44">
        <f t="shared" si="137"/>
        <v>0</v>
      </c>
      <c r="Y429" s="44">
        <f t="shared" si="138"/>
        <v>0</v>
      </c>
      <c r="Z429" s="44">
        <f t="shared" si="139"/>
        <v>0</v>
      </c>
      <c r="AA429" s="50">
        <f t="shared" si="140"/>
        <v>0</v>
      </c>
      <c r="AB429" s="51">
        <f t="shared" si="141"/>
        <v>0</v>
      </c>
      <c r="AC429" s="44">
        <f t="shared" si="142"/>
        <v>0</v>
      </c>
      <c r="AD429" s="44">
        <f t="shared" si="143"/>
        <v>0</v>
      </c>
      <c r="AE429" s="44">
        <f t="shared" si="144"/>
        <v>0</v>
      </c>
      <c r="AF429" s="52" t="e">
        <f>HLOOKUP(I429,ElecAvoidedCostsWOCC!$A$5:$Q$50,G429+1,FALSE)</f>
        <v>#N/A</v>
      </c>
      <c r="AG429" s="44" t="e">
        <f t="shared" si="145"/>
        <v>#N/A</v>
      </c>
      <c r="AH429" s="52" t="e">
        <f>HLOOKUP(I429,ElecAvoidedCostsWOCC!$A$5:$Q$50,T429+1,FALSE)</f>
        <v>#N/A</v>
      </c>
      <c r="AI429" s="44" t="e">
        <f t="shared" si="146"/>
        <v>#N/A</v>
      </c>
      <c r="AJ429" s="44" t="e">
        <f t="shared" si="147"/>
        <v>#N/A</v>
      </c>
      <c r="AK429" s="44" t="e">
        <f>HLOOKUP(I429,ElecAvoidedCostsWOCC!$A$5:$Q$50,G429+1,FALSE)*J429*L429</f>
        <v>#N/A</v>
      </c>
      <c r="AL429" s="44" t="e">
        <f t="shared" si="148"/>
        <v>#N/A</v>
      </c>
      <c r="AM429" s="48">
        <f>IF(O429=0,0,IF(H429=0, HLOOKUP(I429,ElecAvoidedCostsWOCC!$A$5:$Q$50,T429+1,FALSE)*K429*J429,HLOOKUP(I429,ElecAvoidedCostsWOCC!$A$5:$Q$50,T429+1,FALSE)*L429*J429+HLOOKUP(I429,ElecAvoidedCostsWOCC!$A$5:$Q$50,G429+1,FALSE)*K429*J429-HLOOKUP(I429,ElecAvoidedCostsWOCC!$A$5:$Q$50,G429+1,FALSE)*L429*J429))</f>
        <v>0</v>
      </c>
      <c r="AN429" s="48">
        <f t="shared" si="149"/>
        <v>0</v>
      </c>
      <c r="AO429" s="47">
        <f t="shared" si="150"/>
        <v>0</v>
      </c>
      <c r="AP429" s="47" t="e">
        <f t="shared" si="151"/>
        <v>#DIV/0!</v>
      </c>
    </row>
    <row r="430" spans="2:42">
      <c r="B430" s="37"/>
      <c r="C430" s="61"/>
      <c r="D430" s="61"/>
      <c r="E430" s="38"/>
      <c r="F430" s="39"/>
      <c r="G430" s="39"/>
      <c r="H430" s="39"/>
      <c r="I430" s="40"/>
      <c r="J430" s="41"/>
      <c r="K430" s="41"/>
      <c r="L430" s="41"/>
      <c r="M430" s="42"/>
      <c r="N430" s="42"/>
      <c r="O430" s="43"/>
      <c r="P430" s="44"/>
      <c r="Q430" s="44"/>
      <c r="R430" s="45"/>
      <c r="S430" s="46"/>
      <c r="T430" s="39">
        <f t="shared" si="133"/>
        <v>0</v>
      </c>
      <c r="U430" s="47">
        <f t="shared" si="134"/>
        <v>0</v>
      </c>
      <c r="V430" s="48">
        <f t="shared" si="135"/>
        <v>0</v>
      </c>
      <c r="W430" s="49">
        <f t="shared" si="136"/>
        <v>0</v>
      </c>
      <c r="X430" s="44">
        <f t="shared" si="137"/>
        <v>0</v>
      </c>
      <c r="Y430" s="44">
        <f t="shared" si="138"/>
        <v>0</v>
      </c>
      <c r="Z430" s="44">
        <f t="shared" si="139"/>
        <v>0</v>
      </c>
      <c r="AA430" s="50">
        <f t="shared" si="140"/>
        <v>0</v>
      </c>
      <c r="AB430" s="51">
        <f t="shared" si="141"/>
        <v>0</v>
      </c>
      <c r="AC430" s="44">
        <f t="shared" si="142"/>
        <v>0</v>
      </c>
      <c r="AD430" s="44">
        <f t="shared" si="143"/>
        <v>0</v>
      </c>
      <c r="AE430" s="44">
        <f t="shared" si="144"/>
        <v>0</v>
      </c>
      <c r="AF430" s="52" t="e">
        <f>HLOOKUP(I430,ElecAvoidedCostsWOCC!$A$5:$Q$50,G430+1,FALSE)</f>
        <v>#N/A</v>
      </c>
      <c r="AG430" s="44" t="e">
        <f t="shared" si="145"/>
        <v>#N/A</v>
      </c>
      <c r="AH430" s="52" t="e">
        <f>HLOOKUP(I430,ElecAvoidedCostsWOCC!$A$5:$Q$50,T430+1,FALSE)</f>
        <v>#N/A</v>
      </c>
      <c r="AI430" s="44" t="e">
        <f t="shared" si="146"/>
        <v>#N/A</v>
      </c>
      <c r="AJ430" s="44" t="e">
        <f t="shared" si="147"/>
        <v>#N/A</v>
      </c>
      <c r="AK430" s="44" t="e">
        <f>HLOOKUP(I430,ElecAvoidedCostsWOCC!$A$5:$Q$50,G430+1,FALSE)*J430*L430</f>
        <v>#N/A</v>
      </c>
      <c r="AL430" s="44" t="e">
        <f t="shared" si="148"/>
        <v>#N/A</v>
      </c>
      <c r="AM430" s="48">
        <f>IF(O430=0,0,IF(H430=0, HLOOKUP(I430,ElecAvoidedCostsWOCC!$A$5:$Q$50,T430+1,FALSE)*K430*J430,HLOOKUP(I430,ElecAvoidedCostsWOCC!$A$5:$Q$50,T430+1,FALSE)*L430*J430+HLOOKUP(I430,ElecAvoidedCostsWOCC!$A$5:$Q$50,G430+1,FALSE)*K430*J430-HLOOKUP(I430,ElecAvoidedCostsWOCC!$A$5:$Q$50,G430+1,FALSE)*L430*J430))</f>
        <v>0</v>
      </c>
      <c r="AN430" s="48">
        <f t="shared" si="149"/>
        <v>0</v>
      </c>
      <c r="AO430" s="47">
        <f t="shared" si="150"/>
        <v>0</v>
      </c>
      <c r="AP430" s="47" t="e">
        <f t="shared" si="151"/>
        <v>#DIV/0!</v>
      </c>
    </row>
    <row r="431" spans="2:42">
      <c r="B431" s="37"/>
      <c r="C431" s="61"/>
      <c r="D431" s="61"/>
      <c r="E431" s="38"/>
      <c r="F431" s="39"/>
      <c r="G431" s="39"/>
      <c r="H431" s="39"/>
      <c r="I431" s="40"/>
      <c r="J431" s="41"/>
      <c r="K431" s="41"/>
      <c r="L431" s="41"/>
      <c r="M431" s="42"/>
      <c r="N431" s="42"/>
      <c r="O431" s="43"/>
      <c r="P431" s="44"/>
      <c r="Q431" s="44"/>
      <c r="R431" s="45"/>
      <c r="S431" s="46"/>
      <c r="T431" s="39">
        <f t="shared" si="133"/>
        <v>0</v>
      </c>
      <c r="U431" s="47">
        <f t="shared" si="134"/>
        <v>0</v>
      </c>
      <c r="V431" s="48">
        <f t="shared" si="135"/>
        <v>0</v>
      </c>
      <c r="W431" s="49">
        <f t="shared" si="136"/>
        <v>0</v>
      </c>
      <c r="X431" s="44">
        <f t="shared" si="137"/>
        <v>0</v>
      </c>
      <c r="Y431" s="44">
        <f t="shared" si="138"/>
        <v>0</v>
      </c>
      <c r="Z431" s="44">
        <f t="shared" si="139"/>
        <v>0</v>
      </c>
      <c r="AA431" s="50">
        <f t="shared" si="140"/>
        <v>0</v>
      </c>
      <c r="AB431" s="51">
        <f t="shared" si="141"/>
        <v>0</v>
      </c>
      <c r="AC431" s="44">
        <f t="shared" si="142"/>
        <v>0</v>
      </c>
      <c r="AD431" s="44">
        <f t="shared" si="143"/>
        <v>0</v>
      </c>
      <c r="AE431" s="44">
        <f t="shared" si="144"/>
        <v>0</v>
      </c>
      <c r="AF431" s="52" t="e">
        <f>HLOOKUP(I431,ElecAvoidedCostsWOCC!$A$5:$Q$50,G431+1,FALSE)</f>
        <v>#N/A</v>
      </c>
      <c r="AG431" s="44" t="e">
        <f t="shared" si="145"/>
        <v>#N/A</v>
      </c>
      <c r="AH431" s="52" t="e">
        <f>HLOOKUP(I431,ElecAvoidedCostsWOCC!$A$5:$Q$50,T431+1,FALSE)</f>
        <v>#N/A</v>
      </c>
      <c r="AI431" s="44" t="e">
        <f t="shared" si="146"/>
        <v>#N/A</v>
      </c>
      <c r="AJ431" s="44" t="e">
        <f t="shared" si="147"/>
        <v>#N/A</v>
      </c>
      <c r="AK431" s="44" t="e">
        <f>HLOOKUP(I431,ElecAvoidedCostsWOCC!$A$5:$Q$50,G431+1,FALSE)*J431*L431</f>
        <v>#N/A</v>
      </c>
      <c r="AL431" s="44" t="e">
        <f t="shared" si="148"/>
        <v>#N/A</v>
      </c>
      <c r="AM431" s="48">
        <f>IF(O431=0,0,IF(H431=0, HLOOKUP(I431,ElecAvoidedCostsWOCC!$A$5:$Q$50,T431+1,FALSE)*K431*J431,HLOOKUP(I431,ElecAvoidedCostsWOCC!$A$5:$Q$50,T431+1,FALSE)*L431*J431+HLOOKUP(I431,ElecAvoidedCostsWOCC!$A$5:$Q$50,G431+1,FALSE)*K431*J431-HLOOKUP(I431,ElecAvoidedCostsWOCC!$A$5:$Q$50,G431+1,FALSE)*L431*J431))</f>
        <v>0</v>
      </c>
      <c r="AN431" s="48">
        <f t="shared" si="149"/>
        <v>0</v>
      </c>
      <c r="AO431" s="47">
        <f t="shared" si="150"/>
        <v>0</v>
      </c>
      <c r="AP431" s="47" t="e">
        <f t="shared" si="151"/>
        <v>#DIV/0!</v>
      </c>
    </row>
    <row r="432" spans="2:42">
      <c r="B432" s="37"/>
      <c r="C432" s="61"/>
      <c r="D432" s="61"/>
      <c r="E432" s="38"/>
      <c r="F432" s="39"/>
      <c r="G432" s="39"/>
      <c r="H432" s="39"/>
      <c r="I432" s="40"/>
      <c r="J432" s="41"/>
      <c r="K432" s="41"/>
      <c r="L432" s="41"/>
      <c r="M432" s="42"/>
      <c r="N432" s="42"/>
      <c r="O432" s="43"/>
      <c r="P432" s="44"/>
      <c r="Q432" s="44"/>
      <c r="R432" s="45"/>
      <c r="S432" s="46"/>
      <c r="T432" s="39">
        <f t="shared" si="133"/>
        <v>0</v>
      </c>
      <c r="U432" s="47">
        <f t="shared" si="134"/>
        <v>0</v>
      </c>
      <c r="V432" s="48">
        <f t="shared" si="135"/>
        <v>0</v>
      </c>
      <c r="W432" s="49">
        <f t="shared" si="136"/>
        <v>0</v>
      </c>
      <c r="X432" s="44">
        <f t="shared" si="137"/>
        <v>0</v>
      </c>
      <c r="Y432" s="44">
        <f t="shared" si="138"/>
        <v>0</v>
      </c>
      <c r="Z432" s="44">
        <f t="shared" si="139"/>
        <v>0</v>
      </c>
      <c r="AA432" s="50">
        <f t="shared" si="140"/>
        <v>0</v>
      </c>
      <c r="AB432" s="51">
        <f t="shared" si="141"/>
        <v>0</v>
      </c>
      <c r="AC432" s="44">
        <f t="shared" si="142"/>
        <v>0</v>
      </c>
      <c r="AD432" s="44">
        <f t="shared" si="143"/>
        <v>0</v>
      </c>
      <c r="AE432" s="44">
        <f t="shared" si="144"/>
        <v>0</v>
      </c>
      <c r="AF432" s="52" t="e">
        <f>HLOOKUP(I432,ElecAvoidedCostsWOCC!$A$5:$Q$50,G432+1,FALSE)</f>
        <v>#N/A</v>
      </c>
      <c r="AG432" s="44" t="e">
        <f t="shared" si="145"/>
        <v>#N/A</v>
      </c>
      <c r="AH432" s="52" t="e">
        <f>HLOOKUP(I432,ElecAvoidedCostsWOCC!$A$5:$Q$50,T432+1,FALSE)</f>
        <v>#N/A</v>
      </c>
      <c r="AI432" s="44" t="e">
        <f t="shared" si="146"/>
        <v>#N/A</v>
      </c>
      <c r="AJ432" s="44" t="e">
        <f t="shared" si="147"/>
        <v>#N/A</v>
      </c>
      <c r="AK432" s="44" t="e">
        <f>HLOOKUP(I432,ElecAvoidedCostsWOCC!$A$5:$Q$50,G432+1,FALSE)*J432*L432</f>
        <v>#N/A</v>
      </c>
      <c r="AL432" s="44" t="e">
        <f t="shared" si="148"/>
        <v>#N/A</v>
      </c>
      <c r="AM432" s="48">
        <f>IF(O432=0,0,IF(H432=0, HLOOKUP(I432,ElecAvoidedCostsWOCC!$A$5:$Q$50,T432+1,FALSE)*K432*J432,HLOOKUP(I432,ElecAvoidedCostsWOCC!$A$5:$Q$50,T432+1,FALSE)*L432*J432+HLOOKUP(I432,ElecAvoidedCostsWOCC!$A$5:$Q$50,G432+1,FALSE)*K432*J432-HLOOKUP(I432,ElecAvoidedCostsWOCC!$A$5:$Q$50,G432+1,FALSE)*L432*J432))</f>
        <v>0</v>
      </c>
      <c r="AN432" s="48">
        <f t="shared" si="149"/>
        <v>0</v>
      </c>
      <c r="AO432" s="47">
        <f t="shared" si="150"/>
        <v>0</v>
      </c>
      <c r="AP432" s="47" t="e">
        <f t="shared" si="151"/>
        <v>#DIV/0!</v>
      </c>
    </row>
    <row r="433" spans="2:42">
      <c r="B433" s="37"/>
      <c r="C433" s="61"/>
      <c r="D433" s="61"/>
      <c r="E433" s="38"/>
      <c r="F433" s="39"/>
      <c r="G433" s="39"/>
      <c r="H433" s="39"/>
      <c r="I433" s="40"/>
      <c r="J433" s="41"/>
      <c r="K433" s="41"/>
      <c r="L433" s="41"/>
      <c r="M433" s="42"/>
      <c r="N433" s="42"/>
      <c r="O433" s="43"/>
      <c r="P433" s="44"/>
      <c r="Q433" s="44"/>
      <c r="R433" s="45"/>
      <c r="S433" s="46"/>
      <c r="T433" s="39">
        <f t="shared" si="133"/>
        <v>0</v>
      </c>
      <c r="U433" s="47">
        <f t="shared" si="134"/>
        <v>0</v>
      </c>
      <c r="V433" s="48">
        <f t="shared" si="135"/>
        <v>0</v>
      </c>
      <c r="W433" s="49">
        <f t="shared" si="136"/>
        <v>0</v>
      </c>
      <c r="X433" s="44">
        <f t="shared" si="137"/>
        <v>0</v>
      </c>
      <c r="Y433" s="44">
        <f t="shared" si="138"/>
        <v>0</v>
      </c>
      <c r="Z433" s="44">
        <f t="shared" si="139"/>
        <v>0</v>
      </c>
      <c r="AA433" s="50">
        <f t="shared" si="140"/>
        <v>0</v>
      </c>
      <c r="AB433" s="51">
        <f t="shared" si="141"/>
        <v>0</v>
      </c>
      <c r="AC433" s="44">
        <f t="shared" si="142"/>
        <v>0</v>
      </c>
      <c r="AD433" s="44">
        <f t="shared" si="143"/>
        <v>0</v>
      </c>
      <c r="AE433" s="44">
        <f t="shared" si="144"/>
        <v>0</v>
      </c>
      <c r="AF433" s="52" t="e">
        <f>HLOOKUP(I433,ElecAvoidedCostsWOCC!$A$5:$Q$50,G433+1,FALSE)</f>
        <v>#N/A</v>
      </c>
      <c r="AG433" s="44" t="e">
        <f t="shared" si="145"/>
        <v>#N/A</v>
      </c>
      <c r="AH433" s="52" t="e">
        <f>HLOOKUP(I433,ElecAvoidedCostsWOCC!$A$5:$Q$50,T433+1,FALSE)</f>
        <v>#N/A</v>
      </c>
      <c r="AI433" s="44" t="e">
        <f t="shared" si="146"/>
        <v>#N/A</v>
      </c>
      <c r="AJ433" s="44" t="e">
        <f t="shared" si="147"/>
        <v>#N/A</v>
      </c>
      <c r="AK433" s="44" t="e">
        <f>HLOOKUP(I433,ElecAvoidedCostsWOCC!$A$5:$Q$50,G433+1,FALSE)*J433*L433</f>
        <v>#N/A</v>
      </c>
      <c r="AL433" s="44" t="e">
        <f t="shared" si="148"/>
        <v>#N/A</v>
      </c>
      <c r="AM433" s="48">
        <f>IF(O433=0,0,IF(H433=0, HLOOKUP(I433,ElecAvoidedCostsWOCC!$A$5:$Q$50,T433+1,FALSE)*K433*J433,HLOOKUP(I433,ElecAvoidedCostsWOCC!$A$5:$Q$50,T433+1,FALSE)*L433*J433+HLOOKUP(I433,ElecAvoidedCostsWOCC!$A$5:$Q$50,G433+1,FALSE)*K433*J433-HLOOKUP(I433,ElecAvoidedCostsWOCC!$A$5:$Q$50,G433+1,FALSE)*L433*J433))</f>
        <v>0</v>
      </c>
      <c r="AN433" s="48">
        <f t="shared" si="149"/>
        <v>0</v>
      </c>
      <c r="AO433" s="47">
        <f t="shared" si="150"/>
        <v>0</v>
      </c>
      <c r="AP433" s="47" t="e">
        <f t="shared" si="151"/>
        <v>#DIV/0!</v>
      </c>
    </row>
    <row r="434" spans="2:42">
      <c r="B434" s="37"/>
      <c r="C434" s="61"/>
      <c r="D434" s="61"/>
      <c r="E434" s="38"/>
      <c r="F434" s="39"/>
      <c r="G434" s="39"/>
      <c r="H434" s="39"/>
      <c r="I434" s="40"/>
      <c r="J434" s="41"/>
      <c r="K434" s="41"/>
      <c r="L434" s="41"/>
      <c r="M434" s="42"/>
      <c r="N434" s="42"/>
      <c r="O434" s="43"/>
      <c r="P434" s="44"/>
      <c r="Q434" s="44"/>
      <c r="R434" s="45"/>
      <c r="S434" s="46"/>
      <c r="T434" s="39">
        <f t="shared" si="133"/>
        <v>0</v>
      </c>
      <c r="U434" s="47">
        <f t="shared" si="134"/>
        <v>0</v>
      </c>
      <c r="V434" s="48">
        <f t="shared" si="135"/>
        <v>0</v>
      </c>
      <c r="W434" s="49">
        <f t="shared" si="136"/>
        <v>0</v>
      </c>
      <c r="X434" s="44">
        <f t="shared" si="137"/>
        <v>0</v>
      </c>
      <c r="Y434" s="44">
        <f t="shared" si="138"/>
        <v>0</v>
      </c>
      <c r="Z434" s="44">
        <f t="shared" si="139"/>
        <v>0</v>
      </c>
      <c r="AA434" s="50">
        <f t="shared" si="140"/>
        <v>0</v>
      </c>
      <c r="AB434" s="51">
        <f t="shared" si="141"/>
        <v>0</v>
      </c>
      <c r="AC434" s="44">
        <f t="shared" si="142"/>
        <v>0</v>
      </c>
      <c r="AD434" s="44">
        <f t="shared" si="143"/>
        <v>0</v>
      </c>
      <c r="AE434" s="44">
        <f t="shared" si="144"/>
        <v>0</v>
      </c>
      <c r="AF434" s="52" t="e">
        <f>HLOOKUP(I434,ElecAvoidedCostsWOCC!$A$5:$Q$50,G434+1,FALSE)</f>
        <v>#N/A</v>
      </c>
      <c r="AG434" s="44" t="e">
        <f t="shared" si="145"/>
        <v>#N/A</v>
      </c>
      <c r="AH434" s="52" t="e">
        <f>HLOOKUP(I434,ElecAvoidedCostsWOCC!$A$5:$Q$50,T434+1,FALSE)</f>
        <v>#N/A</v>
      </c>
      <c r="AI434" s="44" t="e">
        <f t="shared" si="146"/>
        <v>#N/A</v>
      </c>
      <c r="AJ434" s="44" t="e">
        <f t="shared" si="147"/>
        <v>#N/A</v>
      </c>
      <c r="AK434" s="44" t="e">
        <f>HLOOKUP(I434,ElecAvoidedCostsWOCC!$A$5:$Q$50,G434+1,FALSE)*J434*L434</f>
        <v>#N/A</v>
      </c>
      <c r="AL434" s="44" t="e">
        <f t="shared" si="148"/>
        <v>#N/A</v>
      </c>
      <c r="AM434" s="48">
        <f>IF(O434=0,0,IF(H434=0, HLOOKUP(I434,ElecAvoidedCostsWOCC!$A$5:$Q$50,T434+1,FALSE)*K434*J434,HLOOKUP(I434,ElecAvoidedCostsWOCC!$A$5:$Q$50,T434+1,FALSE)*L434*J434+HLOOKUP(I434,ElecAvoidedCostsWOCC!$A$5:$Q$50,G434+1,FALSE)*K434*J434-HLOOKUP(I434,ElecAvoidedCostsWOCC!$A$5:$Q$50,G434+1,FALSE)*L434*J434))</f>
        <v>0</v>
      </c>
      <c r="AN434" s="48">
        <f t="shared" si="149"/>
        <v>0</v>
      </c>
      <c r="AO434" s="47">
        <f t="shared" si="150"/>
        <v>0</v>
      </c>
      <c r="AP434" s="47" t="e">
        <f t="shared" si="151"/>
        <v>#DIV/0!</v>
      </c>
    </row>
    <row r="435" spans="2:42">
      <c r="B435" s="37"/>
      <c r="C435" s="61"/>
      <c r="D435" s="61"/>
      <c r="E435" s="38"/>
      <c r="F435" s="39"/>
      <c r="G435" s="39"/>
      <c r="H435" s="39"/>
      <c r="I435" s="40"/>
      <c r="J435" s="41"/>
      <c r="K435" s="41"/>
      <c r="L435" s="41"/>
      <c r="M435" s="42"/>
      <c r="N435" s="42"/>
      <c r="O435" s="43"/>
      <c r="P435" s="44"/>
      <c r="Q435" s="44"/>
      <c r="R435" s="45"/>
      <c r="S435" s="46"/>
      <c r="T435" s="39">
        <f t="shared" si="133"/>
        <v>0</v>
      </c>
      <c r="U435" s="47">
        <f t="shared" si="134"/>
        <v>0</v>
      </c>
      <c r="V435" s="48">
        <f t="shared" si="135"/>
        <v>0</v>
      </c>
      <c r="W435" s="49">
        <f t="shared" si="136"/>
        <v>0</v>
      </c>
      <c r="X435" s="44">
        <f t="shared" si="137"/>
        <v>0</v>
      </c>
      <c r="Y435" s="44">
        <f t="shared" si="138"/>
        <v>0</v>
      </c>
      <c r="Z435" s="44">
        <f t="shared" si="139"/>
        <v>0</v>
      </c>
      <c r="AA435" s="50">
        <f t="shared" si="140"/>
        <v>0</v>
      </c>
      <c r="AB435" s="51">
        <f t="shared" si="141"/>
        <v>0</v>
      </c>
      <c r="AC435" s="44">
        <f t="shared" si="142"/>
        <v>0</v>
      </c>
      <c r="AD435" s="44">
        <f t="shared" si="143"/>
        <v>0</v>
      </c>
      <c r="AE435" s="44">
        <f t="shared" si="144"/>
        <v>0</v>
      </c>
      <c r="AF435" s="52" t="e">
        <f>HLOOKUP(I435,ElecAvoidedCostsWOCC!$A$5:$Q$50,G435+1,FALSE)</f>
        <v>#N/A</v>
      </c>
      <c r="AG435" s="44" t="e">
        <f t="shared" si="145"/>
        <v>#N/A</v>
      </c>
      <c r="AH435" s="52" t="e">
        <f>HLOOKUP(I435,ElecAvoidedCostsWOCC!$A$5:$Q$50,T435+1,FALSE)</f>
        <v>#N/A</v>
      </c>
      <c r="AI435" s="44" t="e">
        <f t="shared" si="146"/>
        <v>#N/A</v>
      </c>
      <c r="AJ435" s="44" t="e">
        <f t="shared" si="147"/>
        <v>#N/A</v>
      </c>
      <c r="AK435" s="44" t="e">
        <f>HLOOKUP(I435,ElecAvoidedCostsWOCC!$A$5:$Q$50,G435+1,FALSE)*J435*L435</f>
        <v>#N/A</v>
      </c>
      <c r="AL435" s="44" t="e">
        <f t="shared" si="148"/>
        <v>#N/A</v>
      </c>
      <c r="AM435" s="48">
        <f>IF(O435=0,0,IF(H435=0, HLOOKUP(I435,ElecAvoidedCostsWOCC!$A$5:$Q$50,T435+1,FALSE)*K435*J435,HLOOKUP(I435,ElecAvoidedCostsWOCC!$A$5:$Q$50,T435+1,FALSE)*L435*J435+HLOOKUP(I435,ElecAvoidedCostsWOCC!$A$5:$Q$50,G435+1,FALSE)*K435*J435-HLOOKUP(I435,ElecAvoidedCostsWOCC!$A$5:$Q$50,G435+1,FALSE)*L435*J435))</f>
        <v>0</v>
      </c>
      <c r="AN435" s="48">
        <f t="shared" si="149"/>
        <v>0</v>
      </c>
      <c r="AO435" s="47">
        <f t="shared" si="150"/>
        <v>0</v>
      </c>
      <c r="AP435" s="47" t="e">
        <f t="shared" si="151"/>
        <v>#DIV/0!</v>
      </c>
    </row>
    <row r="436" spans="2:42">
      <c r="B436" s="37"/>
      <c r="C436" s="61"/>
      <c r="D436" s="61"/>
      <c r="E436" s="38"/>
      <c r="F436" s="39"/>
      <c r="G436" s="39"/>
      <c r="H436" s="39"/>
      <c r="I436" s="40"/>
      <c r="J436" s="41"/>
      <c r="K436" s="41"/>
      <c r="L436" s="41"/>
      <c r="M436" s="42"/>
      <c r="N436" s="42"/>
      <c r="O436" s="43"/>
      <c r="P436" s="44"/>
      <c r="Q436" s="44"/>
      <c r="R436" s="45"/>
      <c r="S436" s="46"/>
      <c r="T436" s="39">
        <f t="shared" si="133"/>
        <v>0</v>
      </c>
      <c r="U436" s="47">
        <f t="shared" si="134"/>
        <v>0</v>
      </c>
      <c r="V436" s="48">
        <f t="shared" si="135"/>
        <v>0</v>
      </c>
      <c r="W436" s="49">
        <f t="shared" si="136"/>
        <v>0</v>
      </c>
      <c r="X436" s="44">
        <f t="shared" si="137"/>
        <v>0</v>
      </c>
      <c r="Y436" s="44">
        <f t="shared" si="138"/>
        <v>0</v>
      </c>
      <c r="Z436" s="44">
        <f t="shared" si="139"/>
        <v>0</v>
      </c>
      <c r="AA436" s="50">
        <f t="shared" si="140"/>
        <v>0</v>
      </c>
      <c r="AB436" s="51">
        <f t="shared" si="141"/>
        <v>0</v>
      </c>
      <c r="AC436" s="44">
        <f t="shared" si="142"/>
        <v>0</v>
      </c>
      <c r="AD436" s="44">
        <f t="shared" si="143"/>
        <v>0</v>
      </c>
      <c r="AE436" s="44">
        <f t="shared" si="144"/>
        <v>0</v>
      </c>
      <c r="AF436" s="52" t="e">
        <f>HLOOKUP(I436,ElecAvoidedCostsWOCC!$A$5:$Q$50,G436+1,FALSE)</f>
        <v>#N/A</v>
      </c>
      <c r="AG436" s="44" t="e">
        <f t="shared" si="145"/>
        <v>#N/A</v>
      </c>
      <c r="AH436" s="52" t="e">
        <f>HLOOKUP(I436,ElecAvoidedCostsWOCC!$A$5:$Q$50,T436+1,FALSE)</f>
        <v>#N/A</v>
      </c>
      <c r="AI436" s="44" t="e">
        <f t="shared" si="146"/>
        <v>#N/A</v>
      </c>
      <c r="AJ436" s="44" t="e">
        <f t="shared" si="147"/>
        <v>#N/A</v>
      </c>
      <c r="AK436" s="44" t="e">
        <f>HLOOKUP(I436,ElecAvoidedCostsWOCC!$A$5:$Q$50,G436+1,FALSE)*J436*L436</f>
        <v>#N/A</v>
      </c>
      <c r="AL436" s="44" t="e">
        <f t="shared" si="148"/>
        <v>#N/A</v>
      </c>
      <c r="AM436" s="48">
        <f>IF(O436=0,0,IF(H436=0, HLOOKUP(I436,ElecAvoidedCostsWOCC!$A$5:$Q$50,T436+1,FALSE)*K436*J436,HLOOKUP(I436,ElecAvoidedCostsWOCC!$A$5:$Q$50,T436+1,FALSE)*L436*J436+HLOOKUP(I436,ElecAvoidedCostsWOCC!$A$5:$Q$50,G436+1,FALSE)*K436*J436-HLOOKUP(I436,ElecAvoidedCostsWOCC!$A$5:$Q$50,G436+1,FALSE)*L436*J436))</f>
        <v>0</v>
      </c>
      <c r="AN436" s="48">
        <f t="shared" si="149"/>
        <v>0</v>
      </c>
      <c r="AO436" s="47">
        <f t="shared" si="150"/>
        <v>0</v>
      </c>
      <c r="AP436" s="47" t="e">
        <f t="shared" si="151"/>
        <v>#DIV/0!</v>
      </c>
    </row>
    <row r="437" spans="2:42">
      <c r="B437" s="37"/>
      <c r="C437" s="61"/>
      <c r="D437" s="61"/>
      <c r="E437" s="38"/>
      <c r="F437" s="39"/>
      <c r="G437" s="39"/>
      <c r="H437" s="39"/>
      <c r="I437" s="40"/>
      <c r="J437" s="41"/>
      <c r="K437" s="41"/>
      <c r="L437" s="41"/>
      <c r="M437" s="42"/>
      <c r="N437" s="42"/>
      <c r="O437" s="43"/>
      <c r="P437" s="44"/>
      <c r="Q437" s="44"/>
      <c r="R437" s="45"/>
      <c r="S437" s="46"/>
      <c r="T437" s="39">
        <f t="shared" si="133"/>
        <v>0</v>
      </c>
      <c r="U437" s="47">
        <f t="shared" si="134"/>
        <v>0</v>
      </c>
      <c r="V437" s="48">
        <f t="shared" si="135"/>
        <v>0</v>
      </c>
      <c r="W437" s="49">
        <f t="shared" si="136"/>
        <v>0</v>
      </c>
      <c r="X437" s="44">
        <f t="shared" si="137"/>
        <v>0</v>
      </c>
      <c r="Y437" s="44">
        <f t="shared" si="138"/>
        <v>0</v>
      </c>
      <c r="Z437" s="44">
        <f t="shared" si="139"/>
        <v>0</v>
      </c>
      <c r="AA437" s="50">
        <f t="shared" si="140"/>
        <v>0</v>
      </c>
      <c r="AB437" s="51">
        <f t="shared" si="141"/>
        <v>0</v>
      </c>
      <c r="AC437" s="44">
        <f t="shared" si="142"/>
        <v>0</v>
      </c>
      <c r="AD437" s="44">
        <f t="shared" si="143"/>
        <v>0</v>
      </c>
      <c r="AE437" s="44">
        <f t="shared" si="144"/>
        <v>0</v>
      </c>
      <c r="AF437" s="52" t="e">
        <f>HLOOKUP(I437,ElecAvoidedCostsWOCC!$A$5:$Q$50,G437+1,FALSE)</f>
        <v>#N/A</v>
      </c>
      <c r="AG437" s="44" t="e">
        <f t="shared" si="145"/>
        <v>#N/A</v>
      </c>
      <c r="AH437" s="52" t="e">
        <f>HLOOKUP(I437,ElecAvoidedCostsWOCC!$A$5:$Q$50,T437+1,FALSE)</f>
        <v>#N/A</v>
      </c>
      <c r="AI437" s="44" t="e">
        <f t="shared" si="146"/>
        <v>#N/A</v>
      </c>
      <c r="AJ437" s="44" t="e">
        <f t="shared" si="147"/>
        <v>#N/A</v>
      </c>
      <c r="AK437" s="44" t="e">
        <f>HLOOKUP(I437,ElecAvoidedCostsWOCC!$A$5:$Q$50,G437+1,FALSE)*J437*L437</f>
        <v>#N/A</v>
      </c>
      <c r="AL437" s="44" t="e">
        <f t="shared" si="148"/>
        <v>#N/A</v>
      </c>
      <c r="AM437" s="48">
        <f>IF(O437=0,0,IF(H437=0, HLOOKUP(I437,ElecAvoidedCostsWOCC!$A$5:$Q$50,T437+1,FALSE)*K437*J437,HLOOKUP(I437,ElecAvoidedCostsWOCC!$A$5:$Q$50,T437+1,FALSE)*L437*J437+HLOOKUP(I437,ElecAvoidedCostsWOCC!$A$5:$Q$50,G437+1,FALSE)*K437*J437-HLOOKUP(I437,ElecAvoidedCostsWOCC!$A$5:$Q$50,G437+1,FALSE)*L437*J437))</f>
        <v>0</v>
      </c>
      <c r="AN437" s="48">
        <f t="shared" si="149"/>
        <v>0</v>
      </c>
      <c r="AO437" s="47">
        <f t="shared" si="150"/>
        <v>0</v>
      </c>
      <c r="AP437" s="47" t="e">
        <f t="shared" si="151"/>
        <v>#DIV/0!</v>
      </c>
    </row>
    <row r="438" spans="2:42">
      <c r="B438" s="37"/>
      <c r="C438" s="61"/>
      <c r="D438" s="61"/>
      <c r="E438" s="38"/>
      <c r="F438" s="39"/>
      <c r="G438" s="39"/>
      <c r="H438" s="39"/>
      <c r="I438" s="40"/>
      <c r="J438" s="41"/>
      <c r="K438" s="41"/>
      <c r="L438" s="41"/>
      <c r="M438" s="42"/>
      <c r="N438" s="42"/>
      <c r="O438" s="43"/>
      <c r="P438" s="44"/>
      <c r="Q438" s="44"/>
      <c r="R438" s="45"/>
      <c r="S438" s="46"/>
      <c r="T438" s="39">
        <f t="shared" si="133"/>
        <v>0</v>
      </c>
      <c r="U438" s="47">
        <f t="shared" si="134"/>
        <v>0</v>
      </c>
      <c r="V438" s="48">
        <f t="shared" si="135"/>
        <v>0</v>
      </c>
      <c r="W438" s="49">
        <f t="shared" si="136"/>
        <v>0</v>
      </c>
      <c r="X438" s="44">
        <f t="shared" si="137"/>
        <v>0</v>
      </c>
      <c r="Y438" s="44">
        <f t="shared" si="138"/>
        <v>0</v>
      </c>
      <c r="Z438" s="44">
        <f t="shared" si="139"/>
        <v>0</v>
      </c>
      <c r="AA438" s="50">
        <f t="shared" si="140"/>
        <v>0</v>
      </c>
      <c r="AB438" s="51">
        <f t="shared" si="141"/>
        <v>0</v>
      </c>
      <c r="AC438" s="44">
        <f t="shared" si="142"/>
        <v>0</v>
      </c>
      <c r="AD438" s="44">
        <f t="shared" si="143"/>
        <v>0</v>
      </c>
      <c r="AE438" s="44">
        <f t="shared" si="144"/>
        <v>0</v>
      </c>
      <c r="AF438" s="52" t="e">
        <f>HLOOKUP(I438,ElecAvoidedCostsWOCC!$A$5:$Q$50,G438+1,FALSE)</f>
        <v>#N/A</v>
      </c>
      <c r="AG438" s="44" t="e">
        <f t="shared" si="145"/>
        <v>#N/A</v>
      </c>
      <c r="AH438" s="52" t="e">
        <f>HLOOKUP(I438,ElecAvoidedCostsWOCC!$A$5:$Q$50,T438+1,FALSE)</f>
        <v>#N/A</v>
      </c>
      <c r="AI438" s="44" t="e">
        <f t="shared" si="146"/>
        <v>#N/A</v>
      </c>
      <c r="AJ438" s="44" t="e">
        <f t="shared" si="147"/>
        <v>#N/A</v>
      </c>
      <c r="AK438" s="44" t="e">
        <f>HLOOKUP(I438,ElecAvoidedCostsWOCC!$A$5:$Q$50,G438+1,FALSE)*J438*L438</f>
        <v>#N/A</v>
      </c>
      <c r="AL438" s="44" t="e">
        <f t="shared" si="148"/>
        <v>#N/A</v>
      </c>
      <c r="AM438" s="48">
        <f>IF(O438=0,0,IF(H438=0, HLOOKUP(I438,ElecAvoidedCostsWOCC!$A$5:$Q$50,T438+1,FALSE)*K438*J438,HLOOKUP(I438,ElecAvoidedCostsWOCC!$A$5:$Q$50,T438+1,FALSE)*L438*J438+HLOOKUP(I438,ElecAvoidedCostsWOCC!$A$5:$Q$50,G438+1,FALSE)*K438*J438-HLOOKUP(I438,ElecAvoidedCostsWOCC!$A$5:$Q$50,G438+1,FALSE)*L438*J438))</f>
        <v>0</v>
      </c>
      <c r="AN438" s="48">
        <f t="shared" si="149"/>
        <v>0</v>
      </c>
      <c r="AO438" s="47">
        <f t="shared" si="150"/>
        <v>0</v>
      </c>
      <c r="AP438" s="47" t="e">
        <f t="shared" si="151"/>
        <v>#DIV/0!</v>
      </c>
    </row>
    <row r="439" spans="2:42">
      <c r="B439" s="37"/>
      <c r="C439" s="61"/>
      <c r="D439" s="61"/>
      <c r="E439" s="38"/>
      <c r="F439" s="39"/>
      <c r="G439" s="39"/>
      <c r="H439" s="39"/>
      <c r="I439" s="40"/>
      <c r="J439" s="41"/>
      <c r="K439" s="41"/>
      <c r="L439" s="41"/>
      <c r="M439" s="42"/>
      <c r="N439" s="42"/>
      <c r="O439" s="43"/>
      <c r="P439" s="44"/>
      <c r="Q439" s="44"/>
      <c r="R439" s="45"/>
      <c r="S439" s="46"/>
      <c r="T439" s="39">
        <f t="shared" si="133"/>
        <v>0</v>
      </c>
      <c r="U439" s="47">
        <f t="shared" si="134"/>
        <v>0</v>
      </c>
      <c r="V439" s="48">
        <f t="shared" si="135"/>
        <v>0</v>
      </c>
      <c r="W439" s="49">
        <f t="shared" si="136"/>
        <v>0</v>
      </c>
      <c r="X439" s="44">
        <f t="shared" si="137"/>
        <v>0</v>
      </c>
      <c r="Y439" s="44">
        <f t="shared" si="138"/>
        <v>0</v>
      </c>
      <c r="Z439" s="44">
        <f t="shared" si="139"/>
        <v>0</v>
      </c>
      <c r="AA439" s="50">
        <f t="shared" si="140"/>
        <v>0</v>
      </c>
      <c r="AB439" s="51">
        <f t="shared" si="141"/>
        <v>0</v>
      </c>
      <c r="AC439" s="44">
        <f t="shared" si="142"/>
        <v>0</v>
      </c>
      <c r="AD439" s="44">
        <f t="shared" si="143"/>
        <v>0</v>
      </c>
      <c r="AE439" s="44">
        <f t="shared" si="144"/>
        <v>0</v>
      </c>
      <c r="AF439" s="52" t="e">
        <f>HLOOKUP(I439,ElecAvoidedCostsWOCC!$A$5:$Q$50,G439+1,FALSE)</f>
        <v>#N/A</v>
      </c>
      <c r="AG439" s="44" t="e">
        <f t="shared" si="145"/>
        <v>#N/A</v>
      </c>
      <c r="AH439" s="52" t="e">
        <f>HLOOKUP(I439,ElecAvoidedCostsWOCC!$A$5:$Q$50,T439+1,FALSE)</f>
        <v>#N/A</v>
      </c>
      <c r="AI439" s="44" t="e">
        <f t="shared" si="146"/>
        <v>#N/A</v>
      </c>
      <c r="AJ439" s="44" t="e">
        <f t="shared" si="147"/>
        <v>#N/A</v>
      </c>
      <c r="AK439" s="44" t="e">
        <f>HLOOKUP(I439,ElecAvoidedCostsWOCC!$A$5:$Q$50,G439+1,FALSE)*J439*L439</f>
        <v>#N/A</v>
      </c>
      <c r="AL439" s="44" t="e">
        <f t="shared" si="148"/>
        <v>#N/A</v>
      </c>
      <c r="AM439" s="48">
        <f>IF(O439=0,0,IF(H439=0, HLOOKUP(I439,ElecAvoidedCostsWOCC!$A$5:$Q$50,T439+1,FALSE)*K439*J439,HLOOKUP(I439,ElecAvoidedCostsWOCC!$A$5:$Q$50,T439+1,FALSE)*L439*J439+HLOOKUP(I439,ElecAvoidedCostsWOCC!$A$5:$Q$50,G439+1,FALSE)*K439*J439-HLOOKUP(I439,ElecAvoidedCostsWOCC!$A$5:$Q$50,G439+1,FALSE)*L439*J439))</f>
        <v>0</v>
      </c>
      <c r="AN439" s="48">
        <f t="shared" si="149"/>
        <v>0</v>
      </c>
      <c r="AO439" s="47">
        <f t="shared" si="150"/>
        <v>0</v>
      </c>
      <c r="AP439" s="47" t="e">
        <f t="shared" si="151"/>
        <v>#DIV/0!</v>
      </c>
    </row>
    <row r="440" spans="2:42">
      <c r="B440" s="37"/>
      <c r="C440" s="61"/>
      <c r="D440" s="61"/>
      <c r="E440" s="38"/>
      <c r="F440" s="39"/>
      <c r="G440" s="39"/>
      <c r="H440" s="39"/>
      <c r="I440" s="40"/>
      <c r="J440" s="41"/>
      <c r="K440" s="41"/>
      <c r="L440" s="41"/>
      <c r="M440" s="42"/>
      <c r="N440" s="42"/>
      <c r="O440" s="43"/>
      <c r="P440" s="44"/>
      <c r="Q440" s="44"/>
      <c r="R440" s="45"/>
      <c r="S440" s="46"/>
      <c r="T440" s="39">
        <f t="shared" si="133"/>
        <v>0</v>
      </c>
      <c r="U440" s="47">
        <f t="shared" si="134"/>
        <v>0</v>
      </c>
      <c r="V440" s="48">
        <f t="shared" si="135"/>
        <v>0</v>
      </c>
      <c r="W440" s="49">
        <f t="shared" si="136"/>
        <v>0</v>
      </c>
      <c r="X440" s="44">
        <f t="shared" si="137"/>
        <v>0</v>
      </c>
      <c r="Y440" s="44">
        <f t="shared" si="138"/>
        <v>0</v>
      </c>
      <c r="Z440" s="44">
        <f t="shared" si="139"/>
        <v>0</v>
      </c>
      <c r="AA440" s="50">
        <f t="shared" si="140"/>
        <v>0</v>
      </c>
      <c r="AB440" s="51">
        <f t="shared" si="141"/>
        <v>0</v>
      </c>
      <c r="AC440" s="44">
        <f t="shared" si="142"/>
        <v>0</v>
      </c>
      <c r="AD440" s="44">
        <f t="shared" si="143"/>
        <v>0</v>
      </c>
      <c r="AE440" s="44">
        <f t="shared" si="144"/>
        <v>0</v>
      </c>
      <c r="AF440" s="52" t="e">
        <f>HLOOKUP(I440,ElecAvoidedCostsWOCC!$A$5:$Q$50,G440+1,FALSE)</f>
        <v>#N/A</v>
      </c>
      <c r="AG440" s="44" t="e">
        <f t="shared" si="145"/>
        <v>#N/A</v>
      </c>
      <c r="AH440" s="52" t="e">
        <f>HLOOKUP(I440,ElecAvoidedCostsWOCC!$A$5:$Q$50,T440+1,FALSE)</f>
        <v>#N/A</v>
      </c>
      <c r="AI440" s="44" t="e">
        <f t="shared" si="146"/>
        <v>#N/A</v>
      </c>
      <c r="AJ440" s="44" t="e">
        <f t="shared" si="147"/>
        <v>#N/A</v>
      </c>
      <c r="AK440" s="44" t="e">
        <f>HLOOKUP(I440,ElecAvoidedCostsWOCC!$A$5:$Q$50,G440+1,FALSE)*J440*L440</f>
        <v>#N/A</v>
      </c>
      <c r="AL440" s="44" t="e">
        <f t="shared" si="148"/>
        <v>#N/A</v>
      </c>
      <c r="AM440" s="48">
        <f>IF(O440=0,0,IF(H440=0, HLOOKUP(I440,ElecAvoidedCostsWOCC!$A$5:$Q$50,T440+1,FALSE)*K440*J440,HLOOKUP(I440,ElecAvoidedCostsWOCC!$A$5:$Q$50,T440+1,FALSE)*L440*J440+HLOOKUP(I440,ElecAvoidedCostsWOCC!$A$5:$Q$50,G440+1,FALSE)*K440*J440-HLOOKUP(I440,ElecAvoidedCostsWOCC!$A$5:$Q$50,G440+1,FALSE)*L440*J440))</f>
        <v>0</v>
      </c>
      <c r="AN440" s="48">
        <f t="shared" si="149"/>
        <v>0</v>
      </c>
      <c r="AO440" s="47">
        <f t="shared" si="150"/>
        <v>0</v>
      </c>
      <c r="AP440" s="47" t="e">
        <f t="shared" si="151"/>
        <v>#DIV/0!</v>
      </c>
    </row>
    <row r="441" spans="2:42">
      <c r="B441" s="37"/>
      <c r="C441" s="61"/>
      <c r="D441" s="61"/>
      <c r="E441" s="38"/>
      <c r="F441" s="39"/>
      <c r="G441" s="39"/>
      <c r="H441" s="39"/>
      <c r="I441" s="40"/>
      <c r="J441" s="41"/>
      <c r="K441" s="41"/>
      <c r="L441" s="41"/>
      <c r="M441" s="42"/>
      <c r="N441" s="42"/>
      <c r="O441" s="43"/>
      <c r="P441" s="44"/>
      <c r="Q441" s="44"/>
      <c r="R441" s="45"/>
      <c r="S441" s="46"/>
      <c r="T441" s="39">
        <f t="shared" si="133"/>
        <v>0</v>
      </c>
      <c r="U441" s="47">
        <f t="shared" si="134"/>
        <v>0</v>
      </c>
      <c r="V441" s="48">
        <f t="shared" si="135"/>
        <v>0</v>
      </c>
      <c r="W441" s="49">
        <f t="shared" si="136"/>
        <v>0</v>
      </c>
      <c r="X441" s="44">
        <f t="shared" si="137"/>
        <v>0</v>
      </c>
      <c r="Y441" s="44">
        <f t="shared" si="138"/>
        <v>0</v>
      </c>
      <c r="Z441" s="44">
        <f t="shared" si="139"/>
        <v>0</v>
      </c>
      <c r="AA441" s="50">
        <f t="shared" si="140"/>
        <v>0</v>
      </c>
      <c r="AB441" s="51">
        <f t="shared" si="141"/>
        <v>0</v>
      </c>
      <c r="AC441" s="44">
        <f t="shared" si="142"/>
        <v>0</v>
      </c>
      <c r="AD441" s="44">
        <f t="shared" si="143"/>
        <v>0</v>
      </c>
      <c r="AE441" s="44">
        <f t="shared" si="144"/>
        <v>0</v>
      </c>
      <c r="AF441" s="52" t="e">
        <f>HLOOKUP(I441,ElecAvoidedCostsWOCC!$A$5:$Q$50,G441+1,FALSE)</f>
        <v>#N/A</v>
      </c>
      <c r="AG441" s="44" t="e">
        <f t="shared" si="145"/>
        <v>#N/A</v>
      </c>
      <c r="AH441" s="52" t="e">
        <f>HLOOKUP(I441,ElecAvoidedCostsWOCC!$A$5:$Q$50,T441+1,FALSE)</f>
        <v>#N/A</v>
      </c>
      <c r="AI441" s="44" t="e">
        <f t="shared" si="146"/>
        <v>#N/A</v>
      </c>
      <c r="AJ441" s="44" t="e">
        <f t="shared" si="147"/>
        <v>#N/A</v>
      </c>
      <c r="AK441" s="44" t="e">
        <f>HLOOKUP(I441,ElecAvoidedCostsWOCC!$A$5:$Q$50,G441+1,FALSE)*J441*L441</f>
        <v>#N/A</v>
      </c>
      <c r="AL441" s="44" t="e">
        <f t="shared" si="148"/>
        <v>#N/A</v>
      </c>
      <c r="AM441" s="48">
        <f>IF(O441=0,0,IF(H441=0, HLOOKUP(I441,ElecAvoidedCostsWOCC!$A$5:$Q$50,T441+1,FALSE)*K441*J441,HLOOKUP(I441,ElecAvoidedCostsWOCC!$A$5:$Q$50,T441+1,FALSE)*L441*J441+HLOOKUP(I441,ElecAvoidedCostsWOCC!$A$5:$Q$50,G441+1,FALSE)*K441*J441-HLOOKUP(I441,ElecAvoidedCostsWOCC!$A$5:$Q$50,G441+1,FALSE)*L441*J441))</f>
        <v>0</v>
      </c>
      <c r="AN441" s="48">
        <f t="shared" si="149"/>
        <v>0</v>
      </c>
      <c r="AO441" s="47">
        <f t="shared" si="150"/>
        <v>0</v>
      </c>
      <c r="AP441" s="47" t="e">
        <f t="shared" si="151"/>
        <v>#DIV/0!</v>
      </c>
    </row>
    <row r="442" spans="2:42">
      <c r="B442" s="37"/>
      <c r="C442" s="61"/>
      <c r="D442" s="61"/>
      <c r="E442" s="38"/>
      <c r="F442" s="39"/>
      <c r="G442" s="39"/>
      <c r="H442" s="39"/>
      <c r="I442" s="40"/>
      <c r="J442" s="41"/>
      <c r="K442" s="41"/>
      <c r="L442" s="41"/>
      <c r="M442" s="42"/>
      <c r="N442" s="42"/>
      <c r="O442" s="43"/>
      <c r="P442" s="44"/>
      <c r="Q442" s="44"/>
      <c r="R442" s="45"/>
      <c r="S442" s="46"/>
      <c r="T442" s="39">
        <f t="shared" si="133"/>
        <v>0</v>
      </c>
      <c r="U442" s="47">
        <f t="shared" si="134"/>
        <v>0</v>
      </c>
      <c r="V442" s="48">
        <f t="shared" si="135"/>
        <v>0</v>
      </c>
      <c r="W442" s="49">
        <f t="shared" si="136"/>
        <v>0</v>
      </c>
      <c r="X442" s="44">
        <f t="shared" si="137"/>
        <v>0</v>
      </c>
      <c r="Y442" s="44">
        <f t="shared" si="138"/>
        <v>0</v>
      </c>
      <c r="Z442" s="44">
        <f t="shared" si="139"/>
        <v>0</v>
      </c>
      <c r="AA442" s="50">
        <f t="shared" si="140"/>
        <v>0</v>
      </c>
      <c r="AB442" s="51">
        <f t="shared" si="141"/>
        <v>0</v>
      </c>
      <c r="AC442" s="44">
        <f t="shared" si="142"/>
        <v>0</v>
      </c>
      <c r="AD442" s="44">
        <f t="shared" si="143"/>
        <v>0</v>
      </c>
      <c r="AE442" s="44">
        <f t="shared" si="144"/>
        <v>0</v>
      </c>
      <c r="AF442" s="52" t="e">
        <f>HLOOKUP(I442,ElecAvoidedCostsWOCC!$A$5:$Q$50,G442+1,FALSE)</f>
        <v>#N/A</v>
      </c>
      <c r="AG442" s="44" t="e">
        <f t="shared" si="145"/>
        <v>#N/A</v>
      </c>
      <c r="AH442" s="52" t="e">
        <f>HLOOKUP(I442,ElecAvoidedCostsWOCC!$A$5:$Q$50,T442+1,FALSE)</f>
        <v>#N/A</v>
      </c>
      <c r="AI442" s="44" t="e">
        <f t="shared" si="146"/>
        <v>#N/A</v>
      </c>
      <c r="AJ442" s="44" t="e">
        <f t="shared" si="147"/>
        <v>#N/A</v>
      </c>
      <c r="AK442" s="44" t="e">
        <f>HLOOKUP(I442,ElecAvoidedCostsWOCC!$A$5:$Q$50,G442+1,FALSE)*J442*L442</f>
        <v>#N/A</v>
      </c>
      <c r="AL442" s="44" t="e">
        <f t="shared" si="148"/>
        <v>#N/A</v>
      </c>
      <c r="AM442" s="48">
        <f>IF(O442=0,0,IF(H442=0, HLOOKUP(I442,ElecAvoidedCostsWOCC!$A$5:$Q$50,T442+1,FALSE)*K442*J442,HLOOKUP(I442,ElecAvoidedCostsWOCC!$A$5:$Q$50,T442+1,FALSE)*L442*J442+HLOOKUP(I442,ElecAvoidedCostsWOCC!$A$5:$Q$50,G442+1,FALSE)*K442*J442-HLOOKUP(I442,ElecAvoidedCostsWOCC!$A$5:$Q$50,G442+1,FALSE)*L442*J442))</f>
        <v>0</v>
      </c>
      <c r="AN442" s="48">
        <f t="shared" si="149"/>
        <v>0</v>
      </c>
      <c r="AO442" s="47">
        <f t="shared" si="150"/>
        <v>0</v>
      </c>
      <c r="AP442" s="47" t="e">
        <f t="shared" si="151"/>
        <v>#DIV/0!</v>
      </c>
    </row>
    <row r="443" spans="2:42">
      <c r="B443" s="37"/>
      <c r="C443" s="61"/>
      <c r="D443" s="61"/>
      <c r="E443" s="38"/>
      <c r="F443" s="39"/>
      <c r="G443" s="39"/>
      <c r="H443" s="39"/>
      <c r="I443" s="40"/>
      <c r="J443" s="41"/>
      <c r="K443" s="41"/>
      <c r="L443" s="41"/>
      <c r="M443" s="42"/>
      <c r="N443" s="42"/>
      <c r="O443" s="43"/>
      <c r="P443" s="44"/>
      <c r="Q443" s="44"/>
      <c r="R443" s="45"/>
      <c r="S443" s="46"/>
      <c r="T443" s="39">
        <f t="shared" si="133"/>
        <v>0</v>
      </c>
      <c r="U443" s="47">
        <f t="shared" si="134"/>
        <v>0</v>
      </c>
      <c r="V443" s="48">
        <f t="shared" si="135"/>
        <v>0</v>
      </c>
      <c r="W443" s="49">
        <f t="shared" si="136"/>
        <v>0</v>
      </c>
      <c r="X443" s="44">
        <f t="shared" si="137"/>
        <v>0</v>
      </c>
      <c r="Y443" s="44">
        <f t="shared" si="138"/>
        <v>0</v>
      </c>
      <c r="Z443" s="44">
        <f t="shared" si="139"/>
        <v>0</v>
      </c>
      <c r="AA443" s="50">
        <f t="shared" si="140"/>
        <v>0</v>
      </c>
      <c r="AB443" s="51">
        <f t="shared" si="141"/>
        <v>0</v>
      </c>
      <c r="AC443" s="44">
        <f t="shared" si="142"/>
        <v>0</v>
      </c>
      <c r="AD443" s="44">
        <f t="shared" si="143"/>
        <v>0</v>
      </c>
      <c r="AE443" s="44">
        <f t="shared" si="144"/>
        <v>0</v>
      </c>
      <c r="AF443" s="52" t="e">
        <f>HLOOKUP(I443,ElecAvoidedCostsWOCC!$A$5:$Q$50,G443+1,FALSE)</f>
        <v>#N/A</v>
      </c>
      <c r="AG443" s="44" t="e">
        <f t="shared" si="145"/>
        <v>#N/A</v>
      </c>
      <c r="AH443" s="52" t="e">
        <f>HLOOKUP(I443,ElecAvoidedCostsWOCC!$A$5:$Q$50,T443+1,FALSE)</f>
        <v>#N/A</v>
      </c>
      <c r="AI443" s="44" t="e">
        <f t="shared" si="146"/>
        <v>#N/A</v>
      </c>
      <c r="AJ443" s="44" t="e">
        <f t="shared" si="147"/>
        <v>#N/A</v>
      </c>
      <c r="AK443" s="44" t="e">
        <f>HLOOKUP(I443,ElecAvoidedCostsWOCC!$A$5:$Q$50,G443+1,FALSE)*J443*L443</f>
        <v>#N/A</v>
      </c>
      <c r="AL443" s="44" t="e">
        <f t="shared" si="148"/>
        <v>#N/A</v>
      </c>
      <c r="AM443" s="48">
        <f>IF(O443=0,0,IF(H443=0, HLOOKUP(I443,ElecAvoidedCostsWOCC!$A$5:$Q$50,T443+1,FALSE)*K443*J443,HLOOKUP(I443,ElecAvoidedCostsWOCC!$A$5:$Q$50,T443+1,FALSE)*L443*J443+HLOOKUP(I443,ElecAvoidedCostsWOCC!$A$5:$Q$50,G443+1,FALSE)*K443*J443-HLOOKUP(I443,ElecAvoidedCostsWOCC!$A$5:$Q$50,G443+1,FALSE)*L443*J443))</f>
        <v>0</v>
      </c>
      <c r="AN443" s="48">
        <f t="shared" si="149"/>
        <v>0</v>
      </c>
      <c r="AO443" s="47">
        <f t="shared" si="150"/>
        <v>0</v>
      </c>
      <c r="AP443" s="47" t="e">
        <f t="shared" si="151"/>
        <v>#DIV/0!</v>
      </c>
    </row>
    <row r="444" spans="2:42">
      <c r="B444" s="37"/>
      <c r="C444" s="61"/>
      <c r="D444" s="61"/>
      <c r="E444" s="38"/>
      <c r="F444" s="39"/>
      <c r="G444" s="39"/>
      <c r="H444" s="39"/>
      <c r="I444" s="40"/>
      <c r="J444" s="41"/>
      <c r="K444" s="41"/>
      <c r="L444" s="41"/>
      <c r="M444" s="42"/>
      <c r="N444" s="42"/>
      <c r="O444" s="43"/>
      <c r="P444" s="44"/>
      <c r="Q444" s="44"/>
      <c r="R444" s="45"/>
      <c r="S444" s="46"/>
      <c r="T444" s="39">
        <f t="shared" si="133"/>
        <v>0</v>
      </c>
      <c r="U444" s="47">
        <f t="shared" si="134"/>
        <v>0</v>
      </c>
      <c r="V444" s="48">
        <f t="shared" si="135"/>
        <v>0</v>
      </c>
      <c r="W444" s="49">
        <f t="shared" si="136"/>
        <v>0</v>
      </c>
      <c r="X444" s="44">
        <f t="shared" si="137"/>
        <v>0</v>
      </c>
      <c r="Y444" s="44">
        <f t="shared" si="138"/>
        <v>0</v>
      </c>
      <c r="Z444" s="44">
        <f t="shared" si="139"/>
        <v>0</v>
      </c>
      <c r="AA444" s="50">
        <f t="shared" si="140"/>
        <v>0</v>
      </c>
      <c r="AB444" s="51">
        <f t="shared" si="141"/>
        <v>0</v>
      </c>
      <c r="AC444" s="44">
        <f t="shared" si="142"/>
        <v>0</v>
      </c>
      <c r="AD444" s="44">
        <f t="shared" si="143"/>
        <v>0</v>
      </c>
      <c r="AE444" s="44">
        <f t="shared" si="144"/>
        <v>0</v>
      </c>
      <c r="AF444" s="52" t="e">
        <f>HLOOKUP(I444,ElecAvoidedCostsWOCC!$A$5:$Q$50,G444+1,FALSE)</f>
        <v>#N/A</v>
      </c>
      <c r="AG444" s="44" t="e">
        <f t="shared" si="145"/>
        <v>#N/A</v>
      </c>
      <c r="AH444" s="52" t="e">
        <f>HLOOKUP(I444,ElecAvoidedCostsWOCC!$A$5:$Q$50,T444+1,FALSE)</f>
        <v>#N/A</v>
      </c>
      <c r="AI444" s="44" t="e">
        <f t="shared" si="146"/>
        <v>#N/A</v>
      </c>
      <c r="AJ444" s="44" t="e">
        <f t="shared" si="147"/>
        <v>#N/A</v>
      </c>
      <c r="AK444" s="44" t="e">
        <f>HLOOKUP(I444,ElecAvoidedCostsWOCC!$A$5:$Q$50,G444+1,FALSE)*J444*L444</f>
        <v>#N/A</v>
      </c>
      <c r="AL444" s="44" t="e">
        <f t="shared" si="148"/>
        <v>#N/A</v>
      </c>
      <c r="AM444" s="48">
        <f>IF(O444=0,0,IF(H444=0, HLOOKUP(I444,ElecAvoidedCostsWOCC!$A$5:$Q$50,T444+1,FALSE)*K444*J444,HLOOKUP(I444,ElecAvoidedCostsWOCC!$A$5:$Q$50,T444+1,FALSE)*L444*J444+HLOOKUP(I444,ElecAvoidedCostsWOCC!$A$5:$Q$50,G444+1,FALSE)*K444*J444-HLOOKUP(I444,ElecAvoidedCostsWOCC!$A$5:$Q$50,G444+1,FALSE)*L444*J444))</f>
        <v>0</v>
      </c>
      <c r="AN444" s="48">
        <f t="shared" si="149"/>
        <v>0</v>
      </c>
      <c r="AO444" s="47">
        <f t="shared" si="150"/>
        <v>0</v>
      </c>
      <c r="AP444" s="47" t="e">
        <f t="shared" si="151"/>
        <v>#DIV/0!</v>
      </c>
    </row>
    <row r="445" spans="2:42">
      <c r="B445" s="37"/>
      <c r="C445" s="61"/>
      <c r="D445" s="61"/>
      <c r="E445" s="38"/>
      <c r="F445" s="39"/>
      <c r="G445" s="39"/>
      <c r="H445" s="39"/>
      <c r="I445" s="40"/>
      <c r="J445" s="41"/>
      <c r="K445" s="41"/>
      <c r="L445" s="41"/>
      <c r="M445" s="42"/>
      <c r="N445" s="42"/>
      <c r="O445" s="43"/>
      <c r="P445" s="44"/>
      <c r="Q445" s="44"/>
      <c r="R445" s="45"/>
      <c r="S445" s="46"/>
      <c r="T445" s="39">
        <f t="shared" si="133"/>
        <v>0</v>
      </c>
      <c r="U445" s="47">
        <f t="shared" si="134"/>
        <v>0</v>
      </c>
      <c r="V445" s="48">
        <f t="shared" si="135"/>
        <v>0</v>
      </c>
      <c r="W445" s="49">
        <f t="shared" si="136"/>
        <v>0</v>
      </c>
      <c r="X445" s="44">
        <f t="shared" si="137"/>
        <v>0</v>
      </c>
      <c r="Y445" s="44">
        <f t="shared" si="138"/>
        <v>0</v>
      </c>
      <c r="Z445" s="44">
        <f t="shared" si="139"/>
        <v>0</v>
      </c>
      <c r="AA445" s="50">
        <f t="shared" si="140"/>
        <v>0</v>
      </c>
      <c r="AB445" s="51">
        <f t="shared" si="141"/>
        <v>0</v>
      </c>
      <c r="AC445" s="44">
        <f t="shared" si="142"/>
        <v>0</v>
      </c>
      <c r="AD445" s="44">
        <f t="shared" si="143"/>
        <v>0</v>
      </c>
      <c r="AE445" s="44">
        <f t="shared" si="144"/>
        <v>0</v>
      </c>
      <c r="AF445" s="52" t="e">
        <f>HLOOKUP(I445,ElecAvoidedCostsWOCC!$A$5:$Q$50,G445+1,FALSE)</f>
        <v>#N/A</v>
      </c>
      <c r="AG445" s="44" t="e">
        <f t="shared" si="145"/>
        <v>#N/A</v>
      </c>
      <c r="AH445" s="52" t="e">
        <f>HLOOKUP(I445,ElecAvoidedCostsWOCC!$A$5:$Q$50,T445+1,FALSE)</f>
        <v>#N/A</v>
      </c>
      <c r="AI445" s="44" t="e">
        <f t="shared" si="146"/>
        <v>#N/A</v>
      </c>
      <c r="AJ445" s="44" t="e">
        <f t="shared" si="147"/>
        <v>#N/A</v>
      </c>
      <c r="AK445" s="44" t="e">
        <f>HLOOKUP(I445,ElecAvoidedCostsWOCC!$A$5:$Q$50,G445+1,FALSE)*J445*L445</f>
        <v>#N/A</v>
      </c>
      <c r="AL445" s="44" t="e">
        <f t="shared" si="148"/>
        <v>#N/A</v>
      </c>
      <c r="AM445" s="48">
        <f>IF(O445=0,0,IF(H445=0, HLOOKUP(I445,ElecAvoidedCostsWOCC!$A$5:$Q$50,T445+1,FALSE)*K445*J445,HLOOKUP(I445,ElecAvoidedCostsWOCC!$A$5:$Q$50,T445+1,FALSE)*L445*J445+HLOOKUP(I445,ElecAvoidedCostsWOCC!$A$5:$Q$50,G445+1,FALSE)*K445*J445-HLOOKUP(I445,ElecAvoidedCostsWOCC!$A$5:$Q$50,G445+1,FALSE)*L445*J445))</f>
        <v>0</v>
      </c>
      <c r="AN445" s="48">
        <f t="shared" si="149"/>
        <v>0</v>
      </c>
      <c r="AO445" s="47">
        <f t="shared" si="150"/>
        <v>0</v>
      </c>
      <c r="AP445" s="47" t="e">
        <f t="shared" si="151"/>
        <v>#DIV/0!</v>
      </c>
    </row>
    <row r="446" spans="2:42">
      <c r="B446" s="37"/>
      <c r="C446" s="61"/>
      <c r="D446" s="61"/>
      <c r="E446" s="38"/>
      <c r="F446" s="39"/>
      <c r="G446" s="39"/>
      <c r="H446" s="39"/>
      <c r="I446" s="40"/>
      <c r="J446" s="41"/>
      <c r="K446" s="41"/>
      <c r="L446" s="41"/>
      <c r="M446" s="42"/>
      <c r="N446" s="42"/>
      <c r="O446" s="43"/>
      <c r="P446" s="44"/>
      <c r="Q446" s="44"/>
      <c r="R446" s="45"/>
      <c r="S446" s="46"/>
      <c r="T446" s="39">
        <f t="shared" si="133"/>
        <v>0</v>
      </c>
      <c r="U446" s="47">
        <f t="shared" si="134"/>
        <v>0</v>
      </c>
      <c r="V446" s="48">
        <f t="shared" si="135"/>
        <v>0</v>
      </c>
      <c r="W446" s="49">
        <f t="shared" si="136"/>
        <v>0</v>
      </c>
      <c r="X446" s="44">
        <f t="shared" si="137"/>
        <v>0</v>
      </c>
      <c r="Y446" s="44">
        <f t="shared" si="138"/>
        <v>0</v>
      </c>
      <c r="Z446" s="44">
        <f t="shared" si="139"/>
        <v>0</v>
      </c>
      <c r="AA446" s="50">
        <f t="shared" si="140"/>
        <v>0</v>
      </c>
      <c r="AB446" s="51">
        <f t="shared" si="141"/>
        <v>0</v>
      </c>
      <c r="AC446" s="44">
        <f t="shared" si="142"/>
        <v>0</v>
      </c>
      <c r="AD446" s="44">
        <f t="shared" si="143"/>
        <v>0</v>
      </c>
      <c r="AE446" s="44">
        <f t="shared" si="144"/>
        <v>0</v>
      </c>
      <c r="AF446" s="52" t="e">
        <f>HLOOKUP(I446,ElecAvoidedCostsWOCC!$A$5:$Q$50,G446+1,FALSE)</f>
        <v>#N/A</v>
      </c>
      <c r="AG446" s="44" t="e">
        <f t="shared" si="145"/>
        <v>#N/A</v>
      </c>
      <c r="AH446" s="52" t="e">
        <f>HLOOKUP(I446,ElecAvoidedCostsWOCC!$A$5:$Q$50,T446+1,FALSE)</f>
        <v>#N/A</v>
      </c>
      <c r="AI446" s="44" t="e">
        <f t="shared" si="146"/>
        <v>#N/A</v>
      </c>
      <c r="AJ446" s="44" t="e">
        <f t="shared" si="147"/>
        <v>#N/A</v>
      </c>
      <c r="AK446" s="44" t="e">
        <f>HLOOKUP(I446,ElecAvoidedCostsWOCC!$A$5:$Q$50,G446+1,FALSE)*J446*L446</f>
        <v>#N/A</v>
      </c>
      <c r="AL446" s="44" t="e">
        <f t="shared" si="148"/>
        <v>#N/A</v>
      </c>
      <c r="AM446" s="48">
        <f>IF(O446=0,0,IF(H446=0, HLOOKUP(I446,ElecAvoidedCostsWOCC!$A$5:$Q$50,T446+1,FALSE)*K446*J446,HLOOKUP(I446,ElecAvoidedCostsWOCC!$A$5:$Q$50,T446+1,FALSE)*L446*J446+HLOOKUP(I446,ElecAvoidedCostsWOCC!$A$5:$Q$50,G446+1,FALSE)*K446*J446-HLOOKUP(I446,ElecAvoidedCostsWOCC!$A$5:$Q$50,G446+1,FALSE)*L446*J446))</f>
        <v>0</v>
      </c>
      <c r="AN446" s="48">
        <f t="shared" si="149"/>
        <v>0</v>
      </c>
      <c r="AO446" s="47">
        <f t="shared" si="150"/>
        <v>0</v>
      </c>
      <c r="AP446" s="47" t="e">
        <f t="shared" si="151"/>
        <v>#DIV/0!</v>
      </c>
    </row>
    <row r="447" spans="2:42">
      <c r="B447" s="37"/>
      <c r="C447" s="61"/>
      <c r="D447" s="61"/>
      <c r="E447" s="38"/>
      <c r="F447" s="39"/>
      <c r="G447" s="39"/>
      <c r="H447" s="39"/>
      <c r="I447" s="40"/>
      <c r="J447" s="41"/>
      <c r="K447" s="41"/>
      <c r="L447" s="41"/>
      <c r="M447" s="42"/>
      <c r="N447" s="42"/>
      <c r="O447" s="43"/>
      <c r="P447" s="44"/>
      <c r="Q447" s="44"/>
      <c r="R447" s="45"/>
      <c r="S447" s="46"/>
      <c r="T447" s="39">
        <f t="shared" si="133"/>
        <v>0</v>
      </c>
      <c r="U447" s="47">
        <f t="shared" si="134"/>
        <v>0</v>
      </c>
      <c r="V447" s="48">
        <f t="shared" si="135"/>
        <v>0</v>
      </c>
      <c r="W447" s="49">
        <f t="shared" si="136"/>
        <v>0</v>
      </c>
      <c r="X447" s="44">
        <f t="shared" si="137"/>
        <v>0</v>
      </c>
      <c r="Y447" s="44">
        <f t="shared" si="138"/>
        <v>0</v>
      </c>
      <c r="Z447" s="44">
        <f t="shared" si="139"/>
        <v>0</v>
      </c>
      <c r="AA447" s="50">
        <f t="shared" si="140"/>
        <v>0</v>
      </c>
      <c r="AB447" s="51">
        <f t="shared" si="141"/>
        <v>0</v>
      </c>
      <c r="AC447" s="44">
        <f t="shared" si="142"/>
        <v>0</v>
      </c>
      <c r="AD447" s="44">
        <f t="shared" si="143"/>
        <v>0</v>
      </c>
      <c r="AE447" s="44">
        <f t="shared" si="144"/>
        <v>0</v>
      </c>
      <c r="AF447" s="52" t="e">
        <f>HLOOKUP(I447,ElecAvoidedCostsWOCC!$A$5:$Q$50,G447+1,FALSE)</f>
        <v>#N/A</v>
      </c>
      <c r="AG447" s="44" t="e">
        <f t="shared" si="145"/>
        <v>#N/A</v>
      </c>
      <c r="AH447" s="52" t="e">
        <f>HLOOKUP(I447,ElecAvoidedCostsWOCC!$A$5:$Q$50,T447+1,FALSE)</f>
        <v>#N/A</v>
      </c>
      <c r="AI447" s="44" t="e">
        <f t="shared" si="146"/>
        <v>#N/A</v>
      </c>
      <c r="AJ447" s="44" t="e">
        <f t="shared" si="147"/>
        <v>#N/A</v>
      </c>
      <c r="AK447" s="44" t="e">
        <f>HLOOKUP(I447,ElecAvoidedCostsWOCC!$A$5:$Q$50,G447+1,FALSE)*J447*L447</f>
        <v>#N/A</v>
      </c>
      <c r="AL447" s="44" t="e">
        <f t="shared" si="148"/>
        <v>#N/A</v>
      </c>
      <c r="AM447" s="48">
        <f>IF(O447=0,0,IF(H447=0, HLOOKUP(I447,ElecAvoidedCostsWOCC!$A$5:$Q$50,T447+1,FALSE)*K447*J447,HLOOKUP(I447,ElecAvoidedCostsWOCC!$A$5:$Q$50,T447+1,FALSE)*L447*J447+HLOOKUP(I447,ElecAvoidedCostsWOCC!$A$5:$Q$50,G447+1,FALSE)*K447*J447-HLOOKUP(I447,ElecAvoidedCostsWOCC!$A$5:$Q$50,G447+1,FALSE)*L447*J447))</f>
        <v>0</v>
      </c>
      <c r="AN447" s="48">
        <f t="shared" si="149"/>
        <v>0</v>
      </c>
      <c r="AO447" s="47">
        <f t="shared" si="150"/>
        <v>0</v>
      </c>
      <c r="AP447" s="47" t="e">
        <f t="shared" si="151"/>
        <v>#DIV/0!</v>
      </c>
    </row>
    <row r="448" spans="2:42">
      <c r="B448" s="37"/>
      <c r="C448" s="61"/>
      <c r="D448" s="61"/>
      <c r="E448" s="38"/>
      <c r="F448" s="39"/>
      <c r="G448" s="39"/>
      <c r="H448" s="39"/>
      <c r="I448" s="40"/>
      <c r="J448" s="41"/>
      <c r="K448" s="41"/>
      <c r="L448" s="41"/>
      <c r="M448" s="42"/>
      <c r="N448" s="42"/>
      <c r="O448" s="43"/>
      <c r="P448" s="44"/>
      <c r="Q448" s="44"/>
      <c r="R448" s="45"/>
      <c r="S448" s="46"/>
      <c r="T448" s="39">
        <f t="shared" si="133"/>
        <v>0</v>
      </c>
      <c r="U448" s="47">
        <f t="shared" si="134"/>
        <v>0</v>
      </c>
      <c r="V448" s="48">
        <f t="shared" si="135"/>
        <v>0</v>
      </c>
      <c r="W448" s="49">
        <f t="shared" si="136"/>
        <v>0</v>
      </c>
      <c r="X448" s="44">
        <f t="shared" si="137"/>
        <v>0</v>
      </c>
      <c r="Y448" s="44">
        <f t="shared" si="138"/>
        <v>0</v>
      </c>
      <c r="Z448" s="44">
        <f t="shared" si="139"/>
        <v>0</v>
      </c>
      <c r="AA448" s="50">
        <f t="shared" si="140"/>
        <v>0</v>
      </c>
      <c r="AB448" s="51">
        <f t="shared" si="141"/>
        <v>0</v>
      </c>
      <c r="AC448" s="44">
        <f t="shared" si="142"/>
        <v>0</v>
      </c>
      <c r="AD448" s="44">
        <f t="shared" si="143"/>
        <v>0</v>
      </c>
      <c r="AE448" s="44">
        <f t="shared" si="144"/>
        <v>0</v>
      </c>
      <c r="AF448" s="52" t="e">
        <f>HLOOKUP(I448,ElecAvoidedCostsWOCC!$A$5:$Q$50,G448+1,FALSE)</f>
        <v>#N/A</v>
      </c>
      <c r="AG448" s="44" t="e">
        <f t="shared" si="145"/>
        <v>#N/A</v>
      </c>
      <c r="AH448" s="52" t="e">
        <f>HLOOKUP(I448,ElecAvoidedCostsWOCC!$A$5:$Q$50,T448+1,FALSE)</f>
        <v>#N/A</v>
      </c>
      <c r="AI448" s="44" t="e">
        <f t="shared" si="146"/>
        <v>#N/A</v>
      </c>
      <c r="AJ448" s="44" t="e">
        <f t="shared" si="147"/>
        <v>#N/A</v>
      </c>
      <c r="AK448" s="44" t="e">
        <f>HLOOKUP(I448,ElecAvoidedCostsWOCC!$A$5:$Q$50,G448+1,FALSE)*J448*L448</f>
        <v>#N/A</v>
      </c>
      <c r="AL448" s="44" t="e">
        <f t="shared" si="148"/>
        <v>#N/A</v>
      </c>
      <c r="AM448" s="48">
        <f>IF(O448=0,0,IF(H448=0, HLOOKUP(I448,ElecAvoidedCostsWOCC!$A$5:$Q$50,T448+1,FALSE)*K448*J448,HLOOKUP(I448,ElecAvoidedCostsWOCC!$A$5:$Q$50,T448+1,FALSE)*L448*J448+HLOOKUP(I448,ElecAvoidedCostsWOCC!$A$5:$Q$50,G448+1,FALSE)*K448*J448-HLOOKUP(I448,ElecAvoidedCostsWOCC!$A$5:$Q$50,G448+1,FALSE)*L448*J448))</f>
        <v>0</v>
      </c>
      <c r="AN448" s="48">
        <f t="shared" si="149"/>
        <v>0</v>
      </c>
      <c r="AO448" s="47">
        <f t="shared" si="150"/>
        <v>0</v>
      </c>
      <c r="AP448" s="47" t="e">
        <f t="shared" si="151"/>
        <v>#DIV/0!</v>
      </c>
    </row>
    <row r="449" spans="2:42">
      <c r="B449" s="37"/>
      <c r="C449" s="61"/>
      <c r="D449" s="61"/>
      <c r="E449" s="38"/>
      <c r="F449" s="39"/>
      <c r="G449" s="39"/>
      <c r="H449" s="39"/>
      <c r="I449" s="40"/>
      <c r="J449" s="41"/>
      <c r="K449" s="41"/>
      <c r="L449" s="41"/>
      <c r="M449" s="42"/>
      <c r="N449" s="42"/>
      <c r="O449" s="43"/>
      <c r="P449" s="44"/>
      <c r="Q449" s="44"/>
      <c r="R449" s="45"/>
      <c r="S449" s="46"/>
      <c r="T449" s="39">
        <f t="shared" si="133"/>
        <v>0</v>
      </c>
      <c r="U449" s="47">
        <f t="shared" si="134"/>
        <v>0</v>
      </c>
      <c r="V449" s="48">
        <f t="shared" si="135"/>
        <v>0</v>
      </c>
      <c r="W449" s="49">
        <f t="shared" si="136"/>
        <v>0</v>
      </c>
      <c r="X449" s="44">
        <f t="shared" si="137"/>
        <v>0</v>
      </c>
      <c r="Y449" s="44">
        <f t="shared" si="138"/>
        <v>0</v>
      </c>
      <c r="Z449" s="44">
        <f t="shared" si="139"/>
        <v>0</v>
      </c>
      <c r="AA449" s="50">
        <f t="shared" si="140"/>
        <v>0</v>
      </c>
      <c r="AB449" s="51">
        <f t="shared" si="141"/>
        <v>0</v>
      </c>
      <c r="AC449" s="44">
        <f t="shared" si="142"/>
        <v>0</v>
      </c>
      <c r="AD449" s="44">
        <f t="shared" si="143"/>
        <v>0</v>
      </c>
      <c r="AE449" s="44">
        <f t="shared" si="144"/>
        <v>0</v>
      </c>
      <c r="AF449" s="52" t="e">
        <f>HLOOKUP(I449,ElecAvoidedCostsWOCC!$A$5:$Q$50,G449+1,FALSE)</f>
        <v>#N/A</v>
      </c>
      <c r="AG449" s="44" t="e">
        <f t="shared" si="145"/>
        <v>#N/A</v>
      </c>
      <c r="AH449" s="52" t="e">
        <f>HLOOKUP(I449,ElecAvoidedCostsWOCC!$A$5:$Q$50,T449+1,FALSE)</f>
        <v>#N/A</v>
      </c>
      <c r="AI449" s="44" t="e">
        <f t="shared" si="146"/>
        <v>#N/A</v>
      </c>
      <c r="AJ449" s="44" t="e">
        <f t="shared" si="147"/>
        <v>#N/A</v>
      </c>
      <c r="AK449" s="44" t="e">
        <f>HLOOKUP(I449,ElecAvoidedCostsWOCC!$A$5:$Q$50,G449+1,FALSE)*J449*L449</f>
        <v>#N/A</v>
      </c>
      <c r="AL449" s="44" t="e">
        <f t="shared" si="148"/>
        <v>#N/A</v>
      </c>
      <c r="AM449" s="48">
        <f>IF(O449=0,0,IF(H449=0, HLOOKUP(I449,ElecAvoidedCostsWOCC!$A$5:$Q$50,T449+1,FALSE)*K449*J449,HLOOKUP(I449,ElecAvoidedCostsWOCC!$A$5:$Q$50,T449+1,FALSE)*L449*J449+HLOOKUP(I449,ElecAvoidedCostsWOCC!$A$5:$Q$50,G449+1,FALSE)*K449*J449-HLOOKUP(I449,ElecAvoidedCostsWOCC!$A$5:$Q$50,G449+1,FALSE)*L449*J449))</f>
        <v>0</v>
      </c>
      <c r="AN449" s="48">
        <f t="shared" si="149"/>
        <v>0</v>
      </c>
      <c r="AO449" s="47">
        <f t="shared" si="150"/>
        <v>0</v>
      </c>
      <c r="AP449" s="47" t="e">
        <f t="shared" si="151"/>
        <v>#DIV/0!</v>
      </c>
    </row>
    <row r="450" spans="2:42">
      <c r="B450" s="37"/>
      <c r="C450" s="61"/>
      <c r="D450" s="61"/>
      <c r="E450" s="38"/>
      <c r="F450" s="39"/>
      <c r="G450" s="39"/>
      <c r="H450" s="39"/>
      <c r="I450" s="40"/>
      <c r="J450" s="41"/>
      <c r="K450" s="41"/>
      <c r="L450" s="41"/>
      <c r="M450" s="42"/>
      <c r="N450" s="42"/>
      <c r="O450" s="43"/>
      <c r="P450" s="44"/>
      <c r="Q450" s="44"/>
      <c r="R450" s="45"/>
      <c r="S450" s="46"/>
      <c r="T450" s="39">
        <f t="shared" si="133"/>
        <v>0</v>
      </c>
      <c r="U450" s="47">
        <f t="shared" si="134"/>
        <v>0</v>
      </c>
      <c r="V450" s="48">
        <f t="shared" si="135"/>
        <v>0</v>
      </c>
      <c r="W450" s="49">
        <f t="shared" si="136"/>
        <v>0</v>
      </c>
      <c r="X450" s="44">
        <f t="shared" si="137"/>
        <v>0</v>
      </c>
      <c r="Y450" s="44">
        <f t="shared" si="138"/>
        <v>0</v>
      </c>
      <c r="Z450" s="44">
        <f t="shared" si="139"/>
        <v>0</v>
      </c>
      <c r="AA450" s="50">
        <f t="shared" si="140"/>
        <v>0</v>
      </c>
      <c r="AB450" s="51">
        <f t="shared" si="141"/>
        <v>0</v>
      </c>
      <c r="AC450" s="44">
        <f t="shared" si="142"/>
        <v>0</v>
      </c>
      <c r="AD450" s="44">
        <f t="shared" si="143"/>
        <v>0</v>
      </c>
      <c r="AE450" s="44">
        <f t="shared" si="144"/>
        <v>0</v>
      </c>
      <c r="AF450" s="52" t="e">
        <f>HLOOKUP(I450,ElecAvoidedCostsWOCC!$A$5:$Q$50,G450+1,FALSE)</f>
        <v>#N/A</v>
      </c>
      <c r="AG450" s="44" t="e">
        <f t="shared" si="145"/>
        <v>#N/A</v>
      </c>
      <c r="AH450" s="52" t="e">
        <f>HLOOKUP(I450,ElecAvoidedCostsWOCC!$A$5:$Q$50,T450+1,FALSE)</f>
        <v>#N/A</v>
      </c>
      <c r="AI450" s="44" t="e">
        <f t="shared" si="146"/>
        <v>#N/A</v>
      </c>
      <c r="AJ450" s="44" t="e">
        <f t="shared" si="147"/>
        <v>#N/A</v>
      </c>
      <c r="AK450" s="44" t="e">
        <f>HLOOKUP(I450,ElecAvoidedCostsWOCC!$A$5:$Q$50,G450+1,FALSE)*J450*L450</f>
        <v>#N/A</v>
      </c>
      <c r="AL450" s="44" t="e">
        <f t="shared" si="148"/>
        <v>#N/A</v>
      </c>
      <c r="AM450" s="48">
        <f>IF(O450=0,0,IF(H450=0, HLOOKUP(I450,ElecAvoidedCostsWOCC!$A$5:$Q$50,T450+1,FALSE)*K450*J450,HLOOKUP(I450,ElecAvoidedCostsWOCC!$A$5:$Q$50,T450+1,FALSE)*L450*J450+HLOOKUP(I450,ElecAvoidedCostsWOCC!$A$5:$Q$50,G450+1,FALSE)*K450*J450-HLOOKUP(I450,ElecAvoidedCostsWOCC!$A$5:$Q$50,G450+1,FALSE)*L450*J450))</f>
        <v>0</v>
      </c>
      <c r="AN450" s="48">
        <f t="shared" si="149"/>
        <v>0</v>
      </c>
      <c r="AO450" s="47">
        <f t="shared" si="150"/>
        <v>0</v>
      </c>
      <c r="AP450" s="47" t="e">
        <f t="shared" si="151"/>
        <v>#DIV/0!</v>
      </c>
    </row>
    <row r="451" spans="2:42">
      <c r="B451" s="37"/>
      <c r="C451" s="61"/>
      <c r="D451" s="61"/>
      <c r="E451" s="38"/>
      <c r="F451" s="39"/>
      <c r="G451" s="39"/>
      <c r="H451" s="39"/>
      <c r="I451" s="40"/>
      <c r="J451" s="41"/>
      <c r="K451" s="41"/>
      <c r="L451" s="41"/>
      <c r="M451" s="42"/>
      <c r="N451" s="42"/>
      <c r="O451" s="43"/>
      <c r="P451" s="44"/>
      <c r="Q451" s="44"/>
      <c r="R451" s="45"/>
      <c r="S451" s="46"/>
      <c r="T451" s="39">
        <f t="shared" si="133"/>
        <v>0</v>
      </c>
      <c r="U451" s="47">
        <f t="shared" si="134"/>
        <v>0</v>
      </c>
      <c r="V451" s="48">
        <f t="shared" si="135"/>
        <v>0</v>
      </c>
      <c r="W451" s="49">
        <f t="shared" si="136"/>
        <v>0</v>
      </c>
      <c r="X451" s="44">
        <f t="shared" si="137"/>
        <v>0</v>
      </c>
      <c r="Y451" s="44">
        <f t="shared" si="138"/>
        <v>0</v>
      </c>
      <c r="Z451" s="44">
        <f t="shared" si="139"/>
        <v>0</v>
      </c>
      <c r="AA451" s="50">
        <f t="shared" si="140"/>
        <v>0</v>
      </c>
      <c r="AB451" s="51">
        <f t="shared" si="141"/>
        <v>0</v>
      </c>
      <c r="AC451" s="44">
        <f t="shared" si="142"/>
        <v>0</v>
      </c>
      <c r="AD451" s="44">
        <f t="shared" si="143"/>
        <v>0</v>
      </c>
      <c r="AE451" s="44">
        <f t="shared" si="144"/>
        <v>0</v>
      </c>
      <c r="AF451" s="52" t="e">
        <f>HLOOKUP(I451,ElecAvoidedCostsWOCC!$A$5:$Q$50,G451+1,FALSE)</f>
        <v>#N/A</v>
      </c>
      <c r="AG451" s="44" t="e">
        <f t="shared" si="145"/>
        <v>#N/A</v>
      </c>
      <c r="AH451" s="52" t="e">
        <f>HLOOKUP(I451,ElecAvoidedCostsWOCC!$A$5:$Q$50,T451+1,FALSE)</f>
        <v>#N/A</v>
      </c>
      <c r="AI451" s="44" t="e">
        <f t="shared" si="146"/>
        <v>#N/A</v>
      </c>
      <c r="AJ451" s="44" t="e">
        <f t="shared" si="147"/>
        <v>#N/A</v>
      </c>
      <c r="AK451" s="44" t="e">
        <f>HLOOKUP(I451,ElecAvoidedCostsWOCC!$A$5:$Q$50,G451+1,FALSE)*J451*L451</f>
        <v>#N/A</v>
      </c>
      <c r="AL451" s="44" t="e">
        <f t="shared" si="148"/>
        <v>#N/A</v>
      </c>
      <c r="AM451" s="48">
        <f>IF(O451=0,0,IF(H451=0, HLOOKUP(I451,ElecAvoidedCostsWOCC!$A$5:$Q$50,T451+1,FALSE)*K451*J451,HLOOKUP(I451,ElecAvoidedCostsWOCC!$A$5:$Q$50,T451+1,FALSE)*L451*J451+HLOOKUP(I451,ElecAvoidedCostsWOCC!$A$5:$Q$50,G451+1,FALSE)*K451*J451-HLOOKUP(I451,ElecAvoidedCostsWOCC!$A$5:$Q$50,G451+1,FALSE)*L451*J451))</f>
        <v>0</v>
      </c>
      <c r="AN451" s="48">
        <f t="shared" si="149"/>
        <v>0</v>
      </c>
      <c r="AO451" s="47">
        <f t="shared" si="150"/>
        <v>0</v>
      </c>
      <c r="AP451" s="47" t="e">
        <f t="shared" si="151"/>
        <v>#DIV/0!</v>
      </c>
    </row>
    <row r="452" spans="2:42">
      <c r="B452" s="37"/>
      <c r="C452" s="61"/>
      <c r="D452" s="61"/>
      <c r="E452" s="38"/>
      <c r="F452" s="39"/>
      <c r="G452" s="39"/>
      <c r="H452" s="39"/>
      <c r="I452" s="40"/>
      <c r="J452" s="41"/>
      <c r="K452" s="41"/>
      <c r="L452" s="41"/>
      <c r="M452" s="42"/>
      <c r="N452" s="42"/>
      <c r="O452" s="43"/>
      <c r="P452" s="44"/>
      <c r="Q452" s="44"/>
      <c r="R452" s="45"/>
      <c r="S452" s="46"/>
      <c r="T452" s="39">
        <f t="shared" ref="T452:T515" si="152">G452+H452</f>
        <v>0</v>
      </c>
      <c r="U452" s="47">
        <f t="shared" ref="U452:U515" si="153">(O452/$A$10)*T452</f>
        <v>0</v>
      </c>
      <c r="V452" s="48">
        <f t="shared" ref="V452:V515" si="154">N452-M452</f>
        <v>0</v>
      </c>
      <c r="W452" s="49">
        <f t="shared" ref="W452:W515" si="155">(O452/A$10)</f>
        <v>0</v>
      </c>
      <c r="X452" s="44">
        <f t="shared" ref="X452:X515" si="156">W452*A$8</f>
        <v>0</v>
      </c>
      <c r="Y452" s="44">
        <f t="shared" ref="Y452:Y515" si="157">Q452-P452</f>
        <v>0</v>
      </c>
      <c r="Z452" s="44">
        <f t="shared" ref="Z452:Z515" si="158">X452+(A$6*W452)</f>
        <v>0</v>
      </c>
      <c r="AA452" s="50">
        <f t="shared" ref="AA452:AA515" si="159">Q452+X452</f>
        <v>0</v>
      </c>
      <c r="AB452" s="51">
        <f t="shared" ref="AB452:AB515" si="160">Z452/(1+ElecDiscountRate)^1</f>
        <v>0</v>
      </c>
      <c r="AC452" s="44">
        <f t="shared" ref="AC452:AC515" si="161">AA452/(1+ElecDiscountRate)^1</f>
        <v>0</v>
      </c>
      <c r="AD452" s="44">
        <f t="shared" ref="AD452:AD515" si="162">-PV(ElecDiscountRate,T452,R452)*J452</f>
        <v>0</v>
      </c>
      <c r="AE452" s="44">
        <f t="shared" ref="AE452:AE515" si="163">-PV(ElecDiscountRate,T452,S452)*J452</f>
        <v>0</v>
      </c>
      <c r="AF452" s="52" t="e">
        <f>HLOOKUP(I452,ElecAvoidedCostsWOCC!$A$5:$Q$50,G452+1,FALSE)</f>
        <v>#N/A</v>
      </c>
      <c r="AG452" s="44" t="e">
        <f t="shared" ref="AG452:AG515" si="164">AF452*J452*K452</f>
        <v>#N/A</v>
      </c>
      <c r="AH452" s="52" t="e">
        <f>HLOOKUP(I452,ElecAvoidedCostsWOCC!$A$5:$Q$50,T452+1,FALSE)</f>
        <v>#N/A</v>
      </c>
      <c r="AI452" s="44" t="e">
        <f t="shared" ref="AI452:AI515" si="165">AH452*J452*L452</f>
        <v>#N/A</v>
      </c>
      <c r="AJ452" s="44" t="e">
        <f t="shared" ref="AJ452:AJ515" si="166">AG452+AI452</f>
        <v>#N/A</v>
      </c>
      <c r="AK452" s="44" t="e">
        <f>HLOOKUP(I452,ElecAvoidedCostsWOCC!$A$5:$Q$50,G452+1,FALSE)*J452*L452</f>
        <v>#N/A</v>
      </c>
      <c r="AL452" s="44" t="e">
        <f t="shared" ref="AL452:AL515" si="167">AG452+AI452-AK452</f>
        <v>#N/A</v>
      </c>
      <c r="AM452" s="48">
        <f>IF(O452=0,0,IF(H452=0, HLOOKUP(I452,ElecAvoidedCostsWOCC!$A$5:$Q$50,T452+1,FALSE)*K452*J452,HLOOKUP(I452,ElecAvoidedCostsWOCC!$A$5:$Q$50,T452+1,FALSE)*L452*J452+HLOOKUP(I452,ElecAvoidedCostsWOCC!$A$5:$Q$50,G452+1,FALSE)*K452*J452-HLOOKUP(I452,ElecAvoidedCostsWOCC!$A$5:$Q$50,G452+1,FALSE)*L452*J452))</f>
        <v>0</v>
      </c>
      <c r="AN452" s="48">
        <f t="shared" ref="AN452:AN515" si="168">AM452*1.1+AD452+AE452</f>
        <v>0</v>
      </c>
      <c r="AO452" s="47">
        <f t="shared" ref="AO452:AO515" si="169">IFERROR(AM452/AB452,0)</f>
        <v>0</v>
      </c>
      <c r="AP452" s="47" t="e">
        <f t="shared" ref="AP452:AP515" si="170">AN452/AC452</f>
        <v>#DIV/0!</v>
      </c>
    </row>
    <row r="453" spans="2:42">
      <c r="B453" s="37"/>
      <c r="C453" s="61"/>
      <c r="D453" s="61"/>
      <c r="E453" s="38"/>
      <c r="F453" s="39"/>
      <c r="G453" s="39"/>
      <c r="H453" s="39"/>
      <c r="I453" s="40"/>
      <c r="J453" s="41"/>
      <c r="K453" s="41"/>
      <c r="L453" s="41"/>
      <c r="M453" s="42"/>
      <c r="N453" s="42"/>
      <c r="O453" s="43"/>
      <c r="P453" s="44"/>
      <c r="Q453" s="44"/>
      <c r="R453" s="45"/>
      <c r="S453" s="46"/>
      <c r="T453" s="39">
        <f t="shared" si="152"/>
        <v>0</v>
      </c>
      <c r="U453" s="47">
        <f t="shared" si="153"/>
        <v>0</v>
      </c>
      <c r="V453" s="48">
        <f t="shared" si="154"/>
        <v>0</v>
      </c>
      <c r="W453" s="49">
        <f t="shared" si="155"/>
        <v>0</v>
      </c>
      <c r="X453" s="44">
        <f t="shared" si="156"/>
        <v>0</v>
      </c>
      <c r="Y453" s="44">
        <f t="shared" si="157"/>
        <v>0</v>
      </c>
      <c r="Z453" s="44">
        <f t="shared" si="158"/>
        <v>0</v>
      </c>
      <c r="AA453" s="50">
        <f t="shared" si="159"/>
        <v>0</v>
      </c>
      <c r="AB453" s="51">
        <f t="shared" si="160"/>
        <v>0</v>
      </c>
      <c r="AC453" s="44">
        <f t="shared" si="161"/>
        <v>0</v>
      </c>
      <c r="AD453" s="44">
        <f t="shared" si="162"/>
        <v>0</v>
      </c>
      <c r="AE453" s="44">
        <f t="shared" si="163"/>
        <v>0</v>
      </c>
      <c r="AF453" s="52" t="e">
        <f>HLOOKUP(I453,ElecAvoidedCostsWOCC!$A$5:$Q$50,G453+1,FALSE)</f>
        <v>#N/A</v>
      </c>
      <c r="AG453" s="44" t="e">
        <f t="shared" si="164"/>
        <v>#N/A</v>
      </c>
      <c r="AH453" s="52" t="e">
        <f>HLOOKUP(I453,ElecAvoidedCostsWOCC!$A$5:$Q$50,T453+1,FALSE)</f>
        <v>#N/A</v>
      </c>
      <c r="AI453" s="44" t="e">
        <f t="shared" si="165"/>
        <v>#N/A</v>
      </c>
      <c r="AJ453" s="44" t="e">
        <f t="shared" si="166"/>
        <v>#N/A</v>
      </c>
      <c r="AK453" s="44" t="e">
        <f>HLOOKUP(I453,ElecAvoidedCostsWOCC!$A$5:$Q$50,G453+1,FALSE)*J453*L453</f>
        <v>#N/A</v>
      </c>
      <c r="AL453" s="44" t="e">
        <f t="shared" si="167"/>
        <v>#N/A</v>
      </c>
      <c r="AM453" s="48">
        <f>IF(O453=0,0,IF(H453=0, HLOOKUP(I453,ElecAvoidedCostsWOCC!$A$5:$Q$50,T453+1,FALSE)*K453*J453,HLOOKUP(I453,ElecAvoidedCostsWOCC!$A$5:$Q$50,T453+1,FALSE)*L453*J453+HLOOKUP(I453,ElecAvoidedCostsWOCC!$A$5:$Q$50,G453+1,FALSE)*K453*J453-HLOOKUP(I453,ElecAvoidedCostsWOCC!$A$5:$Q$50,G453+1,FALSE)*L453*J453))</f>
        <v>0</v>
      </c>
      <c r="AN453" s="48">
        <f t="shared" si="168"/>
        <v>0</v>
      </c>
      <c r="AO453" s="47">
        <f t="shared" si="169"/>
        <v>0</v>
      </c>
      <c r="AP453" s="47" t="e">
        <f t="shared" si="170"/>
        <v>#DIV/0!</v>
      </c>
    </row>
    <row r="454" spans="2:42">
      <c r="B454" s="37"/>
      <c r="C454" s="61"/>
      <c r="D454" s="61"/>
      <c r="E454" s="38"/>
      <c r="F454" s="39"/>
      <c r="G454" s="39"/>
      <c r="H454" s="39"/>
      <c r="I454" s="40"/>
      <c r="J454" s="41"/>
      <c r="K454" s="41"/>
      <c r="L454" s="41"/>
      <c r="M454" s="42"/>
      <c r="N454" s="42"/>
      <c r="O454" s="43"/>
      <c r="P454" s="44"/>
      <c r="Q454" s="44"/>
      <c r="R454" s="45"/>
      <c r="S454" s="46"/>
      <c r="T454" s="39">
        <f t="shared" si="152"/>
        <v>0</v>
      </c>
      <c r="U454" s="47">
        <f t="shared" si="153"/>
        <v>0</v>
      </c>
      <c r="V454" s="48">
        <f t="shared" si="154"/>
        <v>0</v>
      </c>
      <c r="W454" s="49">
        <f t="shared" si="155"/>
        <v>0</v>
      </c>
      <c r="X454" s="44">
        <f t="shared" si="156"/>
        <v>0</v>
      </c>
      <c r="Y454" s="44">
        <f t="shared" si="157"/>
        <v>0</v>
      </c>
      <c r="Z454" s="44">
        <f t="shared" si="158"/>
        <v>0</v>
      </c>
      <c r="AA454" s="50">
        <f t="shared" si="159"/>
        <v>0</v>
      </c>
      <c r="AB454" s="51">
        <f t="shared" si="160"/>
        <v>0</v>
      </c>
      <c r="AC454" s="44">
        <f t="shared" si="161"/>
        <v>0</v>
      </c>
      <c r="AD454" s="44">
        <f t="shared" si="162"/>
        <v>0</v>
      </c>
      <c r="AE454" s="44">
        <f t="shared" si="163"/>
        <v>0</v>
      </c>
      <c r="AF454" s="52" t="e">
        <f>HLOOKUP(I454,ElecAvoidedCostsWOCC!$A$5:$Q$50,G454+1,FALSE)</f>
        <v>#N/A</v>
      </c>
      <c r="AG454" s="44" t="e">
        <f t="shared" si="164"/>
        <v>#N/A</v>
      </c>
      <c r="AH454" s="52" t="e">
        <f>HLOOKUP(I454,ElecAvoidedCostsWOCC!$A$5:$Q$50,T454+1,FALSE)</f>
        <v>#N/A</v>
      </c>
      <c r="AI454" s="44" t="e">
        <f t="shared" si="165"/>
        <v>#N/A</v>
      </c>
      <c r="AJ454" s="44" t="e">
        <f t="shared" si="166"/>
        <v>#N/A</v>
      </c>
      <c r="AK454" s="44" t="e">
        <f>HLOOKUP(I454,ElecAvoidedCostsWOCC!$A$5:$Q$50,G454+1,FALSE)*J454*L454</f>
        <v>#N/A</v>
      </c>
      <c r="AL454" s="44" t="e">
        <f t="shared" si="167"/>
        <v>#N/A</v>
      </c>
      <c r="AM454" s="48">
        <f>IF(O454=0,0,IF(H454=0, HLOOKUP(I454,ElecAvoidedCostsWOCC!$A$5:$Q$50,T454+1,FALSE)*K454*J454,HLOOKUP(I454,ElecAvoidedCostsWOCC!$A$5:$Q$50,T454+1,FALSE)*L454*J454+HLOOKUP(I454,ElecAvoidedCostsWOCC!$A$5:$Q$50,G454+1,FALSE)*K454*J454-HLOOKUP(I454,ElecAvoidedCostsWOCC!$A$5:$Q$50,G454+1,FALSE)*L454*J454))</f>
        <v>0</v>
      </c>
      <c r="AN454" s="48">
        <f t="shared" si="168"/>
        <v>0</v>
      </c>
      <c r="AO454" s="47">
        <f t="shared" si="169"/>
        <v>0</v>
      </c>
      <c r="AP454" s="47" t="e">
        <f t="shared" si="170"/>
        <v>#DIV/0!</v>
      </c>
    </row>
    <row r="455" spans="2:42">
      <c r="B455" s="37"/>
      <c r="C455" s="61"/>
      <c r="D455" s="61"/>
      <c r="E455" s="38"/>
      <c r="F455" s="39"/>
      <c r="G455" s="39"/>
      <c r="H455" s="39"/>
      <c r="I455" s="40"/>
      <c r="J455" s="41"/>
      <c r="K455" s="41"/>
      <c r="L455" s="41"/>
      <c r="M455" s="42"/>
      <c r="N455" s="42"/>
      <c r="O455" s="43"/>
      <c r="P455" s="44"/>
      <c r="Q455" s="44"/>
      <c r="R455" s="45"/>
      <c r="S455" s="46"/>
      <c r="T455" s="39">
        <f t="shared" si="152"/>
        <v>0</v>
      </c>
      <c r="U455" s="47">
        <f t="shared" si="153"/>
        <v>0</v>
      </c>
      <c r="V455" s="48">
        <f t="shared" si="154"/>
        <v>0</v>
      </c>
      <c r="W455" s="49">
        <f t="shared" si="155"/>
        <v>0</v>
      </c>
      <c r="X455" s="44">
        <f t="shared" si="156"/>
        <v>0</v>
      </c>
      <c r="Y455" s="44">
        <f t="shared" si="157"/>
        <v>0</v>
      </c>
      <c r="Z455" s="44">
        <f t="shared" si="158"/>
        <v>0</v>
      </c>
      <c r="AA455" s="50">
        <f t="shared" si="159"/>
        <v>0</v>
      </c>
      <c r="AB455" s="51">
        <f t="shared" si="160"/>
        <v>0</v>
      </c>
      <c r="AC455" s="44">
        <f t="shared" si="161"/>
        <v>0</v>
      </c>
      <c r="AD455" s="44">
        <f t="shared" si="162"/>
        <v>0</v>
      </c>
      <c r="AE455" s="44">
        <f t="shared" si="163"/>
        <v>0</v>
      </c>
      <c r="AF455" s="52" t="e">
        <f>HLOOKUP(I455,ElecAvoidedCostsWOCC!$A$5:$Q$50,G455+1,FALSE)</f>
        <v>#N/A</v>
      </c>
      <c r="AG455" s="44" t="e">
        <f t="shared" si="164"/>
        <v>#N/A</v>
      </c>
      <c r="AH455" s="52" t="e">
        <f>HLOOKUP(I455,ElecAvoidedCostsWOCC!$A$5:$Q$50,T455+1,FALSE)</f>
        <v>#N/A</v>
      </c>
      <c r="AI455" s="44" t="e">
        <f t="shared" si="165"/>
        <v>#N/A</v>
      </c>
      <c r="AJ455" s="44" t="e">
        <f t="shared" si="166"/>
        <v>#N/A</v>
      </c>
      <c r="AK455" s="44" t="e">
        <f>HLOOKUP(I455,ElecAvoidedCostsWOCC!$A$5:$Q$50,G455+1,FALSE)*J455*L455</f>
        <v>#N/A</v>
      </c>
      <c r="AL455" s="44" t="e">
        <f t="shared" si="167"/>
        <v>#N/A</v>
      </c>
      <c r="AM455" s="48">
        <f>IF(O455=0,0,IF(H455=0, HLOOKUP(I455,ElecAvoidedCostsWOCC!$A$5:$Q$50,T455+1,FALSE)*K455*J455,HLOOKUP(I455,ElecAvoidedCostsWOCC!$A$5:$Q$50,T455+1,FALSE)*L455*J455+HLOOKUP(I455,ElecAvoidedCostsWOCC!$A$5:$Q$50,G455+1,FALSE)*K455*J455-HLOOKUP(I455,ElecAvoidedCostsWOCC!$A$5:$Q$50,G455+1,FALSE)*L455*J455))</f>
        <v>0</v>
      </c>
      <c r="AN455" s="48">
        <f t="shared" si="168"/>
        <v>0</v>
      </c>
      <c r="AO455" s="47">
        <f t="shared" si="169"/>
        <v>0</v>
      </c>
      <c r="AP455" s="47" t="e">
        <f t="shared" si="170"/>
        <v>#DIV/0!</v>
      </c>
    </row>
    <row r="456" spans="2:42">
      <c r="B456" s="37"/>
      <c r="C456" s="61"/>
      <c r="D456" s="61"/>
      <c r="E456" s="38"/>
      <c r="F456" s="39"/>
      <c r="G456" s="39"/>
      <c r="H456" s="39"/>
      <c r="I456" s="40"/>
      <c r="J456" s="41"/>
      <c r="K456" s="41"/>
      <c r="L456" s="41"/>
      <c r="M456" s="42"/>
      <c r="N456" s="42"/>
      <c r="O456" s="43"/>
      <c r="P456" s="44"/>
      <c r="Q456" s="44"/>
      <c r="R456" s="45"/>
      <c r="S456" s="46"/>
      <c r="T456" s="39">
        <f t="shared" si="152"/>
        <v>0</v>
      </c>
      <c r="U456" s="47">
        <f t="shared" si="153"/>
        <v>0</v>
      </c>
      <c r="V456" s="48">
        <f t="shared" si="154"/>
        <v>0</v>
      </c>
      <c r="W456" s="49">
        <f t="shared" si="155"/>
        <v>0</v>
      </c>
      <c r="X456" s="44">
        <f t="shared" si="156"/>
        <v>0</v>
      </c>
      <c r="Y456" s="44">
        <f t="shared" si="157"/>
        <v>0</v>
      </c>
      <c r="Z456" s="44">
        <f t="shared" si="158"/>
        <v>0</v>
      </c>
      <c r="AA456" s="50">
        <f t="shared" si="159"/>
        <v>0</v>
      </c>
      <c r="AB456" s="51">
        <f t="shared" si="160"/>
        <v>0</v>
      </c>
      <c r="AC456" s="44">
        <f t="shared" si="161"/>
        <v>0</v>
      </c>
      <c r="AD456" s="44">
        <f t="shared" si="162"/>
        <v>0</v>
      </c>
      <c r="AE456" s="44">
        <f t="shared" si="163"/>
        <v>0</v>
      </c>
      <c r="AF456" s="52" t="e">
        <f>HLOOKUP(I456,ElecAvoidedCostsWOCC!$A$5:$Q$50,G456+1,FALSE)</f>
        <v>#N/A</v>
      </c>
      <c r="AG456" s="44" t="e">
        <f t="shared" si="164"/>
        <v>#N/A</v>
      </c>
      <c r="AH456" s="52" t="e">
        <f>HLOOKUP(I456,ElecAvoidedCostsWOCC!$A$5:$Q$50,T456+1,FALSE)</f>
        <v>#N/A</v>
      </c>
      <c r="AI456" s="44" t="e">
        <f t="shared" si="165"/>
        <v>#N/A</v>
      </c>
      <c r="AJ456" s="44" t="e">
        <f t="shared" si="166"/>
        <v>#N/A</v>
      </c>
      <c r="AK456" s="44" t="e">
        <f>HLOOKUP(I456,ElecAvoidedCostsWOCC!$A$5:$Q$50,G456+1,FALSE)*J456*L456</f>
        <v>#N/A</v>
      </c>
      <c r="AL456" s="44" t="e">
        <f t="shared" si="167"/>
        <v>#N/A</v>
      </c>
      <c r="AM456" s="48">
        <f>IF(O456=0,0,IF(H456=0, HLOOKUP(I456,ElecAvoidedCostsWOCC!$A$5:$Q$50,T456+1,FALSE)*K456*J456,HLOOKUP(I456,ElecAvoidedCostsWOCC!$A$5:$Q$50,T456+1,FALSE)*L456*J456+HLOOKUP(I456,ElecAvoidedCostsWOCC!$A$5:$Q$50,G456+1,FALSE)*K456*J456-HLOOKUP(I456,ElecAvoidedCostsWOCC!$A$5:$Q$50,G456+1,FALSE)*L456*J456))</f>
        <v>0</v>
      </c>
      <c r="AN456" s="48">
        <f t="shared" si="168"/>
        <v>0</v>
      </c>
      <c r="AO456" s="47">
        <f t="shared" si="169"/>
        <v>0</v>
      </c>
      <c r="AP456" s="47" t="e">
        <f t="shared" si="170"/>
        <v>#DIV/0!</v>
      </c>
    </row>
    <row r="457" spans="2:42">
      <c r="B457" s="37"/>
      <c r="C457" s="61"/>
      <c r="D457" s="61"/>
      <c r="E457" s="38"/>
      <c r="F457" s="39"/>
      <c r="G457" s="39"/>
      <c r="H457" s="39"/>
      <c r="I457" s="40"/>
      <c r="J457" s="41"/>
      <c r="K457" s="41"/>
      <c r="L457" s="41"/>
      <c r="M457" s="42"/>
      <c r="N457" s="42"/>
      <c r="O457" s="43"/>
      <c r="P457" s="44"/>
      <c r="Q457" s="44"/>
      <c r="R457" s="45"/>
      <c r="S457" s="46"/>
      <c r="T457" s="39">
        <f t="shared" si="152"/>
        <v>0</v>
      </c>
      <c r="U457" s="47">
        <f t="shared" si="153"/>
        <v>0</v>
      </c>
      <c r="V457" s="48">
        <f t="shared" si="154"/>
        <v>0</v>
      </c>
      <c r="W457" s="49">
        <f t="shared" si="155"/>
        <v>0</v>
      </c>
      <c r="X457" s="44">
        <f t="shared" si="156"/>
        <v>0</v>
      </c>
      <c r="Y457" s="44">
        <f t="shared" si="157"/>
        <v>0</v>
      </c>
      <c r="Z457" s="44">
        <f t="shared" si="158"/>
        <v>0</v>
      </c>
      <c r="AA457" s="50">
        <f t="shared" si="159"/>
        <v>0</v>
      </c>
      <c r="AB457" s="51">
        <f t="shared" si="160"/>
        <v>0</v>
      </c>
      <c r="AC457" s="44">
        <f t="shared" si="161"/>
        <v>0</v>
      </c>
      <c r="AD457" s="44">
        <f t="shared" si="162"/>
        <v>0</v>
      </c>
      <c r="AE457" s="44">
        <f t="shared" si="163"/>
        <v>0</v>
      </c>
      <c r="AF457" s="52" t="e">
        <f>HLOOKUP(I457,ElecAvoidedCostsWOCC!$A$5:$Q$50,G457+1,FALSE)</f>
        <v>#N/A</v>
      </c>
      <c r="AG457" s="44" t="e">
        <f t="shared" si="164"/>
        <v>#N/A</v>
      </c>
      <c r="AH457" s="52" t="e">
        <f>HLOOKUP(I457,ElecAvoidedCostsWOCC!$A$5:$Q$50,T457+1,FALSE)</f>
        <v>#N/A</v>
      </c>
      <c r="AI457" s="44" t="e">
        <f t="shared" si="165"/>
        <v>#N/A</v>
      </c>
      <c r="AJ457" s="44" t="e">
        <f t="shared" si="166"/>
        <v>#N/A</v>
      </c>
      <c r="AK457" s="44" t="e">
        <f>HLOOKUP(I457,ElecAvoidedCostsWOCC!$A$5:$Q$50,G457+1,FALSE)*J457*L457</f>
        <v>#N/A</v>
      </c>
      <c r="AL457" s="44" t="e">
        <f t="shared" si="167"/>
        <v>#N/A</v>
      </c>
      <c r="AM457" s="48">
        <f>IF(O457=0,0,IF(H457=0, HLOOKUP(I457,ElecAvoidedCostsWOCC!$A$5:$Q$50,T457+1,FALSE)*K457*J457,HLOOKUP(I457,ElecAvoidedCostsWOCC!$A$5:$Q$50,T457+1,FALSE)*L457*J457+HLOOKUP(I457,ElecAvoidedCostsWOCC!$A$5:$Q$50,G457+1,FALSE)*K457*J457-HLOOKUP(I457,ElecAvoidedCostsWOCC!$A$5:$Q$50,G457+1,FALSE)*L457*J457))</f>
        <v>0</v>
      </c>
      <c r="AN457" s="48">
        <f t="shared" si="168"/>
        <v>0</v>
      </c>
      <c r="AO457" s="47">
        <f t="shared" si="169"/>
        <v>0</v>
      </c>
      <c r="AP457" s="47" t="e">
        <f t="shared" si="170"/>
        <v>#DIV/0!</v>
      </c>
    </row>
    <row r="458" spans="2:42">
      <c r="B458" s="37"/>
      <c r="C458" s="61"/>
      <c r="D458" s="61"/>
      <c r="E458" s="38"/>
      <c r="F458" s="39"/>
      <c r="G458" s="39"/>
      <c r="H458" s="39"/>
      <c r="I458" s="40"/>
      <c r="J458" s="41"/>
      <c r="K458" s="41"/>
      <c r="L458" s="41"/>
      <c r="M458" s="42"/>
      <c r="N458" s="42"/>
      <c r="O458" s="43"/>
      <c r="P458" s="44"/>
      <c r="Q458" s="44"/>
      <c r="R458" s="45"/>
      <c r="S458" s="46"/>
      <c r="T458" s="39">
        <f t="shared" si="152"/>
        <v>0</v>
      </c>
      <c r="U458" s="47">
        <f t="shared" si="153"/>
        <v>0</v>
      </c>
      <c r="V458" s="48">
        <f t="shared" si="154"/>
        <v>0</v>
      </c>
      <c r="W458" s="49">
        <f t="shared" si="155"/>
        <v>0</v>
      </c>
      <c r="X458" s="44">
        <f t="shared" si="156"/>
        <v>0</v>
      </c>
      <c r="Y458" s="44">
        <f t="shared" si="157"/>
        <v>0</v>
      </c>
      <c r="Z458" s="44">
        <f t="shared" si="158"/>
        <v>0</v>
      </c>
      <c r="AA458" s="50">
        <f t="shared" si="159"/>
        <v>0</v>
      </c>
      <c r="AB458" s="51">
        <f t="shared" si="160"/>
        <v>0</v>
      </c>
      <c r="AC458" s="44">
        <f t="shared" si="161"/>
        <v>0</v>
      </c>
      <c r="AD458" s="44">
        <f t="shared" si="162"/>
        <v>0</v>
      </c>
      <c r="AE458" s="44">
        <f t="shared" si="163"/>
        <v>0</v>
      </c>
      <c r="AF458" s="52" t="e">
        <f>HLOOKUP(I458,ElecAvoidedCostsWOCC!$A$5:$Q$50,G458+1,FALSE)</f>
        <v>#N/A</v>
      </c>
      <c r="AG458" s="44" t="e">
        <f t="shared" si="164"/>
        <v>#N/A</v>
      </c>
      <c r="AH458" s="52" t="e">
        <f>HLOOKUP(I458,ElecAvoidedCostsWOCC!$A$5:$Q$50,T458+1,FALSE)</f>
        <v>#N/A</v>
      </c>
      <c r="AI458" s="44" t="e">
        <f t="shared" si="165"/>
        <v>#N/A</v>
      </c>
      <c r="AJ458" s="44" t="e">
        <f t="shared" si="166"/>
        <v>#N/A</v>
      </c>
      <c r="AK458" s="44" t="e">
        <f>HLOOKUP(I458,ElecAvoidedCostsWOCC!$A$5:$Q$50,G458+1,FALSE)*J458*L458</f>
        <v>#N/A</v>
      </c>
      <c r="AL458" s="44" t="e">
        <f t="shared" si="167"/>
        <v>#N/A</v>
      </c>
      <c r="AM458" s="48">
        <f>IF(O458=0,0,IF(H458=0, HLOOKUP(I458,ElecAvoidedCostsWOCC!$A$5:$Q$50,T458+1,FALSE)*K458*J458,HLOOKUP(I458,ElecAvoidedCostsWOCC!$A$5:$Q$50,T458+1,FALSE)*L458*J458+HLOOKUP(I458,ElecAvoidedCostsWOCC!$A$5:$Q$50,G458+1,FALSE)*K458*J458-HLOOKUP(I458,ElecAvoidedCostsWOCC!$A$5:$Q$50,G458+1,FALSE)*L458*J458))</f>
        <v>0</v>
      </c>
      <c r="AN458" s="48">
        <f t="shared" si="168"/>
        <v>0</v>
      </c>
      <c r="AO458" s="47">
        <f t="shared" si="169"/>
        <v>0</v>
      </c>
      <c r="AP458" s="47" t="e">
        <f t="shared" si="170"/>
        <v>#DIV/0!</v>
      </c>
    </row>
    <row r="459" spans="2:42">
      <c r="B459" s="37"/>
      <c r="C459" s="61"/>
      <c r="D459" s="61"/>
      <c r="E459" s="38"/>
      <c r="F459" s="39"/>
      <c r="G459" s="39"/>
      <c r="H459" s="39"/>
      <c r="I459" s="40"/>
      <c r="J459" s="41"/>
      <c r="K459" s="41"/>
      <c r="L459" s="41"/>
      <c r="M459" s="42"/>
      <c r="N459" s="42"/>
      <c r="O459" s="43"/>
      <c r="P459" s="44"/>
      <c r="Q459" s="44"/>
      <c r="R459" s="45"/>
      <c r="S459" s="46"/>
      <c r="T459" s="39">
        <f t="shared" si="152"/>
        <v>0</v>
      </c>
      <c r="U459" s="47">
        <f t="shared" si="153"/>
        <v>0</v>
      </c>
      <c r="V459" s="48">
        <f t="shared" si="154"/>
        <v>0</v>
      </c>
      <c r="W459" s="49">
        <f t="shared" si="155"/>
        <v>0</v>
      </c>
      <c r="X459" s="44">
        <f t="shared" si="156"/>
        <v>0</v>
      </c>
      <c r="Y459" s="44">
        <f t="shared" si="157"/>
        <v>0</v>
      </c>
      <c r="Z459" s="44">
        <f t="shared" si="158"/>
        <v>0</v>
      </c>
      <c r="AA459" s="50">
        <f t="shared" si="159"/>
        <v>0</v>
      </c>
      <c r="AB459" s="51">
        <f t="shared" si="160"/>
        <v>0</v>
      </c>
      <c r="AC459" s="44">
        <f t="shared" si="161"/>
        <v>0</v>
      </c>
      <c r="AD459" s="44">
        <f t="shared" si="162"/>
        <v>0</v>
      </c>
      <c r="AE459" s="44">
        <f t="shared" si="163"/>
        <v>0</v>
      </c>
      <c r="AF459" s="52" t="e">
        <f>HLOOKUP(I459,ElecAvoidedCostsWOCC!$A$5:$Q$50,G459+1,FALSE)</f>
        <v>#N/A</v>
      </c>
      <c r="AG459" s="44" t="e">
        <f t="shared" si="164"/>
        <v>#N/A</v>
      </c>
      <c r="AH459" s="52" t="e">
        <f>HLOOKUP(I459,ElecAvoidedCostsWOCC!$A$5:$Q$50,T459+1,FALSE)</f>
        <v>#N/A</v>
      </c>
      <c r="AI459" s="44" t="e">
        <f t="shared" si="165"/>
        <v>#N/A</v>
      </c>
      <c r="AJ459" s="44" t="e">
        <f t="shared" si="166"/>
        <v>#N/A</v>
      </c>
      <c r="AK459" s="44" t="e">
        <f>HLOOKUP(I459,ElecAvoidedCostsWOCC!$A$5:$Q$50,G459+1,FALSE)*J459*L459</f>
        <v>#N/A</v>
      </c>
      <c r="AL459" s="44" t="e">
        <f t="shared" si="167"/>
        <v>#N/A</v>
      </c>
      <c r="AM459" s="48">
        <f>IF(O459=0,0,IF(H459=0, HLOOKUP(I459,ElecAvoidedCostsWOCC!$A$5:$Q$50,T459+1,FALSE)*K459*J459,HLOOKUP(I459,ElecAvoidedCostsWOCC!$A$5:$Q$50,T459+1,FALSE)*L459*J459+HLOOKUP(I459,ElecAvoidedCostsWOCC!$A$5:$Q$50,G459+1,FALSE)*K459*J459-HLOOKUP(I459,ElecAvoidedCostsWOCC!$A$5:$Q$50,G459+1,FALSE)*L459*J459))</f>
        <v>0</v>
      </c>
      <c r="AN459" s="48">
        <f t="shared" si="168"/>
        <v>0</v>
      </c>
      <c r="AO459" s="47">
        <f t="shared" si="169"/>
        <v>0</v>
      </c>
      <c r="AP459" s="47" t="e">
        <f t="shared" si="170"/>
        <v>#DIV/0!</v>
      </c>
    </row>
    <row r="460" spans="2:42">
      <c r="B460" s="37"/>
      <c r="C460" s="61"/>
      <c r="D460" s="61"/>
      <c r="E460" s="38"/>
      <c r="F460" s="39"/>
      <c r="G460" s="39"/>
      <c r="H460" s="39"/>
      <c r="I460" s="40"/>
      <c r="J460" s="41"/>
      <c r="K460" s="41"/>
      <c r="L460" s="41"/>
      <c r="M460" s="42"/>
      <c r="N460" s="42"/>
      <c r="O460" s="43"/>
      <c r="P460" s="44"/>
      <c r="Q460" s="44"/>
      <c r="R460" s="45"/>
      <c r="S460" s="46"/>
      <c r="T460" s="39">
        <f t="shared" si="152"/>
        <v>0</v>
      </c>
      <c r="U460" s="47">
        <f t="shared" si="153"/>
        <v>0</v>
      </c>
      <c r="V460" s="48">
        <f t="shared" si="154"/>
        <v>0</v>
      </c>
      <c r="W460" s="49">
        <f t="shared" si="155"/>
        <v>0</v>
      </c>
      <c r="X460" s="44">
        <f t="shared" si="156"/>
        <v>0</v>
      </c>
      <c r="Y460" s="44">
        <f t="shared" si="157"/>
        <v>0</v>
      </c>
      <c r="Z460" s="44">
        <f t="shared" si="158"/>
        <v>0</v>
      </c>
      <c r="AA460" s="50">
        <f t="shared" si="159"/>
        <v>0</v>
      </c>
      <c r="AB460" s="51">
        <f t="shared" si="160"/>
        <v>0</v>
      </c>
      <c r="AC460" s="44">
        <f t="shared" si="161"/>
        <v>0</v>
      </c>
      <c r="AD460" s="44">
        <f t="shared" si="162"/>
        <v>0</v>
      </c>
      <c r="AE460" s="44">
        <f t="shared" si="163"/>
        <v>0</v>
      </c>
      <c r="AF460" s="52" t="e">
        <f>HLOOKUP(I460,ElecAvoidedCostsWOCC!$A$5:$Q$50,G460+1,FALSE)</f>
        <v>#N/A</v>
      </c>
      <c r="AG460" s="44" t="e">
        <f t="shared" si="164"/>
        <v>#N/A</v>
      </c>
      <c r="AH460" s="52" t="e">
        <f>HLOOKUP(I460,ElecAvoidedCostsWOCC!$A$5:$Q$50,T460+1,FALSE)</f>
        <v>#N/A</v>
      </c>
      <c r="AI460" s="44" t="e">
        <f t="shared" si="165"/>
        <v>#N/A</v>
      </c>
      <c r="AJ460" s="44" t="e">
        <f t="shared" si="166"/>
        <v>#N/A</v>
      </c>
      <c r="AK460" s="44" t="e">
        <f>HLOOKUP(I460,ElecAvoidedCostsWOCC!$A$5:$Q$50,G460+1,FALSE)*J460*L460</f>
        <v>#N/A</v>
      </c>
      <c r="AL460" s="44" t="e">
        <f t="shared" si="167"/>
        <v>#N/A</v>
      </c>
      <c r="AM460" s="48">
        <f>IF(O460=0,0,IF(H460=0, HLOOKUP(I460,ElecAvoidedCostsWOCC!$A$5:$Q$50,T460+1,FALSE)*K460*J460,HLOOKUP(I460,ElecAvoidedCostsWOCC!$A$5:$Q$50,T460+1,FALSE)*L460*J460+HLOOKUP(I460,ElecAvoidedCostsWOCC!$A$5:$Q$50,G460+1,FALSE)*K460*J460-HLOOKUP(I460,ElecAvoidedCostsWOCC!$A$5:$Q$50,G460+1,FALSE)*L460*J460))</f>
        <v>0</v>
      </c>
      <c r="AN460" s="48">
        <f t="shared" si="168"/>
        <v>0</v>
      </c>
      <c r="AO460" s="47">
        <f t="shared" si="169"/>
        <v>0</v>
      </c>
      <c r="AP460" s="47" t="e">
        <f t="shared" si="170"/>
        <v>#DIV/0!</v>
      </c>
    </row>
    <row r="461" spans="2:42">
      <c r="B461" s="37"/>
      <c r="C461" s="61"/>
      <c r="D461" s="61"/>
      <c r="E461" s="38"/>
      <c r="F461" s="39"/>
      <c r="G461" s="39"/>
      <c r="H461" s="39"/>
      <c r="I461" s="40"/>
      <c r="J461" s="41"/>
      <c r="K461" s="41"/>
      <c r="L461" s="41"/>
      <c r="M461" s="42"/>
      <c r="N461" s="42"/>
      <c r="O461" s="43"/>
      <c r="P461" s="44"/>
      <c r="Q461" s="44"/>
      <c r="R461" s="45"/>
      <c r="S461" s="46"/>
      <c r="T461" s="39">
        <f t="shared" si="152"/>
        <v>0</v>
      </c>
      <c r="U461" s="47">
        <f t="shared" si="153"/>
        <v>0</v>
      </c>
      <c r="V461" s="48">
        <f t="shared" si="154"/>
        <v>0</v>
      </c>
      <c r="W461" s="49">
        <f t="shared" si="155"/>
        <v>0</v>
      </c>
      <c r="X461" s="44">
        <f t="shared" si="156"/>
        <v>0</v>
      </c>
      <c r="Y461" s="44">
        <f t="shared" si="157"/>
        <v>0</v>
      </c>
      <c r="Z461" s="44">
        <f t="shared" si="158"/>
        <v>0</v>
      </c>
      <c r="AA461" s="50">
        <f t="shared" si="159"/>
        <v>0</v>
      </c>
      <c r="AB461" s="51">
        <f t="shared" si="160"/>
        <v>0</v>
      </c>
      <c r="AC461" s="44">
        <f t="shared" si="161"/>
        <v>0</v>
      </c>
      <c r="AD461" s="44">
        <f t="shared" si="162"/>
        <v>0</v>
      </c>
      <c r="AE461" s="44">
        <f t="shared" si="163"/>
        <v>0</v>
      </c>
      <c r="AF461" s="52" t="e">
        <f>HLOOKUP(I461,ElecAvoidedCostsWOCC!$A$5:$Q$50,G461+1,FALSE)</f>
        <v>#N/A</v>
      </c>
      <c r="AG461" s="44" t="e">
        <f t="shared" si="164"/>
        <v>#N/A</v>
      </c>
      <c r="AH461" s="52" t="e">
        <f>HLOOKUP(I461,ElecAvoidedCostsWOCC!$A$5:$Q$50,T461+1,FALSE)</f>
        <v>#N/A</v>
      </c>
      <c r="AI461" s="44" t="e">
        <f t="shared" si="165"/>
        <v>#N/A</v>
      </c>
      <c r="AJ461" s="44" t="e">
        <f t="shared" si="166"/>
        <v>#N/A</v>
      </c>
      <c r="AK461" s="44" t="e">
        <f>HLOOKUP(I461,ElecAvoidedCostsWOCC!$A$5:$Q$50,G461+1,FALSE)*J461*L461</f>
        <v>#N/A</v>
      </c>
      <c r="AL461" s="44" t="e">
        <f t="shared" si="167"/>
        <v>#N/A</v>
      </c>
      <c r="AM461" s="48">
        <f>IF(O461=0,0,IF(H461=0, HLOOKUP(I461,ElecAvoidedCostsWOCC!$A$5:$Q$50,T461+1,FALSE)*K461*J461,HLOOKUP(I461,ElecAvoidedCostsWOCC!$A$5:$Q$50,T461+1,FALSE)*L461*J461+HLOOKUP(I461,ElecAvoidedCostsWOCC!$A$5:$Q$50,G461+1,FALSE)*K461*J461-HLOOKUP(I461,ElecAvoidedCostsWOCC!$A$5:$Q$50,G461+1,FALSE)*L461*J461))</f>
        <v>0</v>
      </c>
      <c r="AN461" s="48">
        <f t="shared" si="168"/>
        <v>0</v>
      </c>
      <c r="AO461" s="47">
        <f t="shared" si="169"/>
        <v>0</v>
      </c>
      <c r="AP461" s="47" t="e">
        <f t="shared" si="170"/>
        <v>#DIV/0!</v>
      </c>
    </row>
    <row r="462" spans="2:42">
      <c r="B462" s="37"/>
      <c r="C462" s="61"/>
      <c r="D462" s="61"/>
      <c r="E462" s="38"/>
      <c r="F462" s="39"/>
      <c r="G462" s="39"/>
      <c r="H462" s="39"/>
      <c r="I462" s="40"/>
      <c r="J462" s="41"/>
      <c r="K462" s="41"/>
      <c r="L462" s="41"/>
      <c r="M462" s="42"/>
      <c r="N462" s="42"/>
      <c r="O462" s="43"/>
      <c r="P462" s="44"/>
      <c r="Q462" s="44"/>
      <c r="R462" s="45"/>
      <c r="S462" s="46"/>
      <c r="T462" s="39">
        <f t="shared" si="152"/>
        <v>0</v>
      </c>
      <c r="U462" s="47">
        <f t="shared" si="153"/>
        <v>0</v>
      </c>
      <c r="V462" s="48">
        <f t="shared" si="154"/>
        <v>0</v>
      </c>
      <c r="W462" s="49">
        <f t="shared" si="155"/>
        <v>0</v>
      </c>
      <c r="X462" s="44">
        <f t="shared" si="156"/>
        <v>0</v>
      </c>
      <c r="Y462" s="44">
        <f t="shared" si="157"/>
        <v>0</v>
      </c>
      <c r="Z462" s="44">
        <f t="shared" si="158"/>
        <v>0</v>
      </c>
      <c r="AA462" s="50">
        <f t="shared" si="159"/>
        <v>0</v>
      </c>
      <c r="AB462" s="51">
        <f t="shared" si="160"/>
        <v>0</v>
      </c>
      <c r="AC462" s="44">
        <f t="shared" si="161"/>
        <v>0</v>
      </c>
      <c r="AD462" s="44">
        <f t="shared" si="162"/>
        <v>0</v>
      </c>
      <c r="AE462" s="44">
        <f t="shared" si="163"/>
        <v>0</v>
      </c>
      <c r="AF462" s="52" t="e">
        <f>HLOOKUP(I462,ElecAvoidedCostsWOCC!$A$5:$Q$50,G462+1,FALSE)</f>
        <v>#N/A</v>
      </c>
      <c r="AG462" s="44" t="e">
        <f t="shared" si="164"/>
        <v>#N/A</v>
      </c>
      <c r="AH462" s="52" t="e">
        <f>HLOOKUP(I462,ElecAvoidedCostsWOCC!$A$5:$Q$50,T462+1,FALSE)</f>
        <v>#N/A</v>
      </c>
      <c r="AI462" s="44" t="e">
        <f t="shared" si="165"/>
        <v>#N/A</v>
      </c>
      <c r="AJ462" s="44" t="e">
        <f t="shared" si="166"/>
        <v>#N/A</v>
      </c>
      <c r="AK462" s="44" t="e">
        <f>HLOOKUP(I462,ElecAvoidedCostsWOCC!$A$5:$Q$50,G462+1,FALSE)*J462*L462</f>
        <v>#N/A</v>
      </c>
      <c r="AL462" s="44" t="e">
        <f t="shared" si="167"/>
        <v>#N/A</v>
      </c>
      <c r="AM462" s="48">
        <f>IF(O462=0,0,IF(H462=0, HLOOKUP(I462,ElecAvoidedCostsWOCC!$A$5:$Q$50,T462+1,FALSE)*K462*J462,HLOOKUP(I462,ElecAvoidedCostsWOCC!$A$5:$Q$50,T462+1,FALSE)*L462*J462+HLOOKUP(I462,ElecAvoidedCostsWOCC!$A$5:$Q$50,G462+1,FALSE)*K462*J462-HLOOKUP(I462,ElecAvoidedCostsWOCC!$A$5:$Q$50,G462+1,FALSE)*L462*J462))</f>
        <v>0</v>
      </c>
      <c r="AN462" s="48">
        <f t="shared" si="168"/>
        <v>0</v>
      </c>
      <c r="AO462" s="47">
        <f t="shared" si="169"/>
        <v>0</v>
      </c>
      <c r="AP462" s="47" t="e">
        <f t="shared" si="170"/>
        <v>#DIV/0!</v>
      </c>
    </row>
    <row r="463" spans="2:42">
      <c r="B463" s="37"/>
      <c r="C463" s="61"/>
      <c r="D463" s="61"/>
      <c r="E463" s="38"/>
      <c r="F463" s="39"/>
      <c r="G463" s="39"/>
      <c r="H463" s="39"/>
      <c r="I463" s="40"/>
      <c r="J463" s="41"/>
      <c r="K463" s="41"/>
      <c r="L463" s="41"/>
      <c r="M463" s="42"/>
      <c r="N463" s="42"/>
      <c r="O463" s="43"/>
      <c r="P463" s="44"/>
      <c r="Q463" s="44"/>
      <c r="R463" s="45"/>
      <c r="S463" s="46"/>
      <c r="T463" s="39">
        <f t="shared" si="152"/>
        <v>0</v>
      </c>
      <c r="U463" s="47">
        <f t="shared" si="153"/>
        <v>0</v>
      </c>
      <c r="V463" s="48">
        <f t="shared" si="154"/>
        <v>0</v>
      </c>
      <c r="W463" s="49">
        <f t="shared" si="155"/>
        <v>0</v>
      </c>
      <c r="X463" s="44">
        <f t="shared" si="156"/>
        <v>0</v>
      </c>
      <c r="Y463" s="44">
        <f t="shared" si="157"/>
        <v>0</v>
      </c>
      <c r="Z463" s="44">
        <f t="shared" si="158"/>
        <v>0</v>
      </c>
      <c r="AA463" s="50">
        <f t="shared" si="159"/>
        <v>0</v>
      </c>
      <c r="AB463" s="51">
        <f t="shared" si="160"/>
        <v>0</v>
      </c>
      <c r="AC463" s="44">
        <f t="shared" si="161"/>
        <v>0</v>
      </c>
      <c r="AD463" s="44">
        <f t="shared" si="162"/>
        <v>0</v>
      </c>
      <c r="AE463" s="44">
        <f t="shared" si="163"/>
        <v>0</v>
      </c>
      <c r="AF463" s="52" t="e">
        <f>HLOOKUP(I463,ElecAvoidedCostsWOCC!$A$5:$Q$50,G463+1,FALSE)</f>
        <v>#N/A</v>
      </c>
      <c r="AG463" s="44" t="e">
        <f t="shared" si="164"/>
        <v>#N/A</v>
      </c>
      <c r="AH463" s="52" t="e">
        <f>HLOOKUP(I463,ElecAvoidedCostsWOCC!$A$5:$Q$50,T463+1,FALSE)</f>
        <v>#N/A</v>
      </c>
      <c r="AI463" s="44" t="e">
        <f t="shared" si="165"/>
        <v>#N/A</v>
      </c>
      <c r="AJ463" s="44" t="e">
        <f t="shared" si="166"/>
        <v>#N/A</v>
      </c>
      <c r="AK463" s="44" t="e">
        <f>HLOOKUP(I463,ElecAvoidedCostsWOCC!$A$5:$Q$50,G463+1,FALSE)*J463*L463</f>
        <v>#N/A</v>
      </c>
      <c r="AL463" s="44" t="e">
        <f t="shared" si="167"/>
        <v>#N/A</v>
      </c>
      <c r="AM463" s="48">
        <f>IF(O463=0,0,IF(H463=0, HLOOKUP(I463,ElecAvoidedCostsWOCC!$A$5:$Q$50,T463+1,FALSE)*K463*J463,HLOOKUP(I463,ElecAvoidedCostsWOCC!$A$5:$Q$50,T463+1,FALSE)*L463*J463+HLOOKUP(I463,ElecAvoidedCostsWOCC!$A$5:$Q$50,G463+1,FALSE)*K463*J463-HLOOKUP(I463,ElecAvoidedCostsWOCC!$A$5:$Q$50,G463+1,FALSE)*L463*J463))</f>
        <v>0</v>
      </c>
      <c r="AN463" s="48">
        <f t="shared" si="168"/>
        <v>0</v>
      </c>
      <c r="AO463" s="47">
        <f t="shared" si="169"/>
        <v>0</v>
      </c>
      <c r="AP463" s="47" t="e">
        <f t="shared" si="170"/>
        <v>#DIV/0!</v>
      </c>
    </row>
    <row r="464" spans="2:42">
      <c r="B464" s="37"/>
      <c r="C464" s="61"/>
      <c r="D464" s="61"/>
      <c r="E464" s="38"/>
      <c r="F464" s="39"/>
      <c r="G464" s="39"/>
      <c r="H464" s="39"/>
      <c r="I464" s="40"/>
      <c r="J464" s="41"/>
      <c r="K464" s="41"/>
      <c r="L464" s="41"/>
      <c r="M464" s="42"/>
      <c r="N464" s="42"/>
      <c r="O464" s="43"/>
      <c r="P464" s="44"/>
      <c r="Q464" s="44"/>
      <c r="R464" s="45"/>
      <c r="S464" s="46"/>
      <c r="T464" s="39">
        <f t="shared" si="152"/>
        <v>0</v>
      </c>
      <c r="U464" s="47">
        <f t="shared" si="153"/>
        <v>0</v>
      </c>
      <c r="V464" s="48">
        <f t="shared" si="154"/>
        <v>0</v>
      </c>
      <c r="W464" s="49">
        <f t="shared" si="155"/>
        <v>0</v>
      </c>
      <c r="X464" s="44">
        <f t="shared" si="156"/>
        <v>0</v>
      </c>
      <c r="Y464" s="44">
        <f t="shared" si="157"/>
        <v>0</v>
      </c>
      <c r="Z464" s="44">
        <f t="shared" si="158"/>
        <v>0</v>
      </c>
      <c r="AA464" s="50">
        <f t="shared" si="159"/>
        <v>0</v>
      </c>
      <c r="AB464" s="51">
        <f t="shared" si="160"/>
        <v>0</v>
      </c>
      <c r="AC464" s="44">
        <f t="shared" si="161"/>
        <v>0</v>
      </c>
      <c r="AD464" s="44">
        <f t="shared" si="162"/>
        <v>0</v>
      </c>
      <c r="AE464" s="44">
        <f t="shared" si="163"/>
        <v>0</v>
      </c>
      <c r="AF464" s="52" t="e">
        <f>HLOOKUP(I464,ElecAvoidedCostsWOCC!$A$5:$Q$50,G464+1,FALSE)</f>
        <v>#N/A</v>
      </c>
      <c r="AG464" s="44" t="e">
        <f t="shared" si="164"/>
        <v>#N/A</v>
      </c>
      <c r="AH464" s="52" t="e">
        <f>HLOOKUP(I464,ElecAvoidedCostsWOCC!$A$5:$Q$50,T464+1,FALSE)</f>
        <v>#N/A</v>
      </c>
      <c r="AI464" s="44" t="e">
        <f t="shared" si="165"/>
        <v>#N/A</v>
      </c>
      <c r="AJ464" s="44" t="e">
        <f t="shared" si="166"/>
        <v>#N/A</v>
      </c>
      <c r="AK464" s="44" t="e">
        <f>HLOOKUP(I464,ElecAvoidedCostsWOCC!$A$5:$Q$50,G464+1,FALSE)*J464*L464</f>
        <v>#N/A</v>
      </c>
      <c r="AL464" s="44" t="e">
        <f t="shared" si="167"/>
        <v>#N/A</v>
      </c>
      <c r="AM464" s="48">
        <f>IF(O464=0,0,IF(H464=0, HLOOKUP(I464,ElecAvoidedCostsWOCC!$A$5:$Q$50,T464+1,FALSE)*K464*J464,HLOOKUP(I464,ElecAvoidedCostsWOCC!$A$5:$Q$50,T464+1,FALSE)*L464*J464+HLOOKUP(I464,ElecAvoidedCostsWOCC!$A$5:$Q$50,G464+1,FALSE)*K464*J464-HLOOKUP(I464,ElecAvoidedCostsWOCC!$A$5:$Q$50,G464+1,FALSE)*L464*J464))</f>
        <v>0</v>
      </c>
      <c r="AN464" s="48">
        <f t="shared" si="168"/>
        <v>0</v>
      </c>
      <c r="AO464" s="47">
        <f t="shared" si="169"/>
        <v>0</v>
      </c>
      <c r="AP464" s="47" t="e">
        <f t="shared" si="170"/>
        <v>#DIV/0!</v>
      </c>
    </row>
    <row r="465" spans="2:42">
      <c r="B465" s="37"/>
      <c r="C465" s="61"/>
      <c r="D465" s="61"/>
      <c r="E465" s="38"/>
      <c r="F465" s="39"/>
      <c r="G465" s="39"/>
      <c r="H465" s="39"/>
      <c r="I465" s="40"/>
      <c r="J465" s="41"/>
      <c r="K465" s="41"/>
      <c r="L465" s="41"/>
      <c r="M465" s="42"/>
      <c r="N465" s="42"/>
      <c r="O465" s="43"/>
      <c r="P465" s="44"/>
      <c r="Q465" s="44"/>
      <c r="R465" s="45"/>
      <c r="S465" s="46"/>
      <c r="T465" s="39">
        <f t="shared" si="152"/>
        <v>0</v>
      </c>
      <c r="U465" s="47">
        <f t="shared" si="153"/>
        <v>0</v>
      </c>
      <c r="V465" s="48">
        <f t="shared" si="154"/>
        <v>0</v>
      </c>
      <c r="W465" s="49">
        <f t="shared" si="155"/>
        <v>0</v>
      </c>
      <c r="X465" s="44">
        <f t="shared" si="156"/>
        <v>0</v>
      </c>
      <c r="Y465" s="44">
        <f t="shared" si="157"/>
        <v>0</v>
      </c>
      <c r="Z465" s="44">
        <f t="shared" si="158"/>
        <v>0</v>
      </c>
      <c r="AA465" s="50">
        <f t="shared" si="159"/>
        <v>0</v>
      </c>
      <c r="AB465" s="51">
        <f t="shared" si="160"/>
        <v>0</v>
      </c>
      <c r="AC465" s="44">
        <f t="shared" si="161"/>
        <v>0</v>
      </c>
      <c r="AD465" s="44">
        <f t="shared" si="162"/>
        <v>0</v>
      </c>
      <c r="AE465" s="44">
        <f t="shared" si="163"/>
        <v>0</v>
      </c>
      <c r="AF465" s="52" t="e">
        <f>HLOOKUP(I465,ElecAvoidedCostsWOCC!$A$5:$Q$50,G465+1,FALSE)</f>
        <v>#N/A</v>
      </c>
      <c r="AG465" s="44" t="e">
        <f t="shared" si="164"/>
        <v>#N/A</v>
      </c>
      <c r="AH465" s="52" t="e">
        <f>HLOOKUP(I465,ElecAvoidedCostsWOCC!$A$5:$Q$50,T465+1,FALSE)</f>
        <v>#N/A</v>
      </c>
      <c r="AI465" s="44" t="e">
        <f t="shared" si="165"/>
        <v>#N/A</v>
      </c>
      <c r="AJ465" s="44" t="e">
        <f t="shared" si="166"/>
        <v>#N/A</v>
      </c>
      <c r="AK465" s="44" t="e">
        <f>HLOOKUP(I465,ElecAvoidedCostsWOCC!$A$5:$Q$50,G465+1,FALSE)*J465*L465</f>
        <v>#N/A</v>
      </c>
      <c r="AL465" s="44" t="e">
        <f t="shared" si="167"/>
        <v>#N/A</v>
      </c>
      <c r="AM465" s="48">
        <f>IF(O465=0,0,IF(H465=0, HLOOKUP(I465,ElecAvoidedCostsWOCC!$A$5:$Q$50,T465+1,FALSE)*K465*J465,HLOOKUP(I465,ElecAvoidedCostsWOCC!$A$5:$Q$50,T465+1,FALSE)*L465*J465+HLOOKUP(I465,ElecAvoidedCostsWOCC!$A$5:$Q$50,G465+1,FALSE)*K465*J465-HLOOKUP(I465,ElecAvoidedCostsWOCC!$A$5:$Q$50,G465+1,FALSE)*L465*J465))</f>
        <v>0</v>
      </c>
      <c r="AN465" s="48">
        <f t="shared" si="168"/>
        <v>0</v>
      </c>
      <c r="AO465" s="47">
        <f t="shared" si="169"/>
        <v>0</v>
      </c>
      <c r="AP465" s="47" t="e">
        <f t="shared" si="170"/>
        <v>#DIV/0!</v>
      </c>
    </row>
    <row r="466" spans="2:42">
      <c r="B466" s="37"/>
      <c r="C466" s="61"/>
      <c r="D466" s="61"/>
      <c r="E466" s="38"/>
      <c r="F466" s="39"/>
      <c r="G466" s="39"/>
      <c r="H466" s="39"/>
      <c r="I466" s="40"/>
      <c r="J466" s="41"/>
      <c r="K466" s="41"/>
      <c r="L466" s="41"/>
      <c r="M466" s="42"/>
      <c r="N466" s="42"/>
      <c r="O466" s="43"/>
      <c r="P466" s="44"/>
      <c r="Q466" s="44"/>
      <c r="R466" s="45"/>
      <c r="S466" s="46"/>
      <c r="T466" s="39">
        <f t="shared" si="152"/>
        <v>0</v>
      </c>
      <c r="U466" s="47">
        <f t="shared" si="153"/>
        <v>0</v>
      </c>
      <c r="V466" s="48">
        <f t="shared" si="154"/>
        <v>0</v>
      </c>
      <c r="W466" s="49">
        <f t="shared" si="155"/>
        <v>0</v>
      </c>
      <c r="X466" s="44">
        <f t="shared" si="156"/>
        <v>0</v>
      </c>
      <c r="Y466" s="44">
        <f t="shared" si="157"/>
        <v>0</v>
      </c>
      <c r="Z466" s="44">
        <f t="shared" si="158"/>
        <v>0</v>
      </c>
      <c r="AA466" s="50">
        <f t="shared" si="159"/>
        <v>0</v>
      </c>
      <c r="AB466" s="51">
        <f t="shared" si="160"/>
        <v>0</v>
      </c>
      <c r="AC466" s="44">
        <f t="shared" si="161"/>
        <v>0</v>
      </c>
      <c r="AD466" s="44">
        <f t="shared" si="162"/>
        <v>0</v>
      </c>
      <c r="AE466" s="44">
        <f t="shared" si="163"/>
        <v>0</v>
      </c>
      <c r="AF466" s="52" t="e">
        <f>HLOOKUP(I466,ElecAvoidedCostsWOCC!$A$5:$Q$50,G466+1,FALSE)</f>
        <v>#N/A</v>
      </c>
      <c r="AG466" s="44" t="e">
        <f t="shared" si="164"/>
        <v>#N/A</v>
      </c>
      <c r="AH466" s="52" t="e">
        <f>HLOOKUP(I466,ElecAvoidedCostsWOCC!$A$5:$Q$50,T466+1,FALSE)</f>
        <v>#N/A</v>
      </c>
      <c r="AI466" s="44" t="e">
        <f t="shared" si="165"/>
        <v>#N/A</v>
      </c>
      <c r="AJ466" s="44" t="e">
        <f t="shared" si="166"/>
        <v>#N/A</v>
      </c>
      <c r="AK466" s="44" t="e">
        <f>HLOOKUP(I466,ElecAvoidedCostsWOCC!$A$5:$Q$50,G466+1,FALSE)*J466*L466</f>
        <v>#N/A</v>
      </c>
      <c r="AL466" s="44" t="e">
        <f t="shared" si="167"/>
        <v>#N/A</v>
      </c>
      <c r="AM466" s="48">
        <f>IF(O466=0,0,IF(H466=0, HLOOKUP(I466,ElecAvoidedCostsWOCC!$A$5:$Q$50,T466+1,FALSE)*K466*J466,HLOOKUP(I466,ElecAvoidedCostsWOCC!$A$5:$Q$50,T466+1,FALSE)*L466*J466+HLOOKUP(I466,ElecAvoidedCostsWOCC!$A$5:$Q$50,G466+1,FALSE)*K466*J466-HLOOKUP(I466,ElecAvoidedCostsWOCC!$A$5:$Q$50,G466+1,FALSE)*L466*J466))</f>
        <v>0</v>
      </c>
      <c r="AN466" s="48">
        <f t="shared" si="168"/>
        <v>0</v>
      </c>
      <c r="AO466" s="47">
        <f t="shared" si="169"/>
        <v>0</v>
      </c>
      <c r="AP466" s="47" t="e">
        <f t="shared" si="170"/>
        <v>#DIV/0!</v>
      </c>
    </row>
    <row r="467" spans="2:42">
      <c r="B467" s="37"/>
      <c r="C467" s="61"/>
      <c r="D467" s="61"/>
      <c r="E467" s="38"/>
      <c r="F467" s="39"/>
      <c r="G467" s="39"/>
      <c r="H467" s="39"/>
      <c r="I467" s="40"/>
      <c r="J467" s="41"/>
      <c r="K467" s="41"/>
      <c r="L467" s="41"/>
      <c r="M467" s="42"/>
      <c r="N467" s="42"/>
      <c r="O467" s="43"/>
      <c r="P467" s="44"/>
      <c r="Q467" s="44"/>
      <c r="R467" s="45"/>
      <c r="S467" s="46"/>
      <c r="T467" s="39">
        <f t="shared" si="152"/>
        <v>0</v>
      </c>
      <c r="U467" s="47">
        <f t="shared" si="153"/>
        <v>0</v>
      </c>
      <c r="V467" s="48">
        <f t="shared" si="154"/>
        <v>0</v>
      </c>
      <c r="W467" s="49">
        <f t="shared" si="155"/>
        <v>0</v>
      </c>
      <c r="X467" s="44">
        <f t="shared" si="156"/>
        <v>0</v>
      </c>
      <c r="Y467" s="44">
        <f t="shared" si="157"/>
        <v>0</v>
      </c>
      <c r="Z467" s="44">
        <f t="shared" si="158"/>
        <v>0</v>
      </c>
      <c r="AA467" s="50">
        <f t="shared" si="159"/>
        <v>0</v>
      </c>
      <c r="AB467" s="51">
        <f t="shared" si="160"/>
        <v>0</v>
      </c>
      <c r="AC467" s="44">
        <f t="shared" si="161"/>
        <v>0</v>
      </c>
      <c r="AD467" s="44">
        <f t="shared" si="162"/>
        <v>0</v>
      </c>
      <c r="AE467" s="44">
        <f t="shared" si="163"/>
        <v>0</v>
      </c>
      <c r="AF467" s="52" t="e">
        <f>HLOOKUP(I467,ElecAvoidedCostsWOCC!$A$5:$Q$50,G467+1,FALSE)</f>
        <v>#N/A</v>
      </c>
      <c r="AG467" s="44" t="e">
        <f t="shared" si="164"/>
        <v>#N/A</v>
      </c>
      <c r="AH467" s="52" t="e">
        <f>HLOOKUP(I467,ElecAvoidedCostsWOCC!$A$5:$Q$50,T467+1,FALSE)</f>
        <v>#N/A</v>
      </c>
      <c r="AI467" s="44" t="e">
        <f t="shared" si="165"/>
        <v>#N/A</v>
      </c>
      <c r="AJ467" s="44" t="e">
        <f t="shared" si="166"/>
        <v>#N/A</v>
      </c>
      <c r="AK467" s="44" t="e">
        <f>HLOOKUP(I467,ElecAvoidedCostsWOCC!$A$5:$Q$50,G467+1,FALSE)*J467*L467</f>
        <v>#N/A</v>
      </c>
      <c r="AL467" s="44" t="e">
        <f t="shared" si="167"/>
        <v>#N/A</v>
      </c>
      <c r="AM467" s="48">
        <f>IF(O467=0,0,IF(H467=0, HLOOKUP(I467,ElecAvoidedCostsWOCC!$A$5:$Q$50,T467+1,FALSE)*K467*J467,HLOOKUP(I467,ElecAvoidedCostsWOCC!$A$5:$Q$50,T467+1,FALSE)*L467*J467+HLOOKUP(I467,ElecAvoidedCostsWOCC!$A$5:$Q$50,G467+1,FALSE)*K467*J467-HLOOKUP(I467,ElecAvoidedCostsWOCC!$A$5:$Q$50,G467+1,FALSE)*L467*J467))</f>
        <v>0</v>
      </c>
      <c r="AN467" s="48">
        <f t="shared" si="168"/>
        <v>0</v>
      </c>
      <c r="AO467" s="47">
        <f t="shared" si="169"/>
        <v>0</v>
      </c>
      <c r="AP467" s="47" t="e">
        <f t="shared" si="170"/>
        <v>#DIV/0!</v>
      </c>
    </row>
    <row r="468" spans="2:42">
      <c r="B468" s="37"/>
      <c r="C468" s="61"/>
      <c r="D468" s="61"/>
      <c r="E468" s="38"/>
      <c r="F468" s="39"/>
      <c r="G468" s="39"/>
      <c r="H468" s="39"/>
      <c r="I468" s="40"/>
      <c r="J468" s="41"/>
      <c r="K468" s="41"/>
      <c r="L468" s="41"/>
      <c r="M468" s="42"/>
      <c r="N468" s="42"/>
      <c r="O468" s="43"/>
      <c r="P468" s="44"/>
      <c r="Q468" s="44"/>
      <c r="R468" s="45"/>
      <c r="S468" s="46"/>
      <c r="T468" s="39">
        <f t="shared" si="152"/>
        <v>0</v>
      </c>
      <c r="U468" s="47">
        <f t="shared" si="153"/>
        <v>0</v>
      </c>
      <c r="V468" s="48">
        <f t="shared" si="154"/>
        <v>0</v>
      </c>
      <c r="W468" s="49">
        <f t="shared" si="155"/>
        <v>0</v>
      </c>
      <c r="X468" s="44">
        <f t="shared" si="156"/>
        <v>0</v>
      </c>
      <c r="Y468" s="44">
        <f t="shared" si="157"/>
        <v>0</v>
      </c>
      <c r="Z468" s="44">
        <f t="shared" si="158"/>
        <v>0</v>
      </c>
      <c r="AA468" s="50">
        <f t="shared" si="159"/>
        <v>0</v>
      </c>
      <c r="AB468" s="51">
        <f t="shared" si="160"/>
        <v>0</v>
      </c>
      <c r="AC468" s="44">
        <f t="shared" si="161"/>
        <v>0</v>
      </c>
      <c r="AD468" s="44">
        <f t="shared" si="162"/>
        <v>0</v>
      </c>
      <c r="AE468" s="44">
        <f t="shared" si="163"/>
        <v>0</v>
      </c>
      <c r="AF468" s="52" t="e">
        <f>HLOOKUP(I468,ElecAvoidedCostsWOCC!$A$5:$Q$50,G468+1,FALSE)</f>
        <v>#N/A</v>
      </c>
      <c r="AG468" s="44" t="e">
        <f t="shared" si="164"/>
        <v>#N/A</v>
      </c>
      <c r="AH468" s="52" t="e">
        <f>HLOOKUP(I468,ElecAvoidedCostsWOCC!$A$5:$Q$50,T468+1,FALSE)</f>
        <v>#N/A</v>
      </c>
      <c r="AI468" s="44" t="e">
        <f t="shared" si="165"/>
        <v>#N/A</v>
      </c>
      <c r="AJ468" s="44" t="e">
        <f t="shared" si="166"/>
        <v>#N/A</v>
      </c>
      <c r="AK468" s="44" t="e">
        <f>HLOOKUP(I468,ElecAvoidedCostsWOCC!$A$5:$Q$50,G468+1,FALSE)*J468*L468</f>
        <v>#N/A</v>
      </c>
      <c r="AL468" s="44" t="e">
        <f t="shared" si="167"/>
        <v>#N/A</v>
      </c>
      <c r="AM468" s="48">
        <f>IF(O468=0,0,IF(H468=0, HLOOKUP(I468,ElecAvoidedCostsWOCC!$A$5:$Q$50,T468+1,FALSE)*K468*J468,HLOOKUP(I468,ElecAvoidedCostsWOCC!$A$5:$Q$50,T468+1,FALSE)*L468*J468+HLOOKUP(I468,ElecAvoidedCostsWOCC!$A$5:$Q$50,G468+1,FALSE)*K468*J468-HLOOKUP(I468,ElecAvoidedCostsWOCC!$A$5:$Q$50,G468+1,FALSE)*L468*J468))</f>
        <v>0</v>
      </c>
      <c r="AN468" s="48">
        <f t="shared" si="168"/>
        <v>0</v>
      </c>
      <c r="AO468" s="47">
        <f t="shared" si="169"/>
        <v>0</v>
      </c>
      <c r="AP468" s="47" t="e">
        <f t="shared" si="170"/>
        <v>#DIV/0!</v>
      </c>
    </row>
    <row r="469" spans="2:42">
      <c r="B469" s="37"/>
      <c r="C469" s="61"/>
      <c r="D469" s="61"/>
      <c r="E469" s="38"/>
      <c r="F469" s="39"/>
      <c r="G469" s="39"/>
      <c r="H469" s="39"/>
      <c r="I469" s="40"/>
      <c r="J469" s="41"/>
      <c r="K469" s="41"/>
      <c r="L469" s="41"/>
      <c r="M469" s="42"/>
      <c r="N469" s="42"/>
      <c r="O469" s="43"/>
      <c r="P469" s="44"/>
      <c r="Q469" s="44"/>
      <c r="R469" s="45"/>
      <c r="S469" s="46"/>
      <c r="T469" s="39">
        <f t="shared" si="152"/>
        <v>0</v>
      </c>
      <c r="U469" s="47">
        <f t="shared" si="153"/>
        <v>0</v>
      </c>
      <c r="V469" s="48">
        <f t="shared" si="154"/>
        <v>0</v>
      </c>
      <c r="W469" s="49">
        <f t="shared" si="155"/>
        <v>0</v>
      </c>
      <c r="X469" s="44">
        <f t="shared" si="156"/>
        <v>0</v>
      </c>
      <c r="Y469" s="44">
        <f t="shared" si="157"/>
        <v>0</v>
      </c>
      <c r="Z469" s="44">
        <f t="shared" si="158"/>
        <v>0</v>
      </c>
      <c r="AA469" s="50">
        <f t="shared" si="159"/>
        <v>0</v>
      </c>
      <c r="AB469" s="51">
        <f t="shared" si="160"/>
        <v>0</v>
      </c>
      <c r="AC469" s="44">
        <f t="shared" si="161"/>
        <v>0</v>
      </c>
      <c r="AD469" s="44">
        <f t="shared" si="162"/>
        <v>0</v>
      </c>
      <c r="AE469" s="44">
        <f t="shared" si="163"/>
        <v>0</v>
      </c>
      <c r="AF469" s="52" t="e">
        <f>HLOOKUP(I469,ElecAvoidedCostsWOCC!$A$5:$Q$50,G469+1,FALSE)</f>
        <v>#N/A</v>
      </c>
      <c r="AG469" s="44" t="e">
        <f t="shared" si="164"/>
        <v>#N/A</v>
      </c>
      <c r="AH469" s="52" t="e">
        <f>HLOOKUP(I469,ElecAvoidedCostsWOCC!$A$5:$Q$50,T469+1,FALSE)</f>
        <v>#N/A</v>
      </c>
      <c r="AI469" s="44" t="e">
        <f t="shared" si="165"/>
        <v>#N/A</v>
      </c>
      <c r="AJ469" s="44" t="e">
        <f t="shared" si="166"/>
        <v>#N/A</v>
      </c>
      <c r="AK469" s="44" t="e">
        <f>HLOOKUP(I469,ElecAvoidedCostsWOCC!$A$5:$Q$50,G469+1,FALSE)*J469*L469</f>
        <v>#N/A</v>
      </c>
      <c r="AL469" s="44" t="e">
        <f t="shared" si="167"/>
        <v>#N/A</v>
      </c>
      <c r="AM469" s="48">
        <f>IF(O469=0,0,IF(H469=0, HLOOKUP(I469,ElecAvoidedCostsWOCC!$A$5:$Q$50,T469+1,FALSE)*K469*J469,HLOOKUP(I469,ElecAvoidedCostsWOCC!$A$5:$Q$50,T469+1,FALSE)*L469*J469+HLOOKUP(I469,ElecAvoidedCostsWOCC!$A$5:$Q$50,G469+1,FALSE)*K469*J469-HLOOKUP(I469,ElecAvoidedCostsWOCC!$A$5:$Q$50,G469+1,FALSE)*L469*J469))</f>
        <v>0</v>
      </c>
      <c r="AN469" s="48">
        <f t="shared" si="168"/>
        <v>0</v>
      </c>
      <c r="AO469" s="47">
        <f t="shared" si="169"/>
        <v>0</v>
      </c>
      <c r="AP469" s="47" t="e">
        <f t="shared" si="170"/>
        <v>#DIV/0!</v>
      </c>
    </row>
    <row r="470" spans="2:42">
      <c r="B470" s="37"/>
      <c r="C470" s="61"/>
      <c r="D470" s="61"/>
      <c r="E470" s="38"/>
      <c r="F470" s="39"/>
      <c r="G470" s="39"/>
      <c r="H470" s="39"/>
      <c r="I470" s="40"/>
      <c r="J470" s="41"/>
      <c r="K470" s="41"/>
      <c r="L470" s="41"/>
      <c r="M470" s="42"/>
      <c r="N470" s="42"/>
      <c r="O470" s="43"/>
      <c r="P470" s="44"/>
      <c r="Q470" s="44"/>
      <c r="R470" s="45"/>
      <c r="S470" s="46"/>
      <c r="T470" s="39">
        <f t="shared" si="152"/>
        <v>0</v>
      </c>
      <c r="U470" s="47">
        <f t="shared" si="153"/>
        <v>0</v>
      </c>
      <c r="V470" s="48">
        <f t="shared" si="154"/>
        <v>0</v>
      </c>
      <c r="W470" s="49">
        <f t="shared" si="155"/>
        <v>0</v>
      </c>
      <c r="X470" s="44">
        <f t="shared" si="156"/>
        <v>0</v>
      </c>
      <c r="Y470" s="44">
        <f t="shared" si="157"/>
        <v>0</v>
      </c>
      <c r="Z470" s="44">
        <f t="shared" si="158"/>
        <v>0</v>
      </c>
      <c r="AA470" s="50">
        <f t="shared" si="159"/>
        <v>0</v>
      </c>
      <c r="AB470" s="51">
        <f t="shared" si="160"/>
        <v>0</v>
      </c>
      <c r="AC470" s="44">
        <f t="shared" si="161"/>
        <v>0</v>
      </c>
      <c r="AD470" s="44">
        <f t="shared" si="162"/>
        <v>0</v>
      </c>
      <c r="AE470" s="44">
        <f t="shared" si="163"/>
        <v>0</v>
      </c>
      <c r="AF470" s="52" t="e">
        <f>HLOOKUP(I470,ElecAvoidedCostsWOCC!$A$5:$Q$50,G470+1,FALSE)</f>
        <v>#N/A</v>
      </c>
      <c r="AG470" s="44" t="e">
        <f t="shared" si="164"/>
        <v>#N/A</v>
      </c>
      <c r="AH470" s="52" t="e">
        <f>HLOOKUP(I470,ElecAvoidedCostsWOCC!$A$5:$Q$50,T470+1,FALSE)</f>
        <v>#N/A</v>
      </c>
      <c r="AI470" s="44" t="e">
        <f t="shared" si="165"/>
        <v>#N/A</v>
      </c>
      <c r="AJ470" s="44" t="e">
        <f t="shared" si="166"/>
        <v>#N/A</v>
      </c>
      <c r="AK470" s="44" t="e">
        <f>HLOOKUP(I470,ElecAvoidedCostsWOCC!$A$5:$Q$50,G470+1,FALSE)*J470*L470</f>
        <v>#N/A</v>
      </c>
      <c r="AL470" s="44" t="e">
        <f t="shared" si="167"/>
        <v>#N/A</v>
      </c>
      <c r="AM470" s="48">
        <f>IF(O470=0,0,IF(H470=0, HLOOKUP(I470,ElecAvoidedCostsWOCC!$A$5:$Q$50,T470+1,FALSE)*K470*J470,HLOOKUP(I470,ElecAvoidedCostsWOCC!$A$5:$Q$50,T470+1,FALSE)*L470*J470+HLOOKUP(I470,ElecAvoidedCostsWOCC!$A$5:$Q$50,G470+1,FALSE)*K470*J470-HLOOKUP(I470,ElecAvoidedCostsWOCC!$A$5:$Q$50,G470+1,FALSE)*L470*J470))</f>
        <v>0</v>
      </c>
      <c r="AN470" s="48">
        <f t="shared" si="168"/>
        <v>0</v>
      </c>
      <c r="AO470" s="47">
        <f t="shared" si="169"/>
        <v>0</v>
      </c>
      <c r="AP470" s="47" t="e">
        <f t="shared" si="170"/>
        <v>#DIV/0!</v>
      </c>
    </row>
    <row r="471" spans="2:42">
      <c r="B471" s="37"/>
      <c r="C471" s="61"/>
      <c r="D471" s="61"/>
      <c r="E471" s="38"/>
      <c r="F471" s="39"/>
      <c r="G471" s="39"/>
      <c r="H471" s="39"/>
      <c r="I471" s="40"/>
      <c r="J471" s="41"/>
      <c r="K471" s="41"/>
      <c r="L471" s="41"/>
      <c r="M471" s="42"/>
      <c r="N471" s="42"/>
      <c r="O471" s="43"/>
      <c r="P471" s="44"/>
      <c r="Q471" s="44"/>
      <c r="R471" s="45"/>
      <c r="S471" s="46"/>
      <c r="T471" s="39">
        <f t="shared" si="152"/>
        <v>0</v>
      </c>
      <c r="U471" s="47">
        <f t="shared" si="153"/>
        <v>0</v>
      </c>
      <c r="V471" s="48">
        <f t="shared" si="154"/>
        <v>0</v>
      </c>
      <c r="W471" s="49">
        <f t="shared" si="155"/>
        <v>0</v>
      </c>
      <c r="X471" s="44">
        <f t="shared" si="156"/>
        <v>0</v>
      </c>
      <c r="Y471" s="44">
        <f t="shared" si="157"/>
        <v>0</v>
      </c>
      <c r="Z471" s="44">
        <f t="shared" si="158"/>
        <v>0</v>
      </c>
      <c r="AA471" s="50">
        <f t="shared" si="159"/>
        <v>0</v>
      </c>
      <c r="AB471" s="51">
        <f t="shared" si="160"/>
        <v>0</v>
      </c>
      <c r="AC471" s="44">
        <f t="shared" si="161"/>
        <v>0</v>
      </c>
      <c r="AD471" s="44">
        <f t="shared" si="162"/>
        <v>0</v>
      </c>
      <c r="AE471" s="44">
        <f t="shared" si="163"/>
        <v>0</v>
      </c>
      <c r="AF471" s="52" t="e">
        <f>HLOOKUP(I471,ElecAvoidedCostsWOCC!$A$5:$Q$50,G471+1,FALSE)</f>
        <v>#N/A</v>
      </c>
      <c r="AG471" s="44" t="e">
        <f t="shared" si="164"/>
        <v>#N/A</v>
      </c>
      <c r="AH471" s="52" t="e">
        <f>HLOOKUP(I471,ElecAvoidedCostsWOCC!$A$5:$Q$50,T471+1,FALSE)</f>
        <v>#N/A</v>
      </c>
      <c r="AI471" s="44" t="e">
        <f t="shared" si="165"/>
        <v>#N/A</v>
      </c>
      <c r="AJ471" s="44" t="e">
        <f t="shared" si="166"/>
        <v>#N/A</v>
      </c>
      <c r="AK471" s="44" t="e">
        <f>HLOOKUP(I471,ElecAvoidedCostsWOCC!$A$5:$Q$50,G471+1,FALSE)*J471*L471</f>
        <v>#N/A</v>
      </c>
      <c r="AL471" s="44" t="e">
        <f t="shared" si="167"/>
        <v>#N/A</v>
      </c>
      <c r="AM471" s="48">
        <f>IF(O471=0,0,IF(H471=0, HLOOKUP(I471,ElecAvoidedCostsWOCC!$A$5:$Q$50,T471+1,FALSE)*K471*J471,HLOOKUP(I471,ElecAvoidedCostsWOCC!$A$5:$Q$50,T471+1,FALSE)*L471*J471+HLOOKUP(I471,ElecAvoidedCostsWOCC!$A$5:$Q$50,G471+1,FALSE)*K471*J471-HLOOKUP(I471,ElecAvoidedCostsWOCC!$A$5:$Q$50,G471+1,FALSE)*L471*J471))</f>
        <v>0</v>
      </c>
      <c r="AN471" s="48">
        <f t="shared" si="168"/>
        <v>0</v>
      </c>
      <c r="AO471" s="47">
        <f t="shared" si="169"/>
        <v>0</v>
      </c>
      <c r="AP471" s="47" t="e">
        <f t="shared" si="170"/>
        <v>#DIV/0!</v>
      </c>
    </row>
    <row r="472" spans="2:42">
      <c r="B472" s="37"/>
      <c r="C472" s="61"/>
      <c r="D472" s="61"/>
      <c r="E472" s="38"/>
      <c r="F472" s="39"/>
      <c r="G472" s="39"/>
      <c r="H472" s="39"/>
      <c r="I472" s="40"/>
      <c r="J472" s="41"/>
      <c r="K472" s="41"/>
      <c r="L472" s="41"/>
      <c r="M472" s="42"/>
      <c r="N472" s="42"/>
      <c r="O472" s="43"/>
      <c r="P472" s="44"/>
      <c r="Q472" s="44"/>
      <c r="R472" s="45"/>
      <c r="S472" s="46"/>
      <c r="T472" s="39">
        <f t="shared" si="152"/>
        <v>0</v>
      </c>
      <c r="U472" s="47">
        <f t="shared" si="153"/>
        <v>0</v>
      </c>
      <c r="V472" s="48">
        <f t="shared" si="154"/>
        <v>0</v>
      </c>
      <c r="W472" s="49">
        <f t="shared" si="155"/>
        <v>0</v>
      </c>
      <c r="X472" s="44">
        <f t="shared" si="156"/>
        <v>0</v>
      </c>
      <c r="Y472" s="44">
        <f t="shared" si="157"/>
        <v>0</v>
      </c>
      <c r="Z472" s="44">
        <f t="shared" si="158"/>
        <v>0</v>
      </c>
      <c r="AA472" s="50">
        <f t="shared" si="159"/>
        <v>0</v>
      </c>
      <c r="AB472" s="51">
        <f t="shared" si="160"/>
        <v>0</v>
      </c>
      <c r="AC472" s="44">
        <f t="shared" si="161"/>
        <v>0</v>
      </c>
      <c r="AD472" s="44">
        <f t="shared" si="162"/>
        <v>0</v>
      </c>
      <c r="AE472" s="44">
        <f t="shared" si="163"/>
        <v>0</v>
      </c>
      <c r="AF472" s="52" t="e">
        <f>HLOOKUP(I472,ElecAvoidedCostsWOCC!$A$5:$Q$50,G472+1,FALSE)</f>
        <v>#N/A</v>
      </c>
      <c r="AG472" s="44" t="e">
        <f t="shared" si="164"/>
        <v>#N/A</v>
      </c>
      <c r="AH472" s="52" t="e">
        <f>HLOOKUP(I472,ElecAvoidedCostsWOCC!$A$5:$Q$50,T472+1,FALSE)</f>
        <v>#N/A</v>
      </c>
      <c r="AI472" s="44" t="e">
        <f t="shared" si="165"/>
        <v>#N/A</v>
      </c>
      <c r="AJ472" s="44" t="e">
        <f t="shared" si="166"/>
        <v>#N/A</v>
      </c>
      <c r="AK472" s="44" t="e">
        <f>HLOOKUP(I472,ElecAvoidedCostsWOCC!$A$5:$Q$50,G472+1,FALSE)*J472*L472</f>
        <v>#N/A</v>
      </c>
      <c r="AL472" s="44" t="e">
        <f t="shared" si="167"/>
        <v>#N/A</v>
      </c>
      <c r="AM472" s="48">
        <f>IF(O472=0,0,IF(H472=0, HLOOKUP(I472,ElecAvoidedCostsWOCC!$A$5:$Q$50,T472+1,FALSE)*K472*J472,HLOOKUP(I472,ElecAvoidedCostsWOCC!$A$5:$Q$50,T472+1,FALSE)*L472*J472+HLOOKUP(I472,ElecAvoidedCostsWOCC!$A$5:$Q$50,G472+1,FALSE)*K472*J472-HLOOKUP(I472,ElecAvoidedCostsWOCC!$A$5:$Q$50,G472+1,FALSE)*L472*J472))</f>
        <v>0</v>
      </c>
      <c r="AN472" s="48">
        <f t="shared" si="168"/>
        <v>0</v>
      </c>
      <c r="AO472" s="47">
        <f t="shared" si="169"/>
        <v>0</v>
      </c>
      <c r="AP472" s="47" t="e">
        <f t="shared" si="170"/>
        <v>#DIV/0!</v>
      </c>
    </row>
    <row r="473" spans="2:42">
      <c r="B473" s="37"/>
      <c r="C473" s="61"/>
      <c r="D473" s="61"/>
      <c r="E473" s="38"/>
      <c r="F473" s="39"/>
      <c r="G473" s="39"/>
      <c r="H473" s="39"/>
      <c r="I473" s="40"/>
      <c r="J473" s="41"/>
      <c r="K473" s="41"/>
      <c r="L473" s="41"/>
      <c r="M473" s="42"/>
      <c r="N473" s="42"/>
      <c r="O473" s="43"/>
      <c r="P473" s="44"/>
      <c r="Q473" s="44"/>
      <c r="R473" s="45"/>
      <c r="S473" s="46"/>
      <c r="T473" s="39">
        <f t="shared" si="152"/>
        <v>0</v>
      </c>
      <c r="U473" s="47">
        <f t="shared" si="153"/>
        <v>0</v>
      </c>
      <c r="V473" s="48">
        <f t="shared" si="154"/>
        <v>0</v>
      </c>
      <c r="W473" s="49">
        <f t="shared" si="155"/>
        <v>0</v>
      </c>
      <c r="X473" s="44">
        <f t="shared" si="156"/>
        <v>0</v>
      </c>
      <c r="Y473" s="44">
        <f t="shared" si="157"/>
        <v>0</v>
      </c>
      <c r="Z473" s="44">
        <f t="shared" si="158"/>
        <v>0</v>
      </c>
      <c r="AA473" s="50">
        <f t="shared" si="159"/>
        <v>0</v>
      </c>
      <c r="AB473" s="51">
        <f t="shared" si="160"/>
        <v>0</v>
      </c>
      <c r="AC473" s="44">
        <f t="shared" si="161"/>
        <v>0</v>
      </c>
      <c r="AD473" s="44">
        <f t="shared" si="162"/>
        <v>0</v>
      </c>
      <c r="AE473" s="44">
        <f t="shared" si="163"/>
        <v>0</v>
      </c>
      <c r="AF473" s="52" t="e">
        <f>HLOOKUP(I473,ElecAvoidedCostsWOCC!$A$5:$Q$50,G473+1,FALSE)</f>
        <v>#N/A</v>
      </c>
      <c r="AG473" s="44" t="e">
        <f t="shared" si="164"/>
        <v>#N/A</v>
      </c>
      <c r="AH473" s="52" t="e">
        <f>HLOOKUP(I473,ElecAvoidedCostsWOCC!$A$5:$Q$50,T473+1,FALSE)</f>
        <v>#N/A</v>
      </c>
      <c r="AI473" s="44" t="e">
        <f t="shared" si="165"/>
        <v>#N/A</v>
      </c>
      <c r="AJ473" s="44" t="e">
        <f t="shared" si="166"/>
        <v>#N/A</v>
      </c>
      <c r="AK473" s="44" t="e">
        <f>HLOOKUP(I473,ElecAvoidedCostsWOCC!$A$5:$Q$50,G473+1,FALSE)*J473*L473</f>
        <v>#N/A</v>
      </c>
      <c r="AL473" s="44" t="e">
        <f t="shared" si="167"/>
        <v>#N/A</v>
      </c>
      <c r="AM473" s="48">
        <f>IF(O473=0,0,IF(H473=0, HLOOKUP(I473,ElecAvoidedCostsWOCC!$A$5:$Q$50,T473+1,FALSE)*K473*J473,HLOOKUP(I473,ElecAvoidedCostsWOCC!$A$5:$Q$50,T473+1,FALSE)*L473*J473+HLOOKUP(I473,ElecAvoidedCostsWOCC!$A$5:$Q$50,G473+1,FALSE)*K473*J473-HLOOKUP(I473,ElecAvoidedCostsWOCC!$A$5:$Q$50,G473+1,FALSE)*L473*J473))</f>
        <v>0</v>
      </c>
      <c r="AN473" s="48">
        <f t="shared" si="168"/>
        <v>0</v>
      </c>
      <c r="AO473" s="47">
        <f t="shared" si="169"/>
        <v>0</v>
      </c>
      <c r="AP473" s="47" t="e">
        <f t="shared" si="170"/>
        <v>#DIV/0!</v>
      </c>
    </row>
    <row r="474" spans="2:42">
      <c r="B474" s="37"/>
      <c r="C474" s="61"/>
      <c r="D474" s="61"/>
      <c r="E474" s="38"/>
      <c r="F474" s="39"/>
      <c r="G474" s="39"/>
      <c r="H474" s="39"/>
      <c r="I474" s="40"/>
      <c r="J474" s="41"/>
      <c r="K474" s="41"/>
      <c r="L474" s="41"/>
      <c r="M474" s="42"/>
      <c r="N474" s="42"/>
      <c r="O474" s="43"/>
      <c r="P474" s="44"/>
      <c r="Q474" s="44"/>
      <c r="R474" s="45"/>
      <c r="S474" s="46"/>
      <c r="T474" s="39">
        <f t="shared" si="152"/>
        <v>0</v>
      </c>
      <c r="U474" s="47">
        <f t="shared" si="153"/>
        <v>0</v>
      </c>
      <c r="V474" s="48">
        <f t="shared" si="154"/>
        <v>0</v>
      </c>
      <c r="W474" s="49">
        <f t="shared" si="155"/>
        <v>0</v>
      </c>
      <c r="X474" s="44">
        <f t="shared" si="156"/>
        <v>0</v>
      </c>
      <c r="Y474" s="44">
        <f t="shared" si="157"/>
        <v>0</v>
      </c>
      <c r="Z474" s="44">
        <f t="shared" si="158"/>
        <v>0</v>
      </c>
      <c r="AA474" s="50">
        <f t="shared" si="159"/>
        <v>0</v>
      </c>
      <c r="AB474" s="51">
        <f t="shared" si="160"/>
        <v>0</v>
      </c>
      <c r="AC474" s="44">
        <f t="shared" si="161"/>
        <v>0</v>
      </c>
      <c r="AD474" s="44">
        <f t="shared" si="162"/>
        <v>0</v>
      </c>
      <c r="AE474" s="44">
        <f t="shared" si="163"/>
        <v>0</v>
      </c>
      <c r="AF474" s="52" t="e">
        <f>HLOOKUP(I474,ElecAvoidedCostsWOCC!$A$5:$Q$50,G474+1,FALSE)</f>
        <v>#N/A</v>
      </c>
      <c r="AG474" s="44" t="e">
        <f t="shared" si="164"/>
        <v>#N/A</v>
      </c>
      <c r="AH474" s="52" t="e">
        <f>HLOOKUP(I474,ElecAvoidedCostsWOCC!$A$5:$Q$50,T474+1,FALSE)</f>
        <v>#N/A</v>
      </c>
      <c r="AI474" s="44" t="e">
        <f t="shared" si="165"/>
        <v>#N/A</v>
      </c>
      <c r="AJ474" s="44" t="e">
        <f t="shared" si="166"/>
        <v>#N/A</v>
      </c>
      <c r="AK474" s="44" t="e">
        <f>HLOOKUP(I474,ElecAvoidedCostsWOCC!$A$5:$Q$50,G474+1,FALSE)*J474*L474</f>
        <v>#N/A</v>
      </c>
      <c r="AL474" s="44" t="e">
        <f t="shared" si="167"/>
        <v>#N/A</v>
      </c>
      <c r="AM474" s="48">
        <f>IF(O474=0,0,IF(H474=0, HLOOKUP(I474,ElecAvoidedCostsWOCC!$A$5:$Q$50,T474+1,FALSE)*K474*J474,HLOOKUP(I474,ElecAvoidedCostsWOCC!$A$5:$Q$50,T474+1,FALSE)*L474*J474+HLOOKUP(I474,ElecAvoidedCostsWOCC!$A$5:$Q$50,G474+1,FALSE)*K474*J474-HLOOKUP(I474,ElecAvoidedCostsWOCC!$A$5:$Q$50,G474+1,FALSE)*L474*J474))</f>
        <v>0</v>
      </c>
      <c r="AN474" s="48">
        <f t="shared" si="168"/>
        <v>0</v>
      </c>
      <c r="AO474" s="47">
        <f t="shared" si="169"/>
        <v>0</v>
      </c>
      <c r="AP474" s="47" t="e">
        <f t="shared" si="170"/>
        <v>#DIV/0!</v>
      </c>
    </row>
    <row r="475" spans="2:42">
      <c r="B475" s="37"/>
      <c r="C475" s="61"/>
      <c r="D475" s="61"/>
      <c r="E475" s="38"/>
      <c r="F475" s="39"/>
      <c r="G475" s="39"/>
      <c r="H475" s="39"/>
      <c r="I475" s="40"/>
      <c r="J475" s="41"/>
      <c r="K475" s="41"/>
      <c r="L475" s="41"/>
      <c r="M475" s="42"/>
      <c r="N475" s="42"/>
      <c r="O475" s="43"/>
      <c r="P475" s="44"/>
      <c r="Q475" s="44"/>
      <c r="R475" s="45"/>
      <c r="S475" s="46"/>
      <c r="T475" s="39">
        <f t="shared" si="152"/>
        <v>0</v>
      </c>
      <c r="U475" s="47">
        <f t="shared" si="153"/>
        <v>0</v>
      </c>
      <c r="V475" s="48">
        <f t="shared" si="154"/>
        <v>0</v>
      </c>
      <c r="W475" s="49">
        <f t="shared" si="155"/>
        <v>0</v>
      </c>
      <c r="X475" s="44">
        <f t="shared" si="156"/>
        <v>0</v>
      </c>
      <c r="Y475" s="44">
        <f t="shared" si="157"/>
        <v>0</v>
      </c>
      <c r="Z475" s="44">
        <f t="shared" si="158"/>
        <v>0</v>
      </c>
      <c r="AA475" s="50">
        <f t="shared" si="159"/>
        <v>0</v>
      </c>
      <c r="AB475" s="51">
        <f t="shared" si="160"/>
        <v>0</v>
      </c>
      <c r="AC475" s="44">
        <f t="shared" si="161"/>
        <v>0</v>
      </c>
      <c r="AD475" s="44">
        <f t="shared" si="162"/>
        <v>0</v>
      </c>
      <c r="AE475" s="44">
        <f t="shared" si="163"/>
        <v>0</v>
      </c>
      <c r="AF475" s="52" t="e">
        <f>HLOOKUP(I475,ElecAvoidedCostsWOCC!$A$5:$Q$50,G475+1,FALSE)</f>
        <v>#N/A</v>
      </c>
      <c r="AG475" s="44" t="e">
        <f t="shared" si="164"/>
        <v>#N/A</v>
      </c>
      <c r="AH475" s="52" t="e">
        <f>HLOOKUP(I475,ElecAvoidedCostsWOCC!$A$5:$Q$50,T475+1,FALSE)</f>
        <v>#N/A</v>
      </c>
      <c r="AI475" s="44" t="e">
        <f t="shared" si="165"/>
        <v>#N/A</v>
      </c>
      <c r="AJ475" s="44" t="e">
        <f t="shared" si="166"/>
        <v>#N/A</v>
      </c>
      <c r="AK475" s="44" t="e">
        <f>HLOOKUP(I475,ElecAvoidedCostsWOCC!$A$5:$Q$50,G475+1,FALSE)*J475*L475</f>
        <v>#N/A</v>
      </c>
      <c r="AL475" s="44" t="e">
        <f t="shared" si="167"/>
        <v>#N/A</v>
      </c>
      <c r="AM475" s="48">
        <f>IF(O475=0,0,IF(H475=0, HLOOKUP(I475,ElecAvoidedCostsWOCC!$A$5:$Q$50,T475+1,FALSE)*K475*J475,HLOOKUP(I475,ElecAvoidedCostsWOCC!$A$5:$Q$50,T475+1,FALSE)*L475*J475+HLOOKUP(I475,ElecAvoidedCostsWOCC!$A$5:$Q$50,G475+1,FALSE)*K475*J475-HLOOKUP(I475,ElecAvoidedCostsWOCC!$A$5:$Q$50,G475+1,FALSE)*L475*J475))</f>
        <v>0</v>
      </c>
      <c r="AN475" s="48">
        <f t="shared" si="168"/>
        <v>0</v>
      </c>
      <c r="AO475" s="47">
        <f t="shared" si="169"/>
        <v>0</v>
      </c>
      <c r="AP475" s="47" t="e">
        <f t="shared" si="170"/>
        <v>#DIV/0!</v>
      </c>
    </row>
    <row r="476" spans="2:42">
      <c r="B476" s="37"/>
      <c r="C476" s="61"/>
      <c r="D476" s="61"/>
      <c r="E476" s="38"/>
      <c r="F476" s="39"/>
      <c r="G476" s="39"/>
      <c r="H476" s="39"/>
      <c r="I476" s="40"/>
      <c r="J476" s="41"/>
      <c r="K476" s="41"/>
      <c r="L476" s="41"/>
      <c r="M476" s="42"/>
      <c r="N476" s="42"/>
      <c r="O476" s="43"/>
      <c r="P476" s="44"/>
      <c r="Q476" s="44"/>
      <c r="R476" s="45"/>
      <c r="S476" s="46"/>
      <c r="T476" s="39">
        <f t="shared" si="152"/>
        <v>0</v>
      </c>
      <c r="U476" s="47">
        <f t="shared" si="153"/>
        <v>0</v>
      </c>
      <c r="V476" s="48">
        <f t="shared" si="154"/>
        <v>0</v>
      </c>
      <c r="W476" s="49">
        <f t="shared" si="155"/>
        <v>0</v>
      </c>
      <c r="X476" s="44">
        <f t="shared" si="156"/>
        <v>0</v>
      </c>
      <c r="Y476" s="44">
        <f t="shared" si="157"/>
        <v>0</v>
      </c>
      <c r="Z476" s="44">
        <f t="shared" si="158"/>
        <v>0</v>
      </c>
      <c r="AA476" s="50">
        <f t="shared" si="159"/>
        <v>0</v>
      </c>
      <c r="AB476" s="51">
        <f t="shared" si="160"/>
        <v>0</v>
      </c>
      <c r="AC476" s="44">
        <f t="shared" si="161"/>
        <v>0</v>
      </c>
      <c r="AD476" s="44">
        <f t="shared" si="162"/>
        <v>0</v>
      </c>
      <c r="AE476" s="44">
        <f t="shared" si="163"/>
        <v>0</v>
      </c>
      <c r="AF476" s="52" t="e">
        <f>HLOOKUP(I476,ElecAvoidedCostsWOCC!$A$5:$Q$50,G476+1,FALSE)</f>
        <v>#N/A</v>
      </c>
      <c r="AG476" s="44" t="e">
        <f t="shared" si="164"/>
        <v>#N/A</v>
      </c>
      <c r="AH476" s="52" t="e">
        <f>HLOOKUP(I476,ElecAvoidedCostsWOCC!$A$5:$Q$50,T476+1,FALSE)</f>
        <v>#N/A</v>
      </c>
      <c r="AI476" s="44" t="e">
        <f t="shared" si="165"/>
        <v>#N/A</v>
      </c>
      <c r="AJ476" s="44" t="e">
        <f t="shared" si="166"/>
        <v>#N/A</v>
      </c>
      <c r="AK476" s="44" t="e">
        <f>HLOOKUP(I476,ElecAvoidedCostsWOCC!$A$5:$Q$50,G476+1,FALSE)*J476*L476</f>
        <v>#N/A</v>
      </c>
      <c r="AL476" s="44" t="e">
        <f t="shared" si="167"/>
        <v>#N/A</v>
      </c>
      <c r="AM476" s="48">
        <f>IF(O476=0,0,IF(H476=0, HLOOKUP(I476,ElecAvoidedCostsWOCC!$A$5:$Q$50,T476+1,FALSE)*K476*J476,HLOOKUP(I476,ElecAvoidedCostsWOCC!$A$5:$Q$50,T476+1,FALSE)*L476*J476+HLOOKUP(I476,ElecAvoidedCostsWOCC!$A$5:$Q$50,G476+1,FALSE)*K476*J476-HLOOKUP(I476,ElecAvoidedCostsWOCC!$A$5:$Q$50,G476+1,FALSE)*L476*J476))</f>
        <v>0</v>
      </c>
      <c r="AN476" s="48">
        <f t="shared" si="168"/>
        <v>0</v>
      </c>
      <c r="AO476" s="47">
        <f t="shared" si="169"/>
        <v>0</v>
      </c>
      <c r="AP476" s="47" t="e">
        <f t="shared" si="170"/>
        <v>#DIV/0!</v>
      </c>
    </row>
    <row r="477" spans="2:42">
      <c r="B477" s="37"/>
      <c r="C477" s="61"/>
      <c r="D477" s="61"/>
      <c r="E477" s="38"/>
      <c r="F477" s="39"/>
      <c r="G477" s="39"/>
      <c r="H477" s="39"/>
      <c r="I477" s="40"/>
      <c r="J477" s="41"/>
      <c r="K477" s="41"/>
      <c r="L477" s="41"/>
      <c r="M477" s="42"/>
      <c r="N477" s="42"/>
      <c r="O477" s="43"/>
      <c r="P477" s="44"/>
      <c r="Q477" s="44"/>
      <c r="R477" s="45"/>
      <c r="S477" s="46"/>
      <c r="T477" s="39">
        <f t="shared" si="152"/>
        <v>0</v>
      </c>
      <c r="U477" s="47">
        <f t="shared" si="153"/>
        <v>0</v>
      </c>
      <c r="V477" s="48">
        <f t="shared" si="154"/>
        <v>0</v>
      </c>
      <c r="W477" s="49">
        <f t="shared" si="155"/>
        <v>0</v>
      </c>
      <c r="X477" s="44">
        <f t="shared" si="156"/>
        <v>0</v>
      </c>
      <c r="Y477" s="44">
        <f t="shared" si="157"/>
        <v>0</v>
      </c>
      <c r="Z477" s="44">
        <f t="shared" si="158"/>
        <v>0</v>
      </c>
      <c r="AA477" s="50">
        <f t="shared" si="159"/>
        <v>0</v>
      </c>
      <c r="AB477" s="51">
        <f t="shared" si="160"/>
        <v>0</v>
      </c>
      <c r="AC477" s="44">
        <f t="shared" si="161"/>
        <v>0</v>
      </c>
      <c r="AD477" s="44">
        <f t="shared" si="162"/>
        <v>0</v>
      </c>
      <c r="AE477" s="44">
        <f t="shared" si="163"/>
        <v>0</v>
      </c>
      <c r="AF477" s="52" t="e">
        <f>HLOOKUP(I477,ElecAvoidedCostsWOCC!$A$5:$Q$50,G477+1,FALSE)</f>
        <v>#N/A</v>
      </c>
      <c r="AG477" s="44" t="e">
        <f t="shared" si="164"/>
        <v>#N/A</v>
      </c>
      <c r="AH477" s="52" t="e">
        <f>HLOOKUP(I477,ElecAvoidedCostsWOCC!$A$5:$Q$50,T477+1,FALSE)</f>
        <v>#N/A</v>
      </c>
      <c r="AI477" s="44" t="e">
        <f t="shared" si="165"/>
        <v>#N/A</v>
      </c>
      <c r="AJ477" s="44" t="e">
        <f t="shared" si="166"/>
        <v>#N/A</v>
      </c>
      <c r="AK477" s="44" t="e">
        <f>HLOOKUP(I477,ElecAvoidedCostsWOCC!$A$5:$Q$50,G477+1,FALSE)*J477*L477</f>
        <v>#N/A</v>
      </c>
      <c r="AL477" s="44" t="e">
        <f t="shared" si="167"/>
        <v>#N/A</v>
      </c>
      <c r="AM477" s="48">
        <f>IF(O477=0,0,IF(H477=0, HLOOKUP(I477,ElecAvoidedCostsWOCC!$A$5:$Q$50,T477+1,FALSE)*K477*J477,HLOOKUP(I477,ElecAvoidedCostsWOCC!$A$5:$Q$50,T477+1,FALSE)*L477*J477+HLOOKUP(I477,ElecAvoidedCostsWOCC!$A$5:$Q$50,G477+1,FALSE)*K477*J477-HLOOKUP(I477,ElecAvoidedCostsWOCC!$A$5:$Q$50,G477+1,FALSE)*L477*J477))</f>
        <v>0</v>
      </c>
      <c r="AN477" s="48">
        <f t="shared" si="168"/>
        <v>0</v>
      </c>
      <c r="AO477" s="47">
        <f t="shared" si="169"/>
        <v>0</v>
      </c>
      <c r="AP477" s="47" t="e">
        <f t="shared" si="170"/>
        <v>#DIV/0!</v>
      </c>
    </row>
    <row r="478" spans="2:42">
      <c r="B478" s="37"/>
      <c r="C478" s="61"/>
      <c r="D478" s="61"/>
      <c r="E478" s="38"/>
      <c r="F478" s="39"/>
      <c r="G478" s="39"/>
      <c r="H478" s="39"/>
      <c r="I478" s="40"/>
      <c r="J478" s="41"/>
      <c r="K478" s="41"/>
      <c r="L478" s="41"/>
      <c r="M478" s="42"/>
      <c r="N478" s="42"/>
      <c r="O478" s="43"/>
      <c r="P478" s="44"/>
      <c r="Q478" s="44"/>
      <c r="R478" s="45"/>
      <c r="S478" s="46"/>
      <c r="T478" s="39">
        <f t="shared" si="152"/>
        <v>0</v>
      </c>
      <c r="U478" s="47">
        <f t="shared" si="153"/>
        <v>0</v>
      </c>
      <c r="V478" s="48">
        <f t="shared" si="154"/>
        <v>0</v>
      </c>
      <c r="W478" s="49">
        <f t="shared" si="155"/>
        <v>0</v>
      </c>
      <c r="X478" s="44">
        <f t="shared" si="156"/>
        <v>0</v>
      </c>
      <c r="Y478" s="44">
        <f t="shared" si="157"/>
        <v>0</v>
      </c>
      <c r="Z478" s="44">
        <f t="shared" si="158"/>
        <v>0</v>
      </c>
      <c r="AA478" s="50">
        <f t="shared" si="159"/>
        <v>0</v>
      </c>
      <c r="AB478" s="51">
        <f t="shared" si="160"/>
        <v>0</v>
      </c>
      <c r="AC478" s="44">
        <f t="shared" si="161"/>
        <v>0</v>
      </c>
      <c r="AD478" s="44">
        <f t="shared" si="162"/>
        <v>0</v>
      </c>
      <c r="AE478" s="44">
        <f t="shared" si="163"/>
        <v>0</v>
      </c>
      <c r="AF478" s="52" t="e">
        <f>HLOOKUP(I478,ElecAvoidedCostsWOCC!$A$5:$Q$50,G478+1,FALSE)</f>
        <v>#N/A</v>
      </c>
      <c r="AG478" s="44" t="e">
        <f t="shared" si="164"/>
        <v>#N/A</v>
      </c>
      <c r="AH478" s="52" t="e">
        <f>HLOOKUP(I478,ElecAvoidedCostsWOCC!$A$5:$Q$50,T478+1,FALSE)</f>
        <v>#N/A</v>
      </c>
      <c r="AI478" s="44" t="e">
        <f t="shared" si="165"/>
        <v>#N/A</v>
      </c>
      <c r="AJ478" s="44" t="e">
        <f t="shared" si="166"/>
        <v>#N/A</v>
      </c>
      <c r="AK478" s="44" t="e">
        <f>HLOOKUP(I478,ElecAvoidedCostsWOCC!$A$5:$Q$50,G478+1,FALSE)*J478*L478</f>
        <v>#N/A</v>
      </c>
      <c r="AL478" s="44" t="e">
        <f t="shared" si="167"/>
        <v>#N/A</v>
      </c>
      <c r="AM478" s="48">
        <f>IF(O478=0,0,IF(H478=0, HLOOKUP(I478,ElecAvoidedCostsWOCC!$A$5:$Q$50,T478+1,FALSE)*K478*J478,HLOOKUP(I478,ElecAvoidedCostsWOCC!$A$5:$Q$50,T478+1,FALSE)*L478*J478+HLOOKUP(I478,ElecAvoidedCostsWOCC!$A$5:$Q$50,G478+1,FALSE)*K478*J478-HLOOKUP(I478,ElecAvoidedCostsWOCC!$A$5:$Q$50,G478+1,FALSE)*L478*J478))</f>
        <v>0</v>
      </c>
      <c r="AN478" s="48">
        <f t="shared" si="168"/>
        <v>0</v>
      </c>
      <c r="AO478" s="47">
        <f t="shared" si="169"/>
        <v>0</v>
      </c>
      <c r="AP478" s="47" t="e">
        <f t="shared" si="170"/>
        <v>#DIV/0!</v>
      </c>
    </row>
    <row r="479" spans="2:42">
      <c r="B479" s="37"/>
      <c r="C479" s="61"/>
      <c r="D479" s="61"/>
      <c r="E479" s="38"/>
      <c r="F479" s="39"/>
      <c r="G479" s="39"/>
      <c r="H479" s="39"/>
      <c r="I479" s="40"/>
      <c r="J479" s="41"/>
      <c r="K479" s="41"/>
      <c r="L479" s="41"/>
      <c r="M479" s="42"/>
      <c r="N479" s="42"/>
      <c r="O479" s="43"/>
      <c r="P479" s="44"/>
      <c r="Q479" s="44"/>
      <c r="R479" s="45"/>
      <c r="S479" s="46"/>
      <c r="T479" s="39">
        <f t="shared" si="152"/>
        <v>0</v>
      </c>
      <c r="U479" s="47">
        <f t="shared" si="153"/>
        <v>0</v>
      </c>
      <c r="V479" s="48">
        <f t="shared" si="154"/>
        <v>0</v>
      </c>
      <c r="W479" s="49">
        <f t="shared" si="155"/>
        <v>0</v>
      </c>
      <c r="X479" s="44">
        <f t="shared" si="156"/>
        <v>0</v>
      </c>
      <c r="Y479" s="44">
        <f t="shared" si="157"/>
        <v>0</v>
      </c>
      <c r="Z479" s="44">
        <f t="shared" si="158"/>
        <v>0</v>
      </c>
      <c r="AA479" s="50">
        <f t="shared" si="159"/>
        <v>0</v>
      </c>
      <c r="AB479" s="51">
        <f t="shared" si="160"/>
        <v>0</v>
      </c>
      <c r="AC479" s="44">
        <f t="shared" si="161"/>
        <v>0</v>
      </c>
      <c r="AD479" s="44">
        <f t="shared" si="162"/>
        <v>0</v>
      </c>
      <c r="AE479" s="44">
        <f t="shared" si="163"/>
        <v>0</v>
      </c>
      <c r="AF479" s="52" t="e">
        <f>HLOOKUP(I479,ElecAvoidedCostsWOCC!$A$5:$Q$50,G479+1,FALSE)</f>
        <v>#N/A</v>
      </c>
      <c r="AG479" s="44" t="e">
        <f t="shared" si="164"/>
        <v>#N/A</v>
      </c>
      <c r="AH479" s="52" t="e">
        <f>HLOOKUP(I479,ElecAvoidedCostsWOCC!$A$5:$Q$50,T479+1,FALSE)</f>
        <v>#N/A</v>
      </c>
      <c r="AI479" s="44" t="e">
        <f t="shared" si="165"/>
        <v>#N/A</v>
      </c>
      <c r="AJ479" s="44" t="e">
        <f t="shared" si="166"/>
        <v>#N/A</v>
      </c>
      <c r="AK479" s="44" t="e">
        <f>HLOOKUP(I479,ElecAvoidedCostsWOCC!$A$5:$Q$50,G479+1,FALSE)*J479*L479</f>
        <v>#N/A</v>
      </c>
      <c r="AL479" s="44" t="e">
        <f t="shared" si="167"/>
        <v>#N/A</v>
      </c>
      <c r="AM479" s="48">
        <f>IF(O479=0,0,IF(H479=0, HLOOKUP(I479,ElecAvoidedCostsWOCC!$A$5:$Q$50,T479+1,FALSE)*K479*J479,HLOOKUP(I479,ElecAvoidedCostsWOCC!$A$5:$Q$50,T479+1,FALSE)*L479*J479+HLOOKUP(I479,ElecAvoidedCostsWOCC!$A$5:$Q$50,G479+1,FALSE)*K479*J479-HLOOKUP(I479,ElecAvoidedCostsWOCC!$A$5:$Q$50,G479+1,FALSE)*L479*J479))</f>
        <v>0</v>
      </c>
      <c r="AN479" s="48">
        <f t="shared" si="168"/>
        <v>0</v>
      </c>
      <c r="AO479" s="47">
        <f t="shared" si="169"/>
        <v>0</v>
      </c>
      <c r="AP479" s="47" t="e">
        <f t="shared" si="170"/>
        <v>#DIV/0!</v>
      </c>
    </row>
    <row r="480" spans="2:42">
      <c r="B480" s="37"/>
      <c r="C480" s="61"/>
      <c r="D480" s="61"/>
      <c r="E480" s="38"/>
      <c r="F480" s="39"/>
      <c r="G480" s="39"/>
      <c r="H480" s="39"/>
      <c r="I480" s="40"/>
      <c r="J480" s="41"/>
      <c r="K480" s="41"/>
      <c r="L480" s="41"/>
      <c r="M480" s="42"/>
      <c r="N480" s="42"/>
      <c r="O480" s="43"/>
      <c r="P480" s="44"/>
      <c r="Q480" s="44"/>
      <c r="R480" s="45"/>
      <c r="S480" s="46"/>
      <c r="T480" s="39">
        <f t="shared" si="152"/>
        <v>0</v>
      </c>
      <c r="U480" s="47">
        <f t="shared" si="153"/>
        <v>0</v>
      </c>
      <c r="V480" s="48">
        <f t="shared" si="154"/>
        <v>0</v>
      </c>
      <c r="W480" s="49">
        <f t="shared" si="155"/>
        <v>0</v>
      </c>
      <c r="X480" s="44">
        <f t="shared" si="156"/>
        <v>0</v>
      </c>
      <c r="Y480" s="44">
        <f t="shared" si="157"/>
        <v>0</v>
      </c>
      <c r="Z480" s="44">
        <f t="shared" si="158"/>
        <v>0</v>
      </c>
      <c r="AA480" s="50">
        <f t="shared" si="159"/>
        <v>0</v>
      </c>
      <c r="AB480" s="51">
        <f t="shared" si="160"/>
        <v>0</v>
      </c>
      <c r="AC480" s="44">
        <f t="shared" si="161"/>
        <v>0</v>
      </c>
      <c r="AD480" s="44">
        <f t="shared" si="162"/>
        <v>0</v>
      </c>
      <c r="AE480" s="44">
        <f t="shared" si="163"/>
        <v>0</v>
      </c>
      <c r="AF480" s="52" t="e">
        <f>HLOOKUP(I480,ElecAvoidedCostsWOCC!$A$5:$Q$50,G480+1,FALSE)</f>
        <v>#N/A</v>
      </c>
      <c r="AG480" s="44" t="e">
        <f t="shared" si="164"/>
        <v>#N/A</v>
      </c>
      <c r="AH480" s="52" t="e">
        <f>HLOOKUP(I480,ElecAvoidedCostsWOCC!$A$5:$Q$50,T480+1,FALSE)</f>
        <v>#N/A</v>
      </c>
      <c r="AI480" s="44" t="e">
        <f t="shared" si="165"/>
        <v>#N/A</v>
      </c>
      <c r="AJ480" s="44" t="e">
        <f t="shared" si="166"/>
        <v>#N/A</v>
      </c>
      <c r="AK480" s="44" t="e">
        <f>HLOOKUP(I480,ElecAvoidedCostsWOCC!$A$5:$Q$50,G480+1,FALSE)*J480*L480</f>
        <v>#N/A</v>
      </c>
      <c r="AL480" s="44" t="e">
        <f t="shared" si="167"/>
        <v>#N/A</v>
      </c>
      <c r="AM480" s="48">
        <f>IF(O480=0,0,IF(H480=0, HLOOKUP(I480,ElecAvoidedCostsWOCC!$A$5:$Q$50,T480+1,FALSE)*K480*J480,HLOOKUP(I480,ElecAvoidedCostsWOCC!$A$5:$Q$50,T480+1,FALSE)*L480*J480+HLOOKUP(I480,ElecAvoidedCostsWOCC!$A$5:$Q$50,G480+1,FALSE)*K480*J480-HLOOKUP(I480,ElecAvoidedCostsWOCC!$A$5:$Q$50,G480+1,FALSE)*L480*J480))</f>
        <v>0</v>
      </c>
      <c r="AN480" s="48">
        <f t="shared" si="168"/>
        <v>0</v>
      </c>
      <c r="AO480" s="47">
        <f t="shared" si="169"/>
        <v>0</v>
      </c>
      <c r="AP480" s="47" t="e">
        <f t="shared" si="170"/>
        <v>#DIV/0!</v>
      </c>
    </row>
    <row r="481" spans="2:42">
      <c r="B481" s="37"/>
      <c r="C481" s="61"/>
      <c r="D481" s="61"/>
      <c r="E481" s="38"/>
      <c r="F481" s="39"/>
      <c r="G481" s="39"/>
      <c r="H481" s="39"/>
      <c r="I481" s="40"/>
      <c r="J481" s="41"/>
      <c r="K481" s="41"/>
      <c r="L481" s="41"/>
      <c r="M481" s="42"/>
      <c r="N481" s="42"/>
      <c r="O481" s="43"/>
      <c r="P481" s="44"/>
      <c r="Q481" s="44"/>
      <c r="R481" s="45"/>
      <c r="S481" s="46"/>
      <c r="T481" s="39">
        <f t="shared" si="152"/>
        <v>0</v>
      </c>
      <c r="U481" s="47">
        <f t="shared" si="153"/>
        <v>0</v>
      </c>
      <c r="V481" s="48">
        <f t="shared" si="154"/>
        <v>0</v>
      </c>
      <c r="W481" s="49">
        <f t="shared" si="155"/>
        <v>0</v>
      </c>
      <c r="X481" s="44">
        <f t="shared" si="156"/>
        <v>0</v>
      </c>
      <c r="Y481" s="44">
        <f t="shared" si="157"/>
        <v>0</v>
      </c>
      <c r="Z481" s="44">
        <f t="shared" si="158"/>
        <v>0</v>
      </c>
      <c r="AA481" s="50">
        <f t="shared" si="159"/>
        <v>0</v>
      </c>
      <c r="AB481" s="51">
        <f t="shared" si="160"/>
        <v>0</v>
      </c>
      <c r="AC481" s="44">
        <f t="shared" si="161"/>
        <v>0</v>
      </c>
      <c r="AD481" s="44">
        <f t="shared" si="162"/>
        <v>0</v>
      </c>
      <c r="AE481" s="44">
        <f t="shared" si="163"/>
        <v>0</v>
      </c>
      <c r="AF481" s="52" t="e">
        <f>HLOOKUP(I481,ElecAvoidedCostsWOCC!$A$5:$Q$50,G481+1,FALSE)</f>
        <v>#N/A</v>
      </c>
      <c r="AG481" s="44" t="e">
        <f t="shared" si="164"/>
        <v>#N/A</v>
      </c>
      <c r="AH481" s="52" t="e">
        <f>HLOOKUP(I481,ElecAvoidedCostsWOCC!$A$5:$Q$50,T481+1,FALSE)</f>
        <v>#N/A</v>
      </c>
      <c r="AI481" s="44" t="e">
        <f t="shared" si="165"/>
        <v>#N/A</v>
      </c>
      <c r="AJ481" s="44" t="e">
        <f t="shared" si="166"/>
        <v>#N/A</v>
      </c>
      <c r="AK481" s="44" t="e">
        <f>HLOOKUP(I481,ElecAvoidedCostsWOCC!$A$5:$Q$50,G481+1,FALSE)*J481*L481</f>
        <v>#N/A</v>
      </c>
      <c r="AL481" s="44" t="e">
        <f t="shared" si="167"/>
        <v>#N/A</v>
      </c>
      <c r="AM481" s="48">
        <f>IF(O481=0,0,IF(H481=0, HLOOKUP(I481,ElecAvoidedCostsWOCC!$A$5:$Q$50,T481+1,FALSE)*K481*J481,HLOOKUP(I481,ElecAvoidedCostsWOCC!$A$5:$Q$50,T481+1,FALSE)*L481*J481+HLOOKUP(I481,ElecAvoidedCostsWOCC!$A$5:$Q$50,G481+1,FALSE)*K481*J481-HLOOKUP(I481,ElecAvoidedCostsWOCC!$A$5:$Q$50,G481+1,FALSE)*L481*J481))</f>
        <v>0</v>
      </c>
      <c r="AN481" s="48">
        <f t="shared" si="168"/>
        <v>0</v>
      </c>
      <c r="AO481" s="47">
        <f t="shared" si="169"/>
        <v>0</v>
      </c>
      <c r="AP481" s="47" t="e">
        <f t="shared" si="170"/>
        <v>#DIV/0!</v>
      </c>
    </row>
    <row r="482" spans="2:42">
      <c r="B482" s="37"/>
      <c r="C482" s="61"/>
      <c r="D482" s="61"/>
      <c r="E482" s="38"/>
      <c r="F482" s="39"/>
      <c r="G482" s="39"/>
      <c r="H482" s="39"/>
      <c r="I482" s="40"/>
      <c r="J482" s="41"/>
      <c r="K482" s="41"/>
      <c r="L482" s="41"/>
      <c r="M482" s="42"/>
      <c r="N482" s="42"/>
      <c r="O482" s="43"/>
      <c r="P482" s="44"/>
      <c r="Q482" s="44"/>
      <c r="R482" s="45"/>
      <c r="S482" s="46"/>
      <c r="T482" s="39">
        <f t="shared" si="152"/>
        <v>0</v>
      </c>
      <c r="U482" s="47">
        <f t="shared" si="153"/>
        <v>0</v>
      </c>
      <c r="V482" s="48">
        <f t="shared" si="154"/>
        <v>0</v>
      </c>
      <c r="W482" s="49">
        <f t="shared" si="155"/>
        <v>0</v>
      </c>
      <c r="X482" s="44">
        <f t="shared" si="156"/>
        <v>0</v>
      </c>
      <c r="Y482" s="44">
        <f t="shared" si="157"/>
        <v>0</v>
      </c>
      <c r="Z482" s="44">
        <f t="shared" si="158"/>
        <v>0</v>
      </c>
      <c r="AA482" s="50">
        <f t="shared" si="159"/>
        <v>0</v>
      </c>
      <c r="AB482" s="51">
        <f t="shared" si="160"/>
        <v>0</v>
      </c>
      <c r="AC482" s="44">
        <f t="shared" si="161"/>
        <v>0</v>
      </c>
      <c r="AD482" s="44">
        <f t="shared" si="162"/>
        <v>0</v>
      </c>
      <c r="AE482" s="44">
        <f t="shared" si="163"/>
        <v>0</v>
      </c>
      <c r="AF482" s="52" t="e">
        <f>HLOOKUP(I482,ElecAvoidedCostsWOCC!$A$5:$Q$50,G482+1,FALSE)</f>
        <v>#N/A</v>
      </c>
      <c r="AG482" s="44" t="e">
        <f t="shared" si="164"/>
        <v>#N/A</v>
      </c>
      <c r="AH482" s="52" t="e">
        <f>HLOOKUP(I482,ElecAvoidedCostsWOCC!$A$5:$Q$50,T482+1,FALSE)</f>
        <v>#N/A</v>
      </c>
      <c r="AI482" s="44" t="e">
        <f t="shared" si="165"/>
        <v>#N/A</v>
      </c>
      <c r="AJ482" s="44" t="e">
        <f t="shared" si="166"/>
        <v>#N/A</v>
      </c>
      <c r="AK482" s="44" t="e">
        <f>HLOOKUP(I482,ElecAvoidedCostsWOCC!$A$5:$Q$50,G482+1,FALSE)*J482*L482</f>
        <v>#N/A</v>
      </c>
      <c r="AL482" s="44" t="e">
        <f t="shared" si="167"/>
        <v>#N/A</v>
      </c>
      <c r="AM482" s="48">
        <f>IF(O482=0,0,IF(H482=0, HLOOKUP(I482,ElecAvoidedCostsWOCC!$A$5:$Q$50,T482+1,FALSE)*K482*J482,HLOOKUP(I482,ElecAvoidedCostsWOCC!$A$5:$Q$50,T482+1,FALSE)*L482*J482+HLOOKUP(I482,ElecAvoidedCostsWOCC!$A$5:$Q$50,G482+1,FALSE)*K482*J482-HLOOKUP(I482,ElecAvoidedCostsWOCC!$A$5:$Q$50,G482+1,FALSE)*L482*J482))</f>
        <v>0</v>
      </c>
      <c r="AN482" s="48">
        <f t="shared" si="168"/>
        <v>0</v>
      </c>
      <c r="AO482" s="47">
        <f t="shared" si="169"/>
        <v>0</v>
      </c>
      <c r="AP482" s="47" t="e">
        <f t="shared" si="170"/>
        <v>#DIV/0!</v>
      </c>
    </row>
    <row r="483" spans="2:42">
      <c r="B483" s="37"/>
      <c r="C483" s="61"/>
      <c r="D483" s="61"/>
      <c r="E483" s="38"/>
      <c r="F483" s="39"/>
      <c r="G483" s="39"/>
      <c r="H483" s="39"/>
      <c r="I483" s="40"/>
      <c r="J483" s="41"/>
      <c r="K483" s="41"/>
      <c r="L483" s="41"/>
      <c r="M483" s="42"/>
      <c r="N483" s="42"/>
      <c r="O483" s="43"/>
      <c r="P483" s="44"/>
      <c r="Q483" s="44"/>
      <c r="R483" s="45"/>
      <c r="S483" s="46"/>
      <c r="T483" s="39">
        <f t="shared" si="152"/>
        <v>0</v>
      </c>
      <c r="U483" s="47">
        <f t="shared" si="153"/>
        <v>0</v>
      </c>
      <c r="V483" s="48">
        <f t="shared" si="154"/>
        <v>0</v>
      </c>
      <c r="W483" s="49">
        <f t="shared" si="155"/>
        <v>0</v>
      </c>
      <c r="X483" s="44">
        <f t="shared" si="156"/>
        <v>0</v>
      </c>
      <c r="Y483" s="44">
        <f t="shared" si="157"/>
        <v>0</v>
      </c>
      <c r="Z483" s="44">
        <f t="shared" si="158"/>
        <v>0</v>
      </c>
      <c r="AA483" s="50">
        <f t="shared" si="159"/>
        <v>0</v>
      </c>
      <c r="AB483" s="51">
        <f t="shared" si="160"/>
        <v>0</v>
      </c>
      <c r="AC483" s="44">
        <f t="shared" si="161"/>
        <v>0</v>
      </c>
      <c r="AD483" s="44">
        <f t="shared" si="162"/>
        <v>0</v>
      </c>
      <c r="AE483" s="44">
        <f t="shared" si="163"/>
        <v>0</v>
      </c>
      <c r="AF483" s="52" t="e">
        <f>HLOOKUP(I483,ElecAvoidedCostsWOCC!$A$5:$Q$50,G483+1,FALSE)</f>
        <v>#N/A</v>
      </c>
      <c r="AG483" s="44" t="e">
        <f t="shared" si="164"/>
        <v>#N/A</v>
      </c>
      <c r="AH483" s="52" t="e">
        <f>HLOOKUP(I483,ElecAvoidedCostsWOCC!$A$5:$Q$50,T483+1,FALSE)</f>
        <v>#N/A</v>
      </c>
      <c r="AI483" s="44" t="e">
        <f t="shared" si="165"/>
        <v>#N/A</v>
      </c>
      <c r="AJ483" s="44" t="e">
        <f t="shared" si="166"/>
        <v>#N/A</v>
      </c>
      <c r="AK483" s="44" t="e">
        <f>HLOOKUP(I483,ElecAvoidedCostsWOCC!$A$5:$Q$50,G483+1,FALSE)*J483*L483</f>
        <v>#N/A</v>
      </c>
      <c r="AL483" s="44" t="e">
        <f t="shared" si="167"/>
        <v>#N/A</v>
      </c>
      <c r="AM483" s="48">
        <f>IF(O483=0,0,IF(H483=0, HLOOKUP(I483,ElecAvoidedCostsWOCC!$A$5:$Q$50,T483+1,FALSE)*K483*J483,HLOOKUP(I483,ElecAvoidedCostsWOCC!$A$5:$Q$50,T483+1,FALSE)*L483*J483+HLOOKUP(I483,ElecAvoidedCostsWOCC!$A$5:$Q$50,G483+1,FALSE)*K483*J483-HLOOKUP(I483,ElecAvoidedCostsWOCC!$A$5:$Q$50,G483+1,FALSE)*L483*J483))</f>
        <v>0</v>
      </c>
      <c r="AN483" s="48">
        <f t="shared" si="168"/>
        <v>0</v>
      </c>
      <c r="AO483" s="47">
        <f t="shared" si="169"/>
        <v>0</v>
      </c>
      <c r="AP483" s="47" t="e">
        <f t="shared" si="170"/>
        <v>#DIV/0!</v>
      </c>
    </row>
    <row r="484" spans="2:42">
      <c r="B484" s="37"/>
      <c r="C484" s="61"/>
      <c r="D484" s="61"/>
      <c r="E484" s="38"/>
      <c r="F484" s="39"/>
      <c r="G484" s="39"/>
      <c r="H484" s="39"/>
      <c r="I484" s="40"/>
      <c r="J484" s="41"/>
      <c r="K484" s="41"/>
      <c r="L484" s="41"/>
      <c r="M484" s="42"/>
      <c r="N484" s="42"/>
      <c r="O484" s="43"/>
      <c r="P484" s="44"/>
      <c r="Q484" s="44"/>
      <c r="R484" s="45"/>
      <c r="S484" s="46"/>
      <c r="T484" s="39">
        <f t="shared" si="152"/>
        <v>0</v>
      </c>
      <c r="U484" s="47">
        <f t="shared" si="153"/>
        <v>0</v>
      </c>
      <c r="V484" s="48">
        <f t="shared" si="154"/>
        <v>0</v>
      </c>
      <c r="W484" s="49">
        <f t="shared" si="155"/>
        <v>0</v>
      </c>
      <c r="X484" s="44">
        <f t="shared" si="156"/>
        <v>0</v>
      </c>
      <c r="Y484" s="44">
        <f t="shared" si="157"/>
        <v>0</v>
      </c>
      <c r="Z484" s="44">
        <f t="shared" si="158"/>
        <v>0</v>
      </c>
      <c r="AA484" s="50">
        <f t="shared" si="159"/>
        <v>0</v>
      </c>
      <c r="AB484" s="51">
        <f t="shared" si="160"/>
        <v>0</v>
      </c>
      <c r="AC484" s="44">
        <f t="shared" si="161"/>
        <v>0</v>
      </c>
      <c r="AD484" s="44">
        <f t="shared" si="162"/>
        <v>0</v>
      </c>
      <c r="AE484" s="44">
        <f t="shared" si="163"/>
        <v>0</v>
      </c>
      <c r="AF484" s="52" t="e">
        <f>HLOOKUP(I484,ElecAvoidedCostsWOCC!$A$5:$Q$50,G484+1,FALSE)</f>
        <v>#N/A</v>
      </c>
      <c r="AG484" s="44" t="e">
        <f t="shared" si="164"/>
        <v>#N/A</v>
      </c>
      <c r="AH484" s="52" t="e">
        <f>HLOOKUP(I484,ElecAvoidedCostsWOCC!$A$5:$Q$50,T484+1,FALSE)</f>
        <v>#N/A</v>
      </c>
      <c r="AI484" s="44" t="e">
        <f t="shared" si="165"/>
        <v>#N/A</v>
      </c>
      <c r="AJ484" s="44" t="e">
        <f t="shared" si="166"/>
        <v>#N/A</v>
      </c>
      <c r="AK484" s="44" t="e">
        <f>HLOOKUP(I484,ElecAvoidedCostsWOCC!$A$5:$Q$50,G484+1,FALSE)*J484*L484</f>
        <v>#N/A</v>
      </c>
      <c r="AL484" s="44" t="e">
        <f t="shared" si="167"/>
        <v>#N/A</v>
      </c>
      <c r="AM484" s="48">
        <f>IF(O484=0,0,IF(H484=0, HLOOKUP(I484,ElecAvoidedCostsWOCC!$A$5:$Q$50,T484+1,FALSE)*K484*J484,HLOOKUP(I484,ElecAvoidedCostsWOCC!$A$5:$Q$50,T484+1,FALSE)*L484*J484+HLOOKUP(I484,ElecAvoidedCostsWOCC!$A$5:$Q$50,G484+1,FALSE)*K484*J484-HLOOKUP(I484,ElecAvoidedCostsWOCC!$A$5:$Q$50,G484+1,FALSE)*L484*J484))</f>
        <v>0</v>
      </c>
      <c r="AN484" s="48">
        <f t="shared" si="168"/>
        <v>0</v>
      </c>
      <c r="AO484" s="47">
        <f t="shared" si="169"/>
        <v>0</v>
      </c>
      <c r="AP484" s="47" t="e">
        <f t="shared" si="170"/>
        <v>#DIV/0!</v>
      </c>
    </row>
    <row r="485" spans="2:42">
      <c r="B485" s="37"/>
      <c r="C485" s="61"/>
      <c r="D485" s="61"/>
      <c r="E485" s="38"/>
      <c r="F485" s="39"/>
      <c r="G485" s="39"/>
      <c r="H485" s="39"/>
      <c r="I485" s="40"/>
      <c r="J485" s="41"/>
      <c r="K485" s="41"/>
      <c r="L485" s="41"/>
      <c r="M485" s="42"/>
      <c r="N485" s="42"/>
      <c r="O485" s="43"/>
      <c r="P485" s="44"/>
      <c r="Q485" s="44"/>
      <c r="R485" s="45"/>
      <c r="S485" s="46"/>
      <c r="T485" s="39">
        <f t="shared" si="152"/>
        <v>0</v>
      </c>
      <c r="U485" s="47">
        <f t="shared" si="153"/>
        <v>0</v>
      </c>
      <c r="V485" s="48">
        <f t="shared" si="154"/>
        <v>0</v>
      </c>
      <c r="W485" s="49">
        <f t="shared" si="155"/>
        <v>0</v>
      </c>
      <c r="X485" s="44">
        <f t="shared" si="156"/>
        <v>0</v>
      </c>
      <c r="Y485" s="44">
        <f t="shared" si="157"/>
        <v>0</v>
      </c>
      <c r="Z485" s="44">
        <f t="shared" si="158"/>
        <v>0</v>
      </c>
      <c r="AA485" s="50">
        <f t="shared" si="159"/>
        <v>0</v>
      </c>
      <c r="AB485" s="51">
        <f t="shared" si="160"/>
        <v>0</v>
      </c>
      <c r="AC485" s="44">
        <f t="shared" si="161"/>
        <v>0</v>
      </c>
      <c r="AD485" s="44">
        <f t="shared" si="162"/>
        <v>0</v>
      </c>
      <c r="AE485" s="44">
        <f t="shared" si="163"/>
        <v>0</v>
      </c>
      <c r="AF485" s="52" t="e">
        <f>HLOOKUP(I485,ElecAvoidedCostsWOCC!$A$5:$Q$50,G485+1,FALSE)</f>
        <v>#N/A</v>
      </c>
      <c r="AG485" s="44" t="e">
        <f t="shared" si="164"/>
        <v>#N/A</v>
      </c>
      <c r="AH485" s="52" t="e">
        <f>HLOOKUP(I485,ElecAvoidedCostsWOCC!$A$5:$Q$50,T485+1,FALSE)</f>
        <v>#N/A</v>
      </c>
      <c r="AI485" s="44" t="e">
        <f t="shared" si="165"/>
        <v>#N/A</v>
      </c>
      <c r="AJ485" s="44" t="e">
        <f t="shared" si="166"/>
        <v>#N/A</v>
      </c>
      <c r="AK485" s="44" t="e">
        <f>HLOOKUP(I485,ElecAvoidedCostsWOCC!$A$5:$Q$50,G485+1,FALSE)*J485*L485</f>
        <v>#N/A</v>
      </c>
      <c r="AL485" s="44" t="e">
        <f t="shared" si="167"/>
        <v>#N/A</v>
      </c>
      <c r="AM485" s="48">
        <f>IF(O485=0,0,IF(H485=0, HLOOKUP(I485,ElecAvoidedCostsWOCC!$A$5:$Q$50,T485+1,FALSE)*K485*J485,HLOOKUP(I485,ElecAvoidedCostsWOCC!$A$5:$Q$50,T485+1,FALSE)*L485*J485+HLOOKUP(I485,ElecAvoidedCostsWOCC!$A$5:$Q$50,G485+1,FALSE)*K485*J485-HLOOKUP(I485,ElecAvoidedCostsWOCC!$A$5:$Q$50,G485+1,FALSE)*L485*J485))</f>
        <v>0</v>
      </c>
      <c r="AN485" s="48">
        <f t="shared" si="168"/>
        <v>0</v>
      </c>
      <c r="AO485" s="47">
        <f t="shared" si="169"/>
        <v>0</v>
      </c>
      <c r="AP485" s="47" t="e">
        <f t="shared" si="170"/>
        <v>#DIV/0!</v>
      </c>
    </row>
    <row r="486" spans="2:42">
      <c r="B486" s="37"/>
      <c r="C486" s="61"/>
      <c r="D486" s="61"/>
      <c r="E486" s="38"/>
      <c r="F486" s="39"/>
      <c r="G486" s="39"/>
      <c r="H486" s="39"/>
      <c r="I486" s="40"/>
      <c r="J486" s="41"/>
      <c r="K486" s="41"/>
      <c r="L486" s="41"/>
      <c r="M486" s="42"/>
      <c r="N486" s="42"/>
      <c r="O486" s="43"/>
      <c r="P486" s="44"/>
      <c r="Q486" s="44"/>
      <c r="R486" s="45"/>
      <c r="S486" s="46"/>
      <c r="T486" s="39">
        <f t="shared" si="152"/>
        <v>0</v>
      </c>
      <c r="U486" s="47">
        <f t="shared" si="153"/>
        <v>0</v>
      </c>
      <c r="V486" s="48">
        <f t="shared" si="154"/>
        <v>0</v>
      </c>
      <c r="W486" s="49">
        <f t="shared" si="155"/>
        <v>0</v>
      </c>
      <c r="X486" s="44">
        <f t="shared" si="156"/>
        <v>0</v>
      </c>
      <c r="Y486" s="44">
        <f t="shared" si="157"/>
        <v>0</v>
      </c>
      <c r="Z486" s="44">
        <f t="shared" si="158"/>
        <v>0</v>
      </c>
      <c r="AA486" s="50">
        <f t="shared" si="159"/>
        <v>0</v>
      </c>
      <c r="AB486" s="51">
        <f t="shared" si="160"/>
        <v>0</v>
      </c>
      <c r="AC486" s="44">
        <f t="shared" si="161"/>
        <v>0</v>
      </c>
      <c r="AD486" s="44">
        <f t="shared" si="162"/>
        <v>0</v>
      </c>
      <c r="AE486" s="44">
        <f t="shared" si="163"/>
        <v>0</v>
      </c>
      <c r="AF486" s="52" t="e">
        <f>HLOOKUP(I486,ElecAvoidedCostsWOCC!$A$5:$Q$50,G486+1,FALSE)</f>
        <v>#N/A</v>
      </c>
      <c r="AG486" s="44" t="e">
        <f t="shared" si="164"/>
        <v>#N/A</v>
      </c>
      <c r="AH486" s="52" t="e">
        <f>HLOOKUP(I486,ElecAvoidedCostsWOCC!$A$5:$Q$50,T486+1,FALSE)</f>
        <v>#N/A</v>
      </c>
      <c r="AI486" s="44" t="e">
        <f t="shared" si="165"/>
        <v>#N/A</v>
      </c>
      <c r="AJ486" s="44" t="e">
        <f t="shared" si="166"/>
        <v>#N/A</v>
      </c>
      <c r="AK486" s="44" t="e">
        <f>HLOOKUP(I486,ElecAvoidedCostsWOCC!$A$5:$Q$50,G486+1,FALSE)*J486*L486</f>
        <v>#N/A</v>
      </c>
      <c r="AL486" s="44" t="e">
        <f t="shared" si="167"/>
        <v>#N/A</v>
      </c>
      <c r="AM486" s="48">
        <f>IF(O486=0,0,IF(H486=0, HLOOKUP(I486,ElecAvoidedCostsWOCC!$A$5:$Q$50,T486+1,FALSE)*K486*J486,HLOOKUP(I486,ElecAvoidedCostsWOCC!$A$5:$Q$50,T486+1,FALSE)*L486*J486+HLOOKUP(I486,ElecAvoidedCostsWOCC!$A$5:$Q$50,G486+1,FALSE)*K486*J486-HLOOKUP(I486,ElecAvoidedCostsWOCC!$A$5:$Q$50,G486+1,FALSE)*L486*J486))</f>
        <v>0</v>
      </c>
      <c r="AN486" s="48">
        <f t="shared" si="168"/>
        <v>0</v>
      </c>
      <c r="AO486" s="47">
        <f t="shared" si="169"/>
        <v>0</v>
      </c>
      <c r="AP486" s="47" t="e">
        <f t="shared" si="170"/>
        <v>#DIV/0!</v>
      </c>
    </row>
    <row r="487" spans="2:42">
      <c r="B487" s="37"/>
      <c r="C487" s="61"/>
      <c r="D487" s="61"/>
      <c r="E487" s="38"/>
      <c r="F487" s="39"/>
      <c r="G487" s="39"/>
      <c r="H487" s="39"/>
      <c r="I487" s="40"/>
      <c r="J487" s="41"/>
      <c r="K487" s="41"/>
      <c r="L487" s="41"/>
      <c r="M487" s="42"/>
      <c r="N487" s="42"/>
      <c r="O487" s="43"/>
      <c r="P487" s="44"/>
      <c r="Q487" s="44"/>
      <c r="R487" s="45"/>
      <c r="S487" s="46"/>
      <c r="T487" s="39">
        <f t="shared" si="152"/>
        <v>0</v>
      </c>
      <c r="U487" s="47">
        <f t="shared" si="153"/>
        <v>0</v>
      </c>
      <c r="V487" s="48">
        <f t="shared" si="154"/>
        <v>0</v>
      </c>
      <c r="W487" s="49">
        <f t="shared" si="155"/>
        <v>0</v>
      </c>
      <c r="X487" s="44">
        <f t="shared" si="156"/>
        <v>0</v>
      </c>
      <c r="Y487" s="44">
        <f t="shared" si="157"/>
        <v>0</v>
      </c>
      <c r="Z487" s="44">
        <f t="shared" si="158"/>
        <v>0</v>
      </c>
      <c r="AA487" s="50">
        <f t="shared" si="159"/>
        <v>0</v>
      </c>
      <c r="AB487" s="51">
        <f t="shared" si="160"/>
        <v>0</v>
      </c>
      <c r="AC487" s="44">
        <f t="shared" si="161"/>
        <v>0</v>
      </c>
      <c r="AD487" s="44">
        <f t="shared" si="162"/>
        <v>0</v>
      </c>
      <c r="AE487" s="44">
        <f t="shared" si="163"/>
        <v>0</v>
      </c>
      <c r="AF487" s="52" t="e">
        <f>HLOOKUP(I487,ElecAvoidedCostsWOCC!$A$5:$Q$50,G487+1,FALSE)</f>
        <v>#N/A</v>
      </c>
      <c r="AG487" s="44" t="e">
        <f t="shared" si="164"/>
        <v>#N/A</v>
      </c>
      <c r="AH487" s="52" t="e">
        <f>HLOOKUP(I487,ElecAvoidedCostsWOCC!$A$5:$Q$50,T487+1,FALSE)</f>
        <v>#N/A</v>
      </c>
      <c r="AI487" s="44" t="e">
        <f t="shared" si="165"/>
        <v>#N/A</v>
      </c>
      <c r="AJ487" s="44" t="e">
        <f t="shared" si="166"/>
        <v>#N/A</v>
      </c>
      <c r="AK487" s="44" t="e">
        <f>HLOOKUP(I487,ElecAvoidedCostsWOCC!$A$5:$Q$50,G487+1,FALSE)*J487*L487</f>
        <v>#N/A</v>
      </c>
      <c r="AL487" s="44" t="e">
        <f t="shared" si="167"/>
        <v>#N/A</v>
      </c>
      <c r="AM487" s="48">
        <f>IF(O487=0,0,IF(H487=0, HLOOKUP(I487,ElecAvoidedCostsWOCC!$A$5:$Q$50,T487+1,FALSE)*K487*J487,HLOOKUP(I487,ElecAvoidedCostsWOCC!$A$5:$Q$50,T487+1,FALSE)*L487*J487+HLOOKUP(I487,ElecAvoidedCostsWOCC!$A$5:$Q$50,G487+1,FALSE)*K487*J487-HLOOKUP(I487,ElecAvoidedCostsWOCC!$A$5:$Q$50,G487+1,FALSE)*L487*J487))</f>
        <v>0</v>
      </c>
      <c r="AN487" s="48">
        <f t="shared" si="168"/>
        <v>0</v>
      </c>
      <c r="AO487" s="47">
        <f t="shared" si="169"/>
        <v>0</v>
      </c>
      <c r="AP487" s="47" t="e">
        <f t="shared" si="170"/>
        <v>#DIV/0!</v>
      </c>
    </row>
    <row r="488" spans="2:42">
      <c r="B488" s="37"/>
      <c r="C488" s="61"/>
      <c r="D488" s="61"/>
      <c r="E488" s="38"/>
      <c r="F488" s="39"/>
      <c r="G488" s="39"/>
      <c r="H488" s="39"/>
      <c r="I488" s="40"/>
      <c r="J488" s="41"/>
      <c r="K488" s="41"/>
      <c r="L488" s="41"/>
      <c r="M488" s="42"/>
      <c r="N488" s="42"/>
      <c r="O488" s="43"/>
      <c r="P488" s="44"/>
      <c r="Q488" s="44"/>
      <c r="R488" s="45"/>
      <c r="S488" s="46"/>
      <c r="T488" s="39">
        <f t="shared" si="152"/>
        <v>0</v>
      </c>
      <c r="U488" s="47">
        <f t="shared" si="153"/>
        <v>0</v>
      </c>
      <c r="V488" s="48">
        <f t="shared" si="154"/>
        <v>0</v>
      </c>
      <c r="W488" s="49">
        <f t="shared" si="155"/>
        <v>0</v>
      </c>
      <c r="X488" s="44">
        <f t="shared" si="156"/>
        <v>0</v>
      </c>
      <c r="Y488" s="44">
        <f t="shared" si="157"/>
        <v>0</v>
      </c>
      <c r="Z488" s="44">
        <f t="shared" si="158"/>
        <v>0</v>
      </c>
      <c r="AA488" s="50">
        <f t="shared" si="159"/>
        <v>0</v>
      </c>
      <c r="AB488" s="51">
        <f t="shared" si="160"/>
        <v>0</v>
      </c>
      <c r="AC488" s="44">
        <f t="shared" si="161"/>
        <v>0</v>
      </c>
      <c r="AD488" s="44">
        <f t="shared" si="162"/>
        <v>0</v>
      </c>
      <c r="AE488" s="44">
        <f t="shared" si="163"/>
        <v>0</v>
      </c>
      <c r="AF488" s="52" t="e">
        <f>HLOOKUP(I488,ElecAvoidedCostsWOCC!$A$5:$Q$50,G488+1,FALSE)</f>
        <v>#N/A</v>
      </c>
      <c r="AG488" s="44" t="e">
        <f t="shared" si="164"/>
        <v>#N/A</v>
      </c>
      <c r="AH488" s="52" t="e">
        <f>HLOOKUP(I488,ElecAvoidedCostsWOCC!$A$5:$Q$50,T488+1,FALSE)</f>
        <v>#N/A</v>
      </c>
      <c r="AI488" s="44" t="e">
        <f t="shared" si="165"/>
        <v>#N/A</v>
      </c>
      <c r="AJ488" s="44" t="e">
        <f t="shared" si="166"/>
        <v>#N/A</v>
      </c>
      <c r="AK488" s="44" t="e">
        <f>HLOOKUP(I488,ElecAvoidedCostsWOCC!$A$5:$Q$50,G488+1,FALSE)*J488*L488</f>
        <v>#N/A</v>
      </c>
      <c r="AL488" s="44" t="e">
        <f t="shared" si="167"/>
        <v>#N/A</v>
      </c>
      <c r="AM488" s="48">
        <f>IF(O488=0,0,IF(H488=0, HLOOKUP(I488,ElecAvoidedCostsWOCC!$A$5:$Q$50,T488+1,FALSE)*K488*J488,HLOOKUP(I488,ElecAvoidedCostsWOCC!$A$5:$Q$50,T488+1,FALSE)*L488*J488+HLOOKUP(I488,ElecAvoidedCostsWOCC!$A$5:$Q$50,G488+1,FALSE)*K488*J488-HLOOKUP(I488,ElecAvoidedCostsWOCC!$A$5:$Q$50,G488+1,FALSE)*L488*J488))</f>
        <v>0</v>
      </c>
      <c r="AN488" s="48">
        <f t="shared" si="168"/>
        <v>0</v>
      </c>
      <c r="AO488" s="47">
        <f t="shared" si="169"/>
        <v>0</v>
      </c>
      <c r="AP488" s="47" t="e">
        <f t="shared" si="170"/>
        <v>#DIV/0!</v>
      </c>
    </row>
    <row r="489" spans="2:42">
      <c r="B489" s="37"/>
      <c r="C489" s="61"/>
      <c r="D489" s="61"/>
      <c r="E489" s="38"/>
      <c r="F489" s="39"/>
      <c r="G489" s="39"/>
      <c r="H489" s="39"/>
      <c r="I489" s="40"/>
      <c r="J489" s="41"/>
      <c r="K489" s="41"/>
      <c r="L489" s="41"/>
      <c r="M489" s="42"/>
      <c r="N489" s="42"/>
      <c r="O489" s="43"/>
      <c r="P489" s="44"/>
      <c r="Q489" s="44"/>
      <c r="R489" s="45"/>
      <c r="S489" s="46"/>
      <c r="T489" s="39">
        <f t="shared" si="152"/>
        <v>0</v>
      </c>
      <c r="U489" s="47">
        <f t="shared" si="153"/>
        <v>0</v>
      </c>
      <c r="V489" s="48">
        <f t="shared" si="154"/>
        <v>0</v>
      </c>
      <c r="W489" s="49">
        <f t="shared" si="155"/>
        <v>0</v>
      </c>
      <c r="X489" s="44">
        <f t="shared" si="156"/>
        <v>0</v>
      </c>
      <c r="Y489" s="44">
        <f t="shared" si="157"/>
        <v>0</v>
      </c>
      <c r="Z489" s="44">
        <f t="shared" si="158"/>
        <v>0</v>
      </c>
      <c r="AA489" s="50">
        <f t="shared" si="159"/>
        <v>0</v>
      </c>
      <c r="AB489" s="51">
        <f t="shared" si="160"/>
        <v>0</v>
      </c>
      <c r="AC489" s="44">
        <f t="shared" si="161"/>
        <v>0</v>
      </c>
      <c r="AD489" s="44">
        <f t="shared" si="162"/>
        <v>0</v>
      </c>
      <c r="AE489" s="44">
        <f t="shared" si="163"/>
        <v>0</v>
      </c>
      <c r="AF489" s="52" t="e">
        <f>HLOOKUP(I489,ElecAvoidedCostsWOCC!$A$5:$Q$50,G489+1,FALSE)</f>
        <v>#N/A</v>
      </c>
      <c r="AG489" s="44" t="e">
        <f t="shared" si="164"/>
        <v>#N/A</v>
      </c>
      <c r="AH489" s="52" t="e">
        <f>HLOOKUP(I489,ElecAvoidedCostsWOCC!$A$5:$Q$50,T489+1,FALSE)</f>
        <v>#N/A</v>
      </c>
      <c r="AI489" s="44" t="e">
        <f t="shared" si="165"/>
        <v>#N/A</v>
      </c>
      <c r="AJ489" s="44" t="e">
        <f t="shared" si="166"/>
        <v>#N/A</v>
      </c>
      <c r="AK489" s="44" t="e">
        <f>HLOOKUP(I489,ElecAvoidedCostsWOCC!$A$5:$Q$50,G489+1,FALSE)*J489*L489</f>
        <v>#N/A</v>
      </c>
      <c r="AL489" s="44" t="e">
        <f t="shared" si="167"/>
        <v>#N/A</v>
      </c>
      <c r="AM489" s="48">
        <f>IF(O489=0,0,IF(H489=0, HLOOKUP(I489,ElecAvoidedCostsWOCC!$A$5:$Q$50,T489+1,FALSE)*K489*J489,HLOOKUP(I489,ElecAvoidedCostsWOCC!$A$5:$Q$50,T489+1,FALSE)*L489*J489+HLOOKUP(I489,ElecAvoidedCostsWOCC!$A$5:$Q$50,G489+1,FALSE)*K489*J489-HLOOKUP(I489,ElecAvoidedCostsWOCC!$A$5:$Q$50,G489+1,FALSE)*L489*J489))</f>
        <v>0</v>
      </c>
      <c r="AN489" s="48">
        <f t="shared" si="168"/>
        <v>0</v>
      </c>
      <c r="AO489" s="47">
        <f t="shared" si="169"/>
        <v>0</v>
      </c>
      <c r="AP489" s="47" t="e">
        <f t="shared" si="170"/>
        <v>#DIV/0!</v>
      </c>
    </row>
    <row r="490" spans="2:42">
      <c r="B490" s="37"/>
      <c r="C490" s="61"/>
      <c r="D490" s="61"/>
      <c r="E490" s="38"/>
      <c r="F490" s="39"/>
      <c r="G490" s="39"/>
      <c r="H490" s="39"/>
      <c r="I490" s="40"/>
      <c r="J490" s="41"/>
      <c r="K490" s="41"/>
      <c r="L490" s="41"/>
      <c r="M490" s="42"/>
      <c r="N490" s="42"/>
      <c r="O490" s="43"/>
      <c r="P490" s="44"/>
      <c r="Q490" s="44"/>
      <c r="R490" s="45"/>
      <c r="S490" s="46"/>
      <c r="T490" s="39">
        <f t="shared" si="152"/>
        <v>0</v>
      </c>
      <c r="U490" s="47">
        <f t="shared" si="153"/>
        <v>0</v>
      </c>
      <c r="V490" s="48">
        <f t="shared" si="154"/>
        <v>0</v>
      </c>
      <c r="W490" s="49">
        <f t="shared" si="155"/>
        <v>0</v>
      </c>
      <c r="X490" s="44">
        <f t="shared" si="156"/>
        <v>0</v>
      </c>
      <c r="Y490" s="44">
        <f t="shared" si="157"/>
        <v>0</v>
      </c>
      <c r="Z490" s="44">
        <f t="shared" si="158"/>
        <v>0</v>
      </c>
      <c r="AA490" s="50">
        <f t="shared" si="159"/>
        <v>0</v>
      </c>
      <c r="AB490" s="51">
        <f t="shared" si="160"/>
        <v>0</v>
      </c>
      <c r="AC490" s="44">
        <f t="shared" si="161"/>
        <v>0</v>
      </c>
      <c r="AD490" s="44">
        <f t="shared" si="162"/>
        <v>0</v>
      </c>
      <c r="AE490" s="44">
        <f t="shared" si="163"/>
        <v>0</v>
      </c>
      <c r="AF490" s="52" t="e">
        <f>HLOOKUP(I490,ElecAvoidedCostsWOCC!$A$5:$Q$50,G490+1,FALSE)</f>
        <v>#N/A</v>
      </c>
      <c r="AG490" s="44" t="e">
        <f t="shared" si="164"/>
        <v>#N/A</v>
      </c>
      <c r="AH490" s="52" t="e">
        <f>HLOOKUP(I490,ElecAvoidedCostsWOCC!$A$5:$Q$50,T490+1,FALSE)</f>
        <v>#N/A</v>
      </c>
      <c r="AI490" s="44" t="e">
        <f t="shared" si="165"/>
        <v>#N/A</v>
      </c>
      <c r="AJ490" s="44" t="e">
        <f t="shared" si="166"/>
        <v>#N/A</v>
      </c>
      <c r="AK490" s="44" t="e">
        <f>HLOOKUP(I490,ElecAvoidedCostsWOCC!$A$5:$Q$50,G490+1,FALSE)*J490*L490</f>
        <v>#N/A</v>
      </c>
      <c r="AL490" s="44" t="e">
        <f t="shared" si="167"/>
        <v>#N/A</v>
      </c>
      <c r="AM490" s="48">
        <f>IF(O490=0,0,IF(H490=0, HLOOKUP(I490,ElecAvoidedCostsWOCC!$A$5:$Q$50,T490+1,FALSE)*K490*J490,HLOOKUP(I490,ElecAvoidedCostsWOCC!$A$5:$Q$50,T490+1,FALSE)*L490*J490+HLOOKUP(I490,ElecAvoidedCostsWOCC!$A$5:$Q$50,G490+1,FALSE)*K490*J490-HLOOKUP(I490,ElecAvoidedCostsWOCC!$A$5:$Q$50,G490+1,FALSE)*L490*J490))</f>
        <v>0</v>
      </c>
      <c r="AN490" s="48">
        <f t="shared" si="168"/>
        <v>0</v>
      </c>
      <c r="AO490" s="47">
        <f t="shared" si="169"/>
        <v>0</v>
      </c>
      <c r="AP490" s="47" t="e">
        <f t="shared" si="170"/>
        <v>#DIV/0!</v>
      </c>
    </row>
    <row r="491" spans="2:42">
      <c r="B491" s="37"/>
      <c r="C491" s="61"/>
      <c r="D491" s="61"/>
      <c r="E491" s="38"/>
      <c r="F491" s="39"/>
      <c r="G491" s="39"/>
      <c r="H491" s="39"/>
      <c r="I491" s="40"/>
      <c r="J491" s="41"/>
      <c r="K491" s="41"/>
      <c r="L491" s="41"/>
      <c r="M491" s="42"/>
      <c r="N491" s="42"/>
      <c r="O491" s="43"/>
      <c r="P491" s="44"/>
      <c r="Q491" s="44"/>
      <c r="R491" s="45"/>
      <c r="S491" s="46"/>
      <c r="T491" s="39">
        <f t="shared" si="152"/>
        <v>0</v>
      </c>
      <c r="U491" s="47">
        <f t="shared" si="153"/>
        <v>0</v>
      </c>
      <c r="V491" s="48">
        <f t="shared" si="154"/>
        <v>0</v>
      </c>
      <c r="W491" s="49">
        <f t="shared" si="155"/>
        <v>0</v>
      </c>
      <c r="X491" s="44">
        <f t="shared" si="156"/>
        <v>0</v>
      </c>
      <c r="Y491" s="44">
        <f t="shared" si="157"/>
        <v>0</v>
      </c>
      <c r="Z491" s="44">
        <f t="shared" si="158"/>
        <v>0</v>
      </c>
      <c r="AA491" s="50">
        <f t="shared" si="159"/>
        <v>0</v>
      </c>
      <c r="AB491" s="51">
        <f t="shared" si="160"/>
        <v>0</v>
      </c>
      <c r="AC491" s="44">
        <f t="shared" si="161"/>
        <v>0</v>
      </c>
      <c r="AD491" s="44">
        <f t="shared" si="162"/>
        <v>0</v>
      </c>
      <c r="AE491" s="44">
        <f t="shared" si="163"/>
        <v>0</v>
      </c>
      <c r="AF491" s="52" t="e">
        <f>HLOOKUP(I491,ElecAvoidedCostsWOCC!$A$5:$Q$50,G491+1,FALSE)</f>
        <v>#N/A</v>
      </c>
      <c r="AG491" s="44" t="e">
        <f t="shared" si="164"/>
        <v>#N/A</v>
      </c>
      <c r="AH491" s="52" t="e">
        <f>HLOOKUP(I491,ElecAvoidedCostsWOCC!$A$5:$Q$50,T491+1,FALSE)</f>
        <v>#N/A</v>
      </c>
      <c r="AI491" s="44" t="e">
        <f t="shared" si="165"/>
        <v>#N/A</v>
      </c>
      <c r="AJ491" s="44" t="e">
        <f t="shared" si="166"/>
        <v>#N/A</v>
      </c>
      <c r="AK491" s="44" t="e">
        <f>HLOOKUP(I491,ElecAvoidedCostsWOCC!$A$5:$Q$50,G491+1,FALSE)*J491*L491</f>
        <v>#N/A</v>
      </c>
      <c r="AL491" s="44" t="e">
        <f t="shared" si="167"/>
        <v>#N/A</v>
      </c>
      <c r="AM491" s="48">
        <f>IF(O491=0,0,IF(H491=0, HLOOKUP(I491,ElecAvoidedCostsWOCC!$A$5:$Q$50,T491+1,FALSE)*K491*J491,HLOOKUP(I491,ElecAvoidedCostsWOCC!$A$5:$Q$50,T491+1,FALSE)*L491*J491+HLOOKUP(I491,ElecAvoidedCostsWOCC!$A$5:$Q$50,G491+1,FALSE)*K491*J491-HLOOKUP(I491,ElecAvoidedCostsWOCC!$A$5:$Q$50,G491+1,FALSE)*L491*J491))</f>
        <v>0</v>
      </c>
      <c r="AN491" s="48">
        <f t="shared" si="168"/>
        <v>0</v>
      </c>
      <c r="AO491" s="47">
        <f t="shared" si="169"/>
        <v>0</v>
      </c>
      <c r="AP491" s="47" t="e">
        <f t="shared" si="170"/>
        <v>#DIV/0!</v>
      </c>
    </row>
    <row r="492" spans="2:42">
      <c r="B492" s="37"/>
      <c r="C492" s="61"/>
      <c r="D492" s="61"/>
      <c r="E492" s="38"/>
      <c r="F492" s="39"/>
      <c r="G492" s="39"/>
      <c r="H492" s="39"/>
      <c r="I492" s="40"/>
      <c r="J492" s="41"/>
      <c r="K492" s="41"/>
      <c r="L492" s="41"/>
      <c r="M492" s="42"/>
      <c r="N492" s="42"/>
      <c r="O492" s="43"/>
      <c r="P492" s="44"/>
      <c r="Q492" s="44"/>
      <c r="R492" s="45"/>
      <c r="S492" s="46"/>
      <c r="T492" s="39">
        <f t="shared" si="152"/>
        <v>0</v>
      </c>
      <c r="U492" s="47">
        <f t="shared" si="153"/>
        <v>0</v>
      </c>
      <c r="V492" s="48">
        <f t="shared" si="154"/>
        <v>0</v>
      </c>
      <c r="W492" s="49">
        <f t="shared" si="155"/>
        <v>0</v>
      </c>
      <c r="X492" s="44">
        <f t="shared" si="156"/>
        <v>0</v>
      </c>
      <c r="Y492" s="44">
        <f t="shared" si="157"/>
        <v>0</v>
      </c>
      <c r="Z492" s="44">
        <f t="shared" si="158"/>
        <v>0</v>
      </c>
      <c r="AA492" s="50">
        <f t="shared" si="159"/>
        <v>0</v>
      </c>
      <c r="AB492" s="51">
        <f t="shared" si="160"/>
        <v>0</v>
      </c>
      <c r="AC492" s="44">
        <f t="shared" si="161"/>
        <v>0</v>
      </c>
      <c r="AD492" s="44">
        <f t="shared" si="162"/>
        <v>0</v>
      </c>
      <c r="AE492" s="44">
        <f t="shared" si="163"/>
        <v>0</v>
      </c>
      <c r="AF492" s="52" t="e">
        <f>HLOOKUP(I492,ElecAvoidedCostsWOCC!$A$5:$Q$50,G492+1,FALSE)</f>
        <v>#N/A</v>
      </c>
      <c r="AG492" s="44" t="e">
        <f t="shared" si="164"/>
        <v>#N/A</v>
      </c>
      <c r="AH492" s="52" t="e">
        <f>HLOOKUP(I492,ElecAvoidedCostsWOCC!$A$5:$Q$50,T492+1,FALSE)</f>
        <v>#N/A</v>
      </c>
      <c r="AI492" s="44" t="e">
        <f t="shared" si="165"/>
        <v>#N/A</v>
      </c>
      <c r="AJ492" s="44" t="e">
        <f t="shared" si="166"/>
        <v>#N/A</v>
      </c>
      <c r="AK492" s="44" t="e">
        <f>HLOOKUP(I492,ElecAvoidedCostsWOCC!$A$5:$Q$50,G492+1,FALSE)*J492*L492</f>
        <v>#N/A</v>
      </c>
      <c r="AL492" s="44" t="e">
        <f t="shared" si="167"/>
        <v>#N/A</v>
      </c>
      <c r="AM492" s="48">
        <f>IF(O492=0,0,IF(H492=0, HLOOKUP(I492,ElecAvoidedCostsWOCC!$A$5:$Q$50,T492+1,FALSE)*K492*J492,HLOOKUP(I492,ElecAvoidedCostsWOCC!$A$5:$Q$50,T492+1,FALSE)*L492*J492+HLOOKUP(I492,ElecAvoidedCostsWOCC!$A$5:$Q$50,G492+1,FALSE)*K492*J492-HLOOKUP(I492,ElecAvoidedCostsWOCC!$A$5:$Q$50,G492+1,FALSE)*L492*J492))</f>
        <v>0</v>
      </c>
      <c r="AN492" s="48">
        <f t="shared" si="168"/>
        <v>0</v>
      </c>
      <c r="AO492" s="47">
        <f t="shared" si="169"/>
        <v>0</v>
      </c>
      <c r="AP492" s="47" t="e">
        <f t="shared" si="170"/>
        <v>#DIV/0!</v>
      </c>
    </row>
    <row r="493" spans="2:42">
      <c r="B493" s="37"/>
      <c r="C493" s="61"/>
      <c r="D493" s="61"/>
      <c r="E493" s="38"/>
      <c r="F493" s="39"/>
      <c r="G493" s="39"/>
      <c r="H493" s="39"/>
      <c r="I493" s="40"/>
      <c r="J493" s="41"/>
      <c r="K493" s="41"/>
      <c r="L493" s="41"/>
      <c r="M493" s="42"/>
      <c r="N493" s="42"/>
      <c r="O493" s="43"/>
      <c r="P493" s="44"/>
      <c r="Q493" s="44"/>
      <c r="R493" s="45"/>
      <c r="S493" s="46"/>
      <c r="T493" s="39">
        <f t="shared" si="152"/>
        <v>0</v>
      </c>
      <c r="U493" s="47">
        <f t="shared" si="153"/>
        <v>0</v>
      </c>
      <c r="V493" s="48">
        <f t="shared" si="154"/>
        <v>0</v>
      </c>
      <c r="W493" s="49">
        <f t="shared" si="155"/>
        <v>0</v>
      </c>
      <c r="X493" s="44">
        <f t="shared" si="156"/>
        <v>0</v>
      </c>
      <c r="Y493" s="44">
        <f t="shared" si="157"/>
        <v>0</v>
      </c>
      <c r="Z493" s="44">
        <f t="shared" si="158"/>
        <v>0</v>
      </c>
      <c r="AA493" s="50">
        <f t="shared" si="159"/>
        <v>0</v>
      </c>
      <c r="AB493" s="51">
        <f t="shared" si="160"/>
        <v>0</v>
      </c>
      <c r="AC493" s="44">
        <f t="shared" si="161"/>
        <v>0</v>
      </c>
      <c r="AD493" s="44">
        <f t="shared" si="162"/>
        <v>0</v>
      </c>
      <c r="AE493" s="44">
        <f t="shared" si="163"/>
        <v>0</v>
      </c>
      <c r="AF493" s="52" t="e">
        <f>HLOOKUP(I493,ElecAvoidedCostsWOCC!$A$5:$Q$50,G493+1,FALSE)</f>
        <v>#N/A</v>
      </c>
      <c r="AG493" s="44" t="e">
        <f t="shared" si="164"/>
        <v>#N/A</v>
      </c>
      <c r="AH493" s="52" t="e">
        <f>HLOOKUP(I493,ElecAvoidedCostsWOCC!$A$5:$Q$50,T493+1,FALSE)</f>
        <v>#N/A</v>
      </c>
      <c r="AI493" s="44" t="e">
        <f t="shared" si="165"/>
        <v>#N/A</v>
      </c>
      <c r="AJ493" s="44" t="e">
        <f t="shared" si="166"/>
        <v>#N/A</v>
      </c>
      <c r="AK493" s="44" t="e">
        <f>HLOOKUP(I493,ElecAvoidedCostsWOCC!$A$5:$Q$50,G493+1,FALSE)*J493*L493</f>
        <v>#N/A</v>
      </c>
      <c r="AL493" s="44" t="e">
        <f t="shared" si="167"/>
        <v>#N/A</v>
      </c>
      <c r="AM493" s="48">
        <f>IF(O493=0,0,IF(H493=0, HLOOKUP(I493,ElecAvoidedCostsWOCC!$A$5:$Q$50,T493+1,FALSE)*K493*J493,HLOOKUP(I493,ElecAvoidedCostsWOCC!$A$5:$Q$50,T493+1,FALSE)*L493*J493+HLOOKUP(I493,ElecAvoidedCostsWOCC!$A$5:$Q$50,G493+1,FALSE)*K493*J493-HLOOKUP(I493,ElecAvoidedCostsWOCC!$A$5:$Q$50,G493+1,FALSE)*L493*J493))</f>
        <v>0</v>
      </c>
      <c r="AN493" s="48">
        <f t="shared" si="168"/>
        <v>0</v>
      </c>
      <c r="AO493" s="47">
        <f t="shared" si="169"/>
        <v>0</v>
      </c>
      <c r="AP493" s="47" t="e">
        <f t="shared" si="170"/>
        <v>#DIV/0!</v>
      </c>
    </row>
    <row r="494" spans="2:42">
      <c r="B494" s="37"/>
      <c r="C494" s="61"/>
      <c r="D494" s="61"/>
      <c r="E494" s="38"/>
      <c r="F494" s="39"/>
      <c r="G494" s="39"/>
      <c r="H494" s="39"/>
      <c r="I494" s="40"/>
      <c r="J494" s="41"/>
      <c r="K494" s="41"/>
      <c r="L494" s="41"/>
      <c r="M494" s="42"/>
      <c r="N494" s="42"/>
      <c r="O494" s="43"/>
      <c r="P494" s="44"/>
      <c r="Q494" s="44"/>
      <c r="R494" s="45"/>
      <c r="S494" s="46"/>
      <c r="T494" s="39">
        <f t="shared" si="152"/>
        <v>0</v>
      </c>
      <c r="U494" s="47">
        <f t="shared" si="153"/>
        <v>0</v>
      </c>
      <c r="V494" s="48">
        <f t="shared" si="154"/>
        <v>0</v>
      </c>
      <c r="W494" s="49">
        <f t="shared" si="155"/>
        <v>0</v>
      </c>
      <c r="X494" s="44">
        <f t="shared" si="156"/>
        <v>0</v>
      </c>
      <c r="Y494" s="44">
        <f t="shared" si="157"/>
        <v>0</v>
      </c>
      <c r="Z494" s="44">
        <f t="shared" si="158"/>
        <v>0</v>
      </c>
      <c r="AA494" s="50">
        <f t="shared" si="159"/>
        <v>0</v>
      </c>
      <c r="AB494" s="51">
        <f t="shared" si="160"/>
        <v>0</v>
      </c>
      <c r="AC494" s="44">
        <f t="shared" si="161"/>
        <v>0</v>
      </c>
      <c r="AD494" s="44">
        <f t="shared" si="162"/>
        <v>0</v>
      </c>
      <c r="AE494" s="44">
        <f t="shared" si="163"/>
        <v>0</v>
      </c>
      <c r="AF494" s="52" t="e">
        <f>HLOOKUP(I494,ElecAvoidedCostsWOCC!$A$5:$Q$50,G494+1,FALSE)</f>
        <v>#N/A</v>
      </c>
      <c r="AG494" s="44" t="e">
        <f t="shared" si="164"/>
        <v>#N/A</v>
      </c>
      <c r="AH494" s="52" t="e">
        <f>HLOOKUP(I494,ElecAvoidedCostsWOCC!$A$5:$Q$50,T494+1,FALSE)</f>
        <v>#N/A</v>
      </c>
      <c r="AI494" s="44" t="e">
        <f t="shared" si="165"/>
        <v>#N/A</v>
      </c>
      <c r="AJ494" s="44" t="e">
        <f t="shared" si="166"/>
        <v>#N/A</v>
      </c>
      <c r="AK494" s="44" t="e">
        <f>HLOOKUP(I494,ElecAvoidedCostsWOCC!$A$5:$Q$50,G494+1,FALSE)*J494*L494</f>
        <v>#N/A</v>
      </c>
      <c r="AL494" s="44" t="e">
        <f t="shared" si="167"/>
        <v>#N/A</v>
      </c>
      <c r="AM494" s="48">
        <f>IF(O494=0,0,IF(H494=0, HLOOKUP(I494,ElecAvoidedCostsWOCC!$A$5:$Q$50,T494+1,FALSE)*K494*J494,HLOOKUP(I494,ElecAvoidedCostsWOCC!$A$5:$Q$50,T494+1,FALSE)*L494*J494+HLOOKUP(I494,ElecAvoidedCostsWOCC!$A$5:$Q$50,G494+1,FALSE)*K494*J494-HLOOKUP(I494,ElecAvoidedCostsWOCC!$A$5:$Q$50,G494+1,FALSE)*L494*J494))</f>
        <v>0</v>
      </c>
      <c r="AN494" s="48">
        <f t="shared" si="168"/>
        <v>0</v>
      </c>
      <c r="AO494" s="47">
        <f t="shared" si="169"/>
        <v>0</v>
      </c>
      <c r="AP494" s="47" t="e">
        <f t="shared" si="170"/>
        <v>#DIV/0!</v>
      </c>
    </row>
    <row r="495" spans="2:42">
      <c r="B495" s="37"/>
      <c r="C495" s="61"/>
      <c r="D495" s="61"/>
      <c r="E495" s="38"/>
      <c r="F495" s="39"/>
      <c r="G495" s="39"/>
      <c r="H495" s="39"/>
      <c r="I495" s="40"/>
      <c r="J495" s="41"/>
      <c r="K495" s="41"/>
      <c r="L495" s="41"/>
      <c r="M495" s="42"/>
      <c r="N495" s="42"/>
      <c r="O495" s="43"/>
      <c r="P495" s="44"/>
      <c r="Q495" s="44"/>
      <c r="R495" s="45"/>
      <c r="S495" s="46"/>
      <c r="T495" s="39">
        <f t="shared" si="152"/>
        <v>0</v>
      </c>
      <c r="U495" s="47">
        <f t="shared" si="153"/>
        <v>0</v>
      </c>
      <c r="V495" s="48">
        <f t="shared" si="154"/>
        <v>0</v>
      </c>
      <c r="W495" s="49">
        <f t="shared" si="155"/>
        <v>0</v>
      </c>
      <c r="X495" s="44">
        <f t="shared" si="156"/>
        <v>0</v>
      </c>
      <c r="Y495" s="44">
        <f t="shared" si="157"/>
        <v>0</v>
      </c>
      <c r="Z495" s="44">
        <f t="shared" si="158"/>
        <v>0</v>
      </c>
      <c r="AA495" s="50">
        <f t="shared" si="159"/>
        <v>0</v>
      </c>
      <c r="AB495" s="51">
        <f t="shared" si="160"/>
        <v>0</v>
      </c>
      <c r="AC495" s="44">
        <f t="shared" si="161"/>
        <v>0</v>
      </c>
      <c r="AD495" s="44">
        <f t="shared" si="162"/>
        <v>0</v>
      </c>
      <c r="AE495" s="44">
        <f t="shared" si="163"/>
        <v>0</v>
      </c>
      <c r="AF495" s="52" t="e">
        <f>HLOOKUP(I495,ElecAvoidedCostsWOCC!$A$5:$Q$50,G495+1,FALSE)</f>
        <v>#N/A</v>
      </c>
      <c r="AG495" s="44" t="e">
        <f t="shared" si="164"/>
        <v>#N/A</v>
      </c>
      <c r="AH495" s="52" t="e">
        <f>HLOOKUP(I495,ElecAvoidedCostsWOCC!$A$5:$Q$50,T495+1,FALSE)</f>
        <v>#N/A</v>
      </c>
      <c r="AI495" s="44" t="e">
        <f t="shared" si="165"/>
        <v>#N/A</v>
      </c>
      <c r="AJ495" s="44" t="e">
        <f t="shared" si="166"/>
        <v>#N/A</v>
      </c>
      <c r="AK495" s="44" t="e">
        <f>HLOOKUP(I495,ElecAvoidedCostsWOCC!$A$5:$Q$50,G495+1,FALSE)*J495*L495</f>
        <v>#N/A</v>
      </c>
      <c r="AL495" s="44" t="e">
        <f t="shared" si="167"/>
        <v>#N/A</v>
      </c>
      <c r="AM495" s="48">
        <f>IF(O495=0,0,IF(H495=0, HLOOKUP(I495,ElecAvoidedCostsWOCC!$A$5:$Q$50,T495+1,FALSE)*K495*J495,HLOOKUP(I495,ElecAvoidedCostsWOCC!$A$5:$Q$50,T495+1,FALSE)*L495*J495+HLOOKUP(I495,ElecAvoidedCostsWOCC!$A$5:$Q$50,G495+1,FALSE)*K495*J495-HLOOKUP(I495,ElecAvoidedCostsWOCC!$A$5:$Q$50,G495+1,FALSE)*L495*J495))</f>
        <v>0</v>
      </c>
      <c r="AN495" s="48">
        <f t="shared" si="168"/>
        <v>0</v>
      </c>
      <c r="AO495" s="47">
        <f t="shared" si="169"/>
        <v>0</v>
      </c>
      <c r="AP495" s="47" t="e">
        <f t="shared" si="170"/>
        <v>#DIV/0!</v>
      </c>
    </row>
    <row r="496" spans="2:42">
      <c r="B496" s="37"/>
      <c r="C496" s="61"/>
      <c r="D496" s="61"/>
      <c r="E496" s="38"/>
      <c r="F496" s="39"/>
      <c r="G496" s="39"/>
      <c r="H496" s="39"/>
      <c r="I496" s="40"/>
      <c r="J496" s="41"/>
      <c r="K496" s="41"/>
      <c r="L496" s="41"/>
      <c r="M496" s="42"/>
      <c r="N496" s="42"/>
      <c r="O496" s="43"/>
      <c r="P496" s="44"/>
      <c r="Q496" s="44"/>
      <c r="R496" s="45"/>
      <c r="S496" s="46"/>
      <c r="T496" s="39">
        <f t="shared" si="152"/>
        <v>0</v>
      </c>
      <c r="U496" s="47">
        <f t="shared" si="153"/>
        <v>0</v>
      </c>
      <c r="V496" s="48">
        <f t="shared" si="154"/>
        <v>0</v>
      </c>
      <c r="W496" s="49">
        <f t="shared" si="155"/>
        <v>0</v>
      </c>
      <c r="X496" s="44">
        <f t="shared" si="156"/>
        <v>0</v>
      </c>
      <c r="Y496" s="44">
        <f t="shared" si="157"/>
        <v>0</v>
      </c>
      <c r="Z496" s="44">
        <f t="shared" si="158"/>
        <v>0</v>
      </c>
      <c r="AA496" s="50">
        <f t="shared" si="159"/>
        <v>0</v>
      </c>
      <c r="AB496" s="51">
        <f t="shared" si="160"/>
        <v>0</v>
      </c>
      <c r="AC496" s="44">
        <f t="shared" si="161"/>
        <v>0</v>
      </c>
      <c r="AD496" s="44">
        <f t="shared" si="162"/>
        <v>0</v>
      </c>
      <c r="AE496" s="44">
        <f t="shared" si="163"/>
        <v>0</v>
      </c>
      <c r="AF496" s="52" t="e">
        <f>HLOOKUP(I496,ElecAvoidedCostsWOCC!$A$5:$Q$50,G496+1,FALSE)</f>
        <v>#N/A</v>
      </c>
      <c r="AG496" s="44" t="e">
        <f t="shared" si="164"/>
        <v>#N/A</v>
      </c>
      <c r="AH496" s="52" t="e">
        <f>HLOOKUP(I496,ElecAvoidedCostsWOCC!$A$5:$Q$50,T496+1,FALSE)</f>
        <v>#N/A</v>
      </c>
      <c r="AI496" s="44" t="e">
        <f t="shared" si="165"/>
        <v>#N/A</v>
      </c>
      <c r="AJ496" s="44" t="e">
        <f t="shared" si="166"/>
        <v>#N/A</v>
      </c>
      <c r="AK496" s="44" t="e">
        <f>HLOOKUP(I496,ElecAvoidedCostsWOCC!$A$5:$Q$50,G496+1,FALSE)*J496*L496</f>
        <v>#N/A</v>
      </c>
      <c r="AL496" s="44" t="e">
        <f t="shared" si="167"/>
        <v>#N/A</v>
      </c>
      <c r="AM496" s="48">
        <f>IF(O496=0,0,IF(H496=0, HLOOKUP(I496,ElecAvoidedCostsWOCC!$A$5:$Q$50,T496+1,FALSE)*K496*J496,HLOOKUP(I496,ElecAvoidedCostsWOCC!$A$5:$Q$50,T496+1,FALSE)*L496*J496+HLOOKUP(I496,ElecAvoidedCostsWOCC!$A$5:$Q$50,G496+1,FALSE)*K496*J496-HLOOKUP(I496,ElecAvoidedCostsWOCC!$A$5:$Q$50,G496+1,FALSE)*L496*J496))</f>
        <v>0</v>
      </c>
      <c r="AN496" s="48">
        <f t="shared" si="168"/>
        <v>0</v>
      </c>
      <c r="AO496" s="47">
        <f t="shared" si="169"/>
        <v>0</v>
      </c>
      <c r="AP496" s="47" t="e">
        <f t="shared" si="170"/>
        <v>#DIV/0!</v>
      </c>
    </row>
    <row r="497" spans="2:42">
      <c r="B497" s="37"/>
      <c r="C497" s="61"/>
      <c r="D497" s="61"/>
      <c r="E497" s="38"/>
      <c r="F497" s="39"/>
      <c r="G497" s="39"/>
      <c r="H497" s="39"/>
      <c r="I497" s="40"/>
      <c r="J497" s="41"/>
      <c r="K497" s="41"/>
      <c r="L497" s="41"/>
      <c r="M497" s="42"/>
      <c r="N497" s="42"/>
      <c r="O497" s="43"/>
      <c r="P497" s="44"/>
      <c r="Q497" s="44"/>
      <c r="R497" s="45"/>
      <c r="S497" s="46"/>
      <c r="T497" s="39">
        <f t="shared" si="152"/>
        <v>0</v>
      </c>
      <c r="U497" s="47">
        <f t="shared" si="153"/>
        <v>0</v>
      </c>
      <c r="V497" s="48">
        <f t="shared" si="154"/>
        <v>0</v>
      </c>
      <c r="W497" s="49">
        <f t="shared" si="155"/>
        <v>0</v>
      </c>
      <c r="X497" s="44">
        <f t="shared" si="156"/>
        <v>0</v>
      </c>
      <c r="Y497" s="44">
        <f t="shared" si="157"/>
        <v>0</v>
      </c>
      <c r="Z497" s="44">
        <f t="shared" si="158"/>
        <v>0</v>
      </c>
      <c r="AA497" s="50">
        <f t="shared" si="159"/>
        <v>0</v>
      </c>
      <c r="AB497" s="51">
        <f t="shared" si="160"/>
        <v>0</v>
      </c>
      <c r="AC497" s="44">
        <f t="shared" si="161"/>
        <v>0</v>
      </c>
      <c r="AD497" s="44">
        <f t="shared" si="162"/>
        <v>0</v>
      </c>
      <c r="AE497" s="44">
        <f t="shared" si="163"/>
        <v>0</v>
      </c>
      <c r="AF497" s="52" t="e">
        <f>HLOOKUP(I497,ElecAvoidedCostsWOCC!$A$5:$Q$50,G497+1,FALSE)</f>
        <v>#N/A</v>
      </c>
      <c r="AG497" s="44" t="e">
        <f t="shared" si="164"/>
        <v>#N/A</v>
      </c>
      <c r="AH497" s="52" t="e">
        <f>HLOOKUP(I497,ElecAvoidedCostsWOCC!$A$5:$Q$50,T497+1,FALSE)</f>
        <v>#N/A</v>
      </c>
      <c r="AI497" s="44" t="e">
        <f t="shared" si="165"/>
        <v>#N/A</v>
      </c>
      <c r="AJ497" s="44" t="e">
        <f t="shared" si="166"/>
        <v>#N/A</v>
      </c>
      <c r="AK497" s="44" t="e">
        <f>HLOOKUP(I497,ElecAvoidedCostsWOCC!$A$5:$Q$50,G497+1,FALSE)*J497*L497</f>
        <v>#N/A</v>
      </c>
      <c r="AL497" s="44" t="e">
        <f t="shared" si="167"/>
        <v>#N/A</v>
      </c>
      <c r="AM497" s="48">
        <f>IF(O497=0,0,IF(H497=0, HLOOKUP(I497,ElecAvoidedCostsWOCC!$A$5:$Q$50,T497+1,FALSE)*K497*J497,HLOOKUP(I497,ElecAvoidedCostsWOCC!$A$5:$Q$50,T497+1,FALSE)*L497*J497+HLOOKUP(I497,ElecAvoidedCostsWOCC!$A$5:$Q$50,G497+1,FALSE)*K497*J497-HLOOKUP(I497,ElecAvoidedCostsWOCC!$A$5:$Q$50,G497+1,FALSE)*L497*J497))</f>
        <v>0</v>
      </c>
      <c r="AN497" s="48">
        <f t="shared" si="168"/>
        <v>0</v>
      </c>
      <c r="AO497" s="47">
        <f t="shared" si="169"/>
        <v>0</v>
      </c>
      <c r="AP497" s="47" t="e">
        <f t="shared" si="170"/>
        <v>#DIV/0!</v>
      </c>
    </row>
    <row r="498" spans="2:42">
      <c r="B498" s="37"/>
      <c r="C498" s="61"/>
      <c r="D498" s="61"/>
      <c r="E498" s="38"/>
      <c r="F498" s="39"/>
      <c r="G498" s="39"/>
      <c r="H498" s="39"/>
      <c r="I498" s="40"/>
      <c r="J498" s="41"/>
      <c r="K498" s="41"/>
      <c r="L498" s="41"/>
      <c r="M498" s="42"/>
      <c r="N498" s="42"/>
      <c r="O498" s="43"/>
      <c r="P498" s="44"/>
      <c r="Q498" s="44"/>
      <c r="R498" s="45"/>
      <c r="S498" s="46"/>
      <c r="T498" s="39">
        <f t="shared" si="152"/>
        <v>0</v>
      </c>
      <c r="U498" s="47">
        <f t="shared" si="153"/>
        <v>0</v>
      </c>
      <c r="V498" s="48">
        <f t="shared" si="154"/>
        <v>0</v>
      </c>
      <c r="W498" s="49">
        <f t="shared" si="155"/>
        <v>0</v>
      </c>
      <c r="X498" s="44">
        <f t="shared" si="156"/>
        <v>0</v>
      </c>
      <c r="Y498" s="44">
        <f t="shared" si="157"/>
        <v>0</v>
      </c>
      <c r="Z498" s="44">
        <f t="shared" si="158"/>
        <v>0</v>
      </c>
      <c r="AA498" s="50">
        <f t="shared" si="159"/>
        <v>0</v>
      </c>
      <c r="AB498" s="51">
        <f t="shared" si="160"/>
        <v>0</v>
      </c>
      <c r="AC498" s="44">
        <f t="shared" si="161"/>
        <v>0</v>
      </c>
      <c r="AD498" s="44">
        <f t="shared" si="162"/>
        <v>0</v>
      </c>
      <c r="AE498" s="44">
        <f t="shared" si="163"/>
        <v>0</v>
      </c>
      <c r="AF498" s="52" t="e">
        <f>HLOOKUP(I498,ElecAvoidedCostsWOCC!$A$5:$Q$50,G498+1,FALSE)</f>
        <v>#N/A</v>
      </c>
      <c r="AG498" s="44" t="e">
        <f t="shared" si="164"/>
        <v>#N/A</v>
      </c>
      <c r="AH498" s="52" t="e">
        <f>HLOOKUP(I498,ElecAvoidedCostsWOCC!$A$5:$Q$50,T498+1,FALSE)</f>
        <v>#N/A</v>
      </c>
      <c r="AI498" s="44" t="e">
        <f t="shared" si="165"/>
        <v>#N/A</v>
      </c>
      <c r="AJ498" s="44" t="e">
        <f t="shared" si="166"/>
        <v>#N/A</v>
      </c>
      <c r="AK498" s="44" t="e">
        <f>HLOOKUP(I498,ElecAvoidedCostsWOCC!$A$5:$Q$50,G498+1,FALSE)*J498*L498</f>
        <v>#N/A</v>
      </c>
      <c r="AL498" s="44" t="e">
        <f t="shared" si="167"/>
        <v>#N/A</v>
      </c>
      <c r="AM498" s="48">
        <f>IF(O498=0,0,IF(H498=0, HLOOKUP(I498,ElecAvoidedCostsWOCC!$A$5:$Q$50,T498+1,FALSE)*K498*J498,HLOOKUP(I498,ElecAvoidedCostsWOCC!$A$5:$Q$50,T498+1,FALSE)*L498*J498+HLOOKUP(I498,ElecAvoidedCostsWOCC!$A$5:$Q$50,G498+1,FALSE)*K498*J498-HLOOKUP(I498,ElecAvoidedCostsWOCC!$A$5:$Q$50,G498+1,FALSE)*L498*J498))</f>
        <v>0</v>
      </c>
      <c r="AN498" s="48">
        <f t="shared" si="168"/>
        <v>0</v>
      </c>
      <c r="AO498" s="47">
        <f t="shared" si="169"/>
        <v>0</v>
      </c>
      <c r="AP498" s="47" t="e">
        <f t="shared" si="170"/>
        <v>#DIV/0!</v>
      </c>
    </row>
    <row r="499" spans="2:42">
      <c r="B499" s="37"/>
      <c r="C499" s="61"/>
      <c r="D499" s="61"/>
      <c r="E499" s="38"/>
      <c r="F499" s="39"/>
      <c r="G499" s="39"/>
      <c r="H499" s="39"/>
      <c r="I499" s="40"/>
      <c r="J499" s="41"/>
      <c r="K499" s="41"/>
      <c r="L499" s="41"/>
      <c r="M499" s="42"/>
      <c r="N499" s="42"/>
      <c r="O499" s="43"/>
      <c r="P499" s="44"/>
      <c r="Q499" s="44"/>
      <c r="R499" s="45"/>
      <c r="S499" s="46"/>
      <c r="T499" s="39">
        <f t="shared" si="152"/>
        <v>0</v>
      </c>
      <c r="U499" s="47">
        <f t="shared" si="153"/>
        <v>0</v>
      </c>
      <c r="V499" s="48">
        <f t="shared" si="154"/>
        <v>0</v>
      </c>
      <c r="W499" s="49">
        <f t="shared" si="155"/>
        <v>0</v>
      </c>
      <c r="X499" s="44">
        <f t="shared" si="156"/>
        <v>0</v>
      </c>
      <c r="Y499" s="44">
        <f t="shared" si="157"/>
        <v>0</v>
      </c>
      <c r="Z499" s="44">
        <f t="shared" si="158"/>
        <v>0</v>
      </c>
      <c r="AA499" s="50">
        <f t="shared" si="159"/>
        <v>0</v>
      </c>
      <c r="AB499" s="51">
        <f t="shared" si="160"/>
        <v>0</v>
      </c>
      <c r="AC499" s="44">
        <f t="shared" si="161"/>
        <v>0</v>
      </c>
      <c r="AD499" s="44">
        <f t="shared" si="162"/>
        <v>0</v>
      </c>
      <c r="AE499" s="44">
        <f t="shared" si="163"/>
        <v>0</v>
      </c>
      <c r="AF499" s="52" t="e">
        <f>HLOOKUP(I499,ElecAvoidedCostsWOCC!$A$5:$Q$50,G499+1,FALSE)</f>
        <v>#N/A</v>
      </c>
      <c r="AG499" s="44" t="e">
        <f t="shared" si="164"/>
        <v>#N/A</v>
      </c>
      <c r="AH499" s="52" t="e">
        <f>HLOOKUP(I499,ElecAvoidedCostsWOCC!$A$5:$Q$50,T499+1,FALSE)</f>
        <v>#N/A</v>
      </c>
      <c r="AI499" s="44" t="e">
        <f t="shared" si="165"/>
        <v>#N/A</v>
      </c>
      <c r="AJ499" s="44" t="e">
        <f t="shared" si="166"/>
        <v>#N/A</v>
      </c>
      <c r="AK499" s="44" t="e">
        <f>HLOOKUP(I499,ElecAvoidedCostsWOCC!$A$5:$Q$50,G499+1,FALSE)*J499*L499</f>
        <v>#N/A</v>
      </c>
      <c r="AL499" s="44" t="e">
        <f t="shared" si="167"/>
        <v>#N/A</v>
      </c>
      <c r="AM499" s="48">
        <f>IF(O499=0,0,IF(H499=0, HLOOKUP(I499,ElecAvoidedCostsWOCC!$A$5:$Q$50,T499+1,FALSE)*K499*J499,HLOOKUP(I499,ElecAvoidedCostsWOCC!$A$5:$Q$50,T499+1,FALSE)*L499*J499+HLOOKUP(I499,ElecAvoidedCostsWOCC!$A$5:$Q$50,G499+1,FALSE)*K499*J499-HLOOKUP(I499,ElecAvoidedCostsWOCC!$A$5:$Q$50,G499+1,FALSE)*L499*J499))</f>
        <v>0</v>
      </c>
      <c r="AN499" s="48">
        <f t="shared" si="168"/>
        <v>0</v>
      </c>
      <c r="AO499" s="47">
        <f t="shared" si="169"/>
        <v>0</v>
      </c>
      <c r="AP499" s="47" t="e">
        <f t="shared" si="170"/>
        <v>#DIV/0!</v>
      </c>
    </row>
    <row r="500" spans="2:42">
      <c r="B500" s="37"/>
      <c r="C500" s="61"/>
      <c r="D500" s="61"/>
      <c r="E500" s="38"/>
      <c r="F500" s="39"/>
      <c r="G500" s="39"/>
      <c r="H500" s="39"/>
      <c r="I500" s="40"/>
      <c r="J500" s="41"/>
      <c r="K500" s="41"/>
      <c r="L500" s="41"/>
      <c r="M500" s="42"/>
      <c r="N500" s="42"/>
      <c r="O500" s="43"/>
      <c r="P500" s="44"/>
      <c r="Q500" s="44"/>
      <c r="R500" s="45"/>
      <c r="S500" s="46"/>
      <c r="T500" s="39">
        <f t="shared" si="152"/>
        <v>0</v>
      </c>
      <c r="U500" s="47">
        <f t="shared" si="153"/>
        <v>0</v>
      </c>
      <c r="V500" s="48">
        <f t="shared" si="154"/>
        <v>0</v>
      </c>
      <c r="W500" s="49">
        <f t="shared" si="155"/>
        <v>0</v>
      </c>
      <c r="X500" s="44">
        <f t="shared" si="156"/>
        <v>0</v>
      </c>
      <c r="Y500" s="44">
        <f t="shared" si="157"/>
        <v>0</v>
      </c>
      <c r="Z500" s="44">
        <f t="shared" si="158"/>
        <v>0</v>
      </c>
      <c r="AA500" s="50">
        <f t="shared" si="159"/>
        <v>0</v>
      </c>
      <c r="AB500" s="51">
        <f t="shared" si="160"/>
        <v>0</v>
      </c>
      <c r="AC500" s="44">
        <f t="shared" si="161"/>
        <v>0</v>
      </c>
      <c r="AD500" s="44">
        <f t="shared" si="162"/>
        <v>0</v>
      </c>
      <c r="AE500" s="44">
        <f t="shared" si="163"/>
        <v>0</v>
      </c>
      <c r="AF500" s="52" t="e">
        <f>HLOOKUP(I500,ElecAvoidedCostsWOCC!$A$5:$Q$50,G500+1,FALSE)</f>
        <v>#N/A</v>
      </c>
      <c r="AG500" s="44" t="e">
        <f t="shared" si="164"/>
        <v>#N/A</v>
      </c>
      <c r="AH500" s="52" t="e">
        <f>HLOOKUP(I500,ElecAvoidedCostsWOCC!$A$5:$Q$50,T500+1,FALSE)</f>
        <v>#N/A</v>
      </c>
      <c r="AI500" s="44" t="e">
        <f t="shared" si="165"/>
        <v>#N/A</v>
      </c>
      <c r="AJ500" s="44" t="e">
        <f t="shared" si="166"/>
        <v>#N/A</v>
      </c>
      <c r="AK500" s="44" t="e">
        <f>HLOOKUP(I500,ElecAvoidedCostsWOCC!$A$5:$Q$50,G500+1,FALSE)*J500*L500</f>
        <v>#N/A</v>
      </c>
      <c r="AL500" s="44" t="e">
        <f t="shared" si="167"/>
        <v>#N/A</v>
      </c>
      <c r="AM500" s="48">
        <f>IF(O500=0,0,IF(H500=0, HLOOKUP(I500,ElecAvoidedCostsWOCC!$A$5:$Q$50,T500+1,FALSE)*K500*J500,HLOOKUP(I500,ElecAvoidedCostsWOCC!$A$5:$Q$50,T500+1,FALSE)*L500*J500+HLOOKUP(I500,ElecAvoidedCostsWOCC!$A$5:$Q$50,G500+1,FALSE)*K500*J500-HLOOKUP(I500,ElecAvoidedCostsWOCC!$A$5:$Q$50,G500+1,FALSE)*L500*J500))</f>
        <v>0</v>
      </c>
      <c r="AN500" s="48">
        <f t="shared" si="168"/>
        <v>0</v>
      </c>
      <c r="AO500" s="47">
        <f t="shared" si="169"/>
        <v>0</v>
      </c>
      <c r="AP500" s="47" t="e">
        <f t="shared" si="170"/>
        <v>#DIV/0!</v>
      </c>
    </row>
    <row r="501" spans="2:42">
      <c r="B501" s="37"/>
      <c r="C501" s="61"/>
      <c r="D501" s="61"/>
      <c r="E501" s="38"/>
      <c r="F501" s="39"/>
      <c r="G501" s="39"/>
      <c r="H501" s="39"/>
      <c r="I501" s="40"/>
      <c r="J501" s="41"/>
      <c r="K501" s="41"/>
      <c r="L501" s="41"/>
      <c r="M501" s="42"/>
      <c r="N501" s="42"/>
      <c r="O501" s="43"/>
      <c r="P501" s="44"/>
      <c r="Q501" s="44"/>
      <c r="R501" s="45"/>
      <c r="S501" s="46"/>
      <c r="T501" s="39">
        <f t="shared" si="152"/>
        <v>0</v>
      </c>
      <c r="U501" s="47">
        <f t="shared" si="153"/>
        <v>0</v>
      </c>
      <c r="V501" s="48">
        <f t="shared" si="154"/>
        <v>0</v>
      </c>
      <c r="W501" s="49">
        <f t="shared" si="155"/>
        <v>0</v>
      </c>
      <c r="X501" s="44">
        <f t="shared" si="156"/>
        <v>0</v>
      </c>
      <c r="Y501" s="44">
        <f t="shared" si="157"/>
        <v>0</v>
      </c>
      <c r="Z501" s="44">
        <f t="shared" si="158"/>
        <v>0</v>
      </c>
      <c r="AA501" s="50">
        <f t="shared" si="159"/>
        <v>0</v>
      </c>
      <c r="AB501" s="51">
        <f t="shared" si="160"/>
        <v>0</v>
      </c>
      <c r="AC501" s="44">
        <f t="shared" si="161"/>
        <v>0</v>
      </c>
      <c r="AD501" s="44">
        <f t="shared" si="162"/>
        <v>0</v>
      </c>
      <c r="AE501" s="44">
        <f t="shared" si="163"/>
        <v>0</v>
      </c>
      <c r="AF501" s="52" t="e">
        <f>HLOOKUP(I501,ElecAvoidedCostsWOCC!$A$5:$Q$50,G501+1,FALSE)</f>
        <v>#N/A</v>
      </c>
      <c r="AG501" s="44" t="e">
        <f t="shared" si="164"/>
        <v>#N/A</v>
      </c>
      <c r="AH501" s="52" t="e">
        <f>HLOOKUP(I501,ElecAvoidedCostsWOCC!$A$5:$Q$50,T501+1,FALSE)</f>
        <v>#N/A</v>
      </c>
      <c r="AI501" s="44" t="e">
        <f t="shared" si="165"/>
        <v>#N/A</v>
      </c>
      <c r="AJ501" s="44" t="e">
        <f t="shared" si="166"/>
        <v>#N/A</v>
      </c>
      <c r="AK501" s="44" t="e">
        <f>HLOOKUP(I501,ElecAvoidedCostsWOCC!$A$5:$Q$50,G501+1,FALSE)*J501*L501</f>
        <v>#N/A</v>
      </c>
      <c r="AL501" s="44" t="e">
        <f t="shared" si="167"/>
        <v>#N/A</v>
      </c>
      <c r="AM501" s="48">
        <f>IF(O501=0,0,IF(H501=0, HLOOKUP(I501,ElecAvoidedCostsWOCC!$A$5:$Q$50,T501+1,FALSE)*K501*J501,HLOOKUP(I501,ElecAvoidedCostsWOCC!$A$5:$Q$50,T501+1,FALSE)*L501*J501+HLOOKUP(I501,ElecAvoidedCostsWOCC!$A$5:$Q$50,G501+1,FALSE)*K501*J501-HLOOKUP(I501,ElecAvoidedCostsWOCC!$A$5:$Q$50,G501+1,FALSE)*L501*J501))</f>
        <v>0</v>
      </c>
      <c r="AN501" s="48">
        <f t="shared" si="168"/>
        <v>0</v>
      </c>
      <c r="AO501" s="47">
        <f t="shared" si="169"/>
        <v>0</v>
      </c>
      <c r="AP501" s="47" t="e">
        <f t="shared" si="170"/>
        <v>#DIV/0!</v>
      </c>
    </row>
    <row r="502" spans="2:42">
      <c r="B502" s="37"/>
      <c r="C502" s="61"/>
      <c r="D502" s="61"/>
      <c r="E502" s="38"/>
      <c r="F502" s="39"/>
      <c r="G502" s="39"/>
      <c r="H502" s="39"/>
      <c r="I502" s="40"/>
      <c r="J502" s="41"/>
      <c r="K502" s="41"/>
      <c r="L502" s="41"/>
      <c r="M502" s="42"/>
      <c r="N502" s="42"/>
      <c r="O502" s="43"/>
      <c r="P502" s="44"/>
      <c r="Q502" s="44"/>
      <c r="R502" s="45"/>
      <c r="S502" s="46"/>
      <c r="T502" s="39">
        <f t="shared" si="152"/>
        <v>0</v>
      </c>
      <c r="U502" s="47">
        <f t="shared" si="153"/>
        <v>0</v>
      </c>
      <c r="V502" s="48">
        <f t="shared" si="154"/>
        <v>0</v>
      </c>
      <c r="W502" s="49">
        <f t="shared" si="155"/>
        <v>0</v>
      </c>
      <c r="X502" s="44">
        <f t="shared" si="156"/>
        <v>0</v>
      </c>
      <c r="Y502" s="44">
        <f t="shared" si="157"/>
        <v>0</v>
      </c>
      <c r="Z502" s="44">
        <f t="shared" si="158"/>
        <v>0</v>
      </c>
      <c r="AA502" s="50">
        <f t="shared" si="159"/>
        <v>0</v>
      </c>
      <c r="AB502" s="51">
        <f t="shared" si="160"/>
        <v>0</v>
      </c>
      <c r="AC502" s="44">
        <f t="shared" si="161"/>
        <v>0</v>
      </c>
      <c r="AD502" s="44">
        <f t="shared" si="162"/>
        <v>0</v>
      </c>
      <c r="AE502" s="44">
        <f t="shared" si="163"/>
        <v>0</v>
      </c>
      <c r="AF502" s="52" t="e">
        <f>HLOOKUP(I502,ElecAvoidedCostsWOCC!$A$5:$Q$50,G502+1,FALSE)</f>
        <v>#N/A</v>
      </c>
      <c r="AG502" s="44" t="e">
        <f t="shared" si="164"/>
        <v>#N/A</v>
      </c>
      <c r="AH502" s="52" t="e">
        <f>HLOOKUP(I502,ElecAvoidedCostsWOCC!$A$5:$Q$50,T502+1,FALSE)</f>
        <v>#N/A</v>
      </c>
      <c r="AI502" s="44" t="e">
        <f t="shared" si="165"/>
        <v>#N/A</v>
      </c>
      <c r="AJ502" s="44" t="e">
        <f t="shared" si="166"/>
        <v>#N/A</v>
      </c>
      <c r="AK502" s="44" t="e">
        <f>HLOOKUP(I502,ElecAvoidedCostsWOCC!$A$5:$Q$50,G502+1,FALSE)*J502*L502</f>
        <v>#N/A</v>
      </c>
      <c r="AL502" s="44" t="e">
        <f t="shared" si="167"/>
        <v>#N/A</v>
      </c>
      <c r="AM502" s="48">
        <f>IF(O502=0,0,IF(H502=0, HLOOKUP(I502,ElecAvoidedCostsWOCC!$A$5:$Q$50,T502+1,FALSE)*K502*J502,HLOOKUP(I502,ElecAvoidedCostsWOCC!$A$5:$Q$50,T502+1,FALSE)*L502*J502+HLOOKUP(I502,ElecAvoidedCostsWOCC!$A$5:$Q$50,G502+1,FALSE)*K502*J502-HLOOKUP(I502,ElecAvoidedCostsWOCC!$A$5:$Q$50,G502+1,FALSE)*L502*J502))</f>
        <v>0</v>
      </c>
      <c r="AN502" s="48">
        <f t="shared" si="168"/>
        <v>0</v>
      </c>
      <c r="AO502" s="47">
        <f t="shared" si="169"/>
        <v>0</v>
      </c>
      <c r="AP502" s="47" t="e">
        <f t="shared" si="170"/>
        <v>#DIV/0!</v>
      </c>
    </row>
    <row r="503" spans="2:42">
      <c r="B503" s="37"/>
      <c r="C503" s="61"/>
      <c r="D503" s="61"/>
      <c r="E503" s="38"/>
      <c r="F503" s="39"/>
      <c r="G503" s="39"/>
      <c r="H503" s="39"/>
      <c r="I503" s="40"/>
      <c r="J503" s="41"/>
      <c r="K503" s="41"/>
      <c r="L503" s="41"/>
      <c r="M503" s="42"/>
      <c r="N503" s="42"/>
      <c r="O503" s="43"/>
      <c r="P503" s="44"/>
      <c r="Q503" s="44"/>
      <c r="R503" s="45"/>
      <c r="S503" s="46"/>
      <c r="T503" s="39">
        <f t="shared" si="152"/>
        <v>0</v>
      </c>
      <c r="U503" s="47">
        <f t="shared" si="153"/>
        <v>0</v>
      </c>
      <c r="V503" s="48">
        <f t="shared" si="154"/>
        <v>0</v>
      </c>
      <c r="W503" s="49">
        <f t="shared" si="155"/>
        <v>0</v>
      </c>
      <c r="X503" s="44">
        <f t="shared" si="156"/>
        <v>0</v>
      </c>
      <c r="Y503" s="44">
        <f t="shared" si="157"/>
        <v>0</v>
      </c>
      <c r="Z503" s="44">
        <f t="shared" si="158"/>
        <v>0</v>
      </c>
      <c r="AA503" s="50">
        <f t="shared" si="159"/>
        <v>0</v>
      </c>
      <c r="AB503" s="51">
        <f t="shared" si="160"/>
        <v>0</v>
      </c>
      <c r="AC503" s="44">
        <f t="shared" si="161"/>
        <v>0</v>
      </c>
      <c r="AD503" s="44">
        <f t="shared" si="162"/>
        <v>0</v>
      </c>
      <c r="AE503" s="44">
        <f t="shared" si="163"/>
        <v>0</v>
      </c>
      <c r="AF503" s="52" t="e">
        <f>HLOOKUP(I503,ElecAvoidedCostsWOCC!$A$5:$Q$50,G503+1,FALSE)</f>
        <v>#N/A</v>
      </c>
      <c r="AG503" s="44" t="e">
        <f t="shared" si="164"/>
        <v>#N/A</v>
      </c>
      <c r="AH503" s="52" t="e">
        <f>HLOOKUP(I503,ElecAvoidedCostsWOCC!$A$5:$Q$50,T503+1,FALSE)</f>
        <v>#N/A</v>
      </c>
      <c r="AI503" s="44" t="e">
        <f t="shared" si="165"/>
        <v>#N/A</v>
      </c>
      <c r="AJ503" s="44" t="e">
        <f t="shared" si="166"/>
        <v>#N/A</v>
      </c>
      <c r="AK503" s="44" t="e">
        <f>HLOOKUP(I503,ElecAvoidedCostsWOCC!$A$5:$Q$50,G503+1,FALSE)*J503*L503</f>
        <v>#N/A</v>
      </c>
      <c r="AL503" s="44" t="e">
        <f t="shared" si="167"/>
        <v>#N/A</v>
      </c>
      <c r="AM503" s="48">
        <f>IF(O503=0,0,IF(H503=0, HLOOKUP(I503,ElecAvoidedCostsWOCC!$A$5:$Q$50,T503+1,FALSE)*K503*J503,HLOOKUP(I503,ElecAvoidedCostsWOCC!$A$5:$Q$50,T503+1,FALSE)*L503*J503+HLOOKUP(I503,ElecAvoidedCostsWOCC!$A$5:$Q$50,G503+1,FALSE)*K503*J503-HLOOKUP(I503,ElecAvoidedCostsWOCC!$A$5:$Q$50,G503+1,FALSE)*L503*J503))</f>
        <v>0</v>
      </c>
      <c r="AN503" s="48">
        <f t="shared" si="168"/>
        <v>0</v>
      </c>
      <c r="AO503" s="47">
        <f t="shared" si="169"/>
        <v>0</v>
      </c>
      <c r="AP503" s="47" t="e">
        <f t="shared" si="170"/>
        <v>#DIV/0!</v>
      </c>
    </row>
    <row r="504" spans="2:42">
      <c r="B504" s="37"/>
      <c r="C504" s="61"/>
      <c r="D504" s="61"/>
      <c r="E504" s="38"/>
      <c r="F504" s="39"/>
      <c r="G504" s="39"/>
      <c r="H504" s="39"/>
      <c r="I504" s="40"/>
      <c r="J504" s="41"/>
      <c r="K504" s="41"/>
      <c r="L504" s="41"/>
      <c r="M504" s="42"/>
      <c r="N504" s="42"/>
      <c r="O504" s="43"/>
      <c r="P504" s="44"/>
      <c r="Q504" s="44"/>
      <c r="R504" s="45"/>
      <c r="S504" s="46"/>
      <c r="T504" s="39">
        <f t="shared" si="152"/>
        <v>0</v>
      </c>
      <c r="U504" s="47">
        <f t="shared" si="153"/>
        <v>0</v>
      </c>
      <c r="V504" s="48">
        <f t="shared" si="154"/>
        <v>0</v>
      </c>
      <c r="W504" s="49">
        <f t="shared" si="155"/>
        <v>0</v>
      </c>
      <c r="X504" s="44">
        <f t="shared" si="156"/>
        <v>0</v>
      </c>
      <c r="Y504" s="44">
        <f t="shared" si="157"/>
        <v>0</v>
      </c>
      <c r="Z504" s="44">
        <f t="shared" si="158"/>
        <v>0</v>
      </c>
      <c r="AA504" s="50">
        <f t="shared" si="159"/>
        <v>0</v>
      </c>
      <c r="AB504" s="51">
        <f t="shared" si="160"/>
        <v>0</v>
      </c>
      <c r="AC504" s="44">
        <f t="shared" si="161"/>
        <v>0</v>
      </c>
      <c r="AD504" s="44">
        <f t="shared" si="162"/>
        <v>0</v>
      </c>
      <c r="AE504" s="44">
        <f t="shared" si="163"/>
        <v>0</v>
      </c>
      <c r="AF504" s="52" t="e">
        <f>HLOOKUP(I504,ElecAvoidedCostsWOCC!$A$5:$Q$50,G504+1,FALSE)</f>
        <v>#N/A</v>
      </c>
      <c r="AG504" s="44" t="e">
        <f t="shared" si="164"/>
        <v>#N/A</v>
      </c>
      <c r="AH504" s="52" t="e">
        <f>HLOOKUP(I504,ElecAvoidedCostsWOCC!$A$5:$Q$50,T504+1,FALSE)</f>
        <v>#N/A</v>
      </c>
      <c r="AI504" s="44" t="e">
        <f t="shared" si="165"/>
        <v>#N/A</v>
      </c>
      <c r="AJ504" s="44" t="e">
        <f t="shared" si="166"/>
        <v>#N/A</v>
      </c>
      <c r="AK504" s="44" t="e">
        <f>HLOOKUP(I504,ElecAvoidedCostsWOCC!$A$5:$Q$50,G504+1,FALSE)*J504*L504</f>
        <v>#N/A</v>
      </c>
      <c r="AL504" s="44" t="e">
        <f t="shared" si="167"/>
        <v>#N/A</v>
      </c>
      <c r="AM504" s="48">
        <f>IF(O504=0,0,IF(H504=0, HLOOKUP(I504,ElecAvoidedCostsWOCC!$A$5:$Q$50,T504+1,FALSE)*K504*J504,HLOOKUP(I504,ElecAvoidedCostsWOCC!$A$5:$Q$50,T504+1,FALSE)*L504*J504+HLOOKUP(I504,ElecAvoidedCostsWOCC!$A$5:$Q$50,G504+1,FALSE)*K504*J504-HLOOKUP(I504,ElecAvoidedCostsWOCC!$A$5:$Q$50,G504+1,FALSE)*L504*J504))</f>
        <v>0</v>
      </c>
      <c r="AN504" s="48">
        <f t="shared" si="168"/>
        <v>0</v>
      </c>
      <c r="AO504" s="47">
        <f t="shared" si="169"/>
        <v>0</v>
      </c>
      <c r="AP504" s="47" t="e">
        <f t="shared" si="170"/>
        <v>#DIV/0!</v>
      </c>
    </row>
    <row r="505" spans="2:42">
      <c r="B505" s="37"/>
      <c r="C505" s="61"/>
      <c r="D505" s="61"/>
      <c r="E505" s="38"/>
      <c r="F505" s="39"/>
      <c r="G505" s="39"/>
      <c r="H505" s="39"/>
      <c r="I505" s="40"/>
      <c r="J505" s="41"/>
      <c r="K505" s="41"/>
      <c r="L505" s="41"/>
      <c r="M505" s="42"/>
      <c r="N505" s="42"/>
      <c r="O505" s="43"/>
      <c r="P505" s="44"/>
      <c r="Q505" s="44"/>
      <c r="R505" s="45"/>
      <c r="S505" s="46"/>
      <c r="T505" s="39">
        <f t="shared" si="152"/>
        <v>0</v>
      </c>
      <c r="U505" s="47">
        <f t="shared" si="153"/>
        <v>0</v>
      </c>
      <c r="V505" s="48">
        <f t="shared" si="154"/>
        <v>0</v>
      </c>
      <c r="W505" s="49">
        <f t="shared" si="155"/>
        <v>0</v>
      </c>
      <c r="X505" s="44">
        <f t="shared" si="156"/>
        <v>0</v>
      </c>
      <c r="Y505" s="44">
        <f t="shared" si="157"/>
        <v>0</v>
      </c>
      <c r="Z505" s="44">
        <f t="shared" si="158"/>
        <v>0</v>
      </c>
      <c r="AA505" s="50">
        <f t="shared" si="159"/>
        <v>0</v>
      </c>
      <c r="AB505" s="51">
        <f t="shared" si="160"/>
        <v>0</v>
      </c>
      <c r="AC505" s="44">
        <f t="shared" si="161"/>
        <v>0</v>
      </c>
      <c r="AD505" s="44">
        <f t="shared" si="162"/>
        <v>0</v>
      </c>
      <c r="AE505" s="44">
        <f t="shared" si="163"/>
        <v>0</v>
      </c>
      <c r="AF505" s="52" t="e">
        <f>HLOOKUP(I505,ElecAvoidedCostsWOCC!$A$5:$Q$50,G505+1,FALSE)</f>
        <v>#N/A</v>
      </c>
      <c r="AG505" s="44" t="e">
        <f t="shared" si="164"/>
        <v>#N/A</v>
      </c>
      <c r="AH505" s="52" t="e">
        <f>HLOOKUP(I505,ElecAvoidedCostsWOCC!$A$5:$Q$50,T505+1,FALSE)</f>
        <v>#N/A</v>
      </c>
      <c r="AI505" s="44" t="e">
        <f t="shared" si="165"/>
        <v>#N/A</v>
      </c>
      <c r="AJ505" s="44" t="e">
        <f t="shared" si="166"/>
        <v>#N/A</v>
      </c>
      <c r="AK505" s="44" t="e">
        <f>HLOOKUP(I505,ElecAvoidedCostsWOCC!$A$5:$Q$50,G505+1,FALSE)*J505*L505</f>
        <v>#N/A</v>
      </c>
      <c r="AL505" s="44" t="e">
        <f t="shared" si="167"/>
        <v>#N/A</v>
      </c>
      <c r="AM505" s="48">
        <f>IF(O505=0,0,IF(H505=0, HLOOKUP(I505,ElecAvoidedCostsWOCC!$A$5:$Q$50,T505+1,FALSE)*K505*J505,HLOOKUP(I505,ElecAvoidedCostsWOCC!$A$5:$Q$50,T505+1,FALSE)*L505*J505+HLOOKUP(I505,ElecAvoidedCostsWOCC!$A$5:$Q$50,G505+1,FALSE)*K505*J505-HLOOKUP(I505,ElecAvoidedCostsWOCC!$A$5:$Q$50,G505+1,FALSE)*L505*J505))</f>
        <v>0</v>
      </c>
      <c r="AN505" s="48">
        <f t="shared" si="168"/>
        <v>0</v>
      </c>
      <c r="AO505" s="47">
        <f t="shared" si="169"/>
        <v>0</v>
      </c>
      <c r="AP505" s="47" t="e">
        <f t="shared" si="170"/>
        <v>#DIV/0!</v>
      </c>
    </row>
    <row r="506" spans="2:42">
      <c r="B506" s="37"/>
      <c r="C506" s="61"/>
      <c r="D506" s="61"/>
      <c r="E506" s="38"/>
      <c r="F506" s="39"/>
      <c r="G506" s="39"/>
      <c r="H506" s="39"/>
      <c r="I506" s="40"/>
      <c r="J506" s="41"/>
      <c r="K506" s="41"/>
      <c r="L506" s="41"/>
      <c r="M506" s="42"/>
      <c r="N506" s="42"/>
      <c r="O506" s="43"/>
      <c r="P506" s="44"/>
      <c r="Q506" s="44"/>
      <c r="R506" s="45"/>
      <c r="S506" s="46"/>
      <c r="T506" s="39">
        <f t="shared" si="152"/>
        <v>0</v>
      </c>
      <c r="U506" s="47">
        <f t="shared" si="153"/>
        <v>0</v>
      </c>
      <c r="V506" s="48">
        <f t="shared" si="154"/>
        <v>0</v>
      </c>
      <c r="W506" s="49">
        <f t="shared" si="155"/>
        <v>0</v>
      </c>
      <c r="X506" s="44">
        <f t="shared" si="156"/>
        <v>0</v>
      </c>
      <c r="Y506" s="44">
        <f t="shared" si="157"/>
        <v>0</v>
      </c>
      <c r="Z506" s="44">
        <f t="shared" si="158"/>
        <v>0</v>
      </c>
      <c r="AA506" s="50">
        <f t="shared" si="159"/>
        <v>0</v>
      </c>
      <c r="AB506" s="51">
        <f t="shared" si="160"/>
        <v>0</v>
      </c>
      <c r="AC506" s="44">
        <f t="shared" si="161"/>
        <v>0</v>
      </c>
      <c r="AD506" s="44">
        <f t="shared" si="162"/>
        <v>0</v>
      </c>
      <c r="AE506" s="44">
        <f t="shared" si="163"/>
        <v>0</v>
      </c>
      <c r="AF506" s="52" t="e">
        <f>HLOOKUP(I506,ElecAvoidedCostsWOCC!$A$5:$Q$50,G506+1,FALSE)</f>
        <v>#N/A</v>
      </c>
      <c r="AG506" s="44" t="e">
        <f t="shared" si="164"/>
        <v>#N/A</v>
      </c>
      <c r="AH506" s="52" t="e">
        <f>HLOOKUP(I506,ElecAvoidedCostsWOCC!$A$5:$Q$50,T506+1,FALSE)</f>
        <v>#N/A</v>
      </c>
      <c r="AI506" s="44" t="e">
        <f t="shared" si="165"/>
        <v>#N/A</v>
      </c>
      <c r="AJ506" s="44" t="e">
        <f t="shared" si="166"/>
        <v>#N/A</v>
      </c>
      <c r="AK506" s="44" t="e">
        <f>HLOOKUP(I506,ElecAvoidedCostsWOCC!$A$5:$Q$50,G506+1,FALSE)*J506*L506</f>
        <v>#N/A</v>
      </c>
      <c r="AL506" s="44" t="e">
        <f t="shared" si="167"/>
        <v>#N/A</v>
      </c>
      <c r="AM506" s="48">
        <f>IF(O506=0,0,IF(H506=0, HLOOKUP(I506,ElecAvoidedCostsWOCC!$A$5:$Q$50,T506+1,FALSE)*K506*J506,HLOOKUP(I506,ElecAvoidedCostsWOCC!$A$5:$Q$50,T506+1,FALSE)*L506*J506+HLOOKUP(I506,ElecAvoidedCostsWOCC!$A$5:$Q$50,G506+1,FALSE)*K506*J506-HLOOKUP(I506,ElecAvoidedCostsWOCC!$A$5:$Q$50,G506+1,FALSE)*L506*J506))</f>
        <v>0</v>
      </c>
      <c r="AN506" s="48">
        <f t="shared" si="168"/>
        <v>0</v>
      </c>
      <c r="AO506" s="47">
        <f t="shared" si="169"/>
        <v>0</v>
      </c>
      <c r="AP506" s="47" t="e">
        <f t="shared" si="170"/>
        <v>#DIV/0!</v>
      </c>
    </row>
    <row r="507" spans="2:42">
      <c r="B507" s="37"/>
      <c r="C507" s="61"/>
      <c r="D507" s="61"/>
      <c r="E507" s="38"/>
      <c r="F507" s="39"/>
      <c r="G507" s="39"/>
      <c r="H507" s="39"/>
      <c r="I507" s="40"/>
      <c r="J507" s="41"/>
      <c r="K507" s="41"/>
      <c r="L507" s="41"/>
      <c r="M507" s="42"/>
      <c r="N507" s="42"/>
      <c r="O507" s="43"/>
      <c r="P507" s="44"/>
      <c r="Q507" s="44"/>
      <c r="R507" s="45"/>
      <c r="S507" s="46"/>
      <c r="T507" s="39">
        <f t="shared" si="152"/>
        <v>0</v>
      </c>
      <c r="U507" s="47">
        <f t="shared" si="153"/>
        <v>0</v>
      </c>
      <c r="V507" s="48">
        <f t="shared" si="154"/>
        <v>0</v>
      </c>
      <c r="W507" s="49">
        <f t="shared" si="155"/>
        <v>0</v>
      </c>
      <c r="X507" s="44">
        <f t="shared" si="156"/>
        <v>0</v>
      </c>
      <c r="Y507" s="44">
        <f t="shared" si="157"/>
        <v>0</v>
      </c>
      <c r="Z507" s="44">
        <f t="shared" si="158"/>
        <v>0</v>
      </c>
      <c r="AA507" s="50">
        <f t="shared" si="159"/>
        <v>0</v>
      </c>
      <c r="AB507" s="51">
        <f t="shared" si="160"/>
        <v>0</v>
      </c>
      <c r="AC507" s="44">
        <f t="shared" si="161"/>
        <v>0</v>
      </c>
      <c r="AD507" s="44">
        <f t="shared" si="162"/>
        <v>0</v>
      </c>
      <c r="AE507" s="44">
        <f t="shared" si="163"/>
        <v>0</v>
      </c>
      <c r="AF507" s="52" t="e">
        <f>HLOOKUP(I507,ElecAvoidedCostsWOCC!$A$5:$Q$50,G507+1,FALSE)</f>
        <v>#N/A</v>
      </c>
      <c r="AG507" s="44" t="e">
        <f t="shared" si="164"/>
        <v>#N/A</v>
      </c>
      <c r="AH507" s="52" t="e">
        <f>HLOOKUP(I507,ElecAvoidedCostsWOCC!$A$5:$Q$50,T507+1,FALSE)</f>
        <v>#N/A</v>
      </c>
      <c r="AI507" s="44" t="e">
        <f t="shared" si="165"/>
        <v>#N/A</v>
      </c>
      <c r="AJ507" s="44" t="e">
        <f t="shared" si="166"/>
        <v>#N/A</v>
      </c>
      <c r="AK507" s="44" t="e">
        <f>HLOOKUP(I507,ElecAvoidedCostsWOCC!$A$5:$Q$50,G507+1,FALSE)*J507*L507</f>
        <v>#N/A</v>
      </c>
      <c r="AL507" s="44" t="e">
        <f t="shared" si="167"/>
        <v>#N/A</v>
      </c>
      <c r="AM507" s="48">
        <f>IF(O507=0,0,IF(H507=0, HLOOKUP(I507,ElecAvoidedCostsWOCC!$A$5:$Q$50,T507+1,FALSE)*K507*J507,HLOOKUP(I507,ElecAvoidedCostsWOCC!$A$5:$Q$50,T507+1,FALSE)*L507*J507+HLOOKUP(I507,ElecAvoidedCostsWOCC!$A$5:$Q$50,G507+1,FALSE)*K507*J507-HLOOKUP(I507,ElecAvoidedCostsWOCC!$A$5:$Q$50,G507+1,FALSE)*L507*J507))</f>
        <v>0</v>
      </c>
      <c r="AN507" s="48">
        <f t="shared" si="168"/>
        <v>0</v>
      </c>
      <c r="AO507" s="47">
        <f t="shared" si="169"/>
        <v>0</v>
      </c>
      <c r="AP507" s="47" t="e">
        <f t="shared" si="170"/>
        <v>#DIV/0!</v>
      </c>
    </row>
    <row r="508" spans="2:42">
      <c r="B508" s="37"/>
      <c r="C508" s="61"/>
      <c r="D508" s="61"/>
      <c r="E508" s="38"/>
      <c r="F508" s="39"/>
      <c r="G508" s="39"/>
      <c r="H508" s="39"/>
      <c r="I508" s="40"/>
      <c r="J508" s="41"/>
      <c r="K508" s="41"/>
      <c r="L508" s="41"/>
      <c r="M508" s="42"/>
      <c r="N508" s="42"/>
      <c r="O508" s="43"/>
      <c r="P508" s="44"/>
      <c r="Q508" s="44"/>
      <c r="R508" s="45"/>
      <c r="S508" s="46"/>
      <c r="T508" s="39">
        <f t="shared" si="152"/>
        <v>0</v>
      </c>
      <c r="U508" s="47">
        <f t="shared" si="153"/>
        <v>0</v>
      </c>
      <c r="V508" s="48">
        <f t="shared" si="154"/>
        <v>0</v>
      </c>
      <c r="W508" s="49">
        <f t="shared" si="155"/>
        <v>0</v>
      </c>
      <c r="X508" s="44">
        <f t="shared" si="156"/>
        <v>0</v>
      </c>
      <c r="Y508" s="44">
        <f t="shared" si="157"/>
        <v>0</v>
      </c>
      <c r="Z508" s="44">
        <f t="shared" si="158"/>
        <v>0</v>
      </c>
      <c r="AA508" s="50">
        <f t="shared" si="159"/>
        <v>0</v>
      </c>
      <c r="AB508" s="51">
        <f t="shared" si="160"/>
        <v>0</v>
      </c>
      <c r="AC508" s="44">
        <f t="shared" si="161"/>
        <v>0</v>
      </c>
      <c r="AD508" s="44">
        <f t="shared" si="162"/>
        <v>0</v>
      </c>
      <c r="AE508" s="44">
        <f t="shared" si="163"/>
        <v>0</v>
      </c>
      <c r="AF508" s="52" t="e">
        <f>HLOOKUP(I508,ElecAvoidedCostsWOCC!$A$5:$Q$50,G508+1,FALSE)</f>
        <v>#N/A</v>
      </c>
      <c r="AG508" s="44" t="e">
        <f t="shared" si="164"/>
        <v>#N/A</v>
      </c>
      <c r="AH508" s="52" t="e">
        <f>HLOOKUP(I508,ElecAvoidedCostsWOCC!$A$5:$Q$50,T508+1,FALSE)</f>
        <v>#N/A</v>
      </c>
      <c r="AI508" s="44" t="e">
        <f t="shared" si="165"/>
        <v>#N/A</v>
      </c>
      <c r="AJ508" s="44" t="e">
        <f t="shared" si="166"/>
        <v>#N/A</v>
      </c>
      <c r="AK508" s="44" t="e">
        <f>HLOOKUP(I508,ElecAvoidedCostsWOCC!$A$5:$Q$50,G508+1,FALSE)*J508*L508</f>
        <v>#N/A</v>
      </c>
      <c r="AL508" s="44" t="e">
        <f t="shared" si="167"/>
        <v>#N/A</v>
      </c>
      <c r="AM508" s="48">
        <f>IF(O508=0,0,IF(H508=0, HLOOKUP(I508,ElecAvoidedCostsWOCC!$A$5:$Q$50,T508+1,FALSE)*K508*J508,HLOOKUP(I508,ElecAvoidedCostsWOCC!$A$5:$Q$50,T508+1,FALSE)*L508*J508+HLOOKUP(I508,ElecAvoidedCostsWOCC!$A$5:$Q$50,G508+1,FALSE)*K508*J508-HLOOKUP(I508,ElecAvoidedCostsWOCC!$A$5:$Q$50,G508+1,FALSE)*L508*J508))</f>
        <v>0</v>
      </c>
      <c r="AN508" s="48">
        <f t="shared" si="168"/>
        <v>0</v>
      </c>
      <c r="AO508" s="47">
        <f t="shared" si="169"/>
        <v>0</v>
      </c>
      <c r="AP508" s="47" t="e">
        <f t="shared" si="170"/>
        <v>#DIV/0!</v>
      </c>
    </row>
    <row r="509" spans="2:42">
      <c r="B509" s="37"/>
      <c r="C509" s="61"/>
      <c r="D509" s="61"/>
      <c r="E509" s="38"/>
      <c r="F509" s="39"/>
      <c r="G509" s="39"/>
      <c r="H509" s="39"/>
      <c r="I509" s="40"/>
      <c r="J509" s="41"/>
      <c r="K509" s="41"/>
      <c r="L509" s="41"/>
      <c r="M509" s="42"/>
      <c r="N509" s="42"/>
      <c r="O509" s="43"/>
      <c r="P509" s="44"/>
      <c r="Q509" s="44"/>
      <c r="R509" s="45"/>
      <c r="S509" s="46"/>
      <c r="T509" s="39">
        <f t="shared" si="152"/>
        <v>0</v>
      </c>
      <c r="U509" s="47">
        <f t="shared" si="153"/>
        <v>0</v>
      </c>
      <c r="V509" s="48">
        <f t="shared" si="154"/>
        <v>0</v>
      </c>
      <c r="W509" s="49">
        <f t="shared" si="155"/>
        <v>0</v>
      </c>
      <c r="X509" s="44">
        <f t="shared" si="156"/>
        <v>0</v>
      </c>
      <c r="Y509" s="44">
        <f t="shared" si="157"/>
        <v>0</v>
      </c>
      <c r="Z509" s="44">
        <f t="shared" si="158"/>
        <v>0</v>
      </c>
      <c r="AA509" s="50">
        <f t="shared" si="159"/>
        <v>0</v>
      </c>
      <c r="AB509" s="51">
        <f t="shared" si="160"/>
        <v>0</v>
      </c>
      <c r="AC509" s="44">
        <f t="shared" si="161"/>
        <v>0</v>
      </c>
      <c r="AD509" s="44">
        <f t="shared" si="162"/>
        <v>0</v>
      </c>
      <c r="AE509" s="44">
        <f t="shared" si="163"/>
        <v>0</v>
      </c>
      <c r="AF509" s="52" t="e">
        <f>HLOOKUP(I509,ElecAvoidedCostsWOCC!$A$5:$Q$50,G509+1,FALSE)</f>
        <v>#N/A</v>
      </c>
      <c r="AG509" s="44" t="e">
        <f t="shared" si="164"/>
        <v>#N/A</v>
      </c>
      <c r="AH509" s="52" t="e">
        <f>HLOOKUP(I509,ElecAvoidedCostsWOCC!$A$5:$Q$50,T509+1,FALSE)</f>
        <v>#N/A</v>
      </c>
      <c r="AI509" s="44" t="e">
        <f t="shared" si="165"/>
        <v>#N/A</v>
      </c>
      <c r="AJ509" s="44" t="e">
        <f t="shared" si="166"/>
        <v>#N/A</v>
      </c>
      <c r="AK509" s="44" t="e">
        <f>HLOOKUP(I509,ElecAvoidedCostsWOCC!$A$5:$Q$50,G509+1,FALSE)*J509*L509</f>
        <v>#N/A</v>
      </c>
      <c r="AL509" s="44" t="e">
        <f t="shared" si="167"/>
        <v>#N/A</v>
      </c>
      <c r="AM509" s="48">
        <f>IF(O509=0,0,IF(H509=0, HLOOKUP(I509,ElecAvoidedCostsWOCC!$A$5:$Q$50,T509+1,FALSE)*K509*J509,HLOOKUP(I509,ElecAvoidedCostsWOCC!$A$5:$Q$50,T509+1,FALSE)*L509*J509+HLOOKUP(I509,ElecAvoidedCostsWOCC!$A$5:$Q$50,G509+1,FALSE)*K509*J509-HLOOKUP(I509,ElecAvoidedCostsWOCC!$A$5:$Q$50,G509+1,FALSE)*L509*J509))</f>
        <v>0</v>
      </c>
      <c r="AN509" s="48">
        <f t="shared" si="168"/>
        <v>0</v>
      </c>
      <c r="AO509" s="47">
        <f t="shared" si="169"/>
        <v>0</v>
      </c>
      <c r="AP509" s="47" t="e">
        <f t="shared" si="170"/>
        <v>#DIV/0!</v>
      </c>
    </row>
    <row r="510" spans="2:42">
      <c r="B510" s="37"/>
      <c r="C510" s="61"/>
      <c r="D510" s="61"/>
      <c r="E510" s="38"/>
      <c r="F510" s="39"/>
      <c r="G510" s="39"/>
      <c r="H510" s="39"/>
      <c r="I510" s="40"/>
      <c r="J510" s="41"/>
      <c r="K510" s="41"/>
      <c r="L510" s="41"/>
      <c r="M510" s="42"/>
      <c r="N510" s="42"/>
      <c r="O510" s="43"/>
      <c r="P510" s="44"/>
      <c r="Q510" s="44"/>
      <c r="R510" s="45"/>
      <c r="S510" s="46"/>
      <c r="T510" s="39">
        <f t="shared" si="152"/>
        <v>0</v>
      </c>
      <c r="U510" s="47">
        <f t="shared" si="153"/>
        <v>0</v>
      </c>
      <c r="V510" s="48">
        <f t="shared" si="154"/>
        <v>0</v>
      </c>
      <c r="W510" s="49">
        <f t="shared" si="155"/>
        <v>0</v>
      </c>
      <c r="X510" s="44">
        <f t="shared" si="156"/>
        <v>0</v>
      </c>
      <c r="Y510" s="44">
        <f t="shared" si="157"/>
        <v>0</v>
      </c>
      <c r="Z510" s="44">
        <f t="shared" si="158"/>
        <v>0</v>
      </c>
      <c r="AA510" s="50">
        <f t="shared" si="159"/>
        <v>0</v>
      </c>
      <c r="AB510" s="51">
        <f t="shared" si="160"/>
        <v>0</v>
      </c>
      <c r="AC510" s="44">
        <f t="shared" si="161"/>
        <v>0</v>
      </c>
      <c r="AD510" s="44">
        <f t="shared" si="162"/>
        <v>0</v>
      </c>
      <c r="AE510" s="44">
        <f t="shared" si="163"/>
        <v>0</v>
      </c>
      <c r="AF510" s="52" t="e">
        <f>HLOOKUP(I510,ElecAvoidedCostsWOCC!$A$5:$Q$50,G510+1,FALSE)</f>
        <v>#N/A</v>
      </c>
      <c r="AG510" s="44" t="e">
        <f t="shared" si="164"/>
        <v>#N/A</v>
      </c>
      <c r="AH510" s="52" t="e">
        <f>HLOOKUP(I510,ElecAvoidedCostsWOCC!$A$5:$Q$50,T510+1,FALSE)</f>
        <v>#N/A</v>
      </c>
      <c r="AI510" s="44" t="e">
        <f t="shared" si="165"/>
        <v>#N/A</v>
      </c>
      <c r="AJ510" s="44" t="e">
        <f t="shared" si="166"/>
        <v>#N/A</v>
      </c>
      <c r="AK510" s="44" t="e">
        <f>HLOOKUP(I510,ElecAvoidedCostsWOCC!$A$5:$Q$50,G510+1,FALSE)*J510*L510</f>
        <v>#N/A</v>
      </c>
      <c r="AL510" s="44" t="e">
        <f t="shared" si="167"/>
        <v>#N/A</v>
      </c>
      <c r="AM510" s="48">
        <f>IF(O510=0,0,IF(H510=0, HLOOKUP(I510,ElecAvoidedCostsWOCC!$A$5:$Q$50,T510+1,FALSE)*K510*J510,HLOOKUP(I510,ElecAvoidedCostsWOCC!$A$5:$Q$50,T510+1,FALSE)*L510*J510+HLOOKUP(I510,ElecAvoidedCostsWOCC!$A$5:$Q$50,G510+1,FALSE)*K510*J510-HLOOKUP(I510,ElecAvoidedCostsWOCC!$A$5:$Q$50,G510+1,FALSE)*L510*J510))</f>
        <v>0</v>
      </c>
      <c r="AN510" s="48">
        <f t="shared" si="168"/>
        <v>0</v>
      </c>
      <c r="AO510" s="47">
        <f t="shared" si="169"/>
        <v>0</v>
      </c>
      <c r="AP510" s="47" t="e">
        <f t="shared" si="170"/>
        <v>#DIV/0!</v>
      </c>
    </row>
    <row r="511" spans="2:42">
      <c r="B511" s="37"/>
      <c r="C511" s="61"/>
      <c r="D511" s="61"/>
      <c r="E511" s="38"/>
      <c r="F511" s="39"/>
      <c r="G511" s="39"/>
      <c r="H511" s="39"/>
      <c r="I511" s="40"/>
      <c r="J511" s="41"/>
      <c r="K511" s="41"/>
      <c r="L511" s="41"/>
      <c r="M511" s="42"/>
      <c r="N511" s="42"/>
      <c r="O511" s="43"/>
      <c r="P511" s="44"/>
      <c r="Q511" s="44"/>
      <c r="R511" s="45"/>
      <c r="S511" s="46"/>
      <c r="T511" s="39">
        <f t="shared" si="152"/>
        <v>0</v>
      </c>
      <c r="U511" s="47">
        <f t="shared" si="153"/>
        <v>0</v>
      </c>
      <c r="V511" s="48">
        <f t="shared" si="154"/>
        <v>0</v>
      </c>
      <c r="W511" s="49">
        <f t="shared" si="155"/>
        <v>0</v>
      </c>
      <c r="X511" s="44">
        <f t="shared" si="156"/>
        <v>0</v>
      </c>
      <c r="Y511" s="44">
        <f t="shared" si="157"/>
        <v>0</v>
      </c>
      <c r="Z511" s="44">
        <f t="shared" si="158"/>
        <v>0</v>
      </c>
      <c r="AA511" s="50">
        <f t="shared" si="159"/>
        <v>0</v>
      </c>
      <c r="AB511" s="51">
        <f t="shared" si="160"/>
        <v>0</v>
      </c>
      <c r="AC511" s="44">
        <f t="shared" si="161"/>
        <v>0</v>
      </c>
      <c r="AD511" s="44">
        <f t="shared" si="162"/>
        <v>0</v>
      </c>
      <c r="AE511" s="44">
        <f t="shared" si="163"/>
        <v>0</v>
      </c>
      <c r="AF511" s="52" t="e">
        <f>HLOOKUP(I511,ElecAvoidedCostsWOCC!$A$5:$Q$50,G511+1,FALSE)</f>
        <v>#N/A</v>
      </c>
      <c r="AG511" s="44" t="e">
        <f t="shared" si="164"/>
        <v>#N/A</v>
      </c>
      <c r="AH511" s="52" t="e">
        <f>HLOOKUP(I511,ElecAvoidedCostsWOCC!$A$5:$Q$50,T511+1,FALSE)</f>
        <v>#N/A</v>
      </c>
      <c r="AI511" s="44" t="e">
        <f t="shared" si="165"/>
        <v>#N/A</v>
      </c>
      <c r="AJ511" s="44" t="e">
        <f t="shared" si="166"/>
        <v>#N/A</v>
      </c>
      <c r="AK511" s="44" t="e">
        <f>HLOOKUP(I511,ElecAvoidedCostsWOCC!$A$5:$Q$50,G511+1,FALSE)*J511*L511</f>
        <v>#N/A</v>
      </c>
      <c r="AL511" s="44" t="e">
        <f t="shared" si="167"/>
        <v>#N/A</v>
      </c>
      <c r="AM511" s="48">
        <f>IF(O511=0,0,IF(H511=0, HLOOKUP(I511,ElecAvoidedCostsWOCC!$A$5:$Q$50,T511+1,FALSE)*K511*J511,HLOOKUP(I511,ElecAvoidedCostsWOCC!$A$5:$Q$50,T511+1,FALSE)*L511*J511+HLOOKUP(I511,ElecAvoidedCostsWOCC!$A$5:$Q$50,G511+1,FALSE)*K511*J511-HLOOKUP(I511,ElecAvoidedCostsWOCC!$A$5:$Q$50,G511+1,FALSE)*L511*J511))</f>
        <v>0</v>
      </c>
      <c r="AN511" s="48">
        <f t="shared" si="168"/>
        <v>0</v>
      </c>
      <c r="AO511" s="47">
        <f t="shared" si="169"/>
        <v>0</v>
      </c>
      <c r="AP511" s="47" t="e">
        <f t="shared" si="170"/>
        <v>#DIV/0!</v>
      </c>
    </row>
    <row r="512" spans="2:42">
      <c r="B512" s="37"/>
      <c r="C512" s="61"/>
      <c r="D512" s="61"/>
      <c r="E512" s="38"/>
      <c r="F512" s="39"/>
      <c r="G512" s="39"/>
      <c r="H512" s="39"/>
      <c r="I512" s="40"/>
      <c r="J512" s="41"/>
      <c r="K512" s="41"/>
      <c r="L512" s="41"/>
      <c r="M512" s="42"/>
      <c r="N512" s="42"/>
      <c r="O512" s="43"/>
      <c r="P512" s="44"/>
      <c r="Q512" s="44"/>
      <c r="R512" s="45"/>
      <c r="S512" s="46"/>
      <c r="T512" s="39">
        <f t="shared" si="152"/>
        <v>0</v>
      </c>
      <c r="U512" s="47">
        <f t="shared" si="153"/>
        <v>0</v>
      </c>
      <c r="V512" s="48">
        <f t="shared" si="154"/>
        <v>0</v>
      </c>
      <c r="W512" s="49">
        <f t="shared" si="155"/>
        <v>0</v>
      </c>
      <c r="X512" s="44">
        <f t="shared" si="156"/>
        <v>0</v>
      </c>
      <c r="Y512" s="44">
        <f t="shared" si="157"/>
        <v>0</v>
      </c>
      <c r="Z512" s="44">
        <f t="shared" si="158"/>
        <v>0</v>
      </c>
      <c r="AA512" s="50">
        <f t="shared" si="159"/>
        <v>0</v>
      </c>
      <c r="AB512" s="51">
        <f t="shared" si="160"/>
        <v>0</v>
      </c>
      <c r="AC512" s="44">
        <f t="shared" si="161"/>
        <v>0</v>
      </c>
      <c r="AD512" s="44">
        <f t="shared" si="162"/>
        <v>0</v>
      </c>
      <c r="AE512" s="44">
        <f t="shared" si="163"/>
        <v>0</v>
      </c>
      <c r="AF512" s="52" t="e">
        <f>HLOOKUP(I512,ElecAvoidedCostsWOCC!$A$5:$Q$50,G512+1,FALSE)</f>
        <v>#N/A</v>
      </c>
      <c r="AG512" s="44" t="e">
        <f t="shared" si="164"/>
        <v>#N/A</v>
      </c>
      <c r="AH512" s="52" t="e">
        <f>HLOOKUP(I512,ElecAvoidedCostsWOCC!$A$5:$Q$50,T512+1,FALSE)</f>
        <v>#N/A</v>
      </c>
      <c r="AI512" s="44" t="e">
        <f t="shared" si="165"/>
        <v>#N/A</v>
      </c>
      <c r="AJ512" s="44" t="e">
        <f t="shared" si="166"/>
        <v>#N/A</v>
      </c>
      <c r="AK512" s="44" t="e">
        <f>HLOOKUP(I512,ElecAvoidedCostsWOCC!$A$5:$Q$50,G512+1,FALSE)*J512*L512</f>
        <v>#N/A</v>
      </c>
      <c r="AL512" s="44" t="e">
        <f t="shared" si="167"/>
        <v>#N/A</v>
      </c>
      <c r="AM512" s="48">
        <f>IF(O512=0,0,IF(H512=0, HLOOKUP(I512,ElecAvoidedCostsWOCC!$A$5:$Q$50,T512+1,FALSE)*K512*J512,HLOOKUP(I512,ElecAvoidedCostsWOCC!$A$5:$Q$50,T512+1,FALSE)*L512*J512+HLOOKUP(I512,ElecAvoidedCostsWOCC!$A$5:$Q$50,G512+1,FALSE)*K512*J512-HLOOKUP(I512,ElecAvoidedCostsWOCC!$A$5:$Q$50,G512+1,FALSE)*L512*J512))</f>
        <v>0</v>
      </c>
      <c r="AN512" s="48">
        <f t="shared" si="168"/>
        <v>0</v>
      </c>
      <c r="AO512" s="47">
        <f t="shared" si="169"/>
        <v>0</v>
      </c>
      <c r="AP512" s="47" t="e">
        <f t="shared" si="170"/>
        <v>#DIV/0!</v>
      </c>
    </row>
    <row r="513" spans="2:42">
      <c r="B513" s="37"/>
      <c r="C513" s="61"/>
      <c r="D513" s="61"/>
      <c r="E513" s="38"/>
      <c r="F513" s="39"/>
      <c r="G513" s="39"/>
      <c r="H513" s="39"/>
      <c r="I513" s="40"/>
      <c r="J513" s="41"/>
      <c r="K513" s="41"/>
      <c r="L513" s="41"/>
      <c r="M513" s="42"/>
      <c r="N513" s="42"/>
      <c r="O513" s="43"/>
      <c r="P513" s="44"/>
      <c r="Q513" s="44"/>
      <c r="R513" s="45"/>
      <c r="S513" s="46"/>
      <c r="T513" s="39">
        <f t="shared" si="152"/>
        <v>0</v>
      </c>
      <c r="U513" s="47">
        <f t="shared" si="153"/>
        <v>0</v>
      </c>
      <c r="V513" s="48">
        <f t="shared" si="154"/>
        <v>0</v>
      </c>
      <c r="W513" s="49">
        <f t="shared" si="155"/>
        <v>0</v>
      </c>
      <c r="X513" s="44">
        <f t="shared" si="156"/>
        <v>0</v>
      </c>
      <c r="Y513" s="44">
        <f t="shared" si="157"/>
        <v>0</v>
      </c>
      <c r="Z513" s="44">
        <f t="shared" si="158"/>
        <v>0</v>
      </c>
      <c r="AA513" s="50">
        <f t="shared" si="159"/>
        <v>0</v>
      </c>
      <c r="AB513" s="51">
        <f t="shared" si="160"/>
        <v>0</v>
      </c>
      <c r="AC513" s="44">
        <f t="shared" si="161"/>
        <v>0</v>
      </c>
      <c r="AD513" s="44">
        <f t="shared" si="162"/>
        <v>0</v>
      </c>
      <c r="AE513" s="44">
        <f t="shared" si="163"/>
        <v>0</v>
      </c>
      <c r="AF513" s="52" t="e">
        <f>HLOOKUP(I513,ElecAvoidedCostsWOCC!$A$5:$Q$50,G513+1,FALSE)</f>
        <v>#N/A</v>
      </c>
      <c r="AG513" s="44" t="e">
        <f t="shared" si="164"/>
        <v>#N/A</v>
      </c>
      <c r="AH513" s="52" t="e">
        <f>HLOOKUP(I513,ElecAvoidedCostsWOCC!$A$5:$Q$50,T513+1,FALSE)</f>
        <v>#N/A</v>
      </c>
      <c r="AI513" s="44" t="e">
        <f t="shared" si="165"/>
        <v>#N/A</v>
      </c>
      <c r="AJ513" s="44" t="e">
        <f t="shared" si="166"/>
        <v>#N/A</v>
      </c>
      <c r="AK513" s="44" t="e">
        <f>HLOOKUP(I513,ElecAvoidedCostsWOCC!$A$5:$Q$50,G513+1,FALSE)*J513*L513</f>
        <v>#N/A</v>
      </c>
      <c r="AL513" s="44" t="e">
        <f t="shared" si="167"/>
        <v>#N/A</v>
      </c>
      <c r="AM513" s="48">
        <f>IF(O513=0,0,IF(H513=0, HLOOKUP(I513,ElecAvoidedCostsWOCC!$A$5:$Q$50,T513+1,FALSE)*K513*J513,HLOOKUP(I513,ElecAvoidedCostsWOCC!$A$5:$Q$50,T513+1,FALSE)*L513*J513+HLOOKUP(I513,ElecAvoidedCostsWOCC!$A$5:$Q$50,G513+1,FALSE)*K513*J513-HLOOKUP(I513,ElecAvoidedCostsWOCC!$A$5:$Q$50,G513+1,FALSE)*L513*J513))</f>
        <v>0</v>
      </c>
      <c r="AN513" s="48">
        <f t="shared" si="168"/>
        <v>0</v>
      </c>
      <c r="AO513" s="47">
        <f t="shared" si="169"/>
        <v>0</v>
      </c>
      <c r="AP513" s="47" t="e">
        <f t="shared" si="170"/>
        <v>#DIV/0!</v>
      </c>
    </row>
    <row r="514" spans="2:42">
      <c r="B514" s="37"/>
      <c r="C514" s="61"/>
      <c r="D514" s="61"/>
      <c r="E514" s="38"/>
      <c r="F514" s="39"/>
      <c r="G514" s="39"/>
      <c r="H514" s="39"/>
      <c r="I514" s="40"/>
      <c r="J514" s="41"/>
      <c r="K514" s="41"/>
      <c r="L514" s="41"/>
      <c r="M514" s="42"/>
      <c r="N514" s="42"/>
      <c r="O514" s="43"/>
      <c r="P514" s="44"/>
      <c r="Q514" s="44"/>
      <c r="R514" s="45"/>
      <c r="S514" s="46"/>
      <c r="T514" s="39">
        <f t="shared" si="152"/>
        <v>0</v>
      </c>
      <c r="U514" s="47">
        <f t="shared" si="153"/>
        <v>0</v>
      </c>
      <c r="V514" s="48">
        <f t="shared" si="154"/>
        <v>0</v>
      </c>
      <c r="W514" s="49">
        <f t="shared" si="155"/>
        <v>0</v>
      </c>
      <c r="X514" s="44">
        <f t="shared" si="156"/>
        <v>0</v>
      </c>
      <c r="Y514" s="44">
        <f t="shared" si="157"/>
        <v>0</v>
      </c>
      <c r="Z514" s="44">
        <f t="shared" si="158"/>
        <v>0</v>
      </c>
      <c r="AA514" s="50">
        <f t="shared" si="159"/>
        <v>0</v>
      </c>
      <c r="AB514" s="51">
        <f t="shared" si="160"/>
        <v>0</v>
      </c>
      <c r="AC514" s="44">
        <f t="shared" si="161"/>
        <v>0</v>
      </c>
      <c r="AD514" s="44">
        <f t="shared" si="162"/>
        <v>0</v>
      </c>
      <c r="AE514" s="44">
        <f t="shared" si="163"/>
        <v>0</v>
      </c>
      <c r="AF514" s="52" t="e">
        <f>HLOOKUP(I514,ElecAvoidedCostsWOCC!$A$5:$Q$50,G514+1,FALSE)</f>
        <v>#N/A</v>
      </c>
      <c r="AG514" s="44" t="e">
        <f t="shared" si="164"/>
        <v>#N/A</v>
      </c>
      <c r="AH514" s="52" t="e">
        <f>HLOOKUP(I514,ElecAvoidedCostsWOCC!$A$5:$Q$50,T514+1,FALSE)</f>
        <v>#N/A</v>
      </c>
      <c r="AI514" s="44" t="e">
        <f t="shared" si="165"/>
        <v>#N/A</v>
      </c>
      <c r="AJ514" s="44" t="e">
        <f t="shared" si="166"/>
        <v>#N/A</v>
      </c>
      <c r="AK514" s="44" t="e">
        <f>HLOOKUP(I514,ElecAvoidedCostsWOCC!$A$5:$Q$50,G514+1,FALSE)*J514*L514</f>
        <v>#N/A</v>
      </c>
      <c r="AL514" s="44" t="e">
        <f t="shared" si="167"/>
        <v>#N/A</v>
      </c>
      <c r="AM514" s="48">
        <f>IF(O514=0,0,IF(H514=0, HLOOKUP(I514,ElecAvoidedCostsWOCC!$A$5:$Q$50,T514+1,FALSE)*K514*J514,HLOOKUP(I514,ElecAvoidedCostsWOCC!$A$5:$Q$50,T514+1,FALSE)*L514*J514+HLOOKUP(I514,ElecAvoidedCostsWOCC!$A$5:$Q$50,G514+1,FALSE)*K514*J514-HLOOKUP(I514,ElecAvoidedCostsWOCC!$A$5:$Q$50,G514+1,FALSE)*L514*J514))</f>
        <v>0</v>
      </c>
      <c r="AN514" s="48">
        <f t="shared" si="168"/>
        <v>0</v>
      </c>
      <c r="AO514" s="47">
        <f t="shared" si="169"/>
        <v>0</v>
      </c>
      <c r="AP514" s="47" t="e">
        <f t="shared" si="170"/>
        <v>#DIV/0!</v>
      </c>
    </row>
    <row r="515" spans="2:42">
      <c r="B515" s="37"/>
      <c r="C515" s="61"/>
      <c r="D515" s="61"/>
      <c r="E515" s="38"/>
      <c r="F515" s="39"/>
      <c r="G515" s="39"/>
      <c r="H515" s="39"/>
      <c r="I515" s="40"/>
      <c r="J515" s="41"/>
      <c r="K515" s="41"/>
      <c r="L515" s="41"/>
      <c r="M515" s="42"/>
      <c r="N515" s="42"/>
      <c r="O515" s="43"/>
      <c r="P515" s="44"/>
      <c r="Q515" s="44"/>
      <c r="R515" s="45"/>
      <c r="S515" s="46"/>
      <c r="T515" s="39">
        <f t="shared" si="152"/>
        <v>0</v>
      </c>
      <c r="U515" s="47">
        <f t="shared" si="153"/>
        <v>0</v>
      </c>
      <c r="V515" s="48">
        <f t="shared" si="154"/>
        <v>0</v>
      </c>
      <c r="W515" s="49">
        <f t="shared" si="155"/>
        <v>0</v>
      </c>
      <c r="X515" s="44">
        <f t="shared" si="156"/>
        <v>0</v>
      </c>
      <c r="Y515" s="44">
        <f t="shared" si="157"/>
        <v>0</v>
      </c>
      <c r="Z515" s="44">
        <f t="shared" si="158"/>
        <v>0</v>
      </c>
      <c r="AA515" s="50">
        <f t="shared" si="159"/>
        <v>0</v>
      </c>
      <c r="AB515" s="51">
        <f t="shared" si="160"/>
        <v>0</v>
      </c>
      <c r="AC515" s="44">
        <f t="shared" si="161"/>
        <v>0</v>
      </c>
      <c r="AD515" s="44">
        <f t="shared" si="162"/>
        <v>0</v>
      </c>
      <c r="AE515" s="44">
        <f t="shared" si="163"/>
        <v>0</v>
      </c>
      <c r="AF515" s="52" t="e">
        <f>HLOOKUP(I515,ElecAvoidedCostsWOCC!$A$5:$Q$50,G515+1,FALSE)</f>
        <v>#N/A</v>
      </c>
      <c r="AG515" s="44" t="e">
        <f t="shared" si="164"/>
        <v>#N/A</v>
      </c>
      <c r="AH515" s="52" t="e">
        <f>HLOOKUP(I515,ElecAvoidedCostsWOCC!$A$5:$Q$50,T515+1,FALSE)</f>
        <v>#N/A</v>
      </c>
      <c r="AI515" s="44" t="e">
        <f t="shared" si="165"/>
        <v>#N/A</v>
      </c>
      <c r="AJ515" s="44" t="e">
        <f t="shared" si="166"/>
        <v>#N/A</v>
      </c>
      <c r="AK515" s="44" t="e">
        <f>HLOOKUP(I515,ElecAvoidedCostsWOCC!$A$5:$Q$50,G515+1,FALSE)*J515*L515</f>
        <v>#N/A</v>
      </c>
      <c r="AL515" s="44" t="e">
        <f t="shared" si="167"/>
        <v>#N/A</v>
      </c>
      <c r="AM515" s="48">
        <f>IF(O515=0,0,IF(H515=0, HLOOKUP(I515,ElecAvoidedCostsWOCC!$A$5:$Q$50,T515+1,FALSE)*K515*J515,HLOOKUP(I515,ElecAvoidedCostsWOCC!$A$5:$Q$50,T515+1,FALSE)*L515*J515+HLOOKUP(I515,ElecAvoidedCostsWOCC!$A$5:$Q$50,G515+1,FALSE)*K515*J515-HLOOKUP(I515,ElecAvoidedCostsWOCC!$A$5:$Q$50,G515+1,FALSE)*L515*J515))</f>
        <v>0</v>
      </c>
      <c r="AN515" s="48">
        <f t="shared" si="168"/>
        <v>0</v>
      </c>
      <c r="AO515" s="47">
        <f t="shared" si="169"/>
        <v>0</v>
      </c>
      <c r="AP515" s="47" t="e">
        <f t="shared" si="170"/>
        <v>#DIV/0!</v>
      </c>
    </row>
  </sheetData>
  <conditionalFormatting sqref="J5:L515">
    <cfRule type="expression" dxfId="289" priority="4">
      <formula>ISTEXT(J5)</formula>
    </cfRule>
    <cfRule type="notContainsBlanks" dxfId="288" priority="5">
      <formula>LEN(TRIM(J5))&gt;0</formula>
    </cfRule>
  </conditionalFormatting>
  <conditionalFormatting sqref="M5:N515 R5:S515">
    <cfRule type="expression" dxfId="287" priority="2">
      <formula>ISTEXT(M5)</formula>
    </cfRule>
  </conditionalFormatting>
  <conditionalFormatting sqref="M5:N515 R5:S515">
    <cfRule type="notContainsBlanks" dxfId="286" priority="3">
      <formula>LEN(TRIM(M5))&gt;0</formula>
    </cfRule>
  </conditionalFormatting>
  <conditionalFormatting sqref="R5:S515">
    <cfRule type="expression" dxfId="2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8"/>
  <sheetViews>
    <sheetView zoomScale="85" zoomScaleNormal="85" workbookViewId="0">
      <selection activeCell="F16" sqref="F16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18230461</v>
      </c>
      <c r="D2" s="20" t="s">
        <v>54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18230461</v>
      </c>
      <c r="D5" s="61" t="s">
        <v>54</v>
      </c>
      <c r="E5" s="38" t="s">
        <v>857</v>
      </c>
      <c r="F5" s="39" t="s">
        <v>858</v>
      </c>
      <c r="G5" s="39">
        <v>2</v>
      </c>
      <c r="H5" s="39"/>
      <c r="I5" s="40" t="s">
        <v>248</v>
      </c>
      <c r="J5" s="41">
        <v>251991</v>
      </c>
      <c r="K5" s="496">
        <f>O5/J5</f>
        <v>-9.2047017552214161</v>
      </c>
      <c r="L5" s="41"/>
      <c r="M5" s="42">
        <v>2.34</v>
      </c>
      <c r="N5" s="42">
        <v>2.34</v>
      </c>
      <c r="O5" s="43">
        <v>-2319502</v>
      </c>
      <c r="P5" s="44">
        <v>589658.93999999994</v>
      </c>
      <c r="Q5" s="44">
        <v>589658.93999999994</v>
      </c>
      <c r="R5" s="45">
        <v>0</v>
      </c>
      <c r="S5" s="46">
        <v>0</v>
      </c>
      <c r="T5" s="39">
        <f t="shared" ref="T5:T24" si="0">G5+H5</f>
        <v>2</v>
      </c>
      <c r="U5" s="47">
        <f t="shared" ref="U5:U24" si="1">(O5/$A$10)*T5</f>
        <v>-9.9585989690894716E-2</v>
      </c>
      <c r="V5" s="48">
        <f t="shared" ref="V5:V24" si="2">N5-M5</f>
        <v>0</v>
      </c>
      <c r="W5" s="49">
        <f t="shared" ref="W5:W24" si="3">(O5/A$10)</f>
        <v>-4.9792994845447358E-2</v>
      </c>
      <c r="X5" s="44">
        <f t="shared" ref="X5:X24" si="4">W5*A$8</f>
        <v>-78223.387752163471</v>
      </c>
      <c r="Y5" s="44">
        <f t="shared" ref="Y5:Y24" si="5">Q5-P5</f>
        <v>0</v>
      </c>
      <c r="Z5" s="44">
        <f t="shared" ref="Z5:Z24" si="6">X5+(A$6*W5)</f>
        <v>-143406.81622008877</v>
      </c>
      <c r="AA5" s="50">
        <f t="shared" ref="AA5:AA24" si="7">Q5+X5</f>
        <v>511435.55224783649</v>
      </c>
      <c r="AB5" s="51">
        <f t="shared" ref="AB5:AC20" si="8">Z5/(1+ElecDiscountRate)^1</f>
        <v>-134062.64954668484</v>
      </c>
      <c r="AC5" s="44">
        <f t="shared" si="8"/>
        <v>478111.20150307228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0.1666205195275525</v>
      </c>
      <c r="AG5" s="44">
        <f t="shared" ref="AG5:AG24" si="10">AF5*J5*K5</f>
        <v>-386476.62828519708</v>
      </c>
      <c r="AH5" s="52">
        <f>HLOOKUP(I5,ElecAvoidedCostsWOCC!$A$5:$Q$50,T5+1,FALSE)</f>
        <v>0.1666205195275525</v>
      </c>
      <c r="AI5" s="44">
        <f t="shared" ref="AI5:AI24" si="11">AH5*J5*L5</f>
        <v>0</v>
      </c>
      <c r="AJ5" s="44">
        <f>AG5+AI5</f>
        <v>-386476.62828519708</v>
      </c>
      <c r="AK5" s="44">
        <f>HLOOKUP(I5,ElecAvoidedCostsWOCC!$A$5:$Q$50,G5+1,FALSE)*J5*L5</f>
        <v>0</v>
      </c>
      <c r="AL5" s="44">
        <f>AG5+AI5-AK5</f>
        <v>-386476.62828519708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-386476.62828519708</v>
      </c>
      <c r="AN5" s="48">
        <f>AM5*1.1+AD5+AE5</f>
        <v>-425124.29111371684</v>
      </c>
      <c r="AO5" s="47">
        <f>IFERROR(AM5/AB5,0)</f>
        <v>2.8828061327447787</v>
      </c>
      <c r="AP5" s="47">
        <f>AN5/AC5</f>
        <v>-0.88917450538122367</v>
      </c>
      <c r="AQ5">
        <v>2021</v>
      </c>
    </row>
    <row r="6" spans="1:43" ht="13.5" customHeight="1">
      <c r="A6" s="53">
        <f>SUMIF('Program Costs'!D:D,C2,'Program Costs'!L:L)</f>
        <v>1309088.33</v>
      </c>
      <c r="B6" s="97" t="s">
        <v>15</v>
      </c>
      <c r="C6" s="61">
        <v>18230461</v>
      </c>
      <c r="D6" s="61" t="s">
        <v>54</v>
      </c>
      <c r="E6" s="38" t="s">
        <v>2009</v>
      </c>
      <c r="F6" s="39" t="s">
        <v>2010</v>
      </c>
      <c r="G6" s="39">
        <v>2</v>
      </c>
      <c r="H6" s="39"/>
      <c r="I6" s="40" t="s">
        <v>248</v>
      </c>
      <c r="J6" s="41">
        <v>280000</v>
      </c>
      <c r="K6" s="41">
        <v>167.41571428571427</v>
      </c>
      <c r="L6" s="41"/>
      <c r="M6" s="42">
        <v>2.34</v>
      </c>
      <c r="N6" s="42">
        <v>2.34</v>
      </c>
      <c r="O6" s="43">
        <v>48902400</v>
      </c>
      <c r="P6" s="44">
        <v>655200</v>
      </c>
      <c r="Q6" s="44">
        <v>655200</v>
      </c>
      <c r="R6" s="45">
        <v>0</v>
      </c>
      <c r="S6" s="46">
        <v>0</v>
      </c>
      <c r="T6" s="39">
        <f t="shared" si="0"/>
        <v>2</v>
      </c>
      <c r="U6" s="47">
        <f t="shared" si="1"/>
        <v>2.0995859896908948</v>
      </c>
      <c r="V6" s="48">
        <f t="shared" si="2"/>
        <v>0</v>
      </c>
      <c r="W6" s="49">
        <f t="shared" si="3"/>
        <v>1.0497929948454474</v>
      </c>
      <c r="X6" s="44">
        <f t="shared" si="4"/>
        <v>1649195.1277521637</v>
      </c>
      <c r="Y6" s="44">
        <f t="shared" si="5"/>
        <v>0</v>
      </c>
      <c r="Z6" s="44">
        <f t="shared" si="6"/>
        <v>3023466.8862200892</v>
      </c>
      <c r="AA6" s="50">
        <f t="shared" si="7"/>
        <v>2304395.1277521634</v>
      </c>
      <c r="AB6" s="51">
        <f t="shared" si="8"/>
        <v>2826462.4532299605</v>
      </c>
      <c r="AC6" s="44">
        <f t="shared" si="8"/>
        <v>2154244.3000394162</v>
      </c>
      <c r="AD6" s="44">
        <f t="shared" si="9"/>
        <v>0</v>
      </c>
      <c r="AE6" s="44">
        <v>0</v>
      </c>
      <c r="AF6" s="52">
        <f>HLOOKUP(I6,ElecAvoidedCostsWOCC!$A$5:$Q$50,G6+1,FALSE)</f>
        <v>0.1666205195275525</v>
      </c>
      <c r="AG6" s="44">
        <f t="shared" si="10"/>
        <v>7810570.1215813607</v>
      </c>
      <c r="AH6" s="52">
        <f>HLOOKUP(I6,ElecAvoidedCostsWOCC!$A$5:$Q$50,T6+1,FALSE)</f>
        <v>0.1666205195275525</v>
      </c>
      <c r="AI6" s="44">
        <f t="shared" si="11"/>
        <v>0</v>
      </c>
      <c r="AJ6" s="44">
        <f t="shared" ref="AJ6:AJ24" si="12">AG6+AI6</f>
        <v>7810570.1215813607</v>
      </c>
      <c r="AK6" s="44">
        <f>HLOOKUP(I6,ElecAvoidedCostsWOCC!$A$5:$Q$50,G6+1,FALSE)*J6*L6</f>
        <v>0</v>
      </c>
      <c r="AL6" s="44">
        <f t="shared" ref="AL6:AL24" si="13">AG6+AI6-AK6</f>
        <v>7810570.1215813607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7810570.1215813616</v>
      </c>
      <c r="AN6" s="48">
        <f t="shared" ref="AN6:AN24" si="14">AM6*1.1+AD6+AE6</f>
        <v>8591627.1337394994</v>
      </c>
      <c r="AO6" s="47">
        <f t="shared" ref="AO6:AO24" si="15">IFERROR(AM6/AB6,0)</f>
        <v>2.76337303283678</v>
      </c>
      <c r="AP6" s="47">
        <f t="shared" ref="AP6:AP24" si="16">AN6/AC6</f>
        <v>3.9882325015701787</v>
      </c>
      <c r="AQ6">
        <v>2020</v>
      </c>
    </row>
    <row r="7" spans="1:43" ht="13.5" customHeight="1">
      <c r="A7" s="36" t="s">
        <v>249</v>
      </c>
      <c r="B7" s="37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/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1570971.7400000002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46582898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1244858.94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2880060.0700000003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2815830.68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2.7574261011086851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3.102355604264103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84" priority="4">
      <formula>ISTEXT(J5)</formula>
    </cfRule>
    <cfRule type="notContainsBlanks" dxfId="283" priority="5">
      <formula>LEN(TRIM(J5))&gt;0</formula>
    </cfRule>
  </conditionalFormatting>
  <conditionalFormatting sqref="M5:N24 R5:S24">
    <cfRule type="expression" dxfId="282" priority="2">
      <formula>ISTEXT(M5)</formula>
    </cfRule>
  </conditionalFormatting>
  <conditionalFormatting sqref="M5:N24 R5:S24">
    <cfRule type="notContainsBlanks" dxfId="281" priority="3">
      <formula>LEN(TRIM(M5))&gt;0</formula>
    </cfRule>
  </conditionalFormatting>
  <conditionalFormatting sqref="R5:S24">
    <cfRule type="expression" dxfId="280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72"/>
  <sheetViews>
    <sheetView zoomScale="85" zoomScaleNormal="85" workbookViewId="0">
      <selection activeCell="A29" sqref="A29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513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18230625</v>
      </c>
      <c r="D2" s="20" t="s">
        <v>78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18230625</v>
      </c>
      <c r="D5" s="61" t="s">
        <v>78</v>
      </c>
      <c r="E5" s="38" t="s">
        <v>2334</v>
      </c>
      <c r="F5" s="39" t="s">
        <v>2335</v>
      </c>
      <c r="G5" s="39">
        <v>12</v>
      </c>
      <c r="H5" s="39"/>
      <c r="I5" s="40" t="s">
        <v>248</v>
      </c>
      <c r="J5" s="41">
        <v>845</v>
      </c>
      <c r="K5" s="496">
        <v>20.67</v>
      </c>
      <c r="L5" s="41"/>
      <c r="M5" s="42">
        <v>2.69</v>
      </c>
      <c r="N5" s="42">
        <v>2.69</v>
      </c>
      <c r="O5" s="43">
        <v>17466.150000000001</v>
      </c>
      <c r="P5" s="44">
        <v>2061.8000000000002</v>
      </c>
      <c r="Q5" s="44">
        <v>2273.0500000000002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0.21008851222682123</v>
      </c>
      <c r="V5" s="48">
        <f t="shared" ref="V5:V24" si="2">N5-M5</f>
        <v>0</v>
      </c>
      <c r="W5" s="49">
        <f t="shared" ref="W5:W24" si="3">(O5/A$10)</f>
        <v>1.7507376018901771E-2</v>
      </c>
      <c r="X5" s="44">
        <f t="shared" ref="X5:X24" si="4">W5*A$8</f>
        <v>4705.8049740142023</v>
      </c>
      <c r="Y5" s="44">
        <f t="shared" ref="Y5:Y24" si="5">Q5-P5</f>
        <v>211.25</v>
      </c>
      <c r="Z5" s="44">
        <f t="shared" ref="Z5:Z24" si="6">X5+(A$6*W5)</f>
        <v>10498.497438747301</v>
      </c>
      <c r="AA5" s="50">
        <f t="shared" ref="AA5:AA24" si="7">Q5+X5</f>
        <v>6978.8549740142025</v>
      </c>
      <c r="AB5" s="51">
        <f t="shared" ref="AB5:AC20" si="8">Z5/(1+ElecDiscountRate)^1</f>
        <v>9814.4315590794613</v>
      </c>
      <c r="AC5" s="44">
        <f t="shared" si="8"/>
        <v>6524.1235617595603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0.91115730059915656</v>
      </c>
      <c r="AG5" s="44">
        <f t="shared" ref="AG5:AG24" si="10">AF5*J5*K5</f>
        <v>15914.41008585996</v>
      </c>
      <c r="AH5" s="52">
        <f>HLOOKUP(I5,ElecAvoidedCostsWOCC!$A$5:$Q$50,T5+1,FALSE)</f>
        <v>0.91115730059915656</v>
      </c>
      <c r="AI5" s="44">
        <f t="shared" ref="AI5:AI24" si="11">AH5*J5*L5</f>
        <v>0</v>
      </c>
      <c r="AJ5" s="44">
        <f>AG5+AI5</f>
        <v>15914.41008585996</v>
      </c>
      <c r="AK5" s="44">
        <f>HLOOKUP(I5,ElecAvoidedCostsWOCC!$A$5:$Q$50,G5+1,FALSE)*J5*L5</f>
        <v>0</v>
      </c>
      <c r="AL5" s="44">
        <f>AG5+AI5-AK5</f>
        <v>15914.41008585996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15914.410085859961</v>
      </c>
      <c r="AN5" s="48">
        <f>AM5*1.1+AD5+AE5</f>
        <v>17505.851094445959</v>
      </c>
      <c r="AO5" s="47">
        <f>IFERROR(AM5/AB5,0)</f>
        <v>1.6215315161210053</v>
      </c>
      <c r="AP5" s="47">
        <f>AN5/AC5</f>
        <v>2.6832494707878616</v>
      </c>
      <c r="AQ5">
        <v>2020</v>
      </c>
    </row>
    <row r="6" spans="1:43" ht="13.5" customHeight="1">
      <c r="A6" s="53">
        <f>SUMIF('Program Costs'!D:D,C2,'Program Costs'!L:L)</f>
        <v>330871.53999999998</v>
      </c>
      <c r="B6" s="97" t="s">
        <v>15</v>
      </c>
      <c r="C6" s="61">
        <v>18230625</v>
      </c>
      <c r="D6" s="61" t="s">
        <v>78</v>
      </c>
      <c r="E6" s="38" t="s">
        <v>2336</v>
      </c>
      <c r="F6" s="39" t="s">
        <v>2337</v>
      </c>
      <c r="G6" s="39">
        <v>12</v>
      </c>
      <c r="H6" s="39"/>
      <c r="I6" s="40" t="s">
        <v>248</v>
      </c>
      <c r="J6" s="41">
        <v>1870</v>
      </c>
      <c r="K6" s="41">
        <v>18.09</v>
      </c>
      <c r="L6" s="41"/>
      <c r="M6" s="42">
        <v>3.19</v>
      </c>
      <c r="N6" s="42">
        <v>3.19</v>
      </c>
      <c r="O6" s="43">
        <v>33828.300000000097</v>
      </c>
      <c r="P6" s="44">
        <v>5422.99999999999</v>
      </c>
      <c r="Q6" s="44">
        <v>5965.3000000000102</v>
      </c>
      <c r="R6" s="45">
        <v>0</v>
      </c>
      <c r="S6" s="46">
        <v>0</v>
      </c>
      <c r="T6" s="39">
        <f t="shared" si="0"/>
        <v>12</v>
      </c>
      <c r="U6" s="47">
        <f t="shared" si="1"/>
        <v>0.40689775469480094</v>
      </c>
      <c r="V6" s="48">
        <f t="shared" si="2"/>
        <v>0</v>
      </c>
      <c r="W6" s="49">
        <f t="shared" si="3"/>
        <v>3.3908146224566747E-2</v>
      </c>
      <c r="X6" s="44">
        <f t="shared" si="4"/>
        <v>9114.165537479359</v>
      </c>
      <c r="Y6" s="44">
        <f t="shared" si="5"/>
        <v>542.30000000002019</v>
      </c>
      <c r="Z6" s="44">
        <f t="shared" si="6"/>
        <v>20333.406097346946</v>
      </c>
      <c r="AA6" s="50">
        <f t="shared" si="7"/>
        <v>15079.465537479369</v>
      </c>
      <c r="AB6" s="51">
        <f t="shared" si="8"/>
        <v>19008.512758106892</v>
      </c>
      <c r="AC6" s="44">
        <f t="shared" si="8"/>
        <v>14096.910851153938</v>
      </c>
      <c r="AD6" s="44">
        <f t="shared" si="9"/>
        <v>0</v>
      </c>
      <c r="AE6" s="44">
        <v>0</v>
      </c>
      <c r="AF6" s="52">
        <f>HLOOKUP(I6,ElecAvoidedCostsWOCC!$A$5:$Q$50,G6+1,FALSE)</f>
        <v>0.91115730059915656</v>
      </c>
      <c r="AG6" s="44">
        <f t="shared" si="10"/>
        <v>30822.902511858447</v>
      </c>
      <c r="AH6" s="52">
        <f>HLOOKUP(I6,ElecAvoidedCostsWOCC!$A$5:$Q$50,T6+1,FALSE)</f>
        <v>0.91115730059915656</v>
      </c>
      <c r="AI6" s="44">
        <f t="shared" si="11"/>
        <v>0</v>
      </c>
      <c r="AJ6" s="44">
        <f t="shared" ref="AJ6:AJ24" si="12">AG6+AI6</f>
        <v>30822.902511858447</v>
      </c>
      <c r="AK6" s="44">
        <f>HLOOKUP(I6,ElecAvoidedCostsWOCC!$A$5:$Q$50,G6+1,FALSE)*J6*L6</f>
        <v>0</v>
      </c>
      <c r="AL6" s="44">
        <f t="shared" ref="AL6:AL24" si="13">AG6+AI6-AK6</f>
        <v>30822.902511858447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30822.902511858447</v>
      </c>
      <c r="AN6" s="48">
        <f t="shared" ref="AN6:AN24" si="14">AM6*1.1+AD6+AE6</f>
        <v>33905.192763044295</v>
      </c>
      <c r="AO6" s="47">
        <f t="shared" ref="AO6:AO24" si="15">IFERROR(AM6/AB6,0)</f>
        <v>1.6215315161210004</v>
      </c>
      <c r="AP6" s="47">
        <f t="shared" ref="AP6:AP24" si="16">AN6/AC6</f>
        <v>2.4051505412101619</v>
      </c>
      <c r="AQ6">
        <v>2020</v>
      </c>
    </row>
    <row r="7" spans="1:43" ht="13.5" customHeight="1">
      <c r="A7" s="36" t="s">
        <v>249</v>
      </c>
      <c r="B7" s="97" t="s">
        <v>15</v>
      </c>
      <c r="C7" s="100">
        <v>18230625</v>
      </c>
      <c r="D7" s="100" t="s">
        <v>78</v>
      </c>
      <c r="E7" s="38" t="s">
        <v>2338</v>
      </c>
      <c r="F7" s="39" t="s">
        <v>2339</v>
      </c>
      <c r="G7" s="39">
        <v>12</v>
      </c>
      <c r="H7" s="39"/>
      <c r="I7" s="40" t="s">
        <v>248</v>
      </c>
      <c r="J7" s="41">
        <v>152</v>
      </c>
      <c r="K7" s="41">
        <v>18.09</v>
      </c>
      <c r="L7" s="41"/>
      <c r="M7" s="42">
        <v>3.19</v>
      </c>
      <c r="N7" s="42">
        <v>3.19</v>
      </c>
      <c r="O7" s="43">
        <v>2749.68</v>
      </c>
      <c r="P7" s="44">
        <v>440.8</v>
      </c>
      <c r="Q7" s="44">
        <v>484.88</v>
      </c>
      <c r="R7" s="45">
        <v>0</v>
      </c>
      <c r="S7" s="46">
        <v>0</v>
      </c>
      <c r="T7" s="39">
        <f t="shared" si="0"/>
        <v>12</v>
      </c>
      <c r="U7" s="47">
        <f t="shared" si="1"/>
        <v>3.3074042092839331E-2</v>
      </c>
      <c r="V7" s="48">
        <f t="shared" si="2"/>
        <v>0</v>
      </c>
      <c r="W7" s="49">
        <f t="shared" si="3"/>
        <v>2.7561701744032779E-3</v>
      </c>
      <c r="X7" s="44">
        <f t="shared" si="4"/>
        <v>740.83056775233069</v>
      </c>
      <c r="Y7" s="44">
        <f t="shared" si="5"/>
        <v>44.079999999999984</v>
      </c>
      <c r="Z7" s="44">
        <f t="shared" si="6"/>
        <v>1652.7688378592118</v>
      </c>
      <c r="AA7" s="50">
        <f t="shared" si="7"/>
        <v>1225.7105677523307</v>
      </c>
      <c r="AB7" s="51">
        <f t="shared" si="8"/>
        <v>1545.0769728514645</v>
      </c>
      <c r="AC7" s="44">
        <f t="shared" si="8"/>
        <v>1145.8451600937931</v>
      </c>
      <c r="AD7" s="44">
        <f t="shared" si="9"/>
        <v>0</v>
      </c>
      <c r="AE7" s="44">
        <v>0</v>
      </c>
      <c r="AF7" s="52">
        <f>HLOOKUP(I7,ElecAvoidedCostsWOCC!$A$5:$Q$50,G7+1,FALSE)</f>
        <v>0.91115730059915656</v>
      </c>
      <c r="AG7" s="44">
        <f t="shared" si="10"/>
        <v>2505.391006311489</v>
      </c>
      <c r="AH7" s="52">
        <f>HLOOKUP(I7,ElecAvoidedCostsWOCC!$A$5:$Q$50,T7+1,FALSE)</f>
        <v>0.91115730059915656</v>
      </c>
      <c r="AI7" s="44">
        <f t="shared" si="11"/>
        <v>0</v>
      </c>
      <c r="AJ7" s="44">
        <f t="shared" si="12"/>
        <v>2505.391006311489</v>
      </c>
      <c r="AK7" s="44">
        <f>HLOOKUP(I7,ElecAvoidedCostsWOCC!$A$5:$Q$50,G7+1,FALSE)*J7*L7</f>
        <v>0</v>
      </c>
      <c r="AL7" s="44">
        <f t="shared" si="13"/>
        <v>2505.391006311489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2505.3910063114886</v>
      </c>
      <c r="AN7" s="48">
        <f t="shared" si="14"/>
        <v>2755.9301069426378</v>
      </c>
      <c r="AO7" s="47">
        <f t="shared" si="15"/>
        <v>1.6215315161210053</v>
      </c>
      <c r="AP7" s="47">
        <f t="shared" si="16"/>
        <v>2.4051505412101677</v>
      </c>
      <c r="AQ7">
        <v>2020</v>
      </c>
    </row>
    <row r="8" spans="1:43" ht="13.5" customHeight="1">
      <c r="A8" s="53">
        <f>SUMIF('Program Costs'!D:D,C2,'Program Costs'!O:O)</f>
        <v>268789.84999999992</v>
      </c>
      <c r="B8" s="97" t="s">
        <v>15</v>
      </c>
      <c r="C8" s="100">
        <v>18230625</v>
      </c>
      <c r="D8" s="100" t="s">
        <v>78</v>
      </c>
      <c r="E8" s="38" t="s">
        <v>2340</v>
      </c>
      <c r="F8" s="39" t="s">
        <v>2341</v>
      </c>
      <c r="G8" s="39">
        <v>12</v>
      </c>
      <c r="H8" s="39"/>
      <c r="I8" s="40" t="s">
        <v>248</v>
      </c>
      <c r="J8" s="41">
        <v>5331</v>
      </c>
      <c r="K8" s="41">
        <v>20.67</v>
      </c>
      <c r="L8" s="41"/>
      <c r="M8" s="42">
        <v>2.69</v>
      </c>
      <c r="N8" s="42">
        <v>2.69</v>
      </c>
      <c r="O8" s="43">
        <v>110191.77</v>
      </c>
      <c r="P8" s="44">
        <v>13007.64</v>
      </c>
      <c r="Q8" s="44">
        <v>14340.39</v>
      </c>
      <c r="R8" s="45">
        <v>0</v>
      </c>
      <c r="S8" s="46">
        <v>0</v>
      </c>
      <c r="T8" s="39">
        <f t="shared" si="0"/>
        <v>12</v>
      </c>
      <c r="U8" s="47">
        <f t="shared" si="1"/>
        <v>1.3254223179658982</v>
      </c>
      <c r="V8" s="48">
        <f t="shared" si="2"/>
        <v>0</v>
      </c>
      <c r="W8" s="49">
        <f t="shared" si="3"/>
        <v>0.11045185983049152</v>
      </c>
      <c r="X8" s="44">
        <f t="shared" si="4"/>
        <v>29688.338836058832</v>
      </c>
      <c r="Y8" s="44">
        <f t="shared" si="5"/>
        <v>1332.75</v>
      </c>
      <c r="Z8" s="44">
        <f t="shared" si="6"/>
        <v>66233.715794037693</v>
      </c>
      <c r="AA8" s="50">
        <f t="shared" si="7"/>
        <v>44028.728836058828</v>
      </c>
      <c r="AB8" s="51">
        <f t="shared" si="8"/>
        <v>61918.029161482365</v>
      </c>
      <c r="AC8" s="44">
        <f t="shared" si="8"/>
        <v>41159.884861231025</v>
      </c>
      <c r="AD8" s="44">
        <f t="shared" si="9"/>
        <v>0</v>
      </c>
      <c r="AE8" s="44">
        <v>0</v>
      </c>
      <c r="AF8" s="52">
        <f>HLOOKUP(I8,ElecAvoidedCostsWOCC!$A$5:$Q$50,G8+1,FALSE)</f>
        <v>0.91115730059915656</v>
      </c>
      <c r="AG8" s="44">
        <f t="shared" si="10"/>
        <v>100402.03570144314</v>
      </c>
      <c r="AH8" s="52">
        <f>HLOOKUP(I8,ElecAvoidedCostsWOCC!$A$5:$Q$50,T8+1,FALSE)</f>
        <v>0.91115730059915656</v>
      </c>
      <c r="AI8" s="44">
        <f t="shared" si="11"/>
        <v>0</v>
      </c>
      <c r="AJ8" s="44">
        <f t="shared" si="12"/>
        <v>100402.03570144314</v>
      </c>
      <c r="AK8" s="44">
        <f>HLOOKUP(I8,ElecAvoidedCostsWOCC!$A$5:$Q$50,G8+1,FALSE)*J8*L8</f>
        <v>0</v>
      </c>
      <c r="AL8" s="44">
        <f t="shared" si="13"/>
        <v>100402.03570144314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100402.03570144314</v>
      </c>
      <c r="AN8" s="48">
        <f t="shared" si="14"/>
        <v>110442.23927158746</v>
      </c>
      <c r="AO8" s="47">
        <f t="shared" si="15"/>
        <v>1.6215315161210055</v>
      </c>
      <c r="AP8" s="47">
        <f t="shared" si="16"/>
        <v>2.6832494707878616</v>
      </c>
      <c r="AQ8">
        <v>2020</v>
      </c>
    </row>
    <row r="9" spans="1:43" ht="13.5" customHeight="1">
      <c r="A9" s="36" t="s">
        <v>250</v>
      </c>
      <c r="B9" s="97" t="s">
        <v>15</v>
      </c>
      <c r="C9" s="100">
        <v>18230625</v>
      </c>
      <c r="D9" s="100" t="s">
        <v>78</v>
      </c>
      <c r="E9" s="38" t="s">
        <v>2352</v>
      </c>
      <c r="F9" s="39" t="s">
        <v>2353</v>
      </c>
      <c r="G9" s="39">
        <v>12</v>
      </c>
      <c r="H9" s="39"/>
      <c r="I9" s="40" t="s">
        <v>248</v>
      </c>
      <c r="J9" s="41">
        <v>3605</v>
      </c>
      <c r="K9" s="41">
        <v>39.409999999999997</v>
      </c>
      <c r="L9" s="41"/>
      <c r="M9" s="42">
        <v>3.6</v>
      </c>
      <c r="N9" s="42">
        <v>3.6</v>
      </c>
      <c r="O9" s="43">
        <v>142073.05000000101</v>
      </c>
      <c r="P9" s="44">
        <v>11788.3500000001</v>
      </c>
      <c r="Q9" s="44">
        <v>12978</v>
      </c>
      <c r="R9" s="45">
        <v>0</v>
      </c>
      <c r="S9" s="46">
        <v>0</v>
      </c>
      <c r="T9" s="39">
        <f t="shared" si="0"/>
        <v>12</v>
      </c>
      <c r="U9" s="47">
        <f t="shared" si="1"/>
        <v>1.7089006851554003</v>
      </c>
      <c r="V9" s="48">
        <f t="shared" si="2"/>
        <v>0</v>
      </c>
      <c r="W9" s="49">
        <f t="shared" si="3"/>
        <v>0.1424083904296167</v>
      </c>
      <c r="X9" s="44">
        <f t="shared" si="4"/>
        <v>38277.929902318094</v>
      </c>
      <c r="Y9" s="44">
        <f t="shared" si="5"/>
        <v>1189.6499999998996</v>
      </c>
      <c r="Z9" s="44">
        <f t="shared" si="6"/>
        <v>85396.81335268663</v>
      </c>
      <c r="AA9" s="50">
        <f t="shared" si="7"/>
        <v>51255.929902318094</v>
      </c>
      <c r="AB9" s="51">
        <f t="shared" si="8"/>
        <v>79832.488877897194</v>
      </c>
      <c r="AC9" s="44">
        <f t="shared" si="8"/>
        <v>47916.172667400286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0.91115730059915656</v>
      </c>
      <c r="AG9" s="44">
        <f t="shared" si="10"/>
        <v>129450.89672588899</v>
      </c>
      <c r="AH9" s="52">
        <f>HLOOKUP(I9,ElecAvoidedCostsWOCC!$A$5:$Q$50,T9+1,FALSE)</f>
        <v>0.91115730059915656</v>
      </c>
      <c r="AI9" s="44">
        <f t="shared" si="11"/>
        <v>0</v>
      </c>
      <c r="AJ9" s="44">
        <f t="shared" si="12"/>
        <v>129450.89672588899</v>
      </c>
      <c r="AK9" s="44">
        <f>HLOOKUP(I9,ElecAvoidedCostsWOCC!$A$5:$Q$50,G9+1,FALSE)*J9*L9</f>
        <v>0</v>
      </c>
      <c r="AL9" s="44">
        <f t="shared" si="13"/>
        <v>129450.89672588899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129450.89672588899</v>
      </c>
      <c r="AN9" s="48">
        <f t="shared" si="14"/>
        <v>142395.98639847789</v>
      </c>
      <c r="AO9" s="47">
        <f t="shared" si="15"/>
        <v>1.6215315161209936</v>
      </c>
      <c r="AP9" s="47">
        <f t="shared" si="16"/>
        <v>2.9717729624794686</v>
      </c>
      <c r="AQ9">
        <v>2020</v>
      </c>
    </row>
    <row r="10" spans="1:43" ht="13.5" customHeight="1">
      <c r="A10" s="54">
        <f>SUM(O5:O999)</f>
        <v>997645.22000000114</v>
      </c>
      <c r="B10" s="97" t="s">
        <v>15</v>
      </c>
      <c r="C10" s="100">
        <v>18230625</v>
      </c>
      <c r="D10" s="100" t="s">
        <v>78</v>
      </c>
      <c r="E10" s="38" t="s">
        <v>2354</v>
      </c>
      <c r="F10" s="39" t="s">
        <v>2355</v>
      </c>
      <c r="G10" s="39">
        <v>12</v>
      </c>
      <c r="H10" s="39"/>
      <c r="I10" s="40" t="s">
        <v>248</v>
      </c>
      <c r="J10" s="41">
        <v>66</v>
      </c>
      <c r="K10" s="41">
        <v>39.409999999999997</v>
      </c>
      <c r="L10" s="41"/>
      <c r="M10" s="42">
        <v>3.6</v>
      </c>
      <c r="N10" s="42">
        <v>3.6</v>
      </c>
      <c r="O10" s="43">
        <v>2601.06</v>
      </c>
      <c r="P10" s="44">
        <v>215.82</v>
      </c>
      <c r="Q10" s="44">
        <v>237.6</v>
      </c>
      <c r="R10" s="45">
        <v>0</v>
      </c>
      <c r="S10" s="46">
        <v>0</v>
      </c>
      <c r="T10" s="39">
        <f t="shared" si="0"/>
        <v>12</v>
      </c>
      <c r="U10" s="47">
        <f t="shared" si="1"/>
        <v>3.1286392571499476E-2</v>
      </c>
      <c r="V10" s="48">
        <f t="shared" si="2"/>
        <v>0</v>
      </c>
      <c r="W10" s="49">
        <f t="shared" si="3"/>
        <v>2.6071993809582898E-3</v>
      </c>
      <c r="X10" s="44">
        <f t="shared" si="4"/>
        <v>700.78873052787139</v>
      </c>
      <c r="Y10" s="44">
        <f t="shared" si="5"/>
        <v>21.78</v>
      </c>
      <c r="Z10" s="44">
        <f t="shared" si="6"/>
        <v>1563.4368047925873</v>
      </c>
      <c r="AA10" s="50">
        <f t="shared" si="7"/>
        <v>938.38873052787142</v>
      </c>
      <c r="AB10" s="51">
        <f t="shared" si="8"/>
        <v>1461.5656770988007</v>
      </c>
      <c r="AC10" s="44">
        <f t="shared" si="8"/>
        <v>877.24477005503536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0.91115730059915656</v>
      </c>
      <c r="AG10" s="44">
        <f t="shared" si="10"/>
        <v>2369.974808296442</v>
      </c>
      <c r="AH10" s="52">
        <f>HLOOKUP(I10,ElecAvoidedCostsWOCC!$A$5:$Q$50,T10+1,FALSE)</f>
        <v>0.91115730059915656</v>
      </c>
      <c r="AI10" s="44">
        <f t="shared" si="11"/>
        <v>0</v>
      </c>
      <c r="AJ10" s="44">
        <f t="shared" si="12"/>
        <v>2369.974808296442</v>
      </c>
      <c r="AK10" s="44">
        <f>HLOOKUP(I10,ElecAvoidedCostsWOCC!$A$5:$Q$50,G10+1,FALSE)*J10*L10</f>
        <v>0</v>
      </c>
      <c r="AL10" s="44">
        <f t="shared" si="13"/>
        <v>2369.974808296442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2369.974808296442</v>
      </c>
      <c r="AN10" s="48">
        <f t="shared" si="14"/>
        <v>2606.9722891260863</v>
      </c>
      <c r="AO10" s="47">
        <f t="shared" si="15"/>
        <v>1.6215315161210053</v>
      </c>
      <c r="AP10" s="47">
        <f t="shared" si="16"/>
        <v>2.9717729624794842</v>
      </c>
      <c r="AQ10">
        <v>2020</v>
      </c>
    </row>
    <row r="11" spans="1:43" ht="13.5" customHeight="1">
      <c r="A11" s="36" t="s">
        <v>251</v>
      </c>
      <c r="B11" s="97" t="s">
        <v>15</v>
      </c>
      <c r="C11" s="100">
        <v>18230625</v>
      </c>
      <c r="D11" s="100" t="s">
        <v>78</v>
      </c>
      <c r="E11" s="38" t="s">
        <v>2356</v>
      </c>
      <c r="F11" s="39" t="s">
        <v>2357</v>
      </c>
      <c r="G11" s="39">
        <v>10</v>
      </c>
      <c r="H11" s="39"/>
      <c r="I11" s="40" t="s">
        <v>265</v>
      </c>
      <c r="J11" s="41">
        <v>424</v>
      </c>
      <c r="K11" s="41">
        <v>22.08</v>
      </c>
      <c r="L11" s="41"/>
      <c r="M11" s="42">
        <v>0.49</v>
      </c>
      <c r="N11" s="42">
        <v>0.49</v>
      </c>
      <c r="O11" s="43">
        <v>9361.9199999999801</v>
      </c>
      <c r="P11" s="44">
        <v>186.55999999999901</v>
      </c>
      <c r="Q11" s="44">
        <v>207.759999999999</v>
      </c>
      <c r="R11" s="45">
        <v>2.74</v>
      </c>
      <c r="S11" s="46">
        <v>0</v>
      </c>
      <c r="T11" s="39">
        <f t="shared" si="0"/>
        <v>10</v>
      </c>
      <c r="U11" s="47">
        <f t="shared" si="1"/>
        <v>9.3840172962488311E-2</v>
      </c>
      <c r="V11" s="48">
        <f t="shared" si="2"/>
        <v>0</v>
      </c>
      <c r="W11" s="49">
        <f t="shared" si="3"/>
        <v>9.3840172962488307E-3</v>
      </c>
      <c r="X11" s="44">
        <f t="shared" si="4"/>
        <v>2522.3286014561281</v>
      </c>
      <c r="Y11" s="44">
        <f t="shared" si="5"/>
        <v>21.199999999999989</v>
      </c>
      <c r="Z11" s="44">
        <f t="shared" si="6"/>
        <v>5627.2328556526154</v>
      </c>
      <c r="AA11" s="50">
        <f t="shared" si="7"/>
        <v>2730.088601456127</v>
      </c>
      <c r="AB11" s="51">
        <f t="shared" si="8"/>
        <v>5260.5710532416706</v>
      </c>
      <c r="AC11" s="44">
        <f t="shared" si="8"/>
        <v>2552.2002444200493</v>
      </c>
      <c r="AD11" s="44">
        <f t="shared" si="9"/>
        <v>8171.043596801348</v>
      </c>
      <c r="AE11" s="44">
        <f t="shared" si="17"/>
        <v>0</v>
      </c>
      <c r="AF11" s="52">
        <f>HLOOKUP(I11,ElecAvoidedCostsWOCC!$A$5:$Q$50,G11+1,FALSE)</f>
        <v>0.74487332198138856</v>
      </c>
      <c r="AG11" s="44">
        <f t="shared" si="10"/>
        <v>6973.4444505239999</v>
      </c>
      <c r="AH11" s="52">
        <f>HLOOKUP(I11,ElecAvoidedCostsWOCC!$A$5:$Q$50,T11+1,FALSE)</f>
        <v>0.74487332198138856</v>
      </c>
      <c r="AI11" s="44">
        <f t="shared" si="11"/>
        <v>0</v>
      </c>
      <c r="AJ11" s="44">
        <f t="shared" si="12"/>
        <v>6973.4444505239999</v>
      </c>
      <c r="AK11" s="44">
        <f>HLOOKUP(I11,ElecAvoidedCostsWOCC!$A$5:$Q$50,G11+1,FALSE)*J11*L11</f>
        <v>0</v>
      </c>
      <c r="AL11" s="44">
        <f t="shared" si="13"/>
        <v>6973.4444505239999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6973.4444505240017</v>
      </c>
      <c r="AN11" s="48">
        <f t="shared" si="14"/>
        <v>15841.832492377751</v>
      </c>
      <c r="AO11" s="47">
        <f t="shared" si="15"/>
        <v>1.3256059807854557</v>
      </c>
      <c r="AP11" s="47">
        <f t="shared" si="16"/>
        <v>6.2071275665039281</v>
      </c>
      <c r="AQ11">
        <v>2020</v>
      </c>
    </row>
    <row r="12" spans="1:43" ht="13.5" customHeight="1">
      <c r="A12" s="55">
        <f>SUM(P5:P1000)</f>
        <v>318602.3000000001</v>
      </c>
      <c r="B12" s="97" t="s">
        <v>15</v>
      </c>
      <c r="C12" s="100">
        <v>18230625</v>
      </c>
      <c r="D12" s="100" t="s">
        <v>78</v>
      </c>
      <c r="E12" s="38" t="s">
        <v>2358</v>
      </c>
      <c r="F12" s="39" t="s">
        <v>2357</v>
      </c>
      <c r="G12" s="39">
        <v>10</v>
      </c>
      <c r="H12" s="39"/>
      <c r="I12" s="40" t="s">
        <v>265</v>
      </c>
      <c r="J12" s="41">
        <v>244</v>
      </c>
      <c r="K12" s="41">
        <v>34.78</v>
      </c>
      <c r="L12" s="41"/>
      <c r="M12" s="42">
        <v>0.45</v>
      </c>
      <c r="N12" s="42">
        <v>0.45</v>
      </c>
      <c r="O12" s="43">
        <v>8486.3200000000106</v>
      </c>
      <c r="P12" s="44">
        <v>109.8</v>
      </c>
      <c r="Q12" s="44">
        <v>109.8</v>
      </c>
      <c r="R12" s="45">
        <v>4.3099999999999996</v>
      </c>
      <c r="S12" s="46">
        <v>0</v>
      </c>
      <c r="T12" s="39">
        <f t="shared" si="0"/>
        <v>10</v>
      </c>
      <c r="U12" s="47">
        <f t="shared" si="1"/>
        <v>8.5063505842287307E-2</v>
      </c>
      <c r="V12" s="48">
        <f t="shared" si="2"/>
        <v>0</v>
      </c>
      <c r="W12" s="49">
        <f t="shared" si="3"/>
        <v>8.5063505842287307E-3</v>
      </c>
      <c r="X12" s="44">
        <f t="shared" si="4"/>
        <v>2286.4206975822522</v>
      </c>
      <c r="Y12" s="44">
        <f t="shared" si="5"/>
        <v>0</v>
      </c>
      <c r="Z12" s="44">
        <f t="shared" si="6"/>
        <v>5100.9300151659118</v>
      </c>
      <c r="AA12" s="50">
        <f t="shared" si="7"/>
        <v>2396.2206975822523</v>
      </c>
      <c r="AB12" s="51">
        <f t="shared" si="8"/>
        <v>4768.561293040957</v>
      </c>
      <c r="AC12" s="44">
        <f t="shared" si="8"/>
        <v>2240.0866575509508</v>
      </c>
      <c r="AD12" s="44">
        <f t="shared" si="9"/>
        <v>7396.5330947357179</v>
      </c>
      <c r="AE12" s="44">
        <f t="shared" si="17"/>
        <v>0</v>
      </c>
      <c r="AF12" s="52">
        <f>HLOOKUP(I12,ElecAvoidedCostsWOCC!$A$5:$Q$50,G12+1,FALSE)</f>
        <v>0.74487332198138856</v>
      </c>
      <c r="AG12" s="44">
        <f t="shared" si="10"/>
        <v>6321.233369797098</v>
      </c>
      <c r="AH12" s="52">
        <f>HLOOKUP(I12,ElecAvoidedCostsWOCC!$A$5:$Q$50,T12+1,FALSE)</f>
        <v>0.74487332198138856</v>
      </c>
      <c r="AI12" s="44">
        <f t="shared" si="11"/>
        <v>0</v>
      </c>
      <c r="AJ12" s="44">
        <f t="shared" si="12"/>
        <v>6321.233369797098</v>
      </c>
      <c r="AK12" s="44">
        <f>HLOOKUP(I12,ElecAvoidedCostsWOCC!$A$5:$Q$50,G12+1,FALSE)*J12*L12</f>
        <v>0</v>
      </c>
      <c r="AL12" s="44">
        <f t="shared" si="13"/>
        <v>6321.233369797098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6321.2333697970971</v>
      </c>
      <c r="AN12" s="48">
        <f t="shared" si="14"/>
        <v>14349.889801512525</v>
      </c>
      <c r="AO12" s="47">
        <f t="shared" si="15"/>
        <v>1.3256059807854512</v>
      </c>
      <c r="AP12" s="47">
        <f t="shared" si="16"/>
        <v>6.4059529809445044</v>
      </c>
      <c r="AQ12">
        <v>2020</v>
      </c>
    </row>
    <row r="13" spans="1:43" ht="13.5" customHeight="1">
      <c r="A13" s="56" t="s">
        <v>252</v>
      </c>
      <c r="B13" s="97" t="s">
        <v>15</v>
      </c>
      <c r="C13" s="100">
        <v>18230625</v>
      </c>
      <c r="D13" s="100" t="s">
        <v>78</v>
      </c>
      <c r="E13" s="38" t="s">
        <v>2359</v>
      </c>
      <c r="F13" s="39" t="s">
        <v>2360</v>
      </c>
      <c r="G13" s="39">
        <v>10</v>
      </c>
      <c r="H13" s="39"/>
      <c r="I13" s="40" t="s">
        <v>265</v>
      </c>
      <c r="J13" s="41">
        <v>164</v>
      </c>
      <c r="K13" s="41">
        <v>36.840000000000003</v>
      </c>
      <c r="L13" s="41"/>
      <c r="M13" s="42">
        <v>1.26</v>
      </c>
      <c r="N13" s="42">
        <v>1.26</v>
      </c>
      <c r="O13" s="43">
        <v>6041.7600000000102</v>
      </c>
      <c r="P13" s="44">
        <v>186.96</v>
      </c>
      <c r="Q13" s="44">
        <v>206.64</v>
      </c>
      <c r="R13" s="45">
        <v>3.8</v>
      </c>
      <c r="S13" s="46">
        <v>0</v>
      </c>
      <c r="T13" s="39">
        <f t="shared" si="0"/>
        <v>10</v>
      </c>
      <c r="U13" s="47">
        <f t="shared" si="1"/>
        <v>6.0560205961794754E-2</v>
      </c>
      <c r="V13" s="48">
        <f t="shared" si="2"/>
        <v>0</v>
      </c>
      <c r="W13" s="49">
        <f t="shared" si="3"/>
        <v>6.0560205961794752E-3</v>
      </c>
      <c r="X13" s="44">
        <f t="shared" si="4"/>
        <v>1627.7968676439912</v>
      </c>
      <c r="Y13" s="44">
        <f t="shared" si="5"/>
        <v>19.679999999999978</v>
      </c>
      <c r="Z13" s="44">
        <f t="shared" si="6"/>
        <v>3631.5617285736121</v>
      </c>
      <c r="AA13" s="50">
        <f t="shared" si="7"/>
        <v>1834.4368676439913</v>
      </c>
      <c r="AB13" s="51">
        <f t="shared" si="8"/>
        <v>3394.934774772003</v>
      </c>
      <c r="AC13" s="44">
        <f t="shared" si="8"/>
        <v>1714.9077943759848</v>
      </c>
      <c r="AD13" s="44">
        <f t="shared" si="9"/>
        <v>4383.1724018098394</v>
      </c>
      <c r="AE13" s="44">
        <f t="shared" si="17"/>
        <v>0</v>
      </c>
      <c r="AF13" s="52">
        <f>HLOOKUP(I13,ElecAvoidedCostsWOCC!$A$5:$Q$50,G13+1,FALSE)</f>
        <v>0.74487332198138856</v>
      </c>
      <c r="AG13" s="44">
        <f t="shared" si="10"/>
        <v>4500.3458418142745</v>
      </c>
      <c r="AH13" s="52">
        <f>HLOOKUP(I13,ElecAvoidedCostsWOCC!$A$5:$Q$50,T13+1,FALSE)</f>
        <v>0.74487332198138856</v>
      </c>
      <c r="AI13" s="44">
        <f t="shared" si="11"/>
        <v>0</v>
      </c>
      <c r="AJ13" s="44">
        <f t="shared" si="12"/>
        <v>4500.3458418142745</v>
      </c>
      <c r="AK13" s="44">
        <f>HLOOKUP(I13,ElecAvoidedCostsWOCC!$A$5:$Q$50,G13+1,FALSE)*J13*L13</f>
        <v>0</v>
      </c>
      <c r="AL13" s="44">
        <f t="shared" si="13"/>
        <v>4500.3458418142745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4500.3458418142745</v>
      </c>
      <c r="AN13" s="48">
        <f t="shared" si="14"/>
        <v>9333.5528278055426</v>
      </c>
      <c r="AO13" s="47">
        <f t="shared" si="15"/>
        <v>1.3256059807854508</v>
      </c>
      <c r="AP13" s="47">
        <f t="shared" si="16"/>
        <v>5.4425974728290312</v>
      </c>
      <c r="AQ13">
        <v>2020</v>
      </c>
    </row>
    <row r="14" spans="1:43" ht="13.5" customHeight="1">
      <c r="A14" s="55">
        <f>SUM(Y5:Y1000)</f>
        <v>108547.40999999992</v>
      </c>
      <c r="B14" s="97" t="s">
        <v>15</v>
      </c>
      <c r="C14" s="100">
        <v>18230625</v>
      </c>
      <c r="D14" s="100" t="s">
        <v>78</v>
      </c>
      <c r="E14" s="38" t="s">
        <v>2361</v>
      </c>
      <c r="F14" s="39" t="s">
        <v>2360</v>
      </c>
      <c r="G14" s="39">
        <v>10</v>
      </c>
      <c r="H14" s="39"/>
      <c r="I14" s="40" t="s">
        <v>265</v>
      </c>
      <c r="J14" s="41">
        <v>89</v>
      </c>
      <c r="K14" s="41">
        <v>58.03</v>
      </c>
      <c r="L14" s="41"/>
      <c r="M14" s="42">
        <v>1.17</v>
      </c>
      <c r="N14" s="42">
        <v>1.17</v>
      </c>
      <c r="O14" s="43">
        <v>5164.67</v>
      </c>
      <c r="P14" s="44">
        <v>104.13</v>
      </c>
      <c r="Q14" s="44">
        <v>104.13</v>
      </c>
      <c r="R14" s="45">
        <v>5.98</v>
      </c>
      <c r="S14" s="46">
        <v>0</v>
      </c>
      <c r="T14" s="39">
        <f t="shared" si="0"/>
        <v>10</v>
      </c>
      <c r="U14" s="47">
        <f t="shared" si="1"/>
        <v>5.1768603672556E-2</v>
      </c>
      <c r="V14" s="48">
        <f t="shared" si="2"/>
        <v>0</v>
      </c>
      <c r="W14" s="49">
        <f t="shared" si="3"/>
        <v>5.1768603672556002E-3</v>
      </c>
      <c r="X14" s="44">
        <f t="shared" si="4"/>
        <v>1391.4875215855773</v>
      </c>
      <c r="Y14" s="44">
        <f t="shared" si="5"/>
        <v>0</v>
      </c>
      <c r="Z14" s="44">
        <f t="shared" si="6"/>
        <v>3104.3632836644028</v>
      </c>
      <c r="AA14" s="50">
        <f t="shared" si="7"/>
        <v>1495.6175215855774</v>
      </c>
      <c r="AB14" s="51">
        <f t="shared" si="8"/>
        <v>2902.08776634982</v>
      </c>
      <c r="AC14" s="44">
        <f t="shared" si="8"/>
        <v>1398.1653936482912</v>
      </c>
      <c r="AD14" s="44">
        <f t="shared" si="9"/>
        <v>3743.2798711348414</v>
      </c>
      <c r="AE14" s="44">
        <f t="shared" si="17"/>
        <v>0</v>
      </c>
      <c r="AF14" s="52">
        <f>HLOOKUP(I14,ElecAvoidedCostsWOCC!$A$5:$Q$50,G14+1,FALSE)</f>
        <v>0.74487332198138856</v>
      </c>
      <c r="AG14" s="44">
        <f t="shared" si="10"/>
        <v>3847.0248998376182</v>
      </c>
      <c r="AH14" s="52">
        <f>HLOOKUP(I14,ElecAvoidedCostsWOCC!$A$5:$Q$50,T14+1,FALSE)</f>
        <v>0.74487332198138856</v>
      </c>
      <c r="AI14" s="44">
        <f t="shared" si="11"/>
        <v>0</v>
      </c>
      <c r="AJ14" s="44">
        <f t="shared" si="12"/>
        <v>3847.0248998376182</v>
      </c>
      <c r="AK14" s="44">
        <f>HLOOKUP(I14,ElecAvoidedCostsWOCC!$A$5:$Q$50,G14+1,FALSE)*J14*L14</f>
        <v>0</v>
      </c>
      <c r="AL14" s="44">
        <f t="shared" si="13"/>
        <v>3847.0248998376182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3847.0248998376182</v>
      </c>
      <c r="AN14" s="48">
        <f t="shared" si="14"/>
        <v>7975.0072609562221</v>
      </c>
      <c r="AO14" s="47">
        <f t="shared" si="15"/>
        <v>1.3256059807854532</v>
      </c>
      <c r="AP14" s="47">
        <f t="shared" si="16"/>
        <v>5.7039083481723889</v>
      </c>
      <c r="AQ14">
        <v>2020</v>
      </c>
    </row>
    <row r="15" spans="1:43" ht="13.5" customHeight="1">
      <c r="A15" s="57" t="s">
        <v>253</v>
      </c>
      <c r="B15" s="97" t="s">
        <v>15</v>
      </c>
      <c r="C15" s="100">
        <v>18230625</v>
      </c>
      <c r="D15" s="100" t="s">
        <v>78</v>
      </c>
      <c r="E15" s="38" t="s">
        <v>2362</v>
      </c>
      <c r="F15" s="39" t="s">
        <v>2363</v>
      </c>
      <c r="G15" s="39">
        <v>3</v>
      </c>
      <c r="H15" s="39">
        <v>7</v>
      </c>
      <c r="I15" s="40" t="s">
        <v>265</v>
      </c>
      <c r="J15" s="41">
        <v>157</v>
      </c>
      <c r="K15" s="41">
        <v>166</v>
      </c>
      <c r="L15" s="41">
        <v>92</v>
      </c>
      <c r="M15" s="42">
        <v>3.51</v>
      </c>
      <c r="N15" s="42">
        <v>3.51</v>
      </c>
      <c r="O15" s="43">
        <v>26062</v>
      </c>
      <c r="P15" s="44">
        <v>500.83</v>
      </c>
      <c r="Q15" s="44">
        <v>551.06999999999903</v>
      </c>
      <c r="R15" s="45">
        <v>13.62</v>
      </c>
      <c r="S15" s="46">
        <v>0</v>
      </c>
      <c r="T15" s="39">
        <f t="shared" si="0"/>
        <v>10</v>
      </c>
      <c r="U15" s="47">
        <f t="shared" si="1"/>
        <v>0.26123515130960051</v>
      </c>
      <c r="V15" s="48">
        <f t="shared" si="2"/>
        <v>0</v>
      </c>
      <c r="W15" s="49">
        <f t="shared" si="3"/>
        <v>2.6123515130960052E-2</v>
      </c>
      <c r="X15" s="44">
        <f t="shared" si="4"/>
        <v>7021.7357135234806</v>
      </c>
      <c r="Y15" s="44">
        <f t="shared" si="5"/>
        <v>50.239999999999043</v>
      </c>
      <c r="Z15" s="44">
        <f t="shared" si="6"/>
        <v>15665.263395117534</v>
      </c>
      <c r="AA15" s="50">
        <f t="shared" si="7"/>
        <v>7572.8057135234794</v>
      </c>
      <c r="AB15" s="51">
        <f t="shared" si="8"/>
        <v>14644.539025070144</v>
      </c>
      <c r="AC15" s="44">
        <f t="shared" si="8"/>
        <v>7079.3733883551267</v>
      </c>
      <c r="AD15" s="44">
        <f t="shared" si="9"/>
        <v>15039.654803732432</v>
      </c>
      <c r="AE15" s="44">
        <f t="shared" si="17"/>
        <v>0</v>
      </c>
      <c r="AF15" s="52">
        <f>HLOOKUP(I15,ElecAvoidedCostsWOCC!$A$5:$Q$50,G15+1,FALSE)</f>
        <v>0.2337612554483032</v>
      </c>
      <c r="AG15" s="44">
        <f t="shared" si="10"/>
        <v>6092.2858394936784</v>
      </c>
      <c r="AH15" s="52">
        <f>HLOOKUP(I15,ElecAvoidedCostsWOCC!$A$5:$Q$50,T15+1,FALSE)</f>
        <v>0.74487332198138856</v>
      </c>
      <c r="AI15" s="44">
        <f t="shared" si="11"/>
        <v>10758.950262699176</v>
      </c>
      <c r="AJ15" s="44">
        <f t="shared" si="12"/>
        <v>16851.236102192855</v>
      </c>
      <c r="AK15" s="44">
        <f>HLOOKUP(I15,ElecAvoidedCostsWOCC!$A$5:$Q$50,G15+1,FALSE)*J15*L15</f>
        <v>3376.4475736952913</v>
      </c>
      <c r="AL15" s="44">
        <f t="shared" si="13"/>
        <v>13474.788528497564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13474.788528497564</v>
      </c>
      <c r="AN15" s="48">
        <f t="shared" si="14"/>
        <v>29861.922185079755</v>
      </c>
      <c r="AO15" s="47">
        <f t="shared" si="15"/>
        <v>0.92012377483715457</v>
      </c>
      <c r="AP15" s="47">
        <f t="shared" si="16"/>
        <v>4.2181589452817505</v>
      </c>
      <c r="AQ15">
        <v>2020</v>
      </c>
    </row>
    <row r="16" spans="1:43" ht="13.5" customHeight="1">
      <c r="A16" s="54">
        <f>SUM(U5:U999)</f>
        <v>11.43537248642358</v>
      </c>
      <c r="B16" s="97" t="s">
        <v>15</v>
      </c>
      <c r="C16" s="100">
        <v>18230625</v>
      </c>
      <c r="D16" s="100" t="s">
        <v>78</v>
      </c>
      <c r="E16" s="38" t="s">
        <v>2364</v>
      </c>
      <c r="F16" s="39" t="s">
        <v>2365</v>
      </c>
      <c r="G16" s="39">
        <v>3</v>
      </c>
      <c r="H16" s="39">
        <v>7</v>
      </c>
      <c r="I16" s="40" t="s">
        <v>265</v>
      </c>
      <c r="J16" s="41">
        <v>181</v>
      </c>
      <c r="K16" s="41">
        <v>166</v>
      </c>
      <c r="L16" s="41">
        <v>92</v>
      </c>
      <c r="M16" s="42">
        <v>8</v>
      </c>
      <c r="N16" s="42">
        <v>8</v>
      </c>
      <c r="O16" s="43">
        <v>30046</v>
      </c>
      <c r="P16" s="44">
        <v>1315.87</v>
      </c>
      <c r="Q16" s="44">
        <v>1448</v>
      </c>
      <c r="R16" s="45">
        <v>13.62</v>
      </c>
      <c r="S16" s="46">
        <v>0</v>
      </c>
      <c r="T16" s="39">
        <f t="shared" si="0"/>
        <v>10</v>
      </c>
      <c r="U16" s="47">
        <f t="shared" si="1"/>
        <v>0.30116918717858404</v>
      </c>
      <c r="V16" s="48">
        <f t="shared" si="2"/>
        <v>0</v>
      </c>
      <c r="W16" s="49">
        <f t="shared" si="3"/>
        <v>3.0116918717858404E-2</v>
      </c>
      <c r="X16" s="44">
        <f t="shared" si="4"/>
        <v>8095.1220646353504</v>
      </c>
      <c r="Y16" s="44">
        <f t="shared" si="5"/>
        <v>132.13000000000011</v>
      </c>
      <c r="Z16" s="44">
        <f t="shared" si="6"/>
        <v>18059.953340867985</v>
      </c>
      <c r="AA16" s="50">
        <f t="shared" si="7"/>
        <v>9543.1220646353504</v>
      </c>
      <c r="AB16" s="51">
        <f t="shared" si="8"/>
        <v>16883.194672214624</v>
      </c>
      <c r="AC16" s="44">
        <f t="shared" si="8"/>
        <v>8921.3069689028234</v>
      </c>
      <c r="AD16" s="44">
        <f t="shared" si="9"/>
        <v>17338.710315131022</v>
      </c>
      <c r="AE16" s="44">
        <f t="shared" si="17"/>
        <v>0</v>
      </c>
      <c r="AF16" s="52">
        <f>HLOOKUP(I16,ElecAvoidedCostsWOCC!$A$5:$Q$50,G16+1,FALSE)</f>
        <v>0.2337612554483032</v>
      </c>
      <c r="AG16" s="44">
        <f t="shared" si="10"/>
        <v>7023.5906811997183</v>
      </c>
      <c r="AH16" s="52">
        <f>HLOOKUP(I16,ElecAvoidedCostsWOCC!$A$5:$Q$50,T16+1,FALSE)</f>
        <v>0.74487332198138856</v>
      </c>
      <c r="AI16" s="44">
        <f t="shared" si="11"/>
        <v>12403.630557634084</v>
      </c>
      <c r="AJ16" s="44">
        <f t="shared" si="12"/>
        <v>19427.221238833801</v>
      </c>
      <c r="AK16" s="44">
        <f>HLOOKUP(I16,ElecAvoidedCostsWOCC!$A$5:$Q$50,G16+1,FALSE)*J16*L16</f>
        <v>3892.5924257251449</v>
      </c>
      <c r="AL16" s="44">
        <f t="shared" si="13"/>
        <v>15534.628813108657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15534.628813108657</v>
      </c>
      <c r="AN16" s="48">
        <f t="shared" si="14"/>
        <v>34426.802009550549</v>
      </c>
      <c r="AO16" s="47">
        <f t="shared" si="15"/>
        <v>0.92012377483715457</v>
      </c>
      <c r="AP16" s="47">
        <f t="shared" si="16"/>
        <v>3.8589415350859166</v>
      </c>
      <c r="AQ16">
        <v>2020</v>
      </c>
    </row>
    <row r="17" spans="1:43" ht="13.5" customHeight="1">
      <c r="A17" s="58" t="s">
        <v>254</v>
      </c>
      <c r="B17" s="97" t="s">
        <v>15</v>
      </c>
      <c r="C17" s="100">
        <v>18230625</v>
      </c>
      <c r="D17" s="100" t="s">
        <v>78</v>
      </c>
      <c r="E17" s="38" t="s">
        <v>2383</v>
      </c>
      <c r="F17" s="39" t="s">
        <v>2384</v>
      </c>
      <c r="G17" s="39">
        <v>3</v>
      </c>
      <c r="H17" s="39">
        <v>7</v>
      </c>
      <c r="I17" s="40" t="s">
        <v>265</v>
      </c>
      <c r="J17" s="41">
        <v>581</v>
      </c>
      <c r="K17" s="41">
        <v>4.72</v>
      </c>
      <c r="L17" s="41">
        <v>2.64</v>
      </c>
      <c r="M17" s="42">
        <v>0</v>
      </c>
      <c r="N17" s="42">
        <v>0</v>
      </c>
      <c r="O17" s="43">
        <v>2742.32</v>
      </c>
      <c r="P17" s="44">
        <v>0</v>
      </c>
      <c r="Q17" s="44">
        <v>0</v>
      </c>
      <c r="R17" s="45">
        <v>0</v>
      </c>
      <c r="S17" s="46">
        <v>0</v>
      </c>
      <c r="T17" s="39">
        <f t="shared" si="0"/>
        <v>10</v>
      </c>
      <c r="U17" s="47">
        <f t="shared" si="1"/>
        <v>2.7487928023150324E-2</v>
      </c>
      <c r="V17" s="48">
        <f t="shared" si="2"/>
        <v>0</v>
      </c>
      <c r="W17" s="49">
        <f t="shared" si="3"/>
        <v>2.7487928023150325E-3</v>
      </c>
      <c r="X17" s="44">
        <f t="shared" si="4"/>
        <v>738.84760501533697</v>
      </c>
      <c r="Y17" s="44">
        <f t="shared" si="5"/>
        <v>0</v>
      </c>
      <c r="Z17" s="44">
        <f t="shared" si="6"/>
        <v>1648.3449126582273</v>
      </c>
      <c r="AA17" s="50">
        <f t="shared" si="7"/>
        <v>738.84760501533697</v>
      </c>
      <c r="AB17" s="51">
        <f t="shared" si="8"/>
        <v>1540.9413037844508</v>
      </c>
      <c r="AC17" s="44">
        <f t="shared" si="8"/>
        <v>690.705436117918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0.2337612554483032</v>
      </c>
      <c r="AG17" s="44">
        <f t="shared" si="10"/>
        <v>641.04816604099074</v>
      </c>
      <c r="AH17" s="52">
        <f>HLOOKUP(I17,ElecAvoidedCostsWOCC!$A$5:$Q$50,T17+1,FALSE)</f>
        <v>0.74487332198138856</v>
      </c>
      <c r="AI17" s="44">
        <f t="shared" si="11"/>
        <v>1142.5164961879332</v>
      </c>
      <c r="AJ17" s="44">
        <f t="shared" si="12"/>
        <v>1783.5646622289239</v>
      </c>
      <c r="AK17" s="44">
        <f>HLOOKUP(I17,ElecAvoidedCostsWOCC!$A$5:$Q$50,G17+1,FALSE)*J17*L17</f>
        <v>358.55236405682535</v>
      </c>
      <c r="AL17" s="44">
        <f t="shared" si="13"/>
        <v>1425.0122981720986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1425.0122981720986</v>
      </c>
      <c r="AN17" s="48">
        <f t="shared" si="14"/>
        <v>1567.5135279893086</v>
      </c>
      <c r="AO17" s="47">
        <f t="shared" si="15"/>
        <v>0.92476740981136774</v>
      </c>
      <c r="AP17" s="47">
        <f t="shared" si="16"/>
        <v>2.2694385276587008</v>
      </c>
      <c r="AQ17">
        <v>2020</v>
      </c>
    </row>
    <row r="18" spans="1:43" ht="13.5" customHeight="1">
      <c r="A18" s="59">
        <f>A6+A8</f>
        <v>599661.3899999999</v>
      </c>
      <c r="B18" s="97" t="s">
        <v>15</v>
      </c>
      <c r="C18" s="100">
        <v>18230625</v>
      </c>
      <c r="D18" s="100" t="s">
        <v>78</v>
      </c>
      <c r="E18" s="38" t="s">
        <v>2385</v>
      </c>
      <c r="F18" s="39" t="s">
        <v>2386</v>
      </c>
      <c r="G18" s="39">
        <v>12</v>
      </c>
      <c r="H18" s="39"/>
      <c r="I18" s="40" t="s">
        <v>248</v>
      </c>
      <c r="J18" s="41">
        <v>1671</v>
      </c>
      <c r="K18" s="41">
        <v>18.54</v>
      </c>
      <c r="L18" s="41"/>
      <c r="M18" s="42">
        <v>3.65</v>
      </c>
      <c r="N18" s="42">
        <v>3.65</v>
      </c>
      <c r="O18" s="43">
        <v>30980.34</v>
      </c>
      <c r="P18" s="44">
        <v>5531.01</v>
      </c>
      <c r="Q18" s="44">
        <v>6099.1499999999896</v>
      </c>
      <c r="R18" s="45">
        <v>0</v>
      </c>
      <c r="S18" s="46">
        <v>0</v>
      </c>
      <c r="T18" s="39">
        <f t="shared" si="0"/>
        <v>12</v>
      </c>
      <c r="U18" s="47">
        <f t="shared" si="1"/>
        <v>0.37264156891364608</v>
      </c>
      <c r="V18" s="48">
        <f t="shared" si="2"/>
        <v>0</v>
      </c>
      <c r="W18" s="49">
        <f t="shared" si="3"/>
        <v>3.1053464076137172E-2</v>
      </c>
      <c r="X18" s="44">
        <f t="shared" si="4"/>
        <v>8346.8559510052964</v>
      </c>
      <c r="Y18" s="44">
        <f t="shared" si="5"/>
        <v>568.13999999998941</v>
      </c>
      <c r="Z18" s="44">
        <f t="shared" si="6"/>
        <v>18621.563432211478</v>
      </c>
      <c r="AA18" s="50">
        <f t="shared" si="7"/>
        <v>14446.005951005285</v>
      </c>
      <c r="AB18" s="51">
        <f t="shared" si="8"/>
        <v>17408.211117333343</v>
      </c>
      <c r="AC18" s="44">
        <f t="shared" si="8"/>
        <v>13504.72651304598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0.91115730059915656</v>
      </c>
      <c r="AG18" s="44">
        <f t="shared" si="10"/>
        <v>28227.962966044073</v>
      </c>
      <c r="AH18" s="52">
        <f>HLOOKUP(I18,ElecAvoidedCostsWOCC!$A$5:$Q$50,T18+1,FALSE)</f>
        <v>0.91115730059915656</v>
      </c>
      <c r="AI18" s="44">
        <f t="shared" si="11"/>
        <v>0</v>
      </c>
      <c r="AJ18" s="44">
        <f t="shared" si="12"/>
        <v>28227.962966044073</v>
      </c>
      <c r="AK18" s="44">
        <f>HLOOKUP(I18,ElecAvoidedCostsWOCC!$A$5:$Q$50,G18+1,FALSE)*J18*L18</f>
        <v>0</v>
      </c>
      <c r="AL18" s="44">
        <f t="shared" si="13"/>
        <v>28227.962966044073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28227.96296604407</v>
      </c>
      <c r="AN18" s="48">
        <f t="shared" si="14"/>
        <v>31050.75926264848</v>
      </c>
      <c r="AO18" s="47">
        <f t="shared" si="15"/>
        <v>1.6215315161210049</v>
      </c>
      <c r="AP18" s="47">
        <f t="shared" si="16"/>
        <v>2.2992512460472629</v>
      </c>
      <c r="AQ18">
        <v>2020</v>
      </c>
    </row>
    <row r="19" spans="1:43" ht="13.5" customHeight="1">
      <c r="A19" s="58" t="s">
        <v>231</v>
      </c>
      <c r="B19" s="97" t="s">
        <v>15</v>
      </c>
      <c r="C19" s="100">
        <v>18230625</v>
      </c>
      <c r="D19" s="100" t="s">
        <v>78</v>
      </c>
      <c r="E19" s="38" t="s">
        <v>2387</v>
      </c>
      <c r="F19" s="39" t="s">
        <v>2388</v>
      </c>
      <c r="G19" s="39">
        <v>12</v>
      </c>
      <c r="H19" s="39"/>
      <c r="I19" s="40" t="s">
        <v>248</v>
      </c>
      <c r="J19" s="41">
        <v>250</v>
      </c>
      <c r="K19" s="41">
        <v>18.54</v>
      </c>
      <c r="L19" s="41"/>
      <c r="M19" s="42">
        <v>3.65</v>
      </c>
      <c r="N19" s="42">
        <v>3.65</v>
      </c>
      <c r="O19" s="43">
        <v>4635</v>
      </c>
      <c r="P19" s="44">
        <v>827.5</v>
      </c>
      <c r="Q19" s="44">
        <v>912.5</v>
      </c>
      <c r="R19" s="45">
        <v>0</v>
      </c>
      <c r="S19" s="46">
        <v>0</v>
      </c>
      <c r="T19" s="39">
        <f t="shared" si="0"/>
        <v>12</v>
      </c>
      <c r="U19" s="47">
        <f t="shared" si="1"/>
        <v>5.575128200383693E-2</v>
      </c>
      <c r="V19" s="48">
        <f t="shared" si="2"/>
        <v>0</v>
      </c>
      <c r="W19" s="49">
        <f t="shared" si="3"/>
        <v>4.6459401669864111E-3</v>
      </c>
      <c r="X19" s="44">
        <f t="shared" si="4"/>
        <v>1248.7815605932519</v>
      </c>
      <c r="Y19" s="44">
        <f t="shared" si="5"/>
        <v>85</v>
      </c>
      <c r="Z19" s="44">
        <f t="shared" si="6"/>
        <v>2785.990938391903</v>
      </c>
      <c r="AA19" s="50">
        <f t="shared" si="7"/>
        <v>2161.2815605932519</v>
      </c>
      <c r="AB19" s="51">
        <f t="shared" si="8"/>
        <v>2604.4600714143244</v>
      </c>
      <c r="AC19" s="44">
        <f t="shared" si="8"/>
        <v>2020.4557918979638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0.91115730059915656</v>
      </c>
      <c r="AG19" s="44">
        <f t="shared" si="10"/>
        <v>4223.21408827709</v>
      </c>
      <c r="AH19" s="52">
        <f>HLOOKUP(I19,ElecAvoidedCostsWOCC!$A$5:$Q$50,T19+1,FALSE)</f>
        <v>0.91115730059915656</v>
      </c>
      <c r="AI19" s="44">
        <f t="shared" si="11"/>
        <v>0</v>
      </c>
      <c r="AJ19" s="44">
        <f t="shared" si="12"/>
        <v>4223.21408827709</v>
      </c>
      <c r="AK19" s="44">
        <f>HLOOKUP(I19,ElecAvoidedCostsWOCC!$A$5:$Q$50,G19+1,FALSE)*J19*L19</f>
        <v>0</v>
      </c>
      <c r="AL19" s="44">
        <f t="shared" si="13"/>
        <v>4223.21408827709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4223.21408827709</v>
      </c>
      <c r="AN19" s="48">
        <f t="shared" si="14"/>
        <v>4645.5354971047991</v>
      </c>
      <c r="AO19" s="47">
        <f t="shared" si="15"/>
        <v>1.6215315161210049</v>
      </c>
      <c r="AP19" s="47">
        <f t="shared" si="16"/>
        <v>2.2992512460472612</v>
      </c>
      <c r="AQ19">
        <v>2020</v>
      </c>
    </row>
    <row r="20" spans="1:43" ht="13.5" customHeight="1">
      <c r="A20" s="59">
        <f>A8+SUM(Q5:Q906)</f>
        <v>695939.55999999982</v>
      </c>
      <c r="B20" s="97" t="s">
        <v>15</v>
      </c>
      <c r="C20" s="100">
        <v>18230625</v>
      </c>
      <c r="D20" s="100" t="s">
        <v>78</v>
      </c>
      <c r="E20" s="38" t="s">
        <v>2389</v>
      </c>
      <c r="F20" s="39" t="s">
        <v>2390</v>
      </c>
      <c r="G20" s="39">
        <v>3</v>
      </c>
      <c r="H20" s="39">
        <v>7</v>
      </c>
      <c r="I20" s="40" t="s">
        <v>265</v>
      </c>
      <c r="J20" s="41">
        <v>66</v>
      </c>
      <c r="K20" s="41">
        <v>187</v>
      </c>
      <c r="L20" s="41">
        <v>91</v>
      </c>
      <c r="M20" s="42">
        <v>3.51</v>
      </c>
      <c r="N20" s="42">
        <v>3.51</v>
      </c>
      <c r="O20" s="43">
        <v>12342</v>
      </c>
      <c r="P20" s="44">
        <v>210.54</v>
      </c>
      <c r="Q20" s="44">
        <v>231.66</v>
      </c>
      <c r="R20" s="45">
        <v>14.53</v>
      </c>
      <c r="S20" s="46">
        <v>0</v>
      </c>
      <c r="T20" s="39">
        <f t="shared" si="0"/>
        <v>10</v>
      </c>
      <c r="U20" s="47">
        <f t="shared" si="1"/>
        <v>0.12371131292545046</v>
      </c>
      <c r="V20" s="48">
        <f t="shared" si="2"/>
        <v>0</v>
      </c>
      <c r="W20" s="49">
        <f t="shared" si="3"/>
        <v>1.2371131292545046E-2</v>
      </c>
      <c r="X20" s="44">
        <f t="shared" si="4"/>
        <v>3325.2345244534881</v>
      </c>
      <c r="Y20" s="44">
        <f t="shared" si="5"/>
        <v>21.120000000000005</v>
      </c>
      <c r="Z20" s="44">
        <f t="shared" si="6"/>
        <v>7418.4897867600575</v>
      </c>
      <c r="AA20" s="50">
        <f t="shared" si="7"/>
        <v>3556.894524453488</v>
      </c>
      <c r="AB20" s="51">
        <f t="shared" si="8"/>
        <v>6935.1124490605371</v>
      </c>
      <c r="AC20" s="44">
        <f t="shared" si="8"/>
        <v>3325.1327703594352</v>
      </c>
      <c r="AD20" s="44">
        <f t="shared" si="9"/>
        <v>6744.8245665718869</v>
      </c>
      <c r="AE20" s="44">
        <f t="shared" si="17"/>
        <v>0</v>
      </c>
      <c r="AF20" s="52">
        <f>HLOOKUP(I20,ElecAvoidedCostsWOCC!$A$5:$Q$50,G20+1,FALSE)</f>
        <v>0.2337612554483032</v>
      </c>
      <c r="AG20" s="44">
        <f t="shared" si="10"/>
        <v>2885.0814147429578</v>
      </c>
      <c r="AH20" s="52">
        <f>HLOOKUP(I20,ElecAvoidedCostsWOCC!$A$5:$Q$50,T20+1,FALSE)</f>
        <v>0.74487332198138856</v>
      </c>
      <c r="AI20" s="44">
        <f t="shared" si="11"/>
        <v>4473.7091718202191</v>
      </c>
      <c r="AJ20" s="44">
        <f t="shared" si="12"/>
        <v>7358.7905865631765</v>
      </c>
      <c r="AK20" s="44">
        <f>HLOOKUP(I20,ElecAvoidedCostsWOCC!$A$5:$Q$50,G20+1,FALSE)*J20*L20</f>
        <v>1403.970100222509</v>
      </c>
      <c r="AL20" s="44">
        <f t="shared" si="13"/>
        <v>5954.8204863406672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5954.8204863406681</v>
      </c>
      <c r="AN20" s="48">
        <f t="shared" si="14"/>
        <v>13295.127101546623</v>
      </c>
      <c r="AO20" s="47">
        <f t="shared" si="15"/>
        <v>0.85864800752399284</v>
      </c>
      <c r="AP20" s="47">
        <f t="shared" si="16"/>
        <v>3.9983748077853343</v>
      </c>
      <c r="AQ20">
        <v>2020</v>
      </c>
    </row>
    <row r="21" spans="1:43" ht="13.5" customHeight="1">
      <c r="A21" s="58" t="s">
        <v>245</v>
      </c>
      <c r="B21" s="97" t="s">
        <v>15</v>
      </c>
      <c r="C21" s="100">
        <v>18230625</v>
      </c>
      <c r="D21" s="100" t="s">
        <v>78</v>
      </c>
      <c r="E21" s="38" t="s">
        <v>2391</v>
      </c>
      <c r="F21" s="39" t="s">
        <v>2392</v>
      </c>
      <c r="G21" s="39">
        <v>3</v>
      </c>
      <c r="H21" s="39">
        <v>7</v>
      </c>
      <c r="I21" s="40" t="s">
        <v>265</v>
      </c>
      <c r="J21" s="41">
        <v>97</v>
      </c>
      <c r="K21" s="41">
        <v>187</v>
      </c>
      <c r="L21" s="41">
        <v>91</v>
      </c>
      <c r="M21" s="42">
        <v>8</v>
      </c>
      <c r="N21" s="42">
        <v>8</v>
      </c>
      <c r="O21" s="43">
        <v>18139</v>
      </c>
      <c r="P21" s="44">
        <v>705.18999999999903</v>
      </c>
      <c r="Q21" s="44">
        <v>776</v>
      </c>
      <c r="R21" s="45">
        <v>14.53</v>
      </c>
      <c r="S21" s="46">
        <v>0</v>
      </c>
      <c r="T21" s="39">
        <f t="shared" si="0"/>
        <v>10</v>
      </c>
      <c r="U21" s="47">
        <f t="shared" si="1"/>
        <v>0.18181814172376809</v>
      </c>
      <c r="V21" s="48">
        <f t="shared" si="2"/>
        <v>0</v>
      </c>
      <c r="W21" s="49">
        <f t="shared" si="3"/>
        <v>1.8181814172376808E-2</v>
      </c>
      <c r="X21" s="44">
        <f t="shared" si="4"/>
        <v>4887.0871041210348</v>
      </c>
      <c r="Y21" s="44">
        <f t="shared" si="5"/>
        <v>70.810000000000969</v>
      </c>
      <c r="Z21" s="44">
        <f t="shared" si="6"/>
        <v>10902.931959329175</v>
      </c>
      <c r="AA21" s="50">
        <f t="shared" si="7"/>
        <v>5663.0871041210348</v>
      </c>
      <c r="AB21" s="51">
        <f t="shared" ref="AB21:AC24" si="18">Z21/(1+ElecDiscountRate)^1</f>
        <v>10192.513750892002</v>
      </c>
      <c r="AC21" s="44">
        <f t="shared" si="18"/>
        <v>5294.0890942516917</v>
      </c>
      <c r="AD21" s="44">
        <f t="shared" si="9"/>
        <v>9912.8482266283791</v>
      </c>
      <c r="AE21" s="44">
        <f t="shared" si="17"/>
        <v>0</v>
      </c>
      <c r="AF21" s="52">
        <f>HLOOKUP(I21,ElecAvoidedCostsWOCC!$A$5:$Q$50,G21+1,FALSE)</f>
        <v>0.2337612554483032</v>
      </c>
      <c r="AG21" s="44">
        <f t="shared" si="10"/>
        <v>4240.1954125767725</v>
      </c>
      <c r="AH21" s="52">
        <f>HLOOKUP(I21,ElecAvoidedCostsWOCC!$A$5:$Q$50,T21+1,FALSE)</f>
        <v>0.74487332198138856</v>
      </c>
      <c r="AI21" s="44">
        <f t="shared" si="11"/>
        <v>6574.9968131297173</v>
      </c>
      <c r="AJ21" s="44">
        <f t="shared" si="12"/>
        <v>10815.192225706491</v>
      </c>
      <c r="AK21" s="44">
        <f>HLOOKUP(I21,ElecAvoidedCostsWOCC!$A$5:$Q$50,G21+1,FALSE)*J21*L21</f>
        <v>2063.4106018421726</v>
      </c>
      <c r="AL21" s="44">
        <f t="shared" si="13"/>
        <v>8751.7816238643172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8751.7816238643172</v>
      </c>
      <c r="AN21" s="48">
        <f t="shared" si="14"/>
        <v>19539.808012879126</v>
      </c>
      <c r="AO21" s="47">
        <f t="shared" si="15"/>
        <v>0.85864800752399295</v>
      </c>
      <c r="AP21" s="47">
        <f t="shared" si="16"/>
        <v>3.6908725306673436</v>
      </c>
      <c r="AQ21">
        <v>2020</v>
      </c>
    </row>
    <row r="22" spans="1:43" ht="13.5" customHeight="1">
      <c r="A22" s="60">
        <f>(SUM(AM5:AM1000)/(SUM(AB5:AB1000)))</f>
        <v>1.0510047785925845</v>
      </c>
      <c r="B22" s="97" t="s">
        <v>15</v>
      </c>
      <c r="C22" s="100">
        <v>18230625</v>
      </c>
      <c r="D22" s="100" t="s">
        <v>78</v>
      </c>
      <c r="E22" s="38" t="s">
        <v>2397</v>
      </c>
      <c r="F22" s="39" t="s">
        <v>2398</v>
      </c>
      <c r="G22" s="39">
        <v>11</v>
      </c>
      <c r="H22" s="39"/>
      <c r="I22" s="40" t="s">
        <v>269</v>
      </c>
      <c r="J22" s="41">
        <v>48</v>
      </c>
      <c r="K22" s="41">
        <v>502</v>
      </c>
      <c r="L22" s="41"/>
      <c r="M22" s="42">
        <v>75</v>
      </c>
      <c r="N22" s="42">
        <v>151.83000000000001</v>
      </c>
      <c r="O22" s="43">
        <v>24096</v>
      </c>
      <c r="P22" s="44">
        <v>4080</v>
      </c>
      <c r="Q22" s="44">
        <v>7287.84</v>
      </c>
      <c r="R22" s="45">
        <v>0</v>
      </c>
      <c r="S22" s="46">
        <v>0</v>
      </c>
      <c r="T22" s="39">
        <f t="shared" si="0"/>
        <v>11</v>
      </c>
      <c r="U22" s="47">
        <f t="shared" si="1"/>
        <v>0.26568162176930965</v>
      </c>
      <c r="V22" s="48">
        <f t="shared" si="2"/>
        <v>76.830000000000013</v>
      </c>
      <c r="W22" s="49">
        <f t="shared" si="3"/>
        <v>2.4152874706300877E-2</v>
      </c>
      <c r="X22" s="44">
        <f t="shared" si="4"/>
        <v>6492.0475693754051</v>
      </c>
      <c r="Y22" s="44">
        <f t="shared" si="5"/>
        <v>3207.84</v>
      </c>
      <c r="Z22" s="44">
        <f t="shared" si="6"/>
        <v>14483.546418876223</v>
      </c>
      <c r="AA22" s="50">
        <f t="shared" si="7"/>
        <v>13779.887569375405</v>
      </c>
      <c r="AB22" s="51">
        <f t="shared" si="18"/>
        <v>13539.820902006377</v>
      </c>
      <c r="AC22" s="44">
        <f t="shared" si="18"/>
        <v>12882.011376437697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1.0685556528500126</v>
      </c>
      <c r="AG22" s="44">
        <f t="shared" si="10"/>
        <v>25747.917011073903</v>
      </c>
      <c r="AH22" s="52">
        <f>HLOOKUP(I22,ElecAvoidedCostsWOCC!$A$5:$Q$50,T22+1,FALSE)</f>
        <v>1.0685556528500126</v>
      </c>
      <c r="AI22" s="44">
        <f t="shared" si="11"/>
        <v>0</v>
      </c>
      <c r="AJ22" s="44">
        <f t="shared" si="12"/>
        <v>25747.917011073903</v>
      </c>
      <c r="AK22" s="44">
        <f>HLOOKUP(I22,ElecAvoidedCostsWOCC!$A$5:$Q$50,G22+1,FALSE)*J22*L22</f>
        <v>0</v>
      </c>
      <c r="AL22" s="44">
        <f t="shared" si="13"/>
        <v>25747.917011073903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25747.917011073907</v>
      </c>
      <c r="AN22" s="48">
        <f t="shared" si="14"/>
        <v>28322.708712181298</v>
      </c>
      <c r="AO22" s="47">
        <f t="shared" si="15"/>
        <v>1.9016438398574749</v>
      </c>
      <c r="AP22" s="47">
        <f t="shared" si="16"/>
        <v>2.1986247243955988</v>
      </c>
      <c r="AQ22">
        <v>2020</v>
      </c>
    </row>
    <row r="23" spans="1:43" ht="13.5" customHeight="1">
      <c r="A23" s="58" t="s">
        <v>246</v>
      </c>
      <c r="B23" s="97" t="s">
        <v>15</v>
      </c>
      <c r="C23" s="100">
        <v>18230625</v>
      </c>
      <c r="D23" s="100" t="s">
        <v>78</v>
      </c>
      <c r="E23" s="38" t="s">
        <v>2399</v>
      </c>
      <c r="F23" s="39" t="s">
        <v>2400</v>
      </c>
      <c r="G23" s="39">
        <v>10</v>
      </c>
      <c r="H23" s="39"/>
      <c r="I23" s="40" t="s">
        <v>265</v>
      </c>
      <c r="J23" s="41">
        <v>81</v>
      </c>
      <c r="K23" s="41">
        <v>39.92</v>
      </c>
      <c r="L23" s="41"/>
      <c r="M23" s="42">
        <v>0.45</v>
      </c>
      <c r="N23" s="42">
        <v>0.45</v>
      </c>
      <c r="O23" s="43">
        <v>3233.52</v>
      </c>
      <c r="P23" s="44">
        <v>36.450000000000003</v>
      </c>
      <c r="Q23" s="44">
        <v>36.450000000000003</v>
      </c>
      <c r="R23" s="45">
        <v>4.95</v>
      </c>
      <c r="S23" s="46">
        <v>0</v>
      </c>
      <c r="T23" s="39">
        <f t="shared" si="0"/>
        <v>10</v>
      </c>
      <c r="U23" s="47">
        <f t="shared" si="1"/>
        <v>3.2411522003784034E-2</v>
      </c>
      <c r="V23" s="48">
        <f t="shared" si="2"/>
        <v>0</v>
      </c>
      <c r="W23" s="49">
        <f t="shared" si="3"/>
        <v>3.2411522003784033E-3</v>
      </c>
      <c r="X23" s="44">
        <f t="shared" si="4"/>
        <v>871.18881376688068</v>
      </c>
      <c r="Y23" s="44">
        <f t="shared" si="5"/>
        <v>0</v>
      </c>
      <c r="Z23" s="44">
        <f t="shared" si="6"/>
        <v>1943.5938336804716</v>
      </c>
      <c r="AA23" s="50">
        <f t="shared" si="7"/>
        <v>907.63881376688073</v>
      </c>
      <c r="AB23" s="51">
        <f t="shared" si="18"/>
        <v>1816.9522610829872</v>
      </c>
      <c r="AC23" s="44">
        <f t="shared" si="18"/>
        <v>848.49847038130383</v>
      </c>
      <c r="AD23" s="44">
        <f t="shared" si="9"/>
        <v>2820.0144006830155</v>
      </c>
      <c r="AE23" s="44">
        <f t="shared" si="17"/>
        <v>0</v>
      </c>
      <c r="AF23" s="52">
        <f>HLOOKUP(I23,ElecAvoidedCostsWOCC!$A$5:$Q$50,G23+1,FALSE)</f>
        <v>0.74487332198138856</v>
      </c>
      <c r="AG23" s="44">
        <f t="shared" si="10"/>
        <v>2408.5627840932598</v>
      </c>
      <c r="AH23" s="52">
        <f>HLOOKUP(I23,ElecAvoidedCostsWOCC!$A$5:$Q$50,T23+1,FALSE)</f>
        <v>0.74487332198138856</v>
      </c>
      <c r="AI23" s="44">
        <f t="shared" si="11"/>
        <v>0</v>
      </c>
      <c r="AJ23" s="44">
        <f t="shared" si="12"/>
        <v>2408.5627840932598</v>
      </c>
      <c r="AK23" s="44">
        <f>HLOOKUP(I23,ElecAvoidedCostsWOCC!$A$5:$Q$50,G23+1,FALSE)*J23*L23</f>
        <v>0</v>
      </c>
      <c r="AL23" s="44">
        <f t="shared" si="13"/>
        <v>2408.5627840932598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2408.5627840932598</v>
      </c>
      <c r="AN23" s="48">
        <f t="shared" si="14"/>
        <v>5469.4334631856018</v>
      </c>
      <c r="AO23" s="47">
        <f t="shared" si="15"/>
        <v>1.325605980785453</v>
      </c>
      <c r="AP23" s="47">
        <f t="shared" si="16"/>
        <v>6.4460145234295023</v>
      </c>
      <c r="AQ23">
        <v>2020</v>
      </c>
    </row>
    <row r="24" spans="1:43" ht="13.5" customHeight="1">
      <c r="A24" s="60">
        <f>(SUM(AN5:AN1000)/SUM(AC5:AC1000))</f>
        <v>1.1975147643667337</v>
      </c>
      <c r="B24" s="97" t="s">
        <v>15</v>
      </c>
      <c r="C24" s="61">
        <v>18230625</v>
      </c>
      <c r="D24" s="61" t="s">
        <v>78</v>
      </c>
      <c r="E24" s="38" t="s">
        <v>2403</v>
      </c>
      <c r="F24" s="39" t="s">
        <v>2404</v>
      </c>
      <c r="G24" s="39">
        <v>10</v>
      </c>
      <c r="H24" s="39"/>
      <c r="I24" s="40" t="s">
        <v>265</v>
      </c>
      <c r="J24" s="41">
        <v>30</v>
      </c>
      <c r="K24" s="41">
        <v>59.38</v>
      </c>
      <c r="L24" s="41"/>
      <c r="M24" s="42">
        <v>1.17</v>
      </c>
      <c r="N24" s="42">
        <v>1.17</v>
      </c>
      <c r="O24" s="43">
        <v>1781.4</v>
      </c>
      <c r="P24" s="44">
        <v>35.1</v>
      </c>
      <c r="Q24" s="44">
        <v>35.1</v>
      </c>
      <c r="R24" s="45">
        <v>6.12</v>
      </c>
      <c r="S24" s="46">
        <v>0</v>
      </c>
      <c r="T24" s="39">
        <f t="shared" si="0"/>
        <v>10</v>
      </c>
      <c r="U24" s="47">
        <f t="shared" si="1"/>
        <v>1.785604706250182E-2</v>
      </c>
      <c r="V24" s="48">
        <f t="shared" si="2"/>
        <v>0</v>
      </c>
      <c r="W24" s="49">
        <f t="shared" si="3"/>
        <v>1.7856047062501819E-3</v>
      </c>
      <c r="X24" s="44">
        <f t="shared" si="4"/>
        <v>479.95242115228029</v>
      </c>
      <c r="Y24" s="44">
        <f t="shared" si="5"/>
        <v>0</v>
      </c>
      <c r="Z24" s="44">
        <f t="shared" si="6"/>
        <v>1070.7582001405256</v>
      </c>
      <c r="AA24" s="50">
        <f t="shared" si="7"/>
        <v>515.05242115228032</v>
      </c>
      <c r="AB24" s="51">
        <f t="shared" si="18"/>
        <v>1000.989249453609</v>
      </c>
      <c r="AC24" s="44">
        <f t="shared" si="18"/>
        <v>481.49240081544383</v>
      </c>
      <c r="AD24" s="44">
        <f t="shared" si="9"/>
        <v>1291.3197255652867</v>
      </c>
      <c r="AE24" s="44">
        <f t="shared" si="17"/>
        <v>0</v>
      </c>
      <c r="AF24" s="52">
        <f>HLOOKUP(I24,ElecAvoidedCostsWOCC!$A$5:$Q$50,G24+1,FALSE)</f>
        <v>0.74487332198138856</v>
      </c>
      <c r="AG24" s="44">
        <f t="shared" si="10"/>
        <v>1326.9173357776456</v>
      </c>
      <c r="AH24" s="52">
        <f>HLOOKUP(I24,ElecAvoidedCostsWOCC!$A$5:$Q$50,T24+1,FALSE)</f>
        <v>0.74487332198138856</v>
      </c>
      <c r="AI24" s="44">
        <f t="shared" si="11"/>
        <v>0</v>
      </c>
      <c r="AJ24" s="44">
        <f t="shared" si="12"/>
        <v>1326.9173357776456</v>
      </c>
      <c r="AK24" s="44">
        <f>HLOOKUP(I24,ElecAvoidedCostsWOCC!$A$5:$Q$50,G24+1,FALSE)*J24*L24</f>
        <v>0</v>
      </c>
      <c r="AL24" s="44">
        <f t="shared" si="13"/>
        <v>1326.9173357776456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1326.9173357776458</v>
      </c>
      <c r="AN24" s="48">
        <f t="shared" si="14"/>
        <v>2750.9287949206973</v>
      </c>
      <c r="AO24" s="47">
        <f t="shared" si="15"/>
        <v>1.325605980785453</v>
      </c>
      <c r="AP24" s="47">
        <f t="shared" si="16"/>
        <v>5.713337926542124</v>
      </c>
      <c r="AQ24">
        <v>2020</v>
      </c>
    </row>
    <row r="25" spans="1:43" ht="13.5" customHeight="1">
      <c r="B25" s="97" t="s">
        <v>15</v>
      </c>
      <c r="C25" s="61">
        <v>18230625</v>
      </c>
      <c r="D25" s="61" t="s">
        <v>78</v>
      </c>
      <c r="E25" s="38" t="s">
        <v>2407</v>
      </c>
      <c r="F25" s="39" t="s">
        <v>2408</v>
      </c>
      <c r="G25" s="39">
        <v>15</v>
      </c>
      <c r="H25" s="39"/>
      <c r="I25" s="40" t="s">
        <v>265</v>
      </c>
      <c r="J25" s="41">
        <v>247</v>
      </c>
      <c r="K25" s="41">
        <v>20.68</v>
      </c>
      <c r="L25" s="41"/>
      <c r="M25" s="42">
        <v>1.56</v>
      </c>
      <c r="N25" s="42">
        <v>1.56</v>
      </c>
      <c r="O25" s="43">
        <v>5107.96</v>
      </c>
      <c r="P25" s="44">
        <v>385.32000000000102</v>
      </c>
      <c r="Q25" s="44">
        <v>385.32000000000102</v>
      </c>
      <c r="R25" s="45">
        <v>0</v>
      </c>
      <c r="S25" s="46">
        <v>0</v>
      </c>
      <c r="T25" s="39">
        <f t="shared" ref="T25:T72" si="19">G25+H25</f>
        <v>15</v>
      </c>
      <c r="U25" s="47">
        <f t="shared" ref="U25:U72" si="20">(O25/$A$10)*T25</f>
        <v>7.6800247687248899E-2</v>
      </c>
      <c r="V25" s="48">
        <f t="shared" ref="V25:V72" si="21">N25-M25</f>
        <v>0</v>
      </c>
      <c r="W25" s="49">
        <f t="shared" ref="W25:W72" si="22">(O25/A$10)</f>
        <v>5.1200165124832596E-3</v>
      </c>
      <c r="X25" s="44">
        <f t="shared" ref="X25:X72" si="23">W25*A$8</f>
        <v>1376.2084703878982</v>
      </c>
      <c r="Y25" s="44">
        <f t="shared" ref="Y25:Y72" si="24">Q25-P25</f>
        <v>0</v>
      </c>
      <c r="Z25" s="44">
        <f t="shared" ref="Z25:Z72" si="25">X25+(A$6*W25)</f>
        <v>3070.2762186986633</v>
      </c>
      <c r="AA25" s="50">
        <f t="shared" ref="AA25:AA72" si="26">Q25+X25</f>
        <v>1761.5284703878992</v>
      </c>
      <c r="AB25" s="51">
        <f t="shared" ref="AB25:AB72" si="27">Z25/(1+ElecDiscountRate)^1</f>
        <v>2870.2217618946088</v>
      </c>
      <c r="AC25" s="44">
        <f t="shared" ref="AC25:AC72" si="28">AA25/(1+ElecDiscountRate)^1</f>
        <v>1646.7499956884164</v>
      </c>
      <c r="AD25" s="44">
        <f t="shared" ref="AD25:AD72" si="29">-PV(ElecDiscountRate,T25,R25)*J25</f>
        <v>0</v>
      </c>
      <c r="AE25" s="44">
        <f t="shared" ref="AE25:AE72" si="30">-PV(ElecDiscountRate,T25,S25)*J25</f>
        <v>0</v>
      </c>
      <c r="AF25" s="52">
        <f>HLOOKUP(I25,ElecAvoidedCostsWOCC!$A$5:$Q$50,G25+1,FALSE)</f>
        <v>1.0786528141421943</v>
      </c>
      <c r="AG25" s="44">
        <f t="shared" ref="AG25:AG72" si="31">AF25*J25*K25</f>
        <v>5509.7154285257629</v>
      </c>
      <c r="AH25" s="52">
        <f>HLOOKUP(I25,ElecAvoidedCostsWOCC!$A$5:$Q$50,T25+1,FALSE)</f>
        <v>1.0786528141421943</v>
      </c>
      <c r="AI25" s="44">
        <f t="shared" ref="AI25:AI72" si="32">AH25*J25*L25</f>
        <v>0</v>
      </c>
      <c r="AJ25" s="44">
        <f t="shared" ref="AJ25:AJ72" si="33">AG25+AI25</f>
        <v>5509.7154285257629</v>
      </c>
      <c r="AK25" s="44">
        <f>HLOOKUP(I25,ElecAvoidedCostsWOCC!$A$5:$Q$50,G25+1,FALSE)*J25*L25</f>
        <v>0</v>
      </c>
      <c r="AL25" s="44">
        <f t="shared" ref="AL25:AL72" si="34">AG25+AI25-AK25</f>
        <v>5509.7154285257629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5509.7154285257629</v>
      </c>
      <c r="AN25" s="48">
        <f t="shared" ref="AN25:AN72" si="35">AM25*1.1+AD25+AE25</f>
        <v>6060.6869713783399</v>
      </c>
      <c r="AO25" s="47">
        <f t="shared" ref="AO25:AO72" si="36">IFERROR(AM25/AB25,0)</f>
        <v>1.919613146856237</v>
      </c>
      <c r="AP25" s="47">
        <f t="shared" ref="AP25:AP72" si="37">AN25/AC25</f>
        <v>3.6803928873518514</v>
      </c>
      <c r="AQ25">
        <v>2020</v>
      </c>
    </row>
    <row r="26" spans="1:43" ht="13.5" customHeight="1">
      <c r="B26" s="97" t="s">
        <v>15</v>
      </c>
      <c r="C26" s="61">
        <v>18230625</v>
      </c>
      <c r="D26" s="61" t="s">
        <v>78</v>
      </c>
      <c r="E26" s="38" t="s">
        <v>2409</v>
      </c>
      <c r="F26" s="39" t="s">
        <v>2410</v>
      </c>
      <c r="G26" s="39">
        <v>3</v>
      </c>
      <c r="H26" s="39">
        <v>7</v>
      </c>
      <c r="I26" s="40" t="s">
        <v>265</v>
      </c>
      <c r="J26" s="41">
        <v>33</v>
      </c>
      <c r="K26" s="41">
        <v>250</v>
      </c>
      <c r="L26" s="41">
        <v>150</v>
      </c>
      <c r="M26" s="42">
        <v>3.9</v>
      </c>
      <c r="N26" s="42">
        <v>3.9</v>
      </c>
      <c r="O26" s="43">
        <v>8250</v>
      </c>
      <c r="P26" s="44">
        <v>128.69999999999999</v>
      </c>
      <c r="Q26" s="44">
        <v>128.69999999999999</v>
      </c>
      <c r="R26" s="45">
        <v>14.91</v>
      </c>
      <c r="S26" s="46">
        <v>0</v>
      </c>
      <c r="T26" s="39">
        <f t="shared" si="19"/>
        <v>10</v>
      </c>
      <c r="U26" s="47">
        <f t="shared" si="20"/>
        <v>8.2694727891343883E-2</v>
      </c>
      <c r="V26" s="48">
        <f t="shared" si="21"/>
        <v>0</v>
      </c>
      <c r="W26" s="49">
        <f t="shared" si="22"/>
        <v>8.269472789134388E-3</v>
      </c>
      <c r="X26" s="44">
        <f t="shared" si="23"/>
        <v>2222.7503505705131</v>
      </c>
      <c r="Y26" s="44">
        <f t="shared" si="24"/>
        <v>0</v>
      </c>
      <c r="Z26" s="44">
        <f t="shared" si="25"/>
        <v>4958.8835472995033</v>
      </c>
      <c r="AA26" s="50">
        <f t="shared" si="26"/>
        <v>2351.4503505705129</v>
      </c>
      <c r="AB26" s="51">
        <f t="shared" si="27"/>
        <v>4635.7703536500912</v>
      </c>
      <c r="AC26" s="44">
        <f t="shared" si="28"/>
        <v>2198.2334772090426</v>
      </c>
      <c r="AD26" s="44">
        <f t="shared" si="29"/>
        <v>3460.6102645418737</v>
      </c>
      <c r="AE26" s="44">
        <f t="shared" si="30"/>
        <v>0</v>
      </c>
      <c r="AF26" s="52">
        <f>HLOOKUP(I26,ElecAvoidedCostsWOCC!$A$5:$Q$50,G26+1,FALSE)</f>
        <v>0.2337612554483032</v>
      </c>
      <c r="AG26" s="44">
        <f t="shared" si="31"/>
        <v>1928.5303574485013</v>
      </c>
      <c r="AH26" s="52">
        <f>HLOOKUP(I26,ElecAvoidedCostsWOCC!$A$5:$Q$50,T26+1,FALSE)</f>
        <v>0.74487332198138856</v>
      </c>
      <c r="AI26" s="44">
        <f t="shared" si="32"/>
        <v>3687.1229438078731</v>
      </c>
      <c r="AJ26" s="44">
        <f t="shared" si="33"/>
        <v>5615.6533012563741</v>
      </c>
      <c r="AK26" s="44">
        <f>HLOOKUP(I26,ElecAvoidedCostsWOCC!$A$5:$Q$50,G26+1,FALSE)*J26*L26</f>
        <v>1157.1182144691008</v>
      </c>
      <c r="AL26" s="44">
        <f t="shared" si="34"/>
        <v>4458.535086787273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4458.5350867872739</v>
      </c>
      <c r="AN26" s="48">
        <f t="shared" si="35"/>
        <v>8364.9988600078759</v>
      </c>
      <c r="AO26" s="47">
        <f t="shared" si="36"/>
        <v>0.96176789328589873</v>
      </c>
      <c r="AP26" s="47">
        <f t="shared" si="37"/>
        <v>3.8053277537326853</v>
      </c>
      <c r="AQ26">
        <v>2020</v>
      </c>
    </row>
    <row r="27" spans="1:43" ht="13.5" customHeight="1">
      <c r="B27" s="97" t="s">
        <v>15</v>
      </c>
      <c r="C27" s="61">
        <v>18230625</v>
      </c>
      <c r="D27" s="61" t="s">
        <v>78</v>
      </c>
      <c r="E27" s="38" t="s">
        <v>2411</v>
      </c>
      <c r="F27" s="39" t="s">
        <v>2412</v>
      </c>
      <c r="G27" s="39">
        <v>3</v>
      </c>
      <c r="H27" s="39">
        <v>7</v>
      </c>
      <c r="I27" s="40" t="s">
        <v>265</v>
      </c>
      <c r="J27" s="41">
        <v>221</v>
      </c>
      <c r="K27" s="41">
        <v>261</v>
      </c>
      <c r="L27" s="41">
        <v>147</v>
      </c>
      <c r="M27" s="42">
        <v>3.9</v>
      </c>
      <c r="N27" s="42">
        <v>3.9</v>
      </c>
      <c r="O27" s="43">
        <v>57681</v>
      </c>
      <c r="P27" s="44">
        <v>861.89999999999804</v>
      </c>
      <c r="Q27" s="44">
        <v>861.89999999999804</v>
      </c>
      <c r="R27" s="45">
        <v>15.21</v>
      </c>
      <c r="S27" s="46">
        <v>0</v>
      </c>
      <c r="T27" s="39">
        <f t="shared" si="19"/>
        <v>10</v>
      </c>
      <c r="U27" s="47">
        <f t="shared" si="20"/>
        <v>0.57817146660613417</v>
      </c>
      <c r="V27" s="48">
        <f t="shared" si="21"/>
        <v>0</v>
      </c>
      <c r="W27" s="49">
        <f t="shared" si="22"/>
        <v>5.7817146660613411E-2</v>
      </c>
      <c r="X27" s="44">
        <f t="shared" si="23"/>
        <v>15540.662178334274</v>
      </c>
      <c r="Y27" s="44">
        <f t="shared" si="24"/>
        <v>0</v>
      </c>
      <c r="Z27" s="44">
        <f t="shared" si="25"/>
        <v>34670.710532337289</v>
      </c>
      <c r="AA27" s="50">
        <f t="shared" si="26"/>
        <v>16402.562178334272</v>
      </c>
      <c r="AB27" s="51">
        <f t="shared" si="27"/>
        <v>32411.620578047383</v>
      </c>
      <c r="AC27" s="44">
        <f t="shared" si="28"/>
        <v>15333.796558225924</v>
      </c>
      <c r="AD27" s="44">
        <f t="shared" si="29"/>
        <v>23641.911975557789</v>
      </c>
      <c r="AE27" s="44">
        <f t="shared" si="30"/>
        <v>0</v>
      </c>
      <c r="AF27" s="52">
        <f>HLOOKUP(I27,ElecAvoidedCostsWOCC!$A$5:$Q$50,G27+1,FALSE)</f>
        <v>0.2337612554483032</v>
      </c>
      <c r="AG27" s="44">
        <f t="shared" si="31"/>
        <v>13483.582975513576</v>
      </c>
      <c r="AH27" s="52">
        <f>HLOOKUP(I27,ElecAvoidedCostsWOCC!$A$5:$Q$50,T27+1,FALSE)</f>
        <v>0.74487332198138856</v>
      </c>
      <c r="AI27" s="44">
        <f t="shared" si="32"/>
        <v>24198.699611209369</v>
      </c>
      <c r="AJ27" s="44">
        <f t="shared" si="33"/>
        <v>37682.282586722948</v>
      </c>
      <c r="AK27" s="44">
        <f>HLOOKUP(I27,ElecAvoidedCostsWOCC!$A$5:$Q$50,G27+1,FALSE)*J27*L27</f>
        <v>7594.2019057490261</v>
      </c>
      <c r="AL27" s="44">
        <f t="shared" si="34"/>
        <v>30088.080680973922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30088.080680973922</v>
      </c>
      <c r="AN27" s="48">
        <f t="shared" si="35"/>
        <v>56738.800724629109</v>
      </c>
      <c r="AO27" s="47">
        <f t="shared" si="36"/>
        <v>0.92831151742387075</v>
      </c>
      <c r="AP27" s="47">
        <f t="shared" si="37"/>
        <v>3.7002447834219621</v>
      </c>
      <c r="AQ27">
        <v>2020</v>
      </c>
    </row>
    <row r="28" spans="1:43" ht="13.5" customHeight="1">
      <c r="B28" s="97" t="s">
        <v>15</v>
      </c>
      <c r="C28" s="61">
        <v>18230625</v>
      </c>
      <c r="D28" s="61" t="s">
        <v>78</v>
      </c>
      <c r="E28" s="38" t="s">
        <v>2417</v>
      </c>
      <c r="F28" s="39" t="s">
        <v>2418</v>
      </c>
      <c r="G28" s="39">
        <v>3</v>
      </c>
      <c r="H28" s="39">
        <v>7</v>
      </c>
      <c r="I28" s="40" t="s">
        <v>265</v>
      </c>
      <c r="J28" s="41">
        <v>57</v>
      </c>
      <c r="K28" s="41">
        <v>250</v>
      </c>
      <c r="L28" s="41">
        <v>150</v>
      </c>
      <c r="M28" s="42">
        <v>8.07</v>
      </c>
      <c r="N28" s="42">
        <v>8.07</v>
      </c>
      <c r="O28" s="43">
        <v>14250</v>
      </c>
      <c r="P28" s="44">
        <v>459.99</v>
      </c>
      <c r="Q28" s="44">
        <v>459.99</v>
      </c>
      <c r="R28" s="45">
        <v>14.91</v>
      </c>
      <c r="S28" s="46">
        <v>0</v>
      </c>
      <c r="T28" s="39">
        <f t="shared" si="19"/>
        <v>10</v>
      </c>
      <c r="U28" s="47">
        <f t="shared" si="20"/>
        <v>0.14283634817595761</v>
      </c>
      <c r="V28" s="48">
        <f t="shared" si="21"/>
        <v>0</v>
      </c>
      <c r="W28" s="49">
        <f t="shared" si="22"/>
        <v>1.4283634817595762E-2</v>
      </c>
      <c r="X28" s="44">
        <f t="shared" si="23"/>
        <v>3839.2960600763408</v>
      </c>
      <c r="Y28" s="44">
        <f t="shared" si="24"/>
        <v>0</v>
      </c>
      <c r="Z28" s="44">
        <f t="shared" si="25"/>
        <v>8565.3443089718694</v>
      </c>
      <c r="AA28" s="50">
        <f t="shared" si="26"/>
        <v>4299.2860600763406</v>
      </c>
      <c r="AB28" s="51">
        <f t="shared" si="27"/>
        <v>8007.2397017592493</v>
      </c>
      <c r="AC28" s="44">
        <f t="shared" si="28"/>
        <v>4019.1512200395814</v>
      </c>
      <c r="AD28" s="44">
        <f t="shared" si="29"/>
        <v>5977.4177296632361</v>
      </c>
      <c r="AE28" s="44">
        <f t="shared" si="30"/>
        <v>0</v>
      </c>
      <c r="AF28" s="52">
        <f>HLOOKUP(I28,ElecAvoidedCostsWOCC!$A$5:$Q$50,G28+1,FALSE)</f>
        <v>0.2337612554483032</v>
      </c>
      <c r="AG28" s="44">
        <f t="shared" si="31"/>
        <v>3331.0978901383205</v>
      </c>
      <c r="AH28" s="52">
        <f>HLOOKUP(I28,ElecAvoidedCostsWOCC!$A$5:$Q$50,T28+1,FALSE)</f>
        <v>0.74487332198138856</v>
      </c>
      <c r="AI28" s="44">
        <f t="shared" si="32"/>
        <v>6368.6669029408722</v>
      </c>
      <c r="AJ28" s="44">
        <f t="shared" si="33"/>
        <v>9699.7647930791936</v>
      </c>
      <c r="AK28" s="44">
        <f>HLOOKUP(I28,ElecAvoidedCostsWOCC!$A$5:$Q$50,G28+1,FALSE)*J28*L28</f>
        <v>1998.6587340829924</v>
      </c>
      <c r="AL28" s="44">
        <f t="shared" si="34"/>
        <v>7701.1060589962017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7701.1060589962017</v>
      </c>
      <c r="AN28" s="48">
        <f t="shared" si="35"/>
        <v>14448.63439455906</v>
      </c>
      <c r="AO28" s="47">
        <f t="shared" si="36"/>
        <v>0.96176789328589873</v>
      </c>
      <c r="AP28" s="47">
        <f t="shared" si="37"/>
        <v>3.5949466948438848</v>
      </c>
      <c r="AQ28">
        <v>2020</v>
      </c>
    </row>
    <row r="29" spans="1:43">
      <c r="B29" s="97" t="s">
        <v>15</v>
      </c>
      <c r="C29" s="61">
        <v>18230625</v>
      </c>
      <c r="D29" s="61" t="s">
        <v>78</v>
      </c>
      <c r="E29" s="38" t="s">
        <v>2419</v>
      </c>
      <c r="F29" s="39" t="s">
        <v>2420</v>
      </c>
      <c r="G29" s="39">
        <v>3</v>
      </c>
      <c r="H29" s="39">
        <v>7</v>
      </c>
      <c r="I29" s="40" t="s">
        <v>265</v>
      </c>
      <c r="J29" s="41">
        <v>197</v>
      </c>
      <c r="K29" s="41">
        <v>261</v>
      </c>
      <c r="L29" s="41">
        <v>147</v>
      </c>
      <c r="M29" s="42">
        <v>8.07</v>
      </c>
      <c r="N29" s="42">
        <v>8.07</v>
      </c>
      <c r="O29" s="43">
        <v>51417</v>
      </c>
      <c r="P29" s="44">
        <v>1589.79</v>
      </c>
      <c r="Q29" s="44">
        <v>1589.79</v>
      </c>
      <c r="R29" s="45">
        <v>15.21</v>
      </c>
      <c r="S29" s="46">
        <v>0</v>
      </c>
      <c r="T29" s="39">
        <f t="shared" si="19"/>
        <v>10</v>
      </c>
      <c r="U29" s="47">
        <f t="shared" si="20"/>
        <v>0.51538361502899743</v>
      </c>
      <c r="V29" s="48">
        <f t="shared" si="21"/>
        <v>0</v>
      </c>
      <c r="W29" s="49">
        <f t="shared" si="22"/>
        <v>5.153836150289974E-2</v>
      </c>
      <c r="X29" s="44">
        <f t="shared" si="23"/>
        <v>13852.988457610192</v>
      </c>
      <c r="Y29" s="44">
        <f t="shared" si="24"/>
        <v>0</v>
      </c>
      <c r="Z29" s="44">
        <f t="shared" si="25"/>
        <v>30905.565497151343</v>
      </c>
      <c r="AA29" s="50">
        <f t="shared" si="26"/>
        <v>15442.778457610191</v>
      </c>
      <c r="AB29" s="51">
        <f t="shared" si="27"/>
        <v>28891.806578621428</v>
      </c>
      <c r="AC29" s="44">
        <f t="shared" si="28"/>
        <v>14436.550862494334</v>
      </c>
      <c r="AD29" s="44">
        <f t="shared" si="29"/>
        <v>21074.464521198573</v>
      </c>
      <c r="AE29" s="44">
        <f t="shared" si="30"/>
        <v>0</v>
      </c>
      <c r="AF29" s="52">
        <f>HLOOKUP(I29,ElecAvoidedCostsWOCC!$A$5:$Q$50,G29+1,FALSE)</f>
        <v>0.2337612554483032</v>
      </c>
      <c r="AG29" s="44">
        <f t="shared" si="31"/>
        <v>12019.302471385407</v>
      </c>
      <c r="AH29" s="52">
        <f>HLOOKUP(I29,ElecAvoidedCostsWOCC!$A$5:$Q$50,T29+1,FALSE)</f>
        <v>0.74487332198138856</v>
      </c>
      <c r="AI29" s="44">
        <f t="shared" si="32"/>
        <v>21570.786531259029</v>
      </c>
      <c r="AJ29" s="44">
        <f t="shared" si="33"/>
        <v>33590.089002644439</v>
      </c>
      <c r="AK29" s="44">
        <f>HLOOKUP(I29,ElecAvoidedCostsWOCC!$A$5:$Q$50,G29+1,FALSE)*J29*L29</f>
        <v>6769.4921965274125</v>
      </c>
      <c r="AL29" s="44">
        <f t="shared" si="34"/>
        <v>26820.596806117028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26820.596806117021</v>
      </c>
      <c r="AN29" s="48">
        <f t="shared" si="35"/>
        <v>50577.121007927301</v>
      </c>
      <c r="AO29" s="47">
        <f t="shared" si="36"/>
        <v>0.92831151742387041</v>
      </c>
      <c r="AP29" s="47">
        <f t="shared" si="37"/>
        <v>3.5034075306259567</v>
      </c>
      <c r="AQ29">
        <v>2020</v>
      </c>
    </row>
    <row r="30" spans="1:43">
      <c r="B30" s="97" t="s">
        <v>15</v>
      </c>
      <c r="C30" s="61">
        <v>18230625</v>
      </c>
      <c r="D30" s="61" t="s">
        <v>78</v>
      </c>
      <c r="E30" s="38" t="s">
        <v>658</v>
      </c>
      <c r="F30" s="39" t="s">
        <v>659</v>
      </c>
      <c r="G30" s="39">
        <v>11</v>
      </c>
      <c r="H30" s="39"/>
      <c r="I30" s="40" t="s">
        <v>269</v>
      </c>
      <c r="J30" s="41">
        <v>15</v>
      </c>
      <c r="K30" s="41">
        <v>506</v>
      </c>
      <c r="L30" s="41"/>
      <c r="M30" s="42">
        <v>75</v>
      </c>
      <c r="N30" s="42">
        <v>172.38</v>
      </c>
      <c r="O30" s="43">
        <v>7590</v>
      </c>
      <c r="P30" s="44">
        <v>1575</v>
      </c>
      <c r="Q30" s="44">
        <v>2585.6999999999998</v>
      </c>
      <c r="R30" s="45">
        <v>0</v>
      </c>
      <c r="S30" s="46">
        <v>0</v>
      </c>
      <c r="T30" s="39">
        <f t="shared" si="19"/>
        <v>11</v>
      </c>
      <c r="U30" s="47">
        <f t="shared" si="20"/>
        <v>8.3687064626040017E-2</v>
      </c>
      <c r="V30" s="48">
        <f t="shared" si="21"/>
        <v>97.38</v>
      </c>
      <c r="W30" s="49">
        <f t="shared" si="22"/>
        <v>7.6079149660036377E-3</v>
      </c>
      <c r="X30" s="44">
        <f t="shared" si="23"/>
        <v>2044.9303225248723</v>
      </c>
      <c r="Y30" s="44">
        <f t="shared" si="24"/>
        <v>1010.6999999999998</v>
      </c>
      <c r="Z30" s="44">
        <f t="shared" si="25"/>
        <v>4562.1728635155432</v>
      </c>
      <c r="AA30" s="50">
        <f t="shared" si="26"/>
        <v>4630.6303225248721</v>
      </c>
      <c r="AB30" s="51">
        <f t="shared" si="27"/>
        <v>4264.9087253580847</v>
      </c>
      <c r="AC30" s="44">
        <f t="shared" si="28"/>
        <v>4328.9056020612061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1.0685556528500126</v>
      </c>
      <c r="AG30" s="44">
        <f t="shared" si="31"/>
        <v>8110.3374051315959</v>
      </c>
      <c r="AH30" s="52">
        <f>HLOOKUP(I30,ElecAvoidedCostsWOCC!$A$5:$Q$50,T30+1,FALSE)</f>
        <v>1.0685556528500126</v>
      </c>
      <c r="AI30" s="44">
        <f t="shared" si="32"/>
        <v>0</v>
      </c>
      <c r="AJ30" s="44">
        <f t="shared" si="33"/>
        <v>8110.3374051315959</v>
      </c>
      <c r="AK30" s="44">
        <f>HLOOKUP(I30,ElecAvoidedCostsWOCC!$A$5:$Q$50,G30+1,FALSE)*J30*L30</f>
        <v>0</v>
      </c>
      <c r="AL30" s="44">
        <f t="shared" si="34"/>
        <v>8110.3374051315959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8110.3374051315968</v>
      </c>
      <c r="AN30" s="48">
        <f t="shared" si="35"/>
        <v>8921.3711456447563</v>
      </c>
      <c r="AO30" s="47">
        <f t="shared" si="36"/>
        <v>1.9016438398574749</v>
      </c>
      <c r="AP30" s="47">
        <f t="shared" si="37"/>
        <v>2.0608837350014864</v>
      </c>
      <c r="AQ30">
        <v>2020</v>
      </c>
    </row>
    <row r="31" spans="1:43">
      <c r="B31" s="97" t="s">
        <v>15</v>
      </c>
      <c r="C31" s="61">
        <v>18230625</v>
      </c>
      <c r="D31" s="61" t="s">
        <v>78</v>
      </c>
      <c r="E31" s="38" t="s">
        <v>2425</v>
      </c>
      <c r="F31" s="39" t="s">
        <v>2426</v>
      </c>
      <c r="G31" s="39">
        <v>11</v>
      </c>
      <c r="H31" s="39"/>
      <c r="I31" s="40" t="s">
        <v>269</v>
      </c>
      <c r="J31" s="41">
        <v>73</v>
      </c>
      <c r="K31" s="41">
        <v>506</v>
      </c>
      <c r="L31" s="41"/>
      <c r="M31" s="42">
        <v>150</v>
      </c>
      <c r="N31" s="42">
        <v>172.38</v>
      </c>
      <c r="O31" s="43">
        <v>36938</v>
      </c>
      <c r="P31" s="44">
        <v>7665</v>
      </c>
      <c r="Q31" s="44">
        <v>12583.74</v>
      </c>
      <c r="R31" s="45">
        <v>0</v>
      </c>
      <c r="S31" s="46">
        <v>0</v>
      </c>
      <c r="T31" s="39">
        <f t="shared" si="19"/>
        <v>11</v>
      </c>
      <c r="U31" s="47">
        <f t="shared" si="20"/>
        <v>0.40727704784672802</v>
      </c>
      <c r="V31" s="48">
        <f t="shared" si="21"/>
        <v>22.379999999999995</v>
      </c>
      <c r="W31" s="49">
        <f t="shared" si="22"/>
        <v>3.7025186167884368E-2</v>
      </c>
      <c r="X31" s="44">
        <f t="shared" si="23"/>
        <v>9951.9942362877118</v>
      </c>
      <c r="Y31" s="44">
        <f t="shared" si="24"/>
        <v>4918.74</v>
      </c>
      <c r="Z31" s="44">
        <f t="shared" si="25"/>
        <v>22202.57460244231</v>
      </c>
      <c r="AA31" s="50">
        <f t="shared" si="26"/>
        <v>22535.73423628771</v>
      </c>
      <c r="AB31" s="51">
        <f t="shared" si="27"/>
        <v>20755.889130076011</v>
      </c>
      <c r="AC31" s="44">
        <f t="shared" si="28"/>
        <v>21067.340596697868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1.0685556528500126</v>
      </c>
      <c r="AG31" s="44">
        <f t="shared" si="31"/>
        <v>39470.308704973773</v>
      </c>
      <c r="AH31" s="52">
        <f>HLOOKUP(I31,ElecAvoidedCostsWOCC!$A$5:$Q$50,T31+1,FALSE)</f>
        <v>1.0685556528500126</v>
      </c>
      <c r="AI31" s="44">
        <f t="shared" si="32"/>
        <v>0</v>
      </c>
      <c r="AJ31" s="44">
        <f t="shared" si="33"/>
        <v>39470.308704973773</v>
      </c>
      <c r="AK31" s="44">
        <f>HLOOKUP(I31,ElecAvoidedCostsWOCC!$A$5:$Q$50,G31+1,FALSE)*J31*L31</f>
        <v>0</v>
      </c>
      <c r="AL31" s="44">
        <f t="shared" si="34"/>
        <v>39470.308704973773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39470.308704973773</v>
      </c>
      <c r="AN31" s="48">
        <f t="shared" si="35"/>
        <v>43417.339575471153</v>
      </c>
      <c r="AO31" s="47">
        <f t="shared" si="36"/>
        <v>1.9016438398574751</v>
      </c>
      <c r="AP31" s="47">
        <f t="shared" si="37"/>
        <v>2.0608837350014868</v>
      </c>
      <c r="AQ31">
        <v>2020</v>
      </c>
    </row>
    <row r="32" spans="1:43">
      <c r="B32" s="97" t="s">
        <v>15</v>
      </c>
      <c r="C32" s="61">
        <v>18230625</v>
      </c>
      <c r="D32" s="61" t="s">
        <v>78</v>
      </c>
      <c r="E32" s="38" t="s">
        <v>2429</v>
      </c>
      <c r="F32" s="39" t="s">
        <v>2430</v>
      </c>
      <c r="G32" s="39">
        <v>1</v>
      </c>
      <c r="H32" s="39">
        <v>11</v>
      </c>
      <c r="I32" s="40" t="s">
        <v>248</v>
      </c>
      <c r="J32" s="41">
        <v>2336</v>
      </c>
      <c r="K32" s="41">
        <v>44</v>
      </c>
      <c r="L32" s="41">
        <v>5</v>
      </c>
      <c r="M32" s="42">
        <v>2.2000000000000002</v>
      </c>
      <c r="N32" s="42">
        <v>2.2000000000000002</v>
      </c>
      <c r="O32" s="43">
        <v>102784</v>
      </c>
      <c r="P32" s="44">
        <v>5139.1999999999898</v>
      </c>
      <c r="Q32" s="44">
        <v>5139.1999999999898</v>
      </c>
      <c r="R32" s="45">
        <v>0</v>
      </c>
      <c r="S32" s="46">
        <v>0</v>
      </c>
      <c r="T32" s="39">
        <f t="shared" si="19"/>
        <v>12</v>
      </c>
      <c r="U32" s="47">
        <f t="shared" si="20"/>
        <v>1.2363192598667476</v>
      </c>
      <c r="V32" s="48">
        <f t="shared" si="21"/>
        <v>0</v>
      </c>
      <c r="W32" s="49">
        <f t="shared" si="22"/>
        <v>0.10302660498889564</v>
      </c>
      <c r="X32" s="44">
        <f t="shared" si="23"/>
        <v>27692.505700974503</v>
      </c>
      <c r="Y32" s="44">
        <f t="shared" si="24"/>
        <v>0</v>
      </c>
      <c r="Z32" s="44">
        <f t="shared" si="25"/>
        <v>61781.077154622079</v>
      </c>
      <c r="AA32" s="50">
        <f t="shared" si="26"/>
        <v>32831.705700974489</v>
      </c>
      <c r="AB32" s="51">
        <f t="shared" si="27"/>
        <v>57755.51757934194</v>
      </c>
      <c r="AC32" s="44">
        <f t="shared" si="28"/>
        <v>30692.442461413935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8.6279755452712409E-2</v>
      </c>
      <c r="AG32" s="44">
        <f t="shared" si="31"/>
        <v>8868.1783844515921</v>
      </c>
      <c r="AH32" s="52">
        <f>HLOOKUP(I32,ElecAvoidedCostsWOCC!$A$5:$Q$50,T32+1,FALSE)</f>
        <v>0.91115730059915656</v>
      </c>
      <c r="AI32" s="44">
        <f t="shared" si="32"/>
        <v>10642.317270998148</v>
      </c>
      <c r="AJ32" s="44">
        <f t="shared" si="33"/>
        <v>19510.49565544974</v>
      </c>
      <c r="AK32" s="44">
        <f>HLOOKUP(I32,ElecAvoidedCostsWOCC!$A$5:$Q$50,G32+1,FALSE)*J32*L32</f>
        <v>1007.7475436876809</v>
      </c>
      <c r="AL32" s="44">
        <f t="shared" si="34"/>
        <v>18502.748111762059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18502.748111762059</v>
      </c>
      <c r="AN32" s="48">
        <f t="shared" si="35"/>
        <v>20353.022922938268</v>
      </c>
      <c r="AO32" s="47">
        <f t="shared" si="36"/>
        <v>0.32036329838692579</v>
      </c>
      <c r="AP32" s="47">
        <f t="shared" si="37"/>
        <v>0.66312816089908044</v>
      </c>
      <c r="AQ32">
        <v>2020</v>
      </c>
    </row>
    <row r="33" spans="2:43">
      <c r="B33" s="97" t="s">
        <v>15</v>
      </c>
      <c r="C33" s="61">
        <v>18230625</v>
      </c>
      <c r="D33" s="61" t="s">
        <v>78</v>
      </c>
      <c r="E33" s="38" t="s">
        <v>2431</v>
      </c>
      <c r="F33" s="39" t="s">
        <v>2432</v>
      </c>
      <c r="G33" s="39">
        <v>1</v>
      </c>
      <c r="H33" s="39">
        <v>11</v>
      </c>
      <c r="I33" s="40" t="s">
        <v>248</v>
      </c>
      <c r="J33" s="41">
        <v>1605</v>
      </c>
      <c r="K33" s="41">
        <v>37</v>
      </c>
      <c r="L33" s="41">
        <v>5</v>
      </c>
      <c r="M33" s="42">
        <v>2.8</v>
      </c>
      <c r="N33" s="42">
        <v>2.8</v>
      </c>
      <c r="O33" s="43">
        <v>59385</v>
      </c>
      <c r="P33" s="44">
        <v>4494</v>
      </c>
      <c r="Q33" s="44">
        <v>4494</v>
      </c>
      <c r="R33" s="45">
        <v>0</v>
      </c>
      <c r="S33" s="46">
        <v>0</v>
      </c>
      <c r="T33" s="39">
        <f t="shared" si="19"/>
        <v>12</v>
      </c>
      <c r="U33" s="47">
        <f t="shared" si="20"/>
        <v>0.71430202412035737</v>
      </c>
      <c r="V33" s="48">
        <f t="shared" si="21"/>
        <v>0</v>
      </c>
      <c r="W33" s="49">
        <f t="shared" si="22"/>
        <v>5.9525168676696445E-2</v>
      </c>
      <c r="X33" s="44">
        <f t="shared" si="23"/>
        <v>15999.761159833932</v>
      </c>
      <c r="Y33" s="44">
        <f t="shared" si="24"/>
        <v>0</v>
      </c>
      <c r="Z33" s="44">
        <f t="shared" si="25"/>
        <v>35694.945388652246</v>
      </c>
      <c r="AA33" s="50">
        <f t="shared" si="26"/>
        <v>20493.761159833932</v>
      </c>
      <c r="AB33" s="51">
        <f t="shared" si="27"/>
        <v>33369.117872910392</v>
      </c>
      <c r="AC33" s="44">
        <f t="shared" si="28"/>
        <v>19158.419332367888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8.6279755452712409E-2</v>
      </c>
      <c r="AG33" s="44">
        <f t="shared" si="31"/>
        <v>5123.7232775593257</v>
      </c>
      <c r="AH33" s="52">
        <f>HLOOKUP(I33,ElecAvoidedCostsWOCC!$A$5:$Q$50,T33+1,FALSE)</f>
        <v>0.91115730059915656</v>
      </c>
      <c r="AI33" s="44">
        <f t="shared" si="32"/>
        <v>7312.0373373082311</v>
      </c>
      <c r="AJ33" s="44">
        <f t="shared" si="33"/>
        <v>12435.760614867557</v>
      </c>
      <c r="AK33" s="44">
        <f>HLOOKUP(I33,ElecAvoidedCostsWOCC!$A$5:$Q$50,G33+1,FALSE)*J33*L33</f>
        <v>692.39503750801703</v>
      </c>
      <c r="AL33" s="44">
        <f t="shared" si="34"/>
        <v>11743.36557735954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11743.365577359542</v>
      </c>
      <c r="AN33" s="48">
        <f t="shared" si="35"/>
        <v>12917.702135095496</v>
      </c>
      <c r="AO33" s="47">
        <f t="shared" si="36"/>
        <v>0.35192316506793253</v>
      </c>
      <c r="AP33" s="47">
        <f t="shared" si="37"/>
        <v>0.67425719789268912</v>
      </c>
      <c r="AQ33">
        <v>2020</v>
      </c>
    </row>
    <row r="34" spans="2:43">
      <c r="B34" s="97" t="s">
        <v>15</v>
      </c>
      <c r="C34" s="61">
        <v>18230625</v>
      </c>
      <c r="D34" s="61" t="s">
        <v>78</v>
      </c>
      <c r="E34" s="38" t="s">
        <v>2433</v>
      </c>
      <c r="F34" s="39" t="s">
        <v>2434</v>
      </c>
      <c r="G34" s="39">
        <v>1</v>
      </c>
      <c r="H34" s="39">
        <v>11</v>
      </c>
      <c r="I34" s="40" t="s">
        <v>248</v>
      </c>
      <c r="J34" s="41">
        <v>103</v>
      </c>
      <c r="K34" s="41">
        <v>40</v>
      </c>
      <c r="L34" s="41">
        <v>5</v>
      </c>
      <c r="M34" s="42">
        <v>2.75</v>
      </c>
      <c r="N34" s="42">
        <v>2.75</v>
      </c>
      <c r="O34" s="43">
        <v>4120</v>
      </c>
      <c r="P34" s="44">
        <v>283.25</v>
      </c>
      <c r="Q34" s="44">
        <v>283.25</v>
      </c>
      <c r="R34" s="45">
        <v>0</v>
      </c>
      <c r="S34" s="46">
        <v>0</v>
      </c>
      <c r="T34" s="39">
        <f t="shared" si="19"/>
        <v>12</v>
      </c>
      <c r="U34" s="47">
        <f t="shared" si="20"/>
        <v>4.9556695114521716E-2</v>
      </c>
      <c r="V34" s="48">
        <f t="shared" si="21"/>
        <v>0</v>
      </c>
      <c r="W34" s="49">
        <f t="shared" si="22"/>
        <v>4.1297245928768097E-3</v>
      </c>
      <c r="X34" s="44">
        <f t="shared" si="23"/>
        <v>1110.0280538606685</v>
      </c>
      <c r="Y34" s="44">
        <f t="shared" si="24"/>
        <v>0</v>
      </c>
      <c r="Z34" s="44">
        <f t="shared" si="25"/>
        <v>2476.4363896816913</v>
      </c>
      <c r="AA34" s="50">
        <f t="shared" si="26"/>
        <v>1393.2780538606685</v>
      </c>
      <c r="AB34" s="51">
        <f t="shared" si="27"/>
        <v>2315.0756190349548</v>
      </c>
      <c r="AC34" s="44">
        <f t="shared" si="28"/>
        <v>1302.494207591538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8.6279755452712409E-2</v>
      </c>
      <c r="AG34" s="44">
        <f t="shared" si="31"/>
        <v>355.47259246517513</v>
      </c>
      <c r="AH34" s="52">
        <f>HLOOKUP(I34,ElecAvoidedCostsWOCC!$A$5:$Q$50,T34+1,FALSE)</f>
        <v>0.91115730059915656</v>
      </c>
      <c r="AI34" s="44">
        <f t="shared" si="32"/>
        <v>469.24600980856559</v>
      </c>
      <c r="AJ34" s="44">
        <f t="shared" si="33"/>
        <v>824.71860227374077</v>
      </c>
      <c r="AK34" s="44">
        <f>HLOOKUP(I34,ElecAvoidedCostsWOCC!$A$5:$Q$50,G34+1,FALSE)*J34*L34</f>
        <v>44.434074058146891</v>
      </c>
      <c r="AL34" s="44">
        <f t="shared" si="34"/>
        <v>780.28452821559392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780.28452821559392</v>
      </c>
      <c r="AN34" s="48">
        <f t="shared" si="35"/>
        <v>858.31298103715335</v>
      </c>
      <c r="AO34" s="47">
        <f t="shared" si="36"/>
        <v>0.33704494220402942</v>
      </c>
      <c r="AP34" s="47">
        <f t="shared" si="37"/>
        <v>0.65897642848199145</v>
      </c>
      <c r="AQ34">
        <v>2020</v>
      </c>
    </row>
    <row r="35" spans="2:43">
      <c r="B35" s="97" t="s">
        <v>15</v>
      </c>
      <c r="C35" s="61">
        <v>18230625</v>
      </c>
      <c r="D35" s="61" t="s">
        <v>78</v>
      </c>
      <c r="E35" s="38" t="s">
        <v>2435</v>
      </c>
      <c r="F35" s="39" t="s">
        <v>2436</v>
      </c>
      <c r="G35" s="39">
        <v>1</v>
      </c>
      <c r="H35" s="39">
        <v>11</v>
      </c>
      <c r="I35" s="40" t="s">
        <v>248</v>
      </c>
      <c r="J35" s="41">
        <v>2108</v>
      </c>
      <c r="K35" s="41">
        <v>75</v>
      </c>
      <c r="L35" s="41">
        <v>7</v>
      </c>
      <c r="M35" s="42">
        <v>3.1</v>
      </c>
      <c r="N35" s="42">
        <v>3.1</v>
      </c>
      <c r="O35" s="43">
        <v>158100</v>
      </c>
      <c r="P35" s="44">
        <v>6534.8</v>
      </c>
      <c r="Q35" s="44">
        <v>6534.8</v>
      </c>
      <c r="R35" s="45">
        <v>0</v>
      </c>
      <c r="S35" s="46">
        <v>0</v>
      </c>
      <c r="T35" s="39">
        <f t="shared" si="19"/>
        <v>12</v>
      </c>
      <c r="U35" s="47">
        <f t="shared" si="20"/>
        <v>1.9016780333994863</v>
      </c>
      <c r="V35" s="48">
        <f t="shared" si="21"/>
        <v>0</v>
      </c>
      <c r="W35" s="49">
        <f t="shared" si="22"/>
        <v>0.15847316944995718</v>
      </c>
      <c r="X35" s="44">
        <f t="shared" si="23"/>
        <v>42595.979445478559</v>
      </c>
      <c r="Y35" s="44">
        <f t="shared" si="24"/>
        <v>0</v>
      </c>
      <c r="Z35" s="44">
        <f t="shared" si="25"/>
        <v>95030.241070066841</v>
      </c>
      <c r="AA35" s="50">
        <f t="shared" si="26"/>
        <v>49130.779445478562</v>
      </c>
      <c r="AB35" s="51">
        <f t="shared" si="27"/>
        <v>88838.217322676297</v>
      </c>
      <c r="AC35" s="44">
        <f t="shared" si="28"/>
        <v>45929.49373233482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8.6279755452712409E-2</v>
      </c>
      <c r="AG35" s="44">
        <f t="shared" si="31"/>
        <v>13640.829337073832</v>
      </c>
      <c r="AH35" s="52">
        <f>HLOOKUP(I35,ElecAvoidedCostsWOCC!$A$5:$Q$50,T35+1,FALSE)</f>
        <v>0.91115730059915656</v>
      </c>
      <c r="AI35" s="44">
        <f t="shared" si="32"/>
        <v>13445.037127641155</v>
      </c>
      <c r="AJ35" s="44">
        <f t="shared" si="33"/>
        <v>27085.866464714985</v>
      </c>
      <c r="AK35" s="44">
        <f>HLOOKUP(I35,ElecAvoidedCostsWOCC!$A$5:$Q$50,G35+1,FALSE)*J35*L35</f>
        <v>1273.1440714602243</v>
      </c>
      <c r="AL35" s="44">
        <f t="shared" si="34"/>
        <v>25812.72239325476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25812.72239325476</v>
      </c>
      <c r="AN35" s="48">
        <f t="shared" si="35"/>
        <v>28393.994632580238</v>
      </c>
      <c r="AO35" s="47">
        <f t="shared" si="36"/>
        <v>0.29055876143370074</v>
      </c>
      <c r="AP35" s="47">
        <f t="shared" si="37"/>
        <v>0.61820830854468101</v>
      </c>
      <c r="AQ35">
        <v>2020</v>
      </c>
    </row>
    <row r="36" spans="2:43">
      <c r="B36" s="97" t="s">
        <v>15</v>
      </c>
      <c r="C36" s="61">
        <v>18230625</v>
      </c>
      <c r="D36" s="61" t="s">
        <v>78</v>
      </c>
      <c r="E36" s="38" t="s">
        <v>2342</v>
      </c>
      <c r="F36" s="39" t="s">
        <v>2343</v>
      </c>
      <c r="G36" s="39">
        <v>1</v>
      </c>
      <c r="H36" s="39"/>
      <c r="I36" s="40" t="s">
        <v>269</v>
      </c>
      <c r="J36" s="41">
        <v>364</v>
      </c>
      <c r="K36" s="41">
        <v>0</v>
      </c>
      <c r="L36" s="41"/>
      <c r="M36" s="42">
        <v>139</v>
      </c>
      <c r="N36" s="42">
        <v>139</v>
      </c>
      <c r="O36" s="43">
        <v>0</v>
      </c>
      <c r="P36" s="44">
        <v>50596</v>
      </c>
      <c r="Q36" s="44">
        <v>50596</v>
      </c>
      <c r="R36" s="45">
        <v>0</v>
      </c>
      <c r="S36" s="46">
        <v>0</v>
      </c>
      <c r="T36" s="39">
        <f t="shared" si="19"/>
        <v>1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50596</v>
      </c>
      <c r="AB36" s="51">
        <f t="shared" si="27"/>
        <v>0</v>
      </c>
      <c r="AC36" s="44">
        <f t="shared" si="28"/>
        <v>47299.242778349064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0.11346597036450218</v>
      </c>
      <c r="AG36" s="44">
        <f t="shared" si="31"/>
        <v>0</v>
      </c>
      <c r="AH36" s="52">
        <f>HLOOKUP(I36,ElecAvoidedCostsWOCC!$A$5:$Q$50,T36+1,FALSE)</f>
        <v>0.11346597036450218</v>
      </c>
      <c r="AI36" s="44">
        <f t="shared" si="32"/>
        <v>0</v>
      </c>
      <c r="AJ36" s="44">
        <f t="shared" si="33"/>
        <v>0</v>
      </c>
      <c r="AK36" s="44">
        <f>HLOOKUP(I36,ElecAvoidedCostsWOCC!$A$5:$Q$50,G36+1,FALSE)*J36*L36</f>
        <v>0</v>
      </c>
      <c r="AL36" s="44">
        <f t="shared" si="34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>
        <f t="shared" si="37"/>
        <v>0</v>
      </c>
      <c r="AQ36">
        <v>2020</v>
      </c>
    </row>
    <row r="37" spans="2:43">
      <c r="B37" s="97" t="s">
        <v>15</v>
      </c>
      <c r="C37" s="61">
        <v>18230625</v>
      </c>
      <c r="D37" s="61" t="s">
        <v>78</v>
      </c>
      <c r="E37" s="38" t="s">
        <v>2344</v>
      </c>
      <c r="F37" s="39" t="s">
        <v>2345</v>
      </c>
      <c r="G37" s="39">
        <v>1</v>
      </c>
      <c r="H37" s="39"/>
      <c r="I37" s="40" t="s">
        <v>269</v>
      </c>
      <c r="J37" s="41">
        <v>566</v>
      </c>
      <c r="K37" s="41">
        <v>0</v>
      </c>
      <c r="L37" s="41"/>
      <c r="M37" s="42">
        <v>139</v>
      </c>
      <c r="N37" s="42">
        <v>139</v>
      </c>
      <c r="O37" s="43">
        <v>0</v>
      </c>
      <c r="P37" s="44">
        <v>78674</v>
      </c>
      <c r="Q37" s="44">
        <v>78674</v>
      </c>
      <c r="R37" s="45">
        <v>0</v>
      </c>
      <c r="S37" s="46">
        <v>0</v>
      </c>
      <c r="T37" s="39">
        <f t="shared" si="19"/>
        <v>1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78674</v>
      </c>
      <c r="AB37" s="51">
        <f t="shared" si="27"/>
        <v>0</v>
      </c>
      <c r="AC37" s="44">
        <f t="shared" si="28"/>
        <v>73547.723660839474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0.11346597036450218</v>
      </c>
      <c r="AG37" s="44">
        <f t="shared" si="31"/>
        <v>0</v>
      </c>
      <c r="AH37" s="52">
        <f>HLOOKUP(I37,ElecAvoidedCostsWOCC!$A$5:$Q$50,T37+1,FALSE)</f>
        <v>0.11346597036450218</v>
      </c>
      <c r="AI37" s="44">
        <f t="shared" si="32"/>
        <v>0</v>
      </c>
      <c r="AJ37" s="44">
        <f t="shared" si="33"/>
        <v>0</v>
      </c>
      <c r="AK37" s="44">
        <f>HLOOKUP(I37,ElecAvoidedCostsWOCC!$A$5:$Q$50,G37+1,FALSE)*J37*L37</f>
        <v>0</v>
      </c>
      <c r="AL37" s="44">
        <f t="shared" si="34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>
        <f t="shared" si="37"/>
        <v>0</v>
      </c>
      <c r="AQ37">
        <v>2020</v>
      </c>
    </row>
    <row r="38" spans="2:43">
      <c r="B38" s="97" t="s">
        <v>15</v>
      </c>
      <c r="C38" s="61">
        <v>18230625</v>
      </c>
      <c r="D38" s="61" t="s">
        <v>78</v>
      </c>
      <c r="E38" s="38" t="s">
        <v>2346</v>
      </c>
      <c r="F38" s="39" t="s">
        <v>2345</v>
      </c>
      <c r="G38" s="39">
        <v>1</v>
      </c>
      <c r="H38" s="39"/>
      <c r="I38" s="40" t="s">
        <v>269</v>
      </c>
      <c r="J38" s="41">
        <v>1451</v>
      </c>
      <c r="K38" s="41">
        <v>0</v>
      </c>
      <c r="L38" s="41"/>
      <c r="M38" s="42">
        <v>120</v>
      </c>
      <c r="N38" s="42">
        <v>120</v>
      </c>
      <c r="O38" s="43">
        <v>0</v>
      </c>
      <c r="P38" s="44">
        <v>87060</v>
      </c>
      <c r="Q38" s="44">
        <v>174120</v>
      </c>
      <c r="R38" s="45">
        <v>0</v>
      </c>
      <c r="S38" s="46">
        <v>0</v>
      </c>
      <c r="T38" s="39">
        <f t="shared" si="19"/>
        <v>1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87060</v>
      </c>
      <c r="Z38" s="44">
        <f t="shared" si="25"/>
        <v>0</v>
      </c>
      <c r="AA38" s="50">
        <f t="shared" si="26"/>
        <v>174120</v>
      </c>
      <c r="AB38" s="51">
        <f t="shared" si="27"/>
        <v>0</v>
      </c>
      <c r="AC38" s="44">
        <f t="shared" si="28"/>
        <v>162774.60970365521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0.11346597036450218</v>
      </c>
      <c r="AG38" s="44">
        <f t="shared" si="31"/>
        <v>0</v>
      </c>
      <c r="AH38" s="52">
        <f>HLOOKUP(I38,ElecAvoidedCostsWOCC!$A$5:$Q$50,T38+1,FALSE)</f>
        <v>0.11346597036450218</v>
      </c>
      <c r="AI38" s="44">
        <f t="shared" si="32"/>
        <v>0</v>
      </c>
      <c r="AJ38" s="44">
        <f t="shared" si="33"/>
        <v>0</v>
      </c>
      <c r="AK38" s="44">
        <f>HLOOKUP(I38,ElecAvoidedCostsWOCC!$A$5:$Q$50,G38+1,FALSE)*J38*L38</f>
        <v>0</v>
      </c>
      <c r="AL38" s="44">
        <f t="shared" si="34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>
        <f t="shared" si="37"/>
        <v>0</v>
      </c>
      <c r="AQ38">
        <v>2020</v>
      </c>
    </row>
    <row r="39" spans="2:43">
      <c r="B39" s="97" t="s">
        <v>15</v>
      </c>
      <c r="C39" s="61">
        <v>18230625</v>
      </c>
      <c r="D39" s="61" t="s">
        <v>78</v>
      </c>
      <c r="E39" s="38" t="s">
        <v>2347</v>
      </c>
      <c r="F39" s="39" t="s">
        <v>2348</v>
      </c>
      <c r="G39" s="39">
        <v>1</v>
      </c>
      <c r="H39" s="39"/>
      <c r="I39" s="40" t="s">
        <v>269</v>
      </c>
      <c r="J39" s="41">
        <v>79</v>
      </c>
      <c r="K39" s="41">
        <v>0</v>
      </c>
      <c r="L39" s="41"/>
      <c r="M39" s="42">
        <v>139</v>
      </c>
      <c r="N39" s="42">
        <v>139</v>
      </c>
      <c r="O39" s="43">
        <v>0</v>
      </c>
      <c r="P39" s="44">
        <v>10981</v>
      </c>
      <c r="Q39" s="44">
        <v>10981</v>
      </c>
      <c r="R39" s="45">
        <v>0</v>
      </c>
      <c r="S39" s="46">
        <v>0</v>
      </c>
      <c r="T39" s="39">
        <f t="shared" si="19"/>
        <v>1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10981</v>
      </c>
      <c r="AB39" s="51">
        <f t="shared" si="27"/>
        <v>0</v>
      </c>
      <c r="AC39" s="44">
        <f t="shared" si="28"/>
        <v>10265.494998597736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0.11346597036450218</v>
      </c>
      <c r="AG39" s="44">
        <f t="shared" si="31"/>
        <v>0</v>
      </c>
      <c r="AH39" s="52">
        <f>HLOOKUP(I39,ElecAvoidedCostsWOCC!$A$5:$Q$50,T39+1,FALSE)</f>
        <v>0.11346597036450218</v>
      </c>
      <c r="AI39" s="44">
        <f t="shared" si="32"/>
        <v>0</v>
      </c>
      <c r="AJ39" s="44">
        <f t="shared" si="33"/>
        <v>0</v>
      </c>
      <c r="AK39" s="44">
        <f>HLOOKUP(I39,ElecAvoidedCostsWOCC!$A$5:$Q$50,G39+1,FALSE)*J39*L39</f>
        <v>0</v>
      </c>
      <c r="AL39" s="44">
        <f t="shared" si="34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>
        <f t="shared" si="37"/>
        <v>0</v>
      </c>
      <c r="AQ39">
        <v>2020</v>
      </c>
    </row>
    <row r="40" spans="2:43">
      <c r="B40" s="97" t="s">
        <v>15</v>
      </c>
      <c r="C40" s="61">
        <v>18230625</v>
      </c>
      <c r="D40" s="61" t="s">
        <v>78</v>
      </c>
      <c r="E40" s="38" t="s">
        <v>2349</v>
      </c>
      <c r="F40" s="39" t="s">
        <v>2350</v>
      </c>
      <c r="G40" s="39">
        <v>1</v>
      </c>
      <c r="H40" s="39"/>
      <c r="I40" s="40" t="s">
        <v>269</v>
      </c>
      <c r="J40" s="41">
        <v>53</v>
      </c>
      <c r="K40" s="41">
        <v>0</v>
      </c>
      <c r="L40" s="41"/>
      <c r="M40" s="42">
        <v>139</v>
      </c>
      <c r="N40" s="42">
        <v>139</v>
      </c>
      <c r="O40" s="43">
        <v>0</v>
      </c>
      <c r="P40" s="44">
        <v>7367</v>
      </c>
      <c r="Q40" s="44">
        <v>7367</v>
      </c>
      <c r="R40" s="45">
        <v>0</v>
      </c>
      <c r="S40" s="46">
        <v>0</v>
      </c>
      <c r="T40" s="39">
        <f t="shared" si="19"/>
        <v>1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7367</v>
      </c>
      <c r="AB40" s="51">
        <f t="shared" si="27"/>
        <v>0</v>
      </c>
      <c r="AC40" s="44">
        <f t="shared" si="28"/>
        <v>6886.9776572870896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0.11346597036450218</v>
      </c>
      <c r="AG40" s="44">
        <f t="shared" si="31"/>
        <v>0</v>
      </c>
      <c r="AH40" s="52">
        <f>HLOOKUP(I40,ElecAvoidedCostsWOCC!$A$5:$Q$50,T40+1,FALSE)</f>
        <v>0.11346597036450218</v>
      </c>
      <c r="AI40" s="44">
        <f t="shared" si="32"/>
        <v>0</v>
      </c>
      <c r="AJ40" s="44">
        <f t="shared" si="33"/>
        <v>0</v>
      </c>
      <c r="AK40" s="44">
        <f>HLOOKUP(I40,ElecAvoidedCostsWOCC!$A$5:$Q$50,G40+1,FALSE)*J40*L40</f>
        <v>0</v>
      </c>
      <c r="AL40" s="44">
        <f t="shared" si="34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>
        <f t="shared" si="37"/>
        <v>0</v>
      </c>
      <c r="AQ40">
        <v>2020</v>
      </c>
    </row>
    <row r="41" spans="2:43">
      <c r="B41" s="97" t="s">
        <v>15</v>
      </c>
      <c r="C41" s="61">
        <v>18230625</v>
      </c>
      <c r="D41" s="61" t="s">
        <v>78</v>
      </c>
      <c r="E41" s="38" t="s">
        <v>2351</v>
      </c>
      <c r="F41" s="39" t="s">
        <v>2350</v>
      </c>
      <c r="G41" s="39">
        <v>1</v>
      </c>
      <c r="H41" s="39"/>
      <c r="I41" s="40" t="s">
        <v>269</v>
      </c>
      <c r="J41" s="41">
        <v>134</v>
      </c>
      <c r="K41" s="41">
        <v>0</v>
      </c>
      <c r="L41" s="41"/>
      <c r="M41" s="42">
        <v>120</v>
      </c>
      <c r="N41" s="42">
        <v>120</v>
      </c>
      <c r="O41" s="43">
        <v>0</v>
      </c>
      <c r="P41" s="44">
        <v>8040</v>
      </c>
      <c r="Q41" s="44">
        <v>16080</v>
      </c>
      <c r="R41" s="45">
        <v>0</v>
      </c>
      <c r="S41" s="46">
        <v>0</v>
      </c>
      <c r="T41" s="39">
        <f t="shared" si="19"/>
        <v>1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8040</v>
      </c>
      <c r="Z41" s="44">
        <f t="shared" si="25"/>
        <v>0</v>
      </c>
      <c r="AA41" s="50">
        <f t="shared" si="26"/>
        <v>16080</v>
      </c>
      <c r="AB41" s="51">
        <f t="shared" si="27"/>
        <v>0</v>
      </c>
      <c r="AC41" s="44">
        <f t="shared" si="28"/>
        <v>15032.252033280358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0.11346597036450218</v>
      </c>
      <c r="AG41" s="44">
        <f t="shared" si="31"/>
        <v>0</v>
      </c>
      <c r="AH41" s="52">
        <f>HLOOKUP(I41,ElecAvoidedCostsWOCC!$A$5:$Q$50,T41+1,FALSE)</f>
        <v>0.11346597036450218</v>
      </c>
      <c r="AI41" s="44">
        <f t="shared" si="32"/>
        <v>0</v>
      </c>
      <c r="AJ41" s="44">
        <f t="shared" si="33"/>
        <v>0</v>
      </c>
      <c r="AK41" s="44">
        <f>HLOOKUP(I41,ElecAvoidedCostsWOCC!$A$5:$Q$50,G41+1,FALSE)*J41*L41</f>
        <v>0</v>
      </c>
      <c r="AL41" s="44">
        <f t="shared" si="34"/>
        <v>0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>
        <f t="shared" si="37"/>
        <v>0</v>
      </c>
      <c r="AQ41">
        <v>2020</v>
      </c>
    </row>
    <row r="42" spans="2:43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3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3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3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3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3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3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9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9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9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9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9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HLOOKUP(I68,ElecAvoidedCostsWOCC!$A$5:$Q$50,G68+1,FALSE)</f>
        <v>#N/A</v>
      </c>
      <c r="AG68" s="44" t="e">
        <f t="shared" si="31"/>
        <v>#N/A</v>
      </c>
      <c r="AH68" s="52" t="e">
        <f>HLOOKUP(I68,ElecAvoidedCostsWOCC!$A$5:$Q$50,T68+1,FALSE)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HLOOKUP(I68,ElecAvoidedCostsWOCC!$A$5:$Q$50,G68+1,FALSE)*J68*L68</f>
        <v>#N/A</v>
      </c>
      <c r="AL68" s="44" t="e">
        <f t="shared" si="34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HLOOKUP(I70,ElecAvoidedCostsWOCC!$A$5:$Q$50,G70+1,FALSE)</f>
        <v>#N/A</v>
      </c>
      <c r="AG70" s="44" t="e">
        <f t="shared" si="31"/>
        <v>#N/A</v>
      </c>
      <c r="AH70" s="52" t="e">
        <f>HLOOKUP(I70,ElecAvoidedCostsWOCC!$A$5:$Q$50,T70+1,FALSE)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HLOOKUP(I70,ElecAvoidedCostsWOCC!$A$5:$Q$50,G70+1,FALSE)*J70*L70</f>
        <v>#N/A</v>
      </c>
      <c r="AL70" s="44" t="e">
        <f t="shared" si="34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</sheetData>
  <conditionalFormatting sqref="J5:L72">
    <cfRule type="expression" dxfId="279" priority="4">
      <formula>ISTEXT(J5)</formula>
    </cfRule>
    <cfRule type="notContainsBlanks" dxfId="278" priority="5">
      <formula>LEN(TRIM(J5))&gt;0</formula>
    </cfRule>
  </conditionalFormatting>
  <conditionalFormatting sqref="M5:N72 R5:S72">
    <cfRule type="expression" dxfId="277" priority="2">
      <formula>ISTEXT(M5)</formula>
    </cfRule>
  </conditionalFormatting>
  <conditionalFormatting sqref="M5:N72 R5:S72">
    <cfRule type="notContainsBlanks" dxfId="276" priority="3">
      <formula>LEN(TRIM(M5))&gt;0</formula>
    </cfRule>
  </conditionalFormatting>
  <conditionalFormatting sqref="R5:S72">
    <cfRule type="expression" dxfId="275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8"/>
  <sheetViews>
    <sheetView zoomScale="85" zoomScaleNormal="85" workbookViewId="0">
      <selection activeCell="D11" sqref="D11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18230751</v>
      </c>
      <c r="D2" s="20" t="s">
        <v>1820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18230751</v>
      </c>
      <c r="D5" s="61" t="s">
        <v>1820</v>
      </c>
      <c r="E5" s="38"/>
      <c r="F5" s="39"/>
      <c r="G5" s="39"/>
      <c r="H5" s="39"/>
      <c r="I5" s="40"/>
      <c r="J5" s="41"/>
      <c r="K5" s="496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 t="s">
        <v>15</v>
      </c>
      <c r="C6" s="61">
        <v>18230751</v>
      </c>
      <c r="D6" s="61" t="s">
        <v>159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  <c r="AQ6">
        <v>2020</v>
      </c>
    </row>
    <row r="7" spans="1:43" ht="13.5" customHeight="1">
      <c r="A7" s="36" t="s">
        <v>249</v>
      </c>
      <c r="B7" s="37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72507.95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72507.95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72507.95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74" priority="4">
      <formula>ISTEXT(J5)</formula>
    </cfRule>
    <cfRule type="notContainsBlanks" dxfId="273" priority="5">
      <formula>LEN(TRIM(J5))&gt;0</formula>
    </cfRule>
  </conditionalFormatting>
  <conditionalFormatting sqref="M5:N24 R5:S24">
    <cfRule type="expression" dxfId="272" priority="2">
      <formula>ISTEXT(M5)</formula>
    </cfRule>
  </conditionalFormatting>
  <conditionalFormatting sqref="M5:N24 R5:S24">
    <cfRule type="notContainsBlanks" dxfId="271" priority="3">
      <formula>LEN(TRIM(M5))&gt;0</formula>
    </cfRule>
  </conditionalFormatting>
  <conditionalFormatting sqref="R5:S24">
    <cfRule type="expression" dxfId="2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8"/>
  <sheetViews>
    <sheetView zoomScale="85" zoomScaleNormal="85" workbookViewId="0">
      <selection activeCell="D16" sqref="D16"/>
    </sheetView>
  </sheetViews>
  <sheetFormatPr defaultRowHeight="15"/>
  <cols>
    <col min="1" max="1" width="26.140625" customWidth="1"/>
    <col min="3" max="3" width="13.28515625" customWidth="1"/>
    <col min="4" max="4" width="34.425781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4" width="10.425781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18230405</v>
      </c>
      <c r="D2" s="20" t="s">
        <v>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17</v>
      </c>
      <c r="C5" s="61">
        <v>18230405</v>
      </c>
      <c r="D5" s="61" t="s">
        <v>38</v>
      </c>
      <c r="E5" s="38" t="s">
        <v>859</v>
      </c>
      <c r="F5" s="39" t="s">
        <v>860</v>
      </c>
      <c r="G5" s="39">
        <v>36</v>
      </c>
      <c r="H5" s="39"/>
      <c r="I5" s="40" t="s">
        <v>268</v>
      </c>
      <c r="J5" s="41">
        <v>3</v>
      </c>
      <c r="K5" s="497">
        <f>O5/J5</f>
        <v>1536.6666666666667</v>
      </c>
      <c r="L5" s="41"/>
      <c r="M5" s="42">
        <v>1500</v>
      </c>
      <c r="N5" s="42">
        <v>5354.04</v>
      </c>
      <c r="O5" s="43">
        <v>4610</v>
      </c>
      <c r="P5" s="44">
        <v>4500</v>
      </c>
      <c r="Q5" s="44">
        <v>16062.12</v>
      </c>
      <c r="R5" s="45">
        <v>4.54</v>
      </c>
      <c r="S5" s="46">
        <v>0</v>
      </c>
      <c r="T5" s="39">
        <f t="shared" ref="T5:T24" si="0">G5+H5</f>
        <v>36</v>
      </c>
      <c r="U5" s="47">
        <f t="shared" ref="U5:U24" si="1">(O5/$A$10)*T5</f>
        <v>1.3394174760729243</v>
      </c>
      <c r="V5" s="48">
        <f t="shared" ref="V5:V24" si="2">N5-M5</f>
        <v>3854.04</v>
      </c>
      <c r="W5" s="49">
        <f t="shared" ref="W5:W24" si="3">(O5/A$10)</f>
        <v>3.7206041002025673E-2</v>
      </c>
      <c r="X5" s="44">
        <f t="shared" ref="X5:X24" si="4">W5*A$8</f>
        <v>2108.8692850088469</v>
      </c>
      <c r="Y5" s="44">
        <f t="shared" ref="Y5:Y24" si="5">Q5-P5</f>
        <v>11562.12</v>
      </c>
      <c r="Z5" s="44">
        <f t="shared" ref="Z5:Z24" si="6">X5+(A$6*W5)</f>
        <v>4424.9453373849447</v>
      </c>
      <c r="AA5" s="50">
        <f t="shared" ref="AA5:AA24" si="7">Q5+X5</f>
        <v>18170.989285008847</v>
      </c>
      <c r="AB5" s="51">
        <f t="shared" ref="AB5:AC20" si="8">Z5/(1+ElecDiscountRate)^1</f>
        <v>4136.6227329016956</v>
      </c>
      <c r="AC5" s="44">
        <f t="shared" si="8"/>
        <v>16986.995685714541</v>
      </c>
      <c r="AD5" s="44">
        <f t="shared" ref="AD5:AD24" si="9">-PV(ElecDiscountRate,T5,R5)*J5</f>
        <v>178.13013891958582</v>
      </c>
      <c r="AE5" s="44">
        <v>0</v>
      </c>
      <c r="AF5" s="52">
        <f>HLOOKUP(I5,ElecAvoidedCostsWOCC!$A$5:$Q$50,G5+1,FALSE)</f>
        <v>2.5226378224981394</v>
      </c>
      <c r="AG5" s="44">
        <f t="shared" ref="AG5:AG24" si="10">AF5*J5*K5</f>
        <v>11629.360361716423</v>
      </c>
      <c r="AH5" s="52">
        <f>HLOOKUP(I5,ElecAvoidedCostsWOCC!$A$5:$Q$50,T5+1,FALSE)</f>
        <v>2.5226378224981394</v>
      </c>
      <c r="AI5" s="44">
        <f t="shared" ref="AI5:AI24" si="11">AH5*J5*L5</f>
        <v>0</v>
      </c>
      <c r="AJ5" s="44">
        <f>AG5+AI5</f>
        <v>11629.360361716423</v>
      </c>
      <c r="AK5" s="44">
        <f>HLOOKUP(I5,ElecAvoidedCostsWOCC!$A$5:$Q$50,G5+1,FALSE)*J5*L5</f>
        <v>0</v>
      </c>
      <c r="AL5" s="44">
        <f>AG5+AI5-AK5</f>
        <v>11629.360361716423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11629.360361716423</v>
      </c>
      <c r="AN5" s="48">
        <f>AM5*1.1+AD5+AE5</f>
        <v>12970.42653680765</v>
      </c>
      <c r="AO5" s="47">
        <f>IFERROR(AM5/AB5,0)</f>
        <v>2.8113176164747409</v>
      </c>
      <c r="AP5" s="47">
        <f>AN5/AC5</f>
        <v>0.7635503520917073</v>
      </c>
      <c r="AQ5">
        <v>2021</v>
      </c>
    </row>
    <row r="6" spans="1:43" ht="13.5" customHeight="1">
      <c r="A6" s="53">
        <f>SUMIF('Program Costs'!D:D,C2,'Program Costs'!L:L)</f>
        <v>62250</v>
      </c>
      <c r="B6" s="97" t="s">
        <v>17</v>
      </c>
      <c r="C6" s="61">
        <v>18230405</v>
      </c>
      <c r="D6" s="61" t="s">
        <v>38</v>
      </c>
      <c r="E6" s="38" t="s">
        <v>861</v>
      </c>
      <c r="F6" s="39" t="s">
        <v>862</v>
      </c>
      <c r="G6" s="39">
        <v>33</v>
      </c>
      <c r="H6" s="39"/>
      <c r="I6" s="40" t="s">
        <v>268</v>
      </c>
      <c r="J6" s="41">
        <v>2</v>
      </c>
      <c r="K6" s="41">
        <v>4774</v>
      </c>
      <c r="L6" s="41"/>
      <c r="M6" s="42">
        <v>2000</v>
      </c>
      <c r="N6" s="42">
        <v>5999.93</v>
      </c>
      <c r="O6" s="43">
        <v>9548</v>
      </c>
      <c r="P6" s="44">
        <v>4000</v>
      </c>
      <c r="Q6" s="44">
        <v>11999.86</v>
      </c>
      <c r="R6" s="45">
        <v>24.59</v>
      </c>
      <c r="S6" s="46">
        <v>0</v>
      </c>
      <c r="T6" s="39">
        <f t="shared" si="0"/>
        <v>33</v>
      </c>
      <c r="U6" s="47">
        <f t="shared" si="1"/>
        <v>2.5429562306035263</v>
      </c>
      <c r="V6" s="48">
        <f t="shared" si="2"/>
        <v>3999.9300000000003</v>
      </c>
      <c r="W6" s="49">
        <f t="shared" si="3"/>
        <v>7.7059279715258375E-2</v>
      </c>
      <c r="X6" s="44">
        <f t="shared" si="4"/>
        <v>4367.7839334630089</v>
      </c>
      <c r="Y6" s="44">
        <f t="shared" si="5"/>
        <v>7999.8600000000006</v>
      </c>
      <c r="Z6" s="44">
        <f t="shared" si="6"/>
        <v>9164.7240957378417</v>
      </c>
      <c r="AA6" s="50">
        <f t="shared" si="7"/>
        <v>16367.643933463009</v>
      </c>
      <c r="AB6" s="51">
        <f t="shared" si="8"/>
        <v>8567.5648272766575</v>
      </c>
      <c r="AC6" s="44">
        <f t="shared" si="8"/>
        <v>15301.153532264192</v>
      </c>
      <c r="AD6" s="44">
        <f t="shared" si="9"/>
        <v>629.22767833240596</v>
      </c>
      <c r="AE6" s="44">
        <v>0</v>
      </c>
      <c r="AF6" s="52">
        <f>HLOOKUP(I6,ElecAvoidedCostsWOCC!$A$5:$Q$50,G6+1,FALSE)</f>
        <v>2.3425199959356497</v>
      </c>
      <c r="AG6" s="44">
        <f t="shared" si="10"/>
        <v>22366.380921193584</v>
      </c>
      <c r="AH6" s="52">
        <f>HLOOKUP(I6,ElecAvoidedCostsWOCC!$A$5:$Q$50,T6+1,FALSE)</f>
        <v>2.3425199959356497</v>
      </c>
      <c r="AI6" s="44">
        <f t="shared" si="11"/>
        <v>0</v>
      </c>
      <c r="AJ6" s="44">
        <f t="shared" ref="AJ6:AJ24" si="12">AG6+AI6</f>
        <v>22366.380921193584</v>
      </c>
      <c r="AK6" s="44">
        <f>HLOOKUP(I6,ElecAvoidedCostsWOCC!$A$5:$Q$50,G6+1,FALSE)*J6*L6</f>
        <v>0</v>
      </c>
      <c r="AL6" s="44">
        <f t="shared" ref="AL6:AL24" si="13">AG6+AI6-AK6</f>
        <v>22366.380921193584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22366.380921193584</v>
      </c>
      <c r="AN6" s="48">
        <f t="shared" ref="AN6:AN24" si="14">AM6*1.1+AD6+AE6</f>
        <v>25232.246691645349</v>
      </c>
      <c r="AO6" s="47">
        <f t="shared" ref="AO6:AO24" si="15">IFERROR(AM6/AB6,0)</f>
        <v>2.6105878825667559</v>
      </c>
      <c r="AP6" s="47">
        <f t="shared" ref="AP6:AP24" si="16">AN6/AC6</f>
        <v>1.649042122114541</v>
      </c>
      <c r="AQ6">
        <v>2021</v>
      </c>
    </row>
    <row r="7" spans="1:43" ht="13.5" customHeight="1">
      <c r="A7" s="36" t="s">
        <v>249</v>
      </c>
      <c r="B7" s="97" t="s">
        <v>17</v>
      </c>
      <c r="C7" s="61">
        <v>18230405</v>
      </c>
      <c r="D7" s="61" t="s">
        <v>38</v>
      </c>
      <c r="E7" s="38" t="s">
        <v>863</v>
      </c>
      <c r="F7" s="39" t="s">
        <v>862</v>
      </c>
      <c r="G7" s="39">
        <v>36</v>
      </c>
      <c r="H7" s="39"/>
      <c r="I7" s="40" t="s">
        <v>268</v>
      </c>
      <c r="J7" s="41">
        <v>8</v>
      </c>
      <c r="K7" s="497">
        <f>O7/J7</f>
        <v>6038.0762500000001</v>
      </c>
      <c r="L7" s="41"/>
      <c r="M7" s="42">
        <v>2000</v>
      </c>
      <c r="N7" s="42">
        <v>5477</v>
      </c>
      <c r="O7" s="43">
        <v>48304.61</v>
      </c>
      <c r="P7" s="44">
        <v>16000</v>
      </c>
      <c r="Q7" s="44">
        <v>43816</v>
      </c>
      <c r="R7" s="45">
        <v>9.1999999999999993</v>
      </c>
      <c r="S7" s="46">
        <v>0</v>
      </c>
      <c r="T7" s="39">
        <f t="shared" si="0"/>
        <v>36</v>
      </c>
      <c r="U7" s="47">
        <f t="shared" si="1"/>
        <v>14.034715576765061</v>
      </c>
      <c r="V7" s="48">
        <f t="shared" si="2"/>
        <v>3477</v>
      </c>
      <c r="W7" s="49">
        <f t="shared" si="3"/>
        <v>0.38985321046569615</v>
      </c>
      <c r="X7" s="44">
        <f t="shared" si="4"/>
        <v>22097.203547360346</v>
      </c>
      <c r="Y7" s="44">
        <f t="shared" si="5"/>
        <v>27816</v>
      </c>
      <c r="Z7" s="44">
        <f t="shared" si="6"/>
        <v>46365.565898849934</v>
      </c>
      <c r="AA7" s="50">
        <f t="shared" si="7"/>
        <v>65913.203547360346</v>
      </c>
      <c r="AB7" s="51">
        <f t="shared" si="8"/>
        <v>43344.457229924214</v>
      </c>
      <c r="AC7" s="44">
        <f t="shared" si="8"/>
        <v>61618.400997812787</v>
      </c>
      <c r="AD7" s="44">
        <f t="shared" si="9"/>
        <v>962.5828358650158</v>
      </c>
      <c r="AE7" s="44">
        <v>0</v>
      </c>
      <c r="AF7" s="52">
        <f>HLOOKUP(I7,ElecAvoidedCostsWOCC!$A$5:$Q$50,G7+1,FALSE)</f>
        <v>2.5226378224981394</v>
      </c>
      <c r="AG7" s="44">
        <f t="shared" si="10"/>
        <v>121855.03618702185</v>
      </c>
      <c r="AH7" s="52">
        <f>HLOOKUP(I7,ElecAvoidedCostsWOCC!$A$5:$Q$50,T7+1,FALSE)</f>
        <v>2.5226378224981394</v>
      </c>
      <c r="AI7" s="44">
        <f t="shared" si="11"/>
        <v>0</v>
      </c>
      <c r="AJ7" s="44">
        <f t="shared" si="12"/>
        <v>121855.03618702185</v>
      </c>
      <c r="AK7" s="44">
        <f>HLOOKUP(I7,ElecAvoidedCostsWOCC!$A$5:$Q$50,G7+1,FALSE)*J7*L7</f>
        <v>0</v>
      </c>
      <c r="AL7" s="44">
        <f t="shared" si="13"/>
        <v>121855.03618702185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121855.03618702185</v>
      </c>
      <c r="AN7" s="48">
        <f t="shared" si="14"/>
        <v>135003.12264158906</v>
      </c>
      <c r="AO7" s="47">
        <f t="shared" si="15"/>
        <v>2.81131761647474</v>
      </c>
      <c r="AP7" s="47">
        <f t="shared" si="16"/>
        <v>2.1909546573008467</v>
      </c>
      <c r="AQ7">
        <v>2021</v>
      </c>
    </row>
    <row r="8" spans="1:43" ht="13.5" customHeight="1">
      <c r="A8" s="53">
        <f>SUMIF('Program Costs'!D:D,C2,'Program Costs'!O:O)</f>
        <v>56680.83</v>
      </c>
      <c r="B8" s="97" t="s">
        <v>17</v>
      </c>
      <c r="C8" s="61">
        <v>18230405</v>
      </c>
      <c r="D8" s="61" t="s">
        <v>38</v>
      </c>
      <c r="E8" s="38" t="s">
        <v>864</v>
      </c>
      <c r="F8" s="39" t="s">
        <v>865</v>
      </c>
      <c r="G8" s="39">
        <v>27</v>
      </c>
      <c r="H8" s="39"/>
      <c r="I8" s="40" t="s">
        <v>248</v>
      </c>
      <c r="J8" s="41">
        <v>7</v>
      </c>
      <c r="K8" s="497">
        <f>O8/J8</f>
        <v>1370.8571428571429</v>
      </c>
      <c r="L8" s="41"/>
      <c r="M8" s="42">
        <v>750</v>
      </c>
      <c r="N8" s="42">
        <v>2215</v>
      </c>
      <c r="O8" s="43">
        <v>9596</v>
      </c>
      <c r="P8" s="44">
        <v>5250</v>
      </c>
      <c r="Q8" s="44">
        <v>15967.02</v>
      </c>
      <c r="R8" s="45">
        <v>8.6300000000000008</v>
      </c>
      <c r="S8" s="46">
        <v>0</v>
      </c>
      <c r="T8" s="39">
        <f t="shared" si="0"/>
        <v>27</v>
      </c>
      <c r="U8" s="47">
        <f t="shared" si="1"/>
        <v>2.0910602115611354</v>
      </c>
      <c r="V8" s="48">
        <f t="shared" si="2"/>
        <v>1465</v>
      </c>
      <c r="W8" s="49">
        <f t="shared" si="3"/>
        <v>7.7446674502264279E-2</v>
      </c>
      <c r="X8" s="44">
        <f t="shared" si="4"/>
        <v>4389.7417915281767</v>
      </c>
      <c r="Y8" s="44">
        <f t="shared" si="5"/>
        <v>10717.02</v>
      </c>
      <c r="Z8" s="44">
        <f t="shared" si="6"/>
        <v>9210.7972792941291</v>
      </c>
      <c r="AA8" s="50">
        <f t="shared" si="7"/>
        <v>20356.761791528177</v>
      </c>
      <c r="AB8" s="51">
        <f t="shared" si="8"/>
        <v>8610.6359533459181</v>
      </c>
      <c r="AC8" s="44">
        <f t="shared" si="8"/>
        <v>19030.346631324835</v>
      </c>
      <c r="AD8" s="44">
        <f t="shared" si="9"/>
        <v>726.17377171289309</v>
      </c>
      <c r="AE8" s="44">
        <v>0</v>
      </c>
      <c r="AF8" s="52">
        <f>HLOOKUP(I8,ElecAvoidedCostsWOCC!$A$5:$Q$50,G8+1,FALSE)</f>
        <v>1.6682654760840347</v>
      </c>
      <c r="AG8" s="44">
        <f t="shared" si="10"/>
        <v>16008.675508502398</v>
      </c>
      <c r="AH8" s="52">
        <f>HLOOKUP(I8,ElecAvoidedCostsWOCC!$A$5:$Q$50,T8+1,FALSE)</f>
        <v>1.6682654760840347</v>
      </c>
      <c r="AI8" s="44">
        <f t="shared" si="11"/>
        <v>0</v>
      </c>
      <c r="AJ8" s="44">
        <f t="shared" si="12"/>
        <v>16008.675508502398</v>
      </c>
      <c r="AK8" s="44">
        <f>HLOOKUP(I8,ElecAvoidedCostsWOCC!$A$5:$Q$50,G8+1,FALSE)*J8*L8</f>
        <v>0</v>
      </c>
      <c r="AL8" s="44">
        <f t="shared" si="13"/>
        <v>16008.675508502398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16008.675508502398</v>
      </c>
      <c r="AN8" s="48">
        <f t="shared" si="14"/>
        <v>18335.716831065532</v>
      </c>
      <c r="AO8" s="47">
        <f t="shared" si="15"/>
        <v>1.8591745830668585</v>
      </c>
      <c r="AP8" s="47">
        <f t="shared" si="16"/>
        <v>0.96349883616329357</v>
      </c>
      <c r="AQ8">
        <v>2021</v>
      </c>
    </row>
    <row r="9" spans="1:43" ht="13.5" customHeight="1">
      <c r="A9" s="36" t="s">
        <v>250</v>
      </c>
      <c r="B9" s="97" t="s">
        <v>17</v>
      </c>
      <c r="C9" s="61">
        <v>18230405</v>
      </c>
      <c r="D9" s="61" t="s">
        <v>38</v>
      </c>
      <c r="E9" s="38" t="s">
        <v>866</v>
      </c>
      <c r="F9" s="39" t="s">
        <v>867</v>
      </c>
      <c r="G9" s="39">
        <v>27</v>
      </c>
      <c r="H9" s="39"/>
      <c r="I9" s="40" t="s">
        <v>248</v>
      </c>
      <c r="J9" s="41">
        <v>1</v>
      </c>
      <c r="K9" s="497">
        <f>O9/J9</f>
        <v>5429</v>
      </c>
      <c r="L9" s="41"/>
      <c r="M9" s="42">
        <v>1000</v>
      </c>
      <c r="N9" s="42">
        <v>3773</v>
      </c>
      <c r="O9" s="43">
        <v>5429</v>
      </c>
      <c r="P9" s="44">
        <v>1000</v>
      </c>
      <c r="Q9" s="44">
        <v>3773</v>
      </c>
      <c r="R9" s="45">
        <v>14.96</v>
      </c>
      <c r="S9" s="46">
        <v>0</v>
      </c>
      <c r="T9" s="39">
        <f t="shared" si="0"/>
        <v>27</v>
      </c>
      <c r="U9" s="47">
        <f t="shared" si="1"/>
        <v>1.1830310429934769</v>
      </c>
      <c r="V9" s="48">
        <f t="shared" si="2"/>
        <v>2773</v>
      </c>
      <c r="W9" s="49">
        <f t="shared" si="3"/>
        <v>4.381596455531396E-2</v>
      </c>
      <c r="X9" s="44">
        <f t="shared" si="4"/>
        <v>2483.5252382457761</v>
      </c>
      <c r="Y9" s="44">
        <f t="shared" si="5"/>
        <v>2773</v>
      </c>
      <c r="Z9" s="44">
        <f t="shared" si="6"/>
        <v>5211.0690318140696</v>
      </c>
      <c r="AA9" s="50">
        <f t="shared" si="7"/>
        <v>6256.5252382457766</v>
      </c>
      <c r="AB9" s="51">
        <f t="shared" si="8"/>
        <v>4871.5238214584178</v>
      </c>
      <c r="AC9" s="44">
        <f t="shared" si="8"/>
        <v>5848.8597160379322</v>
      </c>
      <c r="AD9" s="44">
        <f t="shared" si="9"/>
        <v>179.83048542997645</v>
      </c>
      <c r="AE9" s="44">
        <f t="shared" ref="AE9:AE24" si="17">-PV(ElecDiscountRate,T9,S9)*J9</f>
        <v>0</v>
      </c>
      <c r="AF9" s="52">
        <f>HLOOKUP(I9,ElecAvoidedCostsWOCC!$A$5:$Q$50,G9+1,FALSE)</f>
        <v>1.6682654760840347</v>
      </c>
      <c r="AG9" s="44">
        <f t="shared" si="10"/>
        <v>9057.013269660225</v>
      </c>
      <c r="AH9" s="52">
        <f>HLOOKUP(I9,ElecAvoidedCostsWOCC!$A$5:$Q$50,T9+1,FALSE)</f>
        <v>1.6682654760840347</v>
      </c>
      <c r="AI9" s="44">
        <f t="shared" si="11"/>
        <v>0</v>
      </c>
      <c r="AJ9" s="44">
        <f t="shared" si="12"/>
        <v>9057.013269660225</v>
      </c>
      <c r="AK9" s="44">
        <f>HLOOKUP(I9,ElecAvoidedCostsWOCC!$A$5:$Q$50,G9+1,FALSE)*J9*L9</f>
        <v>0</v>
      </c>
      <c r="AL9" s="44">
        <f t="shared" si="13"/>
        <v>9057.013269660225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9057.013269660225</v>
      </c>
      <c r="AN9" s="48">
        <f t="shared" si="14"/>
        <v>10142.545082056226</v>
      </c>
      <c r="AO9" s="47">
        <f t="shared" si="15"/>
        <v>1.8591745830668589</v>
      </c>
      <c r="AP9" s="47">
        <f t="shared" si="16"/>
        <v>1.7341064026967077</v>
      </c>
      <c r="AQ9">
        <v>2021</v>
      </c>
    </row>
    <row r="10" spans="1:43" ht="13.5" customHeight="1">
      <c r="A10" s="54">
        <f>SUM(O5:O999)</f>
        <v>123904.61</v>
      </c>
      <c r="B10" s="97" t="s">
        <v>17</v>
      </c>
      <c r="C10" s="61">
        <v>18230405</v>
      </c>
      <c r="D10" s="61" t="s">
        <v>38</v>
      </c>
      <c r="E10" s="38" t="s">
        <v>868</v>
      </c>
      <c r="F10" s="39" t="s">
        <v>869</v>
      </c>
      <c r="G10" s="39">
        <v>36</v>
      </c>
      <c r="H10" s="39"/>
      <c r="I10" s="40" t="s">
        <v>268</v>
      </c>
      <c r="J10" s="41">
        <v>1</v>
      </c>
      <c r="K10" s="497">
        <f>O10/J10</f>
        <v>2158</v>
      </c>
      <c r="L10" s="41"/>
      <c r="M10" s="42">
        <v>1000</v>
      </c>
      <c r="N10" s="42">
        <v>4164</v>
      </c>
      <c r="O10" s="43">
        <v>2158</v>
      </c>
      <c r="P10" s="44">
        <v>1000</v>
      </c>
      <c r="Q10" s="44">
        <v>4164</v>
      </c>
      <c r="R10" s="45">
        <v>3.35</v>
      </c>
      <c r="S10" s="46">
        <v>0</v>
      </c>
      <c r="T10" s="39">
        <f t="shared" si="0"/>
        <v>36</v>
      </c>
      <c r="U10" s="47">
        <f t="shared" si="1"/>
        <v>0.62699846276906079</v>
      </c>
      <c r="V10" s="48">
        <f t="shared" si="2"/>
        <v>3164</v>
      </c>
      <c r="W10" s="49">
        <f t="shared" si="3"/>
        <v>1.7416623965807246E-2</v>
      </c>
      <c r="X10" s="44">
        <f t="shared" si="4"/>
        <v>987.18870217984636</v>
      </c>
      <c r="Y10" s="44">
        <f t="shared" si="5"/>
        <v>3164</v>
      </c>
      <c r="Z10" s="44">
        <f t="shared" si="6"/>
        <v>2071.3735440513474</v>
      </c>
      <c r="AA10" s="50">
        <f t="shared" si="7"/>
        <v>5151.1887021798466</v>
      </c>
      <c r="AB10" s="51">
        <f t="shared" si="8"/>
        <v>1936.4060428637442</v>
      </c>
      <c r="AC10" s="44">
        <f t="shared" si="8"/>
        <v>4815.5452016264808</v>
      </c>
      <c r="AD10" s="44">
        <f t="shared" si="9"/>
        <v>43.813213317225589</v>
      </c>
      <c r="AE10" s="44">
        <f t="shared" si="17"/>
        <v>0</v>
      </c>
      <c r="AF10" s="52">
        <f>HLOOKUP(I10,ElecAvoidedCostsWOCC!$A$5:$Q$50,G10+1,FALSE)</f>
        <v>2.5226378224981394</v>
      </c>
      <c r="AG10" s="44">
        <f t="shared" si="10"/>
        <v>5443.8524209509851</v>
      </c>
      <c r="AH10" s="52">
        <f>HLOOKUP(I10,ElecAvoidedCostsWOCC!$A$5:$Q$50,T10+1,FALSE)</f>
        <v>2.5226378224981394</v>
      </c>
      <c r="AI10" s="44">
        <f t="shared" si="11"/>
        <v>0</v>
      </c>
      <c r="AJ10" s="44">
        <f t="shared" si="12"/>
        <v>5443.8524209509851</v>
      </c>
      <c r="AK10" s="44">
        <f>HLOOKUP(I10,ElecAvoidedCostsWOCC!$A$5:$Q$50,G10+1,FALSE)*J10*L10</f>
        <v>0</v>
      </c>
      <c r="AL10" s="44">
        <f t="shared" si="13"/>
        <v>5443.8524209509851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5443.8524209509851</v>
      </c>
      <c r="AN10" s="48">
        <f t="shared" si="14"/>
        <v>6032.0508763633097</v>
      </c>
      <c r="AO10" s="47">
        <f t="shared" si="15"/>
        <v>2.8113176164747404</v>
      </c>
      <c r="AP10" s="47">
        <f t="shared" si="16"/>
        <v>1.2526205494501321</v>
      </c>
      <c r="AQ10">
        <v>2021</v>
      </c>
    </row>
    <row r="11" spans="1:43" ht="13.5" customHeight="1">
      <c r="A11" s="36" t="s">
        <v>251</v>
      </c>
      <c r="B11" s="97" t="s">
        <v>17</v>
      </c>
      <c r="C11" s="100">
        <v>18230405</v>
      </c>
      <c r="D11" s="100" t="s">
        <v>38</v>
      </c>
      <c r="E11" s="38" t="s">
        <v>2011</v>
      </c>
      <c r="F11" s="39" t="s">
        <v>860</v>
      </c>
      <c r="G11" s="39">
        <v>36</v>
      </c>
      <c r="H11" s="39"/>
      <c r="I11" s="40" t="s">
        <v>268</v>
      </c>
      <c r="J11" s="41">
        <v>3</v>
      </c>
      <c r="K11" s="41">
        <v>2883</v>
      </c>
      <c r="L11" s="41"/>
      <c r="M11" s="42">
        <v>1500</v>
      </c>
      <c r="N11" s="42">
        <v>5354.04</v>
      </c>
      <c r="O11" s="43">
        <v>8649</v>
      </c>
      <c r="P11" s="44">
        <v>4500</v>
      </c>
      <c r="Q11" s="44">
        <v>16062.12</v>
      </c>
      <c r="R11" s="45">
        <v>24.59</v>
      </c>
      <c r="S11" s="46">
        <v>0</v>
      </c>
      <c r="T11" s="39">
        <f t="shared" si="0"/>
        <v>36</v>
      </c>
      <c r="U11" s="47">
        <f t="shared" si="1"/>
        <v>2.5129331346105683</v>
      </c>
      <c r="V11" s="48">
        <f t="shared" si="2"/>
        <v>3854.04</v>
      </c>
      <c r="W11" s="49">
        <f t="shared" si="3"/>
        <v>6.9803698183626903E-2</v>
      </c>
      <c r="X11" s="44">
        <f t="shared" si="4"/>
        <v>3956.5315501174655</v>
      </c>
      <c r="Y11" s="44">
        <f t="shared" si="5"/>
        <v>11562.12</v>
      </c>
      <c r="Z11" s="44">
        <f t="shared" si="6"/>
        <v>8301.8117620482408</v>
      </c>
      <c r="AA11" s="50">
        <f t="shared" si="7"/>
        <v>20018.651550117465</v>
      </c>
      <c r="AB11" s="51">
        <f t="shared" si="8"/>
        <v>7760.8785286045058</v>
      </c>
      <c r="AC11" s="44">
        <f t="shared" si="8"/>
        <v>18714.267131081109</v>
      </c>
      <c r="AD11" s="44">
        <f t="shared" si="9"/>
        <v>964.80619295872589</v>
      </c>
      <c r="AE11" s="44">
        <f t="shared" si="17"/>
        <v>0</v>
      </c>
      <c r="AF11" s="52">
        <f>HLOOKUP(I11,ElecAvoidedCostsWOCC!$A$5:$Q$50,G11+1,FALSE)</f>
        <v>2.5226378224981394</v>
      </c>
      <c r="AG11" s="44">
        <f t="shared" si="10"/>
        <v>21818.294526786409</v>
      </c>
      <c r="AH11" s="52">
        <f>HLOOKUP(I11,ElecAvoidedCostsWOCC!$A$5:$Q$50,T11+1,FALSE)</f>
        <v>2.5226378224981394</v>
      </c>
      <c r="AI11" s="44">
        <f t="shared" si="11"/>
        <v>0</v>
      </c>
      <c r="AJ11" s="44">
        <f t="shared" si="12"/>
        <v>21818.294526786409</v>
      </c>
      <c r="AK11" s="44">
        <f>HLOOKUP(I11,ElecAvoidedCostsWOCC!$A$5:$Q$50,G11+1,FALSE)*J11*L11</f>
        <v>0</v>
      </c>
      <c r="AL11" s="44">
        <f t="shared" si="13"/>
        <v>21818.294526786409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21818.294526786409</v>
      </c>
      <c r="AN11" s="48">
        <f t="shared" si="14"/>
        <v>24964.930172423778</v>
      </c>
      <c r="AO11" s="47">
        <f t="shared" si="15"/>
        <v>2.8113176164747404</v>
      </c>
      <c r="AP11" s="47">
        <f t="shared" si="16"/>
        <v>1.3340052270046641</v>
      </c>
      <c r="AQ11">
        <v>2020</v>
      </c>
    </row>
    <row r="12" spans="1:43" ht="13.5" customHeight="1">
      <c r="A12" s="55">
        <f>SUM(P5:P1000)</f>
        <v>56250</v>
      </c>
      <c r="B12" s="97" t="s">
        <v>17</v>
      </c>
      <c r="C12" s="100">
        <v>18230405</v>
      </c>
      <c r="D12" s="100" t="s">
        <v>38</v>
      </c>
      <c r="E12" s="38" t="s">
        <v>861</v>
      </c>
      <c r="F12" s="39" t="s">
        <v>862</v>
      </c>
      <c r="G12" s="39">
        <v>33</v>
      </c>
      <c r="H12" s="39"/>
      <c r="I12" s="40" t="s">
        <v>268</v>
      </c>
      <c r="J12" s="41">
        <v>7</v>
      </c>
      <c r="K12" s="41">
        <v>4774</v>
      </c>
      <c r="L12" s="41"/>
      <c r="M12" s="42">
        <v>2000</v>
      </c>
      <c r="N12" s="42">
        <v>5999.93</v>
      </c>
      <c r="O12" s="43">
        <v>33418</v>
      </c>
      <c r="P12" s="44">
        <v>14000</v>
      </c>
      <c r="Q12" s="44">
        <v>41999.51</v>
      </c>
      <c r="R12" s="45">
        <v>24.59</v>
      </c>
      <c r="S12" s="46">
        <v>0</v>
      </c>
      <c r="T12" s="39">
        <f t="shared" si="0"/>
        <v>33</v>
      </c>
      <c r="U12" s="47">
        <f t="shared" si="1"/>
        <v>8.9003468071123422</v>
      </c>
      <c r="V12" s="48">
        <f t="shared" si="2"/>
        <v>3999.9300000000003</v>
      </c>
      <c r="W12" s="49">
        <f t="shared" si="3"/>
        <v>0.2697074790034043</v>
      </c>
      <c r="X12" s="44">
        <f t="shared" si="4"/>
        <v>15287.24376712053</v>
      </c>
      <c r="Y12" s="44">
        <f t="shared" si="5"/>
        <v>27999.510000000002</v>
      </c>
      <c r="Z12" s="44">
        <f t="shared" si="6"/>
        <v>32076.534335082448</v>
      </c>
      <c r="AA12" s="50">
        <f t="shared" si="7"/>
        <v>57286.753767120535</v>
      </c>
      <c r="AB12" s="51">
        <f t="shared" si="8"/>
        <v>29986.476895468306</v>
      </c>
      <c r="AC12" s="44">
        <f t="shared" si="8"/>
        <v>53554.037362924682</v>
      </c>
      <c r="AD12" s="44">
        <f t="shared" si="9"/>
        <v>2202.2968741634209</v>
      </c>
      <c r="AE12" s="44">
        <f t="shared" si="17"/>
        <v>0</v>
      </c>
      <c r="AF12" s="52">
        <f>HLOOKUP(I12,ElecAvoidedCostsWOCC!$A$5:$Q$50,G12+1,FALSE)</f>
        <v>2.3425199959356497</v>
      </c>
      <c r="AG12" s="44">
        <f t="shared" si="10"/>
        <v>78282.33322417755</v>
      </c>
      <c r="AH12" s="52">
        <f>HLOOKUP(I12,ElecAvoidedCostsWOCC!$A$5:$Q$50,T12+1,FALSE)</f>
        <v>2.3425199959356497</v>
      </c>
      <c r="AI12" s="44">
        <f t="shared" si="11"/>
        <v>0</v>
      </c>
      <c r="AJ12" s="44">
        <f t="shared" si="12"/>
        <v>78282.33322417755</v>
      </c>
      <c r="AK12" s="44">
        <f>HLOOKUP(I12,ElecAvoidedCostsWOCC!$A$5:$Q$50,G12+1,FALSE)*J12*L12</f>
        <v>0</v>
      </c>
      <c r="AL12" s="44">
        <f t="shared" si="13"/>
        <v>78282.33322417755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78282.33322417755</v>
      </c>
      <c r="AN12" s="48">
        <f t="shared" si="14"/>
        <v>88312.863420758731</v>
      </c>
      <c r="AO12" s="47">
        <f t="shared" si="15"/>
        <v>2.6105878825667559</v>
      </c>
      <c r="AP12" s="47">
        <f t="shared" si="16"/>
        <v>1.6490421221145408</v>
      </c>
      <c r="AQ12">
        <v>2020</v>
      </c>
    </row>
    <row r="13" spans="1:43" ht="13.5" customHeight="1">
      <c r="A13" s="56" t="s">
        <v>252</v>
      </c>
      <c r="B13" s="97" t="s">
        <v>17</v>
      </c>
      <c r="C13" s="100">
        <v>18230405</v>
      </c>
      <c r="D13" s="100" t="s">
        <v>38</v>
      </c>
      <c r="E13" s="38" t="s">
        <v>2012</v>
      </c>
      <c r="F13" s="39" t="s">
        <v>865</v>
      </c>
      <c r="G13" s="39">
        <v>36</v>
      </c>
      <c r="H13" s="39"/>
      <c r="I13" s="40" t="s">
        <v>248</v>
      </c>
      <c r="J13" s="41">
        <v>8</v>
      </c>
      <c r="K13" s="41">
        <v>274</v>
      </c>
      <c r="L13" s="41"/>
      <c r="M13" s="42">
        <v>750</v>
      </c>
      <c r="N13" s="42">
        <v>2155</v>
      </c>
      <c r="O13" s="43">
        <v>2192</v>
      </c>
      <c r="P13" s="44">
        <v>6000</v>
      </c>
      <c r="Q13" s="44">
        <v>17240</v>
      </c>
      <c r="R13" s="45">
        <v>24.59</v>
      </c>
      <c r="S13" s="46">
        <v>0</v>
      </c>
      <c r="T13" s="39">
        <f t="shared" si="0"/>
        <v>36</v>
      </c>
      <c r="U13" s="47">
        <f t="shared" si="1"/>
        <v>0.63687702983771144</v>
      </c>
      <c r="V13" s="48">
        <f t="shared" si="2"/>
        <v>1405</v>
      </c>
      <c r="W13" s="49">
        <f t="shared" si="3"/>
        <v>1.7691028606603095E-2</v>
      </c>
      <c r="X13" s="44">
        <f t="shared" si="4"/>
        <v>1002.7421849760069</v>
      </c>
      <c r="Y13" s="44">
        <f t="shared" si="5"/>
        <v>11240</v>
      </c>
      <c r="Z13" s="44">
        <f t="shared" si="6"/>
        <v>2104.0087157370499</v>
      </c>
      <c r="AA13" s="50">
        <f t="shared" si="7"/>
        <v>18242.742184976007</v>
      </c>
      <c r="AB13" s="51">
        <f t="shared" si="8"/>
        <v>1966.9147571628023</v>
      </c>
      <c r="AC13" s="44">
        <f t="shared" si="8"/>
        <v>17054.073277532025</v>
      </c>
      <c r="AD13" s="44">
        <f t="shared" si="9"/>
        <v>2572.8165145566022</v>
      </c>
      <c r="AE13" s="44">
        <f t="shared" si="17"/>
        <v>0</v>
      </c>
      <c r="AF13" s="52">
        <f>HLOOKUP(I13,ElecAvoidedCostsWOCC!$A$5:$Q$50,G13+1,FALSE)</f>
        <v>2.039744097675745</v>
      </c>
      <c r="AG13" s="44">
        <f t="shared" si="10"/>
        <v>4471.1190621052328</v>
      </c>
      <c r="AH13" s="52">
        <f>HLOOKUP(I13,ElecAvoidedCostsWOCC!$A$5:$Q$50,T13+1,FALSE)</f>
        <v>2.039744097675745</v>
      </c>
      <c r="AI13" s="44">
        <f t="shared" si="11"/>
        <v>0</v>
      </c>
      <c r="AJ13" s="44">
        <f t="shared" si="12"/>
        <v>4471.1190621052328</v>
      </c>
      <c r="AK13" s="44">
        <f>HLOOKUP(I13,ElecAvoidedCostsWOCC!$A$5:$Q$50,G13+1,FALSE)*J13*L13</f>
        <v>0</v>
      </c>
      <c r="AL13" s="44">
        <f t="shared" si="13"/>
        <v>4471.1190621052328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4471.1190621052328</v>
      </c>
      <c r="AN13" s="48">
        <f t="shared" si="14"/>
        <v>7491.0474828723582</v>
      </c>
      <c r="AO13" s="47">
        <f t="shared" si="15"/>
        <v>2.273163616177575</v>
      </c>
      <c r="AP13" s="47">
        <f t="shared" si="16"/>
        <v>0.43925268532424311</v>
      </c>
      <c r="AQ13">
        <v>2020</v>
      </c>
    </row>
    <row r="14" spans="1:43" ht="13.5" customHeight="1">
      <c r="A14" s="55">
        <f>SUM(Y5:Y1000)</f>
        <v>114833.63</v>
      </c>
      <c r="B14" s="97" t="s">
        <v>17</v>
      </c>
      <c r="C14" s="100">
        <v>18230405</v>
      </c>
      <c r="D14" s="100" t="s">
        <v>38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  <c r="AQ14">
        <v>2020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33.868335972325809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118930.83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227764.46000000002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2.616731342463666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1.5427356433578447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69" priority="4">
      <formula>ISTEXT(J5)</formula>
    </cfRule>
    <cfRule type="notContainsBlanks" dxfId="268" priority="5">
      <formula>LEN(TRIM(J5))&gt;0</formula>
    </cfRule>
  </conditionalFormatting>
  <conditionalFormatting sqref="M5:N24 R5:S24">
    <cfRule type="expression" dxfId="267" priority="2">
      <formula>ISTEXT(M5)</formula>
    </cfRule>
  </conditionalFormatting>
  <conditionalFormatting sqref="M5:N24 R5:S24">
    <cfRule type="notContainsBlanks" dxfId="266" priority="3">
      <formula>LEN(TRIM(M5))&gt;0</formula>
    </cfRule>
  </conditionalFormatting>
  <conditionalFormatting sqref="R5:S24">
    <cfRule type="expression" dxfId="2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8"/>
  <sheetViews>
    <sheetView zoomScale="85" zoomScaleNormal="85" workbookViewId="0">
      <selection activeCell="A25" sqref="A2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18230071</v>
      </c>
      <c r="D2" s="20" t="s">
        <v>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17</v>
      </c>
      <c r="C5" s="61">
        <v>18230071</v>
      </c>
      <c r="D5" s="61" t="s">
        <v>18</v>
      </c>
      <c r="E5" s="38" t="s">
        <v>870</v>
      </c>
      <c r="F5" s="39" t="s">
        <v>871</v>
      </c>
      <c r="G5" s="39">
        <v>45</v>
      </c>
      <c r="H5" s="39"/>
      <c r="I5" s="40" t="s">
        <v>269</v>
      </c>
      <c r="J5" s="41">
        <v>2</v>
      </c>
      <c r="K5" s="41">
        <v>2299</v>
      </c>
      <c r="L5" s="41"/>
      <c r="M5" s="42">
        <v>1000</v>
      </c>
      <c r="N5" s="42">
        <v>2441.6999999999998</v>
      </c>
      <c r="O5" s="43">
        <v>4598</v>
      </c>
      <c r="P5" s="44">
        <v>2000</v>
      </c>
      <c r="Q5" s="44">
        <v>4883.3999999999996</v>
      </c>
      <c r="R5" s="45">
        <v>15.57</v>
      </c>
      <c r="S5" s="46">
        <v>0</v>
      </c>
      <c r="T5" s="39">
        <f t="shared" ref="T5:T24" si="0">G5+H5</f>
        <v>45</v>
      </c>
      <c r="U5" s="47">
        <f t="shared" ref="U5:U24" si="1">(O5/$A$10)*T5</f>
        <v>0.70482795739216042</v>
      </c>
      <c r="V5" s="48">
        <f t="shared" ref="V5:V24" si="2">N5-M5</f>
        <v>1441.6999999999998</v>
      </c>
      <c r="W5" s="49">
        <f t="shared" ref="W5:W24" si="3">(O5/A$10)</f>
        <v>1.5662843497603565E-2</v>
      </c>
      <c r="X5" s="44">
        <f t="shared" ref="X5:X24" si="4">W5*A$8</f>
        <v>1775.260043875038</v>
      </c>
      <c r="Y5" s="44">
        <f t="shared" ref="Y5:Y24" si="5">Q5-P5</f>
        <v>2883.3999999999996</v>
      </c>
      <c r="Z5" s="44">
        <f t="shared" ref="Z5:Z24" si="6">X5+(A$6*W5)</f>
        <v>4799.0573435844681</v>
      </c>
      <c r="AA5" s="50">
        <f t="shared" ref="AA5:AA24" si="7">Q5+X5</f>
        <v>6658.6600438750374</v>
      </c>
      <c r="AB5" s="51">
        <f t="shared" ref="AB5:AC20" si="8">Z5/(1+ElecDiscountRate)^1</f>
        <v>4486.3581785402148</v>
      </c>
      <c r="AC5" s="44">
        <f t="shared" si="8"/>
        <v>6224.7920387725871</v>
      </c>
      <c r="AD5" s="44">
        <f t="shared" ref="AD5:AD24" si="9">-PV(ElecDiscountRate,T5,R5)*J5</f>
        <v>425.22938358428627</v>
      </c>
      <c r="AE5" s="44">
        <v>0</v>
      </c>
      <c r="AF5" s="52">
        <f>HLOOKUP(I5,ElecAvoidedCostsWOCC!$A$5:$Q$50,G5+1,FALSE)</f>
        <v>3.4276422079642828</v>
      </c>
      <c r="AG5" s="44">
        <f t="shared" ref="AG5:AG24" si="10">AF5*J5*K5</f>
        <v>15760.298872219772</v>
      </c>
      <c r="AH5" s="52">
        <f>HLOOKUP(I5,ElecAvoidedCostsWOCC!$A$5:$Q$50,T5+1,FALSE)</f>
        <v>3.4276422079642828</v>
      </c>
      <c r="AI5" s="44">
        <f t="shared" ref="AI5:AI24" si="11">AH5*J5*L5</f>
        <v>0</v>
      </c>
      <c r="AJ5" s="44">
        <f>AG5+AI5</f>
        <v>15760.298872219772</v>
      </c>
      <c r="AK5" s="44">
        <f>HLOOKUP(I5,ElecAvoidedCostsWOCC!$A$5:$Q$50,G5+1,FALSE)*J5*L5</f>
        <v>0</v>
      </c>
      <c r="AL5" s="44">
        <f>AG5+AI5-AK5</f>
        <v>15760.298872219772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15760.298872219772</v>
      </c>
      <c r="AN5" s="48">
        <f>AM5*1.1+AD5+AE5</f>
        <v>17761.558143026035</v>
      </c>
      <c r="AO5" s="47">
        <f>IFERROR(AM5/AB5,0)</f>
        <v>3.5129381661069039</v>
      </c>
      <c r="AP5" s="47">
        <f>AN5/AC5</f>
        <v>2.8533576756289971</v>
      </c>
      <c r="AQ5">
        <v>2021</v>
      </c>
    </row>
    <row r="6" spans="1:43" ht="13.5" customHeight="1">
      <c r="A6" s="53">
        <f>SUMIF('Program Costs'!D:D,C2,'Program Costs'!L:L)</f>
        <v>193055.45</v>
      </c>
      <c r="B6" s="97" t="s">
        <v>17</v>
      </c>
      <c r="C6" s="61">
        <v>18230071</v>
      </c>
      <c r="D6" s="61" t="s">
        <v>18</v>
      </c>
      <c r="E6" s="38" t="s">
        <v>872</v>
      </c>
      <c r="F6" s="39" t="s">
        <v>871</v>
      </c>
      <c r="G6" s="39">
        <v>44</v>
      </c>
      <c r="H6" s="39"/>
      <c r="I6" s="40" t="s">
        <v>269</v>
      </c>
      <c r="J6" s="41">
        <v>26</v>
      </c>
      <c r="K6" s="41">
        <v>2302</v>
      </c>
      <c r="L6" s="41"/>
      <c r="M6" s="42">
        <v>1000</v>
      </c>
      <c r="N6" s="42">
        <v>2400.94</v>
      </c>
      <c r="O6" s="43">
        <v>59852</v>
      </c>
      <c r="P6" s="44">
        <v>26000</v>
      </c>
      <c r="Q6" s="44">
        <v>62424.44</v>
      </c>
      <c r="R6" s="45">
        <v>17.04</v>
      </c>
      <c r="S6" s="46">
        <v>0</v>
      </c>
      <c r="T6" s="39">
        <f t="shared" si="0"/>
        <v>44</v>
      </c>
      <c r="U6" s="47">
        <f t="shared" si="1"/>
        <v>8.9708374068762531</v>
      </c>
      <c r="V6" s="48">
        <f t="shared" si="2"/>
        <v>1400.94</v>
      </c>
      <c r="W6" s="49">
        <f t="shared" si="3"/>
        <v>0.20388266833809668</v>
      </c>
      <c r="X6" s="44">
        <f t="shared" si="4"/>
        <v>23108.495899523437</v>
      </c>
      <c r="Y6" s="44">
        <f t="shared" si="5"/>
        <v>36424.44</v>
      </c>
      <c r="Z6" s="44">
        <f t="shared" si="6"/>
        <v>62469.156182735445</v>
      </c>
      <c r="AA6" s="50">
        <f t="shared" si="7"/>
        <v>85532.935899523436</v>
      </c>
      <c r="AB6" s="51">
        <f t="shared" si="8"/>
        <v>58398.762440623948</v>
      </c>
      <c r="AC6" s="44">
        <f t="shared" si="8"/>
        <v>79959.741889804078</v>
      </c>
      <c r="AD6" s="44">
        <f t="shared" si="9"/>
        <v>6028.5291022021183</v>
      </c>
      <c r="AE6" s="44">
        <v>0</v>
      </c>
      <c r="AF6" s="52">
        <f>HLOOKUP(I6,ElecAvoidedCostsWOCC!$A$5:$Q$50,G6+1,FALSE)</f>
        <v>3.3440411785017394</v>
      </c>
      <c r="AG6" s="44">
        <f t="shared" si="10"/>
        <v>200147.55261568609</v>
      </c>
      <c r="AH6" s="52">
        <f>HLOOKUP(I6,ElecAvoidedCostsWOCC!$A$5:$Q$50,T6+1,FALSE)</f>
        <v>3.3440411785017394</v>
      </c>
      <c r="AI6" s="44">
        <f t="shared" si="11"/>
        <v>0</v>
      </c>
      <c r="AJ6" s="44">
        <f t="shared" ref="AJ6:AJ24" si="12">AG6+AI6</f>
        <v>200147.55261568609</v>
      </c>
      <c r="AK6" s="44">
        <f>HLOOKUP(I6,ElecAvoidedCostsWOCC!$A$5:$Q$50,G6+1,FALSE)*J6*L6</f>
        <v>0</v>
      </c>
      <c r="AL6" s="44">
        <f t="shared" ref="AL6:AL24" si="13">AG6+AI6-AK6</f>
        <v>200147.55261568609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200147.55261568612</v>
      </c>
      <c r="AN6" s="48">
        <f t="shared" ref="AN6:AN24" si="14">AM6*1.1+AD6+AE6</f>
        <v>226190.83697945689</v>
      </c>
      <c r="AO6" s="47">
        <f t="shared" ref="AO6:AO24" si="15">IFERROR(AM6/AB6,0)</f>
        <v>3.4272567474213704</v>
      </c>
      <c r="AP6" s="47">
        <f t="shared" ref="AP6:AP24" si="16">AN6/AC6</f>
        <v>2.8288089935455281</v>
      </c>
      <c r="AQ6">
        <v>2021</v>
      </c>
    </row>
    <row r="7" spans="1:43" ht="13.5" customHeight="1">
      <c r="A7" s="36" t="s">
        <v>249</v>
      </c>
      <c r="B7" s="97" t="s">
        <v>17</v>
      </c>
      <c r="C7" s="61">
        <v>18230071</v>
      </c>
      <c r="D7" s="61" t="s">
        <v>18</v>
      </c>
      <c r="E7" s="38" t="s">
        <v>873</v>
      </c>
      <c r="F7" s="39" t="s">
        <v>871</v>
      </c>
      <c r="G7" s="39">
        <v>45</v>
      </c>
      <c r="H7" s="39"/>
      <c r="I7" s="40" t="s">
        <v>269</v>
      </c>
      <c r="J7" s="41">
        <v>24</v>
      </c>
      <c r="K7" s="41">
        <v>2066</v>
      </c>
      <c r="L7" s="41"/>
      <c r="M7" s="42">
        <v>1000</v>
      </c>
      <c r="N7" s="42">
        <v>2514.08</v>
      </c>
      <c r="O7" s="43">
        <v>49584</v>
      </c>
      <c r="P7" s="44">
        <v>24000</v>
      </c>
      <c r="Q7" s="44">
        <v>60337.919999999998</v>
      </c>
      <c r="R7" s="45">
        <v>0</v>
      </c>
      <c r="S7" s="46">
        <v>0</v>
      </c>
      <c r="T7" s="39">
        <f t="shared" si="0"/>
        <v>45</v>
      </c>
      <c r="U7" s="47">
        <f t="shared" si="1"/>
        <v>7.6007371551398171</v>
      </c>
      <c r="V7" s="48">
        <f t="shared" si="2"/>
        <v>1514.08</v>
      </c>
      <c r="W7" s="49">
        <f t="shared" si="3"/>
        <v>0.16890527011421816</v>
      </c>
      <c r="X7" s="44">
        <f t="shared" si="4"/>
        <v>19144.083082970828</v>
      </c>
      <c r="Y7" s="44">
        <f t="shared" si="5"/>
        <v>36337.919999999998</v>
      </c>
      <c r="Z7" s="44">
        <f t="shared" si="6"/>
        <v>51752.166012242771</v>
      </c>
      <c r="AA7" s="50">
        <f t="shared" si="7"/>
        <v>79482.003082970827</v>
      </c>
      <c r="AB7" s="51">
        <f t="shared" si="8"/>
        <v>48380.074798768597</v>
      </c>
      <c r="AC7" s="44">
        <f t="shared" si="8"/>
        <v>74303.078510770138</v>
      </c>
      <c r="AD7" s="44">
        <f t="shared" si="9"/>
        <v>0</v>
      </c>
      <c r="AE7" s="44">
        <v>0</v>
      </c>
      <c r="AF7" s="52">
        <f>HLOOKUP(I7,ElecAvoidedCostsWOCC!$A$5:$Q$50,G7+1,FALSE)</f>
        <v>3.4276422079642828</v>
      </c>
      <c r="AG7" s="44">
        <f t="shared" si="10"/>
        <v>169956.21123970099</v>
      </c>
      <c r="AH7" s="52">
        <f>HLOOKUP(I7,ElecAvoidedCostsWOCC!$A$5:$Q$50,T7+1,FALSE)</f>
        <v>3.4276422079642828</v>
      </c>
      <c r="AI7" s="44">
        <f t="shared" si="11"/>
        <v>0</v>
      </c>
      <c r="AJ7" s="44">
        <f t="shared" si="12"/>
        <v>169956.21123970099</v>
      </c>
      <c r="AK7" s="44">
        <f>HLOOKUP(I7,ElecAvoidedCostsWOCC!$A$5:$Q$50,G7+1,FALSE)*J7*L7</f>
        <v>0</v>
      </c>
      <c r="AL7" s="44">
        <f t="shared" si="13"/>
        <v>169956.21123970099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169956.21123970102</v>
      </c>
      <c r="AN7" s="48">
        <f t="shared" si="14"/>
        <v>186951.83236367113</v>
      </c>
      <c r="AO7" s="47">
        <f t="shared" si="15"/>
        <v>3.5129381661069043</v>
      </c>
      <c r="AP7" s="47">
        <f t="shared" si="16"/>
        <v>2.5160711522413259</v>
      </c>
      <c r="AQ7">
        <v>2021</v>
      </c>
    </row>
    <row r="8" spans="1:43" ht="13.5" customHeight="1">
      <c r="A8" s="53">
        <f>SUMIF('Program Costs'!D:D,C2,'Program Costs'!O:O)</f>
        <v>113342.13</v>
      </c>
      <c r="B8" s="97" t="s">
        <v>17</v>
      </c>
      <c r="C8" s="61">
        <v>18230071</v>
      </c>
      <c r="D8" s="61" t="s">
        <v>18</v>
      </c>
      <c r="E8" s="38" t="s">
        <v>874</v>
      </c>
      <c r="F8" s="39" t="s">
        <v>875</v>
      </c>
      <c r="G8" s="39">
        <v>41</v>
      </c>
      <c r="H8" s="39"/>
      <c r="I8" s="40" t="s">
        <v>269</v>
      </c>
      <c r="J8" s="41">
        <v>2</v>
      </c>
      <c r="K8" s="41">
        <v>2978</v>
      </c>
      <c r="L8" s="41"/>
      <c r="M8" s="42">
        <v>1500</v>
      </c>
      <c r="N8" s="42">
        <v>3990.85</v>
      </c>
      <c r="O8" s="43">
        <v>5956</v>
      </c>
      <c r="P8" s="44">
        <v>3000</v>
      </c>
      <c r="Q8" s="44">
        <v>7981.7</v>
      </c>
      <c r="R8" s="45">
        <v>19.91</v>
      </c>
      <c r="S8" s="46">
        <v>0</v>
      </c>
      <c r="T8" s="39">
        <f t="shared" si="0"/>
        <v>41</v>
      </c>
      <c r="U8" s="47">
        <f t="shared" si="1"/>
        <v>0.83184074178790779</v>
      </c>
      <c r="V8" s="48">
        <f t="shared" si="2"/>
        <v>2490.85</v>
      </c>
      <c r="W8" s="49">
        <f t="shared" si="3"/>
        <v>2.0288798580192873E-2</v>
      </c>
      <c r="X8" s="44">
        <f t="shared" si="4"/>
        <v>2299.5756462200361</v>
      </c>
      <c r="Y8" s="44">
        <f t="shared" si="5"/>
        <v>4981.7</v>
      </c>
      <c r="Z8" s="44">
        <f t="shared" si="6"/>
        <v>6216.4387860785328</v>
      </c>
      <c r="AA8" s="50">
        <f t="shared" si="7"/>
        <v>10281.275646220036</v>
      </c>
      <c r="AB8" s="51">
        <f t="shared" si="8"/>
        <v>5811.3852351860633</v>
      </c>
      <c r="AC8" s="44">
        <f t="shared" si="8"/>
        <v>9611.3636030850103</v>
      </c>
      <c r="AD8" s="44">
        <f t="shared" si="9"/>
        <v>535.23721432371315</v>
      </c>
      <c r="AE8" s="44">
        <v>0</v>
      </c>
      <c r="AF8" s="52">
        <f>HLOOKUP(I8,ElecAvoidedCostsWOCC!$A$5:$Q$50,G8+1,FALSE)</f>
        <v>3.105274668448097</v>
      </c>
      <c r="AG8" s="44">
        <f t="shared" si="10"/>
        <v>18495.015925276864</v>
      </c>
      <c r="AH8" s="52">
        <f>HLOOKUP(I8,ElecAvoidedCostsWOCC!$A$5:$Q$50,T8+1,FALSE)</f>
        <v>3.105274668448097</v>
      </c>
      <c r="AI8" s="44">
        <f t="shared" si="11"/>
        <v>0</v>
      </c>
      <c r="AJ8" s="44">
        <f t="shared" si="12"/>
        <v>18495.015925276864</v>
      </c>
      <c r="AK8" s="44">
        <f>HLOOKUP(I8,ElecAvoidedCostsWOCC!$A$5:$Q$50,G8+1,FALSE)*J8*L8</f>
        <v>0</v>
      </c>
      <c r="AL8" s="44">
        <f t="shared" si="13"/>
        <v>18495.015925276864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18495.015925276864</v>
      </c>
      <c r="AN8" s="48">
        <f t="shared" si="14"/>
        <v>20879.754732128265</v>
      </c>
      <c r="AO8" s="47">
        <f t="shared" si="15"/>
        <v>3.1825485967262175</v>
      </c>
      <c r="AP8" s="47">
        <f t="shared" si="16"/>
        <v>2.172402959079228</v>
      </c>
      <c r="AQ8">
        <v>2021</v>
      </c>
    </row>
    <row r="9" spans="1:43" ht="13.5" customHeight="1">
      <c r="A9" s="36" t="s">
        <v>250</v>
      </c>
      <c r="B9" s="97" t="s">
        <v>17</v>
      </c>
      <c r="C9" s="61">
        <v>18230071</v>
      </c>
      <c r="D9" s="61" t="s">
        <v>18</v>
      </c>
      <c r="E9" s="38" t="s">
        <v>876</v>
      </c>
      <c r="F9" s="39" t="s">
        <v>875</v>
      </c>
      <c r="G9" s="39">
        <v>41</v>
      </c>
      <c r="H9" s="39"/>
      <c r="I9" s="40" t="s">
        <v>269</v>
      </c>
      <c r="J9" s="41">
        <v>1</v>
      </c>
      <c r="K9" s="41">
        <v>2978</v>
      </c>
      <c r="L9" s="41"/>
      <c r="M9" s="42">
        <v>2000</v>
      </c>
      <c r="N9" s="42">
        <v>3990.85</v>
      </c>
      <c r="O9" s="43">
        <v>2978</v>
      </c>
      <c r="P9" s="44">
        <v>2000</v>
      </c>
      <c r="Q9" s="44">
        <v>3990.85</v>
      </c>
      <c r="R9" s="45">
        <v>19.91</v>
      </c>
      <c r="S9" s="46">
        <v>0</v>
      </c>
      <c r="T9" s="39">
        <f t="shared" si="0"/>
        <v>41</v>
      </c>
      <c r="U9" s="47">
        <f t="shared" si="1"/>
        <v>0.41592037089395389</v>
      </c>
      <c r="V9" s="48">
        <f t="shared" si="2"/>
        <v>1990.85</v>
      </c>
      <c r="W9" s="49">
        <f t="shared" si="3"/>
        <v>1.0144399290096437E-2</v>
      </c>
      <c r="X9" s="44">
        <f t="shared" si="4"/>
        <v>1149.7878231100181</v>
      </c>
      <c r="Y9" s="44">
        <f t="shared" si="5"/>
        <v>1990.85</v>
      </c>
      <c r="Z9" s="44">
        <f t="shared" si="6"/>
        <v>3108.2193930392664</v>
      </c>
      <c r="AA9" s="50">
        <f t="shared" si="7"/>
        <v>5140.637823110018</v>
      </c>
      <c r="AB9" s="51">
        <f t="shared" si="8"/>
        <v>2905.6926175930316</v>
      </c>
      <c r="AC9" s="44">
        <f t="shared" si="8"/>
        <v>4805.6818015425051</v>
      </c>
      <c r="AD9" s="44">
        <f t="shared" si="9"/>
        <v>267.61860716185657</v>
      </c>
      <c r="AE9" s="44">
        <f t="shared" ref="AE9:AE24" si="17">-PV(ElecDiscountRate,T9,S9)*J9</f>
        <v>0</v>
      </c>
      <c r="AF9" s="52">
        <f>HLOOKUP(I9,ElecAvoidedCostsWOCC!$A$5:$Q$50,G9+1,FALSE)</f>
        <v>3.105274668448097</v>
      </c>
      <c r="AG9" s="44">
        <f t="shared" si="10"/>
        <v>9247.5079626384322</v>
      </c>
      <c r="AH9" s="52">
        <f>HLOOKUP(I9,ElecAvoidedCostsWOCC!$A$5:$Q$50,T9+1,FALSE)</f>
        <v>3.105274668448097</v>
      </c>
      <c r="AI9" s="44">
        <f t="shared" si="11"/>
        <v>0</v>
      </c>
      <c r="AJ9" s="44">
        <f t="shared" si="12"/>
        <v>9247.5079626384322</v>
      </c>
      <c r="AK9" s="44">
        <f>HLOOKUP(I9,ElecAvoidedCostsWOCC!$A$5:$Q$50,G9+1,FALSE)*J9*L9</f>
        <v>0</v>
      </c>
      <c r="AL9" s="44">
        <f t="shared" si="13"/>
        <v>9247.5079626384322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9247.5079626384322</v>
      </c>
      <c r="AN9" s="48">
        <f t="shared" si="14"/>
        <v>10439.877366064133</v>
      </c>
      <c r="AO9" s="47">
        <f t="shared" si="15"/>
        <v>3.1825485967262175</v>
      </c>
      <c r="AP9" s="47">
        <f t="shared" si="16"/>
        <v>2.172402959079228</v>
      </c>
      <c r="AQ9">
        <v>2021</v>
      </c>
    </row>
    <row r="10" spans="1:43" ht="13.5" customHeight="1">
      <c r="A10" s="54">
        <f>SUM(O5:O999)</f>
        <v>293561</v>
      </c>
      <c r="B10" s="97" t="s">
        <v>17</v>
      </c>
      <c r="C10" s="61">
        <v>18230071</v>
      </c>
      <c r="D10" s="61" t="s">
        <v>18</v>
      </c>
      <c r="E10" s="38" t="s">
        <v>877</v>
      </c>
      <c r="F10" s="39" t="s">
        <v>875</v>
      </c>
      <c r="G10" s="39">
        <v>43</v>
      </c>
      <c r="H10" s="39"/>
      <c r="I10" s="40" t="s">
        <v>269</v>
      </c>
      <c r="J10" s="41">
        <v>2</v>
      </c>
      <c r="K10" s="41">
        <v>2606</v>
      </c>
      <c r="L10" s="41"/>
      <c r="M10" s="42">
        <v>2000</v>
      </c>
      <c r="N10" s="42">
        <v>4110.8</v>
      </c>
      <c r="O10" s="43">
        <v>5212</v>
      </c>
      <c r="P10" s="44">
        <v>4000</v>
      </c>
      <c r="Q10" s="44">
        <v>8221.6</v>
      </c>
      <c r="R10" s="45">
        <v>0</v>
      </c>
      <c r="S10" s="46">
        <v>0</v>
      </c>
      <c r="T10" s="39">
        <f t="shared" si="0"/>
        <v>43</v>
      </c>
      <c r="U10" s="47">
        <f t="shared" si="1"/>
        <v>0.76343928519115267</v>
      </c>
      <c r="V10" s="48">
        <f t="shared" si="2"/>
        <v>2110.8000000000002</v>
      </c>
      <c r="W10" s="49">
        <f t="shared" si="3"/>
        <v>1.7754401981189598E-2</v>
      </c>
      <c r="X10" s="44">
        <f t="shared" si="4"/>
        <v>2012.321737424249</v>
      </c>
      <c r="Y10" s="44">
        <f t="shared" si="5"/>
        <v>4221.6000000000004</v>
      </c>
      <c r="Z10" s="44">
        <f t="shared" si="6"/>
        <v>5439.9058013836984</v>
      </c>
      <c r="AA10" s="50">
        <f t="shared" si="7"/>
        <v>10233.921737424249</v>
      </c>
      <c r="AB10" s="51">
        <f t="shared" si="8"/>
        <v>5085.4499405288379</v>
      </c>
      <c r="AC10" s="44">
        <f t="shared" si="8"/>
        <v>9567.0952018549578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3.2624791985382822</v>
      </c>
      <c r="AG10" s="44">
        <f t="shared" si="10"/>
        <v>17004.041582781527</v>
      </c>
      <c r="AH10" s="52">
        <f>HLOOKUP(I10,ElecAvoidedCostsWOCC!$A$5:$Q$50,T10+1,FALSE)</f>
        <v>3.2624791985382822</v>
      </c>
      <c r="AI10" s="44">
        <f t="shared" si="11"/>
        <v>0</v>
      </c>
      <c r="AJ10" s="44">
        <f t="shared" si="12"/>
        <v>17004.041582781527</v>
      </c>
      <c r="AK10" s="44">
        <f>HLOOKUP(I10,ElecAvoidedCostsWOCC!$A$5:$Q$50,G10+1,FALSE)*J10*L10</f>
        <v>0</v>
      </c>
      <c r="AL10" s="44">
        <f t="shared" si="13"/>
        <v>17004.041582781527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17004.041582781527</v>
      </c>
      <c r="AN10" s="48">
        <f t="shared" si="14"/>
        <v>18704.445741059681</v>
      </c>
      <c r="AO10" s="47">
        <f t="shared" si="15"/>
        <v>3.3436651194354829</v>
      </c>
      <c r="AP10" s="47">
        <f t="shared" si="16"/>
        <v>1.9550809672546259</v>
      </c>
      <c r="AQ10">
        <v>2021</v>
      </c>
    </row>
    <row r="11" spans="1:43" ht="13.5" customHeight="1">
      <c r="A11" s="36" t="s">
        <v>251</v>
      </c>
      <c r="B11" s="97" t="s">
        <v>17</v>
      </c>
      <c r="C11" s="61">
        <v>18230071</v>
      </c>
      <c r="D11" s="61" t="s">
        <v>18</v>
      </c>
      <c r="E11" s="38" t="s">
        <v>878</v>
      </c>
      <c r="F11" s="39" t="s">
        <v>879</v>
      </c>
      <c r="G11" s="39">
        <v>0</v>
      </c>
      <c r="H11" s="39"/>
      <c r="I11" s="40"/>
      <c r="J11" s="41">
        <v>1</v>
      </c>
      <c r="K11" s="41">
        <v>0</v>
      </c>
      <c r="L11" s="41"/>
      <c r="M11" s="42">
        <v>200</v>
      </c>
      <c r="N11" s="42">
        <v>200</v>
      </c>
      <c r="O11" s="43">
        <v>0</v>
      </c>
      <c r="P11" s="44">
        <v>200</v>
      </c>
      <c r="Q11" s="44">
        <v>200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200</v>
      </c>
      <c r="AB11" s="51">
        <f t="shared" si="8"/>
        <v>0</v>
      </c>
      <c r="AC11" s="44">
        <f t="shared" si="8"/>
        <v>186.96830887164623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  <c r="AQ11">
        <v>2021</v>
      </c>
    </row>
    <row r="12" spans="1:43" ht="13.5" customHeight="1">
      <c r="A12" s="55">
        <f>SUM(P5:P1000)</f>
        <v>148600</v>
      </c>
      <c r="B12" s="97" t="s">
        <v>17</v>
      </c>
      <c r="C12" s="61">
        <v>18230071</v>
      </c>
      <c r="D12" s="61" t="s">
        <v>18</v>
      </c>
      <c r="E12" s="38" t="s">
        <v>880</v>
      </c>
      <c r="F12" s="39" t="s">
        <v>881</v>
      </c>
      <c r="G12" s="39"/>
      <c r="H12" s="39"/>
      <c r="I12" s="40"/>
      <c r="J12" s="41">
        <v>16</v>
      </c>
      <c r="K12" s="41">
        <v>0</v>
      </c>
      <c r="L12" s="41"/>
      <c r="M12" s="42">
        <v>200</v>
      </c>
      <c r="N12" s="42">
        <v>200</v>
      </c>
      <c r="O12" s="43">
        <v>0</v>
      </c>
      <c r="P12" s="44">
        <v>3200</v>
      </c>
      <c r="Q12" s="44">
        <v>3200</v>
      </c>
      <c r="R12" s="45">
        <v>0</v>
      </c>
      <c r="S12" s="46">
        <v>0</v>
      </c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3200</v>
      </c>
      <c r="AB12" s="51">
        <f t="shared" si="8"/>
        <v>0</v>
      </c>
      <c r="AC12" s="44">
        <f t="shared" si="8"/>
        <v>2991.4929419463397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  <c r="AQ12">
        <v>2021</v>
      </c>
    </row>
    <row r="13" spans="1:43" ht="13.5" customHeight="1">
      <c r="A13" s="56" t="s">
        <v>252</v>
      </c>
      <c r="B13" s="97" t="s">
        <v>17</v>
      </c>
      <c r="C13" s="61">
        <v>18230071</v>
      </c>
      <c r="D13" s="61" t="s">
        <v>18</v>
      </c>
      <c r="E13" s="38" t="s">
        <v>882</v>
      </c>
      <c r="F13" s="39" t="s">
        <v>883</v>
      </c>
      <c r="G13" s="39"/>
      <c r="H13" s="39"/>
      <c r="I13" s="40"/>
      <c r="J13" s="41">
        <v>6</v>
      </c>
      <c r="K13" s="41">
        <v>0</v>
      </c>
      <c r="L13" s="41"/>
      <c r="M13" s="42">
        <v>200</v>
      </c>
      <c r="N13" s="42">
        <v>0</v>
      </c>
      <c r="O13" s="43">
        <v>0</v>
      </c>
      <c r="P13" s="44">
        <v>1200</v>
      </c>
      <c r="Q13" s="44">
        <v>0</v>
      </c>
      <c r="R13" s="45">
        <v>0</v>
      </c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-200</v>
      </c>
      <c r="W13" s="49">
        <f t="shared" si="3"/>
        <v>0</v>
      </c>
      <c r="X13" s="44">
        <f t="shared" si="4"/>
        <v>0</v>
      </c>
      <c r="Y13" s="44">
        <f t="shared" si="5"/>
        <v>-1200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  <c r="AQ13">
        <v>2021</v>
      </c>
    </row>
    <row r="14" spans="1:43" ht="13.5" customHeight="1">
      <c r="A14" s="55">
        <f>SUM(Y5:Y1000)</f>
        <v>191682.73000000004</v>
      </c>
      <c r="B14" s="97" t="s">
        <v>17</v>
      </c>
      <c r="C14" s="61">
        <v>18230071</v>
      </c>
      <c r="D14" s="61" t="s">
        <v>18</v>
      </c>
      <c r="E14" s="38" t="s">
        <v>884</v>
      </c>
      <c r="F14" s="39" t="s">
        <v>885</v>
      </c>
      <c r="G14" s="39"/>
      <c r="H14" s="39"/>
      <c r="I14" s="40"/>
      <c r="J14" s="41">
        <v>1</v>
      </c>
      <c r="K14" s="41">
        <v>0</v>
      </c>
      <c r="L14" s="41"/>
      <c r="M14" s="42">
        <v>300</v>
      </c>
      <c r="N14" s="42">
        <v>300</v>
      </c>
      <c r="O14" s="43">
        <v>0</v>
      </c>
      <c r="P14" s="44">
        <v>300</v>
      </c>
      <c r="Q14" s="44">
        <v>300</v>
      </c>
      <c r="R14" s="45">
        <v>0</v>
      </c>
      <c r="S14" s="46">
        <v>0</v>
      </c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300</v>
      </c>
      <c r="AB14" s="51">
        <f t="shared" si="8"/>
        <v>0</v>
      </c>
      <c r="AC14" s="44">
        <f t="shared" si="8"/>
        <v>280.45246330746937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  <c r="AQ14">
        <v>2021</v>
      </c>
    </row>
    <row r="15" spans="1:43" ht="13.5" customHeight="1">
      <c r="A15" s="57" t="s">
        <v>253</v>
      </c>
      <c r="B15" s="97" t="s">
        <v>17</v>
      </c>
      <c r="C15" s="100">
        <v>18230071</v>
      </c>
      <c r="D15" s="100" t="s">
        <v>18</v>
      </c>
      <c r="E15" s="38" t="s">
        <v>870</v>
      </c>
      <c r="F15" s="39" t="s">
        <v>871</v>
      </c>
      <c r="G15" s="39">
        <v>45</v>
      </c>
      <c r="H15" s="39"/>
      <c r="I15" s="40" t="s">
        <v>269</v>
      </c>
      <c r="J15" s="41">
        <v>29</v>
      </c>
      <c r="K15" s="41">
        <v>2299</v>
      </c>
      <c r="L15" s="41"/>
      <c r="M15" s="42">
        <v>1000</v>
      </c>
      <c r="N15" s="42">
        <v>2441.6999999999998</v>
      </c>
      <c r="O15" s="43">
        <v>66671</v>
      </c>
      <c r="P15" s="44">
        <v>29000</v>
      </c>
      <c r="Q15" s="44">
        <v>70809.3</v>
      </c>
      <c r="R15" s="45">
        <v>15.57</v>
      </c>
      <c r="S15" s="46">
        <v>0</v>
      </c>
      <c r="T15" s="39">
        <f t="shared" si="0"/>
        <v>45</v>
      </c>
      <c r="U15" s="47">
        <f t="shared" si="1"/>
        <v>10.220005382186326</v>
      </c>
      <c r="V15" s="48">
        <f t="shared" si="2"/>
        <v>1441.6999999999998</v>
      </c>
      <c r="W15" s="49">
        <f t="shared" si="3"/>
        <v>0.22711123071525169</v>
      </c>
      <c r="X15" s="44">
        <f t="shared" si="4"/>
        <v>25741.270636188052</v>
      </c>
      <c r="Y15" s="44">
        <f t="shared" si="5"/>
        <v>41809.300000000003</v>
      </c>
      <c r="Z15" s="44">
        <f t="shared" si="6"/>
        <v>69586.33148197479</v>
      </c>
      <c r="AA15" s="50">
        <f t="shared" si="7"/>
        <v>96550.570636188058</v>
      </c>
      <c r="AB15" s="51">
        <f t="shared" si="8"/>
        <v>65052.193588833114</v>
      </c>
      <c r="AC15" s="44">
        <f t="shared" si="8"/>
        <v>90259.484562202531</v>
      </c>
      <c r="AD15" s="44">
        <f t="shared" si="9"/>
        <v>6165.8260619721505</v>
      </c>
      <c r="AE15" s="44">
        <f t="shared" si="17"/>
        <v>0</v>
      </c>
      <c r="AF15" s="52">
        <f>HLOOKUP(I15,ElecAvoidedCostsWOCC!$A$5:$Q$50,G15+1,FALSE)</f>
        <v>3.4276422079642828</v>
      </c>
      <c r="AG15" s="44">
        <f t="shared" si="10"/>
        <v>228524.33364718669</v>
      </c>
      <c r="AH15" s="52">
        <f>HLOOKUP(I15,ElecAvoidedCostsWOCC!$A$5:$Q$50,T15+1,FALSE)</f>
        <v>3.4276422079642828</v>
      </c>
      <c r="AI15" s="44">
        <f t="shared" si="11"/>
        <v>0</v>
      </c>
      <c r="AJ15" s="44">
        <f t="shared" si="12"/>
        <v>228524.33364718669</v>
      </c>
      <c r="AK15" s="44">
        <f>HLOOKUP(I15,ElecAvoidedCostsWOCC!$A$5:$Q$50,G15+1,FALSE)*J15*L15</f>
        <v>0</v>
      </c>
      <c r="AL15" s="44">
        <f t="shared" si="13"/>
        <v>228524.33364718669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228524.33364718669</v>
      </c>
      <c r="AN15" s="48">
        <f t="shared" si="14"/>
        <v>257542.59307387754</v>
      </c>
      <c r="AO15" s="47">
        <f t="shared" si="15"/>
        <v>3.5129381661069039</v>
      </c>
      <c r="AP15" s="47">
        <f t="shared" si="16"/>
        <v>2.8533576756289967</v>
      </c>
      <c r="AQ15">
        <v>2020</v>
      </c>
    </row>
    <row r="16" spans="1:43" ht="13.5" customHeight="1">
      <c r="A16" s="54">
        <f>SUM(U5:U999)</f>
        <v>44.283263103750151</v>
      </c>
      <c r="B16" s="97" t="s">
        <v>17</v>
      </c>
      <c r="C16" s="100">
        <v>18230071</v>
      </c>
      <c r="D16" s="100" t="s">
        <v>18</v>
      </c>
      <c r="E16" s="38" t="s">
        <v>872</v>
      </c>
      <c r="F16" s="39" t="s">
        <v>871</v>
      </c>
      <c r="G16" s="39">
        <v>44</v>
      </c>
      <c r="H16" s="39"/>
      <c r="I16" s="40" t="s">
        <v>269</v>
      </c>
      <c r="J16" s="41">
        <v>35</v>
      </c>
      <c r="K16" s="41">
        <v>2302</v>
      </c>
      <c r="L16" s="41"/>
      <c r="M16" s="42">
        <v>1000</v>
      </c>
      <c r="N16" s="42">
        <v>2400.94</v>
      </c>
      <c r="O16" s="43">
        <v>80570</v>
      </c>
      <c r="P16" s="44">
        <v>35000</v>
      </c>
      <c r="Q16" s="44">
        <v>84032.9</v>
      </c>
      <c r="R16" s="45">
        <v>17.04</v>
      </c>
      <c r="S16" s="46">
        <v>0</v>
      </c>
      <c r="T16" s="39">
        <f t="shared" si="0"/>
        <v>44</v>
      </c>
      <c r="U16" s="47">
        <f t="shared" si="1"/>
        <v>12.076127278487265</v>
      </c>
      <c r="V16" s="48">
        <f t="shared" si="2"/>
        <v>1400.94</v>
      </c>
      <c r="W16" s="49">
        <f t="shared" si="3"/>
        <v>0.27445743814743784</v>
      </c>
      <c r="X16" s="44">
        <f t="shared" si="4"/>
        <v>31107.590633973861</v>
      </c>
      <c r="Y16" s="44">
        <f t="shared" si="5"/>
        <v>49032.899999999994</v>
      </c>
      <c r="Z16" s="44">
        <f t="shared" si="6"/>
        <v>84093.094861374644</v>
      </c>
      <c r="AA16" s="50">
        <f t="shared" si="7"/>
        <v>115140.49063397385</v>
      </c>
      <c r="AB16" s="51">
        <f t="shared" si="8"/>
        <v>78613.71867007071</v>
      </c>
      <c r="AC16" s="44">
        <f t="shared" si="8"/>
        <v>107638.11408242857</v>
      </c>
      <c r="AD16" s="44">
        <f t="shared" si="9"/>
        <v>8115.327637579775</v>
      </c>
      <c r="AE16" s="44">
        <f t="shared" si="17"/>
        <v>0</v>
      </c>
      <c r="AF16" s="52">
        <f>HLOOKUP(I16,ElecAvoidedCostsWOCC!$A$5:$Q$50,G16+1,FALSE)</f>
        <v>3.3440411785017394</v>
      </c>
      <c r="AG16" s="44">
        <f t="shared" si="10"/>
        <v>269429.39775188518</v>
      </c>
      <c r="AH16" s="52">
        <f>HLOOKUP(I16,ElecAvoidedCostsWOCC!$A$5:$Q$50,T16+1,FALSE)</f>
        <v>3.3440411785017394</v>
      </c>
      <c r="AI16" s="44">
        <f t="shared" si="11"/>
        <v>0</v>
      </c>
      <c r="AJ16" s="44">
        <f t="shared" si="12"/>
        <v>269429.39775188518</v>
      </c>
      <c r="AK16" s="44">
        <f>HLOOKUP(I16,ElecAvoidedCostsWOCC!$A$5:$Q$50,G16+1,FALSE)*J16*L16</f>
        <v>0</v>
      </c>
      <c r="AL16" s="44">
        <f t="shared" si="13"/>
        <v>269429.39775188518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269429.39775188518</v>
      </c>
      <c r="AN16" s="48">
        <f t="shared" si="14"/>
        <v>304487.6651646535</v>
      </c>
      <c r="AO16" s="47">
        <f t="shared" si="15"/>
        <v>3.42725674742137</v>
      </c>
      <c r="AP16" s="47">
        <f t="shared" si="16"/>
        <v>2.8288089935455281</v>
      </c>
      <c r="AQ16">
        <v>2020</v>
      </c>
    </row>
    <row r="17" spans="1:43" ht="13.5" customHeight="1">
      <c r="A17" s="58" t="s">
        <v>254</v>
      </c>
      <c r="B17" s="97" t="s">
        <v>17</v>
      </c>
      <c r="C17" s="100">
        <v>18230071</v>
      </c>
      <c r="D17" s="100" t="s">
        <v>18</v>
      </c>
      <c r="E17" s="38" t="s">
        <v>2013</v>
      </c>
      <c r="F17" s="39" t="s">
        <v>875</v>
      </c>
      <c r="G17" s="39">
        <v>45</v>
      </c>
      <c r="H17" s="39"/>
      <c r="I17" s="40" t="s">
        <v>269</v>
      </c>
      <c r="J17" s="41">
        <v>4</v>
      </c>
      <c r="K17" s="41">
        <v>3046</v>
      </c>
      <c r="L17" s="41"/>
      <c r="M17" s="42">
        <v>1500</v>
      </c>
      <c r="N17" s="42">
        <v>4054.73</v>
      </c>
      <c r="O17" s="43">
        <v>12184</v>
      </c>
      <c r="P17" s="44">
        <v>6000</v>
      </c>
      <c r="Q17" s="44">
        <v>16218.92</v>
      </c>
      <c r="R17" s="45">
        <v>18.190000000000001</v>
      </c>
      <c r="S17" s="46">
        <v>0</v>
      </c>
      <c r="T17" s="39">
        <f t="shared" si="0"/>
        <v>45</v>
      </c>
      <c r="U17" s="47">
        <f t="shared" si="1"/>
        <v>1.8676867840074123</v>
      </c>
      <c r="V17" s="48">
        <f t="shared" si="2"/>
        <v>2554.73</v>
      </c>
      <c r="W17" s="49">
        <f t="shared" si="3"/>
        <v>4.1504150755720275E-2</v>
      </c>
      <c r="X17" s="44">
        <f t="shared" si="4"/>
        <v>4704.1688504944459</v>
      </c>
      <c r="Y17" s="44">
        <f t="shared" si="5"/>
        <v>10218.92</v>
      </c>
      <c r="Z17" s="44">
        <f t="shared" si="6"/>
        <v>12716.771351507865</v>
      </c>
      <c r="AA17" s="50">
        <f t="shared" si="7"/>
        <v>20923.088850494445</v>
      </c>
      <c r="AB17" s="51">
        <f t="shared" si="8"/>
        <v>11888.166169494123</v>
      </c>
      <c r="AC17" s="44">
        <f t="shared" si="8"/>
        <v>19559.772693740717</v>
      </c>
      <c r="AD17" s="44">
        <f t="shared" si="9"/>
        <v>993.56743576084352</v>
      </c>
      <c r="AE17" s="44">
        <f t="shared" si="17"/>
        <v>0</v>
      </c>
      <c r="AF17" s="52">
        <f>HLOOKUP(I17,ElecAvoidedCostsWOCC!$A$5:$Q$50,G17+1,FALSE)</f>
        <v>3.4276422079642828</v>
      </c>
      <c r="AG17" s="44">
        <f t="shared" si="10"/>
        <v>41762.39266183682</v>
      </c>
      <c r="AH17" s="52">
        <f>HLOOKUP(I17,ElecAvoidedCostsWOCC!$A$5:$Q$50,T17+1,FALSE)</f>
        <v>3.4276422079642828</v>
      </c>
      <c r="AI17" s="44">
        <f t="shared" si="11"/>
        <v>0</v>
      </c>
      <c r="AJ17" s="44">
        <f t="shared" si="12"/>
        <v>41762.39266183682</v>
      </c>
      <c r="AK17" s="44">
        <f>HLOOKUP(I17,ElecAvoidedCostsWOCC!$A$5:$Q$50,G17+1,FALSE)*J17*L17</f>
        <v>0</v>
      </c>
      <c r="AL17" s="44">
        <f t="shared" si="13"/>
        <v>41762.39266183682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41762.39266183682</v>
      </c>
      <c r="AN17" s="48">
        <f t="shared" si="14"/>
        <v>46932.19936378135</v>
      </c>
      <c r="AO17" s="47">
        <f t="shared" si="15"/>
        <v>3.5129381661069039</v>
      </c>
      <c r="AP17" s="47">
        <f t="shared" si="16"/>
        <v>2.3994245791414555</v>
      </c>
      <c r="AQ17">
        <v>2020</v>
      </c>
    </row>
    <row r="18" spans="1:43" ht="13.5" customHeight="1">
      <c r="A18" s="59">
        <f>A6+A8</f>
        <v>306397.58</v>
      </c>
      <c r="B18" s="97" t="s">
        <v>17</v>
      </c>
      <c r="C18" s="100">
        <v>18230071</v>
      </c>
      <c r="D18" s="100" t="s">
        <v>18</v>
      </c>
      <c r="E18" s="38" t="s">
        <v>874</v>
      </c>
      <c r="F18" s="39" t="s">
        <v>875</v>
      </c>
      <c r="G18" s="39">
        <v>41</v>
      </c>
      <c r="H18" s="39"/>
      <c r="I18" s="40" t="s">
        <v>269</v>
      </c>
      <c r="J18" s="41">
        <v>2</v>
      </c>
      <c r="K18" s="41">
        <v>2978</v>
      </c>
      <c r="L18" s="41"/>
      <c r="M18" s="42">
        <v>1500</v>
      </c>
      <c r="N18" s="42">
        <v>3990.85</v>
      </c>
      <c r="O18" s="43">
        <v>5956</v>
      </c>
      <c r="P18" s="44">
        <v>3000</v>
      </c>
      <c r="Q18" s="44">
        <v>7981.7</v>
      </c>
      <c r="R18" s="45">
        <v>19.91</v>
      </c>
      <c r="S18" s="46">
        <v>0</v>
      </c>
      <c r="T18" s="39">
        <f t="shared" si="0"/>
        <v>41</v>
      </c>
      <c r="U18" s="47">
        <f t="shared" si="1"/>
        <v>0.83184074178790779</v>
      </c>
      <c r="V18" s="48">
        <f t="shared" si="2"/>
        <v>2490.85</v>
      </c>
      <c r="W18" s="49">
        <f t="shared" si="3"/>
        <v>2.0288798580192873E-2</v>
      </c>
      <c r="X18" s="44">
        <f t="shared" si="4"/>
        <v>2299.5756462200361</v>
      </c>
      <c r="Y18" s="44">
        <f t="shared" si="5"/>
        <v>4981.7</v>
      </c>
      <c r="Z18" s="44">
        <f t="shared" si="6"/>
        <v>6216.4387860785328</v>
      </c>
      <c r="AA18" s="50">
        <f t="shared" si="7"/>
        <v>10281.275646220036</v>
      </c>
      <c r="AB18" s="51">
        <f t="shared" si="8"/>
        <v>5811.3852351860633</v>
      </c>
      <c r="AC18" s="44">
        <f t="shared" si="8"/>
        <v>9611.3636030850103</v>
      </c>
      <c r="AD18" s="44">
        <f t="shared" si="9"/>
        <v>535.23721432371315</v>
      </c>
      <c r="AE18" s="44">
        <f t="shared" si="17"/>
        <v>0</v>
      </c>
      <c r="AF18" s="52">
        <f>HLOOKUP(I18,ElecAvoidedCostsWOCC!$A$5:$Q$50,G18+1,FALSE)</f>
        <v>3.105274668448097</v>
      </c>
      <c r="AG18" s="44">
        <f t="shared" si="10"/>
        <v>18495.015925276864</v>
      </c>
      <c r="AH18" s="52">
        <f>HLOOKUP(I18,ElecAvoidedCostsWOCC!$A$5:$Q$50,T18+1,FALSE)</f>
        <v>3.105274668448097</v>
      </c>
      <c r="AI18" s="44">
        <f t="shared" si="11"/>
        <v>0</v>
      </c>
      <c r="AJ18" s="44">
        <f t="shared" si="12"/>
        <v>18495.015925276864</v>
      </c>
      <c r="AK18" s="44">
        <f>HLOOKUP(I18,ElecAvoidedCostsWOCC!$A$5:$Q$50,G18+1,FALSE)*J18*L18</f>
        <v>0</v>
      </c>
      <c r="AL18" s="44">
        <f t="shared" si="13"/>
        <v>18495.015925276864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18495.015925276864</v>
      </c>
      <c r="AN18" s="48">
        <f t="shared" si="14"/>
        <v>20879.754732128265</v>
      </c>
      <c r="AO18" s="47">
        <f t="shared" si="15"/>
        <v>3.1825485967262175</v>
      </c>
      <c r="AP18" s="47">
        <f t="shared" si="16"/>
        <v>2.172402959079228</v>
      </c>
      <c r="AQ18">
        <v>2020</v>
      </c>
    </row>
    <row r="19" spans="1:43" ht="13.5" customHeight="1">
      <c r="A19" s="58" t="s">
        <v>231</v>
      </c>
      <c r="B19" s="97" t="s">
        <v>17</v>
      </c>
      <c r="C19" s="100">
        <v>18230071</v>
      </c>
      <c r="D19" s="100" t="s">
        <v>18</v>
      </c>
      <c r="E19" s="38" t="s">
        <v>878</v>
      </c>
      <c r="F19" s="39" t="s">
        <v>879</v>
      </c>
      <c r="G19" s="39">
        <v>0</v>
      </c>
      <c r="H19" s="39"/>
      <c r="I19" s="40" t="s">
        <v>269</v>
      </c>
      <c r="J19" s="41">
        <v>31</v>
      </c>
      <c r="K19" s="41">
        <v>0</v>
      </c>
      <c r="L19" s="41"/>
      <c r="M19" s="42">
        <v>200</v>
      </c>
      <c r="N19" s="42">
        <v>200</v>
      </c>
      <c r="O19" s="43">
        <v>0</v>
      </c>
      <c r="P19" s="44">
        <v>6200</v>
      </c>
      <c r="Q19" s="44">
        <v>6200</v>
      </c>
      <c r="R19" s="45">
        <v>0</v>
      </c>
      <c r="S19" s="46">
        <v>0</v>
      </c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6200</v>
      </c>
      <c r="AB19" s="51">
        <f t="shared" si="8"/>
        <v>0</v>
      </c>
      <c r="AC19" s="44">
        <f t="shared" si="8"/>
        <v>5796.0175750210337</v>
      </c>
      <c r="AD19" s="44">
        <f t="shared" si="9"/>
        <v>0</v>
      </c>
      <c r="AE19" s="44">
        <f t="shared" si="17"/>
        <v>0</v>
      </c>
      <c r="AF19" s="52" t="str">
        <f>HLOOKUP(I19,ElecAvoidedCostsWOCC!$A$5:$Q$50,G19+1,FALSE)</f>
        <v>SF Space Heat</v>
      </c>
      <c r="AG19" s="44" t="e">
        <f t="shared" si="10"/>
        <v>#VALUE!</v>
      </c>
      <c r="AH19" s="52" t="str">
        <f>HLOOKUP(I19,ElecAvoidedCostsWOCC!$A$5:$Q$50,T19+1,FALSE)</f>
        <v>SF Space Heat</v>
      </c>
      <c r="AI19" s="44" t="e">
        <f t="shared" si="11"/>
        <v>#VALUE!</v>
      </c>
      <c r="AJ19" s="44" t="e">
        <f t="shared" si="12"/>
        <v>#VALUE!</v>
      </c>
      <c r="AK19" s="44" t="e">
        <f>HLOOKUP(I19,ElecAvoidedCostsWOCC!$A$5:$Q$50,G19+1,FALSE)*J19*L19</f>
        <v>#VALUE!</v>
      </c>
      <c r="AL19" s="44" t="e">
        <f t="shared" si="13"/>
        <v>#VALUE!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>
        <f t="shared" si="16"/>
        <v>0</v>
      </c>
      <c r="AQ19">
        <v>2020</v>
      </c>
    </row>
    <row r="20" spans="1:43" ht="13.5" customHeight="1">
      <c r="A20" s="59">
        <f>A8+SUM(Q5:Q906)</f>
        <v>453624.86</v>
      </c>
      <c r="B20" s="97" t="s">
        <v>17</v>
      </c>
      <c r="C20" s="100">
        <v>18230071</v>
      </c>
      <c r="D20" s="100" t="s">
        <v>18</v>
      </c>
      <c r="E20" s="38" t="s">
        <v>2014</v>
      </c>
      <c r="F20" s="39" t="s">
        <v>2015</v>
      </c>
      <c r="G20" s="39">
        <v>0</v>
      </c>
      <c r="H20" s="39"/>
      <c r="I20" s="40" t="s">
        <v>269</v>
      </c>
      <c r="J20" s="41">
        <v>3</v>
      </c>
      <c r="K20" s="41">
        <v>0</v>
      </c>
      <c r="L20" s="41"/>
      <c r="M20" s="42">
        <v>300</v>
      </c>
      <c r="N20" s="42">
        <v>300</v>
      </c>
      <c r="O20" s="43">
        <v>0</v>
      </c>
      <c r="P20" s="44">
        <v>900</v>
      </c>
      <c r="Q20" s="44">
        <v>900</v>
      </c>
      <c r="R20" s="45">
        <v>0</v>
      </c>
      <c r="S20" s="46">
        <v>0</v>
      </c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900</v>
      </c>
      <c r="AB20" s="51">
        <f t="shared" si="8"/>
        <v>0</v>
      </c>
      <c r="AC20" s="44">
        <f t="shared" si="8"/>
        <v>841.35738992240806</v>
      </c>
      <c r="AD20" s="44">
        <f t="shared" si="9"/>
        <v>0</v>
      </c>
      <c r="AE20" s="44">
        <f t="shared" si="17"/>
        <v>0</v>
      </c>
      <c r="AF20" s="52" t="str">
        <f>HLOOKUP(I20,ElecAvoidedCostsWOCC!$A$5:$Q$50,G20+1,FALSE)</f>
        <v>SF Space Heat</v>
      </c>
      <c r="AG20" s="44" t="e">
        <f t="shared" si="10"/>
        <v>#VALUE!</v>
      </c>
      <c r="AH20" s="52" t="str">
        <f>HLOOKUP(I20,ElecAvoidedCostsWOCC!$A$5:$Q$50,T20+1,FALSE)</f>
        <v>SF Space Heat</v>
      </c>
      <c r="AI20" s="44" t="e">
        <f t="shared" si="11"/>
        <v>#VALUE!</v>
      </c>
      <c r="AJ20" s="44" t="e">
        <f t="shared" si="12"/>
        <v>#VALUE!</v>
      </c>
      <c r="AK20" s="44" t="e">
        <f>HLOOKUP(I20,ElecAvoidedCostsWOCC!$A$5:$Q$50,G20+1,FALSE)*J20*L20</f>
        <v>#VALUE!</v>
      </c>
      <c r="AL20" s="44" t="e">
        <f t="shared" si="13"/>
        <v>#VALUE!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>
        <f t="shared" si="16"/>
        <v>0</v>
      </c>
      <c r="AQ20">
        <v>2020</v>
      </c>
    </row>
    <row r="21" spans="1:43" ht="13.5" customHeight="1">
      <c r="A21" s="58" t="s">
        <v>245</v>
      </c>
      <c r="B21" s="97" t="s">
        <v>17</v>
      </c>
      <c r="C21" s="100">
        <v>18230071</v>
      </c>
      <c r="D21" s="100" t="s">
        <v>18</v>
      </c>
      <c r="E21" s="38" t="s">
        <v>880</v>
      </c>
      <c r="F21" s="39" t="s">
        <v>881</v>
      </c>
      <c r="G21" s="39"/>
      <c r="H21" s="39"/>
      <c r="I21" s="40" t="s">
        <v>269</v>
      </c>
      <c r="J21" s="41">
        <v>13</v>
      </c>
      <c r="K21" s="41">
        <v>0</v>
      </c>
      <c r="L21" s="41"/>
      <c r="M21" s="42">
        <v>200</v>
      </c>
      <c r="N21" s="42">
        <v>200</v>
      </c>
      <c r="O21" s="43">
        <v>0</v>
      </c>
      <c r="P21" s="44">
        <v>2600</v>
      </c>
      <c r="Q21" s="44">
        <v>2600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2600</v>
      </c>
      <c r="AB21" s="51">
        <f t="shared" ref="AB21:AC24" si="18">Z21/(1+ElecDiscountRate)^1</f>
        <v>0</v>
      </c>
      <c r="AC21" s="44">
        <f t="shared" si="18"/>
        <v>2430.588015331401</v>
      </c>
      <c r="AD21" s="44">
        <f t="shared" si="9"/>
        <v>0</v>
      </c>
      <c r="AE21" s="44">
        <f t="shared" si="17"/>
        <v>0</v>
      </c>
      <c r="AF21" s="52" t="str">
        <f>HLOOKUP(I21,ElecAvoidedCostsWOCC!$A$5:$Q$50,G21+1,FALSE)</f>
        <v>SF Space Heat</v>
      </c>
      <c r="AG21" s="44" t="e">
        <f t="shared" si="10"/>
        <v>#VALUE!</v>
      </c>
      <c r="AH21" s="52" t="str">
        <f>HLOOKUP(I21,ElecAvoidedCostsWOCC!$A$5:$Q$50,T21+1,FALSE)</f>
        <v>SF Space Heat</v>
      </c>
      <c r="AI21" s="44" t="e">
        <f t="shared" si="11"/>
        <v>#VALUE!</v>
      </c>
      <c r="AJ21" s="44" t="e">
        <f t="shared" si="12"/>
        <v>#VALUE!</v>
      </c>
      <c r="AK21" s="44" t="e">
        <f>HLOOKUP(I21,ElecAvoidedCostsWOCC!$A$5:$Q$50,G21+1,FALSE)*J21*L21</f>
        <v>#VALUE!</v>
      </c>
      <c r="AL21" s="44" t="e">
        <f t="shared" si="13"/>
        <v>#VALUE!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>
        <f t="shared" si="16"/>
        <v>0</v>
      </c>
      <c r="AQ21">
        <v>2020</v>
      </c>
    </row>
    <row r="22" spans="1:43" ht="13.5" customHeight="1">
      <c r="A22" s="60">
        <f>(SUM(AM5:AM1000)/(SUM(AB5:AB1000)))</f>
        <v>3.452189946888446</v>
      </c>
      <c r="B22" s="3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3" ht="13.5" customHeight="1">
      <c r="A23" s="58" t="s">
        <v>246</v>
      </c>
      <c r="B23" s="3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3" ht="13.5" customHeight="1">
      <c r="A24" s="60">
        <f>(SUM(AN5:AN1000)/SUM(AC5:AC1000))</f>
        <v>2.6193256311850681</v>
      </c>
      <c r="B24" s="37"/>
      <c r="C24" s="101"/>
      <c r="D24" s="10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3" ht="13.5" customHeight="1"/>
    <row r="26" spans="1:43" ht="13.5" customHeight="1"/>
    <row r="27" spans="1:43" ht="13.5" customHeight="1"/>
    <row r="28" spans="1:43" ht="13.5" customHeight="1"/>
  </sheetData>
  <conditionalFormatting sqref="J5:L24">
    <cfRule type="expression" dxfId="264" priority="4">
      <formula>ISTEXT(J5)</formula>
    </cfRule>
    <cfRule type="notContainsBlanks" dxfId="263" priority="5">
      <formula>LEN(TRIM(J5))&gt;0</formula>
    </cfRule>
  </conditionalFormatting>
  <conditionalFormatting sqref="M5:N24 R5:S24">
    <cfRule type="expression" dxfId="262" priority="2">
      <formula>ISTEXT(M5)</formula>
    </cfRule>
  </conditionalFormatting>
  <conditionalFormatting sqref="M5:N24 R5:S24">
    <cfRule type="notContainsBlanks" dxfId="261" priority="3">
      <formula>LEN(TRIM(M5))&gt;0</formula>
    </cfRule>
  </conditionalFormatting>
  <conditionalFormatting sqref="R5:S24">
    <cfRule type="expression" dxfId="2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PI271"/>
  <sheetViews>
    <sheetView topLeftCell="F1" zoomScale="85" zoomScaleNormal="85" workbookViewId="0">
      <selection activeCell="O6" sqref="O6"/>
    </sheetView>
  </sheetViews>
  <sheetFormatPr defaultColWidth="9.140625" defaultRowHeight="15"/>
  <cols>
    <col min="1" max="1" width="15.42578125" style="102" customWidth="1"/>
    <col min="2" max="2" width="14.42578125" style="248" customWidth="1"/>
    <col min="3" max="3" width="66.42578125" style="248" customWidth="1"/>
    <col min="4" max="4" width="41.140625" style="248" hidden="1" customWidth="1"/>
    <col min="5" max="5" width="13.5703125" style="248" hidden="1" customWidth="1"/>
    <col min="6" max="6" width="13.85546875" style="248" customWidth="1"/>
    <col min="7" max="7" width="20" style="248" customWidth="1"/>
    <col min="8" max="8" width="17" style="253" customWidth="1"/>
    <col min="9" max="9" width="18" style="251" customWidth="1"/>
    <col min="10" max="10" width="17.85546875" style="102" customWidth="1"/>
    <col min="11" max="11" width="18.42578125" style="248" customWidth="1"/>
    <col min="12" max="12" width="17.42578125" style="248" customWidth="1"/>
    <col min="13" max="13" width="17.85546875" style="248" customWidth="1"/>
    <col min="14" max="14" width="19.85546875" style="248" customWidth="1"/>
    <col min="15" max="15" width="20.42578125" style="248" customWidth="1"/>
    <col min="16" max="16" width="18.28515625" style="248" customWidth="1"/>
    <col min="17" max="17" width="26" style="102" customWidth="1"/>
    <col min="18" max="18" width="22.42578125" style="102" customWidth="1"/>
    <col min="19" max="19" width="20.140625" style="102" customWidth="1"/>
    <col min="20" max="20" width="22.42578125" style="102" customWidth="1"/>
    <col min="21" max="21" width="17.42578125" style="102" customWidth="1"/>
    <col min="22" max="22" width="17.5703125" style="104" customWidth="1"/>
    <col min="23" max="23" width="9.140625" style="102"/>
    <col min="24" max="24" width="13.5703125" style="102" hidden="1" customWidth="1"/>
    <col min="25" max="25" width="11.5703125" style="102" hidden="1" customWidth="1"/>
    <col min="26" max="27" width="9.140625" style="102" hidden="1" customWidth="1"/>
    <col min="28" max="148" width="9.140625" style="102"/>
    <col min="149" max="16384" width="9.140625" style="248"/>
  </cols>
  <sheetData>
    <row r="1" spans="1:148" s="102" customFormat="1">
      <c r="B1" s="103" t="s">
        <v>2455</v>
      </c>
      <c r="C1" s="104"/>
      <c r="D1" s="104"/>
      <c r="E1" s="104"/>
      <c r="F1" s="105"/>
      <c r="G1" s="523"/>
      <c r="H1" s="524"/>
      <c r="I1" s="524"/>
      <c r="J1" s="524"/>
      <c r="K1" s="523"/>
      <c r="L1" s="524"/>
      <c r="M1" s="524"/>
      <c r="N1" s="106"/>
      <c r="O1" s="106"/>
      <c r="P1" s="106"/>
      <c r="Q1" s="107"/>
      <c r="R1" s="108"/>
      <c r="S1" s="106"/>
      <c r="T1" s="106"/>
      <c r="U1" s="106"/>
      <c r="V1" s="106"/>
    </row>
    <row r="2" spans="1:148" s="102" customFormat="1">
      <c r="B2" s="109" t="s">
        <v>329</v>
      </c>
      <c r="C2" s="110">
        <f>ElecDiscountRate</f>
        <v>6.9699999999999998E-2</v>
      </c>
      <c r="D2" s="110"/>
      <c r="E2" s="111"/>
      <c r="F2" s="112" t="s">
        <v>330</v>
      </c>
      <c r="G2" s="113" t="s">
        <v>331</v>
      </c>
      <c r="H2" s="113" t="s">
        <v>330</v>
      </c>
      <c r="I2" s="113" t="s">
        <v>330</v>
      </c>
      <c r="J2" s="113" t="s">
        <v>330</v>
      </c>
      <c r="K2" s="113" t="s">
        <v>330</v>
      </c>
      <c r="L2" s="113" t="s">
        <v>330</v>
      </c>
      <c r="M2" s="113" t="s">
        <v>330</v>
      </c>
      <c r="N2" s="113" t="s">
        <v>330</v>
      </c>
      <c r="O2" s="113" t="s">
        <v>330</v>
      </c>
      <c r="P2" s="114" t="s">
        <v>330</v>
      </c>
      <c r="Q2" s="115" t="s">
        <v>332</v>
      </c>
      <c r="R2" s="115" t="s">
        <v>332</v>
      </c>
      <c r="S2" s="113" t="s">
        <v>330</v>
      </c>
      <c r="T2" s="113" t="s">
        <v>333</v>
      </c>
      <c r="U2" s="113" t="s">
        <v>332</v>
      </c>
      <c r="V2" s="113" t="s">
        <v>332</v>
      </c>
    </row>
    <row r="3" spans="1:148" s="119" customFormat="1" ht="70.5" customHeight="1">
      <c r="A3" s="116"/>
      <c r="B3" s="117" t="s">
        <v>334</v>
      </c>
      <c r="C3" s="117" t="s">
        <v>335</v>
      </c>
      <c r="D3" s="117" t="s">
        <v>336</v>
      </c>
      <c r="E3" s="117" t="s">
        <v>225</v>
      </c>
      <c r="F3" s="117" t="s">
        <v>337</v>
      </c>
      <c r="G3" s="117" t="s">
        <v>338</v>
      </c>
      <c r="H3" s="117" t="s">
        <v>339</v>
      </c>
      <c r="I3" s="117" t="s">
        <v>340</v>
      </c>
      <c r="J3" s="118" t="s">
        <v>341</v>
      </c>
      <c r="K3" s="117" t="s">
        <v>342</v>
      </c>
      <c r="L3" s="117" t="s">
        <v>343</v>
      </c>
      <c r="M3" s="117" t="s">
        <v>344</v>
      </c>
      <c r="N3" s="117" t="s">
        <v>345</v>
      </c>
      <c r="O3" s="117" t="s">
        <v>346</v>
      </c>
      <c r="P3" s="117" t="s">
        <v>1814</v>
      </c>
      <c r="Q3" s="118" t="s">
        <v>347</v>
      </c>
      <c r="R3" s="117" t="s">
        <v>348</v>
      </c>
      <c r="S3" s="117" t="s">
        <v>349</v>
      </c>
      <c r="T3" s="117" t="s">
        <v>1813</v>
      </c>
      <c r="U3" s="117" t="s">
        <v>350</v>
      </c>
      <c r="V3" s="118" t="s">
        <v>351</v>
      </c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</row>
    <row r="4" spans="1:148" s="119" customFormat="1" ht="32.25" customHeight="1">
      <c r="A4" s="500" t="s">
        <v>354</v>
      </c>
      <c r="B4" s="120"/>
      <c r="C4" s="121" t="s">
        <v>352</v>
      </c>
      <c r="D4" s="122"/>
      <c r="E4" s="123"/>
      <c r="F4" s="123" t="s">
        <v>353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116"/>
      <c r="X4" s="116" t="s">
        <v>1785</v>
      </c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</row>
    <row r="5" spans="1:148" s="129" customFormat="1" ht="27" customHeight="1">
      <c r="B5" s="124" t="s">
        <v>355</v>
      </c>
      <c r="C5" s="292" t="s">
        <v>356</v>
      </c>
      <c r="D5" s="125"/>
      <c r="E5" s="126"/>
      <c r="F5" s="255"/>
      <c r="G5" s="255"/>
      <c r="H5" s="256" t="s">
        <v>357</v>
      </c>
      <c r="I5" s="256" t="s">
        <v>358</v>
      </c>
      <c r="J5" s="127" t="s">
        <v>359</v>
      </c>
      <c r="K5" s="257" t="s">
        <v>360</v>
      </c>
      <c r="L5" s="257" t="s">
        <v>361</v>
      </c>
      <c r="M5" s="257"/>
      <c r="N5" s="257" t="s">
        <v>1803</v>
      </c>
      <c r="O5" s="257" t="s">
        <v>1802</v>
      </c>
      <c r="P5" s="257"/>
      <c r="Q5" s="257"/>
      <c r="R5" s="257"/>
      <c r="S5" s="257" t="s">
        <v>362</v>
      </c>
      <c r="T5" s="257" t="s">
        <v>363</v>
      </c>
      <c r="U5" s="257"/>
      <c r="V5" s="257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</row>
    <row r="6" spans="1:148" s="134" customFormat="1" ht="14.25">
      <c r="A6" s="500"/>
      <c r="B6" s="130" t="s">
        <v>74</v>
      </c>
      <c r="C6" s="131" t="s">
        <v>364</v>
      </c>
      <c r="D6" s="131"/>
      <c r="E6" s="132">
        <f>F63*(H63/$H$70)</f>
        <v>0</v>
      </c>
      <c r="F6" s="144">
        <f>'E201 LIW {E}'!A16</f>
        <v>22.595726391316859</v>
      </c>
      <c r="G6" s="145" t="s">
        <v>365</v>
      </c>
      <c r="H6" s="258">
        <f>'E201 LIW {E}'!A$10</f>
        <v>2307888.8900000006</v>
      </c>
      <c r="I6" s="259">
        <f>'E201 LIW {E}'!A$8</f>
        <v>265808.41000000015</v>
      </c>
      <c r="J6" s="259">
        <f>'E201 LIW {E}'!A$12</f>
        <v>6649841.6099999975</v>
      </c>
      <c r="K6" s="259">
        <f>'E201 LIW {E}'!A$14</f>
        <v>90121.48000000001</v>
      </c>
      <c r="L6" s="259">
        <f>SUM('E201 LIW {E}'!Q$6:Q$999)</f>
        <v>6739963.0899999971</v>
      </c>
      <c r="M6" s="259"/>
      <c r="N6" s="260">
        <f>'E201 LIW {E}'!A$18</f>
        <v>7125204.8200000003</v>
      </c>
      <c r="O6" s="259">
        <f>'E201 LIW {E}'!A$20</f>
        <v>7483974.6857204353</v>
      </c>
      <c r="P6" s="259">
        <f>SUM('E201 LIW {E}'!R$6:R$999)</f>
        <v>50183.009999999995</v>
      </c>
      <c r="Q6" s="261">
        <f t="shared" ref="Q6:R8" si="0">N6/(1+ElecDiscountRate)^1</f>
        <v>6660937.4777975129</v>
      </c>
      <c r="R6" s="261">
        <f t="shared" si="0"/>
        <v>6996330.4531367999</v>
      </c>
      <c r="S6" s="259">
        <f>SUM('E201 LIW {E}'!AM$6:AM$999)</f>
        <v>3953839.645133785</v>
      </c>
      <c r="T6" s="259">
        <f>SUM('E201 LIW {E}'!AD$6:AD$999)</f>
        <v>1227558.7257457341</v>
      </c>
      <c r="U6" s="133">
        <f>IFERROR(S6/Q6,0)</f>
        <v>0.59358606176876327</v>
      </c>
      <c r="V6" s="133">
        <f>IFERROR(((S6*1.1)+(T6))/R6,0)</f>
        <v>0.79710104786324831</v>
      </c>
    </row>
    <row r="7" spans="1:148" s="134" customFormat="1">
      <c r="A7" s="135"/>
      <c r="B7" s="136" t="s">
        <v>15</v>
      </c>
      <c r="C7" s="509" t="s">
        <v>366</v>
      </c>
      <c r="D7" s="138"/>
      <c r="E7" s="139"/>
      <c r="F7" s="140"/>
      <c r="G7" s="141"/>
      <c r="H7" s="262">
        <f t="shared" ref="H7:P7" si="1">SUM(H8:H17)</f>
        <v>113263369.83999953</v>
      </c>
      <c r="I7" s="262">
        <f t="shared" si="1"/>
        <v>6264880.0300000003</v>
      </c>
      <c r="J7" s="262">
        <f t="shared" si="1"/>
        <v>19663435.48</v>
      </c>
      <c r="K7" s="262">
        <f t="shared" si="1"/>
        <v>22726448.179999933</v>
      </c>
      <c r="L7" s="262">
        <f t="shared" si="1"/>
        <v>42389883.659999937</v>
      </c>
      <c r="M7" s="262">
        <f t="shared" si="1"/>
        <v>0</v>
      </c>
      <c r="N7" s="262">
        <f>SUM(N8:N17)</f>
        <v>28945124.990000002</v>
      </c>
      <c r="O7" s="262">
        <f t="shared" si="1"/>
        <v>48654763.689999945</v>
      </c>
      <c r="P7" s="262">
        <f t="shared" si="1"/>
        <v>1169.9100000000003</v>
      </c>
      <c r="Q7" s="263">
        <f t="shared" si="0"/>
        <v>27059105.347293634</v>
      </c>
      <c r="R7" s="263">
        <f t="shared" si="0"/>
        <v>45484494.428344339</v>
      </c>
      <c r="S7" s="262">
        <f>SUM(S8:S17)</f>
        <v>68599323.791733667</v>
      </c>
      <c r="T7" s="262">
        <f>SUM(T8:T17)</f>
        <v>3813024.8464480722</v>
      </c>
      <c r="U7" s="142">
        <f>S7/Q7</f>
        <v>2.5351659972229923</v>
      </c>
      <c r="V7" s="142">
        <f>((S7*1.1)+(T7))/R7</f>
        <v>1.7428418632252711</v>
      </c>
    </row>
    <row r="8" spans="1:148" s="134" customFormat="1" ht="14.25">
      <c r="B8" s="130" t="s">
        <v>15</v>
      </c>
      <c r="C8" s="143" t="s">
        <v>367</v>
      </c>
      <c r="D8" s="143"/>
      <c r="E8" s="132"/>
      <c r="F8" s="144">
        <f>'Residential Lighting {E}'!A$16</f>
        <v>11.290984535743851</v>
      </c>
      <c r="G8" s="145" t="s">
        <v>368</v>
      </c>
      <c r="H8" s="258">
        <f>'Residential Lighting {E}'!A$10</f>
        <v>25714191.239999529</v>
      </c>
      <c r="I8" s="259">
        <f>'Residential Lighting {E}'!A$8</f>
        <v>1306785.0099999998</v>
      </c>
      <c r="J8" s="259">
        <f>'Residential Lighting {E}'!A$12</f>
        <v>3323248.1599999974</v>
      </c>
      <c r="K8" s="264">
        <f>'Residential Lighting {E}'!A$14</f>
        <v>2806821.7099999543</v>
      </c>
      <c r="L8" s="259">
        <f>SUM('Residential Lighting {E}'!Q$5:Q$1000)</f>
        <v>6130069.8699999498</v>
      </c>
      <c r="M8" s="259"/>
      <c r="N8" s="260">
        <f>'Residential Lighting {E}'!A$18</f>
        <v>4932137.22</v>
      </c>
      <c r="O8" s="259">
        <f>'Residential Lighting {E}'!A$20</f>
        <v>7436854.8799999496</v>
      </c>
      <c r="P8" s="259">
        <f>SUM('Residential Lighting {E}'!R$5:R$1000)</f>
        <v>0</v>
      </c>
      <c r="Q8" s="261">
        <f t="shared" si="0"/>
        <v>4610766.7757315133</v>
      </c>
      <c r="R8" s="261">
        <f t="shared" si="0"/>
        <v>6952280.901187201</v>
      </c>
      <c r="S8" s="259">
        <f>SUM('Residential Lighting {E}'!AM$5:AM$1000)</f>
        <v>22056173.857847579</v>
      </c>
      <c r="T8" s="259">
        <f>SUM('Residential Lighting {E}'!AD$5:AD$1000)</f>
        <v>0</v>
      </c>
      <c r="U8" s="133">
        <f t="shared" ref="U8:U21" si="2">IFERROR(S8/Q8,0)</f>
        <v>4.7836238375662132</v>
      </c>
      <c r="V8" s="133">
        <f t="shared" ref="V8:V21" si="3">IFERROR(((S8*1.1)+(T8))/R8,0)</f>
        <v>3.4897599203002994</v>
      </c>
    </row>
    <row r="9" spans="1:148" s="134" customFormat="1" ht="14.25">
      <c r="B9" s="130" t="s">
        <v>15</v>
      </c>
      <c r="C9" s="143" t="s">
        <v>369</v>
      </c>
      <c r="D9" s="143"/>
      <c r="E9" s="132">
        <f t="shared" ref="E9:E15" si="4">F9*(H9/$H$70)</f>
        <v>1.0534890706971896</v>
      </c>
      <c r="F9" s="144">
        <f>'SF Existing Space Heat {E}'!A$16</f>
        <v>15.37804578603285</v>
      </c>
      <c r="G9" s="145" t="s">
        <v>365</v>
      </c>
      <c r="H9" s="258">
        <f>'SF Existing Space Heat {E}'!A$10</f>
        <v>26455891.559999999</v>
      </c>
      <c r="I9" s="259">
        <f>'SF Existing Space Heat {E}'!A$8</f>
        <v>1260113.7200000007</v>
      </c>
      <c r="J9" s="259">
        <f>'SF Existing Space Heat {E}'!A$12</f>
        <v>9779012.8900000006</v>
      </c>
      <c r="K9" s="264">
        <f>'SF Existing Space Heat {E}'!A$14</f>
        <v>14872481.839999977</v>
      </c>
      <c r="L9" s="259">
        <f>SUM('SF Existing Space Heat {E}'!Q$5:Q$1000)</f>
        <v>24651494.729999982</v>
      </c>
      <c r="M9" s="259"/>
      <c r="N9" s="260">
        <f>'SF Existing Space Heat {E}'!A$18</f>
        <v>12899305.91</v>
      </c>
      <c r="O9" s="259">
        <f>'SF Existing Space Heat {E}'!A$20</f>
        <v>25911608.449999981</v>
      </c>
      <c r="P9" s="259">
        <f>SUM('SF Existing Space Heat {E}'!R$5:R$1000)</f>
        <v>285.3</v>
      </c>
      <c r="Q9" s="261">
        <f t="shared" ref="Q9:Q21" si="5">N9/(1+ElecDiscountRate)^1</f>
        <v>12058807.058053659</v>
      </c>
      <c r="R9" s="261">
        <f t="shared" ref="R9:R21" si="6">O9/(1+ElecDiscountRate)^1</f>
        <v>24223248.060203776</v>
      </c>
      <c r="S9" s="259">
        <f>SUM('SF Existing Space Heat {E}'!AM$5:AM$1000)</f>
        <v>22585281.50213613</v>
      </c>
      <c r="T9" s="259">
        <f>SUM('SF Existing Space Heat {E}'!AD$5:AD$1000)</f>
        <v>458665.33284985647</v>
      </c>
      <c r="U9" s="133">
        <f t="shared" si="2"/>
        <v>1.8729283413695721</v>
      </c>
      <c r="V9" s="133">
        <f t="shared" si="3"/>
        <v>1.0445533531388336</v>
      </c>
    </row>
    <row r="10" spans="1:148" s="134" customFormat="1" ht="14.25">
      <c r="B10" s="130" t="s">
        <v>15</v>
      </c>
      <c r="C10" s="143" t="s">
        <v>370</v>
      </c>
      <c r="D10" s="143"/>
      <c r="E10" s="132">
        <f t="shared" si="4"/>
        <v>0.12339432976050847</v>
      </c>
      <c r="F10" s="144">
        <f>'SF Existing Water Heat {E}'!A$16</f>
        <v>12.994729509199125</v>
      </c>
      <c r="G10" s="145" t="s">
        <v>365</v>
      </c>
      <c r="H10" s="258">
        <f>'SF Existing Water Heat {E}'!A$10</f>
        <v>3667089.22</v>
      </c>
      <c r="I10" s="259">
        <f>'SF Existing Water Heat {E}'!A$8</f>
        <v>456059.80000000005</v>
      </c>
      <c r="J10" s="259">
        <f>'SF Existing Water Heat {E}'!A$12</f>
        <v>1444482.0300000019</v>
      </c>
      <c r="K10" s="264">
        <f>'SF Existing Water Heat {E}'!A$14</f>
        <v>546491.85000001593</v>
      </c>
      <c r="L10" s="259">
        <f>SUM('SF Existing Water Heat {E}'!Q$5:Q$1000)</f>
        <v>1990973.8800000178</v>
      </c>
      <c r="M10" s="259"/>
      <c r="N10" s="260">
        <f>'SF Existing Water Heat {E}'!A$18</f>
        <v>2248115.85</v>
      </c>
      <c r="O10" s="259">
        <f>'SF Existing Water Heat {E}'!A$20</f>
        <v>2447033.6800000179</v>
      </c>
      <c r="P10" s="259">
        <f>SUM('SF Existing Water Heat {E}'!R$5:R$1000)</f>
        <v>5.48</v>
      </c>
      <c r="Q10" s="261">
        <f t="shared" si="5"/>
        <v>2101632.0931102177</v>
      </c>
      <c r="R10" s="261">
        <f t="shared" si="6"/>
        <v>2287588.7445078222</v>
      </c>
      <c r="S10" s="259">
        <f>SUM('SF Existing Water Heat {E}'!AM$5:AM$1000)</f>
        <v>1996937.8096398443</v>
      </c>
      <c r="T10" s="259">
        <f>SUM('SF Existing Water Heat {E}'!AD$5:AD$1000)</f>
        <v>8633.5554985070848</v>
      </c>
      <c r="U10" s="133">
        <f t="shared" si="2"/>
        <v>0.9501842954275429</v>
      </c>
      <c r="V10" s="133">
        <f t="shared" si="3"/>
        <v>0.96401293781361108</v>
      </c>
    </row>
    <row r="11" spans="1:148" s="134" customFormat="1" ht="14.25">
      <c r="B11" s="130" t="s">
        <v>15</v>
      </c>
      <c r="C11" s="146" t="s">
        <v>372</v>
      </c>
      <c r="D11" s="146"/>
      <c r="E11" s="132">
        <f t="shared" si="4"/>
        <v>8.4002044562957012E-2</v>
      </c>
      <c r="F11" s="144">
        <f>'Home Appliances {E}'!A$16</f>
        <v>10.663447871289067</v>
      </c>
      <c r="G11" s="145" t="s">
        <v>365</v>
      </c>
      <c r="H11" s="258">
        <f>'Home Appliances {E}'!A$10</f>
        <v>3042185.7199999997</v>
      </c>
      <c r="I11" s="259">
        <f>'Home Appliances {E}'!A$8</f>
        <v>550253.53</v>
      </c>
      <c r="J11" s="259">
        <f>'Home Appliances {E}'!A$12</f>
        <v>1235003.7999999998</v>
      </c>
      <c r="K11" s="264">
        <f>'Home Appliances {E}'!A$14</f>
        <v>327390.3899999875</v>
      </c>
      <c r="L11" s="259">
        <f>SUM('Home Appliances {E}'!Q$5:Q$999)</f>
        <v>1562394.1899999878</v>
      </c>
      <c r="M11" s="259"/>
      <c r="N11" s="260">
        <f>'Home Appliances {E}'!A$18</f>
        <v>2121552.25</v>
      </c>
      <c r="O11" s="259">
        <f>'Home Appliances {E}'!A$20</f>
        <v>2112647.7199999876</v>
      </c>
      <c r="P11" s="259">
        <f>SUM('Home Appliances {E}'!R$5:R$999)</f>
        <v>492.07000000000016</v>
      </c>
      <c r="Q11" s="261">
        <f t="shared" si="5"/>
        <v>1983315.1818266802</v>
      </c>
      <c r="R11" s="261">
        <f t="shared" si="6"/>
        <v>1974990.8572496844</v>
      </c>
      <c r="S11" s="259">
        <f>SUM('Home Appliances {E}'!AM$5:AM$999)</f>
        <v>2353013.2834179881</v>
      </c>
      <c r="T11" s="259">
        <f>SUM('Home Appliances {E}'!AD$5:AD$999)</f>
        <v>1871295.5613222176</v>
      </c>
      <c r="U11" s="133">
        <f t="shared" si="2"/>
        <v>1.1864041101378588</v>
      </c>
      <c r="V11" s="133">
        <f t="shared" si="3"/>
        <v>2.2580409203981477</v>
      </c>
    </row>
    <row r="12" spans="1:148" s="134" customFormat="1" ht="14.25">
      <c r="B12" s="130" t="s">
        <v>373</v>
      </c>
      <c r="C12" s="143" t="s">
        <v>374</v>
      </c>
      <c r="D12" s="143"/>
      <c r="E12" s="132">
        <f t="shared" si="4"/>
        <v>8.5274909155304016E-2</v>
      </c>
      <c r="F12" s="144">
        <f>'Web-Enabled Thermostats {E}'!A$16</f>
        <v>11.369865309221689</v>
      </c>
      <c r="G12" s="145" t="s">
        <v>365</v>
      </c>
      <c r="H12" s="258">
        <f>'Web-Enabled Thermostats {E}'!A$10</f>
        <v>2896406.1599999997</v>
      </c>
      <c r="I12" s="259">
        <f>'Web-Enabled Thermostats {E}'!A$8</f>
        <v>268900.27</v>
      </c>
      <c r="J12" s="259">
        <f>'Web-Enabled Thermostats {E}'!A$12</f>
        <v>572926.44999999995</v>
      </c>
      <c r="K12" s="264">
        <f>'Web-Enabled Thermostats {E}'!A$14</f>
        <v>586552.94000000053</v>
      </c>
      <c r="L12" s="259">
        <f>SUM('Web-Enabled Thermostats {E}'!Q$5:Q$1000)</f>
        <v>1159479.3900000006</v>
      </c>
      <c r="M12" s="259"/>
      <c r="N12" s="260">
        <f>'Web-Enabled Thermostats {E}'!A$18</f>
        <v>891667.42</v>
      </c>
      <c r="O12" s="259">
        <f>'Web-Enabled Thermostats {E}'!A$20</f>
        <v>1428379.6600000006</v>
      </c>
      <c r="P12" s="259">
        <f>SUM('Web-Enabled Thermostats {E}'!R$5:R$1000)</f>
        <v>5.48</v>
      </c>
      <c r="Q12" s="261">
        <f t="shared" si="5"/>
        <v>833567.74796671956</v>
      </c>
      <c r="R12" s="261">
        <f t="shared" si="6"/>
        <v>1335308.6472842859</v>
      </c>
      <c r="S12" s="259">
        <f>SUM('Web-Enabled Thermostats {E}'!AM$5:AM$1000)</f>
        <v>3174613.4353587991</v>
      </c>
      <c r="T12" s="259">
        <f>SUM('Web-Enabled Thermostats {E}'!AD$5:AD$1000)</f>
        <v>37347.836062738235</v>
      </c>
      <c r="U12" s="133">
        <f t="shared" si="2"/>
        <v>3.8084648105717576</v>
      </c>
      <c r="V12" s="133">
        <f t="shared" si="3"/>
        <v>2.6431511711808806</v>
      </c>
    </row>
    <row r="13" spans="1:148" s="134" customFormat="1" ht="14.25">
      <c r="B13" s="130" t="s">
        <v>15</v>
      </c>
      <c r="C13" s="143" t="s">
        <v>375</v>
      </c>
      <c r="D13" s="143"/>
      <c r="E13" s="132">
        <f t="shared" si="4"/>
        <v>2.9117141483310783E-2</v>
      </c>
      <c r="F13" s="144">
        <f>'Residential Showerheads {E}'!A$16</f>
        <v>10.000000000000004</v>
      </c>
      <c r="G13" s="145" t="s">
        <v>365</v>
      </c>
      <c r="H13" s="258">
        <f>'Residential Showerheads {E}'!A$10</f>
        <v>1124455.4500000002</v>
      </c>
      <c r="I13" s="259">
        <f>'Residential Showerheads {E}'!A$8</f>
        <v>200184.21999999997</v>
      </c>
      <c r="J13" s="259">
        <f>'Residential Showerheads {E}'!A$12</f>
        <v>142453.81999999998</v>
      </c>
      <c r="K13" s="264">
        <f>'Residential Showerheads {E}'!A$14</f>
        <v>-57298.799999999996</v>
      </c>
      <c r="L13" s="259">
        <f>SUM('Residential Showerheads {E}'!Q$5:Q$1000)</f>
        <v>85155.019999999975</v>
      </c>
      <c r="M13" s="259"/>
      <c r="N13" s="260">
        <f>'Residential Showerheads {E}'!A$18</f>
        <v>379553.35</v>
      </c>
      <c r="O13" s="259">
        <f>'Residential Showerheads {E}'!A$20</f>
        <v>285339.23999999993</v>
      </c>
      <c r="P13" s="259">
        <f>SUM('Residential Showerheads {E}'!R$5:R$1000)</f>
        <v>227.89000000000007</v>
      </c>
      <c r="Q13" s="261">
        <f t="shared" si="5"/>
        <v>354822.23988034023</v>
      </c>
      <c r="R13" s="261">
        <f t="shared" si="6"/>
        <v>266746.97578760394</v>
      </c>
      <c r="S13" s="259">
        <f>SUM('Residential Showerheads {E}'!AM$5:AM$1000)</f>
        <v>565060.41644518368</v>
      </c>
      <c r="T13" s="259">
        <f>SUM('Residential Showerheads {E}'!AD$5:AD$1000)</f>
        <v>966725.60948222759</v>
      </c>
      <c r="U13" s="133">
        <f t="shared" si="2"/>
        <v>1.5925169082855231</v>
      </c>
      <c r="V13" s="133">
        <f t="shared" si="3"/>
        <v>5.9543020605287014</v>
      </c>
    </row>
    <row r="14" spans="1:148" s="134" customFormat="1" ht="14.25">
      <c r="B14" s="130" t="s">
        <v>15</v>
      </c>
      <c r="C14" s="143" t="s">
        <v>376</v>
      </c>
      <c r="D14" s="143"/>
      <c r="E14" s="132">
        <f t="shared" si="4"/>
        <v>0.26153691693565728</v>
      </c>
      <c r="F14" s="144">
        <f>'SF Existing Weatherization {E}'!A$16</f>
        <v>36.297323437956813</v>
      </c>
      <c r="G14" s="145" t="s">
        <v>365</v>
      </c>
      <c r="H14" s="258">
        <f>'SF Existing Weatherization {E}'!A$10</f>
        <v>2782607.2699999982</v>
      </c>
      <c r="I14" s="259">
        <f>'SF Existing Weatherization {E}'!A$8</f>
        <v>310313.93999999994</v>
      </c>
      <c r="J14" s="259">
        <f>'SF Existing Weatherization {E}'!A$12</f>
        <v>1602847.0899999994</v>
      </c>
      <c r="K14" s="264">
        <f>'SF Existing Weatherization {E}'!A$14</f>
        <v>3535460.8400000003</v>
      </c>
      <c r="L14" s="259">
        <f>SUM('SF Existing Weatherization {E}'!Q$5:Q$1000)</f>
        <v>5138307.9300000025</v>
      </c>
      <c r="M14" s="259"/>
      <c r="N14" s="260">
        <f>'SF Existing Weatherization {E}'!A$18</f>
        <v>1920563.5799999998</v>
      </c>
      <c r="O14" s="259">
        <f>'SF Existing Weatherization {E}'!A$20</f>
        <v>5448621.8700000029</v>
      </c>
      <c r="P14" s="259">
        <f>SUM('SF Existing Weatherization {E}'!R$5:R$1000)</f>
        <v>9.2499999999999982</v>
      </c>
      <c r="Q14" s="261">
        <f t="shared" si="5"/>
        <v>1795422.6231653732</v>
      </c>
      <c r="R14" s="261">
        <f t="shared" si="6"/>
        <v>5093598.0835748361</v>
      </c>
      <c r="S14" s="259">
        <f>SUM('SF Existing Weatherization {E}'!AM$5:AM$1000)</f>
        <v>7854968.9274729956</v>
      </c>
      <c r="T14" s="259">
        <f>SUM('SF Existing Weatherization {E}'!AD$5:AD$1000)</f>
        <v>339361.1457387702</v>
      </c>
      <c r="U14" s="133">
        <f t="shared" si="2"/>
        <v>4.3749971879180718</v>
      </c>
      <c r="V14" s="133">
        <f t="shared" si="3"/>
        <v>1.7629633941704248</v>
      </c>
    </row>
    <row r="15" spans="1:148" s="134" customFormat="1" ht="14.25">
      <c r="B15" s="130" t="s">
        <v>15</v>
      </c>
      <c r="C15" s="143" t="s">
        <v>377</v>
      </c>
      <c r="D15" s="143"/>
      <c r="E15" s="132">
        <f t="shared" si="4"/>
        <v>0.2412475890918816</v>
      </c>
      <c r="F15" s="144">
        <f>'Home Energy Reports {E}'!A$16</f>
        <v>2</v>
      </c>
      <c r="G15" s="145" t="s">
        <v>365</v>
      </c>
      <c r="H15" s="258">
        <f>'Home Energy Reports {E}'!A$10</f>
        <v>46582898</v>
      </c>
      <c r="I15" s="259">
        <f>'Home Energy Reports {E}'!A$8</f>
        <v>1570971.7400000002</v>
      </c>
      <c r="J15" s="259">
        <f>'Home Energy Reports {E}'!A$12</f>
        <v>1244858.94</v>
      </c>
      <c r="K15" s="264">
        <f>'Home Energy Reports {E}'!A$14</f>
        <v>0</v>
      </c>
      <c r="L15" s="259">
        <f>SUM('Home Energy Reports {E}'!Q$5:Q$999)</f>
        <v>1244858.94</v>
      </c>
      <c r="M15" s="259"/>
      <c r="N15" s="260">
        <f>'Home Energy Reports {E}'!A$18</f>
        <v>2880060.0700000003</v>
      </c>
      <c r="O15" s="259">
        <f>'Home Energy Reports {E}'!A$20</f>
        <v>2815830.68</v>
      </c>
      <c r="P15" s="259">
        <f>SUM('Home Energy Reports {E}'!R$5:R$999)</f>
        <v>0</v>
      </c>
      <c r="Q15" s="261">
        <f t="shared" si="5"/>
        <v>2692399.8036832758</v>
      </c>
      <c r="R15" s="261">
        <f t="shared" si="6"/>
        <v>2632355.5015424886</v>
      </c>
      <c r="S15" s="259">
        <f>SUM('Home Energy Reports {E}'!AM$5:AM$999)</f>
        <v>7424093.493296165</v>
      </c>
      <c r="T15" s="259">
        <f>SUM('Home Energy Reports {E}'!AD$5:AD$999)</f>
        <v>0</v>
      </c>
      <c r="U15" s="133">
        <f t="shared" si="2"/>
        <v>2.7574261011086851</v>
      </c>
      <c r="V15" s="133">
        <f t="shared" si="3"/>
        <v>3.1023556042641025</v>
      </c>
    </row>
    <row r="16" spans="1:148" s="134" customFormat="1" ht="14.25">
      <c r="B16" s="130" t="s">
        <v>15</v>
      </c>
      <c r="C16" s="143" t="s">
        <v>371</v>
      </c>
      <c r="D16" s="143"/>
      <c r="E16" s="132"/>
      <c r="F16" s="144">
        <f>'Home Energy Assessments {E}'!A16</f>
        <v>11.43537248642358</v>
      </c>
      <c r="G16" s="145" t="s">
        <v>365</v>
      </c>
      <c r="H16" s="258">
        <f>'Home Energy Assessments {E}'!A$10</f>
        <v>997645.22000000114</v>
      </c>
      <c r="I16" s="259">
        <f>'Home Energy Assessments {E}'!A$8</f>
        <v>268789.84999999992</v>
      </c>
      <c r="J16" s="259">
        <f>'Home Energy Assessments {E}'!A$12</f>
        <v>318602.3000000001</v>
      </c>
      <c r="K16" s="264">
        <f>'Home Energy Assessments {E}'!A$14</f>
        <v>108547.40999999992</v>
      </c>
      <c r="L16" s="259">
        <f>SUM('Home Energy Assessments {E}'!Q$5:Q$999)</f>
        <v>427149.70999999996</v>
      </c>
      <c r="M16" s="259"/>
      <c r="N16" s="260">
        <f>'Home Energy Assessments {E}'!A$18</f>
        <v>599661.3899999999</v>
      </c>
      <c r="O16" s="259">
        <f>'Home Energy Assessments {E}'!A$20</f>
        <v>695939.55999999982</v>
      </c>
      <c r="P16" s="259">
        <f>SUM('Home Energy Assessments {E}'!R$5:R$999)</f>
        <v>144.44</v>
      </c>
      <c r="Q16" s="261">
        <f t="shared" ref="Q16" si="7">N16/(1+ElecDiscountRate)^1</f>
        <v>560588.37991960347</v>
      </c>
      <c r="R16" s="261">
        <f t="shared" ref="R16" si="8">O16/(1+ElecDiscountRate)^1</f>
        <v>650593.21305038768</v>
      </c>
      <c r="S16" s="259">
        <f>SUM('Home Energy Assessments {E}'!AM$5:AM$999)</f>
        <v>589181.06611897843</v>
      </c>
      <c r="T16" s="259">
        <f>SUM('Home Energy Assessments {E}'!AD$5:AD$999)</f>
        <v>130995.80549375524</v>
      </c>
      <c r="U16" s="133">
        <f t="shared" ref="U16" si="9">IFERROR(S16/Q16,0)</f>
        <v>1.0510047785925845</v>
      </c>
      <c r="V16" s="133">
        <f t="shared" ref="V16" si="10">IFERROR(((S16*1.1)+(T16))/R16,0)</f>
        <v>1.1975147643667343</v>
      </c>
    </row>
    <row r="17" spans="1:425" s="134" customFormat="1" ht="14.25">
      <c r="B17" s="130" t="s">
        <v>15</v>
      </c>
      <c r="C17" s="143" t="s">
        <v>1819</v>
      </c>
      <c r="D17" s="143"/>
      <c r="E17" s="132">
        <f>F17*(H17/$H$70)</f>
        <v>0</v>
      </c>
      <c r="F17" s="144">
        <f>IFERROR('Efficiency Boost {E}'!A$16,0)</f>
        <v>0</v>
      </c>
      <c r="G17" s="145" t="s">
        <v>365</v>
      </c>
      <c r="H17" s="258">
        <f>'Efficiency Boost {E}'!A$10</f>
        <v>0</v>
      </c>
      <c r="I17" s="259">
        <f>'Efficiency Boost {E}'!A$8</f>
        <v>72507.95</v>
      </c>
      <c r="J17" s="259">
        <f>'Efficiency Boost {E}'!A$12</f>
        <v>0</v>
      </c>
      <c r="K17" s="264">
        <f>'Efficiency Boost {E}'!A$14</f>
        <v>0</v>
      </c>
      <c r="L17" s="259">
        <f>SUM('Efficiency Boost {E}'!Q$5:Q$999)</f>
        <v>0</v>
      </c>
      <c r="M17" s="259"/>
      <c r="N17" s="260">
        <f>'Efficiency Boost {E}'!A$18</f>
        <v>72507.95</v>
      </c>
      <c r="O17" s="259">
        <f>'Efficiency Boost {E}'!A$20</f>
        <v>72507.95</v>
      </c>
      <c r="P17" s="259">
        <f>SUM('Efficiency Boost {E}'!R$5:R$999)</f>
        <v>0</v>
      </c>
      <c r="Q17" s="261">
        <f>N17/(1+ElecDiscountRate)^1</f>
        <v>67783.443956249408</v>
      </c>
      <c r="R17" s="261">
        <f>O17/(1+ElecDiscountRate)^1</f>
        <v>67783.443956249408</v>
      </c>
      <c r="S17" s="259">
        <f>SUM('Efficiency Boost {E}'!AM$5:AM$999)</f>
        <v>0</v>
      </c>
      <c r="T17" s="259">
        <f>SUM('Efficiency Boost {E}'!AD$5:AD$999)</f>
        <v>0</v>
      </c>
      <c r="U17" s="133">
        <f>IFERROR(S17/Q17,0)</f>
        <v>0</v>
      </c>
      <c r="V17" s="133">
        <f>IFERROR(((S17*1.1)+(T17))/R17,0)</f>
        <v>0</v>
      </c>
    </row>
    <row r="18" spans="1:425" s="134" customFormat="1" ht="14.25">
      <c r="B18" s="130" t="s">
        <v>17</v>
      </c>
      <c r="C18" s="131" t="s">
        <v>378</v>
      </c>
      <c r="D18" s="131"/>
      <c r="E18" s="132"/>
      <c r="F18" s="144">
        <f>'SF New Construction {E}'!A$16</f>
        <v>33.868335972325809</v>
      </c>
      <c r="G18" s="145" t="s">
        <v>365</v>
      </c>
      <c r="H18" s="258">
        <f>'SF New Construction {E}'!A$10</f>
        <v>123904.61</v>
      </c>
      <c r="I18" s="259">
        <f>'SF New Construction {E}'!A$8</f>
        <v>56680.83</v>
      </c>
      <c r="J18" s="259">
        <f>'SF New Construction {E}'!A$12</f>
        <v>56250</v>
      </c>
      <c r="K18" s="264">
        <f>'SF New Construction {E}'!A$14</f>
        <v>114833.63</v>
      </c>
      <c r="L18" s="259">
        <f>SUM('SF New Construction {E}'!Q$5:Q$1000)</f>
        <v>171083.63</v>
      </c>
      <c r="M18" s="259"/>
      <c r="N18" s="260">
        <f>'SF New Construction {E}'!A$18</f>
        <v>118930.83</v>
      </c>
      <c r="O18" s="259">
        <f>'SF New Construction {E}'!A$20</f>
        <v>227764.46000000002</v>
      </c>
      <c r="P18" s="259">
        <f>SUM('SF New Construction {E}'!R$5:R$1000)</f>
        <v>139.04</v>
      </c>
      <c r="Q18" s="261">
        <f t="shared" si="5"/>
        <v>111181.48078900625</v>
      </c>
      <c r="R18" s="261">
        <f t="shared" si="6"/>
        <v>212923.67953631858</v>
      </c>
      <c r="S18" s="259">
        <f>SUM('SF New Construction {E}'!AM$5:AM$1000)</f>
        <v>290932.06548211467</v>
      </c>
      <c r="T18" s="259">
        <f>SUM('SF New Construction {E}'!AD$5:AD$1000)</f>
        <v>8459.6777052558518</v>
      </c>
      <c r="U18" s="133">
        <f t="shared" si="2"/>
        <v>2.6167313424636665</v>
      </c>
      <c r="V18" s="133">
        <f t="shared" si="3"/>
        <v>1.542735643357845</v>
      </c>
    </row>
    <row r="19" spans="1:425" s="134" customFormat="1" ht="14.25">
      <c r="B19" s="130" t="s">
        <v>17</v>
      </c>
      <c r="C19" s="131" t="s">
        <v>379</v>
      </c>
      <c r="D19" s="131"/>
      <c r="E19" s="132"/>
      <c r="F19" s="144">
        <f>'MH New Construction {E}'!A$16</f>
        <v>44.283263103750151</v>
      </c>
      <c r="G19" s="145" t="s">
        <v>365</v>
      </c>
      <c r="H19" s="258">
        <f>'MH New Construction {E}'!A$10</f>
        <v>293561</v>
      </c>
      <c r="I19" s="259">
        <f>'MH New Construction {E}'!A$8</f>
        <v>113342.13</v>
      </c>
      <c r="J19" s="259">
        <f>'MH New Construction {E}'!A$12</f>
        <v>148600</v>
      </c>
      <c r="K19" s="264">
        <f>'MH New Construction {E}'!A$14</f>
        <v>191682.73000000004</v>
      </c>
      <c r="L19" s="259">
        <f>SUM('MH New Construction {E}'!Q$5:Q$1000)</f>
        <v>340282.73</v>
      </c>
      <c r="M19" s="259"/>
      <c r="N19" s="260">
        <f>'MH New Construction {E}'!A$18</f>
        <v>306397.58</v>
      </c>
      <c r="O19" s="259">
        <f>'MH New Construction {E}'!A$20</f>
        <v>453624.86</v>
      </c>
      <c r="P19" s="259">
        <f>SUM('MH New Construction {E}'!R$5:R$1000)</f>
        <v>143.13999999999999</v>
      </c>
      <c r="Q19" s="261">
        <f t="shared" si="5"/>
        <v>286433.18687482469</v>
      </c>
      <c r="R19" s="261">
        <f t="shared" si="6"/>
        <v>424067.36468168639</v>
      </c>
      <c r="S19" s="259">
        <f>SUM('MH New Construction {E}'!AM$5:AM$1000)</f>
        <v>988821.76818448934</v>
      </c>
      <c r="T19" s="259">
        <f>SUM('MH New Construction {E}'!AD$5:AD$1000)</f>
        <v>23066.572656908458</v>
      </c>
      <c r="U19" s="133">
        <f t="shared" si="2"/>
        <v>3.452189946888446</v>
      </c>
      <c r="V19" s="133">
        <f t="shared" si="3"/>
        <v>2.6193256311850686</v>
      </c>
    </row>
    <row r="20" spans="1:425" s="134" customFormat="1" ht="14.25">
      <c r="B20" s="130" t="s">
        <v>39</v>
      </c>
      <c r="C20" s="147" t="s">
        <v>380</v>
      </c>
      <c r="D20" s="147"/>
      <c r="E20" s="132"/>
      <c r="F20" s="144">
        <f>'Multi Family Retrofit {E}'!A$16</f>
        <v>27.679692193788188</v>
      </c>
      <c r="G20" s="145" t="s">
        <v>365</v>
      </c>
      <c r="H20" s="258">
        <f>'Multi Family Retrofit {E}'!A$10</f>
        <v>14451696.65</v>
      </c>
      <c r="I20" s="259">
        <f>'Multi Family Retrofit {E}'!A$8</f>
        <v>2829549.75</v>
      </c>
      <c r="J20" s="259">
        <f>'Multi Family Retrofit {E}'!A$12</f>
        <v>7805410.9000000004</v>
      </c>
      <c r="K20" s="259">
        <f>'Multi Family Retrofit {E}'!A$14</f>
        <v>6036669.9800000004</v>
      </c>
      <c r="L20" s="259">
        <f>SUM('Multi Family Retrofit {E}'!Q$5:Q$1000)</f>
        <v>13842080.880000003</v>
      </c>
      <c r="M20" s="259"/>
      <c r="N20" s="260">
        <f>'Multi Family Retrofit {E}'!A$18</f>
        <v>10759119.18</v>
      </c>
      <c r="O20" s="259">
        <f>'Multi Family Retrofit {E}'!A$20</f>
        <v>16671630.630000003</v>
      </c>
      <c r="P20" s="259">
        <f>SUM('Multi Family Retrofit {E}'!R$5:R$1000)</f>
        <v>303.06</v>
      </c>
      <c r="Q20" s="261">
        <f t="shared" si="5"/>
        <v>10058071.590165466</v>
      </c>
      <c r="R20" s="261">
        <f t="shared" si="6"/>
        <v>15585332.925119193</v>
      </c>
      <c r="S20" s="259">
        <f>SUM('Multi Family Retrofit {E}'!AM$5:AM$1000)</f>
        <v>26565874.523768742</v>
      </c>
      <c r="T20" s="259">
        <f>SUM('Multi Family Retrofit {E}'!AD$5:AD$1000)</f>
        <v>892267.49671692855</v>
      </c>
      <c r="U20" s="133">
        <f t="shared" si="2"/>
        <v>2.6412492977027719</v>
      </c>
      <c r="V20" s="133">
        <f t="shared" si="3"/>
        <v>1.9322480705128879</v>
      </c>
    </row>
    <row r="21" spans="1:425" s="134" customFormat="1" ht="14.25">
      <c r="A21" s="148"/>
      <c r="B21" s="130" t="s">
        <v>59</v>
      </c>
      <c r="C21" s="147" t="s">
        <v>381</v>
      </c>
      <c r="D21" s="147"/>
      <c r="E21" s="132"/>
      <c r="F21" s="144">
        <f>'MF New Construction {E}'!A$16</f>
        <v>15.000000000000002</v>
      </c>
      <c r="G21" s="145" t="s">
        <v>365</v>
      </c>
      <c r="H21" s="258">
        <f>'MF New Construction {E}'!A$10</f>
        <v>4615006</v>
      </c>
      <c r="I21" s="259">
        <f>'MF New Construction {E}'!A$8</f>
        <v>869646.28</v>
      </c>
      <c r="J21" s="259">
        <f>'MF New Construction {E}'!A$12</f>
        <v>1217245</v>
      </c>
      <c r="K21" s="259">
        <f>'MF New Construction {E}'!A$14</f>
        <v>0</v>
      </c>
      <c r="L21" s="259">
        <f>SUM('MF New Construction {E}'!Q$5:Q$1000)</f>
        <v>1217245</v>
      </c>
      <c r="M21" s="259"/>
      <c r="N21" s="260">
        <f>'MF New Construction {E}'!A$18</f>
        <v>2096891.28</v>
      </c>
      <c r="O21" s="259">
        <f>'MF New Construction {E}'!A$20</f>
        <v>2086891.28</v>
      </c>
      <c r="P21" s="259">
        <f>SUM('MF New Construction {E}'!R$5:R$1000)</f>
        <v>0</v>
      </c>
      <c r="Q21" s="261">
        <f t="shared" si="5"/>
        <v>1960261.0825465082</v>
      </c>
      <c r="R21" s="261">
        <f t="shared" si="6"/>
        <v>1950912.6671029259</v>
      </c>
      <c r="S21" s="259">
        <f>SUM('MF New Construction {E}'!AM$5:AM$1000)</f>
        <v>6045016.3896399662</v>
      </c>
      <c r="T21" s="259">
        <f>SUM('MF New Construction {E}'!AD$5:AD$1000)</f>
        <v>0</v>
      </c>
      <c r="U21" s="133">
        <f t="shared" si="2"/>
        <v>3.0837812592734291</v>
      </c>
      <c r="V21" s="133">
        <f t="shared" si="3"/>
        <v>3.4084139904009088</v>
      </c>
    </row>
    <row r="22" spans="1:425" s="156" customFormat="1">
      <c r="A22" s="134"/>
      <c r="B22" s="149" t="s">
        <v>382</v>
      </c>
      <c r="C22" s="149"/>
      <c r="D22" s="149"/>
      <c r="E22" s="150"/>
      <c r="F22" s="151"/>
      <c r="G22" s="152"/>
      <c r="H22" s="153">
        <f>SUM(H8:H21,H6)</f>
        <v>135055426.98999953</v>
      </c>
      <c r="I22" s="153">
        <f t="shared" ref="I22:T22" si="11">SUM(I8:I21,I6)</f>
        <v>10399907.43</v>
      </c>
      <c r="J22" s="153">
        <f t="shared" si="11"/>
        <v>35540782.990000002</v>
      </c>
      <c r="K22" s="153">
        <f t="shared" si="11"/>
        <v>29159755.999999933</v>
      </c>
      <c r="L22" s="153">
        <f t="shared" si="11"/>
        <v>64700538.989999935</v>
      </c>
      <c r="M22" s="153">
        <f t="shared" si="11"/>
        <v>0</v>
      </c>
      <c r="N22" s="153">
        <f t="shared" si="11"/>
        <v>49351668.68</v>
      </c>
      <c r="O22" s="153">
        <f t="shared" si="11"/>
        <v>75578649.605720371</v>
      </c>
      <c r="P22" s="153">
        <f t="shared" si="11"/>
        <v>51938.159999999996</v>
      </c>
      <c r="Q22" s="153">
        <f t="shared" si="11"/>
        <v>46135990.165466957</v>
      </c>
      <c r="R22" s="153">
        <f t="shared" si="11"/>
        <v>70654061.517921254</v>
      </c>
      <c r="S22" s="153">
        <f t="shared" si="11"/>
        <v>106443808.18394275</v>
      </c>
      <c r="T22" s="153">
        <f t="shared" si="11"/>
        <v>5964377.3192728991</v>
      </c>
      <c r="U22" s="154">
        <f>S22/Q22</f>
        <v>2.3071751099777313</v>
      </c>
      <c r="V22" s="154">
        <f>((S22*1.1)+(T22))/R22</f>
        <v>1.7416205619035492</v>
      </c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5"/>
      <c r="EF22" s="155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5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/>
      <c r="FD22" s="155"/>
      <c r="FE22" s="155"/>
      <c r="FF22" s="155"/>
      <c r="FG22" s="155"/>
      <c r="FH22" s="155"/>
      <c r="FI22" s="155"/>
      <c r="FJ22" s="155"/>
      <c r="FK22" s="155"/>
      <c r="FL22" s="155"/>
      <c r="FM22" s="155"/>
      <c r="FN22" s="155"/>
      <c r="FO22" s="155"/>
      <c r="FP22" s="155"/>
      <c r="FQ22" s="155"/>
      <c r="FR22" s="155"/>
      <c r="FS22" s="155"/>
      <c r="FT22" s="155"/>
      <c r="FU22" s="155"/>
      <c r="FV22" s="155"/>
      <c r="FW22" s="155"/>
      <c r="FX22" s="155"/>
      <c r="FY22" s="155"/>
      <c r="FZ22" s="155"/>
      <c r="GA22" s="155"/>
      <c r="GB22" s="155"/>
      <c r="GC22" s="155"/>
      <c r="GD22" s="155"/>
      <c r="GE22" s="155"/>
      <c r="GF22" s="155"/>
      <c r="GG22" s="155"/>
      <c r="GH22" s="155"/>
      <c r="GI22" s="155"/>
      <c r="GJ22" s="155"/>
      <c r="GK22" s="155"/>
      <c r="GL22" s="155"/>
      <c r="GM22" s="155"/>
      <c r="GN22" s="155"/>
      <c r="GO22" s="155"/>
      <c r="GP22" s="155"/>
      <c r="GQ22" s="155"/>
      <c r="GR22" s="155"/>
      <c r="GS22" s="155"/>
      <c r="GT22" s="155"/>
      <c r="GU22" s="155"/>
      <c r="GV22" s="155"/>
      <c r="GW22" s="155"/>
      <c r="GX22" s="155"/>
      <c r="GY22" s="155"/>
      <c r="GZ22" s="155"/>
      <c r="HA22" s="155"/>
      <c r="HB22" s="155"/>
      <c r="HC22" s="155"/>
      <c r="HD22" s="155"/>
      <c r="HE22" s="155"/>
      <c r="HF22" s="155"/>
      <c r="HG22" s="155"/>
      <c r="HH22" s="155"/>
      <c r="HI22" s="155"/>
      <c r="HJ22" s="155"/>
      <c r="HK22" s="155"/>
      <c r="HL22" s="155"/>
      <c r="HM22" s="155"/>
      <c r="HN22" s="155"/>
      <c r="HO22" s="155"/>
      <c r="HP22" s="155"/>
      <c r="HQ22" s="155"/>
      <c r="HR22" s="155"/>
      <c r="HS22" s="155"/>
      <c r="HT22" s="155"/>
      <c r="HU22" s="155"/>
      <c r="HV22" s="155"/>
      <c r="HW22" s="155"/>
      <c r="HX22" s="155"/>
      <c r="HY22" s="155"/>
      <c r="HZ22" s="155"/>
      <c r="IA22" s="155"/>
      <c r="IB22" s="155"/>
      <c r="IC22" s="155"/>
      <c r="ID22" s="155"/>
      <c r="IE22" s="155"/>
      <c r="IF22" s="155"/>
      <c r="IG22" s="155"/>
      <c r="IH22" s="155"/>
      <c r="II22" s="155"/>
      <c r="IJ22" s="155"/>
      <c r="IK22" s="155"/>
      <c r="IL22" s="155"/>
      <c r="IM22" s="155"/>
      <c r="IN22" s="155"/>
      <c r="IO22" s="155"/>
      <c r="IP22" s="155"/>
      <c r="IQ22" s="155"/>
      <c r="IR22" s="155"/>
      <c r="IS22" s="155"/>
      <c r="IT22" s="155"/>
      <c r="IU22" s="155"/>
      <c r="IV22" s="155"/>
      <c r="IW22" s="155"/>
      <c r="IX22" s="155"/>
      <c r="IY22" s="155"/>
      <c r="IZ22" s="155"/>
      <c r="JA22" s="155"/>
      <c r="JB22" s="155"/>
      <c r="JC22" s="155"/>
      <c r="JD22" s="155"/>
      <c r="JE22" s="155"/>
      <c r="JF22" s="155"/>
      <c r="JG22" s="155"/>
      <c r="JH22" s="155"/>
      <c r="JI22" s="155"/>
      <c r="JJ22" s="155"/>
      <c r="JK22" s="155"/>
      <c r="JL22" s="155"/>
      <c r="JM22" s="155"/>
      <c r="JN22" s="155"/>
      <c r="JO22" s="155"/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/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/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155"/>
      <c r="LN22" s="155"/>
      <c r="LO22" s="155"/>
      <c r="LP22" s="155"/>
      <c r="LQ22" s="155"/>
      <c r="LR22" s="155"/>
      <c r="LS22" s="155"/>
      <c r="LT22" s="155"/>
      <c r="LU22" s="155"/>
      <c r="LV22" s="155"/>
      <c r="LW22" s="155"/>
      <c r="LX22" s="155"/>
      <c r="LY22" s="155"/>
      <c r="LZ22" s="155"/>
      <c r="MA22" s="155"/>
      <c r="MB22" s="155"/>
      <c r="MC22" s="155"/>
      <c r="MD22" s="155"/>
      <c r="ME22" s="155"/>
      <c r="MF22" s="155"/>
      <c r="MG22" s="155"/>
      <c r="MH22" s="155"/>
      <c r="MI22" s="155"/>
      <c r="MJ22" s="155"/>
      <c r="MK22" s="155"/>
      <c r="ML22" s="155"/>
      <c r="MM22" s="155"/>
      <c r="MN22" s="155"/>
      <c r="MO22" s="155"/>
      <c r="MP22" s="155"/>
      <c r="MQ22" s="155"/>
      <c r="MR22" s="155"/>
      <c r="MS22" s="155"/>
      <c r="MT22" s="155"/>
      <c r="MU22" s="155"/>
      <c r="MV22" s="155"/>
      <c r="MW22" s="155"/>
      <c r="MX22" s="155"/>
      <c r="MY22" s="155"/>
      <c r="MZ22" s="155"/>
      <c r="NA22" s="155"/>
      <c r="NB22" s="155"/>
      <c r="NC22" s="155"/>
      <c r="ND22" s="155"/>
      <c r="NE22" s="155"/>
      <c r="NF22" s="155"/>
      <c r="NG22" s="155"/>
      <c r="NH22" s="155"/>
      <c r="NI22" s="155"/>
      <c r="NJ22" s="155"/>
      <c r="NK22" s="155"/>
      <c r="NL22" s="155"/>
      <c r="NM22" s="155"/>
      <c r="NN22" s="155"/>
      <c r="NO22" s="155"/>
      <c r="NP22" s="155"/>
      <c r="NQ22" s="155"/>
      <c r="NR22" s="155"/>
      <c r="NS22" s="155"/>
      <c r="NT22" s="155"/>
      <c r="NU22" s="155"/>
      <c r="NV22" s="155"/>
      <c r="NW22" s="155"/>
      <c r="NX22" s="155"/>
      <c r="NY22" s="155"/>
      <c r="NZ22" s="155"/>
      <c r="OA22" s="155"/>
      <c r="OB22" s="155"/>
      <c r="OC22" s="155"/>
      <c r="OD22" s="155"/>
      <c r="OE22" s="155"/>
      <c r="OF22" s="155"/>
      <c r="OG22" s="155"/>
      <c r="OH22" s="155"/>
      <c r="OI22" s="155"/>
      <c r="OJ22" s="155"/>
      <c r="OK22" s="155"/>
      <c r="OL22" s="155"/>
      <c r="OM22" s="155"/>
      <c r="ON22" s="155"/>
      <c r="OO22" s="155"/>
      <c r="OP22" s="155"/>
      <c r="OQ22" s="155"/>
      <c r="OR22" s="155"/>
      <c r="OS22" s="155"/>
      <c r="OT22" s="155"/>
      <c r="OU22" s="155"/>
      <c r="OV22" s="155"/>
      <c r="OW22" s="155"/>
      <c r="OX22" s="155"/>
      <c r="OY22" s="155"/>
      <c r="OZ22" s="155"/>
      <c r="PA22" s="155"/>
      <c r="PB22" s="155"/>
      <c r="PC22" s="155"/>
      <c r="PD22" s="155"/>
      <c r="PE22" s="155"/>
      <c r="PF22" s="155"/>
      <c r="PG22" s="155"/>
      <c r="PH22" s="155"/>
      <c r="PI22" s="155"/>
    </row>
    <row r="23" spans="1:425" s="156" customFormat="1">
      <c r="A23" s="134"/>
      <c r="B23" s="157" t="s">
        <v>383</v>
      </c>
      <c r="C23" s="157"/>
      <c r="D23" s="157"/>
      <c r="E23" s="158"/>
      <c r="F23" s="151"/>
      <c r="G23" s="152"/>
      <c r="H23" s="153">
        <f>H22-H6</f>
        <v>132747538.09999953</v>
      </c>
      <c r="I23" s="153">
        <f t="shared" ref="I23:T23" si="12">I22-I6</f>
        <v>10134099.02</v>
      </c>
      <c r="J23" s="153">
        <f t="shared" si="12"/>
        <v>28890941.380000003</v>
      </c>
      <c r="K23" s="153">
        <f t="shared" si="12"/>
        <v>29069634.519999932</v>
      </c>
      <c r="L23" s="153">
        <f t="shared" si="12"/>
        <v>57960575.899999939</v>
      </c>
      <c r="M23" s="153">
        <f t="shared" si="12"/>
        <v>0</v>
      </c>
      <c r="N23" s="153">
        <f t="shared" si="12"/>
        <v>42226463.859999999</v>
      </c>
      <c r="O23" s="153">
        <f t="shared" si="12"/>
        <v>68094674.919999942</v>
      </c>
      <c r="P23" s="153">
        <f t="shared" si="12"/>
        <v>1755.1500000000015</v>
      </c>
      <c r="Q23" s="153">
        <f t="shared" si="12"/>
        <v>39475052.687669441</v>
      </c>
      <c r="R23" s="153">
        <f t="shared" si="12"/>
        <v>63657731.064784452</v>
      </c>
      <c r="S23" s="153">
        <f t="shared" si="12"/>
        <v>102489968.53880897</v>
      </c>
      <c r="T23" s="153">
        <f t="shared" si="12"/>
        <v>4736818.5935271652</v>
      </c>
      <c r="U23" s="154">
        <f>S23/Q23</f>
        <v>2.5963225267796308</v>
      </c>
      <c r="V23" s="154">
        <f>((S23*1.1)+(T23))/R23</f>
        <v>1.8454283874281034</v>
      </c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5"/>
      <c r="DW23" s="155"/>
      <c r="DX23" s="155"/>
      <c r="DY23" s="155"/>
      <c r="DZ23" s="155"/>
      <c r="EA23" s="155"/>
      <c r="EB23" s="155"/>
      <c r="EC23" s="155"/>
      <c r="ED23" s="155"/>
      <c r="EE23" s="155"/>
      <c r="EF23" s="155"/>
      <c r="EG23" s="155"/>
      <c r="EH23" s="155"/>
      <c r="EI23" s="155"/>
      <c r="EJ23" s="155"/>
      <c r="EK23" s="155"/>
      <c r="EL23" s="155"/>
      <c r="EM23" s="155"/>
      <c r="EN23" s="155"/>
      <c r="EO23" s="155"/>
      <c r="EP23" s="155"/>
      <c r="EQ23" s="155"/>
      <c r="ER23" s="155"/>
      <c r="ES23" s="155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/>
      <c r="FD23" s="155"/>
      <c r="FE23" s="155"/>
      <c r="FF23" s="155"/>
      <c r="FG23" s="155"/>
      <c r="FH23" s="155"/>
      <c r="FI23" s="155"/>
      <c r="FJ23" s="155"/>
      <c r="FK23" s="155"/>
      <c r="FL23" s="155"/>
      <c r="FM23" s="155"/>
      <c r="FN23" s="155"/>
      <c r="FO23" s="155"/>
      <c r="FP23" s="155"/>
      <c r="FQ23" s="155"/>
      <c r="FR23" s="155"/>
      <c r="FS23" s="155"/>
      <c r="FT23" s="155"/>
      <c r="FU23" s="155"/>
      <c r="FV23" s="155"/>
      <c r="FW23" s="155"/>
      <c r="FX23" s="155"/>
      <c r="FY23" s="155"/>
      <c r="FZ23" s="155"/>
      <c r="GA23" s="155"/>
      <c r="GB23" s="155"/>
      <c r="GC23" s="155"/>
      <c r="GD23" s="155"/>
      <c r="GE23" s="155"/>
      <c r="GF23" s="155"/>
      <c r="GG23" s="155"/>
      <c r="GH23" s="155"/>
      <c r="GI23" s="155"/>
      <c r="GJ23" s="155"/>
      <c r="GK23" s="155"/>
      <c r="GL23" s="155"/>
      <c r="GM23" s="155"/>
      <c r="GN23" s="155"/>
      <c r="GO23" s="155"/>
      <c r="GP23" s="155"/>
      <c r="GQ23" s="155"/>
      <c r="GR23" s="155"/>
      <c r="GS23" s="155"/>
      <c r="GT23" s="155"/>
      <c r="GU23" s="155"/>
      <c r="GV23" s="155"/>
      <c r="GW23" s="155"/>
      <c r="GX23" s="155"/>
      <c r="GY23" s="155"/>
      <c r="GZ23" s="155"/>
      <c r="HA23" s="155"/>
      <c r="HB23" s="155"/>
      <c r="HC23" s="155"/>
      <c r="HD23" s="155"/>
      <c r="HE23" s="155"/>
      <c r="HF23" s="155"/>
      <c r="HG23" s="155"/>
      <c r="HH23" s="155"/>
      <c r="HI23" s="155"/>
      <c r="HJ23" s="155"/>
      <c r="HK23" s="155"/>
      <c r="HL23" s="155"/>
      <c r="HM23" s="155"/>
      <c r="HN23" s="155"/>
      <c r="HO23" s="155"/>
      <c r="HP23" s="155"/>
      <c r="HQ23" s="155"/>
      <c r="HR23" s="155"/>
      <c r="HS23" s="155"/>
      <c r="HT23" s="155"/>
      <c r="HU23" s="155"/>
      <c r="HV23" s="155"/>
      <c r="HW23" s="155"/>
      <c r="HX23" s="155"/>
      <c r="HY23" s="155"/>
      <c r="HZ23" s="155"/>
      <c r="IA23" s="155"/>
      <c r="IB23" s="155"/>
      <c r="IC23" s="155"/>
      <c r="ID23" s="155"/>
      <c r="IE23" s="155"/>
      <c r="IF23" s="155"/>
      <c r="IG23" s="155"/>
      <c r="IH23" s="155"/>
      <c r="II23" s="155"/>
      <c r="IJ23" s="155"/>
      <c r="IK23" s="155"/>
      <c r="IL23" s="155"/>
      <c r="IM23" s="155"/>
      <c r="IN23" s="155"/>
      <c r="IO23" s="155"/>
      <c r="IP23" s="155"/>
      <c r="IQ23" s="155"/>
      <c r="IR23" s="155"/>
      <c r="IS23" s="155"/>
      <c r="IT23" s="155"/>
      <c r="IU23" s="155"/>
      <c r="IV23" s="155"/>
      <c r="IW23" s="155"/>
      <c r="IX23" s="155"/>
      <c r="IY23" s="155"/>
      <c r="IZ23" s="155"/>
      <c r="JA23" s="155"/>
      <c r="JB23" s="155"/>
      <c r="JC23" s="155"/>
      <c r="JD23" s="155"/>
      <c r="JE23" s="155"/>
      <c r="JF23" s="155"/>
      <c r="JG23" s="155"/>
      <c r="JH23" s="155"/>
      <c r="JI23" s="155"/>
      <c r="JJ23" s="155"/>
      <c r="JK23" s="155"/>
      <c r="JL23" s="155"/>
      <c r="JM23" s="155"/>
      <c r="JN23" s="155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155"/>
      <c r="LN23" s="155"/>
      <c r="LO23" s="155"/>
      <c r="LP23" s="155"/>
      <c r="LQ23" s="155"/>
      <c r="LR23" s="155"/>
      <c r="LS23" s="155"/>
      <c r="LT23" s="155"/>
      <c r="LU23" s="155"/>
      <c r="LV23" s="155"/>
      <c r="LW23" s="155"/>
      <c r="LX23" s="155"/>
      <c r="LY23" s="155"/>
      <c r="LZ23" s="155"/>
      <c r="MA23" s="155"/>
      <c r="MB23" s="155"/>
      <c r="MC23" s="155"/>
      <c r="MD23" s="155"/>
      <c r="ME23" s="155"/>
      <c r="MF23" s="155"/>
      <c r="MG23" s="155"/>
      <c r="MH23" s="155"/>
      <c r="MI23" s="155"/>
      <c r="MJ23" s="155"/>
      <c r="MK23" s="155"/>
      <c r="ML23" s="155"/>
      <c r="MM23" s="155"/>
      <c r="MN23" s="155"/>
      <c r="MO23" s="155"/>
      <c r="MP23" s="155"/>
      <c r="MQ23" s="155"/>
      <c r="MR23" s="155"/>
      <c r="MS23" s="155"/>
      <c r="MT23" s="155"/>
      <c r="MU23" s="155"/>
      <c r="MV23" s="155"/>
      <c r="MW23" s="155"/>
      <c r="MX23" s="155"/>
      <c r="MY23" s="155"/>
      <c r="MZ23" s="155"/>
      <c r="NA23" s="155"/>
      <c r="NB23" s="155"/>
      <c r="NC23" s="155"/>
      <c r="ND23" s="155"/>
      <c r="NE23" s="155"/>
      <c r="NF23" s="155"/>
      <c r="NG23" s="155"/>
      <c r="NH23" s="155"/>
      <c r="NI23" s="155"/>
      <c r="NJ23" s="155"/>
      <c r="NK23" s="155"/>
      <c r="NL23" s="155"/>
      <c r="NM23" s="155"/>
      <c r="NN23" s="155"/>
      <c r="NO23" s="155"/>
      <c r="NP23" s="155"/>
      <c r="NQ23" s="155"/>
      <c r="NR23" s="155"/>
      <c r="NS23" s="155"/>
      <c r="NT23" s="155"/>
      <c r="NU23" s="155"/>
      <c r="NV23" s="155"/>
      <c r="NW23" s="155"/>
      <c r="NX23" s="155"/>
      <c r="NY23" s="155"/>
      <c r="NZ23" s="155"/>
      <c r="OA23" s="155"/>
      <c r="OB23" s="155"/>
      <c r="OC23" s="155"/>
      <c r="OD23" s="155"/>
      <c r="OE23" s="155"/>
      <c r="OF23" s="155"/>
      <c r="OG23" s="155"/>
      <c r="OH23" s="155"/>
      <c r="OI23" s="155"/>
      <c r="OJ23" s="155"/>
      <c r="OK23" s="155"/>
      <c r="OL23" s="155"/>
      <c r="OM23" s="155"/>
      <c r="ON23" s="155"/>
      <c r="OO23" s="155"/>
      <c r="OP23" s="155"/>
      <c r="OQ23" s="155"/>
      <c r="OR23" s="155"/>
      <c r="OS23" s="155"/>
      <c r="OT23" s="155"/>
      <c r="OU23" s="155"/>
      <c r="OV23" s="155"/>
      <c r="OW23" s="155"/>
      <c r="OX23" s="155"/>
      <c r="OY23" s="155"/>
      <c r="OZ23" s="155"/>
      <c r="PA23" s="155"/>
      <c r="PB23" s="155"/>
      <c r="PC23" s="155"/>
      <c r="PD23" s="155"/>
      <c r="PE23" s="155"/>
      <c r="PF23" s="155"/>
      <c r="PG23" s="155"/>
      <c r="PH23" s="155"/>
      <c r="PI23" s="155"/>
    </row>
    <row r="24" spans="1:425" s="21" customFormat="1" ht="14.25">
      <c r="A24" s="134"/>
      <c r="B24" s="130" t="s">
        <v>65</v>
      </c>
      <c r="C24" s="502" t="s">
        <v>1806</v>
      </c>
      <c r="D24" s="147"/>
      <c r="E24" s="159"/>
      <c r="F24" s="144"/>
      <c r="G24" s="160"/>
      <c r="H24" s="258">
        <f>SUM(H25:H28)</f>
        <v>112836639.5</v>
      </c>
      <c r="I24" s="258">
        <f>SUM(I25:I28)</f>
        <v>7514735.2199999988</v>
      </c>
      <c r="J24" s="258">
        <f>SUM(J25:J28)</f>
        <v>24496913.350000001</v>
      </c>
      <c r="K24" s="258">
        <f>SUM(K25:K28)</f>
        <v>38077516.589999989</v>
      </c>
      <c r="L24" s="258">
        <f>SUM(L25:L28)</f>
        <v>62574429.939999998</v>
      </c>
      <c r="M24" s="259"/>
      <c r="N24" s="260">
        <f t="shared" ref="N24:T24" si="13">SUM(N25:N28)</f>
        <v>32238066.140000001</v>
      </c>
      <c r="O24" s="258">
        <f t="shared" si="13"/>
        <v>70089165.159999996</v>
      </c>
      <c r="P24" s="258">
        <f t="shared" si="13"/>
        <v>0</v>
      </c>
      <c r="Q24" s="258">
        <f t="shared" si="13"/>
        <v>30137483.537440404</v>
      </c>
      <c r="R24" s="258">
        <f t="shared" si="13"/>
        <v>65522263.400953531</v>
      </c>
      <c r="S24" s="258">
        <f t="shared" si="13"/>
        <v>126957993.46331</v>
      </c>
      <c r="T24" s="258">
        <f t="shared" si="13"/>
        <v>0</v>
      </c>
      <c r="U24" s="133">
        <f>IFERROR(S24/Q24,0)</f>
        <v>4.2126275508566442</v>
      </c>
      <c r="V24" s="133">
        <f>IFERROR(((S24*1.1)+(T24))/R24,0)</f>
        <v>2.1313945147934046</v>
      </c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</row>
    <row r="25" spans="1:425" s="21" customFormat="1" ht="14.25">
      <c r="A25" s="134"/>
      <c r="B25" s="130" t="s">
        <v>65</v>
      </c>
      <c r="C25" s="143" t="s">
        <v>384</v>
      </c>
      <c r="D25" s="147"/>
      <c r="E25" s="159">
        <f>F25*(H25/$H$70)</f>
        <v>0.61759359305730133</v>
      </c>
      <c r="F25" s="144">
        <f>'CI Retrofit {E}'!A$16</f>
        <v>12.392142111846477</v>
      </c>
      <c r="G25" s="160" t="s">
        <v>365</v>
      </c>
      <c r="H25" s="258">
        <f>'CI Retrofit {E}'!A$10</f>
        <v>19246418</v>
      </c>
      <c r="I25" s="259">
        <f>'CI Retrofit {E}'!A$8</f>
        <v>2278481.61</v>
      </c>
      <c r="J25" s="259">
        <f>'CI Retrofit {E}'!A$12</f>
        <v>4137381.4200000004</v>
      </c>
      <c r="K25" s="259">
        <f>'CI Retrofit {E}'!A$14</f>
        <v>3362814.1599999997</v>
      </c>
      <c r="L25" s="259">
        <f>SUM('CI Retrofit {E}'!Q$5:Q$973)</f>
        <v>7500195.5800000019</v>
      </c>
      <c r="M25" s="259"/>
      <c r="N25" s="260">
        <f>'CI Retrofit {E}'!A$18</f>
        <v>6444042.6200000001</v>
      </c>
      <c r="O25" s="259">
        <f>'CI Retrofit {E}'!A$20</f>
        <v>9778677.1900000013</v>
      </c>
      <c r="P25" s="259">
        <f>SUM('CI Retrofit {E}'!R$5:R$973)</f>
        <v>0</v>
      </c>
      <c r="Q25" s="261">
        <f t="shared" ref="Q25:Q42" si="14">N25/(1+ElecDiscountRate)^1</f>
        <v>6024158.7547910623</v>
      </c>
      <c r="R25" s="261">
        <f t="shared" ref="R25:R42" si="15">O25/(1+ElecDiscountRate)^1</f>
        <v>9141513.6860802099</v>
      </c>
      <c r="S25" s="259">
        <f>SUM('CI Retrofit {E}'!AM$5:AM$973)</f>
        <v>18996161.938624438</v>
      </c>
      <c r="T25" s="259">
        <f>SUM('CI Retrofit {E}'!AD$5:AD$973)</f>
        <v>0</v>
      </c>
      <c r="U25" s="133">
        <f t="shared" ref="U25:U33" si="16">IFERROR(S25/Q25,0)</f>
        <v>3.1533302344525094</v>
      </c>
      <c r="V25" s="133">
        <f t="shared" ref="V25:V33" si="17">IFERROR(((S25*1.1)+(T25))/R25,0)</f>
        <v>2.2858116117361287</v>
      </c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</row>
    <row r="26" spans="1:425" s="21" customFormat="1" ht="14.25">
      <c r="A26" s="134"/>
      <c r="B26" s="130" t="s">
        <v>65</v>
      </c>
      <c r="C26" s="143" t="s">
        <v>1804</v>
      </c>
      <c r="D26" s="147"/>
      <c r="E26" s="159">
        <f>F26*(H26/$H$70)</f>
        <v>12.086602741088342</v>
      </c>
      <c r="F26" s="144">
        <f>'Bus Lighting Grants {E}'!A$16</f>
        <v>51.539329153560679</v>
      </c>
      <c r="G26" s="160" t="s">
        <v>365</v>
      </c>
      <c r="H26" s="258">
        <f>'Bus Lighting Grants {E}'!A$10</f>
        <v>90564710.599999994</v>
      </c>
      <c r="I26" s="259">
        <f>'Bus Lighting Grants {E}'!A$8</f>
        <v>4763566.3599999994</v>
      </c>
      <c r="J26" s="259">
        <f>'Bus Lighting Grants {E}'!A$12</f>
        <v>19736090.93</v>
      </c>
      <c r="K26" s="259">
        <f>'Bus Lighting Grants {E}'!A$14</f>
        <v>34037103.569999993</v>
      </c>
      <c r="L26" s="259">
        <f>SUM('Bus Lighting Grants {E}'!Q$5:Q$1000)</f>
        <v>53773194.5</v>
      </c>
      <c r="M26" s="259"/>
      <c r="N26" s="260">
        <f>'Bus Lighting Grants {E}'!A$18</f>
        <v>24502867.289999999</v>
      </c>
      <c r="O26" s="259">
        <f>'Bus Lighting Grants {E}'!A$20</f>
        <v>58536760.859999999</v>
      </c>
      <c r="P26" s="259">
        <f>SUM('Bus Lighting Grants {E}'!R$5:R$1000)</f>
        <v>0</v>
      </c>
      <c r="Q26" s="261">
        <f t="shared" ref="Q26:R28" si="18">N26/(1+ElecDiscountRate)^1</f>
        <v>22906298.298588388</v>
      </c>
      <c r="R26" s="261">
        <f t="shared" si="18"/>
        <v>54722595.924090862</v>
      </c>
      <c r="S26" s="259">
        <f>SUM('Bus Lighting Grants {E}'!AM$5:AM$1000)</f>
        <v>105619943.39314097</v>
      </c>
      <c r="T26" s="259">
        <f>SUM('Bus Lighting Grants {E}'!AD$5:AD$1000)</f>
        <v>0</v>
      </c>
      <c r="U26" s="133">
        <f>IFERROR(S26/Q26,0)</f>
        <v>4.6109564285055109</v>
      </c>
      <c r="V26" s="133">
        <f>IFERROR(((S26*1.1)+(T26))/R26,0)</f>
        <v>2.1231072059084752</v>
      </c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</row>
    <row r="27" spans="1:425" s="21" customFormat="1" ht="14.25">
      <c r="A27" s="134"/>
      <c r="B27" s="130" t="s">
        <v>65</v>
      </c>
      <c r="C27" s="143" t="s">
        <v>1805</v>
      </c>
      <c r="D27" s="147"/>
      <c r="E27" s="159">
        <f>F27*(H27/$H$70)</f>
        <v>8.9100083589349899E-2</v>
      </c>
      <c r="F27" s="144">
        <f>'Industrial EM {E}'!A$16</f>
        <v>11.561760725249606</v>
      </c>
      <c r="G27" s="160" t="s">
        <v>365</v>
      </c>
      <c r="H27" s="258">
        <f>'Industrial EM {E}'!A$10</f>
        <v>2976100.9</v>
      </c>
      <c r="I27" s="259">
        <f>'Industrial EM {E}'!A$8</f>
        <v>430042.25</v>
      </c>
      <c r="J27" s="259">
        <f>'Industrial EM {E}'!A$12</f>
        <v>623441</v>
      </c>
      <c r="K27" s="259">
        <f>'Industrial EM {E}'!A$14</f>
        <v>677598.86</v>
      </c>
      <c r="L27" s="259">
        <f>SUM('Industrial EM {E}'!Q$5:Q$998)</f>
        <v>1301039.8600000001</v>
      </c>
      <c r="M27" s="259"/>
      <c r="N27" s="260">
        <f>'Industrial EM {E}'!A$18</f>
        <v>1248511.23</v>
      </c>
      <c r="O27" s="259">
        <f>'Industrial EM {E}'!A$20</f>
        <v>1731082.11</v>
      </c>
      <c r="P27" s="259">
        <f>SUM('Industrial EM {E}'!R$5:R$998)</f>
        <v>0</v>
      </c>
      <c r="Q27" s="261">
        <f t="shared" si="18"/>
        <v>1167160.1664017949</v>
      </c>
      <c r="R27" s="261">
        <f t="shared" si="18"/>
        <v>1618287.4731233055</v>
      </c>
      <c r="S27" s="259">
        <f>SUM('Industrial EM {E}'!AM$5:AM$998)</f>
        <v>2324195.7848945926</v>
      </c>
      <c r="T27" s="259">
        <f>SUM('Industrial EM {E}'!AD$5:AD$998)</f>
        <v>0</v>
      </c>
      <c r="U27" s="133">
        <f>IFERROR(S27/Q27,0)</f>
        <v>1.9913254853957107</v>
      </c>
      <c r="V27" s="133">
        <f>IFERROR(((S27*1.1)+(T27))/R27,0)</f>
        <v>1.5798276918313949</v>
      </c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</row>
    <row r="28" spans="1:425" s="21" customFormat="1" ht="14.25">
      <c r="A28" s="134"/>
      <c r="B28" s="130" t="s">
        <v>65</v>
      </c>
      <c r="C28" s="143" t="s">
        <v>320</v>
      </c>
      <c r="D28" s="147"/>
      <c r="E28" s="159">
        <f>F28*(H28/$H$70)</f>
        <v>6.39722080892749E-4</v>
      </c>
      <c r="F28" s="144">
        <f>'CBA {E}'!A$16</f>
        <v>5</v>
      </c>
      <c r="G28" s="160" t="s">
        <v>365</v>
      </c>
      <c r="H28" s="258">
        <f>'CBA {E}'!A$10</f>
        <v>49410</v>
      </c>
      <c r="I28" s="259">
        <f>'CBA {E}'!A$8</f>
        <v>42645</v>
      </c>
      <c r="J28" s="259">
        <f>'CBA {E}'!A$12</f>
        <v>0</v>
      </c>
      <c r="K28" s="259">
        <f>'CBA {E}'!A$14</f>
        <v>0</v>
      </c>
      <c r="L28" s="259">
        <f>SUM('CBA {E}'!Q$5:Q$1000)</f>
        <v>0</v>
      </c>
      <c r="M28" s="259"/>
      <c r="N28" s="260">
        <f>'CBA {E}'!A$18</f>
        <v>42645</v>
      </c>
      <c r="O28" s="259">
        <f>'CBA {E}'!A$20</f>
        <v>42645</v>
      </c>
      <c r="P28" s="259">
        <f>SUM('CBA {E}'!R$5:R$1000)</f>
        <v>0</v>
      </c>
      <c r="Q28" s="261">
        <f t="shared" si="18"/>
        <v>39866.317659156768</v>
      </c>
      <c r="R28" s="261">
        <f t="shared" si="18"/>
        <v>39866.317659156768</v>
      </c>
      <c r="S28" s="259">
        <f>SUM('CBA {E}'!AM$5:AM$1000)</f>
        <v>17692.346650010979</v>
      </c>
      <c r="T28" s="259">
        <f>SUM('CBA {E}'!AD$5:AD$1000)</f>
        <v>0</v>
      </c>
      <c r="U28" s="133">
        <f>IFERROR(S28/Q28,0)</f>
        <v>0.44379184456599241</v>
      </c>
      <c r="V28" s="133">
        <f>IFERROR(((S28*1.1)+(T28))/R28,0)</f>
        <v>0.48817102902259168</v>
      </c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</row>
    <row r="29" spans="1:425" s="21" customFormat="1" ht="14.25">
      <c r="A29" s="134"/>
      <c r="B29" s="130" t="s">
        <v>129</v>
      </c>
      <c r="C29" s="147" t="s">
        <v>385</v>
      </c>
      <c r="D29" s="147"/>
      <c r="E29" s="159">
        <f>F29*(H29/$H$70)</f>
        <v>1.1719413428944276</v>
      </c>
      <c r="F29" s="144">
        <f>'CI New Construction {E}'!A$16</f>
        <v>16.494743383531073</v>
      </c>
      <c r="G29" s="160" t="s">
        <v>365</v>
      </c>
      <c r="H29" s="258">
        <f>'CI New Construction {E}'!A$10</f>
        <v>27438087</v>
      </c>
      <c r="I29" s="259">
        <f>'CI New Construction {E}'!A$8</f>
        <v>570379.52000000048</v>
      </c>
      <c r="J29" s="259">
        <f>'CI New Construction {E}'!A$12</f>
        <v>4722671.5999999996</v>
      </c>
      <c r="K29" s="259">
        <f>'CI New Construction {E}'!A$14</f>
        <v>1094457.4600000002</v>
      </c>
      <c r="L29" s="259">
        <f>SUM('CI New Construction {E}'!Q$5:Q$1000)</f>
        <v>5817129.0600000005</v>
      </c>
      <c r="M29" s="259"/>
      <c r="N29" s="260">
        <f>'CI New Construction {E}'!A$18</f>
        <v>5293051.12</v>
      </c>
      <c r="O29" s="259">
        <f>'CI New Construction {E}'!A$20</f>
        <v>6387508.580000001</v>
      </c>
      <c r="P29" s="259">
        <f>SUM('CI New Construction {E}'!R$5:R$1000)</f>
        <v>0</v>
      </c>
      <c r="Q29" s="261">
        <f t="shared" si="14"/>
        <v>4948164.0833878657</v>
      </c>
      <c r="R29" s="261">
        <f t="shared" si="15"/>
        <v>5971308.3855286529</v>
      </c>
      <c r="S29" s="259">
        <f>SUM('CI New Construction {E}'!AM$5:AM$1000)</f>
        <v>30972958.755015507</v>
      </c>
      <c r="T29" s="259">
        <f>SUM('CI New Construction {E}'!AD$5:AD$1000)</f>
        <v>0</v>
      </c>
      <c r="U29" s="133">
        <f t="shared" si="16"/>
        <v>6.2594849792873504</v>
      </c>
      <c r="V29" s="133">
        <f t="shared" si="17"/>
        <v>5.7056598706383417</v>
      </c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</row>
    <row r="30" spans="1:425" s="21" customFormat="1" ht="14.25">
      <c r="A30" s="134"/>
      <c r="B30" s="130" t="s">
        <v>136</v>
      </c>
      <c r="C30" s="162" t="s">
        <v>386</v>
      </c>
      <c r="D30" s="162"/>
      <c r="E30" s="159"/>
      <c r="F30" s="144">
        <f>'Com SEM {E}'!A$16</f>
        <v>3</v>
      </c>
      <c r="G30" s="160" t="s">
        <v>365</v>
      </c>
      <c r="H30" s="258">
        <f>'Com SEM {E}'!A$10</f>
        <v>20314478</v>
      </c>
      <c r="I30" s="259">
        <f>'Com SEM {E}'!A$8</f>
        <v>1552628.3099999996</v>
      </c>
      <c r="J30" s="259">
        <f>'Com SEM {E}'!A$12</f>
        <v>983596</v>
      </c>
      <c r="K30" s="259">
        <f>'Com SEM {E}'!A$14</f>
        <v>357710.4</v>
      </c>
      <c r="L30" s="259">
        <f>SUM('Com SEM {E}'!Q$5:Q$995)</f>
        <v>1341306.3999999999</v>
      </c>
      <c r="M30" s="259"/>
      <c r="N30" s="260">
        <f>'Com SEM {E}'!A$18</f>
        <v>2536224.3099999996</v>
      </c>
      <c r="O30" s="259">
        <f>'Com SEM {E}'!A$20</f>
        <v>2893934.7099999995</v>
      </c>
      <c r="P30" s="259">
        <f>SUM('Com SEM {E}'!R$5:R$995)</f>
        <v>0</v>
      </c>
      <c r="Q30" s="261">
        <f>N30/(1+ElecDiscountRate)^1</f>
        <v>2370967.8507992891</v>
      </c>
      <c r="R30" s="261">
        <f>O30/(1+ElecDiscountRate)^1</f>
        <v>2705370.3935682895</v>
      </c>
      <c r="S30" s="259">
        <f>SUM('Com SEM {E}'!AM$5:AM$995)</f>
        <v>5802316.4474194758</v>
      </c>
      <c r="T30" s="259">
        <f>SUM('Com SEM {E}'!AD$5:AD$995)</f>
        <v>0</v>
      </c>
      <c r="U30" s="133">
        <f t="shared" si="16"/>
        <v>2.4472353960697641</v>
      </c>
      <c r="V30" s="133">
        <f t="shared" si="17"/>
        <v>2.3592141421134816</v>
      </c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</row>
    <row r="31" spans="1:425" s="21" customFormat="1" ht="14.25">
      <c r="A31" s="134"/>
      <c r="B31" s="130" t="s">
        <v>136</v>
      </c>
      <c r="C31" s="162" t="s">
        <v>387</v>
      </c>
      <c r="D31" s="162"/>
      <c r="E31" s="159"/>
      <c r="F31" s="144">
        <f>'P4P {E}'!A$16</f>
        <v>14</v>
      </c>
      <c r="G31" s="160" t="s">
        <v>365</v>
      </c>
      <c r="H31" s="258">
        <f>'P4P {E}'!A$10</f>
        <v>80136</v>
      </c>
      <c r="I31" s="259">
        <f>'P4P {E}'!A$8</f>
        <v>9575.2799999999988</v>
      </c>
      <c r="J31" s="259">
        <f>'P4P {E}'!A$12</f>
        <v>28048</v>
      </c>
      <c r="K31" s="259">
        <f>'P4P {E}'!A$14</f>
        <v>36462</v>
      </c>
      <c r="L31" s="259">
        <f>SUM('P4P {E}'!Q$5:Q$1000)</f>
        <v>64510</v>
      </c>
      <c r="M31" s="259"/>
      <c r="N31" s="260">
        <f>'P4P {E}'!A$18</f>
        <v>37623.279999999999</v>
      </c>
      <c r="O31" s="259">
        <f>'P4P {E}'!A$20</f>
        <v>74085.279999999999</v>
      </c>
      <c r="P31" s="259">
        <f>SUM('P4P {E}'!R$5:R$1000)</f>
        <v>0</v>
      </c>
      <c r="Q31" s="261">
        <f>N31/(1+ElecDiscountRate)^1</f>
        <v>35171.805179022151</v>
      </c>
      <c r="R31" s="261">
        <f>O31/(1+ElecDiscountRate)^1</f>
        <v>69257.997569411978</v>
      </c>
      <c r="S31" s="259">
        <f>SUM('P4P {E}'!AM$5:AM$1000)</f>
        <v>77737.371106511913</v>
      </c>
      <c r="T31" s="259">
        <f>SUM('P4P {E}'!AD$5:AD$1000)</f>
        <v>0</v>
      </c>
      <c r="U31" s="133">
        <f t="shared" si="16"/>
        <v>2.210218403941278</v>
      </c>
      <c r="V31" s="133">
        <f t="shared" si="17"/>
        <v>1.2346748565963359</v>
      </c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</row>
    <row r="32" spans="1:425" s="21" customFormat="1" ht="14.25">
      <c r="A32" s="134"/>
      <c r="B32" s="130" t="s">
        <v>133</v>
      </c>
      <c r="C32" s="163" t="s">
        <v>388</v>
      </c>
      <c r="D32" s="163"/>
      <c r="E32" s="159">
        <f>F32*(H32/$H$70)</f>
        <v>0.37375286765867971</v>
      </c>
      <c r="F32" s="144">
        <f>'LPU 449 {E}'!A$16</f>
        <v>12.841414359521035</v>
      </c>
      <c r="G32" s="160" t="s">
        <v>365</v>
      </c>
      <c r="H32" s="258">
        <f>'LPU 449 {E}'!A$10</f>
        <v>11239971</v>
      </c>
      <c r="I32" s="259">
        <f>'LPU 449 {E}'!A$8</f>
        <v>468989.23000000045</v>
      </c>
      <c r="J32" s="259">
        <f>'LPU 449 {E}'!A$12</f>
        <v>3928732.4499999997</v>
      </c>
      <c r="K32" s="259">
        <f>'LPU 449 {E}'!A$14</f>
        <v>5196956.3000000007</v>
      </c>
      <c r="L32" s="259">
        <f>SUM('LPU 449 {E}'!Q$5:Q$1000)</f>
        <v>9125688.75</v>
      </c>
      <c r="M32" s="259"/>
      <c r="N32" s="260">
        <f>'LPU 449 {E}'!A$18</f>
        <v>5023040.66</v>
      </c>
      <c r="O32" s="259">
        <f>'LPU 449 {E}'!A$20</f>
        <v>9594677.9800000004</v>
      </c>
      <c r="P32" s="259">
        <f>SUM('LPU 449 {E}'!R$5:R$1000)</f>
        <v>0</v>
      </c>
      <c r="Q32" s="261">
        <f t="shared" si="14"/>
        <v>4695747.0879685888</v>
      </c>
      <c r="R32" s="261">
        <f t="shared" si="15"/>
        <v>8969503.580443114</v>
      </c>
      <c r="S32" s="259">
        <f>SUM('LPU 449 {E}'!AM$5:AM$1000)</f>
        <v>9663915.7508460619</v>
      </c>
      <c r="T32" s="259">
        <f>SUM('LPU 449 {E}'!AD$5:AD$1000)</f>
        <v>0</v>
      </c>
      <c r="U32" s="133">
        <f t="shared" si="16"/>
        <v>2.0580145331095197</v>
      </c>
      <c r="V32" s="133">
        <f t="shared" si="17"/>
        <v>1.1851611664561603</v>
      </c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</row>
    <row r="33" spans="1:425" s="21" customFormat="1" ht="14.25">
      <c r="A33" s="134"/>
      <c r="B33" s="130" t="s">
        <v>133</v>
      </c>
      <c r="C33" s="163" t="s">
        <v>389</v>
      </c>
      <c r="D33" s="163"/>
      <c r="E33" s="159"/>
      <c r="F33" s="144">
        <f>'LPU Non-449 {E}'!A$16</f>
        <v>13.653965878867513</v>
      </c>
      <c r="G33" s="160" t="s">
        <v>365</v>
      </c>
      <c r="H33" s="258">
        <f>'LPU Non-449 {E}'!A$10</f>
        <v>5631173</v>
      </c>
      <c r="I33" s="259">
        <f>'LPU Non-449 {E}'!A$8</f>
        <v>436096.56999999983</v>
      </c>
      <c r="J33" s="259">
        <f>'LPU Non-449 {E}'!A$12</f>
        <v>1574075.43</v>
      </c>
      <c r="K33" s="259">
        <f>'LPU Non-449 {E}'!A$14</f>
        <v>504087.5</v>
      </c>
      <c r="L33" s="259">
        <f>SUM('LPU Non-449 {E}'!Q$5:Q$1000)</f>
        <v>2078162.93</v>
      </c>
      <c r="M33" s="259"/>
      <c r="N33" s="260">
        <f>'LPU Non-449 {E}'!A$18</f>
        <v>2591634.09</v>
      </c>
      <c r="O33" s="259">
        <f>'LPU Non-449 {E}'!A$20</f>
        <v>2514259.5</v>
      </c>
      <c r="P33" s="259">
        <f>SUM('LPU Non-449 {E}'!R$5:R$1000)</f>
        <v>0</v>
      </c>
      <c r="Q33" s="261">
        <f t="shared" si="14"/>
        <v>2422767.2151070391</v>
      </c>
      <c r="R33" s="261">
        <f t="shared" si="15"/>
        <v>2350434.233897354</v>
      </c>
      <c r="S33" s="259">
        <f>SUM('LPU Non-449 {E}'!AM$5:AM$1000)</f>
        <v>5259322.3314567963</v>
      </c>
      <c r="T33" s="259">
        <f>SUM('LPU Non-449 {E}'!AD$5:AD$1000)</f>
        <v>0</v>
      </c>
      <c r="U33" s="133">
        <f t="shared" si="16"/>
        <v>2.1707914399132386</v>
      </c>
      <c r="V33" s="133">
        <f t="shared" si="17"/>
        <v>2.4613556427867809</v>
      </c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</row>
    <row r="34" spans="1:425" s="21" customFormat="1">
      <c r="A34" s="134"/>
      <c r="B34" s="130" t="s">
        <v>70</v>
      </c>
      <c r="C34" s="509" t="s">
        <v>390</v>
      </c>
      <c r="D34" s="164"/>
      <c r="E34" s="165">
        <f>F34*(H34/$H$70)</f>
        <v>0</v>
      </c>
      <c r="F34" s="140"/>
      <c r="G34" s="141"/>
      <c r="H34" s="262">
        <f>SUM(H35:H40)</f>
        <v>49409476.970000014</v>
      </c>
      <c r="I34" s="262">
        <f>SUM(I35:I40)</f>
        <v>3560086.1400000006</v>
      </c>
      <c r="J34" s="262">
        <f>SUM(J35:J40)</f>
        <v>12620542.860000001</v>
      </c>
      <c r="K34" s="262">
        <f>SUM(K35:K40)</f>
        <v>2135215.4500000002</v>
      </c>
      <c r="L34" s="262">
        <f>SUM(L35:L40)</f>
        <v>14755758.309999999</v>
      </c>
      <c r="M34" s="262">
        <f t="shared" ref="M34" si="19">SUM(M35:M39)</f>
        <v>0</v>
      </c>
      <c r="N34" s="262">
        <f>SUM(N35:N40)</f>
        <v>17824525.960000001</v>
      </c>
      <c r="O34" s="262">
        <f>SUM(O35:O40)</f>
        <v>18315844.449999999</v>
      </c>
      <c r="P34" s="262">
        <f>SUM(P35:P40)</f>
        <v>101927.82999999996</v>
      </c>
      <c r="Q34" s="263">
        <f t="shared" si="14"/>
        <v>16663107.375899784</v>
      </c>
      <c r="R34" s="263">
        <f t="shared" si="15"/>
        <v>17122412.311863136</v>
      </c>
      <c r="S34" s="262">
        <f>SUM(S35:S40)</f>
        <v>44945191.594743825</v>
      </c>
      <c r="T34" s="262">
        <f>SUM(T35:T40)</f>
        <v>1615728.280394953</v>
      </c>
      <c r="U34" s="142">
        <f>S34/Q34</f>
        <v>2.6972875215188878</v>
      </c>
      <c r="V34" s="142">
        <f>((S34*1.1)+(T34))/R34</f>
        <v>2.9817900716734749</v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</row>
    <row r="35" spans="1:425" s="21" customFormat="1" ht="14.25">
      <c r="A35" s="134"/>
      <c r="B35" s="130" t="s">
        <v>70</v>
      </c>
      <c r="C35" s="143" t="s">
        <v>391</v>
      </c>
      <c r="D35" s="143"/>
      <c r="E35" s="166"/>
      <c r="F35" s="144">
        <f>'Lighting to Go {E}'!A$16</f>
        <v>11.678283082896121</v>
      </c>
      <c r="G35" s="145"/>
      <c r="H35" s="258">
        <f>'Lighting to Go {E}'!A$10</f>
        <v>21965971.400000013</v>
      </c>
      <c r="I35" s="259">
        <f>'Lighting to Go {E}'!A$8</f>
        <v>689715.66000000015</v>
      </c>
      <c r="J35" s="259">
        <f>'Lighting to Go {E}'!A$12</f>
        <v>1823132.46</v>
      </c>
      <c r="K35" s="259">
        <f>'Lighting to Go {E}'!A$14</f>
        <v>1244954.56</v>
      </c>
      <c r="L35" s="259">
        <f>SUM('Lighting to Go {E}'!Q$5:Q$999)</f>
        <v>3068087.02</v>
      </c>
      <c r="M35" s="259"/>
      <c r="N35" s="260">
        <f>'Lighting to Go {E}'!A$18</f>
        <v>3030735.44</v>
      </c>
      <c r="O35" s="259">
        <f>'Lighting to Go {E}'!A$20</f>
        <v>3757802.68</v>
      </c>
      <c r="P35" s="259">
        <f>SUM('Lighting to Go {E}'!R$5:R$999)</f>
        <v>0</v>
      </c>
      <c r="Q35" s="261">
        <f t="shared" si="14"/>
        <v>2833257.3992708232</v>
      </c>
      <c r="R35" s="261">
        <f t="shared" si="15"/>
        <v>3512950.0607647002</v>
      </c>
      <c r="S35" s="259">
        <f>SUM('Lighting to Go {E}'!AM$5:AM$999)</f>
        <v>18477345.300654005</v>
      </c>
      <c r="T35" s="259">
        <f>SUM('Lighting to Go {E}'!AD$5:AD$999)</f>
        <v>0</v>
      </c>
      <c r="U35" s="133">
        <f t="shared" ref="U35:U40" si="20">IFERROR(S35/Q35,0)</f>
        <v>6.5215907687770969</v>
      </c>
      <c r="V35" s="133">
        <f t="shared" ref="V35:V40" si="21">IFERROR(((S35*1.1)+(T35))/R35,0)</f>
        <v>5.785758259909632</v>
      </c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</row>
    <row r="36" spans="1:425" s="21" customFormat="1" ht="14.25">
      <c r="A36" s="134"/>
      <c r="B36" s="130" t="s">
        <v>70</v>
      </c>
      <c r="C36" s="143" t="s">
        <v>392</v>
      </c>
      <c r="D36" s="143"/>
      <c r="E36" s="159"/>
      <c r="F36" s="144">
        <f>'Commercial Kitchen Laundry {E}'!A$16</f>
        <v>12.79543818677357</v>
      </c>
      <c r="G36" s="160" t="s">
        <v>365</v>
      </c>
      <c r="H36" s="258">
        <f>'Commercial Kitchen Laundry {E}'!A$10</f>
        <v>679997.59</v>
      </c>
      <c r="I36" s="259">
        <f>'Commercial Kitchen Laundry {E}'!A$8</f>
        <v>115129.28999999998</v>
      </c>
      <c r="J36" s="259">
        <f>'Commercial Kitchen Laundry {E}'!A$12</f>
        <v>112220</v>
      </c>
      <c r="K36" s="259">
        <f>'Commercial Kitchen Laundry {E}'!A$14</f>
        <v>29093.7</v>
      </c>
      <c r="L36" s="259">
        <f>SUM('Commercial Kitchen Laundry {E}'!Q$5:Q$971)</f>
        <v>141313.69999999998</v>
      </c>
      <c r="M36" s="259"/>
      <c r="N36" s="260">
        <f>'Commercial Kitchen Laundry {E}'!A$18</f>
        <v>288495.48</v>
      </c>
      <c r="O36" s="259">
        <f>'Commercial Kitchen Laundry {E}'!A$20</f>
        <v>256442.98999999996</v>
      </c>
      <c r="P36" s="259">
        <f>SUM('Commercial Kitchen Laundry {E}'!R$5:R$971)</f>
        <v>101425.92999999996</v>
      </c>
      <c r="Q36" s="261">
        <f t="shared" si="14"/>
        <v>269697.56006356917</v>
      </c>
      <c r="R36" s="261">
        <f t="shared" si="15"/>
        <v>239733.56081144241</v>
      </c>
      <c r="S36" s="259">
        <f>SUM('Commercial Kitchen Laundry {E}'!AM$5:AM$971)</f>
        <v>592989.77572112274</v>
      </c>
      <c r="T36" s="259">
        <f>SUM('Commercial Kitchen Laundry {E}'!AD$5:AD$971)</f>
        <v>1612118.4087347207</v>
      </c>
      <c r="U36" s="133">
        <f t="shared" si="20"/>
        <v>2.1987213216958725</v>
      </c>
      <c r="V36" s="133">
        <f t="shared" si="21"/>
        <v>9.445515906756917</v>
      </c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</row>
    <row r="37" spans="1:425" s="21" customFormat="1" ht="14.25">
      <c r="A37" s="134"/>
      <c r="B37" s="130" t="s">
        <v>70</v>
      </c>
      <c r="C37" s="143" t="s">
        <v>393</v>
      </c>
      <c r="D37" s="143"/>
      <c r="E37" s="159"/>
      <c r="F37" s="144">
        <f>'Commercial HVAC {E}'!A$16</f>
        <v>14.658412824132505</v>
      </c>
      <c r="G37" s="160" t="s">
        <v>365</v>
      </c>
      <c r="H37" s="258">
        <f>'Commercial HVAC {E}'!A$10</f>
        <v>1330396.1100000001</v>
      </c>
      <c r="I37" s="259">
        <f>'Commercial HVAC {E}'!A$8</f>
        <v>103784.87</v>
      </c>
      <c r="J37" s="259">
        <f>'Commercial HVAC {E}'!A$12</f>
        <v>290697.87</v>
      </c>
      <c r="K37" s="259">
        <f>'Commercial HVAC {E}'!A$14</f>
        <v>524723.32000000007</v>
      </c>
      <c r="L37" s="259">
        <f>SUM('Commercial HVAC {E}'!Q$5:Q$1000)</f>
        <v>815421.19</v>
      </c>
      <c r="M37" s="259"/>
      <c r="N37" s="260">
        <f>'Commercial HVAC {E}'!A$18</f>
        <v>394482.74</v>
      </c>
      <c r="O37" s="259">
        <f>'Commercial HVAC {E}'!A$20</f>
        <v>919206.05999999994</v>
      </c>
      <c r="P37" s="259">
        <f>SUM('Commercial HVAC {E}'!R$5:R$1000)</f>
        <v>0</v>
      </c>
      <c r="Q37" s="261">
        <f t="shared" si="14"/>
        <v>368778.85388426657</v>
      </c>
      <c r="R37" s="261">
        <f t="shared" si="15"/>
        <v>859312.01271384489</v>
      </c>
      <c r="S37" s="259">
        <f>SUM('Commercial HVAC {E}'!AM$5:AM$1000)</f>
        <v>1450596.196167944</v>
      </c>
      <c r="T37" s="259">
        <f>SUM('Commercial HVAC {E}'!AD$5:AD$1000)</f>
        <v>0</v>
      </c>
      <c r="U37" s="133">
        <f t="shared" si="20"/>
        <v>3.9335124042203971</v>
      </c>
      <c r="V37" s="133">
        <f t="shared" si="21"/>
        <v>1.856899231218009</v>
      </c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</row>
    <row r="38" spans="1:425" s="21" customFormat="1" ht="14.25">
      <c r="A38" s="134"/>
      <c r="B38" s="130" t="s">
        <v>70</v>
      </c>
      <c r="C38" s="143" t="s">
        <v>394</v>
      </c>
      <c r="D38" s="143"/>
      <c r="E38" s="159"/>
      <c r="F38" s="144">
        <f>'Commercial Midstream {E}'!A$16</f>
        <v>14.95303642080396</v>
      </c>
      <c r="G38" s="160" t="s">
        <v>365</v>
      </c>
      <c r="H38" s="258">
        <f>'Commercial Midstream {E}'!A$10</f>
        <v>886389</v>
      </c>
      <c r="I38" s="259">
        <f>'Commercial Midstream {E}'!A$8</f>
        <v>187945.05000000005</v>
      </c>
      <c r="J38" s="259">
        <f>'Commercial Midstream {E}'!A$12</f>
        <v>498082.39999999997</v>
      </c>
      <c r="K38" s="259">
        <f>'Commercial Midstream {E}'!A$14</f>
        <v>460809.10000000009</v>
      </c>
      <c r="L38" s="259">
        <f>SUM('Commercial Midstream {E}'!Q$5:Q$1000)</f>
        <v>958891.5</v>
      </c>
      <c r="M38" s="259"/>
      <c r="N38" s="260">
        <f>'Commercial Midstream {E}'!A$18</f>
        <v>837852.2300000001</v>
      </c>
      <c r="O38" s="259">
        <f>'Commercial Midstream {E}'!A$20</f>
        <v>1146836.55</v>
      </c>
      <c r="P38" s="259">
        <f>SUM('Commercial Midstream {E}'!R$5:R$1000)</f>
        <v>0</v>
      </c>
      <c r="Q38" s="261">
        <f t="shared" si="14"/>
        <v>783259.07263718802</v>
      </c>
      <c r="R38" s="261">
        <f t="shared" si="15"/>
        <v>1072110.4515284658</v>
      </c>
      <c r="S38" s="259">
        <f>SUM('Commercial Midstream {E}'!AM$5:AM$1000)</f>
        <v>1215805.2905795397</v>
      </c>
      <c r="T38" s="259">
        <f>SUM('Commercial Midstream {E}'!AD$5:AD$1000)</f>
        <v>0</v>
      </c>
      <c r="U38" s="133">
        <f t="shared" si="20"/>
        <v>1.5522390139522975</v>
      </c>
      <c r="V38" s="133">
        <f t="shared" si="21"/>
        <v>1.2474328719870562</v>
      </c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</row>
    <row r="39" spans="1:425" s="21" customFormat="1" ht="14.25">
      <c r="A39" s="134"/>
      <c r="B39" s="130" t="s">
        <v>70</v>
      </c>
      <c r="C39" s="143" t="s">
        <v>395</v>
      </c>
      <c r="D39" s="143"/>
      <c r="E39" s="159"/>
      <c r="F39" s="144">
        <f>'SBDI {E}'!A$16</f>
        <v>13.175850655031365</v>
      </c>
      <c r="G39" s="160" t="s">
        <v>365</v>
      </c>
      <c r="H39" s="258">
        <f>'SBDI {E}'!A$10</f>
        <v>23941235.870000001</v>
      </c>
      <c r="I39" s="259">
        <f>'SBDI {E}'!A$8</f>
        <v>2463019.0600000005</v>
      </c>
      <c r="J39" s="259">
        <f>'SBDI {E}'!A$12</f>
        <v>9295507.370000001</v>
      </c>
      <c r="K39" s="259">
        <f>'SBDI {E}'!A$14</f>
        <v>-147987.7900000001</v>
      </c>
      <c r="L39" s="259">
        <f>SUM('SBDI {E}'!Q$5:Q$996)</f>
        <v>9147519.5799999982</v>
      </c>
      <c r="M39" s="259"/>
      <c r="N39" s="260">
        <f>'SBDI {E}'!A$18</f>
        <v>12671565.1</v>
      </c>
      <c r="O39" s="259">
        <f>'SBDI {E}'!A$20</f>
        <v>11610538.639999999</v>
      </c>
      <c r="P39" s="259">
        <f>SUM('SBDI {E}'!R$5:R$996)</f>
        <v>501.90000000000009</v>
      </c>
      <c r="Q39" s="261">
        <f t="shared" si="14"/>
        <v>11845905.487519864</v>
      </c>
      <c r="R39" s="261">
        <f t="shared" si="15"/>
        <v>10854013.873048516</v>
      </c>
      <c r="S39" s="259">
        <f>SUM('SBDI {E}'!AM$5:AM$996)</f>
        <v>22497120.010848477</v>
      </c>
      <c r="T39" s="259">
        <f>SUM('SBDI {E}'!AD$5:AD$996)</f>
        <v>3609.8716602322893</v>
      </c>
      <c r="U39" s="133">
        <f t="shared" si="20"/>
        <v>1.8991473496517506</v>
      </c>
      <c r="V39" s="133">
        <f t="shared" si="21"/>
        <v>2.2803031369852138</v>
      </c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</row>
    <row r="40" spans="1:425" s="21" customFormat="1" ht="14.25">
      <c r="A40" s="134"/>
      <c r="B40" s="130" t="s">
        <v>70</v>
      </c>
      <c r="C40" s="143" t="s">
        <v>396</v>
      </c>
      <c r="D40" s="143"/>
      <c r="E40" s="159"/>
      <c r="F40" s="144">
        <f>'Lodging Rebates {E}'!A$16</f>
        <v>12.484570271533492</v>
      </c>
      <c r="G40" s="160" t="s">
        <v>365</v>
      </c>
      <c r="H40" s="258">
        <f>'Lodging Rebates {E}'!A$10</f>
        <v>605487</v>
      </c>
      <c r="I40" s="259">
        <f>'Lodging Rebates {E}'!A$8</f>
        <v>492.20999999996275</v>
      </c>
      <c r="J40" s="259">
        <f>'Lodging Rebates {E}'!A$12</f>
        <v>600902.76</v>
      </c>
      <c r="K40" s="259">
        <f>'Lodging Rebates {E}'!A$14</f>
        <v>23622.559999999998</v>
      </c>
      <c r="L40" s="259">
        <f>SUM('Lodging Rebates {E}'!Q$5:Q$998)</f>
        <v>624525.32000000007</v>
      </c>
      <c r="M40" s="259"/>
      <c r="N40" s="260">
        <f>'Lodging Rebates {E}'!A$18</f>
        <v>601394.97</v>
      </c>
      <c r="O40" s="259">
        <f>'Lodging Rebates {E}'!A$20</f>
        <v>625017.53</v>
      </c>
      <c r="P40" s="259">
        <f>SUM('Lodging Rebates {E}'!R$5:R$998)</f>
        <v>0</v>
      </c>
      <c r="Q40" s="261">
        <f>N40/(1+ElecDiscountRate)^1</f>
        <v>562209.00252407207</v>
      </c>
      <c r="R40" s="261">
        <f>O40/(1+ElecDiscountRate)^1</f>
        <v>584292.35299616714</v>
      </c>
      <c r="S40" s="259">
        <f>SUM('Lodging Rebates {E}'!AM$5:AM$998)</f>
        <v>711335.02077273466</v>
      </c>
      <c r="T40" s="259">
        <f>SUM('Lodging Rebates {E}'!AD$5:AD$998)</f>
        <v>0</v>
      </c>
      <c r="U40" s="133">
        <f t="shared" si="20"/>
        <v>1.2652501428812988</v>
      </c>
      <c r="V40" s="133">
        <f t="shared" si="21"/>
        <v>1.3391729651049209</v>
      </c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</row>
    <row r="41" spans="1:425" s="21" customFormat="1">
      <c r="A41" s="134"/>
      <c r="B41" s="149" t="s">
        <v>397</v>
      </c>
      <c r="C41" s="149"/>
      <c r="D41" s="149"/>
      <c r="E41" s="150"/>
      <c r="F41" s="151"/>
      <c r="G41" s="152"/>
      <c r="H41" s="153">
        <f>SUM(H25:H33,H35:H40)</f>
        <v>226949961.47000003</v>
      </c>
      <c r="I41" s="153">
        <f t="shared" ref="I41:P41" si="22">SUM(I25:I33,I35:I40)</f>
        <v>14112490.27</v>
      </c>
      <c r="J41" s="153">
        <f t="shared" si="22"/>
        <v>48354579.690000005</v>
      </c>
      <c r="K41" s="153">
        <f t="shared" si="22"/>
        <v>47402405.699999996</v>
      </c>
      <c r="L41" s="153">
        <f t="shared" si="22"/>
        <v>95756985.390000001</v>
      </c>
      <c r="M41" s="153">
        <f t="shared" si="22"/>
        <v>0</v>
      </c>
      <c r="N41" s="153">
        <f t="shared" si="22"/>
        <v>65544165.560000002</v>
      </c>
      <c r="O41" s="153">
        <f t="shared" si="22"/>
        <v>109869475.66</v>
      </c>
      <c r="P41" s="153">
        <f t="shared" si="22"/>
        <v>101927.82999999996</v>
      </c>
      <c r="Q41" s="167">
        <f t="shared" si="14"/>
        <v>61273408.955781989</v>
      </c>
      <c r="R41" s="167">
        <f t="shared" si="15"/>
        <v>102710550.30382349</v>
      </c>
      <c r="S41" s="153">
        <f>SUM(S25:S33,S35:S40)</f>
        <v>223679435.71389815</v>
      </c>
      <c r="T41" s="153">
        <f>SUM(T25:T33,T35:T40)</f>
        <v>1615728.280394953</v>
      </c>
      <c r="U41" s="168">
        <f>S41/Q41</f>
        <v>3.6505139754067972</v>
      </c>
      <c r="V41" s="168">
        <f>((S41*1.1)+(T41))/R41</f>
        <v>2.4112723262905491</v>
      </c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  <c r="IZ41" s="161"/>
      <c r="JA41" s="161"/>
      <c r="JB41" s="161"/>
      <c r="JC41" s="161"/>
      <c r="JD41" s="161"/>
      <c r="JE41" s="161"/>
      <c r="JF41" s="161"/>
      <c r="JG41" s="161"/>
      <c r="JH41" s="161"/>
      <c r="JI41" s="161"/>
      <c r="JJ41" s="161"/>
      <c r="JK41" s="161"/>
      <c r="JL41" s="161"/>
      <c r="JM41" s="161"/>
      <c r="JN41" s="161"/>
      <c r="JO41" s="161"/>
      <c r="JP41" s="161"/>
      <c r="JQ41" s="161"/>
      <c r="JR41" s="161"/>
      <c r="JS41" s="161"/>
      <c r="JT41" s="161"/>
      <c r="JU41" s="161"/>
      <c r="JV41" s="161"/>
      <c r="JW41" s="161"/>
      <c r="JX41" s="161"/>
      <c r="JY41" s="161"/>
      <c r="JZ41" s="161"/>
      <c r="KA41" s="161"/>
      <c r="KB41" s="161"/>
      <c r="KC41" s="161"/>
      <c r="KD41" s="161"/>
      <c r="KE41" s="161"/>
      <c r="KF41" s="161"/>
      <c r="KG41" s="161"/>
      <c r="KH41" s="161"/>
      <c r="KI41" s="161"/>
      <c r="KJ41" s="161"/>
      <c r="KK41" s="161"/>
      <c r="KL41" s="161"/>
      <c r="KM41" s="161"/>
      <c r="KN41" s="161"/>
      <c r="KO41" s="161"/>
      <c r="KP41" s="161"/>
      <c r="KQ41" s="161"/>
      <c r="KR41" s="161"/>
      <c r="KS41" s="161"/>
      <c r="KT41" s="161"/>
      <c r="KU41" s="161"/>
      <c r="KV41" s="161"/>
      <c r="KW41" s="161"/>
      <c r="KX41" s="161"/>
      <c r="KY41" s="161"/>
      <c r="KZ41" s="161"/>
      <c r="LA41" s="161"/>
      <c r="LB41" s="161"/>
      <c r="LC41" s="161"/>
      <c r="LD41" s="161"/>
      <c r="LE41" s="161"/>
      <c r="LF41" s="161"/>
      <c r="LG41" s="161"/>
      <c r="LH41" s="161"/>
      <c r="LI41" s="161"/>
      <c r="LJ41" s="161"/>
      <c r="LK41" s="161"/>
      <c r="LL41" s="161"/>
      <c r="LM41" s="161"/>
      <c r="LN41" s="161"/>
      <c r="LO41" s="161"/>
      <c r="LP41" s="161"/>
      <c r="LQ41" s="161"/>
      <c r="LR41" s="161"/>
      <c r="LS41" s="161"/>
      <c r="LT41" s="161"/>
      <c r="LU41" s="161"/>
      <c r="LV41" s="161"/>
      <c r="LW41" s="161"/>
      <c r="LX41" s="161"/>
      <c r="LY41" s="161"/>
      <c r="LZ41" s="161"/>
      <c r="MA41" s="161"/>
      <c r="MB41" s="161"/>
      <c r="MC41" s="161"/>
      <c r="MD41" s="161"/>
      <c r="ME41" s="161"/>
      <c r="MF41" s="161"/>
      <c r="MG41" s="161"/>
      <c r="MH41" s="161"/>
      <c r="MI41" s="161"/>
      <c r="MJ41" s="161"/>
      <c r="MK41" s="161"/>
      <c r="ML41" s="161"/>
      <c r="MM41" s="161"/>
      <c r="MN41" s="161"/>
      <c r="MO41" s="161"/>
      <c r="MP41" s="161"/>
      <c r="MQ41" s="161"/>
      <c r="MR41" s="161"/>
      <c r="MS41" s="161"/>
      <c r="MT41" s="161"/>
      <c r="MU41" s="161"/>
      <c r="MV41" s="161"/>
      <c r="MW41" s="161"/>
      <c r="MX41" s="161"/>
      <c r="MY41" s="161"/>
      <c r="MZ41" s="161"/>
      <c r="NA41" s="161"/>
      <c r="NB41" s="161"/>
      <c r="NC41" s="161"/>
      <c r="ND41" s="161"/>
      <c r="NE41" s="161"/>
      <c r="NF41" s="161"/>
      <c r="NG41" s="161"/>
      <c r="NH41" s="161"/>
      <c r="NI41" s="161"/>
      <c r="NJ41" s="161"/>
      <c r="NK41" s="161"/>
      <c r="NL41" s="161"/>
      <c r="NM41" s="161"/>
      <c r="NN41" s="161"/>
      <c r="NO41" s="161"/>
      <c r="NP41" s="161"/>
      <c r="NQ41" s="161"/>
      <c r="NR41" s="161"/>
      <c r="NS41" s="161"/>
      <c r="NT41" s="161"/>
      <c r="NU41" s="161"/>
      <c r="NV41" s="161"/>
      <c r="NW41" s="161"/>
      <c r="NX41" s="161"/>
      <c r="NY41" s="161"/>
      <c r="NZ41" s="161"/>
      <c r="OA41" s="161"/>
      <c r="OB41" s="161"/>
      <c r="OC41" s="161"/>
      <c r="OD41" s="161"/>
      <c r="OE41" s="161"/>
      <c r="OF41" s="161"/>
      <c r="OG41" s="161"/>
      <c r="OH41" s="161"/>
      <c r="OI41" s="161"/>
      <c r="OJ41" s="161"/>
      <c r="OK41" s="161"/>
      <c r="OL41" s="161"/>
      <c r="OM41" s="161"/>
      <c r="ON41" s="161"/>
      <c r="OO41" s="161"/>
      <c r="OP41" s="161"/>
      <c r="OQ41" s="161"/>
      <c r="OR41" s="161"/>
      <c r="OS41" s="161"/>
      <c r="OT41" s="161"/>
      <c r="OU41" s="161"/>
      <c r="OV41" s="161"/>
      <c r="OW41" s="161"/>
      <c r="OX41" s="161"/>
      <c r="OY41" s="161"/>
      <c r="OZ41" s="161"/>
      <c r="PA41" s="161"/>
      <c r="PB41" s="161"/>
      <c r="PC41" s="161"/>
      <c r="PD41" s="161"/>
      <c r="PE41" s="161"/>
      <c r="PF41" s="161"/>
      <c r="PG41" s="161"/>
      <c r="PH41" s="161"/>
      <c r="PI41" s="161"/>
    </row>
    <row r="42" spans="1:425" s="156" customFormat="1">
      <c r="A42" s="148"/>
      <c r="B42" s="130" t="s">
        <v>398</v>
      </c>
      <c r="C42" s="147" t="s">
        <v>399</v>
      </c>
      <c r="D42" s="106"/>
      <c r="E42" s="169">
        <f>F42*(H42/$H$70)</f>
        <v>0</v>
      </c>
      <c r="F42" s="170">
        <v>0</v>
      </c>
      <c r="G42" s="160" t="s">
        <v>365</v>
      </c>
      <c r="H42" s="265">
        <f>'Residential Pilots {E}'!A10</f>
        <v>204000</v>
      </c>
      <c r="I42" s="265">
        <f>'Residential Pilots {E}'!A$8</f>
        <v>576297</v>
      </c>
      <c r="J42" s="265">
        <f>'Residential Pilots {E}'!A$12</f>
        <v>0</v>
      </c>
      <c r="K42" s="265">
        <f>'Residential Pilots {E}'!A$14</f>
        <v>0</v>
      </c>
      <c r="L42" s="265">
        <f>SUM('Residential Pilots {E}'!Q$5:Q$997)</f>
        <v>0</v>
      </c>
      <c r="M42" s="171"/>
      <c r="N42" s="260">
        <f>'Residential Pilots {E}'!A$18</f>
        <v>671679.5</v>
      </c>
      <c r="O42" s="259">
        <f>'Residential Pilots {E}'!A$20</f>
        <v>576297</v>
      </c>
      <c r="P42" s="259">
        <f>SUM('Residential Pilots {E}'!R$5:R$999)</f>
        <v>0</v>
      </c>
      <c r="Q42" s="266">
        <f t="shared" si="14"/>
        <v>627913.90109376458</v>
      </c>
      <c r="R42" s="266">
        <f t="shared" si="15"/>
        <v>538746.37748901558</v>
      </c>
      <c r="S42" s="259">
        <f>SUM('Residential Pilots {E}'!AM$5:AM$999)</f>
        <v>44752.191779821456</v>
      </c>
      <c r="T42" s="259">
        <f>SUM('Residential Pilots {E}'!AD$5:AD$999)</f>
        <v>0</v>
      </c>
      <c r="U42" s="133">
        <f>IFERROR(S42/Q42,0)</f>
        <v>7.127122317545051E-2</v>
      </c>
      <c r="V42" s="133">
        <f>IFERROR(((S42*1.1)+(T42))/R42,0)</f>
        <v>9.1373998999756248E-2</v>
      </c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BZ42" s="155"/>
      <c r="CA42" s="155"/>
      <c r="CB42" s="155"/>
      <c r="CC42" s="155"/>
      <c r="CD42" s="155"/>
      <c r="CE42" s="155"/>
      <c r="CF42" s="155"/>
      <c r="CG42" s="155"/>
      <c r="CH42" s="155"/>
      <c r="CI42" s="155"/>
      <c r="CJ42" s="155"/>
      <c r="CK42" s="155"/>
      <c r="CL42" s="155"/>
      <c r="CM42" s="155"/>
      <c r="CN42" s="155"/>
      <c r="CO42" s="155"/>
      <c r="CP42" s="155"/>
      <c r="CQ42" s="155"/>
      <c r="CR42" s="155"/>
      <c r="CS42" s="155"/>
      <c r="CT42" s="155"/>
      <c r="CU42" s="155"/>
      <c r="CV42" s="155"/>
      <c r="CW42" s="155"/>
      <c r="CX42" s="155"/>
      <c r="CY42" s="155"/>
      <c r="CZ42" s="155"/>
      <c r="DA42" s="155"/>
      <c r="DB42" s="155"/>
      <c r="DC42" s="155"/>
      <c r="DD42" s="155"/>
      <c r="DE42" s="155"/>
      <c r="DF42" s="155"/>
      <c r="DG42" s="155"/>
      <c r="DH42" s="155"/>
      <c r="DI42" s="155"/>
      <c r="DJ42" s="155"/>
      <c r="DK42" s="155"/>
      <c r="DL42" s="155"/>
      <c r="DM42" s="155"/>
      <c r="DN42" s="155"/>
      <c r="DO42" s="155"/>
      <c r="DP42" s="155"/>
      <c r="DQ42" s="155"/>
      <c r="DR42" s="155"/>
      <c r="DS42" s="155"/>
      <c r="DT42" s="155"/>
      <c r="DU42" s="155"/>
      <c r="DV42" s="155"/>
      <c r="DW42" s="155"/>
      <c r="DX42" s="155"/>
      <c r="DY42" s="155"/>
      <c r="DZ42" s="155"/>
      <c r="EA42" s="155"/>
      <c r="EB42" s="155"/>
      <c r="EC42" s="155"/>
      <c r="ED42" s="155"/>
      <c r="EE42" s="155"/>
      <c r="EF42" s="155"/>
      <c r="EG42" s="155"/>
      <c r="EH42" s="155"/>
      <c r="EI42" s="155"/>
      <c r="EJ42" s="155"/>
      <c r="EK42" s="155"/>
      <c r="EL42" s="155"/>
      <c r="EM42" s="155"/>
      <c r="EN42" s="155"/>
      <c r="EO42" s="155"/>
      <c r="EP42" s="155"/>
      <c r="EQ42" s="155"/>
      <c r="ER42" s="155"/>
      <c r="ES42" s="155"/>
      <c r="ET42" s="155"/>
      <c r="EU42" s="155"/>
      <c r="EV42" s="155"/>
      <c r="EW42" s="155"/>
      <c r="EX42" s="155"/>
      <c r="EY42" s="155"/>
      <c r="EZ42" s="155"/>
      <c r="FA42" s="155"/>
      <c r="FB42" s="155"/>
      <c r="FC42" s="155"/>
      <c r="FD42" s="155"/>
      <c r="FE42" s="155"/>
      <c r="FF42" s="155"/>
      <c r="FG42" s="155"/>
      <c r="FH42" s="155"/>
      <c r="FI42" s="155"/>
      <c r="FJ42" s="155"/>
      <c r="FK42" s="155"/>
      <c r="FL42" s="155"/>
      <c r="FM42" s="155"/>
      <c r="FN42" s="155"/>
      <c r="FO42" s="155"/>
      <c r="FP42" s="155"/>
      <c r="FQ42" s="155"/>
      <c r="FR42" s="155"/>
      <c r="FS42" s="155"/>
      <c r="FT42" s="155"/>
      <c r="FU42" s="155"/>
      <c r="FV42" s="155"/>
      <c r="FW42" s="155"/>
      <c r="FX42" s="155"/>
      <c r="FY42" s="155"/>
      <c r="FZ42" s="155"/>
      <c r="GA42" s="155"/>
      <c r="GB42" s="155"/>
      <c r="GC42" s="155"/>
      <c r="GD42" s="155"/>
      <c r="GE42" s="155"/>
      <c r="GF42" s="155"/>
      <c r="GG42" s="155"/>
      <c r="GH42" s="155"/>
      <c r="GI42" s="155"/>
      <c r="GJ42" s="155"/>
      <c r="GK42" s="155"/>
      <c r="GL42" s="155"/>
      <c r="GM42" s="155"/>
      <c r="GN42" s="155"/>
      <c r="GO42" s="155"/>
      <c r="GP42" s="155"/>
      <c r="GQ42" s="155"/>
      <c r="GR42" s="155"/>
      <c r="GS42" s="155"/>
      <c r="GT42" s="155"/>
      <c r="GU42" s="155"/>
      <c r="GV42" s="155"/>
      <c r="GW42" s="155"/>
      <c r="GX42" s="155"/>
      <c r="GY42" s="155"/>
      <c r="GZ42" s="155"/>
      <c r="HA42" s="155"/>
      <c r="HB42" s="155"/>
      <c r="HC42" s="155"/>
      <c r="HD42" s="155"/>
      <c r="HE42" s="155"/>
      <c r="HF42" s="155"/>
      <c r="HG42" s="155"/>
      <c r="HH42" s="155"/>
      <c r="HI42" s="155"/>
      <c r="HJ42" s="155"/>
      <c r="HK42" s="155"/>
      <c r="HL42" s="155"/>
      <c r="HM42" s="155"/>
      <c r="HN42" s="155"/>
      <c r="HO42" s="155"/>
      <c r="HP42" s="155"/>
      <c r="HQ42" s="155"/>
      <c r="HR42" s="155"/>
      <c r="HS42" s="155"/>
      <c r="HT42" s="155"/>
      <c r="HU42" s="155"/>
      <c r="HV42" s="155"/>
      <c r="HW42" s="155"/>
      <c r="HX42" s="155"/>
      <c r="HY42" s="155"/>
      <c r="HZ42" s="155"/>
      <c r="IA42" s="155"/>
      <c r="IB42" s="155"/>
      <c r="IC42" s="155"/>
      <c r="ID42" s="155"/>
      <c r="IE42" s="155"/>
      <c r="IF42" s="155"/>
      <c r="IG42" s="155"/>
      <c r="IH42" s="155"/>
      <c r="II42" s="155"/>
      <c r="IJ42" s="155"/>
      <c r="IK42" s="155"/>
      <c r="IL42" s="155"/>
      <c r="IM42" s="155"/>
      <c r="IN42" s="155"/>
      <c r="IO42" s="155"/>
      <c r="IP42" s="155"/>
      <c r="IQ42" s="155"/>
      <c r="IR42" s="155"/>
      <c r="IS42" s="155"/>
      <c r="IT42" s="155"/>
      <c r="IU42" s="155"/>
      <c r="IV42" s="155"/>
      <c r="IW42" s="155"/>
      <c r="IX42" s="155"/>
      <c r="IY42" s="155"/>
      <c r="IZ42" s="155"/>
      <c r="JA42" s="155"/>
      <c r="JB42" s="155"/>
      <c r="JC42" s="155"/>
      <c r="JD42" s="155"/>
      <c r="JE42" s="155"/>
      <c r="JF42" s="155"/>
      <c r="JG42" s="155"/>
      <c r="JH42" s="155"/>
      <c r="JI42" s="155"/>
      <c r="JJ42" s="155"/>
      <c r="JK42" s="155"/>
      <c r="JL42" s="155"/>
      <c r="JM42" s="155"/>
      <c r="JN42" s="155"/>
      <c r="JO42" s="155"/>
      <c r="JP42" s="155"/>
      <c r="JQ42" s="155"/>
      <c r="JR42" s="155"/>
      <c r="JS42" s="155"/>
      <c r="JT42" s="155"/>
      <c r="JU42" s="155"/>
      <c r="JV42" s="155"/>
      <c r="JW42" s="155"/>
      <c r="JX42" s="155"/>
      <c r="JY42" s="155"/>
      <c r="JZ42" s="155"/>
      <c r="KA42" s="155"/>
      <c r="KB42" s="155"/>
      <c r="KC42" s="155"/>
      <c r="KD42" s="155"/>
      <c r="KE42" s="155"/>
      <c r="KF42" s="155"/>
      <c r="KG42" s="155"/>
      <c r="KH42" s="155"/>
      <c r="KI42" s="155"/>
      <c r="KJ42" s="155"/>
      <c r="KK42" s="155"/>
      <c r="KL42" s="155"/>
      <c r="KM42" s="155"/>
      <c r="KN42" s="155"/>
      <c r="KO42" s="155"/>
      <c r="KP42" s="155"/>
      <c r="KQ42" s="155"/>
      <c r="KR42" s="155"/>
      <c r="KS42" s="155"/>
      <c r="KT42" s="155"/>
      <c r="KU42" s="155"/>
      <c r="KV42" s="155"/>
      <c r="KW42" s="155"/>
      <c r="KX42" s="155"/>
      <c r="KY42" s="155"/>
      <c r="KZ42" s="155"/>
      <c r="LA42" s="155"/>
      <c r="LB42" s="155"/>
      <c r="LC42" s="155"/>
      <c r="LD42" s="155"/>
      <c r="LE42" s="155"/>
      <c r="LF42" s="155"/>
      <c r="LG42" s="155"/>
      <c r="LH42" s="155"/>
      <c r="LI42" s="155"/>
      <c r="LJ42" s="155"/>
      <c r="LK42" s="155"/>
      <c r="LL42" s="155"/>
      <c r="LM42" s="155"/>
      <c r="LN42" s="155"/>
      <c r="LO42" s="155"/>
      <c r="LP42" s="155"/>
      <c r="LQ42" s="155"/>
      <c r="LR42" s="155"/>
      <c r="LS42" s="155"/>
      <c r="LT42" s="155"/>
      <c r="LU42" s="155"/>
      <c r="LV42" s="155"/>
      <c r="LW42" s="155"/>
      <c r="LX42" s="155"/>
      <c r="LY42" s="155"/>
      <c r="LZ42" s="155"/>
      <c r="MA42" s="155"/>
      <c r="MB42" s="155"/>
      <c r="MC42" s="155"/>
      <c r="MD42" s="155"/>
      <c r="ME42" s="155"/>
      <c r="MF42" s="155"/>
      <c r="MG42" s="155"/>
      <c r="MH42" s="155"/>
      <c r="MI42" s="155"/>
      <c r="MJ42" s="155"/>
      <c r="MK42" s="155"/>
      <c r="ML42" s="155"/>
      <c r="MM42" s="155"/>
      <c r="MN42" s="155"/>
      <c r="MO42" s="155"/>
      <c r="MP42" s="155"/>
      <c r="MQ42" s="155"/>
      <c r="MR42" s="155"/>
      <c r="MS42" s="155"/>
      <c r="MT42" s="155"/>
      <c r="MU42" s="155"/>
      <c r="MV42" s="155"/>
      <c r="MW42" s="155"/>
      <c r="MX42" s="155"/>
      <c r="MY42" s="155"/>
      <c r="MZ42" s="155"/>
      <c r="NA42" s="155"/>
      <c r="NB42" s="155"/>
      <c r="NC42" s="155"/>
      <c r="ND42" s="155"/>
      <c r="NE42" s="155"/>
      <c r="NF42" s="155"/>
      <c r="NG42" s="155"/>
      <c r="NH42" s="155"/>
      <c r="NI42" s="155"/>
      <c r="NJ42" s="155"/>
      <c r="NK42" s="155"/>
      <c r="NL42" s="155"/>
      <c r="NM42" s="155"/>
      <c r="NN42" s="155"/>
      <c r="NO42" s="155"/>
      <c r="NP42" s="155"/>
      <c r="NQ42" s="155"/>
      <c r="NR42" s="155"/>
      <c r="NS42" s="155"/>
      <c r="NT42" s="155"/>
      <c r="NU42" s="155"/>
      <c r="NV42" s="155"/>
      <c r="NW42" s="155"/>
      <c r="NX42" s="155"/>
      <c r="NY42" s="155"/>
      <c r="NZ42" s="155"/>
      <c r="OA42" s="155"/>
      <c r="OB42" s="155"/>
      <c r="OC42" s="155"/>
      <c r="OD42" s="155"/>
      <c r="OE42" s="155"/>
      <c r="OF42" s="155"/>
      <c r="OG42" s="155"/>
      <c r="OH42" s="155"/>
      <c r="OI42" s="155"/>
      <c r="OJ42" s="155"/>
      <c r="OK42" s="155"/>
      <c r="OL42" s="155"/>
      <c r="OM42" s="155"/>
      <c r="ON42" s="155"/>
      <c r="OO42" s="155"/>
      <c r="OP42" s="155"/>
      <c r="OQ42" s="155"/>
      <c r="OR42" s="155"/>
      <c r="OS42" s="155"/>
      <c r="OT42" s="155"/>
      <c r="OU42" s="155"/>
      <c r="OV42" s="155"/>
      <c r="OW42" s="155"/>
      <c r="OX42" s="155"/>
      <c r="OY42" s="155"/>
      <c r="OZ42" s="155"/>
      <c r="PA42" s="155"/>
      <c r="PB42" s="155"/>
      <c r="PC42" s="155"/>
      <c r="PD42" s="155"/>
      <c r="PE42" s="155"/>
      <c r="PF42" s="155"/>
      <c r="PG42" s="155"/>
      <c r="PH42" s="155"/>
      <c r="PI42" s="155"/>
    </row>
    <row r="43" spans="1:425" s="156" customFormat="1">
      <c r="A43" s="148"/>
      <c r="B43" s="172" t="s">
        <v>301</v>
      </c>
      <c r="C43" s="147" t="s">
        <v>400</v>
      </c>
      <c r="D43" s="106"/>
      <c r="E43" s="169"/>
      <c r="F43" s="170">
        <v>0</v>
      </c>
      <c r="G43" s="160" t="s">
        <v>365</v>
      </c>
      <c r="H43" s="265">
        <f>'Commercial Pilots {E}'!A10</f>
        <v>607491</v>
      </c>
      <c r="I43" s="265">
        <f>'Commercial Pilots {E}'!A$8</f>
        <v>38382.599999999991</v>
      </c>
      <c r="J43" s="265">
        <f>'Commercial Pilots {E}'!A$12</f>
        <v>194915</v>
      </c>
      <c r="K43" s="265">
        <f>'Commercial Pilots {E}'!A$14</f>
        <v>0</v>
      </c>
      <c r="L43" s="265">
        <f>SUM('Commercial Pilots {E}'!Q$5:Q$998)</f>
        <v>194915</v>
      </c>
      <c r="M43" s="173"/>
      <c r="N43" s="260">
        <f>'Commercial Pilots {E}'!A$18</f>
        <v>233297.59999999998</v>
      </c>
      <c r="O43" s="259">
        <f>'Commercial Pilots {E}'!A$20</f>
        <v>233297.59999999998</v>
      </c>
      <c r="P43" s="259">
        <f>SUM('Commercial Pilots {E}'!R$5:R$1000)</f>
        <v>0</v>
      </c>
      <c r="Q43" s="269">
        <f>N43/(1+ElecDiscountRate)^1</f>
        <v>218096.28867906885</v>
      </c>
      <c r="R43" s="269">
        <f>O43/(1+ElecDiscountRate)^1</f>
        <v>218096.28867906885</v>
      </c>
      <c r="S43" s="259">
        <f>SUM('Commercial Pilots {E}'!AM$5:AM$1000)</f>
        <v>561142.42378596438</v>
      </c>
      <c r="T43" s="259">
        <f>SUM('Commercial Pilots {E}'!AD$5:AD$1000)</f>
        <v>0</v>
      </c>
      <c r="U43" s="133">
        <f>IFERROR(S43/Q43,0)</f>
        <v>2.5729113832454606</v>
      </c>
      <c r="V43" s="133">
        <f>IFERROR(((S43*1.1)+(T43))/R43,0)</f>
        <v>2.8302025215700071</v>
      </c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5"/>
      <c r="BZ43" s="155"/>
      <c r="CA43" s="155"/>
      <c r="CB43" s="155"/>
      <c r="CC43" s="155"/>
      <c r="CD43" s="155"/>
      <c r="CE43" s="155"/>
      <c r="CF43" s="155"/>
      <c r="CG43" s="155"/>
      <c r="CH43" s="155"/>
      <c r="CI43" s="155"/>
      <c r="CJ43" s="155"/>
      <c r="CK43" s="155"/>
      <c r="CL43" s="155"/>
      <c r="CM43" s="155"/>
      <c r="CN43" s="155"/>
      <c r="CO43" s="155"/>
      <c r="CP43" s="155"/>
      <c r="CQ43" s="155"/>
      <c r="CR43" s="155"/>
      <c r="CS43" s="155"/>
      <c r="CT43" s="155"/>
      <c r="CU43" s="155"/>
      <c r="CV43" s="155"/>
      <c r="CW43" s="155"/>
      <c r="CX43" s="155"/>
      <c r="CY43" s="155"/>
      <c r="CZ43" s="155"/>
      <c r="DA43" s="155"/>
      <c r="DB43" s="155"/>
      <c r="DC43" s="155"/>
      <c r="DD43" s="155"/>
      <c r="DE43" s="155"/>
      <c r="DF43" s="155"/>
      <c r="DG43" s="155"/>
      <c r="DH43" s="155"/>
      <c r="DI43" s="155"/>
      <c r="DJ43" s="155"/>
      <c r="DK43" s="155"/>
      <c r="DL43" s="155"/>
      <c r="DM43" s="155"/>
      <c r="DN43" s="155"/>
      <c r="DO43" s="155"/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55"/>
      <c r="EF43" s="155"/>
      <c r="EG43" s="155"/>
      <c r="EH43" s="155"/>
      <c r="EI43" s="155"/>
      <c r="EJ43" s="155"/>
      <c r="EK43" s="155"/>
      <c r="EL43" s="155"/>
      <c r="EM43" s="155"/>
      <c r="EN43" s="155"/>
      <c r="EO43" s="155"/>
      <c r="EP43" s="155"/>
      <c r="EQ43" s="155"/>
      <c r="ER43" s="155"/>
      <c r="ES43" s="155"/>
      <c r="ET43" s="155"/>
      <c r="EU43" s="155"/>
      <c r="EV43" s="155"/>
      <c r="EW43" s="155"/>
      <c r="EX43" s="155"/>
      <c r="EY43" s="155"/>
      <c r="EZ43" s="155"/>
      <c r="FA43" s="155"/>
      <c r="FB43" s="155"/>
      <c r="FC43" s="155"/>
      <c r="FD43" s="155"/>
      <c r="FE43" s="155"/>
      <c r="FF43" s="155"/>
      <c r="FG43" s="155"/>
      <c r="FH43" s="155"/>
      <c r="FI43" s="155"/>
      <c r="FJ43" s="155"/>
      <c r="FK43" s="155"/>
      <c r="FL43" s="155"/>
      <c r="FM43" s="155"/>
      <c r="FN43" s="155"/>
      <c r="FO43" s="155"/>
      <c r="FP43" s="155"/>
      <c r="FQ43" s="155"/>
      <c r="FR43" s="155"/>
      <c r="FS43" s="155"/>
      <c r="FT43" s="155"/>
      <c r="FU43" s="155"/>
      <c r="FV43" s="155"/>
      <c r="FW43" s="155"/>
      <c r="FX43" s="155"/>
      <c r="FY43" s="155"/>
      <c r="FZ43" s="155"/>
      <c r="GA43" s="155"/>
      <c r="GB43" s="155"/>
      <c r="GC43" s="155"/>
      <c r="GD43" s="155"/>
      <c r="GE43" s="155"/>
      <c r="GF43" s="155"/>
      <c r="GG43" s="155"/>
      <c r="GH43" s="155"/>
      <c r="GI43" s="155"/>
      <c r="GJ43" s="155"/>
      <c r="GK43" s="155"/>
      <c r="GL43" s="155"/>
      <c r="GM43" s="155"/>
      <c r="GN43" s="155"/>
      <c r="GO43" s="155"/>
      <c r="GP43" s="155"/>
      <c r="GQ43" s="155"/>
      <c r="GR43" s="155"/>
      <c r="GS43" s="155"/>
      <c r="GT43" s="155"/>
      <c r="GU43" s="155"/>
      <c r="GV43" s="155"/>
      <c r="GW43" s="155"/>
      <c r="GX43" s="155"/>
      <c r="GY43" s="155"/>
      <c r="GZ43" s="155"/>
      <c r="HA43" s="155"/>
      <c r="HB43" s="155"/>
      <c r="HC43" s="155"/>
      <c r="HD43" s="155"/>
      <c r="HE43" s="155"/>
      <c r="HF43" s="155"/>
      <c r="HG43" s="155"/>
      <c r="HH43" s="155"/>
      <c r="HI43" s="155"/>
      <c r="HJ43" s="155"/>
      <c r="HK43" s="155"/>
      <c r="HL43" s="155"/>
      <c r="HM43" s="155"/>
      <c r="HN43" s="155"/>
      <c r="HO43" s="155"/>
      <c r="HP43" s="155"/>
      <c r="HQ43" s="155"/>
      <c r="HR43" s="155"/>
      <c r="HS43" s="155"/>
      <c r="HT43" s="155"/>
      <c r="HU43" s="155"/>
      <c r="HV43" s="155"/>
      <c r="HW43" s="155"/>
      <c r="HX43" s="155"/>
      <c r="HY43" s="155"/>
      <c r="HZ43" s="155"/>
      <c r="IA43" s="155"/>
      <c r="IB43" s="155"/>
      <c r="IC43" s="155"/>
      <c r="ID43" s="155"/>
      <c r="IE43" s="155"/>
      <c r="IF43" s="155"/>
      <c r="IG43" s="155"/>
      <c r="IH43" s="155"/>
      <c r="II43" s="155"/>
      <c r="IJ43" s="155"/>
      <c r="IK43" s="155"/>
      <c r="IL43" s="155"/>
      <c r="IM43" s="155"/>
      <c r="IN43" s="155"/>
      <c r="IO43" s="155"/>
      <c r="IP43" s="155"/>
      <c r="IQ43" s="155"/>
      <c r="IR43" s="155"/>
      <c r="IS43" s="155"/>
      <c r="IT43" s="155"/>
      <c r="IU43" s="155"/>
      <c r="IV43" s="155"/>
      <c r="IW43" s="155"/>
      <c r="IX43" s="155"/>
      <c r="IY43" s="155"/>
      <c r="IZ43" s="155"/>
      <c r="JA43" s="155"/>
      <c r="JB43" s="155"/>
      <c r="JC43" s="155"/>
      <c r="JD43" s="155"/>
      <c r="JE43" s="155"/>
      <c r="JF43" s="155"/>
      <c r="JG43" s="155"/>
      <c r="JH43" s="155"/>
      <c r="JI43" s="155"/>
      <c r="JJ43" s="155"/>
      <c r="JK43" s="155"/>
      <c r="JL43" s="155"/>
      <c r="JM43" s="155"/>
      <c r="JN43" s="155"/>
      <c r="JO43" s="155"/>
      <c r="JP43" s="155"/>
      <c r="JQ43" s="155"/>
      <c r="JR43" s="155"/>
      <c r="JS43" s="155"/>
      <c r="JT43" s="155"/>
      <c r="JU43" s="155"/>
      <c r="JV43" s="155"/>
      <c r="JW43" s="155"/>
      <c r="JX43" s="155"/>
      <c r="JY43" s="155"/>
      <c r="JZ43" s="155"/>
      <c r="KA43" s="155"/>
      <c r="KB43" s="155"/>
      <c r="KC43" s="155"/>
      <c r="KD43" s="155"/>
      <c r="KE43" s="155"/>
      <c r="KF43" s="155"/>
      <c r="KG43" s="155"/>
      <c r="KH43" s="155"/>
      <c r="KI43" s="155"/>
      <c r="KJ43" s="155"/>
      <c r="KK43" s="155"/>
      <c r="KL43" s="155"/>
      <c r="KM43" s="155"/>
      <c r="KN43" s="155"/>
      <c r="KO43" s="155"/>
      <c r="KP43" s="155"/>
      <c r="KQ43" s="155"/>
      <c r="KR43" s="155"/>
      <c r="KS43" s="155"/>
      <c r="KT43" s="155"/>
      <c r="KU43" s="155"/>
      <c r="KV43" s="155"/>
      <c r="KW43" s="155"/>
      <c r="KX43" s="155"/>
      <c r="KY43" s="155"/>
      <c r="KZ43" s="155"/>
      <c r="LA43" s="155"/>
      <c r="LB43" s="155"/>
      <c r="LC43" s="155"/>
      <c r="LD43" s="155"/>
      <c r="LE43" s="155"/>
      <c r="LF43" s="155"/>
      <c r="LG43" s="155"/>
      <c r="LH43" s="155"/>
      <c r="LI43" s="155"/>
      <c r="LJ43" s="155"/>
      <c r="LK43" s="155"/>
      <c r="LL43" s="155"/>
      <c r="LM43" s="155"/>
      <c r="LN43" s="155"/>
      <c r="LO43" s="155"/>
      <c r="LP43" s="155"/>
      <c r="LQ43" s="155"/>
      <c r="LR43" s="155"/>
      <c r="LS43" s="155"/>
      <c r="LT43" s="155"/>
      <c r="LU43" s="155"/>
      <c r="LV43" s="155"/>
      <c r="LW43" s="155"/>
      <c r="LX43" s="155"/>
      <c r="LY43" s="155"/>
      <c r="LZ43" s="155"/>
      <c r="MA43" s="155"/>
      <c r="MB43" s="155"/>
      <c r="MC43" s="155"/>
      <c r="MD43" s="155"/>
      <c r="ME43" s="155"/>
      <c r="MF43" s="155"/>
      <c r="MG43" s="155"/>
      <c r="MH43" s="155"/>
      <c r="MI43" s="155"/>
      <c r="MJ43" s="155"/>
      <c r="MK43" s="155"/>
      <c r="ML43" s="155"/>
      <c r="MM43" s="155"/>
      <c r="MN43" s="155"/>
      <c r="MO43" s="155"/>
      <c r="MP43" s="155"/>
      <c r="MQ43" s="155"/>
      <c r="MR43" s="155"/>
      <c r="MS43" s="155"/>
      <c r="MT43" s="155"/>
      <c r="MU43" s="155"/>
      <c r="MV43" s="155"/>
      <c r="MW43" s="155"/>
      <c r="MX43" s="155"/>
      <c r="MY43" s="155"/>
      <c r="MZ43" s="155"/>
      <c r="NA43" s="155"/>
      <c r="NB43" s="155"/>
      <c r="NC43" s="155"/>
      <c r="ND43" s="155"/>
      <c r="NE43" s="155"/>
      <c r="NF43" s="155"/>
      <c r="NG43" s="155"/>
      <c r="NH43" s="155"/>
      <c r="NI43" s="155"/>
      <c r="NJ43" s="155"/>
      <c r="NK43" s="155"/>
      <c r="NL43" s="155"/>
      <c r="NM43" s="155"/>
      <c r="NN43" s="155"/>
      <c r="NO43" s="155"/>
      <c r="NP43" s="155"/>
      <c r="NQ43" s="155"/>
      <c r="NR43" s="155"/>
      <c r="NS43" s="155"/>
      <c r="NT43" s="155"/>
      <c r="NU43" s="155"/>
      <c r="NV43" s="155"/>
      <c r="NW43" s="155"/>
      <c r="NX43" s="155"/>
      <c r="NY43" s="155"/>
      <c r="NZ43" s="155"/>
      <c r="OA43" s="155"/>
      <c r="OB43" s="155"/>
      <c r="OC43" s="155"/>
      <c r="OD43" s="155"/>
      <c r="OE43" s="155"/>
      <c r="OF43" s="155"/>
      <c r="OG43" s="155"/>
      <c r="OH43" s="155"/>
      <c r="OI43" s="155"/>
      <c r="OJ43" s="155"/>
      <c r="OK43" s="155"/>
      <c r="OL43" s="155"/>
      <c r="OM43" s="155"/>
      <c r="ON43" s="155"/>
      <c r="OO43" s="155"/>
      <c r="OP43" s="155"/>
      <c r="OQ43" s="155"/>
      <c r="OR43" s="155"/>
      <c r="OS43" s="155"/>
      <c r="OT43" s="155"/>
      <c r="OU43" s="155"/>
      <c r="OV43" s="155"/>
      <c r="OW43" s="155"/>
      <c r="OX43" s="155"/>
      <c r="OY43" s="155"/>
      <c r="OZ43" s="155"/>
      <c r="PA43" s="155"/>
      <c r="PB43" s="155"/>
      <c r="PC43" s="155"/>
      <c r="PD43" s="155"/>
      <c r="PE43" s="155"/>
      <c r="PF43" s="155"/>
      <c r="PG43" s="155"/>
      <c r="PH43" s="155"/>
      <c r="PI43" s="155"/>
    </row>
    <row r="44" spans="1:425" s="102" customFormat="1">
      <c r="A44" s="134"/>
      <c r="B44" s="149" t="s">
        <v>401</v>
      </c>
      <c r="C44" s="149"/>
      <c r="D44" s="149"/>
      <c r="E44" s="150"/>
      <c r="F44" s="151"/>
      <c r="G44" s="152"/>
      <c r="H44" s="153">
        <f>SUM(H42:H43)</f>
        <v>811491</v>
      </c>
      <c r="I44" s="153">
        <f t="shared" ref="I44:O44" si="23">SUM(I42:I43)</f>
        <v>614679.6</v>
      </c>
      <c r="J44" s="153">
        <f t="shared" si="23"/>
        <v>194915</v>
      </c>
      <c r="K44" s="153">
        <f t="shared" si="23"/>
        <v>0</v>
      </c>
      <c r="L44" s="153">
        <f t="shared" si="23"/>
        <v>194915</v>
      </c>
      <c r="M44" s="153">
        <f t="shared" si="23"/>
        <v>0</v>
      </c>
      <c r="N44" s="153">
        <f t="shared" si="23"/>
        <v>904977.1</v>
      </c>
      <c r="O44" s="153">
        <f t="shared" si="23"/>
        <v>809594.6</v>
      </c>
      <c r="P44" s="153">
        <f>SUM(P42:P43)</f>
        <v>0</v>
      </c>
      <c r="Q44" s="153">
        <f>SUM(Q42:Q43)</f>
        <v>846010.18977283337</v>
      </c>
      <c r="R44" s="153">
        <f>SUM(R42:R43)</f>
        <v>756842.66616808437</v>
      </c>
      <c r="S44" s="153">
        <f>SUM(S42:S43)</f>
        <v>605894.61556578579</v>
      </c>
      <c r="T44" s="153">
        <f>SUM(T42:T43)</f>
        <v>0</v>
      </c>
      <c r="U44" s="168">
        <f>S44/Q44</f>
        <v>0.7161788627256106</v>
      </c>
      <c r="V44" s="168">
        <f>((S44*1.1)+(T44))/R44</f>
        <v>0.88061113216144649</v>
      </c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</row>
    <row r="45" spans="1:425" s="102" customFormat="1">
      <c r="A45" s="134"/>
      <c r="B45" s="130" t="s">
        <v>402</v>
      </c>
      <c r="C45" s="174" t="s">
        <v>403</v>
      </c>
      <c r="D45" s="174"/>
      <c r="E45" s="169">
        <f>F45*(H45/$H$70)</f>
        <v>0.67103271371260953</v>
      </c>
      <c r="F45" s="144">
        <f>'Residential Lighting {E}'!A$16</f>
        <v>11.290984535743851</v>
      </c>
      <c r="G45" s="160" t="s">
        <v>404</v>
      </c>
      <c r="H45" s="258">
        <f>'NEEA {E}'!A10</f>
        <v>22951200</v>
      </c>
      <c r="I45" s="259">
        <f>'NEEA {E}'!A$8</f>
        <v>2505724.3800000008</v>
      </c>
      <c r="J45" s="259">
        <f>'NEEA {E}'!A$12</f>
        <v>0</v>
      </c>
      <c r="K45" s="259">
        <f>'NEEA {E}'!A$14</f>
        <v>0</v>
      </c>
      <c r="L45" s="259">
        <f>SUM('NEEA {E}'!Q$5:Q$1000)</f>
        <v>0</v>
      </c>
      <c r="M45" s="259"/>
      <c r="N45" s="260">
        <f>'NEEA {E}'!A$18</f>
        <v>7940964.6100000013</v>
      </c>
      <c r="O45" s="259">
        <f>SUM(I45:K45)</f>
        <v>2505724.3800000008</v>
      </c>
      <c r="P45" s="259">
        <f>SUM('NEEA {E}'!R$5:R$1000)</f>
        <v>0</v>
      </c>
      <c r="Q45" s="261">
        <f>N45/(1+ElecDiscountRate)^1</f>
        <v>7423543.6197064603</v>
      </c>
      <c r="R45" s="261">
        <f>O45/(1+ElecDiscountRate)^1</f>
        <v>2342455.2491352721</v>
      </c>
      <c r="S45" s="259">
        <f>SUM('NEEA {E}'!AM$5:AM$1000)</f>
        <v>8218186.3273372184</v>
      </c>
      <c r="T45" s="259">
        <f>SUM('NEEA {E}'!AD$5:AD$1000)</f>
        <v>0</v>
      </c>
      <c r="U45" s="133">
        <f>IFERROR(S45/Q45,0)</f>
        <v>1.1070435830027736</v>
      </c>
      <c r="V45" s="133">
        <f>IFERROR(((S45*1.1)+(T45))/R45,0)</f>
        <v>3.8592007097715526</v>
      </c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425" s="176" customFormat="1">
      <c r="A46" s="102"/>
      <c r="B46" s="130" t="s">
        <v>96</v>
      </c>
      <c r="C46" s="175" t="s">
        <v>405</v>
      </c>
      <c r="D46" s="175"/>
      <c r="E46" s="169">
        <f>F46*(H46/$H$70)</f>
        <v>0.10607603278990034</v>
      </c>
      <c r="F46" s="144">
        <f>'T&amp;D {E}'!A$16</f>
        <v>15.043253471918753</v>
      </c>
      <c r="G46" s="160" t="s">
        <v>404</v>
      </c>
      <c r="H46" s="258">
        <f>'T&amp;D {E}'!A$10</f>
        <v>2723134</v>
      </c>
      <c r="I46" s="259">
        <f>'T&amp;D {E}'!A$8</f>
        <v>0</v>
      </c>
      <c r="J46" s="259">
        <f>'T&amp;D {E}'!A$12</f>
        <v>0</v>
      </c>
      <c r="K46" s="259">
        <f>'T&amp;D {E}'!A$14</f>
        <v>242177</v>
      </c>
      <c r="L46" s="259">
        <f>SUM('T&amp;D {E}'!Q$5:Q$1000)</f>
        <v>242177</v>
      </c>
      <c r="M46" s="259"/>
      <c r="N46" s="260">
        <f>'T&amp;D {E}'!A$18</f>
        <v>0</v>
      </c>
      <c r="O46" s="259">
        <f>SUM(I46:K46)</f>
        <v>242177</v>
      </c>
      <c r="P46" s="259">
        <f>SUM('T&amp;D {E}'!R$5:R$1000)</f>
        <v>0</v>
      </c>
      <c r="Q46" s="261">
        <f>N46/(1+ElecDiscountRate)^1</f>
        <v>0</v>
      </c>
      <c r="R46" s="261">
        <f>O46/(1+ElecDiscountRate)^1</f>
        <v>226397.12068804336</v>
      </c>
      <c r="S46" s="259">
        <f>SUM('T&amp;D {E}'!AM$5:AM$1000)</f>
        <v>2811096.1397170671</v>
      </c>
      <c r="T46" s="259">
        <f>SUM('T&amp;D {E}'!AD$5:AD$1000)</f>
        <v>0</v>
      </c>
      <c r="U46" s="133">
        <f>IFERROR(S46/Q46,0)</f>
        <v>0</v>
      </c>
      <c r="V46" s="133">
        <f>IFERROR(((S46*1.1)+(T46))/R46,0)</f>
        <v>13.658326326285659</v>
      </c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</row>
    <row r="47" spans="1:425" s="176" customFormat="1">
      <c r="A47" s="102"/>
      <c r="B47" s="172" t="s">
        <v>173</v>
      </c>
      <c r="C47" s="175" t="s">
        <v>406</v>
      </c>
      <c r="D47" s="175"/>
      <c r="E47" s="169"/>
      <c r="F47" s="144" t="e">
        <f>'TDSM {E}'!A$16</f>
        <v>#DIV/0!</v>
      </c>
      <c r="G47" s="160" t="s">
        <v>404</v>
      </c>
      <c r="H47" s="258">
        <f>'TDSM {E}'!A$10</f>
        <v>0</v>
      </c>
      <c r="I47" s="259">
        <f>'TDSM {E}'!A$8</f>
        <v>25615.18</v>
      </c>
      <c r="J47" s="259">
        <f>'TDSM {E}'!A$12</f>
        <v>0</v>
      </c>
      <c r="K47" s="259">
        <v>0</v>
      </c>
      <c r="L47" s="259">
        <v>0</v>
      </c>
      <c r="M47" s="259"/>
      <c r="N47" s="260">
        <f>'TDSM {E}'!A$18</f>
        <v>25615.18</v>
      </c>
      <c r="O47" s="259">
        <f>SUM(I47:K47)</f>
        <v>25615.18</v>
      </c>
      <c r="P47" s="259">
        <v>0</v>
      </c>
      <c r="Q47" s="266">
        <v>0</v>
      </c>
      <c r="R47" s="261">
        <f>O47/(1+ElecDiscountRate)^1</f>
        <v>23946.134430214075</v>
      </c>
      <c r="S47" s="259">
        <f>SUM('TDSM {E}'!AM$5:AM$1000)</f>
        <v>0</v>
      </c>
      <c r="T47" s="259">
        <v>0</v>
      </c>
      <c r="U47" s="133">
        <f>IFERROR(S47/Q47,0)</f>
        <v>0</v>
      </c>
      <c r="V47" s="133">
        <f>IFERROR(((S47*1.1)+(T47))/R47,0)</f>
        <v>0</v>
      </c>
      <c r="W47" s="106"/>
      <c r="X47" s="106">
        <v>18230134</v>
      </c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</row>
    <row r="48" spans="1:425" s="102" customFormat="1">
      <c r="B48" s="177" t="s">
        <v>407</v>
      </c>
      <c r="C48" s="177"/>
      <c r="D48" s="177"/>
      <c r="E48" s="177"/>
      <c r="F48" s="178"/>
      <c r="G48" s="179"/>
      <c r="H48" s="180">
        <f>SUM(H45:H47)</f>
        <v>25674334</v>
      </c>
      <c r="I48" s="180">
        <f>SUM(I45:I47)</f>
        <v>2531339.560000001</v>
      </c>
      <c r="J48" s="180">
        <f t="shared" ref="J48:T48" si="24">SUM(J45:J47)</f>
        <v>0</v>
      </c>
      <c r="K48" s="180">
        <f t="shared" si="24"/>
        <v>242177</v>
      </c>
      <c r="L48" s="180">
        <f t="shared" si="24"/>
        <v>242177</v>
      </c>
      <c r="M48" s="180">
        <f t="shared" si="24"/>
        <v>0</v>
      </c>
      <c r="N48" s="180">
        <f t="shared" si="24"/>
        <v>7966579.790000001</v>
      </c>
      <c r="O48" s="180">
        <f t="shared" si="24"/>
        <v>2773516.560000001</v>
      </c>
      <c r="P48" s="180">
        <f>SUM(P45:P47)</f>
        <v>0</v>
      </c>
      <c r="Q48" s="180">
        <f t="shared" si="24"/>
        <v>7423543.6197064603</v>
      </c>
      <c r="R48" s="180">
        <f t="shared" si="24"/>
        <v>2592798.5042535299</v>
      </c>
      <c r="S48" s="180">
        <f t="shared" si="24"/>
        <v>11029282.467054285</v>
      </c>
      <c r="T48" s="180">
        <f t="shared" si="24"/>
        <v>0</v>
      </c>
      <c r="U48" s="181">
        <f>S48/Q48</f>
        <v>1.4857166647173823</v>
      </c>
      <c r="V48" s="181">
        <f>((S48*1.1)+(T48))/R48</f>
        <v>4.6791953535365813</v>
      </c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425" s="102" customFormat="1">
      <c r="B49" s="182"/>
      <c r="C49" s="183" t="s">
        <v>408</v>
      </c>
      <c r="D49" s="183"/>
      <c r="E49" s="184"/>
      <c r="F49" s="184"/>
      <c r="G49" s="185"/>
      <c r="H49" s="241"/>
      <c r="I49" s="242"/>
      <c r="J49" s="243"/>
      <c r="K49" s="186"/>
      <c r="L49" s="186"/>
      <c r="M49" s="186"/>
      <c r="N49" s="187"/>
      <c r="O49" s="187"/>
      <c r="P49" s="187"/>
      <c r="Q49" s="187"/>
      <c r="R49" s="187"/>
      <c r="S49" s="188"/>
      <c r="T49" s="189"/>
      <c r="U49" s="190"/>
      <c r="V49" s="190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425" s="102" customFormat="1">
      <c r="B50" s="191"/>
      <c r="C50" s="192" t="s">
        <v>409</v>
      </c>
      <c r="D50" s="191">
        <v>18230745</v>
      </c>
      <c r="E50" s="191"/>
      <c r="F50" s="191"/>
      <c r="G50" s="193"/>
      <c r="H50" s="191"/>
      <c r="I50" s="194">
        <f>SUMIF('Program Costs'!D:D,D50,'Program Costs'!N:N)</f>
        <v>1991317.5299999998</v>
      </c>
      <c r="J50" s="194"/>
      <c r="K50" s="191"/>
      <c r="L50" s="191"/>
      <c r="M50" s="191"/>
      <c r="N50" s="194">
        <f>I50</f>
        <v>1991317.5299999998</v>
      </c>
      <c r="O50" s="194">
        <f>I50</f>
        <v>1991317.5299999998</v>
      </c>
      <c r="P50" s="195"/>
      <c r="Q50" s="196">
        <f t="shared" ref="Q50:R52" si="25">N50/(1+ElecDiscountRate)^1</f>
        <v>1861566.3550528181</v>
      </c>
      <c r="R50" s="196">
        <f t="shared" si="25"/>
        <v>1861566.3550528181</v>
      </c>
      <c r="S50" s="191"/>
      <c r="T50" s="197"/>
      <c r="U50" s="191"/>
      <c r="V50" s="198"/>
      <c r="W50" s="106"/>
      <c r="X50" s="106">
        <v>18230745</v>
      </c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425" s="102" customFormat="1">
      <c r="B51" s="191"/>
      <c r="C51" s="199" t="s">
        <v>410</v>
      </c>
      <c r="D51" s="200">
        <v>18230507</v>
      </c>
      <c r="E51" s="201"/>
      <c r="F51" s="201"/>
      <c r="G51" s="202"/>
      <c r="H51" s="203"/>
      <c r="I51" s="194">
        <f>SUMIF('Program Costs'!D:D,D51,'Program Costs'!N:N)</f>
        <v>1156693.92</v>
      </c>
      <c r="J51" s="194"/>
      <c r="K51" s="204"/>
      <c r="L51" s="204"/>
      <c r="M51" s="204"/>
      <c r="N51" s="194">
        <f t="shared" ref="N51:N61" si="26">I51</f>
        <v>1156693.92</v>
      </c>
      <c r="O51" s="194">
        <f t="shared" ref="O51:O61" si="27">I51</f>
        <v>1156693.92</v>
      </c>
      <c r="P51" s="205"/>
      <c r="Q51" s="196">
        <f t="shared" si="25"/>
        <v>1081325.5305225763</v>
      </c>
      <c r="R51" s="196">
        <f t="shared" si="25"/>
        <v>1081325.5305225763</v>
      </c>
      <c r="S51" s="206"/>
      <c r="T51" s="206"/>
      <c r="U51" s="207"/>
      <c r="V51" s="207"/>
      <c r="W51" s="106"/>
      <c r="X51" s="106">
        <v>18230507</v>
      </c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</row>
    <row r="52" spans="1:425" s="102" customFormat="1">
      <c r="B52" s="191"/>
      <c r="C52" s="208" t="s">
        <v>411</v>
      </c>
      <c r="D52" s="209">
        <v>18230418</v>
      </c>
      <c r="E52" s="201"/>
      <c r="F52" s="201"/>
      <c r="G52" s="202"/>
      <c r="H52" s="203"/>
      <c r="I52" s="194">
        <f>SUMIF('Program Costs'!D:D,D52,'Program Costs'!N:N)</f>
        <v>1106899.18</v>
      </c>
      <c r="J52" s="194"/>
      <c r="K52" s="204"/>
      <c r="L52" s="204"/>
      <c r="M52" s="204"/>
      <c r="N52" s="194">
        <f t="shared" si="26"/>
        <v>1106899.18</v>
      </c>
      <c r="O52" s="194">
        <f t="shared" si="27"/>
        <v>1106899.18</v>
      </c>
      <c r="P52" s="196"/>
      <c r="Q52" s="196">
        <f t="shared" si="25"/>
        <v>1034775.3388800597</v>
      </c>
      <c r="R52" s="196">
        <f t="shared" si="25"/>
        <v>1034775.3388800597</v>
      </c>
      <c r="S52" s="206"/>
      <c r="T52" s="206"/>
      <c r="U52" s="207"/>
      <c r="V52" s="207"/>
      <c r="W52" s="106"/>
      <c r="X52" s="106">
        <v>18230418</v>
      </c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</row>
    <row r="53" spans="1:425" s="102" customFormat="1">
      <c r="B53" s="191"/>
      <c r="C53" s="192" t="s">
        <v>412</v>
      </c>
      <c r="D53" s="191">
        <v>18230810</v>
      </c>
      <c r="E53" s="191"/>
      <c r="F53" s="191"/>
      <c r="G53" s="191"/>
      <c r="H53" s="191"/>
      <c r="I53" s="194">
        <f>SUMIF('Program Costs'!D:D,D53,'Program Costs'!N:N)</f>
        <v>1158611.7400000002</v>
      </c>
      <c r="J53" s="194"/>
      <c r="K53" s="191"/>
      <c r="L53" s="191"/>
      <c r="M53" s="191"/>
      <c r="N53" s="194">
        <f t="shared" si="26"/>
        <v>1158611.7400000002</v>
      </c>
      <c r="O53" s="194">
        <f t="shared" si="27"/>
        <v>1158611.7400000002</v>
      </c>
      <c r="P53" s="195"/>
      <c r="Q53" s="196">
        <f t="shared" ref="Q53:R55" si="28">N53/(1+ElecDiscountRate)^1</f>
        <v>1083118.3883331777</v>
      </c>
      <c r="R53" s="196">
        <f t="shared" si="28"/>
        <v>1083118.3883331777</v>
      </c>
      <c r="S53" s="191"/>
      <c r="T53" s="197"/>
      <c r="U53" s="191"/>
      <c r="V53" s="198"/>
      <c r="W53" s="106"/>
      <c r="X53" s="106">
        <v>18230810</v>
      </c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</row>
    <row r="54" spans="1:425" s="214" customFormat="1">
      <c r="A54" s="210"/>
      <c r="B54" s="191"/>
      <c r="C54" s="211" t="s">
        <v>413</v>
      </c>
      <c r="D54" s="212">
        <v>18230730</v>
      </c>
      <c r="E54" s="191"/>
      <c r="F54" s="191"/>
      <c r="G54" s="191"/>
      <c r="H54" s="191"/>
      <c r="I54" s="194">
        <f>SUMIF('Program Costs'!D:D,D54,'Program Costs'!N:N)</f>
        <v>322126.34000000003</v>
      </c>
      <c r="J54" s="194"/>
      <c r="K54" s="191"/>
      <c r="L54" s="191"/>
      <c r="M54" s="191"/>
      <c r="N54" s="194">
        <f t="shared" si="26"/>
        <v>322126.34000000003</v>
      </c>
      <c r="O54" s="194">
        <f t="shared" si="27"/>
        <v>322126.34000000003</v>
      </c>
      <c r="P54" s="195"/>
      <c r="Q54" s="196">
        <f t="shared" si="28"/>
        <v>301137.08516406472</v>
      </c>
      <c r="R54" s="196">
        <f t="shared" si="28"/>
        <v>301137.08516406472</v>
      </c>
      <c r="S54" s="191"/>
      <c r="T54" s="197"/>
      <c r="U54" s="191"/>
      <c r="V54" s="198"/>
      <c r="W54" s="106"/>
      <c r="X54" s="106">
        <v>18230730</v>
      </c>
      <c r="Y54" s="106"/>
      <c r="Z54" s="106"/>
      <c r="AA54" s="106"/>
      <c r="AB54" s="106"/>
      <c r="AC54" s="106"/>
      <c r="AD54" s="213"/>
      <c r="AE54" s="213"/>
      <c r="AF54" s="213"/>
      <c r="AG54" s="213"/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  <c r="BI54" s="213"/>
      <c r="BJ54" s="213"/>
      <c r="BK54" s="213"/>
      <c r="BL54" s="213"/>
      <c r="BM54" s="213"/>
      <c r="BN54" s="213"/>
      <c r="BO54" s="213"/>
      <c r="BP54" s="213"/>
      <c r="BQ54" s="213"/>
      <c r="BR54" s="213"/>
      <c r="BS54" s="213"/>
      <c r="BT54" s="213"/>
      <c r="BU54" s="213"/>
      <c r="BV54" s="213"/>
      <c r="BW54" s="213"/>
      <c r="BX54" s="213"/>
      <c r="BY54" s="213"/>
      <c r="BZ54" s="213"/>
      <c r="CA54" s="213"/>
      <c r="CB54" s="213"/>
      <c r="CC54" s="213"/>
      <c r="CD54" s="213"/>
      <c r="CE54" s="213"/>
      <c r="CF54" s="213"/>
      <c r="CG54" s="213"/>
      <c r="CH54" s="213"/>
      <c r="CI54" s="213"/>
      <c r="CJ54" s="213"/>
      <c r="CK54" s="213"/>
      <c r="CL54" s="213"/>
      <c r="CM54" s="213"/>
      <c r="CN54" s="213"/>
      <c r="CO54" s="213"/>
      <c r="CP54" s="213"/>
      <c r="CQ54" s="213"/>
      <c r="CR54" s="213"/>
      <c r="CS54" s="213"/>
      <c r="CT54" s="213"/>
      <c r="CU54" s="213"/>
      <c r="CV54" s="213"/>
      <c r="CW54" s="213"/>
      <c r="CX54" s="213"/>
      <c r="CY54" s="213"/>
      <c r="CZ54" s="213"/>
      <c r="DA54" s="213"/>
      <c r="DB54" s="213"/>
      <c r="DC54" s="213"/>
      <c r="DD54" s="213"/>
      <c r="DE54" s="213"/>
      <c r="DF54" s="213"/>
      <c r="DG54" s="213"/>
      <c r="DH54" s="213"/>
      <c r="DI54" s="213"/>
      <c r="DJ54" s="213"/>
      <c r="DK54" s="213"/>
      <c r="DL54" s="213"/>
      <c r="DM54" s="213"/>
      <c r="DN54" s="213"/>
      <c r="DO54" s="213"/>
      <c r="DP54" s="213"/>
      <c r="DQ54" s="213"/>
      <c r="DR54" s="213"/>
      <c r="DS54" s="213"/>
      <c r="DT54" s="213"/>
      <c r="DU54" s="213"/>
      <c r="DV54" s="213"/>
      <c r="DW54" s="213"/>
      <c r="DX54" s="213"/>
      <c r="DY54" s="213"/>
      <c r="DZ54" s="213"/>
      <c r="EA54" s="213"/>
      <c r="EB54" s="213"/>
      <c r="EC54" s="213"/>
      <c r="ED54" s="213"/>
      <c r="EE54" s="213"/>
      <c r="EF54" s="213"/>
      <c r="EG54" s="213"/>
      <c r="EH54" s="213"/>
      <c r="EI54" s="213"/>
      <c r="EJ54" s="213"/>
      <c r="EK54" s="213"/>
      <c r="EL54" s="213"/>
      <c r="EM54" s="213"/>
      <c r="EN54" s="213"/>
      <c r="EO54" s="213"/>
      <c r="EP54" s="213"/>
      <c r="EQ54" s="213"/>
      <c r="ER54" s="213"/>
      <c r="ES54" s="213"/>
      <c r="ET54" s="213"/>
      <c r="EU54" s="213"/>
      <c r="EV54" s="213"/>
      <c r="EW54" s="213"/>
      <c r="EX54" s="213"/>
      <c r="EY54" s="213"/>
      <c r="EZ54" s="213"/>
      <c r="FA54" s="213"/>
      <c r="FB54" s="213"/>
      <c r="FC54" s="213"/>
      <c r="FD54" s="213"/>
      <c r="FE54" s="213"/>
      <c r="FF54" s="213"/>
      <c r="FG54" s="213"/>
      <c r="FH54" s="213"/>
      <c r="FI54" s="213"/>
      <c r="FJ54" s="213"/>
      <c r="FK54" s="213"/>
      <c r="FL54" s="213"/>
      <c r="FM54" s="213"/>
      <c r="FN54" s="213"/>
      <c r="FO54" s="213"/>
      <c r="FP54" s="213"/>
      <c r="FQ54" s="213"/>
      <c r="FR54" s="213"/>
      <c r="FS54" s="213"/>
      <c r="FT54" s="213"/>
      <c r="FU54" s="213"/>
      <c r="FV54" s="213"/>
      <c r="FW54" s="213"/>
      <c r="FX54" s="213"/>
      <c r="FY54" s="213"/>
      <c r="FZ54" s="213"/>
      <c r="GA54" s="213"/>
      <c r="GB54" s="213"/>
      <c r="GC54" s="213"/>
      <c r="GD54" s="213"/>
      <c r="GE54" s="213"/>
      <c r="GF54" s="213"/>
      <c r="GG54" s="213"/>
      <c r="GH54" s="213"/>
      <c r="GI54" s="213"/>
      <c r="GJ54" s="213"/>
      <c r="GK54" s="213"/>
      <c r="GL54" s="213"/>
      <c r="GM54" s="213"/>
      <c r="GN54" s="213"/>
      <c r="GO54" s="213"/>
      <c r="GP54" s="213"/>
      <c r="GQ54" s="213"/>
      <c r="GR54" s="213"/>
      <c r="GS54" s="213"/>
      <c r="GT54" s="213"/>
      <c r="GU54" s="213"/>
      <c r="GV54" s="213"/>
      <c r="GW54" s="213"/>
      <c r="GX54" s="213"/>
      <c r="GY54" s="213"/>
      <c r="GZ54" s="213"/>
      <c r="HA54" s="213"/>
      <c r="HB54" s="213"/>
      <c r="HC54" s="213"/>
      <c r="HD54" s="213"/>
      <c r="HE54" s="213"/>
      <c r="HF54" s="213"/>
      <c r="HG54" s="213"/>
      <c r="HH54" s="213"/>
      <c r="HI54" s="213"/>
      <c r="HJ54" s="213"/>
      <c r="HK54" s="213"/>
      <c r="HL54" s="213"/>
      <c r="HM54" s="213"/>
      <c r="HN54" s="213"/>
      <c r="HO54" s="213"/>
      <c r="HP54" s="213"/>
      <c r="HQ54" s="213"/>
      <c r="HR54" s="213"/>
      <c r="HS54" s="213"/>
      <c r="HT54" s="213"/>
      <c r="HU54" s="213"/>
      <c r="HV54" s="213"/>
      <c r="HW54" s="213"/>
      <c r="HX54" s="213"/>
      <c r="HY54" s="213"/>
      <c r="HZ54" s="213"/>
      <c r="IA54" s="213"/>
      <c r="IB54" s="213"/>
      <c r="IC54" s="213"/>
      <c r="ID54" s="213"/>
      <c r="IE54" s="213"/>
      <c r="IF54" s="213"/>
      <c r="IG54" s="213"/>
      <c r="IH54" s="213"/>
      <c r="II54" s="213"/>
      <c r="IJ54" s="213"/>
      <c r="IK54" s="213"/>
      <c r="IL54" s="213"/>
      <c r="IM54" s="213"/>
      <c r="IN54" s="213"/>
      <c r="IO54" s="213"/>
      <c r="IP54" s="213"/>
      <c r="IQ54" s="213"/>
      <c r="IR54" s="213"/>
      <c r="IS54" s="213"/>
      <c r="IT54" s="213"/>
      <c r="IU54" s="213"/>
      <c r="IV54" s="213"/>
      <c r="IW54" s="213"/>
      <c r="IX54" s="213"/>
      <c r="IY54" s="213"/>
      <c r="IZ54" s="213"/>
      <c r="JA54" s="213"/>
      <c r="JB54" s="213"/>
      <c r="JC54" s="213"/>
      <c r="JD54" s="213"/>
      <c r="JE54" s="213"/>
      <c r="JF54" s="213"/>
      <c r="JG54" s="213"/>
      <c r="JH54" s="213"/>
      <c r="JI54" s="213"/>
      <c r="JJ54" s="213"/>
      <c r="JK54" s="213"/>
      <c r="JL54" s="213"/>
      <c r="JM54" s="213"/>
      <c r="JN54" s="213"/>
      <c r="JO54" s="213"/>
      <c r="JP54" s="213"/>
      <c r="JQ54" s="213"/>
      <c r="JR54" s="213"/>
      <c r="JS54" s="213"/>
      <c r="JT54" s="213"/>
      <c r="JU54" s="213"/>
      <c r="JV54" s="213"/>
      <c r="JW54" s="213"/>
      <c r="JX54" s="213"/>
      <c r="JY54" s="213"/>
      <c r="JZ54" s="213"/>
      <c r="KA54" s="213"/>
      <c r="KB54" s="213"/>
      <c r="KC54" s="213"/>
      <c r="KD54" s="213"/>
      <c r="KE54" s="213"/>
      <c r="KF54" s="213"/>
      <c r="KG54" s="213"/>
      <c r="KH54" s="213"/>
      <c r="KI54" s="213"/>
      <c r="KJ54" s="213"/>
      <c r="KK54" s="213"/>
      <c r="KL54" s="213"/>
      <c r="KM54" s="213"/>
      <c r="KN54" s="213"/>
      <c r="KO54" s="213"/>
      <c r="KP54" s="213"/>
      <c r="KQ54" s="213"/>
      <c r="KR54" s="213"/>
      <c r="KS54" s="213"/>
      <c r="KT54" s="213"/>
      <c r="KU54" s="213"/>
      <c r="KV54" s="213"/>
      <c r="KW54" s="213"/>
      <c r="KX54" s="213"/>
      <c r="KY54" s="213"/>
      <c r="KZ54" s="213"/>
      <c r="LA54" s="213"/>
      <c r="LB54" s="213"/>
      <c r="LC54" s="213"/>
      <c r="LD54" s="213"/>
      <c r="LE54" s="213"/>
      <c r="LF54" s="213"/>
      <c r="LG54" s="213"/>
      <c r="LH54" s="213"/>
      <c r="LI54" s="213"/>
      <c r="LJ54" s="213"/>
      <c r="LK54" s="213"/>
      <c r="LL54" s="213"/>
      <c r="LM54" s="213"/>
      <c r="LN54" s="213"/>
      <c r="LO54" s="213"/>
      <c r="LP54" s="213"/>
      <c r="LQ54" s="213"/>
      <c r="LR54" s="213"/>
      <c r="LS54" s="213"/>
      <c r="LT54" s="213"/>
      <c r="LU54" s="213"/>
      <c r="LV54" s="213"/>
      <c r="LW54" s="213"/>
      <c r="LX54" s="213"/>
      <c r="LY54" s="213"/>
      <c r="LZ54" s="213"/>
      <c r="MA54" s="213"/>
      <c r="MB54" s="213"/>
      <c r="MC54" s="213"/>
      <c r="MD54" s="213"/>
      <c r="ME54" s="213"/>
      <c r="MF54" s="213"/>
      <c r="MG54" s="213"/>
      <c r="MH54" s="213"/>
      <c r="MI54" s="213"/>
      <c r="MJ54" s="213"/>
      <c r="MK54" s="213"/>
      <c r="ML54" s="213"/>
      <c r="MM54" s="213"/>
      <c r="MN54" s="213"/>
      <c r="MO54" s="213"/>
      <c r="MP54" s="213"/>
      <c r="MQ54" s="213"/>
      <c r="MR54" s="213"/>
      <c r="MS54" s="213"/>
      <c r="MT54" s="213"/>
      <c r="MU54" s="213"/>
      <c r="MV54" s="213"/>
      <c r="MW54" s="213"/>
      <c r="MX54" s="213"/>
      <c r="MY54" s="213"/>
      <c r="MZ54" s="213"/>
      <c r="NA54" s="213"/>
      <c r="NB54" s="213"/>
      <c r="NC54" s="213"/>
      <c r="ND54" s="213"/>
      <c r="NE54" s="213"/>
      <c r="NF54" s="213"/>
      <c r="NG54" s="213"/>
      <c r="NH54" s="213"/>
      <c r="NI54" s="213"/>
      <c r="NJ54" s="213"/>
      <c r="NK54" s="213"/>
      <c r="NL54" s="213"/>
      <c r="NM54" s="213"/>
      <c r="NN54" s="213"/>
      <c r="NO54" s="213"/>
      <c r="NP54" s="213"/>
      <c r="NQ54" s="213"/>
      <c r="NR54" s="213"/>
      <c r="NS54" s="213"/>
      <c r="NT54" s="213"/>
      <c r="NU54" s="213"/>
      <c r="NV54" s="213"/>
      <c r="NW54" s="213"/>
      <c r="NX54" s="213"/>
      <c r="NY54" s="213"/>
      <c r="NZ54" s="213"/>
      <c r="OA54" s="213"/>
      <c r="OB54" s="213"/>
      <c r="OC54" s="213"/>
      <c r="OD54" s="213"/>
      <c r="OE54" s="213"/>
      <c r="OF54" s="213"/>
      <c r="OG54" s="213"/>
      <c r="OH54" s="213"/>
      <c r="OI54" s="213"/>
      <c r="OJ54" s="213"/>
      <c r="OK54" s="213"/>
      <c r="OL54" s="213"/>
      <c r="OM54" s="213"/>
      <c r="ON54" s="213"/>
      <c r="OO54" s="213"/>
      <c r="OP54" s="213"/>
      <c r="OQ54" s="213"/>
      <c r="OR54" s="213"/>
      <c r="OS54" s="213"/>
      <c r="OT54" s="213"/>
      <c r="OU54" s="213"/>
      <c r="OV54" s="213"/>
      <c r="OW54" s="213"/>
      <c r="OX54" s="213"/>
      <c r="OY54" s="213"/>
      <c r="OZ54" s="213"/>
      <c r="PA54" s="213"/>
      <c r="PB54" s="213"/>
      <c r="PC54" s="213"/>
      <c r="PD54" s="213"/>
      <c r="PE54" s="213"/>
      <c r="PF54" s="213"/>
      <c r="PG54" s="213"/>
      <c r="PH54" s="213"/>
      <c r="PI54" s="213"/>
    </row>
    <row r="55" spans="1:425" s="102" customFormat="1">
      <c r="B55" s="191"/>
      <c r="C55" s="211" t="s">
        <v>414</v>
      </c>
      <c r="D55" s="212">
        <v>18230746</v>
      </c>
      <c r="E55" s="191"/>
      <c r="F55" s="191"/>
      <c r="G55" s="191"/>
      <c r="H55" s="191"/>
      <c r="I55" s="194">
        <f>SUMIF('Program Costs'!D:D,D55,'Program Costs'!N:N)</f>
        <v>21334.039999999979</v>
      </c>
      <c r="J55" s="194"/>
      <c r="K55" s="191"/>
      <c r="L55" s="191"/>
      <c r="M55" s="191"/>
      <c r="N55" s="194">
        <f t="shared" si="26"/>
        <v>21334.039999999979</v>
      </c>
      <c r="O55" s="194">
        <f t="shared" si="27"/>
        <v>21334.039999999979</v>
      </c>
      <c r="P55" s="195"/>
      <c r="Q55" s="196">
        <f t="shared" si="28"/>
        <v>19943.946901000258</v>
      </c>
      <c r="R55" s="196">
        <f t="shared" si="28"/>
        <v>19943.946901000258</v>
      </c>
      <c r="S55" s="191"/>
      <c r="T55" s="197"/>
      <c r="U55" s="191"/>
      <c r="V55" s="198"/>
      <c r="W55" s="106"/>
      <c r="X55" s="106">
        <v>18230746</v>
      </c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425" s="102" customFormat="1">
      <c r="B56" s="191"/>
      <c r="C56" s="211" t="s">
        <v>415</v>
      </c>
      <c r="D56" s="212">
        <v>18230411</v>
      </c>
      <c r="E56" s="191"/>
      <c r="F56" s="191"/>
      <c r="G56" s="191"/>
      <c r="H56" s="191"/>
      <c r="I56" s="194">
        <f>SUMIF('Program Costs'!D:D,D56,'Program Costs'!N:N)</f>
        <v>1593608.4600000002</v>
      </c>
      <c r="J56" s="194"/>
      <c r="K56" s="191"/>
      <c r="L56" s="191"/>
      <c r="M56" s="191"/>
      <c r="N56" s="194">
        <f t="shared" si="26"/>
        <v>1593608.4600000002</v>
      </c>
      <c r="O56" s="194">
        <f t="shared" si="27"/>
        <v>1593608.4600000002</v>
      </c>
      <c r="P56" s="195"/>
      <c r="Q56" s="196">
        <f t="shared" ref="Q56:Q61" si="29">N56/(1+ElecDiscountRate)^1</f>
        <v>1489771.3938487426</v>
      </c>
      <c r="R56" s="196">
        <f t="shared" ref="R56:R61" si="30">O56/(1+ElecDiscountRate)^1</f>
        <v>1489771.3938487426</v>
      </c>
      <c r="S56" s="191"/>
      <c r="T56" s="197"/>
      <c r="U56" s="191"/>
      <c r="V56" s="198"/>
      <c r="W56" s="106"/>
      <c r="X56" s="106">
        <v>18230411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425" s="102" customFormat="1">
      <c r="B57" s="191"/>
      <c r="C57" s="215" t="s">
        <v>416</v>
      </c>
      <c r="D57" s="216">
        <v>18230610</v>
      </c>
      <c r="E57" s="201"/>
      <c r="F57" s="201"/>
      <c r="G57" s="202"/>
      <c r="H57" s="203"/>
      <c r="I57" s="194">
        <f>SUMIF('Program Costs'!D:D,D57,'Program Costs'!N:N)</f>
        <v>2013309.85</v>
      </c>
      <c r="J57" s="194"/>
      <c r="K57" s="204"/>
      <c r="L57" s="204"/>
      <c r="M57" s="204"/>
      <c r="N57" s="194">
        <f t="shared" si="26"/>
        <v>2013309.85</v>
      </c>
      <c r="O57" s="194">
        <f t="shared" si="27"/>
        <v>2013309.85</v>
      </c>
      <c r="P57" s="196"/>
      <c r="Q57" s="196">
        <f t="shared" si="29"/>
        <v>1882125.6894456388</v>
      </c>
      <c r="R57" s="196">
        <f t="shared" si="30"/>
        <v>1882125.6894456388</v>
      </c>
      <c r="S57" s="206"/>
      <c r="T57" s="206"/>
      <c r="U57" s="207"/>
      <c r="V57" s="207"/>
      <c r="W57" s="106"/>
      <c r="X57" s="106">
        <v>18230610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425" s="102" customFormat="1">
      <c r="A58" s="134"/>
      <c r="B58" s="191"/>
      <c r="C58" s="192" t="s">
        <v>417</v>
      </c>
      <c r="D58" s="191">
        <v>18230811</v>
      </c>
      <c r="E58" s="191"/>
      <c r="F58" s="191"/>
      <c r="G58" s="191"/>
      <c r="H58" s="191"/>
      <c r="I58" s="194">
        <f>SUMIF('Program Costs'!D:D,D58,'Program Costs'!N:N)</f>
        <v>1716538.03</v>
      </c>
      <c r="J58" s="194"/>
      <c r="K58" s="191"/>
      <c r="L58" s="191"/>
      <c r="M58" s="191"/>
      <c r="N58" s="194">
        <f t="shared" si="26"/>
        <v>1716538.03</v>
      </c>
      <c r="O58" s="194">
        <f t="shared" si="27"/>
        <v>1716538.03</v>
      </c>
      <c r="P58" s="195"/>
      <c r="Q58" s="196">
        <f t="shared" si="29"/>
        <v>1604691.0629148358</v>
      </c>
      <c r="R58" s="196">
        <f t="shared" si="30"/>
        <v>1604691.0629148358</v>
      </c>
      <c r="S58" s="191"/>
      <c r="T58" s="197"/>
      <c r="U58" s="191"/>
      <c r="V58" s="198"/>
      <c r="W58" s="106"/>
      <c r="X58" s="106">
        <v>18230811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425" s="102" customFormat="1">
      <c r="B59" s="191"/>
      <c r="C59" s="215" t="s">
        <v>418</v>
      </c>
      <c r="D59" s="217"/>
      <c r="E59" s="201"/>
      <c r="F59" s="201"/>
      <c r="G59" s="202"/>
      <c r="H59" s="203"/>
      <c r="I59" s="194">
        <f>SUMIF('Program Costs'!D:D,X59,'Program Costs'!N:N)+SUMIF('Program Costs'!D:D,Y59,'Program Costs'!N:N)+SUMIF('Program Costs'!D:D,Z59,'Program Costs'!N:N)+SUMIF('Program Costs'!D:D,AA59,'Program Costs'!N:N)</f>
        <v>2437369.54</v>
      </c>
      <c r="J59" s="194"/>
      <c r="K59" s="204"/>
      <c r="L59" s="204"/>
      <c r="M59" s="204"/>
      <c r="N59" s="194">
        <f t="shared" si="26"/>
        <v>2437369.54</v>
      </c>
      <c r="O59" s="194">
        <f t="shared" si="27"/>
        <v>2437369.54</v>
      </c>
      <c r="P59" s="196"/>
      <c r="Q59" s="196">
        <f t="shared" si="29"/>
        <v>2278554.3049453115</v>
      </c>
      <c r="R59" s="196">
        <f t="shared" si="30"/>
        <v>2278554.3049453115</v>
      </c>
      <c r="S59" s="206"/>
      <c r="T59" s="206"/>
      <c r="U59" s="207"/>
      <c r="V59" s="207"/>
      <c r="W59" s="106"/>
      <c r="X59" s="106">
        <v>18230508</v>
      </c>
      <c r="Y59" s="106">
        <v>18230408</v>
      </c>
      <c r="Z59" s="106">
        <v>18230400</v>
      </c>
      <c r="AA59" s="106">
        <v>18230509</v>
      </c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425" s="102" customFormat="1">
      <c r="B60" s="191"/>
      <c r="C60" s="192" t="s">
        <v>419</v>
      </c>
      <c r="D60" s="191">
        <v>18230466</v>
      </c>
      <c r="E60" s="201"/>
      <c r="F60" s="201"/>
      <c r="G60" s="202"/>
      <c r="H60" s="203"/>
      <c r="I60" s="194">
        <f>SUMIF('Program Costs'!D:D,D60,'Program Costs'!N:N)</f>
        <v>2197486.69</v>
      </c>
      <c r="J60" s="194"/>
      <c r="K60" s="218"/>
      <c r="L60" s="218"/>
      <c r="M60" s="218"/>
      <c r="N60" s="194">
        <f t="shared" si="26"/>
        <v>2197486.69</v>
      </c>
      <c r="O60" s="194">
        <f t="shared" si="27"/>
        <v>2197486.69</v>
      </c>
      <c r="P60" s="219"/>
      <c r="Q60" s="196">
        <f t="shared" si="29"/>
        <v>2054301.8509862577</v>
      </c>
      <c r="R60" s="196">
        <f t="shared" si="30"/>
        <v>2054301.8509862577</v>
      </c>
      <c r="S60" s="219"/>
      <c r="T60" s="194"/>
      <c r="U60" s="207"/>
      <c r="V60" s="207"/>
      <c r="W60" s="106"/>
      <c r="X60" s="106">
        <v>18230466</v>
      </c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425" s="102" customFormat="1">
      <c r="B61" s="191"/>
      <c r="C61" s="215" t="s">
        <v>420</v>
      </c>
      <c r="D61" s="216">
        <v>18230487</v>
      </c>
      <c r="E61" s="201"/>
      <c r="F61" s="201"/>
      <c r="G61" s="202"/>
      <c r="H61" s="203"/>
      <c r="I61" s="194">
        <f>SUMIF('Program Costs'!D:D,D61,'Program Costs'!N:N)</f>
        <v>487407.77</v>
      </c>
      <c r="J61" s="194"/>
      <c r="K61" s="204"/>
      <c r="L61" s="204"/>
      <c r="M61" s="204"/>
      <c r="N61" s="194">
        <f t="shared" si="26"/>
        <v>487407.77</v>
      </c>
      <c r="O61" s="194">
        <f t="shared" si="27"/>
        <v>487407.77</v>
      </c>
      <c r="P61" s="196"/>
      <c r="Q61" s="196">
        <f t="shared" si="29"/>
        <v>455649.03243900154</v>
      </c>
      <c r="R61" s="196">
        <f t="shared" si="30"/>
        <v>455649.03243900154</v>
      </c>
      <c r="S61" s="206"/>
      <c r="T61" s="206"/>
      <c r="U61" s="207"/>
      <c r="V61" s="207"/>
      <c r="W61" s="106"/>
      <c r="X61" s="106">
        <v>18230487</v>
      </c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106"/>
      <c r="JT61" s="106"/>
      <c r="JU61" s="106"/>
      <c r="JV61" s="106"/>
      <c r="JW61" s="106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</row>
    <row r="62" spans="1:425" s="102" customFormat="1">
      <c r="B62" s="191"/>
      <c r="C62" s="215" t="s">
        <v>2579</v>
      </c>
      <c r="D62" s="216">
        <v>18230482</v>
      </c>
      <c r="E62" s="201"/>
      <c r="F62" s="201"/>
      <c r="G62" s="202"/>
      <c r="H62" s="203"/>
      <c r="I62" s="194">
        <f>SUMIF('Program Costs'!D:D,D62,'Program Costs'!N:N)</f>
        <v>472.23</v>
      </c>
      <c r="J62" s="194"/>
      <c r="K62" s="204"/>
      <c r="L62" s="204"/>
      <c r="M62" s="204"/>
      <c r="N62" s="194">
        <f t="shared" ref="N62" si="31">I62</f>
        <v>472.23</v>
      </c>
      <c r="O62" s="194">
        <f t="shared" ref="O62" si="32">I62</f>
        <v>472.23</v>
      </c>
      <c r="P62" s="196"/>
      <c r="Q62" s="196">
        <f t="shared" ref="Q62" si="33">N62/(1+ElecDiscountRate)^1</f>
        <v>441.46022249228753</v>
      </c>
      <c r="R62" s="196">
        <f t="shared" ref="R62" si="34">O62/(1+ElecDiscountRate)^1</f>
        <v>441.46022249228753</v>
      </c>
      <c r="S62" s="206"/>
      <c r="T62" s="206"/>
      <c r="U62" s="207"/>
      <c r="V62" s="207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  <c r="JX62" s="106"/>
      <c r="JY62" s="106"/>
      <c r="JZ62" s="106"/>
      <c r="KA62" s="106"/>
      <c r="KB62" s="106"/>
      <c r="KC62" s="106"/>
      <c r="KD62" s="106"/>
      <c r="KE62" s="106"/>
      <c r="KF62" s="106"/>
      <c r="KG62" s="106"/>
      <c r="KH62" s="106"/>
      <c r="KI62" s="106"/>
      <c r="KJ62" s="106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06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</row>
    <row r="63" spans="1:425" s="102" customFormat="1">
      <c r="B63" s="137"/>
      <c r="C63" s="137" t="s">
        <v>421</v>
      </c>
      <c r="D63" s="137"/>
      <c r="E63" s="137"/>
      <c r="F63" s="137"/>
      <c r="G63" s="137"/>
      <c r="H63" s="517">
        <f>SUM(H57:H62)</f>
        <v>0</v>
      </c>
      <c r="I63" s="220">
        <f>SUM(I50:I62)</f>
        <v>16203175.319999998</v>
      </c>
      <c r="J63" s="518">
        <f>SUM(J50:J62)</f>
        <v>0</v>
      </c>
      <c r="K63" s="519">
        <f>SUM(K57:K62)</f>
        <v>0</v>
      </c>
      <c r="L63" s="519">
        <f>SUM(L57:L62)</f>
        <v>0</v>
      </c>
      <c r="M63" s="137">
        <f>SUM(M57:M61)</f>
        <v>0</v>
      </c>
      <c r="N63" s="221">
        <f>SUM(N50:N62)</f>
        <v>16203175.319999998</v>
      </c>
      <c r="O63" s="221">
        <f>SUM(O50:O62)</f>
        <v>16203175.319999998</v>
      </c>
      <c r="P63" s="221">
        <f>SUM(P50:P61)</f>
        <v>0</v>
      </c>
      <c r="Q63" s="221">
        <f>SUM(Q50:Q62)</f>
        <v>15147401.439655973</v>
      </c>
      <c r="R63" s="221">
        <f>SUM(R50:R62)</f>
        <v>15147401.439655973</v>
      </c>
      <c r="S63" s="518">
        <f>SUM(S57:S62)</f>
        <v>0</v>
      </c>
      <c r="T63" s="518">
        <f>SUM(T57:T62)</f>
        <v>0</v>
      </c>
      <c r="U63" s="137"/>
      <c r="V63" s="137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425" s="102" customFormat="1">
      <c r="B64" s="191"/>
      <c r="C64" s="208" t="s">
        <v>422</v>
      </c>
      <c r="D64" s="209">
        <v>18230809</v>
      </c>
      <c r="E64" s="201"/>
      <c r="F64" s="201"/>
      <c r="G64" s="202"/>
      <c r="H64" s="203"/>
      <c r="I64" s="194">
        <f>SUMIF('Program Costs'!D:D,D64,'Program Costs'!N:N)</f>
        <v>558169.54</v>
      </c>
      <c r="J64" s="194"/>
      <c r="K64" s="204"/>
      <c r="L64" s="204"/>
      <c r="M64" s="204"/>
      <c r="N64" s="222">
        <f>I64</f>
        <v>558169.54</v>
      </c>
      <c r="O64" s="222">
        <f>I64</f>
        <v>558169.54</v>
      </c>
      <c r="P64" s="196"/>
      <c r="Q64" s="196">
        <f t="shared" ref="Q64:R69" si="35">N64/(1+ElecDiscountRate)^1</f>
        <v>521800.07478732354</v>
      </c>
      <c r="R64" s="196">
        <f t="shared" si="35"/>
        <v>521800.07478732354</v>
      </c>
      <c r="S64" s="206"/>
      <c r="T64" s="206"/>
      <c r="U64" s="207"/>
      <c r="V64" s="207"/>
      <c r="W64" s="106"/>
      <c r="X64" s="106">
        <v>18230809</v>
      </c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425" s="102" customFormat="1">
      <c r="A65" s="134"/>
      <c r="B65" s="191"/>
      <c r="C65" s="208" t="s">
        <v>423</v>
      </c>
      <c r="D65" s="209">
        <v>18230469</v>
      </c>
      <c r="E65" s="201"/>
      <c r="F65" s="201"/>
      <c r="G65" s="202"/>
      <c r="H65" s="203"/>
      <c r="I65" s="194">
        <f>SUMIF('Program Costs'!D:D,D65,'Program Costs'!N:N)</f>
        <v>494483.25</v>
      </c>
      <c r="J65" s="194"/>
      <c r="K65" s="204"/>
      <c r="L65" s="204"/>
      <c r="M65" s="204"/>
      <c r="N65" s="222">
        <f>I65</f>
        <v>494483.25</v>
      </c>
      <c r="O65" s="222">
        <f>I65</f>
        <v>494483.25</v>
      </c>
      <c r="P65" s="196"/>
      <c r="Q65" s="196">
        <f t="shared" si="35"/>
        <v>462263.48508927732</v>
      </c>
      <c r="R65" s="196">
        <f t="shared" si="35"/>
        <v>462263.48508927732</v>
      </c>
      <c r="S65" s="206"/>
      <c r="T65" s="206"/>
      <c r="U65" s="207"/>
      <c r="V65" s="207"/>
      <c r="W65" s="106"/>
      <c r="X65" s="106">
        <v>18230469</v>
      </c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</row>
    <row r="66" spans="1:425" s="176" customFormat="1">
      <c r="A66" s="102"/>
      <c r="B66" s="191"/>
      <c r="C66" s="208" t="s">
        <v>424</v>
      </c>
      <c r="D66" s="209">
        <v>18230413</v>
      </c>
      <c r="E66" s="201"/>
      <c r="F66" s="201"/>
      <c r="G66" s="202"/>
      <c r="H66" s="203"/>
      <c r="I66" s="194">
        <f>SUMIF('Program Costs'!D:D,D66,'Program Costs'!N:N)</f>
        <v>319791.76</v>
      </c>
      <c r="J66" s="194"/>
      <c r="K66" s="204"/>
      <c r="L66" s="204"/>
      <c r="M66" s="204"/>
      <c r="N66" s="222">
        <f>I66</f>
        <v>319791.76</v>
      </c>
      <c r="O66" s="222">
        <f>I66</f>
        <v>319791.76</v>
      </c>
      <c r="P66" s="196"/>
      <c r="Q66" s="196">
        <f t="shared" si="35"/>
        <v>298954.62279143685</v>
      </c>
      <c r="R66" s="196">
        <f t="shared" si="35"/>
        <v>298954.62279143685</v>
      </c>
      <c r="S66" s="206"/>
      <c r="T66" s="206"/>
      <c r="U66" s="207"/>
      <c r="V66" s="207"/>
      <c r="W66" s="106"/>
      <c r="X66" s="106">
        <v>18230413</v>
      </c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106"/>
      <c r="JI66" s="106"/>
      <c r="JJ66" s="106"/>
      <c r="JK66" s="106"/>
      <c r="JL66" s="106"/>
      <c r="JM66" s="106"/>
      <c r="JN66" s="106"/>
      <c r="JO66" s="106"/>
      <c r="JP66" s="106"/>
      <c r="JQ66" s="106"/>
      <c r="JR66" s="106"/>
      <c r="JS66" s="106"/>
      <c r="JT66" s="106"/>
      <c r="JU66" s="106"/>
      <c r="JV66" s="106"/>
      <c r="JW66" s="106"/>
      <c r="JX66" s="106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/>
    </row>
    <row r="67" spans="1:425" s="224" customFormat="1" ht="14.1" customHeight="1">
      <c r="A67" s="102"/>
      <c r="B67" s="191"/>
      <c r="C67" s="208" t="s">
        <v>425</v>
      </c>
      <c r="D67" s="209">
        <v>18230802</v>
      </c>
      <c r="E67" s="201"/>
      <c r="F67" s="201"/>
      <c r="G67" s="202"/>
      <c r="H67" s="203"/>
      <c r="I67" s="194">
        <f>SUMIF('Program Costs'!D:D,D67,'Program Costs'!N:N)</f>
        <v>3210779.8800000004</v>
      </c>
      <c r="J67" s="194"/>
      <c r="K67" s="204"/>
      <c r="L67" s="204"/>
      <c r="M67" s="204"/>
      <c r="N67" s="222">
        <f>I67</f>
        <v>3210779.8800000004</v>
      </c>
      <c r="O67" s="222">
        <f>I67</f>
        <v>3210779.8800000004</v>
      </c>
      <c r="P67" s="196"/>
      <c r="Q67" s="196">
        <f t="shared" si="35"/>
        <v>3001570.4216135368</v>
      </c>
      <c r="R67" s="196">
        <f t="shared" si="35"/>
        <v>3001570.4216135368</v>
      </c>
      <c r="S67" s="206"/>
      <c r="T67" s="206"/>
      <c r="U67" s="207"/>
      <c r="V67" s="207"/>
      <c r="W67" s="106"/>
      <c r="X67" s="106">
        <v>18230802</v>
      </c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/>
      <c r="IX67" s="106"/>
      <c r="IY67" s="106"/>
      <c r="IZ67" s="106"/>
      <c r="JA67" s="106"/>
      <c r="JB67" s="106"/>
      <c r="JC67" s="106"/>
      <c r="JD67" s="106"/>
      <c r="JE67" s="106"/>
      <c r="JF67" s="106"/>
      <c r="JG67" s="106"/>
      <c r="JH67" s="106"/>
      <c r="JI67" s="106"/>
      <c r="JJ67" s="106"/>
      <c r="JK67" s="106"/>
      <c r="JL67" s="106"/>
      <c r="JM67" s="106"/>
      <c r="JN67" s="106"/>
      <c r="JO67" s="106"/>
      <c r="JP67" s="106"/>
      <c r="JQ67" s="106"/>
      <c r="JR67" s="106"/>
      <c r="JS67" s="106"/>
      <c r="JT67" s="106"/>
      <c r="JU67" s="106"/>
      <c r="JV67" s="106"/>
      <c r="JW67" s="106"/>
      <c r="JX67" s="106"/>
      <c r="JY67" s="106"/>
      <c r="JZ67" s="106"/>
      <c r="KA67" s="106"/>
      <c r="KB67" s="106"/>
      <c r="KC67" s="106"/>
      <c r="KD67" s="106"/>
      <c r="KE67" s="106"/>
      <c r="KF67" s="106"/>
      <c r="KG67" s="106"/>
      <c r="KH67" s="106"/>
      <c r="KI67" s="106"/>
      <c r="KJ67" s="106"/>
      <c r="KK67" s="106"/>
      <c r="KL67" s="106"/>
      <c r="KM67" s="106"/>
      <c r="KN67" s="106"/>
      <c r="KO67" s="106"/>
      <c r="KP67" s="106"/>
      <c r="KQ67" s="106"/>
      <c r="KR67" s="106"/>
      <c r="KS67" s="106"/>
      <c r="KT67" s="106"/>
      <c r="KU67" s="106"/>
      <c r="KV67" s="106"/>
      <c r="KW67" s="106"/>
      <c r="KX67" s="106"/>
      <c r="KY67" s="106"/>
      <c r="KZ67" s="106"/>
      <c r="LA67" s="106"/>
      <c r="LB67" s="106"/>
      <c r="LC67" s="106"/>
      <c r="LD67" s="106"/>
      <c r="LE67" s="106"/>
      <c r="LF67" s="106"/>
      <c r="LG67" s="106"/>
      <c r="LH67" s="106"/>
      <c r="LI67" s="106"/>
      <c r="LJ67" s="106"/>
      <c r="LK67" s="106"/>
      <c r="LL67" s="106"/>
      <c r="LM67" s="106"/>
      <c r="LN67" s="106"/>
      <c r="LO67" s="106"/>
      <c r="LP67" s="106"/>
      <c r="LQ67" s="106"/>
      <c r="LR67" s="106"/>
      <c r="LS67" s="106"/>
      <c r="LT67" s="106"/>
      <c r="LU67" s="106"/>
      <c r="LV67" s="106"/>
      <c r="LW67" s="106"/>
      <c r="LX67" s="106"/>
      <c r="LY67" s="106"/>
      <c r="LZ67" s="106"/>
      <c r="MA67" s="106"/>
      <c r="MB67" s="106"/>
      <c r="MC67" s="106"/>
      <c r="MD67" s="106"/>
      <c r="ME67" s="106"/>
      <c r="MF67" s="106"/>
      <c r="MG67" s="106"/>
      <c r="MH67" s="106"/>
      <c r="MI67" s="106"/>
      <c r="MJ67" s="106"/>
      <c r="MK67" s="106"/>
      <c r="ML67" s="106"/>
      <c r="MM67" s="106"/>
      <c r="MN67" s="106"/>
      <c r="MO67" s="106"/>
      <c r="MP67" s="106"/>
      <c r="MQ67" s="106"/>
      <c r="MR67" s="106"/>
      <c r="MS67" s="106"/>
      <c r="MT67" s="106"/>
      <c r="MU67" s="106"/>
      <c r="MV67" s="106"/>
      <c r="MW67" s="106"/>
      <c r="MX67" s="106"/>
      <c r="MY67" s="106"/>
      <c r="MZ67" s="106"/>
      <c r="NA67" s="106"/>
      <c r="NB67" s="106"/>
      <c r="NC67" s="106"/>
      <c r="ND67" s="106"/>
      <c r="NE67" s="106"/>
      <c r="NF67" s="106"/>
      <c r="NG67" s="106"/>
      <c r="NH67" s="106"/>
      <c r="NI67" s="106"/>
      <c r="NJ67" s="106"/>
      <c r="NK67" s="106"/>
      <c r="NL67" s="106"/>
      <c r="NM67" s="106"/>
      <c r="NN67" s="106"/>
      <c r="NO67" s="106"/>
      <c r="NP67" s="106"/>
      <c r="NQ67" s="106"/>
      <c r="NR67" s="106"/>
      <c r="NS67" s="106"/>
      <c r="NT67" s="106"/>
      <c r="NU67" s="106"/>
      <c r="NV67" s="106"/>
      <c r="NW67" s="106"/>
      <c r="NX67" s="106"/>
      <c r="NY67" s="106"/>
      <c r="NZ67" s="106"/>
      <c r="OA67" s="106"/>
      <c r="OB67" s="106"/>
      <c r="OC67" s="106"/>
      <c r="OD67" s="106"/>
      <c r="OE67" s="106"/>
      <c r="OF67" s="106"/>
      <c r="OG67" s="106"/>
      <c r="OH67" s="106"/>
      <c r="OI67" s="106"/>
      <c r="OJ67" s="106"/>
      <c r="OK67" s="106"/>
      <c r="OL67" s="106"/>
      <c r="OM67" s="106"/>
      <c r="ON67" s="106"/>
      <c r="OO67" s="106"/>
      <c r="OP67" s="106"/>
      <c r="OQ67" s="106"/>
      <c r="OR67" s="106"/>
      <c r="OS67" s="106"/>
      <c r="OT67" s="106"/>
      <c r="OU67" s="106"/>
      <c r="OV67" s="106"/>
      <c r="OW67" s="106"/>
      <c r="OX67" s="106"/>
      <c r="OY67" s="106"/>
      <c r="OZ67" s="106"/>
      <c r="PA67" s="106"/>
      <c r="PB67" s="106"/>
      <c r="PC67" s="106"/>
      <c r="PD67" s="106"/>
      <c r="PE67" s="106"/>
      <c r="PF67" s="106"/>
      <c r="PG67" s="106"/>
      <c r="PH67" s="106"/>
      <c r="PI67" s="106"/>
    </row>
    <row r="68" spans="1:425" s="224" customFormat="1" ht="14.1" customHeight="1">
      <c r="A68" s="102"/>
      <c r="B68" s="191"/>
      <c r="C68" s="208" t="s">
        <v>426</v>
      </c>
      <c r="D68" s="209">
        <v>18230624</v>
      </c>
      <c r="E68" s="201"/>
      <c r="F68" s="201"/>
      <c r="G68" s="202"/>
      <c r="H68" s="203"/>
      <c r="I68" s="194">
        <f>SUMIF('Program Costs'!D:D,D68,'Program Costs'!N:N)</f>
        <v>121941</v>
      </c>
      <c r="J68" s="194"/>
      <c r="K68" s="204"/>
      <c r="L68" s="204"/>
      <c r="M68" s="204"/>
      <c r="N68" s="222">
        <f>I68</f>
        <v>121941</v>
      </c>
      <c r="O68" s="222">
        <f>I68</f>
        <v>121941</v>
      </c>
      <c r="P68" s="196"/>
      <c r="Q68" s="196">
        <f t="shared" si="35"/>
        <v>113995.51276058707</v>
      </c>
      <c r="R68" s="196">
        <f t="shared" si="35"/>
        <v>113995.51276058707</v>
      </c>
      <c r="S68" s="206"/>
      <c r="T68" s="206"/>
      <c r="U68" s="207"/>
      <c r="V68" s="207"/>
      <c r="W68" s="106"/>
      <c r="X68" s="106">
        <v>18230624</v>
      </c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  <c r="IV68" s="106"/>
      <c r="IW68" s="106"/>
      <c r="IX68" s="106"/>
      <c r="IY68" s="106"/>
      <c r="IZ68" s="106"/>
      <c r="JA68" s="106"/>
      <c r="JB68" s="106"/>
      <c r="JC68" s="106"/>
      <c r="JD68" s="106"/>
      <c r="JE68" s="106"/>
      <c r="JF68" s="106"/>
      <c r="JG68" s="106"/>
      <c r="JH68" s="106"/>
      <c r="JI68" s="106"/>
      <c r="JJ68" s="106"/>
      <c r="JK68" s="106"/>
      <c r="JL68" s="106"/>
      <c r="JM68" s="106"/>
      <c r="JN68" s="106"/>
      <c r="JO68" s="106"/>
      <c r="JP68" s="106"/>
      <c r="JQ68" s="106"/>
      <c r="JR68" s="106"/>
      <c r="JS68" s="106"/>
      <c r="JT68" s="106"/>
      <c r="JU68" s="106"/>
      <c r="JV68" s="106"/>
      <c r="JW68" s="106"/>
      <c r="JX68" s="106"/>
      <c r="JY68" s="106"/>
      <c r="JZ68" s="106"/>
      <c r="KA68" s="106"/>
      <c r="KB68" s="106"/>
      <c r="KC68" s="106"/>
      <c r="KD68" s="106"/>
      <c r="KE68" s="106"/>
      <c r="KF68" s="106"/>
      <c r="KG68" s="106"/>
      <c r="KH68" s="106"/>
      <c r="KI68" s="106"/>
      <c r="KJ68" s="106"/>
      <c r="KK68" s="106"/>
      <c r="KL68" s="106"/>
      <c r="KM68" s="106"/>
      <c r="KN68" s="106"/>
      <c r="KO68" s="106"/>
      <c r="KP68" s="106"/>
      <c r="KQ68" s="106"/>
      <c r="KR68" s="106"/>
      <c r="KS68" s="106"/>
      <c r="KT68" s="106"/>
      <c r="KU68" s="106"/>
      <c r="KV68" s="106"/>
      <c r="KW68" s="106"/>
      <c r="KX68" s="106"/>
      <c r="KY68" s="106"/>
      <c r="KZ68" s="106"/>
      <c r="LA68" s="106"/>
      <c r="LB68" s="106"/>
      <c r="LC68" s="106"/>
      <c r="LD68" s="106"/>
      <c r="LE68" s="106"/>
      <c r="LF68" s="106"/>
      <c r="LG68" s="106"/>
      <c r="LH68" s="106"/>
      <c r="LI68" s="106"/>
      <c r="LJ68" s="106"/>
      <c r="LK68" s="106"/>
      <c r="LL68" s="106"/>
      <c r="LM68" s="106"/>
      <c r="LN68" s="106"/>
      <c r="LO68" s="106"/>
      <c r="LP68" s="106"/>
      <c r="LQ68" s="106"/>
      <c r="LR68" s="106"/>
      <c r="LS68" s="106"/>
      <c r="LT68" s="106"/>
      <c r="LU68" s="106"/>
      <c r="LV68" s="106"/>
      <c r="LW68" s="106"/>
      <c r="LX68" s="106"/>
      <c r="LY68" s="106"/>
      <c r="LZ68" s="106"/>
      <c r="MA68" s="106"/>
      <c r="MB68" s="106"/>
      <c r="MC68" s="106"/>
      <c r="MD68" s="106"/>
      <c r="ME68" s="106"/>
      <c r="MF68" s="106"/>
      <c r="MG68" s="106"/>
      <c r="MH68" s="106"/>
      <c r="MI68" s="106"/>
      <c r="MJ68" s="106"/>
      <c r="MK68" s="106"/>
      <c r="ML68" s="106"/>
      <c r="MM68" s="106"/>
      <c r="MN68" s="106"/>
      <c r="MO68" s="106"/>
      <c r="MP68" s="106"/>
      <c r="MQ68" s="106"/>
      <c r="MR68" s="106"/>
      <c r="MS68" s="106"/>
      <c r="MT68" s="106"/>
      <c r="MU68" s="106"/>
      <c r="MV68" s="106"/>
      <c r="MW68" s="106"/>
      <c r="MX68" s="106"/>
      <c r="MY68" s="106"/>
      <c r="MZ68" s="106"/>
      <c r="NA68" s="106"/>
      <c r="NB68" s="106"/>
      <c r="NC68" s="106"/>
      <c r="ND68" s="106"/>
      <c r="NE68" s="106"/>
      <c r="NF68" s="106"/>
      <c r="NG68" s="106"/>
      <c r="NH68" s="106"/>
      <c r="NI68" s="106"/>
      <c r="NJ68" s="106"/>
      <c r="NK68" s="106"/>
      <c r="NL68" s="106"/>
      <c r="NM68" s="106"/>
      <c r="NN68" s="106"/>
      <c r="NO68" s="106"/>
      <c r="NP68" s="106"/>
      <c r="NQ68" s="106"/>
      <c r="NR68" s="106"/>
      <c r="NS68" s="106"/>
      <c r="NT68" s="106"/>
      <c r="NU68" s="106"/>
      <c r="NV68" s="106"/>
      <c r="NW68" s="106"/>
      <c r="NX68" s="106"/>
      <c r="NY68" s="106"/>
      <c r="NZ68" s="106"/>
      <c r="OA68" s="106"/>
      <c r="OB68" s="106"/>
      <c r="OC68" s="106"/>
      <c r="OD68" s="106"/>
      <c r="OE68" s="106"/>
      <c r="OF68" s="106"/>
      <c r="OG68" s="106"/>
      <c r="OH68" s="106"/>
      <c r="OI68" s="106"/>
      <c r="OJ68" s="106"/>
      <c r="OK68" s="106"/>
      <c r="OL68" s="106"/>
      <c r="OM68" s="106"/>
      <c r="ON68" s="106"/>
      <c r="OO68" s="106"/>
      <c r="OP68" s="106"/>
      <c r="OQ68" s="106"/>
      <c r="OR68" s="106"/>
      <c r="OS68" s="106"/>
      <c r="OT68" s="106"/>
      <c r="OU68" s="106"/>
      <c r="OV68" s="106"/>
      <c r="OW68" s="106"/>
      <c r="OX68" s="106"/>
      <c r="OY68" s="106"/>
      <c r="OZ68" s="106"/>
      <c r="PA68" s="106"/>
      <c r="PB68" s="106"/>
      <c r="PC68" s="106"/>
      <c r="PD68" s="106"/>
      <c r="PE68" s="106"/>
      <c r="PF68" s="106"/>
      <c r="PG68" s="106"/>
      <c r="PH68" s="106"/>
      <c r="PI68" s="106"/>
    </row>
    <row r="69" spans="1:425" s="229" customFormat="1">
      <c r="A69" s="225"/>
      <c r="B69" s="226"/>
      <c r="C69" s="226" t="s">
        <v>427</v>
      </c>
      <c r="D69" s="226"/>
      <c r="E69" s="226"/>
      <c r="F69" s="226"/>
      <c r="G69" s="226"/>
      <c r="H69" s="226">
        <f t="shared" ref="H69:P69" si="36">SUM(H64:H68)</f>
        <v>0</v>
      </c>
      <c r="I69" s="227">
        <f t="shared" si="36"/>
        <v>4705165.4300000006</v>
      </c>
      <c r="J69" s="226">
        <f t="shared" si="36"/>
        <v>0</v>
      </c>
      <c r="K69" s="226">
        <f t="shared" si="36"/>
        <v>0</v>
      </c>
      <c r="L69" s="226">
        <f t="shared" si="36"/>
        <v>0</v>
      </c>
      <c r="M69" s="226">
        <f t="shared" si="36"/>
        <v>0</v>
      </c>
      <c r="N69" s="228">
        <f t="shared" si="36"/>
        <v>4705165.4300000006</v>
      </c>
      <c r="O69" s="228">
        <f t="shared" si="36"/>
        <v>4705165.4300000006</v>
      </c>
      <c r="P69" s="228">
        <f t="shared" si="36"/>
        <v>0</v>
      </c>
      <c r="Q69" s="228">
        <f t="shared" si="35"/>
        <v>4398584.1170421615</v>
      </c>
      <c r="R69" s="228">
        <f t="shared" si="35"/>
        <v>4398584.1170421615</v>
      </c>
      <c r="S69" s="226">
        <f>SUM(S64:S68)</f>
        <v>0</v>
      </c>
      <c r="T69" s="226">
        <f>SUM(T64:T68)</f>
        <v>0</v>
      </c>
      <c r="U69" s="226"/>
      <c r="V69" s="226">
        <f>((S69*1.1)+(T69))/R69</f>
        <v>0</v>
      </c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  <c r="IX69" s="106"/>
      <c r="IY69" s="106"/>
      <c r="IZ69" s="106"/>
      <c r="JA69" s="106"/>
      <c r="JB69" s="106"/>
      <c r="JC69" s="106"/>
      <c r="JD69" s="106"/>
      <c r="JE69" s="106"/>
      <c r="JF69" s="106"/>
      <c r="JG69" s="106"/>
      <c r="JH69" s="106"/>
      <c r="JI69" s="106"/>
      <c r="JJ69" s="106"/>
      <c r="JK69" s="106"/>
      <c r="JL69" s="106"/>
      <c r="JM69" s="106"/>
      <c r="JN69" s="106"/>
      <c r="JO69" s="106"/>
      <c r="JP69" s="106"/>
      <c r="JQ69" s="106"/>
      <c r="JR69" s="106"/>
      <c r="JS69" s="106"/>
      <c r="JT69" s="106"/>
      <c r="JU69" s="106"/>
      <c r="JV69" s="106"/>
      <c r="JW69" s="106"/>
      <c r="JX69" s="106"/>
      <c r="JY69" s="106"/>
      <c r="JZ69" s="106"/>
      <c r="KA69" s="106"/>
      <c r="KB69" s="106"/>
      <c r="KC69" s="106"/>
      <c r="KD69" s="106"/>
      <c r="KE69" s="106"/>
      <c r="KF69" s="106"/>
      <c r="KG69" s="106"/>
      <c r="KH69" s="106"/>
      <c r="KI69" s="106"/>
      <c r="KJ69" s="106"/>
      <c r="KK69" s="106"/>
      <c r="KL69" s="106"/>
      <c r="KM69" s="106"/>
      <c r="KN69" s="106"/>
      <c r="KO69" s="106"/>
      <c r="KP69" s="106"/>
      <c r="KQ69" s="106"/>
      <c r="KR69" s="106"/>
      <c r="KS69" s="106"/>
      <c r="KT69" s="106"/>
      <c r="KU69" s="106"/>
      <c r="KV69" s="106"/>
      <c r="KW69" s="106"/>
      <c r="KX69" s="106"/>
      <c r="KY69" s="106"/>
      <c r="KZ69" s="106"/>
      <c r="LA69" s="106"/>
      <c r="LB69" s="106"/>
      <c r="LC69" s="106"/>
      <c r="LD69" s="106"/>
      <c r="LE69" s="106"/>
      <c r="LF69" s="106"/>
      <c r="LG69" s="106"/>
      <c r="LH69" s="106"/>
      <c r="LI69" s="106"/>
      <c r="LJ69" s="106"/>
      <c r="LK69" s="106"/>
      <c r="LL69" s="106"/>
      <c r="LM69" s="106"/>
      <c r="LN69" s="106"/>
      <c r="LO69" s="106"/>
      <c r="LP69" s="106"/>
      <c r="LQ69" s="106"/>
      <c r="LR69" s="106"/>
      <c r="LS69" s="106"/>
      <c r="LT69" s="106"/>
      <c r="LU69" s="106"/>
      <c r="LV69" s="106"/>
      <c r="LW69" s="106"/>
      <c r="LX69" s="106"/>
      <c r="LY69" s="106"/>
      <c r="LZ69" s="106"/>
      <c r="MA69" s="106"/>
      <c r="MB69" s="106"/>
      <c r="MC69" s="106"/>
      <c r="MD69" s="106"/>
      <c r="ME69" s="106"/>
      <c r="MF69" s="106"/>
      <c r="MG69" s="106"/>
      <c r="MH69" s="106"/>
      <c r="MI69" s="106"/>
      <c r="MJ69" s="106"/>
      <c r="MK69" s="106"/>
      <c r="ML69" s="106"/>
      <c r="MM69" s="106"/>
      <c r="MN69" s="106"/>
      <c r="MO69" s="106"/>
      <c r="MP69" s="106"/>
      <c r="MQ69" s="106"/>
      <c r="MR69" s="106"/>
      <c r="MS69" s="106"/>
      <c r="MT69" s="106"/>
      <c r="MU69" s="106"/>
      <c r="MV69" s="106"/>
      <c r="MW69" s="106"/>
      <c r="MX69" s="106"/>
      <c r="MY69" s="106"/>
      <c r="MZ69" s="106"/>
      <c r="NA69" s="106"/>
      <c r="NB69" s="106"/>
      <c r="NC69" s="106"/>
      <c r="ND69" s="106"/>
      <c r="NE69" s="106"/>
      <c r="NF69" s="106"/>
      <c r="NG69" s="106"/>
      <c r="NH69" s="106"/>
      <c r="NI69" s="106"/>
      <c r="NJ69" s="106"/>
      <c r="NK69" s="106"/>
      <c r="NL69" s="106"/>
      <c r="NM69" s="106"/>
      <c r="NN69" s="106"/>
      <c r="NO69" s="106"/>
      <c r="NP69" s="106"/>
      <c r="NQ69" s="106"/>
      <c r="NR69" s="106"/>
      <c r="NS69" s="106"/>
      <c r="NT69" s="106"/>
      <c r="NU69" s="106"/>
      <c r="NV69" s="106"/>
      <c r="NW69" s="106"/>
      <c r="NX69" s="106"/>
      <c r="NY69" s="106"/>
      <c r="NZ69" s="106"/>
      <c r="OA69" s="106"/>
      <c r="OB69" s="106"/>
      <c r="OC69" s="106"/>
      <c r="OD69" s="106"/>
      <c r="OE69" s="106"/>
      <c r="OF69" s="106"/>
      <c r="OG69" s="106"/>
      <c r="OH69" s="106"/>
      <c r="OI69" s="106"/>
      <c r="OJ69" s="106"/>
      <c r="OK69" s="106"/>
      <c r="OL69" s="106"/>
      <c r="OM69" s="106"/>
      <c r="ON69" s="106"/>
      <c r="OO69" s="106"/>
      <c r="OP69" s="106"/>
      <c r="OQ69" s="106"/>
      <c r="OR69" s="106"/>
      <c r="OS69" s="106"/>
      <c r="OT69" s="106"/>
      <c r="OU69" s="106"/>
      <c r="OV69" s="106"/>
      <c r="OW69" s="106"/>
      <c r="OX69" s="106"/>
      <c r="OY69" s="106"/>
      <c r="OZ69" s="106"/>
      <c r="PA69" s="106"/>
      <c r="PB69" s="106"/>
      <c r="PC69" s="106"/>
      <c r="PD69" s="106"/>
      <c r="PE69" s="106"/>
      <c r="PF69" s="106"/>
      <c r="PG69" s="106"/>
      <c r="PH69" s="106"/>
      <c r="PI69" s="106"/>
    </row>
    <row r="70" spans="1:425" s="240" customFormat="1">
      <c r="A70" s="230"/>
      <c r="B70" s="231" t="s">
        <v>428</v>
      </c>
      <c r="C70" s="232"/>
      <c r="D70" s="232"/>
      <c r="E70" s="232"/>
      <c r="F70" s="233"/>
      <c r="G70" s="234"/>
      <c r="H70" s="235">
        <f>SUM(H23,H41,H44,H48,H63,H69)</f>
        <v>386183324.56999958</v>
      </c>
      <c r="I70" s="235">
        <f>I69+I63+I48+I41+I23+I44</f>
        <v>48300949.199999996</v>
      </c>
      <c r="J70" s="236">
        <f t="shared" ref="J70:O70" si="37">J69+J63+J48+J41+J23+J44</f>
        <v>77440436.070000008</v>
      </c>
      <c r="K70" s="236">
        <f t="shared" si="37"/>
        <v>76714217.219999924</v>
      </c>
      <c r="L70" s="236">
        <f t="shared" si="37"/>
        <v>154154653.28999993</v>
      </c>
      <c r="M70" s="236">
        <f t="shared" si="37"/>
        <v>0</v>
      </c>
      <c r="N70" s="236">
        <f t="shared" si="37"/>
        <v>137550527.05999997</v>
      </c>
      <c r="O70" s="236">
        <f t="shared" si="37"/>
        <v>202455602.48999992</v>
      </c>
      <c r="P70" s="236"/>
      <c r="Q70" s="236">
        <f>Q69+Q63+Q48+Q41+Q23+Q44</f>
        <v>128564001.00962886</v>
      </c>
      <c r="R70" s="236">
        <f>R69+R63+R48+R41+R23+R44</f>
        <v>189263908.09572768</v>
      </c>
      <c r="S70" s="235">
        <f>S69+S63+S48+S41+S23+S44</f>
        <v>337804581.33532715</v>
      </c>
      <c r="T70" s="237">
        <f>T69+T63+T48+T41+T23+T44</f>
        <v>6352546.873922118</v>
      </c>
      <c r="U70" s="238">
        <f>S70/Q70</f>
        <v>2.6275207576188229</v>
      </c>
      <c r="V70" s="238">
        <f>((S70*1.1)+(T70))/R70</f>
        <v>1.9968814453077086</v>
      </c>
      <c r="W70" s="106"/>
      <c r="X70" s="106"/>
      <c r="Y70" s="106"/>
      <c r="Z70" s="106"/>
      <c r="AA70" s="106"/>
      <c r="AB70" s="106"/>
      <c r="AC70" s="106"/>
      <c r="AD70" s="239"/>
      <c r="AE70" s="239"/>
      <c r="AF70" s="239"/>
      <c r="AG70" s="239"/>
      <c r="AH70" s="239"/>
      <c r="AI70" s="239"/>
      <c r="AJ70" s="239"/>
      <c r="AK70" s="239"/>
      <c r="AL70" s="239"/>
      <c r="AM70" s="239"/>
      <c r="AN70" s="239"/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239"/>
      <c r="BM70" s="239"/>
      <c r="BN70" s="239"/>
      <c r="BO70" s="239"/>
      <c r="BP70" s="239"/>
      <c r="BQ70" s="239"/>
      <c r="BR70" s="239"/>
      <c r="BS70" s="239"/>
      <c r="BT70" s="239"/>
      <c r="BU70" s="239"/>
      <c r="BV70" s="239"/>
      <c r="BW70" s="239"/>
      <c r="BX70" s="239"/>
      <c r="BY70" s="239"/>
      <c r="BZ70" s="239"/>
      <c r="CA70" s="239"/>
      <c r="CB70" s="239"/>
      <c r="CC70" s="239"/>
      <c r="CD70" s="239"/>
      <c r="CE70" s="239"/>
      <c r="CF70" s="239"/>
      <c r="CG70" s="239"/>
      <c r="CH70" s="239"/>
      <c r="CI70" s="239"/>
      <c r="CJ70" s="239"/>
      <c r="CK70" s="239"/>
      <c r="CL70" s="239"/>
      <c r="CM70" s="239"/>
      <c r="CN70" s="239"/>
      <c r="CO70" s="239"/>
      <c r="CP70" s="239"/>
      <c r="CQ70" s="239"/>
      <c r="CR70" s="239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39"/>
      <c r="EB70" s="239"/>
      <c r="EC70" s="239"/>
      <c r="ED70" s="239"/>
      <c r="EE70" s="239"/>
      <c r="EF70" s="239"/>
      <c r="EG70" s="239"/>
      <c r="EH70" s="239"/>
      <c r="EI70" s="239"/>
      <c r="EJ70" s="239"/>
      <c r="EK70" s="239"/>
      <c r="EL70" s="239"/>
      <c r="EM70" s="239"/>
      <c r="EN70" s="239"/>
      <c r="EO70" s="239"/>
      <c r="EP70" s="239"/>
      <c r="EQ70" s="239"/>
      <c r="ER70" s="239"/>
      <c r="ES70" s="239"/>
      <c r="ET70" s="239"/>
      <c r="EU70" s="239"/>
      <c r="EV70" s="239"/>
      <c r="EW70" s="239"/>
      <c r="EX70" s="239"/>
      <c r="EY70" s="239"/>
      <c r="EZ70" s="239"/>
      <c r="FA70" s="239"/>
      <c r="FB70" s="239"/>
      <c r="FC70" s="239"/>
      <c r="FD70" s="239"/>
      <c r="FE70" s="239"/>
      <c r="FF70" s="239"/>
      <c r="FG70" s="239"/>
      <c r="FH70" s="239"/>
      <c r="FI70" s="239"/>
      <c r="FJ70" s="239"/>
      <c r="FK70" s="239"/>
      <c r="FL70" s="239"/>
      <c r="FM70" s="239"/>
      <c r="FN70" s="239"/>
      <c r="FO70" s="239"/>
      <c r="FP70" s="239"/>
      <c r="FQ70" s="239"/>
      <c r="FR70" s="239"/>
      <c r="FS70" s="239"/>
      <c r="FT70" s="239"/>
      <c r="FU70" s="239"/>
      <c r="FV70" s="239"/>
      <c r="FW70" s="239"/>
      <c r="FX70" s="239"/>
      <c r="FY70" s="239"/>
      <c r="FZ70" s="239"/>
      <c r="GA70" s="239"/>
      <c r="GB70" s="239"/>
      <c r="GC70" s="239"/>
      <c r="GD70" s="239"/>
      <c r="GE70" s="239"/>
      <c r="GF70" s="239"/>
      <c r="GG70" s="239"/>
      <c r="GH70" s="239"/>
      <c r="GI70" s="239"/>
      <c r="GJ70" s="239"/>
      <c r="GK70" s="239"/>
      <c r="GL70" s="239"/>
      <c r="GM70" s="239"/>
      <c r="GN70" s="239"/>
      <c r="GO70" s="239"/>
      <c r="GP70" s="239"/>
      <c r="GQ70" s="239"/>
      <c r="GR70" s="239"/>
      <c r="GS70" s="239"/>
      <c r="GT70" s="239"/>
      <c r="GU70" s="239"/>
      <c r="GV70" s="239"/>
      <c r="GW70" s="239"/>
      <c r="GX70" s="239"/>
      <c r="GY70" s="239"/>
      <c r="GZ70" s="239"/>
      <c r="HA70" s="239"/>
      <c r="HB70" s="239"/>
      <c r="HC70" s="239"/>
      <c r="HD70" s="239"/>
      <c r="HE70" s="239"/>
      <c r="HF70" s="239"/>
      <c r="HG70" s="239"/>
      <c r="HH70" s="239"/>
      <c r="HI70" s="239"/>
      <c r="HJ70" s="239"/>
      <c r="HK70" s="239"/>
      <c r="HL70" s="239"/>
      <c r="HM70" s="239"/>
      <c r="HN70" s="239"/>
      <c r="HO70" s="239"/>
      <c r="HP70" s="239"/>
      <c r="HQ70" s="239"/>
      <c r="HR70" s="239"/>
      <c r="HS70" s="239"/>
      <c r="HT70" s="239"/>
      <c r="HU70" s="239"/>
      <c r="HV70" s="239"/>
      <c r="HW70" s="239"/>
      <c r="HX70" s="239"/>
      <c r="HY70" s="239"/>
      <c r="HZ70" s="239"/>
      <c r="IA70" s="239"/>
      <c r="IB70" s="239"/>
      <c r="IC70" s="239"/>
      <c r="ID70" s="239"/>
      <c r="IE70" s="239"/>
      <c r="IF70" s="239"/>
      <c r="IG70" s="239"/>
      <c r="IH70" s="239"/>
      <c r="II70" s="239"/>
      <c r="IJ70" s="239"/>
      <c r="IK70" s="239"/>
      <c r="IL70" s="239"/>
      <c r="IM70" s="239"/>
      <c r="IN70" s="239"/>
      <c r="IO70" s="239"/>
      <c r="IP70" s="239"/>
      <c r="IQ70" s="239"/>
      <c r="IR70" s="239"/>
      <c r="IS70" s="239"/>
      <c r="IT70" s="239"/>
      <c r="IU70" s="239"/>
      <c r="IV70" s="239"/>
      <c r="IW70" s="239"/>
      <c r="IX70" s="239"/>
      <c r="IY70" s="239"/>
      <c r="IZ70" s="239"/>
      <c r="JA70" s="239"/>
      <c r="JB70" s="239"/>
      <c r="JC70" s="239"/>
      <c r="JD70" s="239"/>
      <c r="JE70" s="239"/>
      <c r="JF70" s="239"/>
      <c r="JG70" s="239"/>
      <c r="JH70" s="239"/>
      <c r="JI70" s="239"/>
      <c r="JJ70" s="239"/>
      <c r="JK70" s="239"/>
      <c r="JL70" s="239"/>
      <c r="JM70" s="239"/>
      <c r="JN70" s="239"/>
      <c r="JO70" s="239"/>
      <c r="JP70" s="239"/>
      <c r="JQ70" s="239"/>
      <c r="JR70" s="239"/>
      <c r="JS70" s="239"/>
      <c r="JT70" s="239"/>
      <c r="JU70" s="239"/>
      <c r="JV70" s="239"/>
      <c r="JW70" s="239"/>
      <c r="JX70" s="239"/>
      <c r="JY70" s="239"/>
      <c r="JZ70" s="239"/>
      <c r="KA70" s="239"/>
      <c r="KB70" s="239"/>
      <c r="KC70" s="239"/>
      <c r="KD70" s="239"/>
      <c r="KE70" s="239"/>
      <c r="KF70" s="239"/>
      <c r="KG70" s="239"/>
      <c r="KH70" s="239"/>
      <c r="KI70" s="239"/>
      <c r="KJ70" s="239"/>
      <c r="KK70" s="239"/>
      <c r="KL70" s="239"/>
      <c r="KM70" s="239"/>
      <c r="KN70" s="239"/>
      <c r="KO70" s="239"/>
      <c r="KP70" s="239"/>
      <c r="KQ70" s="239"/>
      <c r="KR70" s="239"/>
      <c r="KS70" s="239"/>
      <c r="KT70" s="239"/>
      <c r="KU70" s="239"/>
      <c r="KV70" s="239"/>
      <c r="KW70" s="239"/>
      <c r="KX70" s="239"/>
      <c r="KY70" s="239"/>
      <c r="KZ70" s="239"/>
      <c r="LA70" s="239"/>
      <c r="LB70" s="239"/>
      <c r="LC70" s="239"/>
      <c r="LD70" s="239"/>
      <c r="LE70" s="239"/>
      <c r="LF70" s="239"/>
      <c r="LG70" s="239"/>
      <c r="LH70" s="239"/>
      <c r="LI70" s="239"/>
      <c r="LJ70" s="239"/>
      <c r="LK70" s="239"/>
      <c r="LL70" s="239"/>
      <c r="LM70" s="239"/>
      <c r="LN70" s="239"/>
      <c r="LO70" s="239"/>
      <c r="LP70" s="239"/>
      <c r="LQ70" s="239"/>
      <c r="LR70" s="239"/>
      <c r="LS70" s="239"/>
      <c r="LT70" s="239"/>
      <c r="LU70" s="239"/>
      <c r="LV70" s="239"/>
      <c r="LW70" s="239"/>
      <c r="LX70" s="239"/>
      <c r="LY70" s="239"/>
      <c r="LZ70" s="239"/>
      <c r="MA70" s="239"/>
      <c r="MB70" s="239"/>
      <c r="MC70" s="239"/>
      <c r="MD70" s="239"/>
      <c r="ME70" s="239"/>
      <c r="MF70" s="239"/>
      <c r="MG70" s="239"/>
      <c r="MH70" s="239"/>
      <c r="MI70" s="239"/>
      <c r="MJ70" s="239"/>
      <c r="MK70" s="239"/>
      <c r="ML70" s="239"/>
      <c r="MM70" s="239"/>
      <c r="MN70" s="239"/>
      <c r="MO70" s="239"/>
      <c r="MP70" s="239"/>
      <c r="MQ70" s="239"/>
      <c r="MR70" s="239"/>
      <c r="MS70" s="239"/>
      <c r="MT70" s="239"/>
      <c r="MU70" s="239"/>
      <c r="MV70" s="239"/>
      <c r="MW70" s="239"/>
      <c r="MX70" s="239"/>
      <c r="MY70" s="239"/>
      <c r="MZ70" s="239"/>
      <c r="NA70" s="239"/>
      <c r="NB70" s="239"/>
      <c r="NC70" s="239"/>
      <c r="ND70" s="239"/>
      <c r="NE70" s="239"/>
      <c r="NF70" s="239"/>
      <c r="NG70" s="239"/>
      <c r="NH70" s="239"/>
      <c r="NI70" s="239"/>
      <c r="NJ70" s="239"/>
      <c r="NK70" s="239"/>
      <c r="NL70" s="239"/>
      <c r="NM70" s="239"/>
      <c r="NN70" s="239"/>
      <c r="NO70" s="239"/>
      <c r="NP70" s="239"/>
      <c r="NQ70" s="239"/>
      <c r="NR70" s="239"/>
      <c r="NS70" s="239"/>
      <c r="NT70" s="239"/>
      <c r="NU70" s="239"/>
      <c r="NV70" s="239"/>
      <c r="NW70" s="239"/>
      <c r="NX70" s="239"/>
      <c r="NY70" s="239"/>
      <c r="NZ70" s="239"/>
      <c r="OA70" s="239"/>
      <c r="OB70" s="239"/>
      <c r="OC70" s="239"/>
      <c r="OD70" s="239"/>
      <c r="OE70" s="239"/>
      <c r="OF70" s="239"/>
      <c r="OG70" s="239"/>
      <c r="OH70" s="239"/>
      <c r="OI70" s="239"/>
      <c r="OJ70" s="239"/>
      <c r="OK70" s="239"/>
      <c r="OL70" s="239"/>
      <c r="OM70" s="239"/>
      <c r="ON70" s="239"/>
      <c r="OO70" s="239"/>
      <c r="OP70" s="239"/>
      <c r="OQ70" s="239"/>
      <c r="OR70" s="239"/>
      <c r="OS70" s="239"/>
      <c r="OT70" s="239"/>
      <c r="OU70" s="239"/>
      <c r="OV70" s="239"/>
      <c r="OW70" s="239"/>
      <c r="OX70" s="239"/>
      <c r="OY70" s="239"/>
      <c r="OZ70" s="239"/>
      <c r="PA70" s="239"/>
      <c r="PB70" s="239"/>
      <c r="PC70" s="239"/>
      <c r="PD70" s="239"/>
      <c r="PE70" s="239"/>
      <c r="PF70" s="239"/>
      <c r="PG70" s="239"/>
      <c r="PH70" s="239"/>
      <c r="PI70" s="239"/>
    </row>
    <row r="71" spans="1:425" s="102" customFormat="1">
      <c r="B71" s="182"/>
      <c r="C71" s="183" t="s">
        <v>429</v>
      </c>
      <c r="D71" s="183"/>
      <c r="E71" s="184"/>
      <c r="F71" s="184"/>
      <c r="G71" s="185"/>
      <c r="H71" s="241"/>
      <c r="I71" s="242"/>
      <c r="J71" s="243"/>
      <c r="K71" s="186"/>
      <c r="L71" s="186"/>
      <c r="M71" s="186"/>
      <c r="N71" s="244"/>
      <c r="O71" s="187"/>
      <c r="P71" s="187"/>
      <c r="Q71" s="187"/>
      <c r="R71" s="187"/>
      <c r="S71" s="188"/>
      <c r="T71" s="189"/>
      <c r="U71" s="190"/>
      <c r="V71" s="190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/>
      <c r="HB71" s="106"/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  <c r="HT71" s="106"/>
      <c r="HU71" s="106"/>
      <c r="HV71" s="106"/>
      <c r="HW71" s="106"/>
      <c r="HX71" s="106"/>
      <c r="HY71" s="106"/>
      <c r="HZ71" s="106"/>
      <c r="IA71" s="106"/>
      <c r="IB71" s="106"/>
      <c r="IC71" s="106"/>
      <c r="ID71" s="106"/>
      <c r="IE71" s="106"/>
      <c r="IF71" s="106"/>
      <c r="IG71" s="106"/>
      <c r="IH71" s="106"/>
      <c r="II71" s="106"/>
      <c r="IJ71" s="106"/>
      <c r="IK71" s="106"/>
      <c r="IL71" s="106"/>
      <c r="IM71" s="106"/>
      <c r="IN71" s="106"/>
      <c r="IO71" s="106"/>
      <c r="IP71" s="106"/>
      <c r="IQ71" s="106"/>
      <c r="IR71" s="106"/>
      <c r="IS71" s="106"/>
      <c r="IT71" s="106"/>
      <c r="IU71" s="106"/>
      <c r="IV71" s="106"/>
      <c r="IW71" s="106"/>
      <c r="IX71" s="106"/>
      <c r="IY71" s="106"/>
      <c r="IZ71" s="106"/>
      <c r="JA71" s="106"/>
      <c r="JB71" s="106"/>
      <c r="JC71" s="106"/>
      <c r="JD71" s="106"/>
      <c r="JE71" s="106"/>
      <c r="JF71" s="106"/>
      <c r="JG71" s="106"/>
      <c r="JH71" s="106"/>
      <c r="JI71" s="106"/>
      <c r="JJ71" s="106"/>
      <c r="JK71" s="106"/>
      <c r="JL71" s="106"/>
      <c r="JM71" s="106"/>
      <c r="JN71" s="106"/>
      <c r="JO71" s="106"/>
      <c r="JP71" s="106"/>
      <c r="JQ71" s="106"/>
      <c r="JR71" s="106"/>
      <c r="JS71" s="106"/>
      <c r="JT71" s="106"/>
      <c r="JU71" s="106"/>
      <c r="JV71" s="106"/>
      <c r="JW71" s="106"/>
      <c r="JX71" s="106"/>
      <c r="JY71" s="106"/>
      <c r="JZ71" s="106"/>
      <c r="KA71" s="106"/>
      <c r="KB71" s="106"/>
      <c r="KC71" s="106"/>
      <c r="KD71" s="106"/>
      <c r="KE71" s="106"/>
      <c r="KF71" s="106"/>
      <c r="KG71" s="106"/>
      <c r="KH71" s="106"/>
      <c r="KI71" s="106"/>
      <c r="KJ71" s="106"/>
      <c r="KK71" s="106"/>
      <c r="KL71" s="106"/>
      <c r="KM71" s="106"/>
      <c r="KN71" s="106"/>
      <c r="KO71" s="106"/>
      <c r="KP71" s="106"/>
      <c r="KQ71" s="106"/>
      <c r="KR71" s="106"/>
      <c r="KS71" s="106"/>
      <c r="KT71" s="106"/>
      <c r="KU71" s="106"/>
      <c r="KV71" s="106"/>
      <c r="KW71" s="106"/>
      <c r="KX71" s="106"/>
      <c r="KY71" s="106"/>
      <c r="KZ71" s="106"/>
      <c r="LA71" s="106"/>
      <c r="LB71" s="106"/>
      <c r="LC71" s="106"/>
      <c r="LD71" s="106"/>
      <c r="LE71" s="106"/>
      <c r="LF71" s="106"/>
      <c r="LG71" s="106"/>
      <c r="LH71" s="106"/>
      <c r="LI71" s="106"/>
      <c r="LJ71" s="106"/>
      <c r="LK71" s="106"/>
      <c r="LL71" s="106"/>
      <c r="LM71" s="106"/>
      <c r="LN71" s="106"/>
      <c r="LO71" s="106"/>
      <c r="LP71" s="106"/>
      <c r="LQ71" s="106"/>
      <c r="LR71" s="106"/>
      <c r="LS71" s="106"/>
      <c r="LT71" s="106"/>
      <c r="LU71" s="106"/>
      <c r="LV71" s="106"/>
      <c r="LW71" s="106"/>
      <c r="LX71" s="106"/>
      <c r="LY71" s="106"/>
      <c r="LZ71" s="106"/>
      <c r="MA71" s="106"/>
      <c r="MB71" s="106"/>
      <c r="MC71" s="106"/>
      <c r="MD71" s="106"/>
      <c r="ME71" s="106"/>
      <c r="MF71" s="106"/>
      <c r="MG71" s="106"/>
      <c r="MH71" s="106"/>
      <c r="MI71" s="106"/>
      <c r="MJ71" s="106"/>
      <c r="MK71" s="106"/>
      <c r="ML71" s="106"/>
      <c r="MM71" s="106"/>
      <c r="MN71" s="106"/>
      <c r="MO71" s="106"/>
      <c r="MP71" s="106"/>
      <c r="MQ71" s="106"/>
      <c r="MR71" s="106"/>
      <c r="MS71" s="106"/>
      <c r="MT71" s="106"/>
      <c r="MU71" s="106"/>
      <c r="MV71" s="106"/>
      <c r="MW71" s="106"/>
      <c r="MX71" s="106"/>
      <c r="MY71" s="106"/>
      <c r="MZ71" s="106"/>
      <c r="NA71" s="106"/>
      <c r="NB71" s="106"/>
      <c r="NC71" s="106"/>
      <c r="ND71" s="106"/>
      <c r="NE71" s="106"/>
      <c r="NF71" s="106"/>
      <c r="NG71" s="106"/>
      <c r="NH71" s="106"/>
      <c r="NI71" s="106"/>
      <c r="NJ71" s="106"/>
      <c r="NK71" s="106"/>
      <c r="NL71" s="106"/>
      <c r="NM71" s="106"/>
      <c r="NN71" s="106"/>
      <c r="NO71" s="106"/>
      <c r="NP71" s="106"/>
      <c r="NQ71" s="106"/>
      <c r="NR71" s="106"/>
      <c r="NS71" s="106"/>
      <c r="NT71" s="106"/>
      <c r="NU71" s="106"/>
      <c r="NV71" s="106"/>
      <c r="NW71" s="106"/>
      <c r="NX71" s="106"/>
      <c r="NY71" s="106"/>
      <c r="NZ71" s="106"/>
      <c r="OA71" s="106"/>
      <c r="OB71" s="106"/>
      <c r="OC71" s="106"/>
      <c r="OD71" s="106"/>
      <c r="OE71" s="106"/>
      <c r="OF71" s="106"/>
      <c r="OG71" s="106"/>
      <c r="OH71" s="106"/>
      <c r="OI71" s="106"/>
      <c r="OJ71" s="106"/>
      <c r="OK71" s="106"/>
      <c r="OL71" s="106"/>
      <c r="OM71" s="106"/>
      <c r="ON71" s="106"/>
      <c r="OO71" s="106"/>
      <c r="OP71" s="106"/>
      <c r="OQ71" s="106"/>
      <c r="OR71" s="106"/>
      <c r="OS71" s="106"/>
      <c r="OT71" s="106"/>
      <c r="OU71" s="106"/>
      <c r="OV71" s="106"/>
      <c r="OW71" s="106"/>
      <c r="OX71" s="106"/>
      <c r="OY71" s="106"/>
      <c r="OZ71" s="106"/>
      <c r="PA71" s="106"/>
      <c r="PB71" s="106"/>
      <c r="PC71" s="106"/>
      <c r="PD71" s="106"/>
      <c r="PE71" s="106"/>
      <c r="PF71" s="106"/>
      <c r="PG71" s="106"/>
      <c r="PH71" s="106"/>
      <c r="PI71" s="106"/>
    </row>
    <row r="72" spans="1:425" s="247" customFormat="1">
      <c r="A72" s="102"/>
      <c r="B72" s="191"/>
      <c r="C72" s="245" t="s">
        <v>430</v>
      </c>
      <c r="D72" s="106">
        <v>18230128</v>
      </c>
      <c r="E72" s="245"/>
      <c r="F72" s="201"/>
      <c r="G72" s="202"/>
      <c r="H72" s="203"/>
      <c r="I72" s="194">
        <f>SUMIF('Program Costs'!D:D,D72,'Program Costs'!N:N)</f>
        <v>5521224.79</v>
      </c>
      <c r="J72" s="204"/>
      <c r="K72" s="204"/>
      <c r="L72" s="204" t="s">
        <v>298</v>
      </c>
      <c r="M72" s="204"/>
      <c r="N72" s="223">
        <f>I72</f>
        <v>5521224.79</v>
      </c>
      <c r="O72" s="223">
        <f>I72</f>
        <v>5521224.79</v>
      </c>
      <c r="P72" s="196">
        <v>0</v>
      </c>
      <c r="Q72" s="196">
        <f>N72/(1+ElecDiscountRate)^1</f>
        <v>5161470.3094325503</v>
      </c>
      <c r="R72" s="196">
        <f>O72/(1+ElecDiscountRate)^1</f>
        <v>5161470.3094325503</v>
      </c>
      <c r="S72" s="246"/>
      <c r="T72" s="206"/>
      <c r="U72" s="207"/>
      <c r="V72" s="207"/>
      <c r="W72" s="106"/>
      <c r="X72" s="106">
        <v>18230128</v>
      </c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  <c r="IW72" s="106"/>
      <c r="IX72" s="106"/>
      <c r="IY72" s="106"/>
      <c r="IZ72" s="106"/>
      <c r="JA72" s="106"/>
      <c r="JB72" s="106"/>
      <c r="JC72" s="106"/>
      <c r="JD72" s="106"/>
      <c r="JE72" s="106"/>
      <c r="JF72" s="106"/>
      <c r="JG72" s="106"/>
      <c r="JH72" s="106"/>
      <c r="JI72" s="106"/>
      <c r="JJ72" s="106"/>
      <c r="JK72" s="106"/>
      <c r="JL72" s="106"/>
      <c r="JM72" s="106"/>
      <c r="JN72" s="106"/>
      <c r="JO72" s="106"/>
      <c r="JP72" s="106"/>
      <c r="JQ72" s="106"/>
      <c r="JR72" s="106"/>
      <c r="JS72" s="106"/>
      <c r="JT72" s="106"/>
      <c r="JU72" s="106"/>
      <c r="JV72" s="106"/>
      <c r="JW72" s="106"/>
      <c r="JX72" s="106"/>
      <c r="JY72" s="106"/>
      <c r="JZ72" s="106"/>
      <c r="KA72" s="106"/>
      <c r="KB72" s="106"/>
      <c r="KC72" s="106"/>
      <c r="KD72" s="106"/>
      <c r="KE72" s="106"/>
      <c r="KF72" s="106"/>
      <c r="KG72" s="106"/>
      <c r="KH72" s="106"/>
      <c r="KI72" s="106"/>
      <c r="KJ72" s="106"/>
      <c r="KK72" s="106"/>
      <c r="KL72" s="106"/>
      <c r="KM72" s="106"/>
      <c r="KN72" s="106"/>
      <c r="KO72" s="106"/>
      <c r="KP72" s="106"/>
      <c r="KQ72" s="106"/>
      <c r="KR72" s="106"/>
      <c r="KS72" s="106"/>
      <c r="KT72" s="106"/>
      <c r="KU72" s="106"/>
      <c r="KV72" s="106"/>
      <c r="KW72" s="106"/>
      <c r="KX72" s="106"/>
      <c r="KY72" s="106"/>
      <c r="KZ72" s="106"/>
      <c r="LA72" s="106"/>
      <c r="LB72" s="106"/>
      <c r="LC72" s="106"/>
      <c r="LD72" s="106"/>
      <c r="LE72" s="106"/>
      <c r="LF72" s="106"/>
      <c r="LG72" s="106"/>
      <c r="LH72" s="106"/>
      <c r="LI72" s="106"/>
      <c r="LJ72" s="106"/>
      <c r="LK72" s="106"/>
      <c r="LL72" s="106"/>
      <c r="LM72" s="106"/>
      <c r="LN72" s="106"/>
      <c r="LO72" s="106"/>
      <c r="LP72" s="106"/>
      <c r="LQ72" s="106"/>
      <c r="LR72" s="106"/>
      <c r="LS72" s="106"/>
      <c r="LT72" s="106"/>
      <c r="LU72" s="106"/>
      <c r="LV72" s="106"/>
      <c r="LW72" s="106"/>
      <c r="LX72" s="106"/>
      <c r="LY72" s="106"/>
      <c r="LZ72" s="106"/>
      <c r="MA72" s="106"/>
      <c r="MB72" s="106"/>
      <c r="MC72" s="106"/>
      <c r="MD72" s="106"/>
      <c r="ME72" s="106"/>
      <c r="MF72" s="106"/>
      <c r="MG72" s="106"/>
      <c r="MH72" s="106"/>
      <c r="MI72" s="106"/>
      <c r="MJ72" s="106"/>
      <c r="MK72" s="106"/>
      <c r="ML72" s="106"/>
      <c r="MM72" s="106"/>
      <c r="MN72" s="106"/>
      <c r="MO72" s="106"/>
      <c r="MP72" s="106"/>
      <c r="MQ72" s="106"/>
      <c r="MR72" s="106"/>
      <c r="MS72" s="106"/>
      <c r="MT72" s="106"/>
      <c r="MU72" s="106"/>
      <c r="MV72" s="106"/>
      <c r="MW72" s="106"/>
      <c r="MX72" s="106"/>
      <c r="MY72" s="106"/>
      <c r="MZ72" s="106"/>
      <c r="NA72" s="106"/>
      <c r="NB72" s="106"/>
      <c r="NC72" s="106"/>
      <c r="ND72" s="106"/>
      <c r="NE72" s="106"/>
      <c r="NF72" s="106"/>
      <c r="NG72" s="106"/>
      <c r="NH72" s="106"/>
      <c r="NI72" s="106"/>
      <c r="NJ72" s="106"/>
      <c r="NK72" s="106"/>
      <c r="NL72" s="106"/>
      <c r="NM72" s="106"/>
      <c r="NN72" s="106"/>
      <c r="NO72" s="106"/>
      <c r="NP72" s="106"/>
      <c r="NQ72" s="106"/>
      <c r="NR72" s="106"/>
      <c r="NS72" s="106"/>
      <c r="NT72" s="106"/>
      <c r="NU72" s="106"/>
      <c r="NV72" s="106"/>
      <c r="NW72" s="106"/>
      <c r="NX72" s="106"/>
      <c r="NY72" s="106"/>
      <c r="NZ72" s="106"/>
      <c r="OA72" s="106"/>
      <c r="OB72" s="106"/>
      <c r="OC72" s="106"/>
      <c r="OD72" s="106"/>
      <c r="OE72" s="106"/>
      <c r="OF72" s="106"/>
      <c r="OG72" s="106"/>
      <c r="OH72" s="106"/>
      <c r="OI72" s="106"/>
      <c r="OJ72" s="106"/>
      <c r="OK72" s="106"/>
      <c r="OL72" s="106"/>
      <c r="OM72" s="106"/>
      <c r="ON72" s="106"/>
      <c r="OO72" s="106"/>
      <c r="OP72" s="106"/>
      <c r="OQ72" s="106"/>
      <c r="OR72" s="106"/>
      <c r="OS72" s="106"/>
      <c r="OT72" s="106"/>
      <c r="OU72" s="106"/>
      <c r="OV72" s="106"/>
      <c r="OW72" s="106"/>
      <c r="OX72" s="106"/>
      <c r="OY72" s="106"/>
      <c r="OZ72" s="106"/>
      <c r="PA72" s="106"/>
      <c r="PB72" s="106"/>
      <c r="PC72" s="106"/>
      <c r="PD72" s="106"/>
      <c r="PE72" s="106"/>
      <c r="PF72" s="106"/>
      <c r="PG72" s="106"/>
      <c r="PH72" s="106"/>
      <c r="PI72" s="106"/>
    </row>
    <row r="73" spans="1:425">
      <c r="B73" s="191"/>
      <c r="C73" s="245" t="s">
        <v>431</v>
      </c>
      <c r="D73" s="106">
        <v>18230133</v>
      </c>
      <c r="E73" s="245"/>
      <c r="F73" s="201"/>
      <c r="G73" s="202"/>
      <c r="H73" s="203"/>
      <c r="I73" s="194">
        <f>SUMIF('Program Costs'!D:D,D73,'Program Costs'!N:N)</f>
        <v>0</v>
      </c>
      <c r="J73" s="204"/>
      <c r="K73" s="204"/>
      <c r="L73" s="204"/>
      <c r="M73" s="204"/>
      <c r="N73" s="223">
        <f>I73</f>
        <v>0</v>
      </c>
      <c r="O73" s="223">
        <f>I73</f>
        <v>0</v>
      </c>
      <c r="P73" s="196"/>
      <c r="Q73" s="196">
        <f>N73/(1+ElecDiscountRate)^1</f>
        <v>0</v>
      </c>
      <c r="R73" s="196">
        <f>O73/(1+ElecDiscountRate)^1</f>
        <v>0</v>
      </c>
      <c r="S73" s="246"/>
      <c r="T73" s="206"/>
      <c r="U73" s="207"/>
      <c r="V73" s="207"/>
      <c r="W73" s="106"/>
      <c r="X73" s="106">
        <v>18230133</v>
      </c>
      <c r="Y73" s="106"/>
      <c r="Z73" s="106"/>
      <c r="AA73" s="106"/>
      <c r="AB73" s="106"/>
      <c r="AC73" s="106"/>
    </row>
    <row r="74" spans="1:425" ht="15.75">
      <c r="A74" s="249"/>
      <c r="B74" s="226"/>
      <c r="C74" s="226" t="s">
        <v>432</v>
      </c>
      <c r="D74" s="226"/>
      <c r="E74" s="226"/>
      <c r="F74" s="226"/>
      <c r="G74" s="226"/>
      <c r="H74" s="226"/>
      <c r="I74" s="227">
        <f>SUM(I72:I73)</f>
        <v>5521224.79</v>
      </c>
      <c r="J74" s="226">
        <f>SUM(J72:J73)</f>
        <v>0</v>
      </c>
      <c r="K74" s="226">
        <f>SUM(K72)</f>
        <v>0</v>
      </c>
      <c r="L74" s="226">
        <f>SUM(L72)</f>
        <v>0</v>
      </c>
      <c r="M74" s="226">
        <f>SUM(M72)</f>
        <v>0</v>
      </c>
      <c r="N74" s="228">
        <f>SUM(N72:N73)</f>
        <v>5521224.79</v>
      </c>
      <c r="O74" s="228">
        <f>SUM(O72:O73)</f>
        <v>5521224.79</v>
      </c>
      <c r="P74" s="228">
        <f>SUM(P72:P72)</f>
        <v>0</v>
      </c>
      <c r="Q74" s="228">
        <f>SUM(Q72:Q73)</f>
        <v>5161470.3094325503</v>
      </c>
      <c r="R74" s="228">
        <f>SUM(R72:R73)</f>
        <v>5161470.3094325503</v>
      </c>
      <c r="S74" s="226">
        <f>SUM(S72)</f>
        <v>0</v>
      </c>
      <c r="T74" s="226">
        <f>SUM(T72)</f>
        <v>0</v>
      </c>
      <c r="U74" s="226"/>
      <c r="V74" s="226"/>
      <c r="W74" s="106"/>
      <c r="X74" s="106"/>
      <c r="Y74" s="106"/>
      <c r="Z74" s="106"/>
      <c r="AA74" s="106"/>
      <c r="AB74" s="106"/>
      <c r="AC74" s="106"/>
    </row>
    <row r="75" spans="1:425">
      <c r="H75" s="250"/>
      <c r="N75" s="252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</row>
    <row r="76" spans="1:425">
      <c r="J76" s="254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</row>
    <row r="77" spans="1:425">
      <c r="T77" s="106"/>
      <c r="U77" s="106"/>
      <c r="V77" s="106"/>
    </row>
    <row r="78" spans="1:425">
      <c r="T78" s="106"/>
      <c r="U78" s="106"/>
      <c r="V78" s="106"/>
    </row>
    <row r="79" spans="1:425" ht="24" customHeight="1">
      <c r="T79" s="106"/>
      <c r="U79" s="106"/>
      <c r="V79" s="106"/>
    </row>
    <row r="80" spans="1:425">
      <c r="T80" s="106"/>
      <c r="U80" s="106"/>
      <c r="V80" s="106"/>
    </row>
    <row r="81" spans="6:148">
      <c r="T81" s="106"/>
      <c r="U81" s="106"/>
      <c r="V81" s="106"/>
    </row>
    <row r="82" spans="6:148">
      <c r="T82" s="106"/>
      <c r="U82" s="106"/>
      <c r="V82" s="106"/>
      <c r="DQ82" s="248"/>
      <c r="DR82" s="248"/>
      <c r="DS82" s="248"/>
      <c r="DT82" s="248"/>
      <c r="DU82" s="248"/>
      <c r="DV82" s="248"/>
      <c r="DW82" s="248"/>
      <c r="DX82" s="248"/>
      <c r="DY82" s="248"/>
      <c r="DZ82" s="248"/>
      <c r="EA82" s="248"/>
      <c r="EB82" s="248"/>
      <c r="EC82" s="248"/>
      <c r="ED82" s="248"/>
      <c r="EE82" s="248"/>
      <c r="EF82" s="248"/>
      <c r="EG82" s="248"/>
      <c r="EH82" s="248"/>
      <c r="EI82" s="248"/>
      <c r="EJ82" s="248"/>
      <c r="EK82" s="248"/>
      <c r="EL82" s="248"/>
      <c r="EM82" s="248"/>
      <c r="EN82" s="248"/>
      <c r="EO82" s="248"/>
      <c r="EP82" s="248"/>
      <c r="EQ82" s="248"/>
      <c r="ER82" s="248"/>
    </row>
    <row r="83" spans="6:148">
      <c r="F83" s="102"/>
      <c r="G83" s="102"/>
      <c r="H83" s="102"/>
      <c r="I83" s="102"/>
      <c r="K83" s="102"/>
      <c r="L83" s="102"/>
      <c r="M83" s="102"/>
      <c r="N83" s="102"/>
      <c r="O83" s="102"/>
      <c r="P83" s="102"/>
      <c r="V83" s="102"/>
      <c r="DQ83" s="248"/>
      <c r="DR83" s="248"/>
      <c r="DS83" s="248"/>
      <c r="DT83" s="248"/>
      <c r="DU83" s="248"/>
      <c r="DV83" s="248"/>
      <c r="DW83" s="248"/>
      <c r="DX83" s="248"/>
      <c r="DY83" s="248"/>
      <c r="DZ83" s="248"/>
      <c r="EA83" s="248"/>
      <c r="EB83" s="248"/>
      <c r="EC83" s="248"/>
      <c r="ED83" s="248"/>
      <c r="EE83" s="248"/>
      <c r="EF83" s="248"/>
      <c r="EG83" s="248"/>
      <c r="EH83" s="248"/>
      <c r="EI83" s="248"/>
      <c r="EJ83" s="248"/>
      <c r="EK83" s="248"/>
      <c r="EL83" s="248"/>
      <c r="EM83" s="248"/>
      <c r="EN83" s="248"/>
      <c r="EO83" s="248"/>
      <c r="EP83" s="248"/>
      <c r="EQ83" s="248"/>
      <c r="ER83" s="248"/>
    </row>
    <row r="84" spans="6:148">
      <c r="F84" s="102"/>
      <c r="G84" s="102"/>
      <c r="H84" s="102"/>
      <c r="I84" s="102"/>
      <c r="K84" s="102"/>
      <c r="L84" s="102"/>
      <c r="M84" s="102"/>
      <c r="N84" s="102"/>
      <c r="O84" s="102"/>
      <c r="P84" s="102"/>
      <c r="V84" s="102"/>
      <c r="DQ84" s="248"/>
      <c r="DR84" s="248"/>
      <c r="DS84" s="248"/>
      <c r="DT84" s="248"/>
      <c r="DU84" s="248"/>
      <c r="DV84" s="248"/>
      <c r="DW84" s="248"/>
      <c r="DX84" s="248"/>
      <c r="DY84" s="248"/>
      <c r="DZ84" s="248"/>
      <c r="EA84" s="248"/>
      <c r="EB84" s="248"/>
      <c r="EC84" s="248"/>
      <c r="ED84" s="248"/>
      <c r="EE84" s="248"/>
      <c r="EF84" s="248"/>
      <c r="EG84" s="248"/>
      <c r="EH84" s="248"/>
      <c r="EI84" s="248"/>
      <c r="EJ84" s="248"/>
      <c r="EK84" s="248"/>
      <c r="EL84" s="248"/>
      <c r="EM84" s="248"/>
      <c r="EN84" s="248"/>
      <c r="EO84" s="248"/>
      <c r="EP84" s="248"/>
      <c r="EQ84" s="248"/>
      <c r="ER84" s="248"/>
    </row>
    <row r="85" spans="6:148">
      <c r="F85" s="102"/>
      <c r="G85" s="102"/>
      <c r="H85" s="102"/>
      <c r="I85" s="102"/>
      <c r="K85" s="102"/>
      <c r="L85" s="102"/>
      <c r="M85" s="102"/>
      <c r="N85" s="102"/>
      <c r="O85" s="102"/>
      <c r="P85" s="102"/>
      <c r="V85" s="102"/>
      <c r="DQ85" s="248"/>
      <c r="DR85" s="248"/>
      <c r="DS85" s="248"/>
      <c r="DT85" s="248"/>
      <c r="DU85" s="248"/>
      <c r="DV85" s="248"/>
      <c r="DW85" s="248"/>
      <c r="DX85" s="248"/>
      <c r="DY85" s="248"/>
      <c r="DZ85" s="248"/>
      <c r="EA85" s="248"/>
      <c r="EB85" s="248"/>
      <c r="EC85" s="248"/>
      <c r="ED85" s="248"/>
      <c r="EE85" s="248"/>
      <c r="EF85" s="248"/>
      <c r="EG85" s="248"/>
      <c r="EH85" s="248"/>
      <c r="EI85" s="248"/>
      <c r="EJ85" s="248"/>
      <c r="EK85" s="248"/>
      <c r="EL85" s="248"/>
      <c r="EM85" s="248"/>
      <c r="EN85" s="248"/>
      <c r="EO85" s="248"/>
      <c r="EP85" s="248"/>
      <c r="EQ85" s="248"/>
      <c r="ER85" s="248"/>
    </row>
    <row r="86" spans="6:148">
      <c r="F86" s="102"/>
      <c r="G86" s="102"/>
      <c r="H86" s="102"/>
      <c r="I86" s="102"/>
      <c r="K86" s="102"/>
      <c r="L86" s="102"/>
      <c r="M86" s="102"/>
      <c r="N86" s="102"/>
      <c r="O86" s="102"/>
      <c r="P86" s="102"/>
      <c r="V86" s="102"/>
      <c r="DQ86" s="248"/>
      <c r="DR86" s="248"/>
      <c r="DS86" s="248"/>
      <c r="DT86" s="248"/>
      <c r="DU86" s="248"/>
      <c r="DV86" s="248"/>
      <c r="DW86" s="248"/>
      <c r="DX86" s="248"/>
      <c r="DY86" s="248"/>
      <c r="DZ86" s="248"/>
      <c r="EA86" s="248"/>
      <c r="EB86" s="248"/>
      <c r="EC86" s="248"/>
      <c r="ED86" s="248"/>
      <c r="EE86" s="248"/>
      <c r="EF86" s="248"/>
      <c r="EG86" s="248"/>
      <c r="EH86" s="248"/>
      <c r="EI86" s="248"/>
      <c r="EJ86" s="248"/>
      <c r="EK86" s="248"/>
      <c r="EL86" s="248"/>
      <c r="EM86" s="248"/>
      <c r="EN86" s="248"/>
      <c r="EO86" s="248"/>
      <c r="EP86" s="248"/>
      <c r="EQ86" s="248"/>
      <c r="ER86" s="248"/>
    </row>
    <row r="87" spans="6:148">
      <c r="F87" s="102"/>
      <c r="G87" s="102"/>
      <c r="H87" s="102"/>
      <c r="I87" s="102"/>
      <c r="K87" s="102"/>
      <c r="L87" s="102"/>
      <c r="M87" s="102"/>
      <c r="N87" s="102"/>
      <c r="O87" s="102"/>
      <c r="P87" s="102"/>
      <c r="V87" s="102"/>
      <c r="DQ87" s="248"/>
      <c r="DR87" s="248"/>
      <c r="DS87" s="248"/>
      <c r="DT87" s="248"/>
      <c r="DU87" s="248"/>
      <c r="DV87" s="248"/>
      <c r="DW87" s="248"/>
      <c r="DX87" s="248"/>
      <c r="DY87" s="248"/>
      <c r="DZ87" s="248"/>
      <c r="EA87" s="248"/>
      <c r="EB87" s="248"/>
      <c r="EC87" s="248"/>
      <c r="ED87" s="248"/>
      <c r="EE87" s="248"/>
      <c r="EF87" s="248"/>
      <c r="EG87" s="248"/>
      <c r="EH87" s="248"/>
      <c r="EI87" s="248"/>
      <c r="EJ87" s="248"/>
      <c r="EK87" s="248"/>
      <c r="EL87" s="248"/>
      <c r="EM87" s="248"/>
      <c r="EN87" s="248"/>
      <c r="EO87" s="248"/>
      <c r="EP87" s="248"/>
      <c r="EQ87" s="248"/>
      <c r="ER87" s="248"/>
    </row>
    <row r="88" spans="6:148">
      <c r="F88" s="102"/>
      <c r="G88" s="102"/>
      <c r="H88" s="102"/>
      <c r="I88" s="102"/>
      <c r="K88" s="102"/>
      <c r="L88" s="102"/>
      <c r="M88" s="102"/>
      <c r="N88" s="102"/>
      <c r="O88" s="102"/>
      <c r="P88" s="102"/>
      <c r="V88" s="102"/>
      <c r="DQ88" s="248"/>
      <c r="DR88" s="248"/>
      <c r="DS88" s="248"/>
      <c r="DT88" s="248"/>
      <c r="DU88" s="248"/>
      <c r="DV88" s="248"/>
      <c r="DW88" s="248"/>
      <c r="DX88" s="248"/>
      <c r="DY88" s="248"/>
      <c r="DZ88" s="248"/>
      <c r="EA88" s="248"/>
      <c r="EB88" s="248"/>
      <c r="EC88" s="248"/>
      <c r="ED88" s="248"/>
      <c r="EE88" s="248"/>
      <c r="EF88" s="248"/>
      <c r="EG88" s="248"/>
      <c r="EH88" s="248"/>
      <c r="EI88" s="248"/>
      <c r="EJ88" s="248"/>
      <c r="EK88" s="248"/>
      <c r="EL88" s="248"/>
      <c r="EM88" s="248"/>
      <c r="EN88" s="248"/>
      <c r="EO88" s="248"/>
      <c r="EP88" s="248"/>
      <c r="EQ88" s="248"/>
      <c r="ER88" s="248"/>
    </row>
    <row r="89" spans="6:148">
      <c r="F89" s="102"/>
      <c r="G89" s="102"/>
      <c r="H89" s="102"/>
      <c r="I89" s="102"/>
      <c r="K89" s="102"/>
      <c r="L89" s="102"/>
      <c r="M89" s="102"/>
      <c r="N89" s="102"/>
      <c r="O89" s="102"/>
      <c r="P89" s="102"/>
      <c r="V89" s="102"/>
      <c r="DQ89" s="248"/>
      <c r="DR89" s="248"/>
      <c r="DS89" s="248"/>
      <c r="DT89" s="248"/>
      <c r="DU89" s="248"/>
      <c r="DV89" s="248"/>
      <c r="DW89" s="248"/>
      <c r="DX89" s="248"/>
      <c r="DY89" s="248"/>
      <c r="DZ89" s="248"/>
      <c r="EA89" s="248"/>
      <c r="EB89" s="248"/>
      <c r="EC89" s="248"/>
      <c r="ED89" s="248"/>
      <c r="EE89" s="248"/>
      <c r="EF89" s="248"/>
      <c r="EG89" s="248"/>
      <c r="EH89" s="248"/>
      <c r="EI89" s="248"/>
      <c r="EJ89" s="248"/>
      <c r="EK89" s="248"/>
      <c r="EL89" s="248"/>
      <c r="EM89" s="248"/>
      <c r="EN89" s="248"/>
      <c r="EO89" s="248"/>
      <c r="EP89" s="248"/>
      <c r="EQ89" s="248"/>
      <c r="ER89" s="248"/>
    </row>
    <row r="90" spans="6:148" ht="24" customHeight="1">
      <c r="F90" s="102"/>
      <c r="G90" s="102"/>
      <c r="H90" s="102"/>
      <c r="I90" s="102"/>
      <c r="K90" s="102"/>
      <c r="L90" s="102"/>
      <c r="M90" s="102"/>
      <c r="N90" s="102"/>
      <c r="O90" s="102"/>
      <c r="P90" s="102"/>
      <c r="V90" s="102"/>
      <c r="DQ90" s="248"/>
      <c r="DR90" s="248"/>
      <c r="DS90" s="248"/>
      <c r="DT90" s="248"/>
      <c r="DU90" s="248"/>
      <c r="DV90" s="248"/>
      <c r="DW90" s="248"/>
      <c r="DX90" s="248"/>
      <c r="DY90" s="248"/>
      <c r="DZ90" s="248"/>
      <c r="EA90" s="248"/>
      <c r="EB90" s="248"/>
      <c r="EC90" s="248"/>
      <c r="ED90" s="248"/>
      <c r="EE90" s="248"/>
      <c r="EF90" s="248"/>
      <c r="EG90" s="248"/>
      <c r="EH90" s="248"/>
      <c r="EI90" s="248"/>
      <c r="EJ90" s="248"/>
      <c r="EK90" s="248"/>
      <c r="EL90" s="248"/>
      <c r="EM90" s="248"/>
      <c r="EN90" s="248"/>
      <c r="EO90" s="248"/>
      <c r="EP90" s="248"/>
      <c r="EQ90" s="248"/>
      <c r="ER90" s="248"/>
    </row>
    <row r="91" spans="6:148">
      <c r="F91" s="102"/>
      <c r="G91" s="102"/>
      <c r="H91" s="102"/>
      <c r="I91" s="102"/>
      <c r="K91" s="102"/>
      <c r="L91" s="102"/>
      <c r="M91" s="102"/>
      <c r="N91" s="102"/>
      <c r="O91" s="102"/>
      <c r="P91" s="102"/>
      <c r="V91" s="102"/>
      <c r="DQ91" s="248"/>
      <c r="DR91" s="248"/>
      <c r="DS91" s="248"/>
      <c r="DT91" s="248"/>
      <c r="DU91" s="248"/>
      <c r="DV91" s="248"/>
      <c r="DW91" s="248"/>
      <c r="DX91" s="248"/>
      <c r="DY91" s="248"/>
      <c r="DZ91" s="248"/>
      <c r="EA91" s="248"/>
      <c r="EB91" s="248"/>
      <c r="EC91" s="248"/>
      <c r="ED91" s="248"/>
      <c r="EE91" s="248"/>
      <c r="EF91" s="248"/>
      <c r="EG91" s="248"/>
      <c r="EH91" s="248"/>
      <c r="EI91" s="248"/>
      <c r="EJ91" s="248"/>
      <c r="EK91" s="248"/>
      <c r="EL91" s="248"/>
      <c r="EM91" s="248"/>
      <c r="EN91" s="248"/>
      <c r="EO91" s="248"/>
      <c r="EP91" s="248"/>
      <c r="EQ91" s="248"/>
      <c r="ER91" s="248"/>
    </row>
    <row r="92" spans="6:148">
      <c r="F92" s="102"/>
      <c r="G92" s="102"/>
      <c r="H92" s="102"/>
      <c r="I92" s="102"/>
      <c r="K92" s="102"/>
      <c r="L92" s="102"/>
      <c r="M92" s="102"/>
      <c r="N92" s="102"/>
      <c r="O92" s="102"/>
      <c r="P92" s="102"/>
      <c r="V92" s="102"/>
      <c r="DQ92" s="248"/>
      <c r="DR92" s="248"/>
      <c r="DS92" s="248"/>
      <c r="DT92" s="248"/>
      <c r="DU92" s="248"/>
      <c r="DV92" s="248"/>
      <c r="DW92" s="248"/>
      <c r="DX92" s="248"/>
      <c r="DY92" s="248"/>
      <c r="DZ92" s="248"/>
      <c r="EA92" s="248"/>
      <c r="EB92" s="248"/>
      <c r="EC92" s="248"/>
      <c r="ED92" s="248"/>
      <c r="EE92" s="248"/>
      <c r="EF92" s="248"/>
      <c r="EG92" s="248"/>
      <c r="EH92" s="248"/>
      <c r="EI92" s="248"/>
      <c r="EJ92" s="248"/>
      <c r="EK92" s="248"/>
      <c r="EL92" s="248"/>
      <c r="EM92" s="248"/>
      <c r="EN92" s="248"/>
      <c r="EO92" s="248"/>
      <c r="EP92" s="248"/>
      <c r="EQ92" s="248"/>
      <c r="ER92" s="248"/>
    </row>
    <row r="93" spans="6:148">
      <c r="F93" s="102"/>
      <c r="G93" s="102"/>
      <c r="H93" s="102"/>
      <c r="I93" s="102"/>
      <c r="K93" s="102"/>
      <c r="L93" s="102"/>
      <c r="M93" s="102"/>
      <c r="N93" s="102"/>
      <c r="O93" s="102"/>
      <c r="P93" s="102"/>
      <c r="V93" s="102"/>
    </row>
    <row r="94" spans="6:148">
      <c r="T94" s="106"/>
      <c r="U94" s="106"/>
      <c r="V94" s="106"/>
    </row>
    <row r="95" spans="6:148">
      <c r="T95" s="106"/>
      <c r="U95" s="106"/>
      <c r="V95" s="106"/>
    </row>
    <row r="96" spans="6:148">
      <c r="T96" s="106"/>
      <c r="U96" s="106"/>
      <c r="V96" s="106"/>
    </row>
    <row r="97" spans="20:22">
      <c r="T97" s="106"/>
      <c r="U97" s="106"/>
      <c r="V97" s="106"/>
    </row>
    <row r="98" spans="20:22">
      <c r="T98" s="106"/>
      <c r="U98" s="106"/>
      <c r="V98" s="106"/>
    </row>
    <row r="99" spans="20:22">
      <c r="T99" s="106"/>
      <c r="U99" s="106"/>
      <c r="V99" s="106"/>
    </row>
    <row r="100" spans="20:22">
      <c r="T100" s="106"/>
      <c r="U100" s="106"/>
      <c r="V100" s="106"/>
    </row>
    <row r="101" spans="20:22" ht="24" customHeight="1">
      <c r="T101" s="106"/>
      <c r="U101" s="106"/>
      <c r="V101" s="106"/>
    </row>
    <row r="102" spans="20:22">
      <c r="T102" s="106"/>
      <c r="U102" s="106"/>
      <c r="V102" s="106"/>
    </row>
    <row r="103" spans="20:22">
      <c r="T103" s="106"/>
      <c r="U103" s="106"/>
      <c r="V103" s="106"/>
    </row>
    <row r="104" spans="20:22">
      <c r="T104" s="106"/>
      <c r="U104" s="106"/>
      <c r="V104" s="106"/>
    </row>
    <row r="105" spans="20:22">
      <c r="T105" s="106"/>
      <c r="U105" s="106"/>
      <c r="V105" s="106"/>
    </row>
    <row r="106" spans="20:22">
      <c r="T106" s="106"/>
      <c r="U106" s="106"/>
      <c r="V106" s="106"/>
    </row>
    <row r="107" spans="20:22">
      <c r="T107" s="106"/>
      <c r="U107" s="106"/>
      <c r="V107" s="106"/>
    </row>
    <row r="108" spans="20:22">
      <c r="T108" s="106"/>
      <c r="U108" s="106"/>
      <c r="V108" s="106"/>
    </row>
    <row r="109" spans="20:22">
      <c r="T109" s="106"/>
      <c r="U109" s="106"/>
      <c r="V109" s="106"/>
    </row>
    <row r="110" spans="20:22">
      <c r="T110" s="106"/>
      <c r="U110" s="106"/>
      <c r="V110" s="106"/>
    </row>
    <row r="111" spans="20:22">
      <c r="T111" s="106"/>
      <c r="U111" s="106"/>
      <c r="V111" s="106"/>
    </row>
    <row r="112" spans="20:22" ht="24" customHeight="1">
      <c r="T112" s="106"/>
      <c r="U112" s="106"/>
      <c r="V112" s="106"/>
    </row>
    <row r="113" spans="20:22">
      <c r="T113" s="106"/>
      <c r="U113" s="106"/>
      <c r="V113" s="106"/>
    </row>
    <row r="114" spans="20:22">
      <c r="T114" s="106"/>
      <c r="U114" s="106"/>
      <c r="V114" s="106"/>
    </row>
    <row r="115" spans="20:22">
      <c r="T115" s="106"/>
      <c r="U115" s="106"/>
      <c r="V115" s="106"/>
    </row>
    <row r="116" spans="20:22">
      <c r="T116" s="106"/>
      <c r="U116" s="106"/>
      <c r="V116" s="106"/>
    </row>
    <row r="117" spans="20:22">
      <c r="T117" s="106"/>
      <c r="U117" s="106"/>
      <c r="V117" s="106"/>
    </row>
    <row r="118" spans="20:22">
      <c r="T118" s="106"/>
      <c r="U118" s="106"/>
      <c r="V118" s="106"/>
    </row>
    <row r="119" spans="20:22">
      <c r="T119" s="106"/>
      <c r="U119" s="106"/>
      <c r="V119" s="106"/>
    </row>
    <row r="120" spans="20:22">
      <c r="T120" s="106"/>
      <c r="U120" s="106"/>
      <c r="V120" s="106"/>
    </row>
    <row r="121" spans="20:22">
      <c r="T121" s="106"/>
      <c r="U121" s="106"/>
      <c r="V121" s="106"/>
    </row>
    <row r="122" spans="20:22">
      <c r="T122" s="106"/>
      <c r="U122" s="106"/>
      <c r="V122" s="106"/>
    </row>
    <row r="123" spans="20:22" ht="24" customHeight="1">
      <c r="T123" s="106"/>
      <c r="U123" s="106"/>
      <c r="V123" s="106"/>
    </row>
    <row r="124" spans="20:22">
      <c r="T124" s="106"/>
      <c r="U124" s="106"/>
      <c r="V124" s="106"/>
    </row>
    <row r="125" spans="20:22">
      <c r="T125" s="106"/>
      <c r="U125" s="106"/>
      <c r="V125" s="106"/>
    </row>
    <row r="126" spans="20:22">
      <c r="T126" s="106"/>
      <c r="U126" s="106"/>
      <c r="V126" s="106"/>
    </row>
    <row r="127" spans="20:22">
      <c r="T127" s="106"/>
      <c r="U127" s="106"/>
      <c r="V127" s="106"/>
    </row>
    <row r="128" spans="20:22">
      <c r="T128" s="106"/>
      <c r="U128" s="106"/>
      <c r="V128" s="106"/>
    </row>
    <row r="129" spans="20:22">
      <c r="T129" s="106"/>
      <c r="U129" s="106"/>
      <c r="V129" s="106"/>
    </row>
    <row r="130" spans="20:22">
      <c r="T130" s="106"/>
      <c r="U130" s="106"/>
      <c r="V130" s="106"/>
    </row>
    <row r="131" spans="20:22">
      <c r="T131" s="106"/>
      <c r="U131" s="106"/>
      <c r="V131" s="106"/>
    </row>
    <row r="132" spans="20:22">
      <c r="T132" s="106"/>
      <c r="U132" s="106"/>
      <c r="V132" s="106"/>
    </row>
    <row r="133" spans="20:22">
      <c r="T133" s="106"/>
      <c r="U133" s="106"/>
      <c r="V133" s="106"/>
    </row>
    <row r="134" spans="20:22" ht="24" customHeight="1">
      <c r="T134" s="106"/>
      <c r="U134" s="106"/>
      <c r="V134" s="106"/>
    </row>
    <row r="135" spans="20:22">
      <c r="T135" s="106"/>
      <c r="U135" s="106"/>
      <c r="V135" s="106"/>
    </row>
    <row r="136" spans="20:22">
      <c r="T136" s="106"/>
      <c r="U136" s="106"/>
      <c r="V136" s="106"/>
    </row>
    <row r="137" spans="20:22">
      <c r="T137" s="106"/>
      <c r="U137" s="106"/>
      <c r="V137" s="106"/>
    </row>
    <row r="138" spans="20:22">
      <c r="T138" s="106"/>
      <c r="U138" s="106"/>
      <c r="V138" s="106"/>
    </row>
    <row r="139" spans="20:22">
      <c r="T139" s="106"/>
      <c r="U139" s="106"/>
      <c r="V139" s="106"/>
    </row>
    <row r="140" spans="20:22">
      <c r="T140" s="106"/>
      <c r="U140" s="106"/>
      <c r="V140" s="106"/>
    </row>
    <row r="141" spans="20:22">
      <c r="T141" s="106"/>
      <c r="U141" s="106"/>
      <c r="V141" s="106"/>
    </row>
    <row r="142" spans="20:22">
      <c r="T142" s="106"/>
      <c r="U142" s="106"/>
      <c r="V142" s="106"/>
    </row>
    <row r="143" spans="20:22">
      <c r="T143" s="106"/>
      <c r="U143" s="106"/>
      <c r="V143" s="106"/>
    </row>
    <row r="144" spans="20:22">
      <c r="T144" s="106"/>
      <c r="U144" s="106"/>
      <c r="V144" s="106"/>
    </row>
    <row r="145" spans="20:22" ht="24" customHeight="1">
      <c r="T145" s="106"/>
      <c r="U145" s="106"/>
      <c r="V145" s="106"/>
    </row>
    <row r="146" spans="20:22">
      <c r="T146" s="106"/>
      <c r="U146" s="106"/>
      <c r="V146" s="106"/>
    </row>
    <row r="147" spans="20:22">
      <c r="T147" s="106"/>
      <c r="U147" s="106"/>
      <c r="V147" s="106"/>
    </row>
    <row r="148" spans="20:22">
      <c r="T148" s="106"/>
      <c r="U148" s="106"/>
      <c r="V148" s="106"/>
    </row>
    <row r="149" spans="20:22">
      <c r="T149" s="106"/>
      <c r="U149" s="106"/>
      <c r="V149" s="106"/>
    </row>
    <row r="150" spans="20:22">
      <c r="T150" s="106"/>
      <c r="U150" s="106"/>
      <c r="V150" s="106"/>
    </row>
    <row r="151" spans="20:22">
      <c r="T151" s="106"/>
      <c r="U151" s="106"/>
      <c r="V151" s="106"/>
    </row>
    <row r="152" spans="20:22">
      <c r="T152" s="106"/>
      <c r="U152" s="106"/>
      <c r="V152" s="106"/>
    </row>
    <row r="153" spans="20:22">
      <c r="T153" s="106"/>
      <c r="U153" s="106"/>
      <c r="V153" s="106"/>
    </row>
    <row r="154" spans="20:22">
      <c r="T154" s="106"/>
      <c r="U154" s="106"/>
      <c r="V154" s="106"/>
    </row>
    <row r="155" spans="20:22">
      <c r="T155" s="106"/>
      <c r="U155" s="106"/>
      <c r="V155" s="106"/>
    </row>
    <row r="156" spans="20:22" ht="24" customHeight="1">
      <c r="T156" s="106"/>
      <c r="U156" s="106"/>
      <c r="V156" s="106"/>
    </row>
    <row r="157" spans="20:22">
      <c r="T157" s="106"/>
      <c r="U157" s="106"/>
      <c r="V157" s="106"/>
    </row>
    <row r="158" spans="20:22">
      <c r="T158" s="106"/>
      <c r="U158" s="106"/>
      <c r="V158" s="106"/>
    </row>
    <row r="159" spans="20:22">
      <c r="T159" s="106"/>
      <c r="U159" s="106"/>
      <c r="V159" s="106"/>
    </row>
    <row r="160" spans="20:22">
      <c r="T160" s="106"/>
      <c r="U160" s="106"/>
      <c r="V160" s="106"/>
    </row>
    <row r="161" spans="20:22">
      <c r="T161" s="106"/>
      <c r="U161" s="106"/>
      <c r="V161" s="106"/>
    </row>
    <row r="162" spans="20:22">
      <c r="T162" s="106"/>
      <c r="U162" s="106"/>
      <c r="V162" s="106"/>
    </row>
    <row r="163" spans="20:22">
      <c r="T163" s="106"/>
      <c r="U163" s="106"/>
      <c r="V163" s="106"/>
    </row>
    <row r="164" spans="20:22">
      <c r="T164" s="106"/>
      <c r="U164" s="106"/>
      <c r="V164" s="106"/>
    </row>
    <row r="165" spans="20:22">
      <c r="T165" s="106"/>
      <c r="U165" s="106"/>
      <c r="V165" s="106"/>
    </row>
    <row r="166" spans="20:22">
      <c r="T166" s="106"/>
      <c r="U166" s="106"/>
      <c r="V166" s="106"/>
    </row>
    <row r="167" spans="20:22" ht="24" customHeight="1">
      <c r="T167" s="106"/>
      <c r="U167" s="106"/>
      <c r="V167" s="106"/>
    </row>
    <row r="168" spans="20:22">
      <c r="T168" s="106"/>
      <c r="U168" s="106"/>
      <c r="V168" s="106"/>
    </row>
    <row r="169" spans="20:22">
      <c r="T169" s="106"/>
      <c r="U169" s="106"/>
      <c r="V169" s="106"/>
    </row>
    <row r="170" spans="20:22">
      <c r="T170" s="106"/>
      <c r="U170" s="106"/>
      <c r="V170" s="106"/>
    </row>
    <row r="171" spans="20:22">
      <c r="T171" s="106"/>
      <c r="U171" s="106"/>
      <c r="V171" s="106"/>
    </row>
    <row r="172" spans="20:22">
      <c r="T172" s="106"/>
      <c r="U172" s="106"/>
      <c r="V172" s="106"/>
    </row>
    <row r="173" spans="20:22">
      <c r="T173" s="106"/>
      <c r="U173" s="106"/>
      <c r="V173" s="106"/>
    </row>
    <row r="174" spans="20:22">
      <c r="T174" s="106"/>
      <c r="U174" s="106"/>
      <c r="V174" s="106"/>
    </row>
    <row r="175" spans="20:22">
      <c r="T175" s="106"/>
      <c r="U175" s="106"/>
      <c r="V175" s="106"/>
    </row>
    <row r="176" spans="20:22">
      <c r="T176" s="106"/>
      <c r="U176" s="106"/>
      <c r="V176" s="106"/>
    </row>
    <row r="177" spans="20:22">
      <c r="T177" s="106"/>
      <c r="U177" s="106"/>
      <c r="V177" s="106"/>
    </row>
    <row r="178" spans="20:22" ht="24" customHeight="1">
      <c r="T178" s="106"/>
      <c r="U178" s="106"/>
      <c r="V178" s="106"/>
    </row>
    <row r="179" spans="20:22">
      <c r="T179" s="106"/>
      <c r="U179" s="106"/>
      <c r="V179" s="106"/>
    </row>
    <row r="180" spans="20:22">
      <c r="T180" s="106"/>
      <c r="U180" s="106"/>
      <c r="V180" s="106"/>
    </row>
    <row r="181" spans="20:22">
      <c r="T181" s="106"/>
      <c r="U181" s="106"/>
      <c r="V181" s="106"/>
    </row>
    <row r="182" spans="20:22">
      <c r="T182" s="106"/>
      <c r="U182" s="106"/>
      <c r="V182" s="106"/>
    </row>
    <row r="183" spans="20:22">
      <c r="T183" s="106"/>
      <c r="U183" s="106"/>
      <c r="V183" s="106"/>
    </row>
    <row r="184" spans="20:22">
      <c r="T184" s="106"/>
      <c r="U184" s="106"/>
      <c r="V184" s="106"/>
    </row>
    <row r="185" spans="20:22">
      <c r="T185" s="106"/>
      <c r="U185" s="106"/>
      <c r="V185" s="106"/>
    </row>
    <row r="186" spans="20:22">
      <c r="T186" s="106"/>
      <c r="U186" s="106"/>
      <c r="V186" s="106"/>
    </row>
    <row r="187" spans="20:22">
      <c r="T187" s="106"/>
      <c r="U187" s="106"/>
      <c r="V187" s="106"/>
    </row>
    <row r="188" spans="20:22">
      <c r="T188" s="106"/>
      <c r="U188" s="106"/>
      <c r="V188" s="106"/>
    </row>
    <row r="189" spans="20:22" ht="24" customHeight="1">
      <c r="T189" s="106"/>
      <c r="U189" s="106"/>
      <c r="V189" s="106"/>
    </row>
    <row r="190" spans="20:22">
      <c r="T190" s="106"/>
      <c r="U190" s="106"/>
      <c r="V190" s="106"/>
    </row>
    <row r="191" spans="20:22">
      <c r="T191" s="106"/>
      <c r="U191" s="106"/>
      <c r="V191" s="106"/>
    </row>
    <row r="192" spans="20:22">
      <c r="T192" s="106"/>
      <c r="U192" s="106"/>
      <c r="V192" s="106"/>
    </row>
    <row r="193" spans="20:22">
      <c r="T193" s="106"/>
      <c r="U193" s="106"/>
      <c r="V193" s="106"/>
    </row>
    <row r="194" spans="20:22">
      <c r="T194" s="106"/>
      <c r="U194" s="106"/>
      <c r="V194" s="106"/>
    </row>
    <row r="195" spans="20:22">
      <c r="T195" s="106"/>
      <c r="U195" s="106"/>
      <c r="V195" s="106"/>
    </row>
    <row r="196" spans="20:22">
      <c r="T196" s="106"/>
      <c r="U196" s="106"/>
      <c r="V196" s="106"/>
    </row>
    <row r="197" spans="20:22">
      <c r="T197" s="106"/>
      <c r="U197" s="106"/>
      <c r="V197" s="106"/>
    </row>
    <row r="198" spans="20:22">
      <c r="T198" s="106"/>
      <c r="U198" s="106"/>
      <c r="V198" s="106"/>
    </row>
    <row r="199" spans="20:22">
      <c r="T199" s="106"/>
      <c r="U199" s="106"/>
      <c r="V199" s="106"/>
    </row>
    <row r="200" spans="20:22" ht="24" customHeight="1">
      <c r="T200" s="106"/>
      <c r="U200" s="106"/>
      <c r="V200" s="106"/>
    </row>
    <row r="201" spans="20:22">
      <c r="T201" s="106"/>
      <c r="U201" s="106"/>
      <c r="V201" s="106"/>
    </row>
    <row r="202" spans="20:22">
      <c r="T202" s="106"/>
      <c r="U202" s="106"/>
      <c r="V202" s="106"/>
    </row>
    <row r="203" spans="20:22">
      <c r="T203" s="106"/>
      <c r="U203" s="106"/>
      <c r="V203" s="106"/>
    </row>
    <row r="204" spans="20:22">
      <c r="T204" s="106"/>
      <c r="U204" s="106"/>
      <c r="V204" s="106"/>
    </row>
    <row r="205" spans="20:22">
      <c r="T205" s="106"/>
      <c r="U205" s="106"/>
      <c r="V205" s="106"/>
    </row>
    <row r="206" spans="20:22">
      <c r="T206" s="106"/>
      <c r="U206" s="106"/>
      <c r="V206" s="106"/>
    </row>
    <row r="207" spans="20:22">
      <c r="T207" s="106"/>
      <c r="U207" s="106"/>
      <c r="V207" s="106"/>
    </row>
    <row r="208" spans="20:22">
      <c r="T208" s="106"/>
      <c r="U208" s="106"/>
      <c r="V208" s="106"/>
    </row>
    <row r="209" spans="20:22">
      <c r="T209" s="106"/>
      <c r="U209" s="106"/>
      <c r="V209" s="106"/>
    </row>
    <row r="210" spans="20:22">
      <c r="T210" s="106"/>
      <c r="U210" s="106"/>
      <c r="V210" s="106"/>
    </row>
    <row r="211" spans="20:22" ht="24" customHeight="1">
      <c r="T211" s="106"/>
      <c r="U211" s="106"/>
      <c r="V211" s="106"/>
    </row>
    <row r="212" spans="20:22">
      <c r="T212" s="106"/>
      <c r="U212" s="106"/>
      <c r="V212" s="106"/>
    </row>
    <row r="213" spans="20:22">
      <c r="T213" s="106"/>
      <c r="U213" s="106"/>
      <c r="V213" s="106"/>
    </row>
    <row r="214" spans="20:22">
      <c r="T214" s="106"/>
      <c r="U214" s="106"/>
      <c r="V214" s="106"/>
    </row>
    <row r="215" spans="20:22">
      <c r="T215" s="106"/>
      <c r="U215" s="106"/>
      <c r="V215" s="106"/>
    </row>
    <row r="216" spans="20:22">
      <c r="T216" s="106"/>
      <c r="U216" s="106"/>
      <c r="V216" s="106"/>
    </row>
    <row r="217" spans="20:22">
      <c r="T217" s="106"/>
      <c r="U217" s="106"/>
      <c r="V217" s="106"/>
    </row>
    <row r="218" spans="20:22">
      <c r="T218" s="106"/>
      <c r="U218" s="106"/>
      <c r="V218" s="106"/>
    </row>
    <row r="219" spans="20:22">
      <c r="T219" s="106"/>
      <c r="U219" s="106"/>
      <c r="V219" s="106"/>
    </row>
    <row r="220" spans="20:22">
      <c r="T220" s="106"/>
      <c r="U220" s="106"/>
      <c r="V220" s="106"/>
    </row>
    <row r="221" spans="20:22">
      <c r="T221" s="106"/>
      <c r="U221" s="106"/>
      <c r="V221" s="106"/>
    </row>
    <row r="222" spans="20:22" ht="24" customHeight="1">
      <c r="T222" s="106"/>
      <c r="U222" s="106"/>
      <c r="V222" s="106"/>
    </row>
    <row r="223" spans="20:22">
      <c r="T223" s="106"/>
      <c r="U223" s="106"/>
      <c r="V223" s="106"/>
    </row>
    <row r="224" spans="20:22">
      <c r="T224" s="106"/>
      <c r="U224" s="106"/>
      <c r="V224" s="106"/>
    </row>
    <row r="225" spans="20:22">
      <c r="T225" s="106"/>
      <c r="U225" s="106"/>
      <c r="V225" s="106"/>
    </row>
    <row r="226" spans="20:22">
      <c r="T226" s="106"/>
      <c r="U226" s="106"/>
      <c r="V226" s="106"/>
    </row>
    <row r="227" spans="20:22">
      <c r="T227" s="106"/>
      <c r="U227" s="106"/>
      <c r="V227" s="106"/>
    </row>
    <row r="228" spans="20:22">
      <c r="T228" s="106"/>
      <c r="U228" s="106"/>
      <c r="V228" s="106"/>
    </row>
    <row r="229" spans="20:22">
      <c r="T229" s="106"/>
      <c r="U229" s="106"/>
      <c r="V229" s="106"/>
    </row>
    <row r="230" spans="20:22">
      <c r="T230" s="106"/>
      <c r="U230" s="106"/>
      <c r="V230" s="106"/>
    </row>
    <row r="231" spans="20:22">
      <c r="T231" s="106"/>
      <c r="U231" s="106"/>
      <c r="V231" s="106"/>
    </row>
    <row r="232" spans="20:22">
      <c r="T232" s="106"/>
      <c r="U232" s="106"/>
      <c r="V232" s="106"/>
    </row>
    <row r="233" spans="20:22" ht="24" customHeight="1">
      <c r="T233" s="106"/>
      <c r="U233" s="106"/>
      <c r="V233" s="106"/>
    </row>
    <row r="234" spans="20:22">
      <c r="T234" s="106"/>
      <c r="U234" s="106"/>
      <c r="V234" s="106"/>
    </row>
    <row r="235" spans="20:22">
      <c r="T235" s="106"/>
      <c r="U235" s="106"/>
      <c r="V235" s="106"/>
    </row>
    <row r="236" spans="20:22">
      <c r="T236" s="106"/>
      <c r="U236" s="106"/>
      <c r="V236" s="106"/>
    </row>
    <row r="237" spans="20:22">
      <c r="T237" s="106"/>
      <c r="U237" s="106"/>
      <c r="V237" s="106"/>
    </row>
    <row r="238" spans="20:22">
      <c r="T238" s="106"/>
      <c r="U238" s="106"/>
      <c r="V238" s="106"/>
    </row>
    <row r="239" spans="20:22">
      <c r="T239" s="106"/>
      <c r="U239" s="106"/>
      <c r="V239" s="106"/>
    </row>
    <row r="240" spans="20:22">
      <c r="T240" s="106"/>
      <c r="U240" s="106"/>
      <c r="V240" s="106"/>
    </row>
    <row r="241" spans="20:22">
      <c r="T241" s="106"/>
      <c r="U241" s="106"/>
      <c r="V241" s="106"/>
    </row>
    <row r="242" spans="20:22">
      <c r="T242" s="106"/>
      <c r="U242" s="106"/>
      <c r="V242" s="106"/>
    </row>
    <row r="243" spans="20:22">
      <c r="T243" s="106"/>
      <c r="U243" s="106"/>
      <c r="V243" s="106"/>
    </row>
    <row r="244" spans="20:22" ht="24" customHeight="1">
      <c r="T244" s="106"/>
      <c r="U244" s="106"/>
      <c r="V244" s="106"/>
    </row>
    <row r="245" spans="20:22">
      <c r="T245" s="106"/>
      <c r="U245" s="106"/>
      <c r="V245" s="106"/>
    </row>
    <row r="246" spans="20:22">
      <c r="T246" s="106"/>
      <c r="U246" s="106"/>
      <c r="V246" s="106"/>
    </row>
    <row r="247" spans="20:22">
      <c r="T247" s="106"/>
      <c r="U247" s="106"/>
      <c r="V247" s="106"/>
    </row>
    <row r="248" spans="20:22">
      <c r="T248" s="106"/>
      <c r="U248" s="106"/>
      <c r="V248" s="106"/>
    </row>
    <row r="249" spans="20:22">
      <c r="T249" s="106"/>
      <c r="U249" s="106"/>
      <c r="V249" s="106"/>
    </row>
    <row r="250" spans="20:22">
      <c r="T250" s="106"/>
      <c r="U250" s="106"/>
      <c r="V250" s="106"/>
    </row>
    <row r="251" spans="20:22">
      <c r="T251" s="106"/>
      <c r="U251" s="106"/>
      <c r="V251" s="106"/>
    </row>
    <row r="252" spans="20:22">
      <c r="T252" s="106"/>
      <c r="U252" s="106"/>
      <c r="V252" s="106"/>
    </row>
    <row r="253" spans="20:22">
      <c r="T253" s="106"/>
      <c r="U253" s="106"/>
      <c r="V253" s="106"/>
    </row>
    <row r="254" spans="20:22">
      <c r="T254" s="106"/>
      <c r="U254" s="106"/>
      <c r="V254" s="106"/>
    </row>
    <row r="255" spans="20:22" ht="24" customHeight="1">
      <c r="T255" s="106"/>
      <c r="U255" s="106"/>
      <c r="V255" s="106"/>
    </row>
    <row r="256" spans="20:22">
      <c r="T256" s="106"/>
      <c r="U256" s="106"/>
      <c r="V256" s="106"/>
    </row>
    <row r="257" spans="20:22">
      <c r="T257" s="106"/>
      <c r="U257" s="106"/>
      <c r="V257" s="106"/>
    </row>
    <row r="258" spans="20:22">
      <c r="T258" s="106"/>
      <c r="U258" s="106"/>
      <c r="V258" s="106"/>
    </row>
    <row r="259" spans="20:22">
      <c r="T259" s="106"/>
      <c r="U259" s="106"/>
      <c r="V259" s="106"/>
    </row>
    <row r="260" spans="20:22">
      <c r="T260" s="106"/>
      <c r="U260" s="106"/>
      <c r="V260" s="106"/>
    </row>
    <row r="261" spans="20:22">
      <c r="T261" s="106"/>
      <c r="U261" s="106"/>
      <c r="V261" s="106"/>
    </row>
    <row r="262" spans="20:22">
      <c r="T262" s="106"/>
      <c r="U262" s="106"/>
      <c r="V262" s="106"/>
    </row>
    <row r="263" spans="20:22">
      <c r="T263" s="106"/>
      <c r="U263" s="106"/>
      <c r="V263" s="106"/>
    </row>
    <row r="264" spans="20:22">
      <c r="T264" s="106"/>
      <c r="U264" s="106"/>
      <c r="V264" s="106"/>
    </row>
    <row r="265" spans="20:22">
      <c r="T265" s="106"/>
      <c r="U265" s="106"/>
      <c r="V265" s="106"/>
    </row>
    <row r="266" spans="20:22">
      <c r="T266" s="106"/>
      <c r="U266" s="106"/>
      <c r="V266" s="106"/>
    </row>
    <row r="267" spans="20:22">
      <c r="T267" s="106"/>
      <c r="U267" s="106"/>
      <c r="V267" s="106"/>
    </row>
    <row r="268" spans="20:22">
      <c r="T268" s="106"/>
      <c r="U268" s="106"/>
      <c r="V268" s="106"/>
    </row>
    <row r="269" spans="20:22">
      <c r="T269" s="106"/>
      <c r="U269" s="106"/>
      <c r="V269" s="106"/>
    </row>
    <row r="270" spans="20:22">
      <c r="T270" s="106"/>
      <c r="U270" s="106"/>
      <c r="V270" s="106"/>
    </row>
    <row r="271" spans="20:22">
      <c r="T271" s="106"/>
      <c r="U271" s="106"/>
      <c r="V271" s="106"/>
    </row>
  </sheetData>
  <mergeCells count="2">
    <mergeCell ref="G1:J1"/>
    <mergeCell ref="K1:M1"/>
  </mergeCells>
  <conditionalFormatting sqref="X73">
    <cfRule type="duplicateValues" dxfId="330" priority="3"/>
  </conditionalFormatting>
  <conditionalFormatting sqref="X59:AA59">
    <cfRule type="duplicateValues" dxfId="329" priority="2"/>
  </conditionalFormatting>
  <conditionalFormatting sqref="D73">
    <cfRule type="duplicateValues" dxfId="328" priority="1"/>
  </conditionalFormatting>
  <hyperlinks>
    <hyperlink ref="C6" location="'E201 LIW {E}'!A1" display="Low Income Weatherization"/>
    <hyperlink ref="C8" location="'Residential Lighting {E}'!A1" display="Residential Lighting"/>
    <hyperlink ref="C9" location="'SF Existing Space Heat {E}'!A1" display="SF Existing Space Heat"/>
    <hyperlink ref="C10" location="'SF Existing Water Heat {E}'!A1" display="SF Existing Water Heat"/>
    <hyperlink ref="C11" location="'Home Appliances {E}'!A1" display="Home Appliances"/>
    <hyperlink ref="C12" location="'Web-Enabled Thermostats {E}'!A1" display="Web-Enabled Thermostat"/>
    <hyperlink ref="C13" location="'Residential Showerheads {E}'!A1" display="Residential Water Use Reducers"/>
    <hyperlink ref="C14" location="'SF Existing Weatherization {E}'!A1" display="SF Existing Weatherization"/>
    <hyperlink ref="C15" location="'Home Energy Reports {E}'!A1" display="Home Energy Reports"/>
    <hyperlink ref="C17" location="'Efficiency Boost {E}'!A1" display="Efficiency Boost"/>
    <hyperlink ref="C18" location="'SF New Construction {E}'!A1" display="Single Family New Construction"/>
    <hyperlink ref="C19" location="'MH New Construction {E}'!A1" display="Energy Star Manufactured Home"/>
    <hyperlink ref="C20" location="'Multi Family Retrofit {E}'!A1" display="Multifamily Retrofit"/>
    <hyperlink ref="C21" location="'MF New Construction {E}'!A1" display="Multi-Family New Construction"/>
    <hyperlink ref="C25" location="'CI Retrofit {E}'!A1" display="Commercial/Industrial Retrofit"/>
    <hyperlink ref="C26" location="'Bus Lighting Grants {E}'!A1" display="Business Lighting Grants"/>
    <hyperlink ref="C27" location="'Industrial EM {E}'!A1" display="Industrial Energy Management"/>
    <hyperlink ref="C28" location="'CBA {E}'!A1" display="Clean Buildings Accelerator"/>
    <hyperlink ref="C29" location="'CI New Construction {E}'!A1" display="Commercial/Industrial New Construction"/>
    <hyperlink ref="C30" location="'Com SEM {E}'!A1" display="Commercial Strategic Energy Management"/>
    <hyperlink ref="C31" location="'P4P {E}'!A1" display="Pay for Performance"/>
    <hyperlink ref="C32" location="'LPU 449 {E}'!A1" display="Large Power User, Self-Directed 449"/>
    <hyperlink ref="C33" location="'LPU Non-449 {E}'!A1" display="Large Power User, Self Directed non-449"/>
    <hyperlink ref="C35" location="'Lighting to Go {E}'!A1" display="Lighting to Go--AKA Business Lighting Markdowns"/>
    <hyperlink ref="C36" location="'Commercial Kitchen Laundry {E}'!A1" display="Commercial Kitchen and Laundry"/>
    <hyperlink ref="C37" location="'Commercial HVAC {E}'!A1" display="Commercial HVAC Rebates"/>
    <hyperlink ref="C38" location="'Commercial Midstream {E}'!A1" display="Commercial Midstream"/>
    <hyperlink ref="C39" location="'SBDI {E}'!A1" display="Small Business Direct Install"/>
    <hyperlink ref="C40" location="'Lodging Rebates {E}'!A1" display="Lodging Rebates"/>
    <hyperlink ref="C42" location="'Residential Pilots {E}'!A1" display="Residential Pilots"/>
    <hyperlink ref="C43" location="'Commercial Pilots {E}'!A1" display="Commercial Pilots"/>
    <hyperlink ref="C45" location="'NEEA {E}'!A1" display="Northwest Energy Efficiency Alliance"/>
    <hyperlink ref="C46" location="'T&amp;D {E}'!A1" display="Transmission &amp; Distribution"/>
    <hyperlink ref="C47" location="'TDSM {E}'!A1" display="Targeted DSM Pilot"/>
    <hyperlink ref="A4" location="Summary!A1" display="Return to Summary Page"/>
  </hyperlinks>
  <pageMargins left="0.7" right="0.7" top="0.75" bottom="0.75" header="0.3" footer="0.3"/>
  <pageSetup paperSize="4" orientation="landscape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133"/>
  <sheetViews>
    <sheetView zoomScale="85" zoomScaleNormal="85" workbookViewId="0">
      <selection activeCell="F14" sqref="F1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18230407</v>
      </c>
      <c r="D2" s="20" t="s">
        <v>40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39</v>
      </c>
      <c r="C5" s="61">
        <v>18230407</v>
      </c>
      <c r="D5" s="61" t="s">
        <v>40</v>
      </c>
      <c r="E5" s="38" t="s">
        <v>886</v>
      </c>
      <c r="F5" s="39" t="s">
        <v>887</v>
      </c>
      <c r="G5" s="39">
        <v>45</v>
      </c>
      <c r="H5" s="39"/>
      <c r="I5" s="40" t="s">
        <v>267</v>
      </c>
      <c r="J5" s="41">
        <v>1200</v>
      </c>
      <c r="K5" s="41">
        <v>0.9</v>
      </c>
      <c r="L5" s="41"/>
      <c r="M5" s="42">
        <v>0.75</v>
      </c>
      <c r="N5" s="42">
        <v>0.98</v>
      </c>
      <c r="O5" s="43">
        <v>1080</v>
      </c>
      <c r="P5" s="44">
        <v>900</v>
      </c>
      <c r="Q5" s="44">
        <v>1176</v>
      </c>
      <c r="R5" s="45">
        <v>0</v>
      </c>
      <c r="S5" s="46">
        <v>0</v>
      </c>
      <c r="T5" s="39">
        <f t="shared" ref="T5:T24" si="0">G5+H5</f>
        <v>45</v>
      </c>
      <c r="U5" s="47">
        <f t="shared" ref="U5:U24" si="1">(O5/$A$10)*T5</f>
        <v>3.3629269404848736E-3</v>
      </c>
      <c r="V5" s="48">
        <f t="shared" ref="V5:V24" si="2">N5-M5</f>
        <v>0.22999999999999998</v>
      </c>
      <c r="W5" s="49">
        <f t="shared" ref="W5:W24" si="3">(O5/A$10)</f>
        <v>7.4731709788552748E-5</v>
      </c>
      <c r="X5" s="44">
        <f t="shared" ref="X5:X24" si="4">W5*A$8</f>
        <v>211.45709074927197</v>
      </c>
      <c r="Y5" s="44">
        <f t="shared" ref="Y5:Y24" si="5">Q5-P5</f>
        <v>276</v>
      </c>
      <c r="Z5" s="44">
        <f t="shared" ref="Z5:Z24" si="6">X5+(A$6*W5)</f>
        <v>804.04737214021156</v>
      </c>
      <c r="AA5" s="50">
        <f t="shared" ref="AA5:AA24" si="7">Q5+X5</f>
        <v>1387.4570907492721</v>
      </c>
      <c r="AB5" s="51">
        <f t="shared" ref="AB5:AC20" si="8">Z5/(1+ElecDiscountRate)^1</f>
        <v>751.6568871087328</v>
      </c>
      <c r="AC5" s="44">
        <f t="shared" si="8"/>
        <v>1297.052529446828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3.1346149049506007</v>
      </c>
      <c r="AG5" s="44">
        <f t="shared" ref="AG5:AG24" si="10">AF5*J5*K5</f>
        <v>3385.384097346649</v>
      </c>
      <c r="AH5" s="52">
        <f>HLOOKUP(I5,ElecAvoidedCostsWOCC!$A$5:$Q$50,T5+1,FALSE)</f>
        <v>3.1346149049506007</v>
      </c>
      <c r="AI5" s="44">
        <f t="shared" ref="AI5:AI24" si="11">AH5*J5*L5</f>
        <v>0</v>
      </c>
      <c r="AJ5" s="44">
        <f>AG5+AI5</f>
        <v>3385.384097346649</v>
      </c>
      <c r="AK5" s="44">
        <f>HLOOKUP(I5,ElecAvoidedCostsWOCC!$A$5:$Q$50,G5+1,FALSE)*J5*L5</f>
        <v>0</v>
      </c>
      <c r="AL5" s="44">
        <f>AG5+AI5-AK5</f>
        <v>3385.384097346649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3385.384097346649</v>
      </c>
      <c r="AN5" s="48">
        <f>AM5*1.1+AD5+AE5</f>
        <v>3723.9225070813141</v>
      </c>
      <c r="AO5" s="47">
        <f>IFERROR(AM5/AB5,0)</f>
        <v>4.5038955345285459</v>
      </c>
      <c r="AP5" s="47">
        <f>AN5/AC5</f>
        <v>2.8710652980797216</v>
      </c>
      <c r="AQ5">
        <v>2021</v>
      </c>
    </row>
    <row r="6" spans="1:43" ht="13.5" customHeight="1">
      <c r="A6" s="53">
        <f>SUMIF('Program Costs'!D:D,C2,'Program Costs'!L:L)+SUMIF('Program Costs'!C:C,"State Grants {E}",'Program Costs'!L:L)</f>
        <v>7929569.4299999997</v>
      </c>
      <c r="B6" s="97" t="s">
        <v>39</v>
      </c>
      <c r="C6" s="61">
        <v>18230407</v>
      </c>
      <c r="D6" s="61" t="s">
        <v>40</v>
      </c>
      <c r="E6" s="38" t="s">
        <v>888</v>
      </c>
      <c r="F6" s="39" t="s">
        <v>889</v>
      </c>
      <c r="G6" s="39">
        <v>45</v>
      </c>
      <c r="H6" s="39"/>
      <c r="I6" s="40" t="s">
        <v>267</v>
      </c>
      <c r="J6" s="41">
        <v>154966</v>
      </c>
      <c r="K6" s="41">
        <v>0.6</v>
      </c>
      <c r="L6" s="41"/>
      <c r="M6" s="42">
        <v>0.75</v>
      </c>
      <c r="N6" s="42">
        <v>0.7</v>
      </c>
      <c r="O6" s="43">
        <v>92979.6</v>
      </c>
      <c r="P6" s="44">
        <v>116224.5</v>
      </c>
      <c r="Q6" s="44">
        <v>108476.2</v>
      </c>
      <c r="R6" s="45">
        <v>0</v>
      </c>
      <c r="S6" s="46">
        <v>0</v>
      </c>
      <c r="T6" s="39">
        <f t="shared" si="0"/>
        <v>45</v>
      </c>
      <c r="U6" s="47">
        <f t="shared" si="1"/>
        <v>0.28952185347732168</v>
      </c>
      <c r="V6" s="48">
        <f t="shared" si="2"/>
        <v>-5.0000000000000044E-2</v>
      </c>
      <c r="W6" s="49">
        <f t="shared" si="3"/>
        <v>6.4338189661627037E-3</v>
      </c>
      <c r="X6" s="44">
        <f t="shared" si="4"/>
        <v>18204.810847250938</v>
      </c>
      <c r="Y6" s="44">
        <f t="shared" si="5"/>
        <v>-7748.3000000000029</v>
      </c>
      <c r="Z6" s="44">
        <f t="shared" si="6"/>
        <v>69222.225039488912</v>
      </c>
      <c r="AA6" s="50">
        <f t="shared" si="7"/>
        <v>126681.01084725093</v>
      </c>
      <c r="AB6" s="51">
        <f t="shared" si="8"/>
        <v>64711.811759828837</v>
      </c>
      <c r="AC6" s="44">
        <f t="shared" si="8"/>
        <v>118426.67182130589</v>
      </c>
      <c r="AD6" s="44">
        <f t="shared" si="9"/>
        <v>0</v>
      </c>
      <c r="AE6" s="44">
        <v>0</v>
      </c>
      <c r="AF6" s="52">
        <f>HLOOKUP(I6,ElecAvoidedCostsWOCC!$A$5:$Q$50,G6+1,FALSE)</f>
        <v>3.1346149049506007</v>
      </c>
      <c r="AG6" s="44">
        <f t="shared" si="10"/>
        <v>291455.24001634488</v>
      </c>
      <c r="AH6" s="52">
        <f>HLOOKUP(I6,ElecAvoidedCostsWOCC!$A$5:$Q$50,T6+1,FALSE)</f>
        <v>3.1346149049506007</v>
      </c>
      <c r="AI6" s="44">
        <f t="shared" si="11"/>
        <v>0</v>
      </c>
      <c r="AJ6" s="44">
        <f t="shared" ref="AJ6:AJ24" si="12">AG6+AI6</f>
        <v>291455.24001634488</v>
      </c>
      <c r="AK6" s="44">
        <f>HLOOKUP(I6,ElecAvoidedCostsWOCC!$A$5:$Q$50,G6+1,FALSE)*J6*L6</f>
        <v>0</v>
      </c>
      <c r="AL6" s="44">
        <f t="shared" ref="AL6:AL24" si="13">AG6+AI6-AK6</f>
        <v>291455.24001634488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291455.24001634482</v>
      </c>
      <c r="AN6" s="48">
        <f t="shared" ref="AN6:AN24" si="14">AM6*1.1+AD6+AE6</f>
        <v>320600.76401797932</v>
      </c>
      <c r="AO6" s="47">
        <f t="shared" ref="AO6:AO24" si="15">IFERROR(AM6/AB6,0)</f>
        <v>4.5038955345285441</v>
      </c>
      <c r="AP6" s="47">
        <f t="shared" ref="AP6:AP24" si="16">AN6/AC6</f>
        <v>2.7071668829951929</v>
      </c>
      <c r="AQ6">
        <v>2021</v>
      </c>
    </row>
    <row r="7" spans="1:43" ht="13.5" customHeight="1">
      <c r="A7" s="36" t="s">
        <v>249</v>
      </c>
      <c r="B7" s="97" t="s">
        <v>39</v>
      </c>
      <c r="C7" s="61">
        <v>18230407</v>
      </c>
      <c r="D7" s="61" t="s">
        <v>40</v>
      </c>
      <c r="E7" s="38" t="s">
        <v>890</v>
      </c>
      <c r="F7" s="39" t="s">
        <v>891</v>
      </c>
      <c r="G7" s="39">
        <v>45</v>
      </c>
      <c r="H7" s="39"/>
      <c r="I7" s="40" t="s">
        <v>267</v>
      </c>
      <c r="J7" s="41">
        <v>68004</v>
      </c>
      <c r="K7" s="41">
        <v>1.4</v>
      </c>
      <c r="L7" s="41"/>
      <c r="M7" s="42">
        <v>0.75</v>
      </c>
      <c r="N7" s="42">
        <v>1.28</v>
      </c>
      <c r="O7" s="43">
        <v>95205.6</v>
      </c>
      <c r="P7" s="44">
        <v>51003</v>
      </c>
      <c r="Q7" s="44">
        <v>87045.119999999995</v>
      </c>
      <c r="R7" s="45">
        <v>0</v>
      </c>
      <c r="S7" s="46">
        <v>0</v>
      </c>
      <c r="T7" s="39">
        <f t="shared" si="0"/>
        <v>45</v>
      </c>
      <c r="U7" s="47">
        <f t="shared" si="1"/>
        <v>0.29645321956020992</v>
      </c>
      <c r="V7" s="48">
        <f t="shared" si="2"/>
        <v>0.53</v>
      </c>
      <c r="W7" s="49">
        <f t="shared" si="3"/>
        <v>6.5878493235602201E-3</v>
      </c>
      <c r="X7" s="44">
        <f t="shared" si="4"/>
        <v>18640.647406517492</v>
      </c>
      <c r="Y7" s="44">
        <f t="shared" si="5"/>
        <v>36042.119999999995</v>
      </c>
      <c r="Z7" s="44">
        <f t="shared" si="6"/>
        <v>70879.456012066788</v>
      </c>
      <c r="AA7" s="50">
        <f t="shared" si="7"/>
        <v>105685.76740651749</v>
      </c>
      <c r="AB7" s="51">
        <f t="shared" si="8"/>
        <v>66261.060121591829</v>
      </c>
      <c r="AC7" s="44">
        <f t="shared" si="8"/>
        <v>98799.446018993622</v>
      </c>
      <c r="AD7" s="44">
        <f t="shared" si="9"/>
        <v>0</v>
      </c>
      <c r="AE7" s="44">
        <v>0</v>
      </c>
      <c r="AF7" s="52">
        <f>HLOOKUP(I7,ElecAvoidedCostsWOCC!$A$5:$Q$50,G7+1,FALSE)</f>
        <v>3.1346149049506007</v>
      </c>
      <c r="AG7" s="44">
        <f t="shared" si="10"/>
        <v>298432.89279476489</v>
      </c>
      <c r="AH7" s="52">
        <f>HLOOKUP(I7,ElecAvoidedCostsWOCC!$A$5:$Q$50,T7+1,FALSE)</f>
        <v>3.1346149049506007</v>
      </c>
      <c r="AI7" s="44">
        <f t="shared" si="11"/>
        <v>0</v>
      </c>
      <c r="AJ7" s="44">
        <f t="shared" si="12"/>
        <v>298432.89279476489</v>
      </c>
      <c r="AK7" s="44">
        <f>HLOOKUP(I7,ElecAvoidedCostsWOCC!$A$5:$Q$50,G7+1,FALSE)*J7*L7</f>
        <v>0</v>
      </c>
      <c r="AL7" s="44">
        <f t="shared" si="13"/>
        <v>298432.89279476489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298432.89279476483</v>
      </c>
      <c r="AN7" s="48">
        <f t="shared" si="14"/>
        <v>328276.18207424134</v>
      </c>
      <c r="AO7" s="47">
        <f t="shared" si="15"/>
        <v>4.5038955345285441</v>
      </c>
      <c r="AP7" s="47">
        <f t="shared" si="16"/>
        <v>3.3226520522304561</v>
      </c>
      <c r="AQ7">
        <v>2021</v>
      </c>
    </row>
    <row r="8" spans="1:43" ht="13.5" customHeight="1">
      <c r="A8" s="53">
        <f>SUMIF('Program Costs'!D:D,C2,'Program Costs'!O:O)+SUMIF('Program Costs'!C:C,"State Grants {E}",'Program Costs'!O:O)</f>
        <v>2829549.75</v>
      </c>
      <c r="B8" s="97" t="s">
        <v>39</v>
      </c>
      <c r="C8" s="61">
        <v>18230407</v>
      </c>
      <c r="D8" s="61" t="s">
        <v>40</v>
      </c>
      <c r="E8" s="38" t="s">
        <v>892</v>
      </c>
      <c r="F8" s="39" t="s">
        <v>893</v>
      </c>
      <c r="G8" s="39">
        <v>1</v>
      </c>
      <c r="H8" s="39">
        <v>11</v>
      </c>
      <c r="I8" s="40" t="s">
        <v>248</v>
      </c>
      <c r="J8" s="41">
        <v>3531</v>
      </c>
      <c r="K8" s="41">
        <v>38</v>
      </c>
      <c r="L8" s="41">
        <v>5</v>
      </c>
      <c r="M8" s="42">
        <v>8.1300000000000008</v>
      </c>
      <c r="N8" s="42">
        <v>8.1300000000000008</v>
      </c>
      <c r="O8" s="43">
        <v>134178</v>
      </c>
      <c r="P8" s="44">
        <v>21579.57</v>
      </c>
      <c r="Q8" s="44">
        <v>28707.03</v>
      </c>
      <c r="R8" s="45">
        <v>0.65</v>
      </c>
      <c r="S8" s="46">
        <v>0</v>
      </c>
      <c r="T8" s="39">
        <f t="shared" si="0"/>
        <v>12</v>
      </c>
      <c r="U8" s="47">
        <f t="shared" si="1"/>
        <v>0.11141501506676035</v>
      </c>
      <c r="V8" s="48">
        <f t="shared" si="2"/>
        <v>0</v>
      </c>
      <c r="W8" s="49">
        <f t="shared" si="3"/>
        <v>9.2845845888966955E-3</v>
      </c>
      <c r="X8" s="44">
        <f t="shared" si="4"/>
        <v>26271.194002366497</v>
      </c>
      <c r="Y8" s="44">
        <f t="shared" si="5"/>
        <v>7127.4599999999991</v>
      </c>
      <c r="Z8" s="44">
        <f t="shared" si="6"/>
        <v>99893.952128730845</v>
      </c>
      <c r="AA8" s="50">
        <f t="shared" si="7"/>
        <v>54978.224002366493</v>
      </c>
      <c r="AB8" s="51">
        <f t="shared" si="8"/>
        <v>93385.016480069957</v>
      </c>
      <c r="AC8" s="44">
        <f t="shared" si="8"/>
        <v>51395.927832445064</v>
      </c>
      <c r="AD8" s="44">
        <f t="shared" si="9"/>
        <v>18258.838374777733</v>
      </c>
      <c r="AE8" s="44">
        <v>0</v>
      </c>
      <c r="AF8" s="52">
        <f>HLOOKUP(I8,ElecAvoidedCostsWOCC!$A$5:$Q$50,G8+1,FALSE)</f>
        <v>8.6279755452712409E-2</v>
      </c>
      <c r="AG8" s="44">
        <f t="shared" si="10"/>
        <v>11576.845027134046</v>
      </c>
      <c r="AH8" s="52">
        <f>HLOOKUP(I8,ElecAvoidedCostsWOCC!$A$5:$Q$50,T8+1,FALSE)</f>
        <v>0.91115730059915656</v>
      </c>
      <c r="AI8" s="44">
        <f t="shared" si="11"/>
        <v>16086.48214207811</v>
      </c>
      <c r="AJ8" s="44">
        <f t="shared" si="12"/>
        <v>27663.327169212156</v>
      </c>
      <c r="AK8" s="44">
        <f>HLOOKUP(I8,ElecAvoidedCostsWOCC!$A$5:$Q$50,G8+1,FALSE)*J8*L8</f>
        <v>1523.2690825176378</v>
      </c>
      <c r="AL8" s="44">
        <f t="shared" si="13"/>
        <v>26140.058086694517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26140.05808669452</v>
      </c>
      <c r="AN8" s="48">
        <f t="shared" si="14"/>
        <v>47012.902270141713</v>
      </c>
      <c r="AO8" s="47">
        <f t="shared" si="15"/>
        <v>0.27991704742348339</v>
      </c>
      <c r="AP8" s="47">
        <f t="shared" si="16"/>
        <v>0.91472037285536756</v>
      </c>
      <c r="AQ8">
        <v>2021</v>
      </c>
    </row>
    <row r="9" spans="1:43" ht="13.5" customHeight="1">
      <c r="A9" s="36" t="s">
        <v>250</v>
      </c>
      <c r="B9" s="97" t="s">
        <v>39</v>
      </c>
      <c r="C9" s="61">
        <v>18230407</v>
      </c>
      <c r="D9" s="61" t="s">
        <v>40</v>
      </c>
      <c r="E9" s="38" t="s">
        <v>894</v>
      </c>
      <c r="F9" s="39" t="s">
        <v>895</v>
      </c>
      <c r="G9" s="39">
        <v>1</v>
      </c>
      <c r="H9" s="39">
        <v>11</v>
      </c>
      <c r="I9" s="40" t="s">
        <v>248</v>
      </c>
      <c r="J9" s="41">
        <v>330</v>
      </c>
      <c r="K9" s="41">
        <v>37</v>
      </c>
      <c r="L9" s="41">
        <v>5</v>
      </c>
      <c r="M9" s="42">
        <v>9.23</v>
      </c>
      <c r="N9" s="42">
        <v>9.23</v>
      </c>
      <c r="O9" s="43">
        <v>12210</v>
      </c>
      <c r="P9" s="44">
        <v>2394.39</v>
      </c>
      <c r="Q9" s="44">
        <v>3045.9</v>
      </c>
      <c r="R9" s="45">
        <v>0.67</v>
      </c>
      <c r="S9" s="46">
        <v>0</v>
      </c>
      <c r="T9" s="39">
        <f t="shared" si="0"/>
        <v>12</v>
      </c>
      <c r="U9" s="47">
        <f t="shared" si="1"/>
        <v>1.0138601961313658E-2</v>
      </c>
      <c r="V9" s="48">
        <f t="shared" si="2"/>
        <v>0</v>
      </c>
      <c r="W9" s="49">
        <f t="shared" si="3"/>
        <v>8.4488349677613807E-4</v>
      </c>
      <c r="X9" s="44">
        <f t="shared" si="4"/>
        <v>2390.6398870820472</v>
      </c>
      <c r="Y9" s="44">
        <f t="shared" si="5"/>
        <v>651.51000000000022</v>
      </c>
      <c r="Z9" s="44">
        <f t="shared" si="6"/>
        <v>9090.2022350296156</v>
      </c>
      <c r="AA9" s="50">
        <f t="shared" si="7"/>
        <v>5436.5398870820472</v>
      </c>
      <c r="AB9" s="51">
        <f t="shared" si="8"/>
        <v>8497.89869592373</v>
      </c>
      <c r="AC9" s="44">
        <f t="shared" si="8"/>
        <v>5082.3033440049048</v>
      </c>
      <c r="AD9" s="44">
        <f t="shared" si="9"/>
        <v>1758.9391389074165</v>
      </c>
      <c r="AE9" s="44">
        <f t="shared" ref="AE9:AE24" si="17">-PV(ElecDiscountRate,T9,S9)*J9</f>
        <v>0</v>
      </c>
      <c r="AF9" s="52">
        <f>HLOOKUP(I9,ElecAvoidedCostsWOCC!$A$5:$Q$50,G9+1,FALSE)</f>
        <v>8.6279755452712409E-2</v>
      </c>
      <c r="AG9" s="44">
        <f t="shared" si="10"/>
        <v>1053.4758140776185</v>
      </c>
      <c r="AH9" s="52">
        <f>HLOOKUP(I9,ElecAvoidedCostsWOCC!$A$5:$Q$50,T9+1,FALSE)</f>
        <v>0.91115730059915656</v>
      </c>
      <c r="AI9" s="44">
        <f t="shared" si="11"/>
        <v>1503.4095459886084</v>
      </c>
      <c r="AJ9" s="44">
        <f t="shared" si="12"/>
        <v>2556.8853600662269</v>
      </c>
      <c r="AK9" s="44">
        <f>HLOOKUP(I9,ElecAvoidedCostsWOCC!$A$5:$Q$50,G9+1,FALSE)*J9*L9</f>
        <v>142.36159649697549</v>
      </c>
      <c r="AL9" s="44">
        <f t="shared" si="13"/>
        <v>2414.5237635692515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2414.5237635692515</v>
      </c>
      <c r="AN9" s="48">
        <f t="shared" si="14"/>
        <v>4414.9152788335932</v>
      </c>
      <c r="AO9" s="47">
        <f t="shared" si="15"/>
        <v>0.28413186011824898</v>
      </c>
      <c r="AP9" s="47">
        <f t="shared" si="16"/>
        <v>0.86868393718400061</v>
      </c>
      <c r="AQ9">
        <v>2021</v>
      </c>
    </row>
    <row r="10" spans="1:43" ht="13.5" customHeight="1">
      <c r="A10" s="54">
        <f>SUM(O5:O999)</f>
        <v>14451696.65</v>
      </c>
      <c r="B10" s="97" t="s">
        <v>39</v>
      </c>
      <c r="C10" s="61">
        <v>18230407</v>
      </c>
      <c r="D10" s="61" t="s">
        <v>40</v>
      </c>
      <c r="E10" s="38" t="s">
        <v>896</v>
      </c>
      <c r="F10" s="39" t="s">
        <v>897</v>
      </c>
      <c r="G10" s="39">
        <v>1</v>
      </c>
      <c r="H10" s="39">
        <v>11</v>
      </c>
      <c r="I10" s="40" t="s">
        <v>248</v>
      </c>
      <c r="J10" s="41">
        <v>61</v>
      </c>
      <c r="K10" s="41">
        <v>16</v>
      </c>
      <c r="L10" s="41">
        <v>3</v>
      </c>
      <c r="M10" s="42">
        <v>10.49</v>
      </c>
      <c r="N10" s="42">
        <v>10.49</v>
      </c>
      <c r="O10" s="43">
        <v>976</v>
      </c>
      <c r="P10" s="44">
        <v>616.54999999999995</v>
      </c>
      <c r="Q10" s="44">
        <v>639.89</v>
      </c>
      <c r="R10" s="45">
        <v>0.91</v>
      </c>
      <c r="S10" s="46">
        <v>0</v>
      </c>
      <c r="T10" s="39">
        <f t="shared" si="0"/>
        <v>12</v>
      </c>
      <c r="U10" s="47">
        <f t="shared" si="1"/>
        <v>8.1042387504030541E-4</v>
      </c>
      <c r="V10" s="48">
        <f t="shared" si="2"/>
        <v>0</v>
      </c>
      <c r="W10" s="49">
        <f t="shared" si="3"/>
        <v>6.7535322920025446E-5</v>
      </c>
      <c r="X10" s="44">
        <f t="shared" si="4"/>
        <v>191.09455608452728</v>
      </c>
      <c r="Y10" s="44">
        <f t="shared" si="5"/>
        <v>23.340000000000032</v>
      </c>
      <c r="Z10" s="44">
        <f t="shared" si="6"/>
        <v>726.62058815633941</v>
      </c>
      <c r="AA10" s="50">
        <f t="shared" si="7"/>
        <v>830.9845560845273</v>
      </c>
      <c r="AB10" s="51">
        <f t="shared" si="8"/>
        <v>679.27511279455859</v>
      </c>
      <c r="AC10" s="44">
        <f t="shared" si="8"/>
        <v>776.83888574789864</v>
      </c>
      <c r="AD10" s="44">
        <f t="shared" si="9"/>
        <v>441.60430393826636</v>
      </c>
      <c r="AE10" s="44">
        <f t="shared" si="17"/>
        <v>0</v>
      </c>
      <c r="AF10" s="52">
        <f>HLOOKUP(I10,ElecAvoidedCostsWOCC!$A$5:$Q$50,G10+1,FALSE)</f>
        <v>8.6279755452712409E-2</v>
      </c>
      <c r="AG10" s="44">
        <f t="shared" si="10"/>
        <v>84.209041321847309</v>
      </c>
      <c r="AH10" s="52">
        <f>HLOOKUP(I10,ElecAvoidedCostsWOCC!$A$5:$Q$50,T10+1,FALSE)</f>
        <v>0.91115730059915656</v>
      </c>
      <c r="AI10" s="44">
        <f t="shared" si="11"/>
        <v>166.74178600964564</v>
      </c>
      <c r="AJ10" s="44">
        <f t="shared" si="12"/>
        <v>250.95082733149295</v>
      </c>
      <c r="AK10" s="44">
        <f>HLOOKUP(I10,ElecAvoidedCostsWOCC!$A$5:$Q$50,G10+1,FALSE)*J10*L10</f>
        <v>15.78919524784637</v>
      </c>
      <c r="AL10" s="44">
        <f t="shared" si="13"/>
        <v>235.16163208364657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235.16163208364659</v>
      </c>
      <c r="AN10" s="48">
        <f t="shared" si="14"/>
        <v>700.28209923027771</v>
      </c>
      <c r="AO10" s="47">
        <f t="shared" si="15"/>
        <v>0.34619497704867241</v>
      </c>
      <c r="AP10" s="47">
        <f t="shared" si="16"/>
        <v>0.90145088264484063</v>
      </c>
      <c r="AQ10">
        <v>2021</v>
      </c>
    </row>
    <row r="11" spans="1:43" ht="13.5" customHeight="1">
      <c r="A11" s="36" t="s">
        <v>251</v>
      </c>
      <c r="B11" s="97" t="s">
        <v>39</v>
      </c>
      <c r="C11" s="61">
        <v>18230407</v>
      </c>
      <c r="D11" s="61" t="s">
        <v>40</v>
      </c>
      <c r="E11" s="38" t="s">
        <v>898</v>
      </c>
      <c r="F11" s="39" t="s">
        <v>899</v>
      </c>
      <c r="G11" s="39">
        <v>1</v>
      </c>
      <c r="H11" s="39">
        <v>11</v>
      </c>
      <c r="I11" s="40" t="s">
        <v>248</v>
      </c>
      <c r="J11" s="41">
        <v>323</v>
      </c>
      <c r="K11" s="41">
        <v>40</v>
      </c>
      <c r="L11" s="41">
        <v>5</v>
      </c>
      <c r="M11" s="42">
        <v>9</v>
      </c>
      <c r="N11" s="42">
        <v>9</v>
      </c>
      <c r="O11" s="43">
        <v>12920</v>
      </c>
      <c r="P11" s="44">
        <v>2799.2</v>
      </c>
      <c r="Q11" s="44">
        <v>2907</v>
      </c>
      <c r="R11" s="45">
        <v>0.75</v>
      </c>
      <c r="S11" s="46">
        <v>0</v>
      </c>
      <c r="T11" s="39">
        <f t="shared" si="0"/>
        <v>12</v>
      </c>
      <c r="U11" s="47">
        <f t="shared" si="1"/>
        <v>1.0728152116312239E-2</v>
      </c>
      <c r="V11" s="48">
        <f t="shared" si="2"/>
        <v>0</v>
      </c>
      <c r="W11" s="49">
        <f t="shared" si="3"/>
        <v>8.9401267635935331E-4</v>
      </c>
      <c r="X11" s="44">
        <f t="shared" si="4"/>
        <v>2529.6533448894393</v>
      </c>
      <c r="Y11" s="44">
        <f t="shared" si="5"/>
        <v>107.80000000000018</v>
      </c>
      <c r="Z11" s="44">
        <f t="shared" si="6"/>
        <v>9618.7889333810508</v>
      </c>
      <c r="AA11" s="50">
        <f t="shared" si="7"/>
        <v>5436.6533448894388</v>
      </c>
      <c r="AB11" s="51">
        <f t="shared" si="8"/>
        <v>8992.0435013378046</v>
      </c>
      <c r="AC11" s="44">
        <f t="shared" si="8"/>
        <v>5082.4094090767867</v>
      </c>
      <c r="AD11" s="44">
        <f t="shared" si="9"/>
        <v>1927.1958679345166</v>
      </c>
      <c r="AE11" s="44">
        <f t="shared" si="17"/>
        <v>0</v>
      </c>
      <c r="AF11" s="52">
        <f>HLOOKUP(I11,ElecAvoidedCostsWOCC!$A$5:$Q$50,G11+1,FALSE)</f>
        <v>8.6279755452712409E-2</v>
      </c>
      <c r="AG11" s="44">
        <f t="shared" si="10"/>
        <v>1114.7344404490443</v>
      </c>
      <c r="AH11" s="52">
        <f>HLOOKUP(I11,ElecAvoidedCostsWOCC!$A$5:$Q$50,T11+1,FALSE)</f>
        <v>0.91115730059915656</v>
      </c>
      <c r="AI11" s="44">
        <f t="shared" si="11"/>
        <v>1471.5190404676378</v>
      </c>
      <c r="AJ11" s="44">
        <f t="shared" si="12"/>
        <v>2586.2534809166818</v>
      </c>
      <c r="AK11" s="44">
        <f>HLOOKUP(I11,ElecAvoidedCostsWOCC!$A$5:$Q$50,G11+1,FALSE)*J11*L11</f>
        <v>139.34180505613054</v>
      </c>
      <c r="AL11" s="44">
        <f t="shared" si="13"/>
        <v>2446.9116758605514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2446.9116758605519</v>
      </c>
      <c r="AN11" s="48">
        <f t="shared" si="14"/>
        <v>4618.7987113811241</v>
      </c>
      <c r="AO11" s="47">
        <f t="shared" si="15"/>
        <v>0.27211964393816701</v>
      </c>
      <c r="AP11" s="47">
        <f t="shared" si="16"/>
        <v>0.90878131602942291</v>
      </c>
      <c r="AQ11">
        <v>2021</v>
      </c>
    </row>
    <row r="12" spans="1:43" ht="13.5" customHeight="1">
      <c r="A12" s="55">
        <f>SUM(P5:P1000)</f>
        <v>7805410.9000000004</v>
      </c>
      <c r="B12" s="97" t="s">
        <v>39</v>
      </c>
      <c r="C12" s="61">
        <v>18230407</v>
      </c>
      <c r="D12" s="61" t="s">
        <v>40</v>
      </c>
      <c r="E12" s="38" t="s">
        <v>900</v>
      </c>
      <c r="F12" s="39" t="s">
        <v>901</v>
      </c>
      <c r="G12" s="39">
        <v>1</v>
      </c>
      <c r="H12" s="39">
        <v>11</v>
      </c>
      <c r="I12" s="40" t="s">
        <v>248</v>
      </c>
      <c r="J12" s="41">
        <v>342</v>
      </c>
      <c r="K12" s="41">
        <v>75</v>
      </c>
      <c r="L12" s="41">
        <v>7</v>
      </c>
      <c r="M12" s="42">
        <v>9.1</v>
      </c>
      <c r="N12" s="42">
        <v>9.1</v>
      </c>
      <c r="O12" s="43">
        <v>25650</v>
      </c>
      <c r="P12" s="44">
        <v>2872.1</v>
      </c>
      <c r="Q12" s="44">
        <v>3112.2</v>
      </c>
      <c r="R12" s="45">
        <v>0.89</v>
      </c>
      <c r="S12" s="46">
        <v>0</v>
      </c>
      <c r="T12" s="39">
        <f t="shared" si="0"/>
        <v>12</v>
      </c>
      <c r="U12" s="47">
        <f t="shared" si="1"/>
        <v>2.1298537289737535E-2</v>
      </c>
      <c r="V12" s="48">
        <f t="shared" si="2"/>
        <v>0</v>
      </c>
      <c r="W12" s="49">
        <f t="shared" si="3"/>
        <v>1.7748781074781279E-3</v>
      </c>
      <c r="X12" s="44">
        <f t="shared" si="4"/>
        <v>5022.1059052952096</v>
      </c>
      <c r="Y12" s="44">
        <f t="shared" si="5"/>
        <v>240.09999999999991</v>
      </c>
      <c r="Z12" s="44">
        <f t="shared" si="6"/>
        <v>19096.125088330024</v>
      </c>
      <c r="AA12" s="50">
        <f t="shared" si="7"/>
        <v>8134.3059052952094</v>
      </c>
      <c r="AB12" s="51">
        <f t="shared" si="8"/>
        <v>17851.851068832402</v>
      </c>
      <c r="AC12" s="44">
        <f t="shared" si="8"/>
        <v>7604.287094788453</v>
      </c>
      <c r="AD12" s="44">
        <f t="shared" si="9"/>
        <v>2421.4649258283102</v>
      </c>
      <c r="AE12" s="44">
        <f t="shared" si="17"/>
        <v>0</v>
      </c>
      <c r="AF12" s="52">
        <f>HLOOKUP(I12,ElecAvoidedCostsWOCC!$A$5:$Q$50,G12+1,FALSE)</f>
        <v>8.6279755452712409E-2</v>
      </c>
      <c r="AG12" s="44">
        <f t="shared" si="10"/>
        <v>2213.0757273620734</v>
      </c>
      <c r="AH12" s="52">
        <f>HLOOKUP(I12,ElecAvoidedCostsWOCC!$A$5:$Q$50,T12+1,FALSE)</f>
        <v>0.91115730059915656</v>
      </c>
      <c r="AI12" s="44">
        <f t="shared" si="11"/>
        <v>2181.3105776343809</v>
      </c>
      <c r="AJ12" s="44">
        <f t="shared" si="12"/>
        <v>4394.3863049964548</v>
      </c>
      <c r="AK12" s="44">
        <f>HLOOKUP(I12,ElecAvoidedCostsWOCC!$A$5:$Q$50,G12+1,FALSE)*J12*L12</f>
        <v>206.5537345537935</v>
      </c>
      <c r="AL12" s="44">
        <f t="shared" si="13"/>
        <v>4187.8325704426616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4187.8325704426616</v>
      </c>
      <c r="AN12" s="48">
        <f t="shared" si="14"/>
        <v>7028.0807533152383</v>
      </c>
      <c r="AO12" s="47">
        <f t="shared" si="15"/>
        <v>0.23458814182884433</v>
      </c>
      <c r="AP12" s="47">
        <f t="shared" si="16"/>
        <v>0.92422611951775024</v>
      </c>
      <c r="AQ12">
        <v>2021</v>
      </c>
    </row>
    <row r="13" spans="1:43" ht="13.5" customHeight="1">
      <c r="A13" s="56" t="s">
        <v>252</v>
      </c>
      <c r="B13" s="97" t="s">
        <v>39</v>
      </c>
      <c r="C13" s="61">
        <v>18230407</v>
      </c>
      <c r="D13" s="61" t="s">
        <v>40</v>
      </c>
      <c r="E13" s="38" t="s">
        <v>902</v>
      </c>
      <c r="F13" s="39" t="s">
        <v>903</v>
      </c>
      <c r="G13" s="39">
        <v>1</v>
      </c>
      <c r="H13" s="39">
        <v>11</v>
      </c>
      <c r="I13" s="40" t="s">
        <v>248</v>
      </c>
      <c r="J13" s="41">
        <v>28</v>
      </c>
      <c r="K13" s="41">
        <v>75</v>
      </c>
      <c r="L13" s="41">
        <v>7</v>
      </c>
      <c r="M13" s="42">
        <v>6.75</v>
      </c>
      <c r="N13" s="42">
        <v>6.75</v>
      </c>
      <c r="O13" s="43">
        <v>2100</v>
      </c>
      <c r="P13" s="44">
        <v>162</v>
      </c>
      <c r="Q13" s="44">
        <v>189</v>
      </c>
      <c r="R13" s="45">
        <v>0.89</v>
      </c>
      <c r="S13" s="46">
        <v>0</v>
      </c>
      <c r="T13" s="39">
        <f t="shared" si="0"/>
        <v>12</v>
      </c>
      <c r="U13" s="47">
        <f t="shared" si="1"/>
        <v>1.743739895066231E-3</v>
      </c>
      <c r="V13" s="48">
        <f t="shared" si="2"/>
        <v>0</v>
      </c>
      <c r="W13" s="49">
        <f t="shared" si="3"/>
        <v>1.4531165792218591E-4</v>
      </c>
      <c r="X13" s="44">
        <f t="shared" si="4"/>
        <v>411.16656534580665</v>
      </c>
      <c r="Y13" s="44">
        <f t="shared" si="5"/>
        <v>27</v>
      </c>
      <c r="Z13" s="44">
        <f t="shared" si="6"/>
        <v>1563.4254458281894</v>
      </c>
      <c r="AA13" s="50">
        <f t="shared" si="7"/>
        <v>600.1665653458067</v>
      </c>
      <c r="AB13" s="51">
        <f t="shared" si="8"/>
        <v>1461.5550582669807</v>
      </c>
      <c r="AC13" s="44">
        <f t="shared" si="8"/>
        <v>561.06063882004923</v>
      </c>
      <c r="AD13" s="44">
        <f t="shared" si="9"/>
        <v>198.24859041869206</v>
      </c>
      <c r="AE13" s="44">
        <f t="shared" si="17"/>
        <v>0</v>
      </c>
      <c r="AF13" s="52">
        <f>HLOOKUP(I13,ElecAvoidedCostsWOCC!$A$5:$Q$50,G13+1,FALSE)</f>
        <v>8.6279755452712409E-2</v>
      </c>
      <c r="AG13" s="44">
        <f t="shared" si="10"/>
        <v>181.18748645069607</v>
      </c>
      <c r="AH13" s="52">
        <f>HLOOKUP(I13,ElecAvoidedCostsWOCC!$A$5:$Q$50,T13+1,FALSE)</f>
        <v>0.91115730059915656</v>
      </c>
      <c r="AI13" s="44">
        <f t="shared" si="11"/>
        <v>178.5868309174347</v>
      </c>
      <c r="AJ13" s="44">
        <f t="shared" si="12"/>
        <v>359.77431736813077</v>
      </c>
      <c r="AK13" s="44">
        <f>HLOOKUP(I13,ElecAvoidedCostsWOCC!$A$5:$Q$50,G13+1,FALSE)*J13*L13</f>
        <v>16.910832068731633</v>
      </c>
      <c r="AL13" s="44">
        <f t="shared" si="13"/>
        <v>342.86348529939914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342.86348529939909</v>
      </c>
      <c r="AN13" s="48">
        <f t="shared" si="14"/>
        <v>575.39842424803101</v>
      </c>
      <c r="AO13" s="47">
        <f t="shared" si="15"/>
        <v>0.23458814182884419</v>
      </c>
      <c r="AP13" s="47">
        <f t="shared" si="16"/>
        <v>1.0255547875504778</v>
      </c>
      <c r="AQ13">
        <v>2021</v>
      </c>
    </row>
    <row r="14" spans="1:43" ht="13.5" customHeight="1">
      <c r="A14" s="55">
        <f>SUM(Y5:Y1000)</f>
        <v>6036669.9800000004</v>
      </c>
      <c r="B14" s="97" t="s">
        <v>39</v>
      </c>
      <c r="C14" s="61">
        <v>18230407</v>
      </c>
      <c r="D14" s="61" t="s">
        <v>40</v>
      </c>
      <c r="E14" s="38" t="s">
        <v>904</v>
      </c>
      <c r="F14" s="39" t="s">
        <v>905</v>
      </c>
      <c r="G14" s="39">
        <v>45</v>
      </c>
      <c r="H14" s="39"/>
      <c r="I14" s="40" t="s">
        <v>267</v>
      </c>
      <c r="J14" s="41">
        <v>1400</v>
      </c>
      <c r="K14" s="41">
        <v>2.1</v>
      </c>
      <c r="L14" s="41"/>
      <c r="M14" s="42">
        <v>0.75</v>
      </c>
      <c r="N14" s="42">
        <v>1.18</v>
      </c>
      <c r="O14" s="43">
        <v>2940</v>
      </c>
      <c r="P14" s="44">
        <v>1050</v>
      </c>
      <c r="Q14" s="44">
        <v>1652</v>
      </c>
      <c r="R14" s="45">
        <v>0</v>
      </c>
      <c r="S14" s="46">
        <v>0</v>
      </c>
      <c r="T14" s="39">
        <f t="shared" si="0"/>
        <v>45</v>
      </c>
      <c r="U14" s="47">
        <f t="shared" si="1"/>
        <v>9.1546344490977122E-3</v>
      </c>
      <c r="V14" s="48">
        <f t="shared" si="2"/>
        <v>0.42999999999999994</v>
      </c>
      <c r="W14" s="49">
        <f t="shared" si="3"/>
        <v>2.0343632109106027E-4</v>
      </c>
      <c r="X14" s="44">
        <f t="shared" si="4"/>
        <v>575.63319148412927</v>
      </c>
      <c r="Y14" s="44">
        <f t="shared" si="5"/>
        <v>602</v>
      </c>
      <c r="Z14" s="44">
        <f t="shared" si="6"/>
        <v>2188.7956241594648</v>
      </c>
      <c r="AA14" s="50">
        <f t="shared" si="7"/>
        <v>2227.6331914841294</v>
      </c>
      <c r="AB14" s="51">
        <f t="shared" si="8"/>
        <v>2046.1770815737725</v>
      </c>
      <c r="AC14" s="44">
        <f t="shared" si="8"/>
        <v>2082.4840529906787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3.1346149049506007</v>
      </c>
      <c r="AG14" s="44">
        <f t="shared" si="10"/>
        <v>9215.7678205547654</v>
      </c>
      <c r="AH14" s="52">
        <f>HLOOKUP(I14,ElecAvoidedCostsWOCC!$A$5:$Q$50,T14+1,FALSE)</f>
        <v>3.1346149049506007</v>
      </c>
      <c r="AI14" s="44">
        <f t="shared" si="11"/>
        <v>0</v>
      </c>
      <c r="AJ14" s="44">
        <f t="shared" si="12"/>
        <v>9215.7678205547654</v>
      </c>
      <c r="AK14" s="44">
        <f>HLOOKUP(I14,ElecAvoidedCostsWOCC!$A$5:$Q$50,G14+1,FALSE)*J14*L14</f>
        <v>0</v>
      </c>
      <c r="AL14" s="44">
        <f t="shared" si="13"/>
        <v>9215.7678205547654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9215.7678205547672</v>
      </c>
      <c r="AN14" s="48">
        <f t="shared" si="14"/>
        <v>10137.344602610245</v>
      </c>
      <c r="AO14" s="47">
        <f t="shared" si="15"/>
        <v>4.5038955345285467</v>
      </c>
      <c r="AP14" s="47">
        <f t="shared" si="16"/>
        <v>4.8679098349165697</v>
      </c>
      <c r="AQ14">
        <v>2021</v>
      </c>
    </row>
    <row r="15" spans="1:43" ht="13.5" customHeight="1">
      <c r="A15" s="57" t="s">
        <v>253</v>
      </c>
      <c r="B15" s="97" t="s">
        <v>39</v>
      </c>
      <c r="C15" s="61">
        <v>18230407</v>
      </c>
      <c r="D15" s="61" t="s">
        <v>40</v>
      </c>
      <c r="E15" s="38" t="s">
        <v>906</v>
      </c>
      <c r="F15" s="39" t="s">
        <v>907</v>
      </c>
      <c r="G15" s="39">
        <v>45</v>
      </c>
      <c r="H15" s="39"/>
      <c r="I15" s="40" t="s">
        <v>267</v>
      </c>
      <c r="J15" s="41">
        <v>1</v>
      </c>
      <c r="K15" s="41">
        <v>385553</v>
      </c>
      <c r="L15" s="41"/>
      <c r="M15" s="42">
        <v>1.1299999999999999</v>
      </c>
      <c r="N15" s="42">
        <v>1.29</v>
      </c>
      <c r="O15" s="43">
        <v>385553</v>
      </c>
      <c r="P15" s="44">
        <v>397199.5</v>
      </c>
      <c r="Q15" s="44">
        <v>492146.86</v>
      </c>
      <c r="R15" s="45">
        <v>0</v>
      </c>
      <c r="S15" s="46">
        <v>0</v>
      </c>
      <c r="T15" s="39">
        <f t="shared" si="0"/>
        <v>45</v>
      </c>
      <c r="U15" s="47">
        <f t="shared" si="1"/>
        <v>1.2005431210044115</v>
      </c>
      <c r="V15" s="48">
        <f t="shared" si="2"/>
        <v>0.16000000000000014</v>
      </c>
      <c r="W15" s="49">
        <f t="shared" si="3"/>
        <v>2.6678736022320258E-2</v>
      </c>
      <c r="X15" s="44">
        <f t="shared" si="4"/>
        <v>75488.810842272287</v>
      </c>
      <c r="Y15" s="44">
        <f t="shared" si="5"/>
        <v>94947.359999999986</v>
      </c>
      <c r="Z15" s="44">
        <f t="shared" si="6"/>
        <v>287039.70043590281</v>
      </c>
      <c r="AA15" s="50">
        <f t="shared" si="7"/>
        <v>567635.67084227223</v>
      </c>
      <c r="AB15" s="51">
        <f t="shared" si="8"/>
        <v>268336.63684762345</v>
      </c>
      <c r="AC15" s="44">
        <f t="shared" si="8"/>
        <v>530649.40716301033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3.1346149049506007</v>
      </c>
      <c r="AG15" s="44">
        <f t="shared" si="10"/>
        <v>1208560.1804484189</v>
      </c>
      <c r="AH15" s="52">
        <f>HLOOKUP(I15,ElecAvoidedCostsWOCC!$A$5:$Q$50,T15+1,FALSE)</f>
        <v>3.1346149049506007</v>
      </c>
      <c r="AI15" s="44">
        <f t="shared" si="11"/>
        <v>0</v>
      </c>
      <c r="AJ15" s="44">
        <f t="shared" si="12"/>
        <v>1208560.1804484189</v>
      </c>
      <c r="AK15" s="44">
        <f>HLOOKUP(I15,ElecAvoidedCostsWOCC!$A$5:$Q$50,G15+1,FALSE)*J15*L15</f>
        <v>0</v>
      </c>
      <c r="AL15" s="44">
        <f t="shared" si="13"/>
        <v>1208560.1804484189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1208560.1804484189</v>
      </c>
      <c r="AN15" s="48">
        <f t="shared" si="14"/>
        <v>1329416.1984932609</v>
      </c>
      <c r="AO15" s="47">
        <f t="shared" si="15"/>
        <v>4.5038955345285441</v>
      </c>
      <c r="AP15" s="47">
        <f t="shared" si="16"/>
        <v>2.5052627602104853</v>
      </c>
      <c r="AQ15">
        <v>2021</v>
      </c>
    </row>
    <row r="16" spans="1:43" ht="13.5" customHeight="1">
      <c r="A16" s="54">
        <f>SUM(U5:U999)</f>
        <v>27.679692193788188</v>
      </c>
      <c r="B16" s="97" t="s">
        <v>39</v>
      </c>
      <c r="C16" s="61">
        <v>18230407</v>
      </c>
      <c r="D16" s="61" t="s">
        <v>40</v>
      </c>
      <c r="E16" s="38" t="s">
        <v>908</v>
      </c>
      <c r="F16" s="39" t="s">
        <v>909</v>
      </c>
      <c r="G16" s="39">
        <v>15</v>
      </c>
      <c r="H16" s="39"/>
      <c r="I16" s="40" t="s">
        <v>255</v>
      </c>
      <c r="J16" s="41">
        <v>1</v>
      </c>
      <c r="K16" s="41"/>
      <c r="L16" s="41"/>
      <c r="M16" s="42"/>
      <c r="N16" s="42"/>
      <c r="O16" s="43">
        <v>0</v>
      </c>
      <c r="P16" s="44">
        <v>0</v>
      </c>
      <c r="Q16" s="44">
        <v>0</v>
      </c>
      <c r="R16" s="45">
        <v>0</v>
      </c>
      <c r="S16" s="46">
        <v>0</v>
      </c>
      <c r="T16" s="39">
        <f t="shared" si="0"/>
        <v>15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1.0178775471043147</v>
      </c>
      <c r="AG16" s="44">
        <f t="shared" si="10"/>
        <v>0</v>
      </c>
      <c r="AH16" s="52">
        <f>HLOOKUP(I16,ElecAvoidedCostsWOCC!$A$5:$Q$50,T16+1,FALSE)</f>
        <v>1.0178775471043147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  <c r="AQ16">
        <v>2021</v>
      </c>
    </row>
    <row r="17" spans="1:43" ht="13.5" customHeight="1">
      <c r="A17" s="58" t="s">
        <v>254</v>
      </c>
      <c r="B17" s="97" t="s">
        <v>39</v>
      </c>
      <c r="C17" s="61">
        <v>18230407</v>
      </c>
      <c r="D17" s="61" t="s">
        <v>40</v>
      </c>
      <c r="E17" s="38" t="s">
        <v>910</v>
      </c>
      <c r="F17" s="39" t="s">
        <v>911</v>
      </c>
      <c r="G17" s="39">
        <v>24</v>
      </c>
      <c r="H17" s="39"/>
      <c r="I17" s="40" t="s">
        <v>261</v>
      </c>
      <c r="J17" s="41">
        <v>1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>
        <v>0</v>
      </c>
      <c r="S17" s="46">
        <v>0</v>
      </c>
      <c r="T17" s="39">
        <f t="shared" si="0"/>
        <v>24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1.9068512770864423</v>
      </c>
      <c r="AG17" s="44">
        <f t="shared" si="10"/>
        <v>0</v>
      </c>
      <c r="AH17" s="52">
        <f>HLOOKUP(I17,ElecAvoidedCostsWOCC!$A$5:$Q$50,T17+1,FALSE)</f>
        <v>1.9068512770864423</v>
      </c>
      <c r="AI17" s="44">
        <f t="shared" si="11"/>
        <v>0</v>
      </c>
      <c r="AJ17" s="44">
        <f t="shared" si="12"/>
        <v>0</v>
      </c>
      <c r="AK17" s="44">
        <f>HLOOKUP(I17,ElecAvoidedCostsWOCC!$A$5:$Q$50,G17+1,FALSE)*J17*L17</f>
        <v>0</v>
      </c>
      <c r="AL17" s="44">
        <f t="shared" si="13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  <c r="AQ17">
        <v>2021</v>
      </c>
    </row>
    <row r="18" spans="1:43" ht="13.5" customHeight="1">
      <c r="A18" s="59">
        <f>A6+A8</f>
        <v>10759119.18</v>
      </c>
      <c r="B18" s="97" t="s">
        <v>39</v>
      </c>
      <c r="C18" s="61">
        <v>18230407</v>
      </c>
      <c r="D18" s="61" t="s">
        <v>40</v>
      </c>
      <c r="E18" s="38" t="s">
        <v>912</v>
      </c>
      <c r="F18" s="39" t="s">
        <v>913</v>
      </c>
      <c r="G18" s="39">
        <v>15</v>
      </c>
      <c r="H18" s="39"/>
      <c r="I18" s="40" t="s">
        <v>257</v>
      </c>
      <c r="J18" s="41">
        <v>1</v>
      </c>
      <c r="K18" s="41">
        <v>71160</v>
      </c>
      <c r="L18" s="41"/>
      <c r="M18" s="42">
        <v>8000</v>
      </c>
      <c r="N18" s="42">
        <v>160555</v>
      </c>
      <c r="O18" s="43">
        <v>71160</v>
      </c>
      <c r="P18" s="44">
        <v>18047</v>
      </c>
      <c r="Q18" s="44">
        <v>70257.570000000007</v>
      </c>
      <c r="R18" s="45">
        <v>0</v>
      </c>
      <c r="S18" s="46">
        <v>0</v>
      </c>
      <c r="T18" s="39">
        <f t="shared" si="0"/>
        <v>15</v>
      </c>
      <c r="U18" s="47">
        <f t="shared" si="1"/>
        <v>7.3859839841019626E-2</v>
      </c>
      <c r="V18" s="48">
        <f t="shared" si="2"/>
        <v>152555</v>
      </c>
      <c r="W18" s="49">
        <f t="shared" si="3"/>
        <v>4.9239893227346421E-3</v>
      </c>
      <c r="X18" s="44">
        <f t="shared" si="4"/>
        <v>13932.672757146476</v>
      </c>
      <c r="Y18" s="44">
        <f t="shared" si="5"/>
        <v>52210.570000000007</v>
      </c>
      <c r="Z18" s="44">
        <f t="shared" si="6"/>
        <v>52977.787964349496</v>
      </c>
      <c r="AA18" s="50">
        <f t="shared" si="7"/>
        <v>84190.24275714648</v>
      </c>
      <c r="AB18" s="51">
        <f t="shared" si="8"/>
        <v>49525.837117275398</v>
      </c>
      <c r="AC18" s="44">
        <f t="shared" si="8"/>
        <v>78704.536558985201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1.0545904948077327</v>
      </c>
      <c r="AG18" s="44">
        <f t="shared" si="10"/>
        <v>75044.659610518254</v>
      </c>
      <c r="AH18" s="52">
        <f>HLOOKUP(I18,ElecAvoidedCostsWOCC!$A$5:$Q$50,T18+1,FALSE)</f>
        <v>1.0545904948077327</v>
      </c>
      <c r="AI18" s="44">
        <f t="shared" si="11"/>
        <v>0</v>
      </c>
      <c r="AJ18" s="44">
        <f t="shared" si="12"/>
        <v>75044.659610518254</v>
      </c>
      <c r="AK18" s="44">
        <f>HLOOKUP(I18,ElecAvoidedCostsWOCC!$A$5:$Q$50,G18+1,FALSE)*J18*L18</f>
        <v>0</v>
      </c>
      <c r="AL18" s="44">
        <f t="shared" si="13"/>
        <v>75044.659610518254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75044.659610518254</v>
      </c>
      <c r="AN18" s="48">
        <f t="shared" si="14"/>
        <v>82549.125571570083</v>
      </c>
      <c r="AO18" s="47">
        <f t="shared" si="15"/>
        <v>1.5152628199461871</v>
      </c>
      <c r="AP18" s="47">
        <f t="shared" si="16"/>
        <v>1.0488483787678942</v>
      </c>
      <c r="AQ18">
        <v>2021</v>
      </c>
    </row>
    <row r="19" spans="1:43" ht="13.5" customHeight="1">
      <c r="A19" s="58" t="s">
        <v>231</v>
      </c>
      <c r="B19" s="97" t="s">
        <v>39</v>
      </c>
      <c r="C19" s="61">
        <v>18230407</v>
      </c>
      <c r="D19" s="61" t="s">
        <v>40</v>
      </c>
      <c r="E19" s="38" t="s">
        <v>914</v>
      </c>
      <c r="F19" s="39" t="s">
        <v>913</v>
      </c>
      <c r="G19" s="39">
        <v>15</v>
      </c>
      <c r="H19" s="39"/>
      <c r="I19" s="40" t="s">
        <v>257</v>
      </c>
      <c r="J19" s="41">
        <v>1</v>
      </c>
      <c r="K19" s="41">
        <v>1209585</v>
      </c>
      <c r="L19" s="41"/>
      <c r="M19" s="42">
        <v>0.15</v>
      </c>
      <c r="N19" s="42">
        <v>0.5</v>
      </c>
      <c r="O19" s="43">
        <v>1209585</v>
      </c>
      <c r="P19" s="44">
        <v>290806</v>
      </c>
      <c r="Q19" s="44">
        <v>902212.31</v>
      </c>
      <c r="R19" s="45">
        <v>0</v>
      </c>
      <c r="S19" s="46">
        <v>0</v>
      </c>
      <c r="T19" s="39">
        <f t="shared" si="0"/>
        <v>15</v>
      </c>
      <c r="U19" s="47">
        <f t="shared" si="1"/>
        <v>1.2554771553414803</v>
      </c>
      <c r="V19" s="48">
        <f t="shared" si="2"/>
        <v>0.35</v>
      </c>
      <c r="W19" s="49">
        <f t="shared" si="3"/>
        <v>8.3698477022765352E-2</v>
      </c>
      <c r="X19" s="44">
        <f t="shared" si="4"/>
        <v>236829.00473514645</v>
      </c>
      <c r="Y19" s="44">
        <f t="shared" si="5"/>
        <v>611406.31000000006</v>
      </c>
      <c r="Z19" s="44">
        <f t="shared" si="6"/>
        <v>900521.88947242394</v>
      </c>
      <c r="AA19" s="50">
        <f t="shared" si="7"/>
        <v>1139041.3147351465</v>
      </c>
      <c r="AB19" s="51">
        <f t="shared" si="8"/>
        <v>841845.27388279315</v>
      </c>
      <c r="AC19" s="44">
        <f t="shared" si="8"/>
        <v>1064823.1417548344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1.0545904948077327</v>
      </c>
      <c r="AG19" s="44">
        <f t="shared" si="10"/>
        <v>1275616.8436620114</v>
      </c>
      <c r="AH19" s="52">
        <f>HLOOKUP(I19,ElecAvoidedCostsWOCC!$A$5:$Q$50,T19+1,FALSE)</f>
        <v>1.0545904948077327</v>
      </c>
      <c r="AI19" s="44">
        <f t="shared" si="11"/>
        <v>0</v>
      </c>
      <c r="AJ19" s="44">
        <f t="shared" si="12"/>
        <v>1275616.8436620114</v>
      </c>
      <c r="AK19" s="44">
        <f>HLOOKUP(I19,ElecAvoidedCostsWOCC!$A$5:$Q$50,G19+1,FALSE)*J19*L19</f>
        <v>0</v>
      </c>
      <c r="AL19" s="44">
        <f t="shared" si="13"/>
        <v>1275616.8436620114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1275616.8436620114</v>
      </c>
      <c r="AN19" s="48">
        <f t="shared" si="14"/>
        <v>1403178.5280282127</v>
      </c>
      <c r="AO19" s="47">
        <f t="shared" si="15"/>
        <v>1.5152628199461873</v>
      </c>
      <c r="AP19" s="47">
        <f t="shared" si="16"/>
        <v>1.3177573561331197</v>
      </c>
      <c r="AQ19">
        <v>2021</v>
      </c>
    </row>
    <row r="20" spans="1:43" ht="13.5" customHeight="1">
      <c r="A20" s="59">
        <f>A8+SUM(Q5:Q906)</f>
        <v>16671630.630000003</v>
      </c>
      <c r="B20" s="97" t="s">
        <v>39</v>
      </c>
      <c r="C20" s="61">
        <v>18230407</v>
      </c>
      <c r="D20" s="61" t="s">
        <v>40</v>
      </c>
      <c r="E20" s="38" t="s">
        <v>915</v>
      </c>
      <c r="F20" s="39" t="s">
        <v>916</v>
      </c>
      <c r="G20" s="39">
        <v>15</v>
      </c>
      <c r="H20" s="39"/>
      <c r="I20" s="40" t="s">
        <v>267</v>
      </c>
      <c r="J20" s="41">
        <v>14167</v>
      </c>
      <c r="K20" s="41">
        <v>59</v>
      </c>
      <c r="L20" s="41"/>
      <c r="M20" s="42">
        <v>35</v>
      </c>
      <c r="N20" s="42">
        <v>57.99</v>
      </c>
      <c r="O20" s="43">
        <v>835853</v>
      </c>
      <c r="P20" s="44">
        <v>843395</v>
      </c>
      <c r="Q20" s="44">
        <v>821544.33000000101</v>
      </c>
      <c r="R20" s="45">
        <v>0</v>
      </c>
      <c r="S20" s="46">
        <v>0</v>
      </c>
      <c r="T20" s="39">
        <f t="shared" si="0"/>
        <v>15</v>
      </c>
      <c r="U20" s="47">
        <f t="shared" si="1"/>
        <v>0.86756560863737753</v>
      </c>
      <c r="V20" s="48">
        <f t="shared" si="2"/>
        <v>22.990000000000002</v>
      </c>
      <c r="W20" s="49">
        <f t="shared" si="3"/>
        <v>5.7837707242491834E-2</v>
      </c>
      <c r="X20" s="44">
        <f t="shared" si="4"/>
        <v>163654.67006856596</v>
      </c>
      <c r="Y20" s="44">
        <f t="shared" si="5"/>
        <v>-21850.669999998994</v>
      </c>
      <c r="Z20" s="44">
        <f t="shared" si="6"/>
        <v>622282.78531991877</v>
      </c>
      <c r="AA20" s="50">
        <f t="shared" si="7"/>
        <v>985199.00006856699</v>
      </c>
      <c r="AB20" s="51">
        <f t="shared" si="8"/>
        <v>581735.80005601444</v>
      </c>
      <c r="AC20" s="44">
        <f t="shared" si="8"/>
        <v>921004.95472428424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1.3893373920773078</v>
      </c>
      <c r="AG20" s="44">
        <f t="shared" si="10"/>
        <v>1161281.827179994</v>
      </c>
      <c r="AH20" s="52">
        <f>HLOOKUP(I20,ElecAvoidedCostsWOCC!$A$5:$Q$50,T20+1,FALSE)</f>
        <v>1.3893373920773078</v>
      </c>
      <c r="AI20" s="44">
        <f t="shared" si="11"/>
        <v>0</v>
      </c>
      <c r="AJ20" s="44">
        <f t="shared" si="12"/>
        <v>1161281.827179994</v>
      </c>
      <c r="AK20" s="44">
        <f>HLOOKUP(I20,ElecAvoidedCostsWOCC!$A$5:$Q$50,G20+1,FALSE)*J20*L20</f>
        <v>0</v>
      </c>
      <c r="AL20" s="44">
        <f t="shared" si="13"/>
        <v>1161281.827179994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1161281.827179994</v>
      </c>
      <c r="AN20" s="48">
        <f t="shared" si="14"/>
        <v>1277410.0098979934</v>
      </c>
      <c r="AO20" s="47">
        <f t="shared" si="15"/>
        <v>1.9962357947854954</v>
      </c>
      <c r="AP20" s="47">
        <f t="shared" si="16"/>
        <v>1.3869740910138795</v>
      </c>
      <c r="AQ20">
        <v>2021</v>
      </c>
    </row>
    <row r="21" spans="1:43" ht="13.5" customHeight="1">
      <c r="A21" s="58" t="s">
        <v>245</v>
      </c>
      <c r="B21" s="97" t="s">
        <v>39</v>
      </c>
      <c r="C21" s="61">
        <v>18230407</v>
      </c>
      <c r="D21" s="61" t="s">
        <v>40</v>
      </c>
      <c r="E21" s="38" t="s">
        <v>917</v>
      </c>
      <c r="F21" s="39" t="s">
        <v>918</v>
      </c>
      <c r="G21" s="39">
        <v>10</v>
      </c>
      <c r="H21" s="39"/>
      <c r="I21" s="40" t="s">
        <v>265</v>
      </c>
      <c r="J21" s="41">
        <v>551</v>
      </c>
      <c r="K21" s="41">
        <v>170</v>
      </c>
      <c r="L21" s="41"/>
      <c r="M21" s="42">
        <v>95</v>
      </c>
      <c r="N21" s="42">
        <v>95</v>
      </c>
      <c r="O21" s="43">
        <v>93670</v>
      </c>
      <c r="P21" s="44">
        <v>52345</v>
      </c>
      <c r="Q21" s="44">
        <v>52345</v>
      </c>
      <c r="R21" s="45">
        <v>15.3</v>
      </c>
      <c r="S21" s="46">
        <v>0</v>
      </c>
      <c r="T21" s="39">
        <f t="shared" si="0"/>
        <v>10</v>
      </c>
      <c r="U21" s="47">
        <f t="shared" si="1"/>
        <v>6.4815919036053118E-2</v>
      </c>
      <c r="V21" s="48">
        <f t="shared" si="2"/>
        <v>0</v>
      </c>
      <c r="W21" s="49">
        <f t="shared" si="3"/>
        <v>6.4815919036053113E-3</v>
      </c>
      <c r="X21" s="44">
        <f t="shared" si="4"/>
        <v>18339.986750448432</v>
      </c>
      <c r="Y21" s="44">
        <f t="shared" si="5"/>
        <v>0</v>
      </c>
      <c r="Z21" s="44">
        <f t="shared" si="6"/>
        <v>69736.219767012619</v>
      </c>
      <c r="AA21" s="50">
        <f t="shared" si="7"/>
        <v>70684.986750448428</v>
      </c>
      <c r="AB21" s="51">
        <f t="shared" ref="AB21:AC24" si="18">Z21/(1+ElecDiscountRate)^1</f>
        <v>65192.31538469909</v>
      </c>
      <c r="AC21" s="44">
        <f t="shared" si="18"/>
        <v>66079.262176730321</v>
      </c>
      <c r="AD21" s="44">
        <f t="shared" si="9"/>
        <v>59293.097398872749</v>
      </c>
      <c r="AE21" s="44">
        <f t="shared" si="17"/>
        <v>0</v>
      </c>
      <c r="AF21" s="52">
        <f>HLOOKUP(I21,ElecAvoidedCostsWOCC!$A$5:$Q$50,G21+1,FALSE)</f>
        <v>0.74487332198138856</v>
      </c>
      <c r="AG21" s="44">
        <f t="shared" si="10"/>
        <v>69772.284069996662</v>
      </c>
      <c r="AH21" s="52">
        <f>HLOOKUP(I21,ElecAvoidedCostsWOCC!$A$5:$Q$50,T21+1,FALSE)</f>
        <v>0.74487332198138856</v>
      </c>
      <c r="AI21" s="44">
        <f t="shared" si="11"/>
        <v>0</v>
      </c>
      <c r="AJ21" s="44">
        <f t="shared" si="12"/>
        <v>69772.284069996662</v>
      </c>
      <c r="AK21" s="44">
        <f>HLOOKUP(I21,ElecAvoidedCostsWOCC!$A$5:$Q$50,G21+1,FALSE)*J21*L21</f>
        <v>0</v>
      </c>
      <c r="AL21" s="44">
        <f t="shared" si="13"/>
        <v>69772.284069996662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69772.284069996662</v>
      </c>
      <c r="AN21" s="48">
        <f t="shared" si="14"/>
        <v>136042.60987586906</v>
      </c>
      <c r="AO21" s="47">
        <f t="shared" si="15"/>
        <v>1.070253198682563</v>
      </c>
      <c r="AP21" s="47">
        <f t="shared" si="16"/>
        <v>2.0587791902400538</v>
      </c>
      <c r="AQ21">
        <v>2021</v>
      </c>
    </row>
    <row r="22" spans="1:43" ht="13.5" customHeight="1">
      <c r="A22" s="60">
        <f>(SUM(AM5:AM1000)/(SUM(AB5:AB1000)))</f>
        <v>2.6412492977027724</v>
      </c>
      <c r="B22" s="97" t="s">
        <v>39</v>
      </c>
      <c r="C22" s="61">
        <v>18230407</v>
      </c>
      <c r="D22" s="61" t="s">
        <v>40</v>
      </c>
      <c r="E22" s="38" t="s">
        <v>617</v>
      </c>
      <c r="F22" s="39" t="s">
        <v>618</v>
      </c>
      <c r="G22" s="39">
        <v>14</v>
      </c>
      <c r="H22" s="39"/>
      <c r="I22" s="40" t="s">
        <v>265</v>
      </c>
      <c r="J22" s="41">
        <v>1</v>
      </c>
      <c r="K22" s="41">
        <v>142</v>
      </c>
      <c r="L22" s="41"/>
      <c r="M22" s="42">
        <v>50</v>
      </c>
      <c r="N22" s="42">
        <v>65.56</v>
      </c>
      <c r="O22" s="43">
        <v>142</v>
      </c>
      <c r="P22" s="44">
        <v>50</v>
      </c>
      <c r="Q22" s="44">
        <v>65.56</v>
      </c>
      <c r="R22" s="45">
        <v>17.059999999999999</v>
      </c>
      <c r="S22" s="46">
        <v>0</v>
      </c>
      <c r="T22" s="39">
        <f t="shared" si="0"/>
        <v>14</v>
      </c>
      <c r="U22" s="47">
        <f t="shared" si="1"/>
        <v>1.3756170283300267E-4</v>
      </c>
      <c r="V22" s="48">
        <f t="shared" si="2"/>
        <v>15.560000000000002</v>
      </c>
      <c r="W22" s="49">
        <f t="shared" si="3"/>
        <v>9.8258359166430474E-6</v>
      </c>
      <c r="X22" s="44">
        <f t="shared" si="4"/>
        <v>27.802691561478355</v>
      </c>
      <c r="Y22" s="44">
        <f t="shared" si="5"/>
        <v>15.560000000000002</v>
      </c>
      <c r="Z22" s="44">
        <f t="shared" si="6"/>
        <v>105.71733967028709</v>
      </c>
      <c r="AA22" s="50">
        <f t="shared" si="7"/>
        <v>93.362691561478357</v>
      </c>
      <c r="AB22" s="51">
        <f t="shared" si="18"/>
        <v>98.828961082814885</v>
      </c>
      <c r="AC22" s="44">
        <f t="shared" si="18"/>
        <v>87.279322764773624</v>
      </c>
      <c r="AD22" s="44">
        <f t="shared" si="9"/>
        <v>149.46647337894538</v>
      </c>
      <c r="AE22" s="44">
        <f t="shared" si="17"/>
        <v>0</v>
      </c>
      <c r="AF22" s="52">
        <f>HLOOKUP(I22,ElecAvoidedCostsWOCC!$A$5:$Q$50,G22+1,FALSE)</f>
        <v>1.0169996824506593</v>
      </c>
      <c r="AG22" s="44">
        <f t="shared" si="10"/>
        <v>144.41395490799363</v>
      </c>
      <c r="AH22" s="52">
        <f>HLOOKUP(I22,ElecAvoidedCostsWOCC!$A$5:$Q$50,T22+1,FALSE)</f>
        <v>1.0169996824506593</v>
      </c>
      <c r="AI22" s="44">
        <f t="shared" si="11"/>
        <v>0</v>
      </c>
      <c r="AJ22" s="44">
        <f t="shared" si="12"/>
        <v>144.41395490799363</v>
      </c>
      <c r="AK22" s="44">
        <f>HLOOKUP(I22,ElecAvoidedCostsWOCC!$A$5:$Q$50,G22+1,FALSE)*J22*L22</f>
        <v>0</v>
      </c>
      <c r="AL22" s="44">
        <f t="shared" si="13"/>
        <v>144.41395490799363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144.41395490799363</v>
      </c>
      <c r="AN22" s="48">
        <f t="shared" si="14"/>
        <v>308.32182377773836</v>
      </c>
      <c r="AO22" s="47">
        <f t="shared" si="15"/>
        <v>1.4612513713159472</v>
      </c>
      <c r="AP22" s="47">
        <f t="shared" si="16"/>
        <v>3.5325872613459208</v>
      </c>
      <c r="AQ22">
        <v>2021</v>
      </c>
    </row>
    <row r="23" spans="1:43" ht="13.5" customHeight="1">
      <c r="A23" s="58" t="s">
        <v>246</v>
      </c>
      <c r="B23" s="97" t="s">
        <v>39</v>
      </c>
      <c r="C23" s="61">
        <v>18230407</v>
      </c>
      <c r="D23" s="61" t="s">
        <v>40</v>
      </c>
      <c r="E23" s="38" t="s">
        <v>919</v>
      </c>
      <c r="F23" s="39" t="s">
        <v>920</v>
      </c>
      <c r="G23" s="39">
        <v>15</v>
      </c>
      <c r="H23" s="39"/>
      <c r="I23" s="40" t="s">
        <v>267</v>
      </c>
      <c r="J23" s="41">
        <v>9</v>
      </c>
      <c r="K23" s="41">
        <v>1300</v>
      </c>
      <c r="L23" s="41"/>
      <c r="M23" s="42">
        <v>800</v>
      </c>
      <c r="N23" s="42">
        <v>3758.92</v>
      </c>
      <c r="O23" s="43">
        <v>11700</v>
      </c>
      <c r="P23" s="44">
        <v>7200</v>
      </c>
      <c r="Q23" s="44">
        <v>33830.28</v>
      </c>
      <c r="R23" s="45">
        <v>0</v>
      </c>
      <c r="S23" s="46">
        <v>0</v>
      </c>
      <c r="T23" s="39">
        <f t="shared" si="0"/>
        <v>15</v>
      </c>
      <c r="U23" s="47">
        <f t="shared" si="1"/>
        <v>1.2143902840639821E-2</v>
      </c>
      <c r="V23" s="48">
        <f t="shared" si="2"/>
        <v>2958.92</v>
      </c>
      <c r="W23" s="49">
        <f t="shared" si="3"/>
        <v>8.0959352270932141E-4</v>
      </c>
      <c r="X23" s="44">
        <f t="shared" si="4"/>
        <v>2290.7851497837796</v>
      </c>
      <c r="Y23" s="44">
        <f t="shared" si="5"/>
        <v>26630.28</v>
      </c>
      <c r="Z23" s="44">
        <f t="shared" si="6"/>
        <v>8710.5131981856248</v>
      </c>
      <c r="AA23" s="50">
        <f t="shared" si="7"/>
        <v>36121.065149783775</v>
      </c>
      <c r="AB23" s="51">
        <f t="shared" si="18"/>
        <v>8142.9496103446054</v>
      </c>
      <c r="AC23" s="44">
        <f t="shared" si="18"/>
        <v>33767.472328488147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1.3893373920773078</v>
      </c>
      <c r="AG23" s="44">
        <f t="shared" si="10"/>
        <v>16255.247487304503</v>
      </c>
      <c r="AH23" s="52">
        <f>HLOOKUP(I23,ElecAvoidedCostsWOCC!$A$5:$Q$50,T23+1,FALSE)</f>
        <v>1.3893373920773078</v>
      </c>
      <c r="AI23" s="44">
        <f t="shared" si="11"/>
        <v>0</v>
      </c>
      <c r="AJ23" s="44">
        <f t="shared" si="12"/>
        <v>16255.247487304503</v>
      </c>
      <c r="AK23" s="44">
        <f>HLOOKUP(I23,ElecAvoidedCostsWOCC!$A$5:$Q$50,G23+1,FALSE)*J23*L23</f>
        <v>0</v>
      </c>
      <c r="AL23" s="44">
        <f t="shared" si="13"/>
        <v>16255.247487304503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16255.247487304501</v>
      </c>
      <c r="AN23" s="48">
        <f t="shared" si="14"/>
        <v>17880.772236034954</v>
      </c>
      <c r="AO23" s="47">
        <f t="shared" si="15"/>
        <v>1.9962357947854952</v>
      </c>
      <c r="AP23" s="47">
        <f t="shared" si="16"/>
        <v>0.52952652369391962</v>
      </c>
      <c r="AQ23">
        <v>2021</v>
      </c>
    </row>
    <row r="24" spans="1:43" ht="13.5" customHeight="1">
      <c r="A24" s="60">
        <f>(SUM(AN5:AN1000)/SUM(AC5:AC1000))</f>
        <v>1.9322480705128888</v>
      </c>
      <c r="B24" s="97" t="s">
        <v>39</v>
      </c>
      <c r="C24" s="61">
        <v>18230407</v>
      </c>
      <c r="D24" s="61" t="s">
        <v>40</v>
      </c>
      <c r="E24" s="38" t="s">
        <v>921</v>
      </c>
      <c r="F24" s="39" t="s">
        <v>922</v>
      </c>
      <c r="G24" s="39">
        <v>15</v>
      </c>
      <c r="H24" s="39"/>
      <c r="I24" s="40" t="s">
        <v>266</v>
      </c>
      <c r="J24" s="41">
        <v>1</v>
      </c>
      <c r="K24" s="41">
        <v>3711</v>
      </c>
      <c r="L24" s="41"/>
      <c r="M24" s="42">
        <v>1500</v>
      </c>
      <c r="N24" s="42">
        <v>3190.37</v>
      </c>
      <c r="O24" s="43">
        <v>3711</v>
      </c>
      <c r="P24" s="44">
        <v>1500</v>
      </c>
      <c r="Q24" s="44">
        <v>3190.37</v>
      </c>
      <c r="R24" s="45">
        <v>0</v>
      </c>
      <c r="S24" s="46">
        <v>0</v>
      </c>
      <c r="T24" s="39">
        <f t="shared" si="0"/>
        <v>15</v>
      </c>
      <c r="U24" s="47">
        <f t="shared" si="1"/>
        <v>3.851796875351656E-3</v>
      </c>
      <c r="V24" s="48">
        <f t="shared" si="2"/>
        <v>1690.37</v>
      </c>
      <c r="W24" s="49">
        <f t="shared" si="3"/>
        <v>2.5678645835677707E-4</v>
      </c>
      <c r="X24" s="44">
        <f t="shared" si="4"/>
        <v>726.59005904680396</v>
      </c>
      <c r="Y24" s="44">
        <f t="shared" si="5"/>
        <v>1690.37</v>
      </c>
      <c r="Z24" s="44">
        <f t="shared" si="6"/>
        <v>2762.7961092706714</v>
      </c>
      <c r="AA24" s="50">
        <f t="shared" si="7"/>
        <v>3916.960059046804</v>
      </c>
      <c r="AB24" s="51">
        <f t="shared" si="18"/>
        <v>2582.7765815375069</v>
      </c>
      <c r="AC24" s="44">
        <f t="shared" si="18"/>
        <v>3661.7369907888228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1.3961506916040443</v>
      </c>
      <c r="AG24" s="44">
        <f t="shared" si="10"/>
        <v>5181.1152165426083</v>
      </c>
      <c r="AH24" s="52">
        <f>HLOOKUP(I24,ElecAvoidedCostsWOCC!$A$5:$Q$50,T24+1,FALSE)</f>
        <v>1.3961506916040443</v>
      </c>
      <c r="AI24" s="44">
        <f t="shared" si="11"/>
        <v>0</v>
      </c>
      <c r="AJ24" s="44">
        <f t="shared" si="12"/>
        <v>5181.1152165426083</v>
      </c>
      <c r="AK24" s="44">
        <f>HLOOKUP(I24,ElecAvoidedCostsWOCC!$A$5:$Q$50,G24+1,FALSE)*J24*L24</f>
        <v>0</v>
      </c>
      <c r="AL24" s="44">
        <f t="shared" si="13"/>
        <v>5181.1152165426083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5181.1152165426083</v>
      </c>
      <c r="AN24" s="48">
        <f t="shared" si="14"/>
        <v>5699.2267381968695</v>
      </c>
      <c r="AO24" s="47">
        <f t="shared" si="15"/>
        <v>2.0060253192548041</v>
      </c>
      <c r="AP24" s="47">
        <f t="shared" si="16"/>
        <v>1.5564271143813428</v>
      </c>
      <c r="AQ24">
        <v>2021</v>
      </c>
    </row>
    <row r="25" spans="1:43" ht="13.5" customHeight="1">
      <c r="B25" s="97" t="s">
        <v>39</v>
      </c>
      <c r="C25" s="61">
        <v>18230407</v>
      </c>
      <c r="D25" s="61" t="s">
        <v>40</v>
      </c>
      <c r="E25" s="38" t="s">
        <v>627</v>
      </c>
      <c r="F25" s="39" t="s">
        <v>628</v>
      </c>
      <c r="G25" s="39">
        <v>12</v>
      </c>
      <c r="H25" s="39"/>
      <c r="I25" s="40" t="s">
        <v>263</v>
      </c>
      <c r="J25" s="41">
        <v>1</v>
      </c>
      <c r="K25" s="41">
        <v>68</v>
      </c>
      <c r="L25" s="41"/>
      <c r="M25" s="42">
        <v>25</v>
      </c>
      <c r="N25" s="42">
        <v>20.440000000000001</v>
      </c>
      <c r="O25" s="43">
        <v>68</v>
      </c>
      <c r="P25" s="44">
        <v>25</v>
      </c>
      <c r="Q25" s="44">
        <v>20.440000000000001</v>
      </c>
      <c r="R25" s="45">
        <v>-0.08</v>
      </c>
      <c r="S25" s="46">
        <v>0</v>
      </c>
      <c r="T25" s="39">
        <f t="shared" ref="T25:T80" si="19">G25+H25</f>
        <v>12</v>
      </c>
      <c r="U25" s="47">
        <f t="shared" ref="U25:U80" si="20">(O25/$A$10)*T25</f>
        <v>5.646395850690652E-5</v>
      </c>
      <c r="V25" s="48">
        <f t="shared" ref="V25:V80" si="21">N25-M25</f>
        <v>-4.5599999999999987</v>
      </c>
      <c r="W25" s="49">
        <f t="shared" ref="W25:W80" si="22">(O25/A$10)</f>
        <v>4.7053298755755434E-6</v>
      </c>
      <c r="X25" s="44">
        <f t="shared" ref="X25:X80" si="23">W25*A$8</f>
        <v>13.31396497310231</v>
      </c>
      <c r="Y25" s="44">
        <f t="shared" ref="Y25:Y80" si="24">Q25-P25</f>
        <v>-4.5599999999999987</v>
      </c>
      <c r="Z25" s="44">
        <f t="shared" ref="Z25:Z80" si="25">X25+(A$6*W25)</f>
        <v>50.625204912531842</v>
      </c>
      <c r="AA25" s="50">
        <f t="shared" ref="AA25:AA80" si="26">Q25+X25</f>
        <v>33.753964973102313</v>
      </c>
      <c r="AB25" s="51">
        <f t="shared" ref="AB25:AB80" si="27">Z25/(1+ElecDiscountRate)^1</f>
        <v>47.326544743883183</v>
      </c>
      <c r="AC25" s="44">
        <f t="shared" ref="AC25:AC80" si="28">AA25/(1+ElecDiscountRate)^1</f>
        <v>31.554608743668609</v>
      </c>
      <c r="AD25" s="44">
        <f t="shared" ref="AD25:AD80" si="29">-PV(ElecDiscountRate,T25,R25)*J25</f>
        <v>-0.63643207197011897</v>
      </c>
      <c r="AE25" s="44">
        <f t="shared" ref="AE25:AE80" si="30">-PV(ElecDiscountRate,T25,S25)*J25</f>
        <v>0</v>
      </c>
      <c r="AF25" s="52">
        <f>HLOOKUP(I25,ElecAvoidedCostsWOCC!$A$5:$Q$50,G25+1,FALSE)</f>
        <v>0.87531038854853971</v>
      </c>
      <c r="AG25" s="44">
        <f t="shared" ref="AG25:AG80" si="31">AF25*J25*K25</f>
        <v>59.521106421300701</v>
      </c>
      <c r="AH25" s="52">
        <f>HLOOKUP(I25,ElecAvoidedCostsWOCC!$A$5:$Q$50,T25+1,FALSE)</f>
        <v>0.87531038854853971</v>
      </c>
      <c r="AI25" s="44">
        <f t="shared" ref="AI25:AI80" si="32">AH25*J25*L25</f>
        <v>0</v>
      </c>
      <c r="AJ25" s="44">
        <f t="shared" ref="AJ25:AJ80" si="33">AG25+AI25</f>
        <v>59.521106421300701</v>
      </c>
      <c r="AK25" s="44">
        <f>HLOOKUP(I25,ElecAvoidedCostsWOCC!$A$5:$Q$50,G25+1,FALSE)*J25*L25</f>
        <v>0</v>
      </c>
      <c r="AL25" s="44">
        <f t="shared" ref="AL25:AL80" si="34">AG25+AI25-AK25</f>
        <v>59.521106421300701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59.521106421300701</v>
      </c>
      <c r="AN25" s="48">
        <f t="shared" ref="AN25:AN80" si="35">AM25*1.1+AD25+AE25</f>
        <v>64.836784991460661</v>
      </c>
      <c r="AO25" s="47">
        <f t="shared" ref="AO25:AO80" si="36">IFERROR(AM25/AB25,0)</f>
        <v>1.2576685397890499</v>
      </c>
      <c r="AP25" s="47">
        <f t="shared" ref="AP25:AP80" si="37">AN25/AC25</f>
        <v>2.0547485002320012</v>
      </c>
      <c r="AQ25">
        <v>2021</v>
      </c>
    </row>
    <row r="26" spans="1:43" ht="13.5" customHeight="1">
      <c r="B26" s="97" t="s">
        <v>39</v>
      </c>
      <c r="C26" s="61">
        <v>18230407</v>
      </c>
      <c r="D26" s="61" t="s">
        <v>40</v>
      </c>
      <c r="E26" s="38" t="s">
        <v>629</v>
      </c>
      <c r="F26" s="39" t="s">
        <v>628</v>
      </c>
      <c r="G26" s="39">
        <v>12</v>
      </c>
      <c r="H26" s="39"/>
      <c r="I26" s="40" t="s">
        <v>263</v>
      </c>
      <c r="J26" s="41">
        <v>5</v>
      </c>
      <c r="K26" s="41">
        <v>68</v>
      </c>
      <c r="L26" s="41"/>
      <c r="M26" s="42">
        <v>50</v>
      </c>
      <c r="N26" s="42">
        <v>100</v>
      </c>
      <c r="O26" s="43">
        <v>340</v>
      </c>
      <c r="P26" s="44">
        <v>250</v>
      </c>
      <c r="Q26" s="44">
        <v>500</v>
      </c>
      <c r="R26" s="45">
        <v>-0.08</v>
      </c>
      <c r="S26" s="46">
        <v>0</v>
      </c>
      <c r="T26" s="39">
        <f t="shared" si="19"/>
        <v>12</v>
      </c>
      <c r="U26" s="47">
        <f t="shared" si="20"/>
        <v>2.8231979253453264E-4</v>
      </c>
      <c r="V26" s="48">
        <f t="shared" si="21"/>
        <v>50</v>
      </c>
      <c r="W26" s="49">
        <f t="shared" si="22"/>
        <v>2.3526649377877718E-5</v>
      </c>
      <c r="X26" s="44">
        <f t="shared" si="23"/>
        <v>66.569824865511549</v>
      </c>
      <c r="Y26" s="44">
        <f t="shared" si="24"/>
        <v>250</v>
      </c>
      <c r="Z26" s="44">
        <f t="shared" si="25"/>
        <v>253.12602456265921</v>
      </c>
      <c r="AA26" s="50">
        <f t="shared" si="26"/>
        <v>566.56982486551158</v>
      </c>
      <c r="AB26" s="51">
        <f t="shared" si="27"/>
        <v>236.63272371941591</v>
      </c>
      <c r="AC26" s="44">
        <f t="shared" si="28"/>
        <v>529.65301006404741</v>
      </c>
      <c r="AD26" s="44">
        <f t="shared" si="29"/>
        <v>-3.1821603598505948</v>
      </c>
      <c r="AE26" s="44">
        <f t="shared" si="30"/>
        <v>0</v>
      </c>
      <c r="AF26" s="52">
        <f>HLOOKUP(I26,ElecAvoidedCostsWOCC!$A$5:$Q$50,G26+1,FALSE)</f>
        <v>0.87531038854853971</v>
      </c>
      <c r="AG26" s="44">
        <f t="shared" si="31"/>
        <v>297.60553210650346</v>
      </c>
      <c r="AH26" s="52">
        <f>HLOOKUP(I26,ElecAvoidedCostsWOCC!$A$5:$Q$50,T26+1,FALSE)</f>
        <v>0.87531038854853971</v>
      </c>
      <c r="AI26" s="44">
        <f t="shared" si="32"/>
        <v>0</v>
      </c>
      <c r="AJ26" s="44">
        <f t="shared" si="33"/>
        <v>297.60553210650346</v>
      </c>
      <c r="AK26" s="44">
        <f>HLOOKUP(I26,ElecAvoidedCostsWOCC!$A$5:$Q$50,G26+1,FALSE)*J26*L26</f>
        <v>0</v>
      </c>
      <c r="AL26" s="44">
        <f t="shared" si="34"/>
        <v>297.60553210650346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297.60553210650352</v>
      </c>
      <c r="AN26" s="48">
        <f t="shared" si="35"/>
        <v>324.1839249573033</v>
      </c>
      <c r="AO26" s="47">
        <f t="shared" si="36"/>
        <v>1.2576685397890501</v>
      </c>
      <c r="AP26" s="47">
        <f t="shared" si="37"/>
        <v>0.61206850295838389</v>
      </c>
      <c r="AQ26">
        <v>2021</v>
      </c>
    </row>
    <row r="27" spans="1:43" ht="13.5" customHeight="1">
      <c r="B27" s="97" t="s">
        <v>39</v>
      </c>
      <c r="C27" s="61">
        <v>18230407</v>
      </c>
      <c r="D27" s="61" t="s">
        <v>40</v>
      </c>
      <c r="E27" s="38" t="s">
        <v>780</v>
      </c>
      <c r="F27" s="39" t="s">
        <v>781</v>
      </c>
      <c r="G27" s="39">
        <v>10</v>
      </c>
      <c r="H27" s="39"/>
      <c r="I27" s="40" t="s">
        <v>263</v>
      </c>
      <c r="J27" s="41">
        <v>631</v>
      </c>
      <c r="K27" s="41">
        <v>131</v>
      </c>
      <c r="L27" s="41"/>
      <c r="M27" s="42">
        <v>50</v>
      </c>
      <c r="N27" s="42">
        <v>50</v>
      </c>
      <c r="O27" s="43">
        <v>82661</v>
      </c>
      <c r="P27" s="44">
        <v>42900</v>
      </c>
      <c r="Q27" s="44">
        <v>31550</v>
      </c>
      <c r="R27" s="45">
        <v>0</v>
      </c>
      <c r="S27" s="46">
        <v>0</v>
      </c>
      <c r="T27" s="39">
        <f t="shared" si="19"/>
        <v>10</v>
      </c>
      <c r="U27" s="47">
        <f t="shared" si="20"/>
        <v>5.7198128359551473E-2</v>
      </c>
      <c r="V27" s="48">
        <f t="shared" si="21"/>
        <v>0</v>
      </c>
      <c r="W27" s="49">
        <f t="shared" si="22"/>
        <v>5.7198128359551475E-3</v>
      </c>
      <c r="X27" s="44">
        <f t="shared" si="23"/>
        <v>16184.494980023679</v>
      </c>
      <c r="Y27" s="44">
        <f t="shared" si="24"/>
        <v>-11350</v>
      </c>
      <c r="Z27" s="44">
        <f t="shared" si="25"/>
        <v>61540.147989335223</v>
      </c>
      <c r="AA27" s="50">
        <f t="shared" si="26"/>
        <v>47734.494980023679</v>
      </c>
      <c r="AB27" s="51">
        <f t="shared" si="27"/>
        <v>57530.286986384235</v>
      </c>
      <c r="AC27" s="44">
        <f t="shared" si="28"/>
        <v>44624.189006285567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0.73512510012695687</v>
      </c>
      <c r="AG27" s="44">
        <f t="shared" si="31"/>
        <v>60766.175901594375</v>
      </c>
      <c r="AH27" s="52">
        <f>HLOOKUP(I27,ElecAvoidedCostsWOCC!$A$5:$Q$50,T27+1,FALSE)</f>
        <v>0.73512510012695687</v>
      </c>
      <c r="AI27" s="44">
        <f t="shared" si="32"/>
        <v>0</v>
      </c>
      <c r="AJ27" s="44">
        <f t="shared" si="33"/>
        <v>60766.175901594375</v>
      </c>
      <c r="AK27" s="44">
        <f>HLOOKUP(I27,ElecAvoidedCostsWOCC!$A$5:$Q$50,G27+1,FALSE)*J27*L27</f>
        <v>0</v>
      </c>
      <c r="AL27" s="44">
        <f t="shared" si="34"/>
        <v>60766.175901594375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60766.175901594375</v>
      </c>
      <c r="AN27" s="48">
        <f t="shared" si="35"/>
        <v>66842.793491753822</v>
      </c>
      <c r="AO27" s="47">
        <f t="shared" si="36"/>
        <v>1.0562467021236306</v>
      </c>
      <c r="AP27" s="47">
        <f t="shared" si="37"/>
        <v>1.4979049475238337</v>
      </c>
      <c r="AQ27">
        <v>2021</v>
      </c>
    </row>
    <row r="28" spans="1:43" ht="13.5" customHeight="1">
      <c r="B28" s="97" t="s">
        <v>39</v>
      </c>
      <c r="C28" s="61">
        <v>18230407</v>
      </c>
      <c r="D28" s="61" t="s">
        <v>40</v>
      </c>
      <c r="E28" s="38" t="s">
        <v>923</v>
      </c>
      <c r="F28" s="39" t="s">
        <v>924</v>
      </c>
      <c r="G28" s="39">
        <v>10</v>
      </c>
      <c r="H28" s="39"/>
      <c r="I28" s="40" t="s">
        <v>263</v>
      </c>
      <c r="J28" s="41">
        <v>63</v>
      </c>
      <c r="K28" s="41">
        <v>131</v>
      </c>
      <c r="L28" s="41"/>
      <c r="M28" s="42">
        <v>200</v>
      </c>
      <c r="N28" s="42">
        <v>250</v>
      </c>
      <c r="O28" s="43">
        <v>8253</v>
      </c>
      <c r="P28" s="44">
        <v>12600</v>
      </c>
      <c r="Q28" s="44">
        <v>15750</v>
      </c>
      <c r="R28" s="45">
        <v>0</v>
      </c>
      <c r="S28" s="46">
        <v>0</v>
      </c>
      <c r="T28" s="39">
        <f t="shared" si="19"/>
        <v>10</v>
      </c>
      <c r="U28" s="47">
        <f t="shared" si="20"/>
        <v>5.7107481563419063E-3</v>
      </c>
      <c r="V28" s="48">
        <f t="shared" si="21"/>
        <v>50</v>
      </c>
      <c r="W28" s="49">
        <f t="shared" si="22"/>
        <v>5.7107481563419059E-4</v>
      </c>
      <c r="X28" s="44">
        <f t="shared" si="23"/>
        <v>1615.8846018090201</v>
      </c>
      <c r="Y28" s="44">
        <f t="shared" si="24"/>
        <v>3150</v>
      </c>
      <c r="Z28" s="44">
        <f t="shared" si="25"/>
        <v>6144.2620021047833</v>
      </c>
      <c r="AA28" s="50">
        <f t="shared" si="26"/>
        <v>17365.884601809019</v>
      </c>
      <c r="AB28" s="51">
        <f t="shared" si="27"/>
        <v>5743.9113789892335</v>
      </c>
      <c r="AC28" s="44">
        <f t="shared" si="28"/>
        <v>16234.35038030197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0.73512510012695687</v>
      </c>
      <c r="AG28" s="44">
        <f t="shared" si="31"/>
        <v>6066.9874513477753</v>
      </c>
      <c r="AH28" s="52">
        <f>HLOOKUP(I28,ElecAvoidedCostsWOCC!$A$5:$Q$50,T28+1,FALSE)</f>
        <v>0.73512510012695687</v>
      </c>
      <c r="AI28" s="44">
        <f t="shared" si="32"/>
        <v>0</v>
      </c>
      <c r="AJ28" s="44">
        <f t="shared" si="33"/>
        <v>6066.9874513477753</v>
      </c>
      <c r="AK28" s="44">
        <f>HLOOKUP(I28,ElecAvoidedCostsWOCC!$A$5:$Q$50,G28+1,FALSE)*J28*L28</f>
        <v>0</v>
      </c>
      <c r="AL28" s="44">
        <f t="shared" si="34"/>
        <v>6066.9874513477753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6066.9874513477744</v>
      </c>
      <c r="AN28" s="48">
        <f t="shared" si="35"/>
        <v>6673.6861964825521</v>
      </c>
      <c r="AO28" s="47">
        <f t="shared" si="36"/>
        <v>1.0562467021236308</v>
      </c>
      <c r="AP28" s="47">
        <f t="shared" si="37"/>
        <v>0.41108427748239945</v>
      </c>
      <c r="AQ28">
        <v>2021</v>
      </c>
    </row>
    <row r="29" spans="1:43">
      <c r="B29" s="97" t="s">
        <v>39</v>
      </c>
      <c r="C29" s="61">
        <v>18230407</v>
      </c>
      <c r="D29" s="61" t="s">
        <v>40</v>
      </c>
      <c r="E29" s="38" t="s">
        <v>925</v>
      </c>
      <c r="F29" s="39" t="s">
        <v>926</v>
      </c>
      <c r="G29" s="39">
        <v>45</v>
      </c>
      <c r="H29" s="39"/>
      <c r="I29" s="40" t="s">
        <v>267</v>
      </c>
      <c r="J29" s="41">
        <v>1185</v>
      </c>
      <c r="K29" s="41">
        <v>12.3</v>
      </c>
      <c r="L29" s="41"/>
      <c r="M29" s="42">
        <v>5</v>
      </c>
      <c r="N29" s="42">
        <v>17.809999999999999</v>
      </c>
      <c r="O29" s="43">
        <v>14575.5</v>
      </c>
      <c r="P29" s="44">
        <v>5925</v>
      </c>
      <c r="Q29" s="44">
        <v>21104.85</v>
      </c>
      <c r="R29" s="45">
        <v>0</v>
      </c>
      <c r="S29" s="46">
        <v>0</v>
      </c>
      <c r="T29" s="39">
        <f t="shared" si="19"/>
        <v>45</v>
      </c>
      <c r="U29" s="47">
        <f t="shared" si="20"/>
        <v>4.5385501500960442E-2</v>
      </c>
      <c r="V29" s="48">
        <f t="shared" si="21"/>
        <v>12.809999999999999</v>
      </c>
      <c r="W29" s="49">
        <f t="shared" si="22"/>
        <v>1.0085667000213432E-3</v>
      </c>
      <c r="X29" s="44">
        <f t="shared" si="23"/>
        <v>2853.7896539037165</v>
      </c>
      <c r="Y29" s="44">
        <f t="shared" si="24"/>
        <v>15179.849999999999</v>
      </c>
      <c r="Z29" s="44">
        <f t="shared" si="25"/>
        <v>10851.289326508941</v>
      </c>
      <c r="AA29" s="50">
        <f t="shared" si="26"/>
        <v>23958.639653903716</v>
      </c>
      <c r="AB29" s="51">
        <f t="shared" si="27"/>
        <v>10144.236072271609</v>
      </c>
      <c r="AC29" s="44">
        <f t="shared" si="28"/>
        <v>22397.531694777706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3.1346149049506007</v>
      </c>
      <c r="AG29" s="44">
        <f t="shared" si="31"/>
        <v>45688.579547107482</v>
      </c>
      <c r="AH29" s="52">
        <f>HLOOKUP(I29,ElecAvoidedCostsWOCC!$A$5:$Q$50,T29+1,FALSE)</f>
        <v>3.1346149049506007</v>
      </c>
      <c r="AI29" s="44">
        <f t="shared" si="32"/>
        <v>0</v>
      </c>
      <c r="AJ29" s="44">
        <f t="shared" si="33"/>
        <v>45688.579547107482</v>
      </c>
      <c r="AK29" s="44">
        <f>HLOOKUP(I29,ElecAvoidedCostsWOCC!$A$5:$Q$50,G29+1,FALSE)*J29*L29</f>
        <v>0</v>
      </c>
      <c r="AL29" s="44">
        <f t="shared" si="34"/>
        <v>45688.579547107482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45688.579547107482</v>
      </c>
      <c r="AN29" s="48">
        <f t="shared" si="35"/>
        <v>50257.437501818233</v>
      </c>
      <c r="AO29" s="47">
        <f t="shared" si="36"/>
        <v>4.5038955345285441</v>
      </c>
      <c r="AP29" s="47">
        <f t="shared" si="37"/>
        <v>2.2438828611429735</v>
      </c>
      <c r="AQ29">
        <v>2021</v>
      </c>
    </row>
    <row r="30" spans="1:43">
      <c r="B30" s="97" t="s">
        <v>39</v>
      </c>
      <c r="C30" s="61">
        <v>18230407</v>
      </c>
      <c r="D30" s="61" t="s">
        <v>40</v>
      </c>
      <c r="E30" s="38" t="s">
        <v>927</v>
      </c>
      <c r="F30" s="39" t="s">
        <v>926</v>
      </c>
      <c r="G30" s="39">
        <v>45</v>
      </c>
      <c r="H30" s="39"/>
      <c r="I30" s="40" t="s">
        <v>267</v>
      </c>
      <c r="J30" s="41">
        <v>196931</v>
      </c>
      <c r="K30" s="41">
        <v>13</v>
      </c>
      <c r="L30" s="41"/>
      <c r="M30" s="42">
        <v>5</v>
      </c>
      <c r="N30" s="42">
        <v>23.3</v>
      </c>
      <c r="O30" s="43">
        <v>2560103</v>
      </c>
      <c r="P30" s="44">
        <v>1862105</v>
      </c>
      <c r="Q30" s="44">
        <v>4588492.3</v>
      </c>
      <c r="R30" s="45">
        <v>0</v>
      </c>
      <c r="S30" s="46">
        <v>0</v>
      </c>
      <c r="T30" s="39">
        <f t="shared" si="19"/>
        <v>45</v>
      </c>
      <c r="U30" s="47">
        <f t="shared" si="20"/>
        <v>7.9717031010334685</v>
      </c>
      <c r="V30" s="48">
        <f t="shared" si="21"/>
        <v>18.3</v>
      </c>
      <c r="W30" s="49">
        <f t="shared" si="22"/>
        <v>0.17714895780074374</v>
      </c>
      <c r="X30" s="44">
        <f t="shared" si="23"/>
        <v>501251.78925785504</v>
      </c>
      <c r="Y30" s="44">
        <f t="shared" si="24"/>
        <v>2726387.3</v>
      </c>
      <c r="Z30" s="44">
        <f t="shared" si="25"/>
        <v>1905966.7495909925</v>
      </c>
      <c r="AA30" s="50">
        <f t="shared" si="26"/>
        <v>5089744.089257855</v>
      </c>
      <c r="AB30" s="51">
        <f t="shared" si="27"/>
        <v>1781776.8996830815</v>
      </c>
      <c r="AC30" s="44">
        <f t="shared" si="28"/>
        <v>4758104.224789992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3.1346149049506007</v>
      </c>
      <c r="AG30" s="44">
        <f t="shared" si="31"/>
        <v>8024937.0220087478</v>
      </c>
      <c r="AH30" s="52">
        <f>HLOOKUP(I30,ElecAvoidedCostsWOCC!$A$5:$Q$50,T30+1,FALSE)</f>
        <v>3.1346149049506007</v>
      </c>
      <c r="AI30" s="44">
        <f t="shared" si="32"/>
        <v>0</v>
      </c>
      <c r="AJ30" s="44">
        <f t="shared" si="33"/>
        <v>8024937.0220087478</v>
      </c>
      <c r="AK30" s="44">
        <f>HLOOKUP(I30,ElecAvoidedCostsWOCC!$A$5:$Q$50,G30+1,FALSE)*J30*L30</f>
        <v>0</v>
      </c>
      <c r="AL30" s="44">
        <f t="shared" si="34"/>
        <v>8024937.0220087478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8024937.0220087478</v>
      </c>
      <c r="AN30" s="48">
        <f t="shared" si="35"/>
        <v>8827430.7242096234</v>
      </c>
      <c r="AO30" s="47">
        <f t="shared" si="36"/>
        <v>4.5038955345285459</v>
      </c>
      <c r="AP30" s="47">
        <f t="shared" si="37"/>
        <v>1.8552411437770131</v>
      </c>
      <c r="AQ30">
        <v>2021</v>
      </c>
    </row>
    <row r="31" spans="1:43">
      <c r="B31" s="97" t="s">
        <v>39</v>
      </c>
      <c r="C31" s="61">
        <v>18230407</v>
      </c>
      <c r="D31" s="61" t="s">
        <v>40</v>
      </c>
      <c r="E31" s="38" t="s">
        <v>928</v>
      </c>
      <c r="F31" s="39" t="s">
        <v>929</v>
      </c>
      <c r="G31" s="39">
        <v>45</v>
      </c>
      <c r="H31" s="39"/>
      <c r="I31" s="40" t="s">
        <v>267</v>
      </c>
      <c r="J31" s="41">
        <v>199</v>
      </c>
      <c r="K31" s="41">
        <v>24.2</v>
      </c>
      <c r="L31" s="41"/>
      <c r="M31" s="42">
        <v>7</v>
      </c>
      <c r="N31" s="42">
        <v>17.809999999999999</v>
      </c>
      <c r="O31" s="43">
        <v>4815.8</v>
      </c>
      <c r="P31" s="44">
        <v>1393</v>
      </c>
      <c r="Q31" s="44">
        <v>3544.19</v>
      </c>
      <c r="R31" s="45">
        <v>0</v>
      </c>
      <c r="S31" s="46">
        <v>0</v>
      </c>
      <c r="T31" s="39">
        <f t="shared" si="19"/>
        <v>45</v>
      </c>
      <c r="U31" s="47">
        <f t="shared" si="20"/>
        <v>1.4995540333321348E-2</v>
      </c>
      <c r="V31" s="48">
        <f t="shared" si="21"/>
        <v>10.809999999999999</v>
      </c>
      <c r="W31" s="49">
        <f t="shared" si="22"/>
        <v>3.3323422962936328E-4</v>
      </c>
      <c r="X31" s="44">
        <f t="shared" si="23"/>
        <v>942.90283113920748</v>
      </c>
      <c r="Y31" s="44">
        <f t="shared" si="24"/>
        <v>2151.19</v>
      </c>
      <c r="Z31" s="44">
        <f t="shared" si="25"/>
        <v>3585.3067914378066</v>
      </c>
      <c r="AA31" s="50">
        <f t="shared" si="26"/>
        <v>4487.0928311392072</v>
      </c>
      <c r="AB31" s="51">
        <f t="shared" si="27"/>
        <v>3351.693737905774</v>
      </c>
      <c r="AC31" s="44">
        <f t="shared" si="28"/>
        <v>4194.7207919409248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3.1346149049506007</v>
      </c>
      <c r="AG31" s="44">
        <f t="shared" si="31"/>
        <v>15095.678459261102</v>
      </c>
      <c r="AH31" s="52">
        <f>HLOOKUP(I31,ElecAvoidedCostsWOCC!$A$5:$Q$50,T31+1,FALSE)</f>
        <v>3.1346149049506007</v>
      </c>
      <c r="AI31" s="44">
        <f t="shared" si="32"/>
        <v>0</v>
      </c>
      <c r="AJ31" s="44">
        <f t="shared" si="33"/>
        <v>15095.678459261102</v>
      </c>
      <c r="AK31" s="44">
        <f>HLOOKUP(I31,ElecAvoidedCostsWOCC!$A$5:$Q$50,G31+1,FALSE)*J31*L31</f>
        <v>0</v>
      </c>
      <c r="AL31" s="44">
        <f t="shared" si="34"/>
        <v>15095.678459261102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15095.678459261102</v>
      </c>
      <c r="AN31" s="48">
        <f t="shared" si="35"/>
        <v>16605.246305187215</v>
      </c>
      <c r="AO31" s="47">
        <f t="shared" si="36"/>
        <v>4.503895534528545</v>
      </c>
      <c r="AP31" s="47">
        <f t="shared" si="37"/>
        <v>3.9586058593196278</v>
      </c>
      <c r="AQ31">
        <v>2021</v>
      </c>
    </row>
    <row r="32" spans="1:43">
      <c r="B32" s="97" t="s">
        <v>39</v>
      </c>
      <c r="C32" s="61">
        <v>18230407</v>
      </c>
      <c r="D32" s="61" t="s">
        <v>40</v>
      </c>
      <c r="E32" s="38" t="s">
        <v>930</v>
      </c>
      <c r="F32" s="39" t="s">
        <v>929</v>
      </c>
      <c r="G32" s="39">
        <v>45</v>
      </c>
      <c r="H32" s="39"/>
      <c r="I32" s="40" t="s">
        <v>267</v>
      </c>
      <c r="J32" s="41">
        <v>16299</v>
      </c>
      <c r="K32" s="41">
        <v>24</v>
      </c>
      <c r="L32" s="41"/>
      <c r="M32" s="42">
        <v>7</v>
      </c>
      <c r="N32" s="42">
        <v>23.3</v>
      </c>
      <c r="O32" s="43">
        <v>391176</v>
      </c>
      <c r="P32" s="44">
        <v>175021</v>
      </c>
      <c r="Q32" s="44">
        <v>379766.7</v>
      </c>
      <c r="R32" s="45">
        <v>0</v>
      </c>
      <c r="S32" s="46">
        <v>0</v>
      </c>
      <c r="T32" s="39">
        <f t="shared" si="19"/>
        <v>45</v>
      </c>
      <c r="U32" s="47">
        <f t="shared" si="20"/>
        <v>1.2180521378436213</v>
      </c>
      <c r="V32" s="48">
        <f t="shared" si="21"/>
        <v>16.3</v>
      </c>
      <c r="W32" s="49">
        <f t="shared" si="22"/>
        <v>2.7067825285413807E-2</v>
      </c>
      <c r="X32" s="44">
        <f t="shared" si="23"/>
        <v>76589.758269386322</v>
      </c>
      <c r="Y32" s="44">
        <f t="shared" si="24"/>
        <v>204745.7</v>
      </c>
      <c r="Z32" s="44">
        <f t="shared" si="25"/>
        <v>291225.95818918466</v>
      </c>
      <c r="AA32" s="50">
        <f t="shared" si="26"/>
        <v>456356.45826938632</v>
      </c>
      <c r="AB32" s="51">
        <f t="shared" si="27"/>
        <v>272250.12451078306</v>
      </c>
      <c r="AC32" s="44">
        <f t="shared" si="28"/>
        <v>426620.97622640582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3.1346149049506007</v>
      </c>
      <c r="AG32" s="44">
        <f t="shared" si="31"/>
        <v>1226186.1200589561</v>
      </c>
      <c r="AH32" s="52">
        <f>HLOOKUP(I32,ElecAvoidedCostsWOCC!$A$5:$Q$50,T32+1,FALSE)</f>
        <v>3.1346149049506007</v>
      </c>
      <c r="AI32" s="44">
        <f t="shared" si="32"/>
        <v>0</v>
      </c>
      <c r="AJ32" s="44">
        <f t="shared" si="33"/>
        <v>1226186.1200589561</v>
      </c>
      <c r="AK32" s="44">
        <f>HLOOKUP(I32,ElecAvoidedCostsWOCC!$A$5:$Q$50,G32+1,FALSE)*J32*L32</f>
        <v>0</v>
      </c>
      <c r="AL32" s="44">
        <f t="shared" si="34"/>
        <v>1226186.1200589561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1226186.1200589561</v>
      </c>
      <c r="AN32" s="48">
        <f t="shared" si="35"/>
        <v>1348804.7320648518</v>
      </c>
      <c r="AO32" s="47">
        <f t="shared" si="36"/>
        <v>4.503895534528545</v>
      </c>
      <c r="AP32" s="47">
        <f t="shared" si="37"/>
        <v>3.1615996569025882</v>
      </c>
      <c r="AQ32">
        <v>2021</v>
      </c>
    </row>
    <row r="33" spans="2:43">
      <c r="B33" s="97" t="s">
        <v>39</v>
      </c>
      <c r="C33" s="61">
        <v>18230407</v>
      </c>
      <c r="D33" s="61" t="s">
        <v>40</v>
      </c>
      <c r="E33" s="38" t="s">
        <v>931</v>
      </c>
      <c r="F33" s="39" t="s">
        <v>932</v>
      </c>
      <c r="G33" s="39">
        <v>45</v>
      </c>
      <c r="H33" s="39"/>
      <c r="I33" s="40" t="s">
        <v>269</v>
      </c>
      <c r="J33" s="41">
        <v>24540</v>
      </c>
      <c r="K33" s="41"/>
      <c r="L33" s="41"/>
      <c r="M33" s="42"/>
      <c r="N33" s="42"/>
      <c r="O33" s="43">
        <v>0</v>
      </c>
      <c r="P33" s="44">
        <v>0</v>
      </c>
      <c r="Q33" s="44">
        <v>0</v>
      </c>
      <c r="R33" s="45">
        <v>0</v>
      </c>
      <c r="S33" s="46">
        <v>0</v>
      </c>
      <c r="T33" s="39">
        <f t="shared" si="19"/>
        <v>45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3.4276422079642828</v>
      </c>
      <c r="AG33" s="44">
        <f t="shared" si="31"/>
        <v>0</v>
      </c>
      <c r="AH33" s="52">
        <f>HLOOKUP(I33,ElecAvoidedCostsWOCC!$A$5:$Q$50,T33+1,FALSE)</f>
        <v>3.4276422079642828</v>
      </c>
      <c r="AI33" s="44">
        <f t="shared" si="32"/>
        <v>0</v>
      </c>
      <c r="AJ33" s="44">
        <f t="shared" si="33"/>
        <v>0</v>
      </c>
      <c r="AK33" s="44">
        <f>HLOOKUP(I33,ElecAvoidedCostsWOCC!$A$5:$Q$50,G33+1,FALSE)*J33*L33</f>
        <v>0</v>
      </c>
      <c r="AL33" s="44">
        <f t="shared" si="34"/>
        <v>0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  <c r="AQ33">
        <v>2021</v>
      </c>
    </row>
    <row r="34" spans="2:43">
      <c r="B34" s="97" t="s">
        <v>39</v>
      </c>
      <c r="C34" s="61">
        <v>18230407</v>
      </c>
      <c r="D34" s="61" t="s">
        <v>40</v>
      </c>
      <c r="E34" s="38" t="s">
        <v>933</v>
      </c>
      <c r="F34" s="39" t="s">
        <v>934</v>
      </c>
      <c r="G34" s="39">
        <v>45</v>
      </c>
      <c r="H34" s="39"/>
      <c r="I34" s="40" t="s">
        <v>267</v>
      </c>
      <c r="J34" s="41">
        <v>23638</v>
      </c>
      <c r="K34" s="41">
        <v>15</v>
      </c>
      <c r="L34" s="41"/>
      <c r="M34" s="42">
        <v>7</v>
      </c>
      <c r="N34" s="42">
        <v>26.98</v>
      </c>
      <c r="O34" s="43">
        <v>354570</v>
      </c>
      <c r="P34" s="44">
        <v>330932</v>
      </c>
      <c r="Q34" s="44">
        <v>637753.24</v>
      </c>
      <c r="R34" s="45">
        <v>0</v>
      </c>
      <c r="S34" s="46">
        <v>0</v>
      </c>
      <c r="T34" s="39">
        <f t="shared" si="19"/>
        <v>45</v>
      </c>
      <c r="U34" s="47">
        <f t="shared" si="20"/>
        <v>1.1040675974886311</v>
      </c>
      <c r="V34" s="48">
        <f t="shared" si="21"/>
        <v>19.98</v>
      </c>
      <c r="W34" s="49">
        <f t="shared" si="22"/>
        <v>2.4534835499747359E-2</v>
      </c>
      <c r="X34" s="44">
        <f t="shared" si="23"/>
        <v>69422.53765460127</v>
      </c>
      <c r="Y34" s="44">
        <f t="shared" si="24"/>
        <v>306821.24</v>
      </c>
      <c r="Z34" s="44">
        <f t="shared" si="25"/>
        <v>263973.21920347668</v>
      </c>
      <c r="AA34" s="50">
        <f t="shared" si="26"/>
        <v>707175.77765460126</v>
      </c>
      <c r="AB34" s="51">
        <f t="shared" si="27"/>
        <v>246773.13190939202</v>
      </c>
      <c r="AC34" s="44">
        <f t="shared" si="28"/>
        <v>661097.29611536057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3.1346149049506007</v>
      </c>
      <c r="AG34" s="44">
        <f t="shared" si="31"/>
        <v>1111440.4068483345</v>
      </c>
      <c r="AH34" s="52">
        <f>HLOOKUP(I34,ElecAvoidedCostsWOCC!$A$5:$Q$50,T34+1,FALSE)</f>
        <v>3.1346149049506007</v>
      </c>
      <c r="AI34" s="44">
        <f t="shared" si="32"/>
        <v>0</v>
      </c>
      <c r="AJ34" s="44">
        <f t="shared" si="33"/>
        <v>1111440.4068483345</v>
      </c>
      <c r="AK34" s="44">
        <f>HLOOKUP(I34,ElecAvoidedCostsWOCC!$A$5:$Q$50,G34+1,FALSE)*J34*L34</f>
        <v>0</v>
      </c>
      <c r="AL34" s="44">
        <f t="shared" si="34"/>
        <v>1111440.4068483345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1111440.4068483345</v>
      </c>
      <c r="AN34" s="48">
        <f t="shared" si="35"/>
        <v>1222584.4475331681</v>
      </c>
      <c r="AO34" s="47">
        <f t="shared" si="36"/>
        <v>4.5038955345285459</v>
      </c>
      <c r="AP34" s="47">
        <f t="shared" si="37"/>
        <v>1.8493260443162194</v>
      </c>
      <c r="AQ34">
        <v>2021</v>
      </c>
    </row>
    <row r="35" spans="2:43">
      <c r="B35" s="97" t="s">
        <v>39</v>
      </c>
      <c r="C35" s="61">
        <v>18230407</v>
      </c>
      <c r="D35" s="61" t="s">
        <v>40</v>
      </c>
      <c r="E35" s="38" t="s">
        <v>935</v>
      </c>
      <c r="F35" s="39" t="s">
        <v>936</v>
      </c>
      <c r="G35" s="39">
        <v>45</v>
      </c>
      <c r="H35" s="39"/>
      <c r="I35" s="40" t="s">
        <v>267</v>
      </c>
      <c r="J35" s="41">
        <v>3556</v>
      </c>
      <c r="K35" s="41">
        <v>27</v>
      </c>
      <c r="L35" s="41"/>
      <c r="M35" s="42">
        <v>9</v>
      </c>
      <c r="N35" s="42">
        <v>26.98</v>
      </c>
      <c r="O35" s="43">
        <v>96012</v>
      </c>
      <c r="P35" s="44">
        <v>64008</v>
      </c>
      <c r="Q35" s="44">
        <v>95940.88</v>
      </c>
      <c r="R35" s="45">
        <v>0</v>
      </c>
      <c r="S35" s="46">
        <v>0</v>
      </c>
      <c r="T35" s="39">
        <f t="shared" si="19"/>
        <v>45</v>
      </c>
      <c r="U35" s="47">
        <f t="shared" si="20"/>
        <v>0.29896420500910525</v>
      </c>
      <c r="V35" s="48">
        <f t="shared" si="21"/>
        <v>17.98</v>
      </c>
      <c r="W35" s="49">
        <f t="shared" si="22"/>
        <v>6.6436490002023396E-3</v>
      </c>
      <c r="X35" s="44">
        <f t="shared" si="23"/>
        <v>18798.535367610279</v>
      </c>
      <c r="Y35" s="44">
        <f t="shared" si="24"/>
        <v>31932.880000000005</v>
      </c>
      <c r="Z35" s="44">
        <f t="shared" si="25"/>
        <v>71479.811383264809</v>
      </c>
      <c r="AA35" s="50">
        <f t="shared" si="26"/>
        <v>114739.41536761029</v>
      </c>
      <c r="AB35" s="51">
        <f t="shared" si="27"/>
        <v>66822.297263966349</v>
      </c>
      <c r="AC35" s="44">
        <f t="shared" si="28"/>
        <v>107263.17226101736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3.1346149049506007</v>
      </c>
      <c r="AG35" s="44">
        <f t="shared" si="31"/>
        <v>300960.64625411708</v>
      </c>
      <c r="AH35" s="52">
        <f>HLOOKUP(I35,ElecAvoidedCostsWOCC!$A$5:$Q$50,T35+1,FALSE)</f>
        <v>3.1346149049506007</v>
      </c>
      <c r="AI35" s="44">
        <f t="shared" si="32"/>
        <v>0</v>
      </c>
      <c r="AJ35" s="44">
        <f t="shared" si="33"/>
        <v>300960.64625411708</v>
      </c>
      <c r="AK35" s="44">
        <f>HLOOKUP(I35,ElecAvoidedCostsWOCC!$A$5:$Q$50,G35+1,FALSE)*J35*L35</f>
        <v>0</v>
      </c>
      <c r="AL35" s="44">
        <f t="shared" si="34"/>
        <v>300960.64625411708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300960.64625411708</v>
      </c>
      <c r="AN35" s="48">
        <f t="shared" si="35"/>
        <v>331056.71087952884</v>
      </c>
      <c r="AO35" s="47">
        <f t="shared" si="36"/>
        <v>4.503895534528545</v>
      </c>
      <c r="AP35" s="47">
        <f t="shared" si="37"/>
        <v>3.0863967930570402</v>
      </c>
      <c r="AQ35">
        <v>2021</v>
      </c>
    </row>
    <row r="36" spans="2:43">
      <c r="B36" s="97" t="s">
        <v>39</v>
      </c>
      <c r="C36" s="61">
        <v>18230407</v>
      </c>
      <c r="D36" s="61" t="s">
        <v>40</v>
      </c>
      <c r="E36" s="38" t="s">
        <v>937</v>
      </c>
      <c r="F36" s="39" t="s">
        <v>938</v>
      </c>
      <c r="G36" s="39">
        <v>18</v>
      </c>
      <c r="H36" s="39"/>
      <c r="I36" s="40" t="s">
        <v>269</v>
      </c>
      <c r="J36" s="41">
        <v>2</v>
      </c>
      <c r="K36" s="41"/>
      <c r="L36" s="41"/>
      <c r="M36" s="42"/>
      <c r="N36" s="42"/>
      <c r="O36" s="43">
        <v>0</v>
      </c>
      <c r="P36" s="44">
        <v>0</v>
      </c>
      <c r="Q36" s="44">
        <v>0</v>
      </c>
      <c r="R36" s="45">
        <v>0</v>
      </c>
      <c r="S36" s="46">
        <v>0</v>
      </c>
      <c r="T36" s="39">
        <f t="shared" si="19"/>
        <v>18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1.5960324064820535</v>
      </c>
      <c r="AG36" s="44">
        <f t="shared" si="31"/>
        <v>0</v>
      </c>
      <c r="AH36" s="52">
        <f>HLOOKUP(I36,ElecAvoidedCostsWOCC!$A$5:$Q$50,T36+1,FALSE)</f>
        <v>1.5960324064820535</v>
      </c>
      <c r="AI36" s="44">
        <f t="shared" si="32"/>
        <v>0</v>
      </c>
      <c r="AJ36" s="44">
        <f t="shared" si="33"/>
        <v>0</v>
      </c>
      <c r="AK36" s="44">
        <f>HLOOKUP(I36,ElecAvoidedCostsWOCC!$A$5:$Q$50,G36+1,FALSE)*J36*L36</f>
        <v>0</v>
      </c>
      <c r="AL36" s="44">
        <f t="shared" si="34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  <c r="AQ36">
        <v>2021</v>
      </c>
    </row>
    <row r="37" spans="2:43">
      <c r="B37" s="97" t="s">
        <v>39</v>
      </c>
      <c r="C37" s="61">
        <v>18230407</v>
      </c>
      <c r="D37" s="61" t="s">
        <v>40</v>
      </c>
      <c r="E37" s="38" t="s">
        <v>939</v>
      </c>
      <c r="F37" s="39" t="s">
        <v>938</v>
      </c>
      <c r="G37" s="39">
        <v>20</v>
      </c>
      <c r="H37" s="39"/>
      <c r="I37" s="40" t="s">
        <v>269</v>
      </c>
      <c r="J37" s="41">
        <v>1</v>
      </c>
      <c r="K37" s="41"/>
      <c r="L37" s="41"/>
      <c r="M37" s="42"/>
      <c r="N37" s="42"/>
      <c r="O37" s="43">
        <v>0</v>
      </c>
      <c r="P37" s="44">
        <v>0</v>
      </c>
      <c r="Q37" s="44">
        <v>0</v>
      </c>
      <c r="R37" s="45">
        <v>0</v>
      </c>
      <c r="S37" s="46">
        <v>0</v>
      </c>
      <c r="T37" s="39">
        <f t="shared" si="19"/>
        <v>20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1.727945421646023</v>
      </c>
      <c r="AG37" s="44">
        <f t="shared" si="31"/>
        <v>0</v>
      </c>
      <c r="AH37" s="52">
        <f>HLOOKUP(I37,ElecAvoidedCostsWOCC!$A$5:$Q$50,T37+1,FALSE)</f>
        <v>1.727945421646023</v>
      </c>
      <c r="AI37" s="44">
        <f t="shared" si="32"/>
        <v>0</v>
      </c>
      <c r="AJ37" s="44">
        <f t="shared" si="33"/>
        <v>0</v>
      </c>
      <c r="AK37" s="44">
        <f>HLOOKUP(I37,ElecAvoidedCostsWOCC!$A$5:$Q$50,G37+1,FALSE)*J37*L37</f>
        <v>0</v>
      </c>
      <c r="AL37" s="44">
        <f t="shared" si="34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  <c r="AQ37">
        <v>2021</v>
      </c>
    </row>
    <row r="38" spans="2:43">
      <c r="B38" s="97" t="s">
        <v>39</v>
      </c>
      <c r="C38" s="61">
        <v>18230407</v>
      </c>
      <c r="D38" s="61" t="s">
        <v>40</v>
      </c>
      <c r="E38" s="38" t="s">
        <v>940</v>
      </c>
      <c r="F38" s="39" t="s">
        <v>941</v>
      </c>
      <c r="G38" s="39">
        <v>20</v>
      </c>
      <c r="H38" s="39"/>
      <c r="I38" s="40" t="s">
        <v>269</v>
      </c>
      <c r="J38" s="41">
        <v>2</v>
      </c>
      <c r="K38" s="41"/>
      <c r="L38" s="41"/>
      <c r="M38" s="42"/>
      <c r="N38" s="42"/>
      <c r="O38" s="43">
        <v>0</v>
      </c>
      <c r="P38" s="44">
        <v>0</v>
      </c>
      <c r="Q38" s="44">
        <v>0</v>
      </c>
      <c r="R38" s="45">
        <v>0</v>
      </c>
      <c r="S38" s="46">
        <v>0</v>
      </c>
      <c r="T38" s="39">
        <f t="shared" si="19"/>
        <v>20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1.727945421646023</v>
      </c>
      <c r="AG38" s="44">
        <f t="shared" si="31"/>
        <v>0</v>
      </c>
      <c r="AH38" s="52">
        <f>HLOOKUP(I38,ElecAvoidedCostsWOCC!$A$5:$Q$50,T38+1,FALSE)</f>
        <v>1.727945421646023</v>
      </c>
      <c r="AI38" s="44">
        <f t="shared" si="32"/>
        <v>0</v>
      </c>
      <c r="AJ38" s="44">
        <f t="shared" si="33"/>
        <v>0</v>
      </c>
      <c r="AK38" s="44">
        <f>HLOOKUP(I38,ElecAvoidedCostsWOCC!$A$5:$Q$50,G38+1,FALSE)*J38*L38</f>
        <v>0</v>
      </c>
      <c r="AL38" s="44">
        <f t="shared" si="34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  <c r="AQ38">
        <v>2021</v>
      </c>
    </row>
    <row r="39" spans="2:43">
      <c r="B39" s="97" t="s">
        <v>39</v>
      </c>
      <c r="C39" s="61">
        <v>18230407</v>
      </c>
      <c r="D39" s="61" t="s">
        <v>40</v>
      </c>
      <c r="E39" s="38" t="s">
        <v>598</v>
      </c>
      <c r="F39" s="39" t="s">
        <v>599</v>
      </c>
      <c r="G39" s="39">
        <v>13</v>
      </c>
      <c r="H39" s="39"/>
      <c r="I39" s="40" t="s">
        <v>265</v>
      </c>
      <c r="J39" s="41">
        <v>2</v>
      </c>
      <c r="K39" s="41">
        <v>1225</v>
      </c>
      <c r="L39" s="41"/>
      <c r="M39" s="42">
        <v>500</v>
      </c>
      <c r="N39" s="42">
        <v>629.16999999999996</v>
      </c>
      <c r="O39" s="43">
        <v>2450</v>
      </c>
      <c r="P39" s="44">
        <v>1000</v>
      </c>
      <c r="Q39" s="44">
        <v>1258.3399999999999</v>
      </c>
      <c r="R39" s="45">
        <v>0</v>
      </c>
      <c r="S39" s="46">
        <v>0</v>
      </c>
      <c r="T39" s="39">
        <f t="shared" si="19"/>
        <v>13</v>
      </c>
      <c r="U39" s="47">
        <f t="shared" si="20"/>
        <v>2.2038934784864863E-3</v>
      </c>
      <c r="V39" s="48">
        <f t="shared" si="21"/>
        <v>129.16999999999996</v>
      </c>
      <c r="W39" s="49">
        <f t="shared" si="22"/>
        <v>1.6953026757588355E-4</v>
      </c>
      <c r="X39" s="44">
        <f t="shared" si="23"/>
        <v>479.69432623677443</v>
      </c>
      <c r="Y39" s="44">
        <f t="shared" si="24"/>
        <v>258.33999999999992</v>
      </c>
      <c r="Z39" s="44">
        <f t="shared" si="25"/>
        <v>1823.9963534662209</v>
      </c>
      <c r="AA39" s="50">
        <f t="shared" si="26"/>
        <v>1738.0343262367744</v>
      </c>
      <c r="AB39" s="51">
        <f t="shared" si="27"/>
        <v>1705.147567978144</v>
      </c>
      <c r="AC39" s="44">
        <f t="shared" si="28"/>
        <v>1624.786693686804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0.95298626106018935</v>
      </c>
      <c r="AG39" s="44">
        <f t="shared" si="31"/>
        <v>2334.8163395974639</v>
      </c>
      <c r="AH39" s="52">
        <f>HLOOKUP(I39,ElecAvoidedCostsWOCC!$A$5:$Q$50,T39+1,FALSE)</f>
        <v>0.95298626106018935</v>
      </c>
      <c r="AI39" s="44">
        <f t="shared" si="32"/>
        <v>0</v>
      </c>
      <c r="AJ39" s="44">
        <f t="shared" si="33"/>
        <v>2334.8163395974639</v>
      </c>
      <c r="AK39" s="44">
        <f>HLOOKUP(I39,ElecAvoidedCostsWOCC!$A$5:$Q$50,G39+1,FALSE)*J39*L39</f>
        <v>0</v>
      </c>
      <c r="AL39" s="44">
        <f t="shared" si="34"/>
        <v>2334.8163395974639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2334.8163395974639</v>
      </c>
      <c r="AN39" s="48">
        <f t="shared" si="35"/>
        <v>2568.2979735572103</v>
      </c>
      <c r="AO39" s="47">
        <f t="shared" si="36"/>
        <v>1.3692752366095453</v>
      </c>
      <c r="AP39" s="47">
        <f t="shared" si="37"/>
        <v>1.580698551715416</v>
      </c>
      <c r="AQ39">
        <v>2021</v>
      </c>
    </row>
    <row r="40" spans="2:43">
      <c r="B40" s="97" t="s">
        <v>39</v>
      </c>
      <c r="C40" s="61">
        <v>18230407</v>
      </c>
      <c r="D40" s="61" t="s">
        <v>40</v>
      </c>
      <c r="E40" s="38" t="s">
        <v>942</v>
      </c>
      <c r="F40" s="39" t="s">
        <v>943</v>
      </c>
      <c r="G40" s="39">
        <v>20</v>
      </c>
      <c r="H40" s="39"/>
      <c r="I40" s="40" t="s">
        <v>265</v>
      </c>
      <c r="J40" s="41">
        <v>2</v>
      </c>
      <c r="K40" s="41"/>
      <c r="L40" s="41"/>
      <c r="M40" s="42"/>
      <c r="N40" s="42"/>
      <c r="O40" s="43">
        <v>0</v>
      </c>
      <c r="P40" s="44">
        <v>0</v>
      </c>
      <c r="Q40" s="44">
        <v>0</v>
      </c>
      <c r="R40" s="45">
        <v>15.03</v>
      </c>
      <c r="S40" s="46">
        <v>0</v>
      </c>
      <c r="T40" s="39">
        <f t="shared" si="19"/>
        <v>20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319.19995660946779</v>
      </c>
      <c r="AE40" s="44">
        <f t="shared" si="30"/>
        <v>0</v>
      </c>
      <c r="AF40" s="52">
        <f>HLOOKUP(I40,ElecAvoidedCostsWOCC!$A$5:$Q$50,G40+1,FALSE)</f>
        <v>1.3500153127049974</v>
      </c>
      <c r="AG40" s="44">
        <f t="shared" si="31"/>
        <v>0</v>
      </c>
      <c r="AH40" s="52">
        <f>HLOOKUP(I40,ElecAvoidedCostsWOCC!$A$5:$Q$50,T40+1,FALSE)</f>
        <v>1.3500153127049974</v>
      </c>
      <c r="AI40" s="44">
        <f t="shared" si="32"/>
        <v>0</v>
      </c>
      <c r="AJ40" s="44">
        <f t="shared" si="33"/>
        <v>0</v>
      </c>
      <c r="AK40" s="44">
        <f>HLOOKUP(I40,ElecAvoidedCostsWOCC!$A$5:$Q$50,G40+1,FALSE)*J40*L40</f>
        <v>0</v>
      </c>
      <c r="AL40" s="44">
        <f t="shared" si="34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319.19995660946779</v>
      </c>
      <c r="AO40" s="47">
        <f t="shared" si="36"/>
        <v>0</v>
      </c>
      <c r="AP40" s="47" t="e">
        <f t="shared" si="37"/>
        <v>#DIV/0!</v>
      </c>
      <c r="AQ40">
        <v>2021</v>
      </c>
    </row>
    <row r="41" spans="2:43">
      <c r="B41" s="97" t="s">
        <v>39</v>
      </c>
      <c r="C41" s="61">
        <v>18230407</v>
      </c>
      <c r="D41" s="61" t="s">
        <v>40</v>
      </c>
      <c r="E41" s="38" t="s">
        <v>944</v>
      </c>
      <c r="F41" s="39" t="s">
        <v>945</v>
      </c>
      <c r="G41" s="39">
        <v>10</v>
      </c>
      <c r="H41" s="39"/>
      <c r="I41" s="40" t="s">
        <v>265</v>
      </c>
      <c r="J41" s="41">
        <v>750</v>
      </c>
      <c r="K41" s="41">
        <v>50</v>
      </c>
      <c r="L41" s="41"/>
      <c r="M41" s="42">
        <v>33</v>
      </c>
      <c r="N41" s="42">
        <v>33</v>
      </c>
      <c r="O41" s="43">
        <v>37500</v>
      </c>
      <c r="P41" s="44">
        <v>24750</v>
      </c>
      <c r="Q41" s="44">
        <v>24750</v>
      </c>
      <c r="R41" s="45">
        <v>4.13</v>
      </c>
      <c r="S41" s="46">
        <v>0</v>
      </c>
      <c r="T41" s="39">
        <f t="shared" si="19"/>
        <v>10</v>
      </c>
      <c r="U41" s="47">
        <f t="shared" si="20"/>
        <v>2.5948510343247484E-2</v>
      </c>
      <c r="V41" s="48">
        <f t="shared" si="21"/>
        <v>0</v>
      </c>
      <c r="W41" s="49">
        <f t="shared" si="22"/>
        <v>2.5948510343247484E-3</v>
      </c>
      <c r="X41" s="44">
        <f t="shared" si="23"/>
        <v>7342.2600954608333</v>
      </c>
      <c r="Y41" s="44">
        <f t="shared" si="24"/>
        <v>0</v>
      </c>
      <c r="Z41" s="44">
        <f t="shared" si="25"/>
        <v>27918.311532646236</v>
      </c>
      <c r="AA41" s="50">
        <f t="shared" si="26"/>
        <v>32092.260095460835</v>
      </c>
      <c r="AB41" s="51">
        <f t="shared" si="27"/>
        <v>26099.197469053222</v>
      </c>
      <c r="AC41" s="44">
        <f t="shared" si="28"/>
        <v>30001.177989586642</v>
      </c>
      <c r="AD41" s="44">
        <f t="shared" si="29"/>
        <v>21785.745370035271</v>
      </c>
      <c r="AE41" s="44">
        <f t="shared" si="30"/>
        <v>0</v>
      </c>
      <c r="AF41" s="52">
        <f>HLOOKUP(I41,ElecAvoidedCostsWOCC!$A$5:$Q$50,G41+1,FALSE)</f>
        <v>0.74487332198138856</v>
      </c>
      <c r="AG41" s="44">
        <f t="shared" si="31"/>
        <v>27932.749574302074</v>
      </c>
      <c r="AH41" s="52">
        <f>HLOOKUP(I41,ElecAvoidedCostsWOCC!$A$5:$Q$50,T41+1,FALSE)</f>
        <v>0.74487332198138856</v>
      </c>
      <c r="AI41" s="44">
        <f t="shared" si="32"/>
        <v>0</v>
      </c>
      <c r="AJ41" s="44">
        <f t="shared" si="33"/>
        <v>27932.749574302074</v>
      </c>
      <c r="AK41" s="44">
        <f>HLOOKUP(I41,ElecAvoidedCostsWOCC!$A$5:$Q$50,G41+1,FALSE)*J41*L41</f>
        <v>0</v>
      </c>
      <c r="AL41" s="44">
        <f t="shared" si="34"/>
        <v>27932.749574302074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27932.749574302074</v>
      </c>
      <c r="AN41" s="48">
        <f t="shared" si="35"/>
        <v>52511.769901767555</v>
      </c>
      <c r="AO41" s="47">
        <f t="shared" si="36"/>
        <v>1.0702531986825634</v>
      </c>
      <c r="AP41" s="47">
        <f t="shared" si="37"/>
        <v>1.7503236012930659</v>
      </c>
      <c r="AQ41">
        <v>2021</v>
      </c>
    </row>
    <row r="42" spans="2:43">
      <c r="B42" s="97" t="s">
        <v>39</v>
      </c>
      <c r="C42" s="61">
        <v>18230407</v>
      </c>
      <c r="D42" s="61" t="s">
        <v>40</v>
      </c>
      <c r="E42" s="38" t="s">
        <v>946</v>
      </c>
      <c r="F42" s="39" t="s">
        <v>947</v>
      </c>
      <c r="G42" s="39">
        <v>15</v>
      </c>
      <c r="H42" s="39"/>
      <c r="I42" s="40" t="s">
        <v>267</v>
      </c>
      <c r="J42" s="41">
        <v>7</v>
      </c>
      <c r="K42" s="41">
        <v>71</v>
      </c>
      <c r="L42" s="41"/>
      <c r="M42" s="42">
        <v>75</v>
      </c>
      <c r="N42" s="42">
        <v>100</v>
      </c>
      <c r="O42" s="43">
        <v>497</v>
      </c>
      <c r="P42" s="44">
        <v>525</v>
      </c>
      <c r="Q42" s="44">
        <v>700</v>
      </c>
      <c r="R42" s="45">
        <v>0</v>
      </c>
      <c r="S42" s="46">
        <v>0</v>
      </c>
      <c r="T42" s="39">
        <f t="shared" si="19"/>
        <v>15</v>
      </c>
      <c r="U42" s="47">
        <f t="shared" si="20"/>
        <v>5.158563856237599E-4</v>
      </c>
      <c r="V42" s="48">
        <f t="shared" si="21"/>
        <v>25</v>
      </c>
      <c r="W42" s="49">
        <f t="shared" si="22"/>
        <v>3.4390425708250662E-5</v>
      </c>
      <c r="X42" s="44">
        <f t="shared" si="23"/>
        <v>97.309420465174227</v>
      </c>
      <c r="Y42" s="44">
        <f t="shared" si="24"/>
        <v>175</v>
      </c>
      <c r="Z42" s="44">
        <f t="shared" si="25"/>
        <v>370.01068884600477</v>
      </c>
      <c r="AA42" s="50">
        <f t="shared" si="26"/>
        <v>797.30942046517418</v>
      </c>
      <c r="AB42" s="51">
        <f t="shared" si="27"/>
        <v>345.90136378985204</v>
      </c>
      <c r="AC42" s="44">
        <f t="shared" si="28"/>
        <v>745.35796995902979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1.3893373920773078</v>
      </c>
      <c r="AG42" s="44">
        <f t="shared" si="31"/>
        <v>690.50068386242185</v>
      </c>
      <c r="AH42" s="52">
        <f>HLOOKUP(I42,ElecAvoidedCostsWOCC!$A$5:$Q$50,T42+1,FALSE)</f>
        <v>1.3893373920773078</v>
      </c>
      <c r="AI42" s="44">
        <f t="shared" si="32"/>
        <v>0</v>
      </c>
      <c r="AJ42" s="44">
        <f t="shared" si="33"/>
        <v>690.50068386242185</v>
      </c>
      <c r="AK42" s="44">
        <f>HLOOKUP(I42,ElecAvoidedCostsWOCC!$A$5:$Q$50,G42+1,FALSE)*J42*L42</f>
        <v>0</v>
      </c>
      <c r="AL42" s="44">
        <f t="shared" si="34"/>
        <v>690.50068386242185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690.50068386242197</v>
      </c>
      <c r="AN42" s="48">
        <f t="shared" si="35"/>
        <v>759.55075224866425</v>
      </c>
      <c r="AO42" s="47">
        <f t="shared" si="36"/>
        <v>1.9962357947854952</v>
      </c>
      <c r="AP42" s="47">
        <f t="shared" si="37"/>
        <v>1.019041565075657</v>
      </c>
      <c r="AQ42">
        <v>2021</v>
      </c>
    </row>
    <row r="43" spans="2:43">
      <c r="B43" s="97" t="s">
        <v>39</v>
      </c>
      <c r="C43" s="61">
        <v>18230407</v>
      </c>
      <c r="D43" s="61" t="s">
        <v>40</v>
      </c>
      <c r="E43" s="38" t="s">
        <v>948</v>
      </c>
      <c r="F43" s="39" t="s">
        <v>949</v>
      </c>
      <c r="G43" s="39">
        <v>15</v>
      </c>
      <c r="H43" s="39"/>
      <c r="I43" s="40" t="s">
        <v>248</v>
      </c>
      <c r="J43" s="41">
        <v>65</v>
      </c>
      <c r="K43" s="41">
        <v>90</v>
      </c>
      <c r="L43" s="41"/>
      <c r="M43" s="42">
        <v>70</v>
      </c>
      <c r="N43" s="42">
        <v>70</v>
      </c>
      <c r="O43" s="43">
        <v>5850</v>
      </c>
      <c r="P43" s="44">
        <v>4550</v>
      </c>
      <c r="Q43" s="44">
        <v>4550</v>
      </c>
      <c r="R43" s="45">
        <v>1.48</v>
      </c>
      <c r="S43" s="46">
        <v>0</v>
      </c>
      <c r="T43" s="39">
        <f t="shared" si="19"/>
        <v>15</v>
      </c>
      <c r="U43" s="47">
        <f t="shared" si="20"/>
        <v>6.0719514203199107E-3</v>
      </c>
      <c r="V43" s="48">
        <f t="shared" si="21"/>
        <v>0</v>
      </c>
      <c r="W43" s="49">
        <f t="shared" si="22"/>
        <v>4.047967613546607E-4</v>
      </c>
      <c r="X43" s="44">
        <f t="shared" si="23"/>
        <v>1145.3925748918898</v>
      </c>
      <c r="Y43" s="44">
        <f t="shared" si="24"/>
        <v>0</v>
      </c>
      <c r="Z43" s="44">
        <f t="shared" si="25"/>
        <v>4355.2565990928124</v>
      </c>
      <c r="AA43" s="50">
        <f t="shared" si="26"/>
        <v>5695.39257489189</v>
      </c>
      <c r="AB43" s="51">
        <f t="shared" si="27"/>
        <v>4071.4748051723027</v>
      </c>
      <c r="AC43" s="44">
        <f t="shared" si="28"/>
        <v>5324.2895904383377</v>
      </c>
      <c r="AD43" s="44">
        <f t="shared" si="29"/>
        <v>877.84397807268033</v>
      </c>
      <c r="AE43" s="44">
        <f t="shared" si="30"/>
        <v>0</v>
      </c>
      <c r="AF43" s="52">
        <f>HLOOKUP(I43,ElecAvoidedCostsWOCC!$A$5:$Q$50,G43+1,FALSE)</f>
        <v>1.107650050703576</v>
      </c>
      <c r="AG43" s="44">
        <f t="shared" si="31"/>
        <v>6479.7527966159196</v>
      </c>
      <c r="AH43" s="52">
        <f>HLOOKUP(I43,ElecAvoidedCostsWOCC!$A$5:$Q$50,T43+1,FALSE)</f>
        <v>1.107650050703576</v>
      </c>
      <c r="AI43" s="44">
        <f t="shared" si="32"/>
        <v>0</v>
      </c>
      <c r="AJ43" s="44">
        <f t="shared" si="33"/>
        <v>6479.7527966159196</v>
      </c>
      <c r="AK43" s="44">
        <f>HLOOKUP(I43,ElecAvoidedCostsWOCC!$A$5:$Q$50,G43+1,FALSE)*J43*L43</f>
        <v>0</v>
      </c>
      <c r="AL43" s="44">
        <f t="shared" si="34"/>
        <v>6479.7527966159196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6479.7527966159196</v>
      </c>
      <c r="AN43" s="48">
        <f t="shared" si="35"/>
        <v>8005.572054350192</v>
      </c>
      <c r="AO43" s="47">
        <f t="shared" si="36"/>
        <v>1.5915001582188839</v>
      </c>
      <c r="AP43" s="47">
        <f t="shared" si="37"/>
        <v>1.503594407923839</v>
      </c>
      <c r="AQ43">
        <v>2021</v>
      </c>
    </row>
    <row r="44" spans="2:43">
      <c r="B44" s="97" t="s">
        <v>39</v>
      </c>
      <c r="C44" s="61">
        <v>18230407</v>
      </c>
      <c r="D44" s="61" t="s">
        <v>40</v>
      </c>
      <c r="E44" s="38" t="s">
        <v>950</v>
      </c>
      <c r="F44" s="39" t="s">
        <v>951</v>
      </c>
      <c r="G44" s="39">
        <v>15</v>
      </c>
      <c r="H44" s="39"/>
      <c r="I44" s="40" t="s">
        <v>248</v>
      </c>
      <c r="J44" s="41">
        <v>786</v>
      </c>
      <c r="K44" s="41">
        <v>61</v>
      </c>
      <c r="L44" s="41"/>
      <c r="M44" s="42">
        <v>70</v>
      </c>
      <c r="N44" s="42">
        <v>70</v>
      </c>
      <c r="O44" s="43">
        <v>47946</v>
      </c>
      <c r="P44" s="44">
        <v>55020</v>
      </c>
      <c r="Q44" s="44">
        <v>55020</v>
      </c>
      <c r="R44" s="45">
        <v>1.48</v>
      </c>
      <c r="S44" s="46">
        <v>0</v>
      </c>
      <c r="T44" s="39">
        <f t="shared" si="19"/>
        <v>15</v>
      </c>
      <c r="U44" s="47">
        <f t="shared" si="20"/>
        <v>4.9765091076693753E-2</v>
      </c>
      <c r="V44" s="48">
        <f t="shared" si="21"/>
        <v>0</v>
      </c>
      <c r="W44" s="49">
        <f t="shared" si="22"/>
        <v>3.3176727384462501E-3</v>
      </c>
      <c r="X44" s="44">
        <f t="shared" si="23"/>
        <v>9387.5200676524018</v>
      </c>
      <c r="Y44" s="44">
        <f t="shared" si="24"/>
        <v>0</v>
      </c>
      <c r="Z44" s="44">
        <f t="shared" si="25"/>
        <v>35695.236393180174</v>
      </c>
      <c r="AA44" s="50">
        <f t="shared" si="26"/>
        <v>64407.520067652404</v>
      </c>
      <c r="AB44" s="51">
        <f t="shared" si="27"/>
        <v>33369.389916032691</v>
      </c>
      <c r="AC44" s="44">
        <f t="shared" si="28"/>
        <v>60210.825528327943</v>
      </c>
      <c r="AD44" s="44">
        <f t="shared" si="29"/>
        <v>10615.159488694257</v>
      </c>
      <c r="AE44" s="44">
        <f t="shared" si="30"/>
        <v>0</v>
      </c>
      <c r="AF44" s="52">
        <f>HLOOKUP(I44,ElecAvoidedCostsWOCC!$A$5:$Q$50,G44+1,FALSE)</f>
        <v>1.107650050703576</v>
      </c>
      <c r="AG44" s="44">
        <f t="shared" si="31"/>
        <v>53107.389331033657</v>
      </c>
      <c r="AH44" s="52">
        <f>HLOOKUP(I44,ElecAvoidedCostsWOCC!$A$5:$Q$50,T44+1,FALSE)</f>
        <v>1.107650050703576</v>
      </c>
      <c r="AI44" s="44">
        <f t="shared" si="32"/>
        <v>0</v>
      </c>
      <c r="AJ44" s="44">
        <f t="shared" si="33"/>
        <v>53107.389331033657</v>
      </c>
      <c r="AK44" s="44">
        <f>HLOOKUP(I44,ElecAvoidedCostsWOCC!$A$5:$Q$50,G44+1,FALSE)*J44*L44</f>
        <v>0</v>
      </c>
      <c r="AL44" s="44">
        <f t="shared" si="34"/>
        <v>53107.389331033657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53107.38933103365</v>
      </c>
      <c r="AN44" s="48">
        <f t="shared" si="35"/>
        <v>69033.287752831282</v>
      </c>
      <c r="AO44" s="47">
        <f t="shared" si="36"/>
        <v>1.5915001582188837</v>
      </c>
      <c r="AP44" s="47">
        <f t="shared" si="37"/>
        <v>1.1465261794218808</v>
      </c>
      <c r="AQ44">
        <v>2021</v>
      </c>
    </row>
    <row r="45" spans="2:43">
      <c r="B45" s="97" t="s">
        <v>39</v>
      </c>
      <c r="C45" s="61">
        <v>18230407</v>
      </c>
      <c r="D45" s="61" t="s">
        <v>40</v>
      </c>
      <c r="E45" s="38" t="s">
        <v>952</v>
      </c>
      <c r="F45" s="39" t="s">
        <v>953</v>
      </c>
      <c r="G45" s="39">
        <v>45</v>
      </c>
      <c r="H45" s="39"/>
      <c r="I45" s="40" t="s">
        <v>269</v>
      </c>
      <c r="J45" s="41">
        <v>332</v>
      </c>
      <c r="K45" s="41"/>
      <c r="L45" s="41"/>
      <c r="M45" s="42"/>
      <c r="N45" s="42"/>
      <c r="O45" s="43">
        <v>0</v>
      </c>
      <c r="P45" s="44">
        <v>0</v>
      </c>
      <c r="Q45" s="44">
        <v>0</v>
      </c>
      <c r="R45" s="45">
        <v>0</v>
      </c>
      <c r="S45" s="46">
        <v>0</v>
      </c>
      <c r="T45" s="39">
        <f t="shared" si="19"/>
        <v>45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3.4276422079642828</v>
      </c>
      <c r="AG45" s="44">
        <f t="shared" si="31"/>
        <v>0</v>
      </c>
      <c r="AH45" s="52">
        <f>HLOOKUP(I45,ElecAvoidedCostsWOCC!$A$5:$Q$50,T45+1,FALSE)</f>
        <v>3.4276422079642828</v>
      </c>
      <c r="AI45" s="44">
        <f t="shared" si="32"/>
        <v>0</v>
      </c>
      <c r="AJ45" s="44">
        <f t="shared" si="33"/>
        <v>0</v>
      </c>
      <c r="AK45" s="44">
        <f>HLOOKUP(I45,ElecAvoidedCostsWOCC!$A$5:$Q$50,G45+1,FALSE)*J45*L45</f>
        <v>0</v>
      </c>
      <c r="AL45" s="44">
        <f t="shared" si="34"/>
        <v>0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  <c r="AQ45">
        <v>2021</v>
      </c>
    </row>
    <row r="46" spans="2:43">
      <c r="B46" s="97" t="s">
        <v>39</v>
      </c>
      <c r="C46" s="61">
        <v>18230407</v>
      </c>
      <c r="D46" s="61" t="s">
        <v>40</v>
      </c>
      <c r="E46" s="38" t="s">
        <v>633</v>
      </c>
      <c r="F46" s="39" t="s">
        <v>634</v>
      </c>
      <c r="G46" s="39">
        <v>14</v>
      </c>
      <c r="H46" s="39"/>
      <c r="I46" s="40" t="s">
        <v>265</v>
      </c>
      <c r="J46" s="41">
        <v>156</v>
      </c>
      <c r="K46" s="41">
        <v>26</v>
      </c>
      <c r="L46" s="41"/>
      <c r="M46" s="42">
        <v>25</v>
      </c>
      <c r="N46" s="42">
        <v>0.01</v>
      </c>
      <c r="O46" s="43">
        <v>4056</v>
      </c>
      <c r="P46" s="44">
        <v>3900</v>
      </c>
      <c r="Q46" s="44">
        <v>1.56</v>
      </c>
      <c r="R46" s="45">
        <v>7.49</v>
      </c>
      <c r="S46" s="46">
        <v>0</v>
      </c>
      <c r="T46" s="39">
        <f t="shared" si="19"/>
        <v>14</v>
      </c>
      <c r="U46" s="47">
        <f t="shared" si="20"/>
        <v>3.9292272302159066E-3</v>
      </c>
      <c r="V46" s="48">
        <f t="shared" si="21"/>
        <v>-24.99</v>
      </c>
      <c r="W46" s="49">
        <f t="shared" si="22"/>
        <v>2.8065908787256475E-4</v>
      </c>
      <c r="X46" s="44">
        <f t="shared" si="23"/>
        <v>794.13885192504358</v>
      </c>
      <c r="Y46" s="44">
        <f t="shared" si="24"/>
        <v>-3898.44</v>
      </c>
      <c r="Z46" s="44">
        <f t="shared" si="25"/>
        <v>3019.6445753710168</v>
      </c>
      <c r="AA46" s="50">
        <f t="shared" si="26"/>
        <v>795.69885192504353</v>
      </c>
      <c r="AB46" s="51">
        <f t="shared" si="27"/>
        <v>2822.8891982527966</v>
      </c>
      <c r="AC46" s="44">
        <f t="shared" si="28"/>
        <v>743.85234357767922</v>
      </c>
      <c r="AD46" s="44">
        <f t="shared" si="29"/>
        <v>10236.964018458088</v>
      </c>
      <c r="AE46" s="44">
        <f t="shared" si="30"/>
        <v>0</v>
      </c>
      <c r="AF46" s="52">
        <f>HLOOKUP(I46,ElecAvoidedCostsWOCC!$A$5:$Q$50,G46+1,FALSE)</f>
        <v>1.0169996824506593</v>
      </c>
      <c r="AG46" s="44">
        <f t="shared" si="31"/>
        <v>4124.9507120198741</v>
      </c>
      <c r="AH46" s="52">
        <f>HLOOKUP(I46,ElecAvoidedCostsWOCC!$A$5:$Q$50,T46+1,FALSE)</f>
        <v>1.0169996824506593</v>
      </c>
      <c r="AI46" s="44">
        <f t="shared" si="32"/>
        <v>0</v>
      </c>
      <c r="AJ46" s="44">
        <f t="shared" si="33"/>
        <v>4124.9507120198741</v>
      </c>
      <c r="AK46" s="44">
        <f>HLOOKUP(I46,ElecAvoidedCostsWOCC!$A$5:$Q$50,G46+1,FALSE)*J46*L46</f>
        <v>0</v>
      </c>
      <c r="AL46" s="44">
        <f t="shared" si="34"/>
        <v>4124.9507120198741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4124.9507120198741</v>
      </c>
      <c r="AN46" s="48">
        <f t="shared" si="35"/>
        <v>14774.409801679951</v>
      </c>
      <c r="AO46" s="47">
        <f t="shared" si="36"/>
        <v>1.4612513713159474</v>
      </c>
      <c r="AP46" s="47">
        <f t="shared" si="37"/>
        <v>19.862019565092737</v>
      </c>
      <c r="AQ46">
        <v>2021</v>
      </c>
    </row>
    <row r="47" spans="2:43">
      <c r="B47" s="97" t="s">
        <v>39</v>
      </c>
      <c r="C47" s="61">
        <v>18230407</v>
      </c>
      <c r="D47" s="61" t="s">
        <v>40</v>
      </c>
      <c r="E47" s="38" t="s">
        <v>954</v>
      </c>
      <c r="F47" s="39" t="s">
        <v>955</v>
      </c>
      <c r="G47" s="39">
        <v>4</v>
      </c>
      <c r="H47" s="39"/>
      <c r="I47" s="40" t="s">
        <v>263</v>
      </c>
      <c r="J47" s="41">
        <v>2</v>
      </c>
      <c r="K47" s="41">
        <v>65</v>
      </c>
      <c r="L47" s="41"/>
      <c r="M47" s="42">
        <v>14</v>
      </c>
      <c r="N47" s="42">
        <v>14</v>
      </c>
      <c r="O47" s="43">
        <v>130</v>
      </c>
      <c r="P47" s="44">
        <v>28</v>
      </c>
      <c r="Q47" s="44">
        <v>28</v>
      </c>
      <c r="R47" s="45">
        <v>0</v>
      </c>
      <c r="S47" s="46">
        <v>0</v>
      </c>
      <c r="T47" s="39">
        <f t="shared" si="19"/>
        <v>4</v>
      </c>
      <c r="U47" s="47">
        <f t="shared" si="20"/>
        <v>3.5981934342636511E-5</v>
      </c>
      <c r="V47" s="48">
        <f t="shared" si="21"/>
        <v>0</v>
      </c>
      <c r="W47" s="49">
        <f t="shared" si="22"/>
        <v>8.9954835856591277E-6</v>
      </c>
      <c r="X47" s="44">
        <f t="shared" si="23"/>
        <v>25.45316833093089</v>
      </c>
      <c r="Y47" s="44">
        <f t="shared" si="24"/>
        <v>0</v>
      </c>
      <c r="Z47" s="44">
        <f t="shared" si="25"/>
        <v>96.783479979840294</v>
      </c>
      <c r="AA47" s="50">
        <f t="shared" si="26"/>
        <v>53.453168330930893</v>
      </c>
      <c r="AB47" s="51">
        <f t="shared" si="27"/>
        <v>90.477217892717846</v>
      </c>
      <c r="AC47" s="44">
        <f t="shared" si="28"/>
        <v>49.970242433327932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0.29675644721194466</v>
      </c>
      <c r="AG47" s="44">
        <f t="shared" si="31"/>
        <v>38.578338137552805</v>
      </c>
      <c r="AH47" s="52">
        <f>HLOOKUP(I47,ElecAvoidedCostsWOCC!$A$5:$Q$50,T47+1,FALSE)</f>
        <v>0.29675644721194466</v>
      </c>
      <c r="AI47" s="44">
        <f t="shared" si="32"/>
        <v>0</v>
      </c>
      <c r="AJ47" s="44">
        <f t="shared" si="33"/>
        <v>38.578338137552805</v>
      </c>
      <c r="AK47" s="44">
        <f>HLOOKUP(I47,ElecAvoidedCostsWOCC!$A$5:$Q$50,G47+1,FALSE)*J47*L47</f>
        <v>0</v>
      </c>
      <c r="AL47" s="44">
        <f t="shared" si="34"/>
        <v>38.578338137552805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38.578338137552805</v>
      </c>
      <c r="AN47" s="48">
        <f t="shared" si="35"/>
        <v>42.43617195130809</v>
      </c>
      <c r="AO47" s="47">
        <f t="shared" si="36"/>
        <v>0.42638731645458589</v>
      </c>
      <c r="AP47" s="47">
        <f t="shared" si="37"/>
        <v>0.84922885871382225</v>
      </c>
      <c r="AQ47">
        <v>2021</v>
      </c>
    </row>
    <row r="48" spans="2:43">
      <c r="B48" s="97" t="s">
        <v>39</v>
      </c>
      <c r="C48" s="61">
        <v>18230407</v>
      </c>
      <c r="D48" s="61" t="s">
        <v>40</v>
      </c>
      <c r="E48" s="38" t="s">
        <v>956</v>
      </c>
      <c r="F48" s="39" t="s">
        <v>957</v>
      </c>
      <c r="G48" s="39">
        <v>5</v>
      </c>
      <c r="H48" s="39"/>
      <c r="I48" s="40" t="s">
        <v>263</v>
      </c>
      <c r="J48" s="41">
        <v>1216</v>
      </c>
      <c r="K48" s="41">
        <v>45</v>
      </c>
      <c r="L48" s="41"/>
      <c r="M48" s="42">
        <v>14</v>
      </c>
      <c r="N48" s="42">
        <v>14</v>
      </c>
      <c r="O48" s="43">
        <v>54720</v>
      </c>
      <c r="P48" s="44">
        <v>17024</v>
      </c>
      <c r="Q48" s="44">
        <v>17024</v>
      </c>
      <c r="R48" s="45">
        <v>0</v>
      </c>
      <c r="S48" s="46">
        <v>0</v>
      </c>
      <c r="T48" s="39">
        <f t="shared" si="19"/>
        <v>5</v>
      </c>
      <c r="U48" s="47">
        <f t="shared" si="20"/>
        <v>1.8932033146433363E-2</v>
      </c>
      <c r="V48" s="48">
        <f t="shared" si="21"/>
        <v>0</v>
      </c>
      <c r="W48" s="49">
        <f t="shared" si="22"/>
        <v>3.7864066292866727E-3</v>
      </c>
      <c r="X48" s="44">
        <f t="shared" si="23"/>
        <v>10713.825931296447</v>
      </c>
      <c r="Y48" s="44">
        <f t="shared" si="24"/>
        <v>0</v>
      </c>
      <c r="Z48" s="44">
        <f t="shared" si="25"/>
        <v>40738.400188437387</v>
      </c>
      <c r="AA48" s="50">
        <f t="shared" si="26"/>
        <v>27737.825931296447</v>
      </c>
      <c r="AB48" s="51">
        <f t="shared" si="27"/>
        <v>38083.948946842465</v>
      </c>
      <c r="AC48" s="44">
        <f t="shared" si="28"/>
        <v>25930.472030752964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0.37292142124911032</v>
      </c>
      <c r="AG48" s="44">
        <f t="shared" si="31"/>
        <v>20406.260170751317</v>
      </c>
      <c r="AH48" s="52">
        <f>HLOOKUP(I48,ElecAvoidedCostsWOCC!$A$5:$Q$50,T48+1,FALSE)</f>
        <v>0.37292142124911032</v>
      </c>
      <c r="AI48" s="44">
        <f t="shared" si="32"/>
        <v>0</v>
      </c>
      <c r="AJ48" s="44">
        <f t="shared" si="33"/>
        <v>20406.260170751317</v>
      </c>
      <c r="AK48" s="44">
        <f>HLOOKUP(I48,ElecAvoidedCostsWOCC!$A$5:$Q$50,G48+1,FALSE)*J48*L48</f>
        <v>0</v>
      </c>
      <c r="AL48" s="44">
        <f t="shared" si="34"/>
        <v>20406.260170751317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20406.260170751317</v>
      </c>
      <c r="AN48" s="48">
        <f t="shared" si="35"/>
        <v>22446.886187826451</v>
      </c>
      <c r="AO48" s="47">
        <f t="shared" si="36"/>
        <v>0.53582311538213523</v>
      </c>
      <c r="AP48" s="47">
        <f t="shared" si="37"/>
        <v>0.86565667455667383</v>
      </c>
      <c r="AQ48">
        <v>2021</v>
      </c>
    </row>
    <row r="49" spans="2:43">
      <c r="B49" s="97" t="s">
        <v>39</v>
      </c>
      <c r="C49" s="61">
        <v>18230407</v>
      </c>
      <c r="D49" s="61" t="s">
        <v>40</v>
      </c>
      <c r="E49" s="38" t="s">
        <v>958</v>
      </c>
      <c r="F49" s="39" t="s">
        <v>959</v>
      </c>
      <c r="G49" s="39">
        <v>45</v>
      </c>
      <c r="H49" s="39"/>
      <c r="I49" s="40" t="s">
        <v>267</v>
      </c>
      <c r="J49" s="41">
        <v>22529</v>
      </c>
      <c r="K49" s="41">
        <v>0.6</v>
      </c>
      <c r="L49" s="41"/>
      <c r="M49" s="42">
        <v>0.75</v>
      </c>
      <c r="N49" s="42">
        <v>0.98</v>
      </c>
      <c r="O49" s="43">
        <v>13517.4</v>
      </c>
      <c r="P49" s="44">
        <v>16896.75</v>
      </c>
      <c r="Q49" s="44">
        <v>22078.42</v>
      </c>
      <c r="R49" s="45">
        <v>0</v>
      </c>
      <c r="S49" s="46">
        <v>0</v>
      </c>
      <c r="T49" s="39">
        <f t="shared" si="19"/>
        <v>45</v>
      </c>
      <c r="U49" s="47">
        <f t="shared" si="20"/>
        <v>4.209076724565762E-2</v>
      </c>
      <c r="V49" s="48">
        <f t="shared" si="21"/>
        <v>0.22999999999999998</v>
      </c>
      <c r="W49" s="49">
        <f t="shared" si="22"/>
        <v>9.3535038323683598E-4</v>
      </c>
      <c r="X49" s="44">
        <f t="shared" si="23"/>
        <v>2646.6204430501934</v>
      </c>
      <c r="Y49" s="44">
        <f t="shared" si="24"/>
        <v>5181.6699999999983</v>
      </c>
      <c r="Z49" s="44">
        <f t="shared" si="25"/>
        <v>10063.546248303792</v>
      </c>
      <c r="AA49" s="50">
        <f t="shared" si="26"/>
        <v>24725.040443050191</v>
      </c>
      <c r="AB49" s="51">
        <f t="shared" si="27"/>
        <v>9407.8211164847999</v>
      </c>
      <c r="AC49" s="44">
        <f t="shared" si="28"/>
        <v>23113.994992100765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3.1346149049506007</v>
      </c>
      <c r="AG49" s="44">
        <f t="shared" si="31"/>
        <v>42371.843516179244</v>
      </c>
      <c r="AH49" s="52">
        <f>HLOOKUP(I49,ElecAvoidedCostsWOCC!$A$5:$Q$50,T49+1,FALSE)</f>
        <v>3.1346149049506007</v>
      </c>
      <c r="AI49" s="44">
        <f t="shared" si="32"/>
        <v>0</v>
      </c>
      <c r="AJ49" s="44">
        <f t="shared" si="33"/>
        <v>42371.843516179244</v>
      </c>
      <c r="AK49" s="44">
        <f>HLOOKUP(I49,ElecAvoidedCostsWOCC!$A$5:$Q$50,G49+1,FALSE)*J49*L49</f>
        <v>0</v>
      </c>
      <c r="AL49" s="44">
        <f t="shared" si="34"/>
        <v>42371.843516179244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42371.843516179244</v>
      </c>
      <c r="AN49" s="48">
        <f t="shared" si="35"/>
        <v>46609.027867797173</v>
      </c>
      <c r="AO49" s="47">
        <f t="shared" si="36"/>
        <v>4.503895534528545</v>
      </c>
      <c r="AP49" s="47">
        <f t="shared" si="37"/>
        <v>2.016485159044374</v>
      </c>
      <c r="AQ49">
        <v>2021</v>
      </c>
    </row>
    <row r="50" spans="2:43">
      <c r="B50" s="97" t="s">
        <v>39</v>
      </c>
      <c r="C50" s="61">
        <v>18230407</v>
      </c>
      <c r="D50" s="61" t="s">
        <v>40</v>
      </c>
      <c r="E50" s="38" t="s">
        <v>643</v>
      </c>
      <c r="F50" s="39" t="s">
        <v>644</v>
      </c>
      <c r="G50" s="39">
        <v>14</v>
      </c>
      <c r="H50" s="39"/>
      <c r="I50" s="40" t="s">
        <v>265</v>
      </c>
      <c r="J50" s="41">
        <v>5</v>
      </c>
      <c r="K50" s="41">
        <v>142</v>
      </c>
      <c r="L50" s="41"/>
      <c r="M50" s="42">
        <v>100</v>
      </c>
      <c r="N50" s="42">
        <v>65.56</v>
      </c>
      <c r="O50" s="43">
        <v>710</v>
      </c>
      <c r="P50" s="44">
        <v>500</v>
      </c>
      <c r="Q50" s="44">
        <v>327.8</v>
      </c>
      <c r="R50" s="45">
        <v>17.059999999999999</v>
      </c>
      <c r="S50" s="46">
        <v>0</v>
      </c>
      <c r="T50" s="39">
        <f t="shared" si="19"/>
        <v>14</v>
      </c>
      <c r="U50" s="47">
        <f t="shared" si="20"/>
        <v>6.8780851416501323E-4</v>
      </c>
      <c r="V50" s="48">
        <f t="shared" si="21"/>
        <v>-34.44</v>
      </c>
      <c r="W50" s="49">
        <f t="shared" si="22"/>
        <v>4.9129179583215232E-5</v>
      </c>
      <c r="X50" s="44">
        <f t="shared" si="23"/>
        <v>139.01345780739177</v>
      </c>
      <c r="Y50" s="44">
        <f t="shared" si="24"/>
        <v>-172.2</v>
      </c>
      <c r="Z50" s="44">
        <f t="shared" si="25"/>
        <v>528.58669835143542</v>
      </c>
      <c r="AA50" s="50">
        <f t="shared" si="26"/>
        <v>466.81345780739179</v>
      </c>
      <c r="AB50" s="51">
        <f t="shared" si="27"/>
        <v>494.14480541407437</v>
      </c>
      <c r="AC50" s="44">
        <f t="shared" si="28"/>
        <v>436.39661382386811</v>
      </c>
      <c r="AD50" s="44">
        <f t="shared" si="29"/>
        <v>747.33236689472687</v>
      </c>
      <c r="AE50" s="44">
        <f t="shared" si="30"/>
        <v>0</v>
      </c>
      <c r="AF50" s="52">
        <f>HLOOKUP(I50,ElecAvoidedCostsWOCC!$A$5:$Q$50,G50+1,FALSE)</f>
        <v>1.0169996824506593</v>
      </c>
      <c r="AG50" s="44">
        <f t="shared" si="31"/>
        <v>722.06977453996819</v>
      </c>
      <c r="AH50" s="52">
        <f>HLOOKUP(I50,ElecAvoidedCostsWOCC!$A$5:$Q$50,T50+1,FALSE)</f>
        <v>1.0169996824506593</v>
      </c>
      <c r="AI50" s="44">
        <f t="shared" si="32"/>
        <v>0</v>
      </c>
      <c r="AJ50" s="44">
        <f t="shared" si="33"/>
        <v>722.06977453996819</v>
      </c>
      <c r="AK50" s="44">
        <f>HLOOKUP(I50,ElecAvoidedCostsWOCC!$A$5:$Q$50,G50+1,FALSE)*J50*L50</f>
        <v>0</v>
      </c>
      <c r="AL50" s="44">
        <f t="shared" si="34"/>
        <v>722.06977453996819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722.06977453996819</v>
      </c>
      <c r="AN50" s="48">
        <f t="shared" si="35"/>
        <v>1541.6091188886919</v>
      </c>
      <c r="AO50" s="47">
        <f t="shared" si="36"/>
        <v>1.4612513713159474</v>
      </c>
      <c r="AP50" s="47">
        <f t="shared" si="37"/>
        <v>3.5325872613459213</v>
      </c>
      <c r="AQ50">
        <v>2021</v>
      </c>
    </row>
    <row r="51" spans="2:43">
      <c r="B51" s="97" t="s">
        <v>39</v>
      </c>
      <c r="C51" s="61">
        <v>18230407</v>
      </c>
      <c r="D51" s="61" t="s">
        <v>40</v>
      </c>
      <c r="E51" s="38" t="s">
        <v>960</v>
      </c>
      <c r="F51" s="39" t="s">
        <v>961</v>
      </c>
      <c r="G51" s="39">
        <v>1</v>
      </c>
      <c r="H51" s="39">
        <v>12</v>
      </c>
      <c r="I51" s="40" t="s">
        <v>248</v>
      </c>
      <c r="J51" s="41">
        <v>3087</v>
      </c>
      <c r="K51" s="41">
        <v>0.3</v>
      </c>
      <c r="L51" s="41">
        <v>0.3</v>
      </c>
      <c r="M51" s="42">
        <v>2.1</v>
      </c>
      <c r="N51" s="42">
        <v>2.1</v>
      </c>
      <c r="O51" s="43">
        <v>926.1</v>
      </c>
      <c r="P51" s="44">
        <v>6482.7</v>
      </c>
      <c r="Q51" s="44">
        <v>6482.7</v>
      </c>
      <c r="R51" s="45">
        <v>0</v>
      </c>
      <c r="S51" s="46">
        <v>0</v>
      </c>
      <c r="T51" s="39">
        <f t="shared" si="19"/>
        <v>13</v>
      </c>
      <c r="U51" s="47">
        <f t="shared" si="20"/>
        <v>8.3307173486789181E-4</v>
      </c>
      <c r="V51" s="48">
        <f t="shared" si="21"/>
        <v>0</v>
      </c>
      <c r="W51" s="49">
        <f t="shared" si="22"/>
        <v>6.4082441143683988E-5</v>
      </c>
      <c r="X51" s="44">
        <f t="shared" si="23"/>
        <v>181.32445531750074</v>
      </c>
      <c r="Y51" s="44">
        <f t="shared" si="24"/>
        <v>0</v>
      </c>
      <c r="Z51" s="44">
        <f t="shared" si="25"/>
        <v>689.47062161023155</v>
      </c>
      <c r="AA51" s="50">
        <f t="shared" si="26"/>
        <v>6664.0244553175007</v>
      </c>
      <c r="AB51" s="51">
        <f t="shared" si="27"/>
        <v>644.54578069573847</v>
      </c>
      <c r="AC51" s="44">
        <f t="shared" si="28"/>
        <v>6229.8069134500329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8.6279755452712409E-2</v>
      </c>
      <c r="AG51" s="44">
        <f t="shared" si="31"/>
        <v>79.903681524756962</v>
      </c>
      <c r="AH51" s="52">
        <f>HLOOKUP(I51,ElecAvoidedCostsWOCC!$A$5:$Q$50,T51+1,FALSE)</f>
        <v>0.97922284710644303</v>
      </c>
      <c r="AI51" s="44">
        <f t="shared" si="32"/>
        <v>906.8582787052768</v>
      </c>
      <c r="AJ51" s="44">
        <f t="shared" si="33"/>
        <v>986.76196023003376</v>
      </c>
      <c r="AK51" s="44">
        <f>HLOOKUP(I51,ElecAvoidedCostsWOCC!$A$5:$Q$50,G51+1,FALSE)*J51*L51</f>
        <v>79.903681524756962</v>
      </c>
      <c r="AL51" s="44">
        <f t="shared" si="34"/>
        <v>906.8582787052768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906.8582787052768</v>
      </c>
      <c r="AN51" s="48">
        <f t="shared" si="35"/>
        <v>997.54410657580456</v>
      </c>
      <c r="AO51" s="47">
        <f t="shared" si="36"/>
        <v>1.4069726400604032</v>
      </c>
      <c r="AP51" s="47">
        <f t="shared" si="37"/>
        <v>0.16012440199745614</v>
      </c>
      <c r="AQ51">
        <v>2021</v>
      </c>
    </row>
    <row r="52" spans="2:43">
      <c r="B52" s="97" t="s">
        <v>39</v>
      </c>
      <c r="C52" s="61">
        <v>18230407</v>
      </c>
      <c r="D52" s="61" t="s">
        <v>40</v>
      </c>
      <c r="E52" s="38" t="s">
        <v>962</v>
      </c>
      <c r="F52" s="39" t="s">
        <v>963</v>
      </c>
      <c r="G52" s="39">
        <v>1</v>
      </c>
      <c r="H52" s="39">
        <v>12</v>
      </c>
      <c r="I52" s="40" t="s">
        <v>248</v>
      </c>
      <c r="J52" s="41">
        <v>97</v>
      </c>
      <c r="K52" s="41">
        <v>0.3</v>
      </c>
      <c r="L52" s="41">
        <v>0.3</v>
      </c>
      <c r="M52" s="42">
        <v>4.0999999999999996</v>
      </c>
      <c r="N52" s="42">
        <v>4.0999999999999996</v>
      </c>
      <c r="O52" s="43">
        <v>29.1</v>
      </c>
      <c r="P52" s="44">
        <v>397.7</v>
      </c>
      <c r="Q52" s="44">
        <v>397.7</v>
      </c>
      <c r="R52" s="45">
        <v>0</v>
      </c>
      <c r="S52" s="46">
        <v>0</v>
      </c>
      <c r="T52" s="39">
        <f t="shared" si="19"/>
        <v>13</v>
      </c>
      <c r="U52" s="47">
        <f t="shared" si="20"/>
        <v>2.6176857234268059E-5</v>
      </c>
      <c r="V52" s="48">
        <f t="shared" si="21"/>
        <v>0</v>
      </c>
      <c r="W52" s="49">
        <f t="shared" si="22"/>
        <v>2.0136044026360046E-6</v>
      </c>
      <c r="X52" s="44">
        <f t="shared" si="23"/>
        <v>5.6975938340776064</v>
      </c>
      <c r="Y52" s="44">
        <f t="shared" si="24"/>
        <v>0</v>
      </c>
      <c r="Z52" s="44">
        <f t="shared" si="25"/>
        <v>21.664609749333479</v>
      </c>
      <c r="AA52" s="50">
        <f t="shared" si="26"/>
        <v>403.39759383407761</v>
      </c>
      <c r="AB52" s="51">
        <f t="shared" si="27"/>
        <v>20.252977235985302</v>
      </c>
      <c r="AC52" s="44">
        <f t="shared" si="28"/>
        <v>377.11282961024358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8.6279755452712409E-2</v>
      </c>
      <c r="AG52" s="44">
        <f t="shared" si="31"/>
        <v>2.5107408836739311</v>
      </c>
      <c r="AH52" s="52">
        <f>HLOOKUP(I52,ElecAvoidedCostsWOCC!$A$5:$Q$50,T52+1,FALSE)</f>
        <v>0.97922284710644303</v>
      </c>
      <c r="AI52" s="44">
        <f t="shared" si="32"/>
        <v>28.495384850797493</v>
      </c>
      <c r="AJ52" s="44">
        <f t="shared" si="33"/>
        <v>31.006125734471425</v>
      </c>
      <c r="AK52" s="44">
        <f>HLOOKUP(I52,ElecAvoidedCostsWOCC!$A$5:$Q$50,G52+1,FALSE)*J52*L52</f>
        <v>2.5107408836739311</v>
      </c>
      <c r="AL52" s="44">
        <f t="shared" si="34"/>
        <v>28.495384850797493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28.495384850797489</v>
      </c>
      <c r="AN52" s="48">
        <f t="shared" si="35"/>
        <v>31.34492333587724</v>
      </c>
      <c r="AO52" s="47">
        <f t="shared" si="36"/>
        <v>1.4069726400604032</v>
      </c>
      <c r="AP52" s="47">
        <f t="shared" si="37"/>
        <v>8.3118156887616562E-2</v>
      </c>
      <c r="AQ52">
        <v>2021</v>
      </c>
    </row>
    <row r="53" spans="2:43">
      <c r="B53" s="97" t="s">
        <v>39</v>
      </c>
      <c r="C53" s="61">
        <v>18230407</v>
      </c>
      <c r="D53" s="61" t="s">
        <v>40</v>
      </c>
      <c r="E53" s="38" t="s">
        <v>964</v>
      </c>
      <c r="F53" s="39" t="s">
        <v>965</v>
      </c>
      <c r="G53" s="39">
        <v>1</v>
      </c>
      <c r="H53" s="39">
        <v>12</v>
      </c>
      <c r="I53" s="40" t="s">
        <v>248</v>
      </c>
      <c r="J53" s="41">
        <v>257</v>
      </c>
      <c r="K53" s="41">
        <v>0.2</v>
      </c>
      <c r="L53" s="41">
        <v>0.3</v>
      </c>
      <c r="M53" s="42">
        <v>4.0999999999999996</v>
      </c>
      <c r="N53" s="42">
        <v>4.0999999999999996</v>
      </c>
      <c r="O53" s="43">
        <v>51.4</v>
      </c>
      <c r="P53" s="44">
        <v>1053.7</v>
      </c>
      <c r="Q53" s="44">
        <v>1053.7</v>
      </c>
      <c r="R53" s="45">
        <v>0</v>
      </c>
      <c r="S53" s="46">
        <v>0</v>
      </c>
      <c r="T53" s="39">
        <f t="shared" si="19"/>
        <v>13</v>
      </c>
      <c r="U53" s="47">
        <f t="shared" si="20"/>
        <v>4.6236785630287912E-5</v>
      </c>
      <c r="V53" s="48">
        <f t="shared" si="21"/>
        <v>0</v>
      </c>
      <c r="W53" s="49">
        <f t="shared" si="22"/>
        <v>3.5566758177144549E-6</v>
      </c>
      <c r="X53" s="44">
        <f t="shared" si="23"/>
        <v>10.063791170844981</v>
      </c>
      <c r="Y53" s="44">
        <f t="shared" si="24"/>
        <v>0</v>
      </c>
      <c r="Z53" s="44">
        <f t="shared" si="25"/>
        <v>38.266699007413777</v>
      </c>
      <c r="AA53" s="50">
        <f t="shared" si="26"/>
        <v>1063.763791170845</v>
      </c>
      <c r="AB53" s="51">
        <f t="shared" si="27"/>
        <v>35.773299997582285</v>
      </c>
      <c r="AC53" s="44">
        <f t="shared" si="28"/>
        <v>994.45058537051966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8.6279755452712409E-2</v>
      </c>
      <c r="AG53" s="44">
        <f t="shared" si="31"/>
        <v>4.4347794302694181</v>
      </c>
      <c r="AH53" s="52">
        <f>HLOOKUP(I53,ElecAvoidedCostsWOCC!$A$5:$Q$50,T53+1,FALSE)</f>
        <v>0.97922284710644303</v>
      </c>
      <c r="AI53" s="44">
        <f t="shared" si="32"/>
        <v>75.498081511906761</v>
      </c>
      <c r="AJ53" s="44">
        <f t="shared" si="33"/>
        <v>79.932860942176177</v>
      </c>
      <c r="AK53" s="44">
        <f>HLOOKUP(I53,ElecAvoidedCostsWOCC!$A$5:$Q$50,G53+1,FALSE)*J53*L53</f>
        <v>6.6521691454041258</v>
      </c>
      <c r="AL53" s="44">
        <f t="shared" si="34"/>
        <v>73.280691796772047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73.280691796772032</v>
      </c>
      <c r="AN53" s="48">
        <f t="shared" si="35"/>
        <v>80.608760976449247</v>
      </c>
      <c r="AO53" s="47">
        <f t="shared" si="36"/>
        <v>2.0484744712320269</v>
      </c>
      <c r="AP53" s="47">
        <f t="shared" si="37"/>
        <v>8.1058588694394945E-2</v>
      </c>
      <c r="AQ53">
        <v>2021</v>
      </c>
    </row>
    <row r="54" spans="2:43">
      <c r="B54" s="97" t="s">
        <v>39</v>
      </c>
      <c r="C54" s="61">
        <v>18230407</v>
      </c>
      <c r="D54" s="61" t="s">
        <v>40</v>
      </c>
      <c r="E54" s="38" t="s">
        <v>966</v>
      </c>
      <c r="F54" s="39" t="s">
        <v>967</v>
      </c>
      <c r="G54" s="39">
        <v>1</v>
      </c>
      <c r="H54" s="39">
        <v>11</v>
      </c>
      <c r="I54" s="40" t="s">
        <v>248</v>
      </c>
      <c r="J54" s="41">
        <v>320</v>
      </c>
      <c r="K54" s="41">
        <v>0.8</v>
      </c>
      <c r="L54" s="41">
        <v>0.8</v>
      </c>
      <c r="M54" s="42">
        <v>6.6</v>
      </c>
      <c r="N54" s="42">
        <v>6.6</v>
      </c>
      <c r="O54" s="43">
        <v>256</v>
      </c>
      <c r="P54" s="44">
        <v>2112</v>
      </c>
      <c r="Q54" s="44">
        <v>2112</v>
      </c>
      <c r="R54" s="45">
        <v>0</v>
      </c>
      <c r="S54" s="46">
        <v>0</v>
      </c>
      <c r="T54" s="39">
        <f t="shared" si="19"/>
        <v>12</v>
      </c>
      <c r="U54" s="47">
        <f t="shared" si="20"/>
        <v>2.1257019673188339E-4</v>
      </c>
      <c r="V54" s="48">
        <f t="shared" si="21"/>
        <v>0</v>
      </c>
      <c r="W54" s="49">
        <f t="shared" si="22"/>
        <v>1.7714183060990283E-5</v>
      </c>
      <c r="X54" s="44">
        <f t="shared" si="23"/>
        <v>50.12316225167929</v>
      </c>
      <c r="Y54" s="44">
        <f t="shared" si="24"/>
        <v>0</v>
      </c>
      <c r="Z54" s="44">
        <f t="shared" si="25"/>
        <v>190.58900672953166</v>
      </c>
      <c r="AA54" s="50">
        <f t="shared" si="26"/>
        <v>2162.1231622516793</v>
      </c>
      <c r="AB54" s="51">
        <f t="shared" si="27"/>
        <v>178.17052138873669</v>
      </c>
      <c r="AC54" s="44">
        <f t="shared" si="28"/>
        <v>2021.2425560920624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8.6279755452712409E-2</v>
      </c>
      <c r="AG54" s="44">
        <f t="shared" si="31"/>
        <v>22.087617395894377</v>
      </c>
      <c r="AH54" s="52">
        <f>HLOOKUP(I54,ElecAvoidedCostsWOCC!$A$5:$Q$50,T54+1,FALSE)</f>
        <v>0.91115730059915656</v>
      </c>
      <c r="AI54" s="44">
        <f t="shared" si="32"/>
        <v>233.25626895338411</v>
      </c>
      <c r="AJ54" s="44">
        <f t="shared" si="33"/>
        <v>255.34388634927848</v>
      </c>
      <c r="AK54" s="44">
        <f>HLOOKUP(I54,ElecAvoidedCostsWOCC!$A$5:$Q$50,G54+1,FALSE)*J54*L54</f>
        <v>22.087617395894377</v>
      </c>
      <c r="AL54" s="44">
        <f t="shared" si="34"/>
        <v>233.25626895338411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233.25626895338411</v>
      </c>
      <c r="AN54" s="48">
        <f t="shared" si="35"/>
        <v>256.58189584872252</v>
      </c>
      <c r="AO54" s="47">
        <f t="shared" si="36"/>
        <v>1.3091743074852435</v>
      </c>
      <c r="AP54" s="47">
        <f t="shared" si="37"/>
        <v>0.12694265469296595</v>
      </c>
      <c r="AQ54">
        <v>2021</v>
      </c>
    </row>
    <row r="55" spans="2:43">
      <c r="B55" s="97" t="s">
        <v>39</v>
      </c>
      <c r="C55" s="61">
        <v>18230407</v>
      </c>
      <c r="D55" s="61" t="s">
        <v>40</v>
      </c>
      <c r="E55" s="38" t="s">
        <v>968</v>
      </c>
      <c r="F55" s="39" t="s">
        <v>969</v>
      </c>
      <c r="G55" s="39">
        <v>1</v>
      </c>
      <c r="H55" s="39">
        <v>12</v>
      </c>
      <c r="I55" s="40" t="s">
        <v>248</v>
      </c>
      <c r="J55" s="41">
        <v>811</v>
      </c>
      <c r="K55" s="41">
        <v>0.4</v>
      </c>
      <c r="L55" s="41">
        <v>0.3</v>
      </c>
      <c r="M55" s="42">
        <v>4.2</v>
      </c>
      <c r="N55" s="42">
        <v>4.2</v>
      </c>
      <c r="O55" s="43">
        <v>324.39999999999998</v>
      </c>
      <c r="P55" s="44">
        <v>3406.2</v>
      </c>
      <c r="Q55" s="44">
        <v>3406.2</v>
      </c>
      <c r="R55" s="45">
        <v>0</v>
      </c>
      <c r="S55" s="46">
        <v>0</v>
      </c>
      <c r="T55" s="39">
        <f t="shared" si="19"/>
        <v>13</v>
      </c>
      <c r="U55" s="47">
        <f t="shared" si="20"/>
        <v>2.9181348751878205E-4</v>
      </c>
      <c r="V55" s="48">
        <f t="shared" si="21"/>
        <v>0</v>
      </c>
      <c r="W55" s="49">
        <f t="shared" si="22"/>
        <v>2.2447191347598621E-5</v>
      </c>
      <c r="X55" s="44">
        <f t="shared" si="23"/>
        <v>63.515444665799841</v>
      </c>
      <c r="Y55" s="44">
        <f t="shared" si="24"/>
        <v>0</v>
      </c>
      <c r="Z55" s="44">
        <f t="shared" si="25"/>
        <v>241.51200696507837</v>
      </c>
      <c r="AA55" s="50">
        <f t="shared" si="26"/>
        <v>3469.7154446657996</v>
      </c>
      <c r="AB55" s="51">
        <f t="shared" si="27"/>
        <v>225.77545757228975</v>
      </c>
      <c r="AC55" s="44">
        <f t="shared" si="28"/>
        <v>3243.6341447749828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8.6279755452712409E-2</v>
      </c>
      <c r="AG55" s="44">
        <f t="shared" si="31"/>
        <v>27.989152668859909</v>
      </c>
      <c r="AH55" s="52">
        <f>HLOOKUP(I55,ElecAvoidedCostsWOCC!$A$5:$Q$50,T55+1,FALSE)</f>
        <v>0.97922284710644303</v>
      </c>
      <c r="AI55" s="44">
        <f t="shared" si="32"/>
        <v>238.24491870099757</v>
      </c>
      <c r="AJ55" s="44">
        <f t="shared" si="33"/>
        <v>266.23407136985747</v>
      </c>
      <c r="AK55" s="44">
        <f>HLOOKUP(I55,ElecAvoidedCostsWOCC!$A$5:$Q$50,G55+1,FALSE)*J55*L55</f>
        <v>20.99186450164493</v>
      </c>
      <c r="AL55" s="44">
        <f t="shared" si="34"/>
        <v>245.24220686821255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245.24220686821255</v>
      </c>
      <c r="AN55" s="48">
        <f t="shared" si="35"/>
        <v>269.76642755503383</v>
      </c>
      <c r="AO55" s="47">
        <f t="shared" si="36"/>
        <v>1.0862217244745915</v>
      </c>
      <c r="AP55" s="47">
        <f t="shared" si="37"/>
        <v>8.316795776416025E-2</v>
      </c>
      <c r="AQ55">
        <v>2021</v>
      </c>
    </row>
    <row r="56" spans="2:43">
      <c r="B56" s="97" t="s">
        <v>39</v>
      </c>
      <c r="C56" s="61">
        <v>18230407</v>
      </c>
      <c r="D56" s="61" t="s">
        <v>40</v>
      </c>
      <c r="E56" s="38" t="s">
        <v>970</v>
      </c>
      <c r="F56" s="39" t="s">
        <v>971</v>
      </c>
      <c r="G56" s="39">
        <v>12</v>
      </c>
      <c r="H56" s="39"/>
      <c r="I56" s="40" t="s">
        <v>248</v>
      </c>
      <c r="J56" s="41">
        <v>326</v>
      </c>
      <c r="K56" s="41">
        <v>99</v>
      </c>
      <c r="L56" s="41"/>
      <c r="M56" s="42">
        <v>60</v>
      </c>
      <c r="N56" s="42">
        <v>60</v>
      </c>
      <c r="O56" s="43">
        <v>32274</v>
      </c>
      <c r="P56" s="44">
        <v>19560</v>
      </c>
      <c r="Q56" s="44">
        <v>19560</v>
      </c>
      <c r="R56" s="45">
        <v>3.24</v>
      </c>
      <c r="S56" s="46">
        <v>0</v>
      </c>
      <c r="T56" s="39">
        <f t="shared" si="19"/>
        <v>12</v>
      </c>
      <c r="U56" s="47">
        <f t="shared" si="20"/>
        <v>2.6798791130175019E-2</v>
      </c>
      <c r="V56" s="48">
        <f t="shared" si="21"/>
        <v>0</v>
      </c>
      <c r="W56" s="49">
        <f t="shared" si="22"/>
        <v>2.2332325941812514E-3</v>
      </c>
      <c r="X56" s="44">
        <f t="shared" si="23"/>
        <v>6319.0427285574115</v>
      </c>
      <c r="Y56" s="44">
        <f t="shared" si="24"/>
        <v>0</v>
      </c>
      <c r="Z56" s="44">
        <f t="shared" si="25"/>
        <v>24027.615637456656</v>
      </c>
      <c r="AA56" s="50">
        <f t="shared" si="26"/>
        <v>25879.042728557411</v>
      </c>
      <c r="AB56" s="51">
        <f t="shared" si="27"/>
        <v>22462.013309765967</v>
      </c>
      <c r="AC56" s="44">
        <f t="shared" si="28"/>
        <v>24192.804270877263</v>
      </c>
      <c r="AD56" s="44">
        <f t="shared" si="29"/>
        <v>8402.8126462214805</v>
      </c>
      <c r="AE56" s="44">
        <f t="shared" si="30"/>
        <v>0</v>
      </c>
      <c r="AF56" s="52">
        <f>HLOOKUP(I56,ElecAvoidedCostsWOCC!$A$5:$Q$50,G56+1,FALSE)</f>
        <v>0.91115730059915656</v>
      </c>
      <c r="AG56" s="44">
        <f t="shared" si="31"/>
        <v>29406.690719537179</v>
      </c>
      <c r="AH56" s="52">
        <f>HLOOKUP(I56,ElecAvoidedCostsWOCC!$A$5:$Q$50,T56+1,FALSE)</f>
        <v>0.91115730059915656</v>
      </c>
      <c r="AI56" s="44">
        <f t="shared" si="32"/>
        <v>0</v>
      </c>
      <c r="AJ56" s="44">
        <f t="shared" si="33"/>
        <v>29406.690719537179</v>
      </c>
      <c r="AK56" s="44">
        <f>HLOOKUP(I56,ElecAvoidedCostsWOCC!$A$5:$Q$50,G56+1,FALSE)*J56*L56</f>
        <v>0</v>
      </c>
      <c r="AL56" s="44">
        <f t="shared" si="34"/>
        <v>29406.690719537179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29406.690719537182</v>
      </c>
      <c r="AN56" s="48">
        <f t="shared" si="35"/>
        <v>40750.172437712383</v>
      </c>
      <c r="AO56" s="47">
        <f t="shared" si="36"/>
        <v>1.3091743074852435</v>
      </c>
      <c r="AP56" s="47">
        <f t="shared" si="37"/>
        <v>1.6843922672811642</v>
      </c>
      <c r="AQ56">
        <v>2021</v>
      </c>
    </row>
    <row r="57" spans="2:43">
      <c r="B57" s="97" t="s">
        <v>39</v>
      </c>
      <c r="C57" s="61">
        <v>18230407</v>
      </c>
      <c r="D57" s="61" t="s">
        <v>40</v>
      </c>
      <c r="E57" s="38" t="s">
        <v>972</v>
      </c>
      <c r="F57" s="39" t="s">
        <v>973</v>
      </c>
      <c r="G57" s="39">
        <v>15</v>
      </c>
      <c r="H57" s="39"/>
      <c r="I57" s="40" t="s">
        <v>248</v>
      </c>
      <c r="J57" s="41">
        <v>15</v>
      </c>
      <c r="K57" s="41">
        <v>59</v>
      </c>
      <c r="L57" s="41"/>
      <c r="M57" s="42">
        <v>70</v>
      </c>
      <c r="N57" s="42">
        <v>80</v>
      </c>
      <c r="O57" s="43">
        <v>885</v>
      </c>
      <c r="P57" s="44">
        <v>1050</v>
      </c>
      <c r="Q57" s="44">
        <v>1200</v>
      </c>
      <c r="R57" s="45">
        <v>1.44</v>
      </c>
      <c r="S57" s="46">
        <v>0</v>
      </c>
      <c r="T57" s="39">
        <f t="shared" si="19"/>
        <v>15</v>
      </c>
      <c r="U57" s="47">
        <f t="shared" si="20"/>
        <v>9.1857726615096093E-4</v>
      </c>
      <c r="V57" s="48">
        <f t="shared" si="21"/>
        <v>10</v>
      </c>
      <c r="W57" s="49">
        <f t="shared" si="22"/>
        <v>6.1238484410064062E-5</v>
      </c>
      <c r="X57" s="44">
        <f t="shared" si="23"/>
        <v>173.27733825287567</v>
      </c>
      <c r="Y57" s="44">
        <f t="shared" si="24"/>
        <v>150</v>
      </c>
      <c r="Z57" s="44">
        <f t="shared" si="25"/>
        <v>658.87215217045127</v>
      </c>
      <c r="AA57" s="50">
        <f t="shared" si="26"/>
        <v>1373.2773382528758</v>
      </c>
      <c r="AB57" s="51">
        <f t="shared" si="27"/>
        <v>615.94106026965619</v>
      </c>
      <c r="AC57" s="44">
        <f t="shared" si="28"/>
        <v>1283.7967077244793</v>
      </c>
      <c r="AD57" s="44">
        <f t="shared" si="29"/>
        <v>197.10426118887628</v>
      </c>
      <c r="AE57" s="44">
        <f t="shared" si="30"/>
        <v>0</v>
      </c>
      <c r="AF57" s="52">
        <f>HLOOKUP(I57,ElecAvoidedCostsWOCC!$A$5:$Q$50,G57+1,FALSE)</f>
        <v>1.107650050703576</v>
      </c>
      <c r="AG57" s="44">
        <f t="shared" si="31"/>
        <v>980.27029487266475</v>
      </c>
      <c r="AH57" s="52">
        <f>HLOOKUP(I57,ElecAvoidedCostsWOCC!$A$5:$Q$50,T57+1,FALSE)</f>
        <v>1.107650050703576</v>
      </c>
      <c r="AI57" s="44">
        <f t="shared" si="32"/>
        <v>0</v>
      </c>
      <c r="AJ57" s="44">
        <f t="shared" si="33"/>
        <v>980.27029487266475</v>
      </c>
      <c r="AK57" s="44">
        <f>HLOOKUP(I57,ElecAvoidedCostsWOCC!$A$5:$Q$50,G57+1,FALSE)*J57*L57</f>
        <v>0</v>
      </c>
      <c r="AL57" s="44">
        <f t="shared" si="34"/>
        <v>980.27029487266475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980.27029487266486</v>
      </c>
      <c r="AN57" s="48">
        <f t="shared" si="35"/>
        <v>1275.4015855488078</v>
      </c>
      <c r="AO57" s="47">
        <f t="shared" si="36"/>
        <v>1.5915001582188837</v>
      </c>
      <c r="AP57" s="47">
        <f t="shared" si="37"/>
        <v>0.9934607075052001</v>
      </c>
      <c r="AQ57">
        <v>2021</v>
      </c>
    </row>
    <row r="58" spans="2:43">
      <c r="B58" s="97" t="s">
        <v>39</v>
      </c>
      <c r="C58" s="61">
        <v>18230407</v>
      </c>
      <c r="D58" s="61" t="s">
        <v>40</v>
      </c>
      <c r="E58" s="38" t="s">
        <v>2016</v>
      </c>
      <c r="F58" s="39" t="s">
        <v>2017</v>
      </c>
      <c r="G58" s="39">
        <v>10</v>
      </c>
      <c r="H58" s="39"/>
      <c r="I58" s="40" t="s">
        <v>265</v>
      </c>
      <c r="J58" s="41">
        <v>3015</v>
      </c>
      <c r="K58" s="41">
        <v>48</v>
      </c>
      <c r="L58" s="41"/>
      <c r="M58" s="42">
        <v>2</v>
      </c>
      <c r="N58" s="42">
        <v>2</v>
      </c>
      <c r="O58" s="43">
        <v>144720</v>
      </c>
      <c r="P58" s="44">
        <v>6030</v>
      </c>
      <c r="Q58" s="44">
        <v>6030</v>
      </c>
      <c r="R58" s="45">
        <v>5.89</v>
      </c>
      <c r="S58" s="46">
        <v>0</v>
      </c>
      <c r="T58" s="39">
        <f t="shared" si="19"/>
        <v>10</v>
      </c>
      <c r="U58" s="47">
        <f t="shared" si="20"/>
        <v>0.10014049111666068</v>
      </c>
      <c r="V58" s="48">
        <f t="shared" si="21"/>
        <v>0</v>
      </c>
      <c r="W58" s="49">
        <f t="shared" si="22"/>
        <v>1.0014049111666068E-2</v>
      </c>
      <c r="X58" s="44">
        <f t="shared" si="23"/>
        <v>28335.250160402444</v>
      </c>
      <c r="Y58" s="44">
        <f t="shared" si="24"/>
        <v>0</v>
      </c>
      <c r="Z58" s="44">
        <f t="shared" si="25"/>
        <v>107742.34786678835</v>
      </c>
      <c r="AA58" s="50">
        <f t="shared" si="26"/>
        <v>34365.250160402444</v>
      </c>
      <c r="AB58" s="51">
        <f t="shared" si="27"/>
        <v>100722.02287257019</v>
      </c>
      <c r="AC58" s="44">
        <f t="shared" si="28"/>
        <v>32126.063532207572</v>
      </c>
      <c r="AD58" s="44">
        <f t="shared" si="29"/>
        <v>124900.36845584045</v>
      </c>
      <c r="AE58" s="44">
        <f t="shared" si="30"/>
        <v>0</v>
      </c>
      <c r="AF58" s="52">
        <f>HLOOKUP(I58,ElecAvoidedCostsWOCC!$A$5:$Q$50,G58+1,FALSE)</f>
        <v>0.74487332198138856</v>
      </c>
      <c r="AG58" s="44">
        <f t="shared" si="31"/>
        <v>107798.06715714655</v>
      </c>
      <c r="AH58" s="52">
        <f>HLOOKUP(I58,ElecAvoidedCostsWOCC!$A$5:$Q$50,T58+1,FALSE)</f>
        <v>0.74487332198138856</v>
      </c>
      <c r="AI58" s="44">
        <f t="shared" si="32"/>
        <v>0</v>
      </c>
      <c r="AJ58" s="44">
        <f t="shared" si="33"/>
        <v>107798.06715714655</v>
      </c>
      <c r="AK58" s="44">
        <f>HLOOKUP(I58,ElecAvoidedCostsWOCC!$A$5:$Q$50,G58+1,FALSE)*J58*L58</f>
        <v>0</v>
      </c>
      <c r="AL58" s="44">
        <f t="shared" si="34"/>
        <v>107798.06715714655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107798.06715714656</v>
      </c>
      <c r="AN58" s="48">
        <f t="shared" si="35"/>
        <v>243478.24232870169</v>
      </c>
      <c r="AO58" s="47">
        <f t="shared" si="36"/>
        <v>1.0702531986825634</v>
      </c>
      <c r="AP58" s="47">
        <f t="shared" si="37"/>
        <v>7.5788383498839096</v>
      </c>
      <c r="AQ58">
        <v>2020</v>
      </c>
    </row>
    <row r="59" spans="2:43">
      <c r="B59" s="97" t="s">
        <v>39</v>
      </c>
      <c r="C59" s="61">
        <v>18230407</v>
      </c>
      <c r="D59" s="61" t="s">
        <v>40</v>
      </c>
      <c r="E59" s="38" t="s">
        <v>2020</v>
      </c>
      <c r="F59" s="39" t="s">
        <v>2021</v>
      </c>
      <c r="G59" s="39">
        <v>10</v>
      </c>
      <c r="H59" s="39"/>
      <c r="I59" s="40" t="s">
        <v>265</v>
      </c>
      <c r="J59" s="41">
        <v>991</v>
      </c>
      <c r="K59" s="41">
        <v>44</v>
      </c>
      <c r="L59" s="41"/>
      <c r="M59" s="42">
        <v>2</v>
      </c>
      <c r="N59" s="42">
        <v>2</v>
      </c>
      <c r="O59" s="43">
        <v>43604</v>
      </c>
      <c r="P59" s="44">
        <v>1982</v>
      </c>
      <c r="Q59" s="44">
        <v>1982</v>
      </c>
      <c r="R59" s="45">
        <v>4.53</v>
      </c>
      <c r="S59" s="46">
        <v>0</v>
      </c>
      <c r="T59" s="39">
        <f t="shared" si="19"/>
        <v>10</v>
      </c>
      <c r="U59" s="47">
        <f t="shared" si="20"/>
        <v>3.0172235866852352E-2</v>
      </c>
      <c r="V59" s="48">
        <f t="shared" si="21"/>
        <v>0</v>
      </c>
      <c r="W59" s="49">
        <f t="shared" si="22"/>
        <v>3.0172235866852354E-3</v>
      </c>
      <c r="X59" s="44">
        <f t="shared" si="23"/>
        <v>8537.3842453993111</v>
      </c>
      <c r="Y59" s="44">
        <f t="shared" si="24"/>
        <v>0</v>
      </c>
      <c r="Z59" s="44">
        <f t="shared" si="25"/>
        <v>32462.668161853508</v>
      </c>
      <c r="AA59" s="50">
        <f t="shared" si="26"/>
        <v>10519.384245399311</v>
      </c>
      <c r="AB59" s="51">
        <f t="shared" si="27"/>
        <v>30347.450838415916</v>
      </c>
      <c r="AC59" s="44">
        <f t="shared" si="28"/>
        <v>9833.9574136667379</v>
      </c>
      <c r="AD59" s="44">
        <f t="shared" si="29"/>
        <v>31574.244289757364</v>
      </c>
      <c r="AE59" s="44">
        <f t="shared" si="30"/>
        <v>0</v>
      </c>
      <c r="AF59" s="52">
        <f>HLOOKUP(I59,ElecAvoidedCostsWOCC!$A$5:$Q$50,G59+1,FALSE)</f>
        <v>0.74487332198138856</v>
      </c>
      <c r="AG59" s="44">
        <f t="shared" si="31"/>
        <v>32479.456331676465</v>
      </c>
      <c r="AH59" s="52">
        <f>HLOOKUP(I59,ElecAvoidedCostsWOCC!$A$5:$Q$50,T59+1,FALSE)</f>
        <v>0.74487332198138856</v>
      </c>
      <c r="AI59" s="44">
        <f t="shared" si="32"/>
        <v>0</v>
      </c>
      <c r="AJ59" s="44">
        <f t="shared" si="33"/>
        <v>32479.456331676465</v>
      </c>
      <c r="AK59" s="44">
        <f>HLOOKUP(I59,ElecAvoidedCostsWOCC!$A$5:$Q$50,G59+1,FALSE)*J59*L59</f>
        <v>0</v>
      </c>
      <c r="AL59" s="44">
        <f t="shared" si="34"/>
        <v>32479.456331676465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32479.456331676469</v>
      </c>
      <c r="AN59" s="48">
        <f t="shared" si="35"/>
        <v>67301.646254601481</v>
      </c>
      <c r="AO59" s="47">
        <f t="shared" si="36"/>
        <v>1.0702531986825632</v>
      </c>
      <c r="AP59" s="47">
        <f t="shared" si="37"/>
        <v>6.8438008650585624</v>
      </c>
      <c r="AQ59">
        <v>2020</v>
      </c>
    </row>
    <row r="60" spans="2:43">
      <c r="B60" s="97" t="s">
        <v>39</v>
      </c>
      <c r="C60" s="61">
        <v>18230407</v>
      </c>
      <c r="D60" s="61" t="s">
        <v>40</v>
      </c>
      <c r="E60" s="38" t="s">
        <v>2028</v>
      </c>
      <c r="F60" s="39" t="s">
        <v>889</v>
      </c>
      <c r="G60" s="39">
        <v>45</v>
      </c>
      <c r="H60" s="39"/>
      <c r="I60" s="40" t="s">
        <v>267</v>
      </c>
      <c r="J60" s="41">
        <v>125002</v>
      </c>
      <c r="K60" s="41">
        <v>0.56000000000000005</v>
      </c>
      <c r="L60" s="41"/>
      <c r="M60" s="42">
        <v>0.75</v>
      </c>
      <c r="N60" s="42">
        <v>0.76</v>
      </c>
      <c r="O60" s="43">
        <v>70001.119999999995</v>
      </c>
      <c r="P60" s="44">
        <v>93751.5</v>
      </c>
      <c r="Q60" s="44">
        <v>95001.52</v>
      </c>
      <c r="R60" s="45">
        <v>0</v>
      </c>
      <c r="S60" s="46">
        <v>0</v>
      </c>
      <c r="T60" s="39">
        <f t="shared" si="19"/>
        <v>45</v>
      </c>
      <c r="U60" s="47">
        <f t="shared" si="20"/>
        <v>0.21797097436306898</v>
      </c>
      <c r="V60" s="48">
        <f t="shared" si="21"/>
        <v>1.0000000000000009E-2</v>
      </c>
      <c r="W60" s="49">
        <f t="shared" si="22"/>
        <v>4.8437994302904215E-3</v>
      </c>
      <c r="X60" s="44">
        <f t="shared" si="23"/>
        <v>13705.771467028404</v>
      </c>
      <c r="Y60" s="44">
        <f t="shared" si="24"/>
        <v>1250.0200000000041</v>
      </c>
      <c r="Z60" s="44">
        <f t="shared" si="25"/>
        <v>52115.015354510746</v>
      </c>
      <c r="AA60" s="50">
        <f t="shared" si="26"/>
        <v>108707.29146702841</v>
      </c>
      <c r="AB60" s="51">
        <f t="shared" si="27"/>
        <v>48719.281438263759</v>
      </c>
      <c r="AC60" s="44">
        <f t="shared" si="28"/>
        <v>101624.09223803721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3.1346149049506007</v>
      </c>
      <c r="AG60" s="44">
        <f t="shared" si="31"/>
        <v>219426.55411523563</v>
      </c>
      <c r="AH60" s="52">
        <f>HLOOKUP(I60,ElecAvoidedCostsWOCC!$A$5:$Q$50,T60+1,FALSE)</f>
        <v>3.1346149049506007</v>
      </c>
      <c r="AI60" s="44">
        <f t="shared" si="32"/>
        <v>0</v>
      </c>
      <c r="AJ60" s="44">
        <f t="shared" si="33"/>
        <v>219426.55411523563</v>
      </c>
      <c r="AK60" s="44">
        <f>HLOOKUP(I60,ElecAvoidedCostsWOCC!$A$5:$Q$50,G60+1,FALSE)*J60*L60</f>
        <v>0</v>
      </c>
      <c r="AL60" s="44">
        <f t="shared" si="34"/>
        <v>219426.55411523563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219426.5541152356</v>
      </c>
      <c r="AN60" s="48">
        <f t="shared" si="35"/>
        <v>241369.20952675919</v>
      </c>
      <c r="AO60" s="47">
        <f t="shared" si="36"/>
        <v>4.5038955345285459</v>
      </c>
      <c r="AP60" s="47">
        <f t="shared" si="37"/>
        <v>2.3751179883741815</v>
      </c>
      <c r="AQ60">
        <v>2020</v>
      </c>
    </row>
    <row r="61" spans="2:43">
      <c r="B61" s="97" t="s">
        <v>39</v>
      </c>
      <c r="C61" s="61">
        <v>18230407</v>
      </c>
      <c r="D61" s="61" t="s">
        <v>40</v>
      </c>
      <c r="E61" s="38" t="s">
        <v>2029</v>
      </c>
      <c r="F61" s="39" t="s">
        <v>2030</v>
      </c>
      <c r="G61" s="39">
        <v>20</v>
      </c>
      <c r="H61" s="39"/>
      <c r="I61" s="40" t="s">
        <v>266</v>
      </c>
      <c r="J61" s="41">
        <v>1</v>
      </c>
      <c r="K61" s="41">
        <v>939</v>
      </c>
      <c r="L61" s="41"/>
      <c r="M61" s="42">
        <v>800</v>
      </c>
      <c r="N61" s="42">
        <v>1686</v>
      </c>
      <c r="O61" s="43">
        <v>939</v>
      </c>
      <c r="P61" s="44">
        <v>800</v>
      </c>
      <c r="Q61" s="44">
        <v>1686</v>
      </c>
      <c r="R61" s="45">
        <v>0</v>
      </c>
      <c r="S61" s="46">
        <v>0</v>
      </c>
      <c r="T61" s="39">
        <f t="shared" si="19"/>
        <v>20</v>
      </c>
      <c r="U61" s="47">
        <f t="shared" si="20"/>
        <v>1.2995013979898338E-3</v>
      </c>
      <c r="V61" s="48">
        <f t="shared" si="21"/>
        <v>886</v>
      </c>
      <c r="W61" s="49">
        <f t="shared" si="22"/>
        <v>6.4975069899491692E-5</v>
      </c>
      <c r="X61" s="44">
        <f t="shared" si="23"/>
        <v>183.85019279033924</v>
      </c>
      <c r="Y61" s="44">
        <f t="shared" si="24"/>
        <v>886</v>
      </c>
      <c r="Z61" s="44">
        <f t="shared" si="25"/>
        <v>699.07452077746166</v>
      </c>
      <c r="AA61" s="50">
        <f t="shared" si="26"/>
        <v>1869.8501927903392</v>
      </c>
      <c r="AB61" s="51">
        <f t="shared" si="27"/>
        <v>653.52390462509265</v>
      </c>
      <c r="AC61" s="44">
        <f t="shared" si="28"/>
        <v>1748.0136419466571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1.7274981440970447</v>
      </c>
      <c r="AG61" s="44">
        <f t="shared" si="31"/>
        <v>1622.1207573071249</v>
      </c>
      <c r="AH61" s="52">
        <f>HLOOKUP(I61,ElecAvoidedCostsWOCC!$A$5:$Q$50,T61+1,FALSE)</f>
        <v>1.7274981440970447</v>
      </c>
      <c r="AI61" s="44">
        <f t="shared" si="32"/>
        <v>0</v>
      </c>
      <c r="AJ61" s="44">
        <f t="shared" si="33"/>
        <v>1622.1207573071249</v>
      </c>
      <c r="AK61" s="44">
        <f>HLOOKUP(I61,ElecAvoidedCostsWOCC!$A$5:$Q$50,G61+1,FALSE)*J61*L61</f>
        <v>0</v>
      </c>
      <c r="AL61" s="44">
        <f t="shared" si="34"/>
        <v>1622.1207573071249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1622.1207573071249</v>
      </c>
      <c r="AN61" s="48">
        <f t="shared" si="35"/>
        <v>1784.3328330378376</v>
      </c>
      <c r="AO61" s="47">
        <f t="shared" si="36"/>
        <v>2.482113884170293</v>
      </c>
      <c r="AP61" s="47">
        <f t="shared" si="37"/>
        <v>1.0207774071206528</v>
      </c>
      <c r="AQ61">
        <v>2020</v>
      </c>
    </row>
    <row r="62" spans="2:43">
      <c r="B62" s="97" t="s">
        <v>39</v>
      </c>
      <c r="C62" s="61">
        <v>18230407</v>
      </c>
      <c r="D62" s="61" t="s">
        <v>40</v>
      </c>
      <c r="E62" s="38" t="s">
        <v>2031</v>
      </c>
      <c r="F62" s="39" t="s">
        <v>2032</v>
      </c>
      <c r="G62" s="39">
        <v>10</v>
      </c>
      <c r="H62" s="39"/>
      <c r="I62" s="40" t="s">
        <v>263</v>
      </c>
      <c r="J62" s="41">
        <v>78</v>
      </c>
      <c r="K62" s="41">
        <v>143</v>
      </c>
      <c r="L62" s="41"/>
      <c r="M62" s="42">
        <v>50</v>
      </c>
      <c r="N62" s="42">
        <v>50</v>
      </c>
      <c r="O62" s="43">
        <v>11154</v>
      </c>
      <c r="P62" s="44">
        <v>3900</v>
      </c>
      <c r="Q62" s="44">
        <v>3900</v>
      </c>
      <c r="R62" s="45">
        <v>0</v>
      </c>
      <c r="S62" s="46">
        <v>0</v>
      </c>
      <c r="T62" s="39">
        <f t="shared" si="19"/>
        <v>10</v>
      </c>
      <c r="U62" s="47">
        <f t="shared" si="20"/>
        <v>7.7181249164955303E-3</v>
      </c>
      <c r="V62" s="48">
        <f t="shared" si="21"/>
        <v>0</v>
      </c>
      <c r="W62" s="49">
        <f t="shared" si="22"/>
        <v>7.7181249164955308E-4</v>
      </c>
      <c r="X62" s="44">
        <f t="shared" si="23"/>
        <v>2183.88184279387</v>
      </c>
      <c r="Y62" s="44">
        <f t="shared" si="24"/>
        <v>0</v>
      </c>
      <c r="Z62" s="44">
        <f t="shared" si="25"/>
        <v>8304.022582270296</v>
      </c>
      <c r="AA62" s="50">
        <f t="shared" si="26"/>
        <v>6083.8818427938695</v>
      </c>
      <c r="AB62" s="51">
        <f t="shared" si="27"/>
        <v>7762.9452951951907</v>
      </c>
      <c r="AC62" s="44">
        <f t="shared" si="28"/>
        <v>5687.465497610423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0.73512510012695687</v>
      </c>
      <c r="AG62" s="44">
        <f t="shared" si="31"/>
        <v>8199.5853668160762</v>
      </c>
      <c r="AH62" s="52">
        <f>HLOOKUP(I62,ElecAvoidedCostsWOCC!$A$5:$Q$50,T62+1,FALSE)</f>
        <v>0.73512510012695687</v>
      </c>
      <c r="AI62" s="44">
        <f t="shared" si="32"/>
        <v>0</v>
      </c>
      <c r="AJ62" s="44">
        <f t="shared" si="33"/>
        <v>8199.5853668160762</v>
      </c>
      <c r="AK62" s="44">
        <f>HLOOKUP(I62,ElecAvoidedCostsWOCC!$A$5:$Q$50,G62+1,FALSE)*J62*L62</f>
        <v>0</v>
      </c>
      <c r="AL62" s="44">
        <f t="shared" si="34"/>
        <v>8199.5853668160762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8199.5853668160762</v>
      </c>
      <c r="AN62" s="48">
        <f t="shared" si="35"/>
        <v>9019.5439034976844</v>
      </c>
      <c r="AO62" s="47">
        <f t="shared" si="36"/>
        <v>1.0562467021236308</v>
      </c>
      <c r="AP62" s="47">
        <f t="shared" si="37"/>
        <v>1.5858634935521327</v>
      </c>
      <c r="AQ62">
        <v>2020</v>
      </c>
    </row>
    <row r="63" spans="2:43">
      <c r="B63" s="97" t="s">
        <v>39</v>
      </c>
      <c r="C63" s="61">
        <v>18230407</v>
      </c>
      <c r="D63" s="61" t="s">
        <v>40</v>
      </c>
      <c r="E63" s="38" t="s">
        <v>2033</v>
      </c>
      <c r="F63" s="39" t="s">
        <v>2034</v>
      </c>
      <c r="G63" s="39">
        <v>10</v>
      </c>
      <c r="H63" s="39"/>
      <c r="I63" s="40" t="s">
        <v>263</v>
      </c>
      <c r="J63" s="41">
        <v>115</v>
      </c>
      <c r="K63" s="41">
        <v>143</v>
      </c>
      <c r="L63" s="41"/>
      <c r="M63" s="42">
        <v>200</v>
      </c>
      <c r="N63" s="42">
        <v>250</v>
      </c>
      <c r="O63" s="43">
        <v>16445</v>
      </c>
      <c r="P63" s="44">
        <v>26800</v>
      </c>
      <c r="Q63" s="44">
        <v>28750</v>
      </c>
      <c r="R63" s="45">
        <v>0</v>
      </c>
      <c r="S63" s="46"/>
      <c r="T63" s="39">
        <f t="shared" si="19"/>
        <v>10</v>
      </c>
      <c r="U63" s="47">
        <f t="shared" si="20"/>
        <v>1.1379286735858796E-2</v>
      </c>
      <c r="V63" s="48">
        <f t="shared" si="21"/>
        <v>50</v>
      </c>
      <c r="W63" s="49">
        <f t="shared" si="22"/>
        <v>1.1379286735858796E-3</v>
      </c>
      <c r="X63" s="44">
        <f t="shared" si="23"/>
        <v>3219.8257938627571</v>
      </c>
      <c r="Y63" s="44">
        <f t="shared" si="24"/>
        <v>1950</v>
      </c>
      <c r="Z63" s="44">
        <f t="shared" si="25"/>
        <v>12243.110217449797</v>
      </c>
      <c r="AA63" s="50">
        <f t="shared" si="26"/>
        <v>31969.825793862758</v>
      </c>
      <c r="AB63" s="51">
        <f t="shared" si="27"/>
        <v>11445.368063428808</v>
      </c>
      <c r="AC63" s="44">
        <f t="shared" si="28"/>
        <v>29886.721317998275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0.73512510012695687</v>
      </c>
      <c r="AG63" s="44">
        <f t="shared" si="31"/>
        <v>12089.132271587805</v>
      </c>
      <c r="AH63" s="52">
        <f>HLOOKUP(I63,ElecAvoidedCostsWOCC!$A$5:$Q$50,T63+1,FALSE)</f>
        <v>0.73512510012695687</v>
      </c>
      <c r="AI63" s="44">
        <f t="shared" si="32"/>
        <v>0</v>
      </c>
      <c r="AJ63" s="44">
        <f t="shared" si="33"/>
        <v>12089.132271587805</v>
      </c>
      <c r="AK63" s="44">
        <f>HLOOKUP(I63,ElecAvoidedCostsWOCC!$A$5:$Q$50,G63+1,FALSE)*J63*L63</f>
        <v>0</v>
      </c>
      <c r="AL63" s="44">
        <f t="shared" si="34"/>
        <v>12089.132271587805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12089.132271587805</v>
      </c>
      <c r="AN63" s="48">
        <f t="shared" si="35"/>
        <v>13298.045498746587</v>
      </c>
      <c r="AO63" s="47">
        <f t="shared" si="36"/>
        <v>1.0562467021236308</v>
      </c>
      <c r="AP63" s="47">
        <f t="shared" si="37"/>
        <v>0.44494828848082058</v>
      </c>
      <c r="AQ63">
        <v>2020</v>
      </c>
    </row>
    <row r="64" spans="2:43">
      <c r="B64" s="97" t="s">
        <v>39</v>
      </c>
      <c r="C64" s="61">
        <v>18230407</v>
      </c>
      <c r="D64" s="61" t="s">
        <v>40</v>
      </c>
      <c r="E64" s="38" t="s">
        <v>2037</v>
      </c>
      <c r="F64" s="39" t="s">
        <v>891</v>
      </c>
      <c r="G64" s="39">
        <v>45</v>
      </c>
      <c r="H64" s="39"/>
      <c r="I64" s="40" t="s">
        <v>267</v>
      </c>
      <c r="J64" s="41">
        <v>49993</v>
      </c>
      <c r="K64" s="41">
        <v>1.6</v>
      </c>
      <c r="L64" s="41"/>
      <c r="M64" s="42">
        <v>0.75</v>
      </c>
      <c r="N64" s="42">
        <v>0.98</v>
      </c>
      <c r="O64" s="43">
        <v>79988.800000000003</v>
      </c>
      <c r="P64" s="44">
        <v>37494.75</v>
      </c>
      <c r="Q64" s="44">
        <v>48993.14</v>
      </c>
      <c r="R64" s="45">
        <v>0</v>
      </c>
      <c r="S64" s="46">
        <v>0</v>
      </c>
      <c r="T64" s="39">
        <f t="shared" si="19"/>
        <v>45</v>
      </c>
      <c r="U64" s="47">
        <f t="shared" si="20"/>
        <v>0.2490708244972745</v>
      </c>
      <c r="V64" s="48">
        <f t="shared" si="21"/>
        <v>0.22999999999999998</v>
      </c>
      <c r="W64" s="49">
        <f t="shared" si="22"/>
        <v>5.5349072110505446E-3</v>
      </c>
      <c r="X64" s="44">
        <f t="shared" si="23"/>
        <v>15661.295315301266</v>
      </c>
      <c r="Y64" s="44">
        <f t="shared" si="24"/>
        <v>11498.39</v>
      </c>
      <c r="Z64" s="44">
        <f t="shared" si="25"/>
        <v>59550.726333934217</v>
      </c>
      <c r="AA64" s="50">
        <f t="shared" si="26"/>
        <v>64654.435315301263</v>
      </c>
      <c r="AB64" s="51">
        <f t="shared" si="27"/>
        <v>55670.492973669454</v>
      </c>
      <c r="AC64" s="44">
        <f t="shared" si="28"/>
        <v>60441.652159765596</v>
      </c>
      <c r="AD64" s="44">
        <f t="shared" si="29"/>
        <v>0</v>
      </c>
      <c r="AE64" s="44">
        <f t="shared" si="30"/>
        <v>0</v>
      </c>
      <c r="AF64" s="52">
        <f>HLOOKUP(I64,ElecAvoidedCostsWOCC!$A$5:$Q$50,G64+1,FALSE)</f>
        <v>3.1346149049506007</v>
      </c>
      <c r="AG64" s="44">
        <f t="shared" si="31"/>
        <v>250734.08470911265</v>
      </c>
      <c r="AH64" s="52">
        <f>HLOOKUP(I64,ElecAvoidedCostsWOCC!$A$5:$Q$50,T64+1,FALSE)</f>
        <v>3.1346149049506007</v>
      </c>
      <c r="AI64" s="44">
        <f t="shared" si="32"/>
        <v>0</v>
      </c>
      <c r="AJ64" s="44">
        <f t="shared" si="33"/>
        <v>250734.08470911265</v>
      </c>
      <c r="AK64" s="44">
        <f>HLOOKUP(I64,ElecAvoidedCostsWOCC!$A$5:$Q$50,G64+1,FALSE)*J64*L64</f>
        <v>0</v>
      </c>
      <c r="AL64" s="44">
        <f t="shared" si="34"/>
        <v>250734.08470911265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250734.08470911265</v>
      </c>
      <c r="AN64" s="48">
        <f t="shared" si="35"/>
        <v>275807.49318002391</v>
      </c>
      <c r="AO64" s="47">
        <f t="shared" si="36"/>
        <v>4.5038955345285459</v>
      </c>
      <c r="AP64" s="47">
        <f t="shared" si="37"/>
        <v>4.5632024162903617</v>
      </c>
      <c r="AQ64">
        <v>2020</v>
      </c>
    </row>
    <row r="65" spans="2:43">
      <c r="B65" s="97" t="s">
        <v>39</v>
      </c>
      <c r="C65" s="61">
        <v>18230407</v>
      </c>
      <c r="D65" s="61" t="s">
        <v>40</v>
      </c>
      <c r="E65" s="38" t="s">
        <v>2038</v>
      </c>
      <c r="F65" s="39" t="s">
        <v>2039</v>
      </c>
      <c r="G65" s="39">
        <v>45</v>
      </c>
      <c r="H65" s="39"/>
      <c r="I65" s="40" t="s">
        <v>267</v>
      </c>
      <c r="J65" s="41">
        <v>66626</v>
      </c>
      <c r="K65" s="41">
        <v>0.72</v>
      </c>
      <c r="L65" s="41"/>
      <c r="M65" s="42">
        <v>0.75</v>
      </c>
      <c r="N65" s="42">
        <v>1.47</v>
      </c>
      <c r="O65" s="43">
        <v>47970.720000000001</v>
      </c>
      <c r="P65" s="44">
        <v>49969.5</v>
      </c>
      <c r="Q65" s="44">
        <v>97940.22</v>
      </c>
      <c r="R65" s="45">
        <v>0</v>
      </c>
      <c r="S65" s="46">
        <v>0</v>
      </c>
      <c r="T65" s="39">
        <f t="shared" si="19"/>
        <v>45</v>
      </c>
      <c r="U65" s="47">
        <f t="shared" si="20"/>
        <v>0.14937224689116346</v>
      </c>
      <c r="V65" s="48">
        <f t="shared" si="21"/>
        <v>0.72</v>
      </c>
      <c r="W65" s="49">
        <f t="shared" si="22"/>
        <v>3.3193832642480769E-3</v>
      </c>
      <c r="X65" s="44">
        <f t="shared" si="23"/>
        <v>9392.360085507331</v>
      </c>
      <c r="Y65" s="44">
        <f t="shared" si="24"/>
        <v>47970.720000000001</v>
      </c>
      <c r="Z65" s="44">
        <f t="shared" si="25"/>
        <v>35713.640144142497</v>
      </c>
      <c r="AA65" s="50">
        <f t="shared" si="26"/>
        <v>107332.58008550733</v>
      </c>
      <c r="AB65" s="51">
        <f t="shared" si="27"/>
        <v>33386.594507004294</v>
      </c>
      <c r="AC65" s="44">
        <f t="shared" si="28"/>
        <v>100338.9549270892</v>
      </c>
      <c r="AD65" s="44">
        <f t="shared" si="29"/>
        <v>0</v>
      </c>
      <c r="AE65" s="44">
        <f t="shared" si="30"/>
        <v>0</v>
      </c>
      <c r="AF65" s="52">
        <f>HLOOKUP(I65,ElecAvoidedCostsWOCC!$A$5:$Q$50,G65+1,FALSE)</f>
        <v>3.1346149049506007</v>
      </c>
      <c r="AG65" s="44">
        <f t="shared" si="31"/>
        <v>150369.73391321188</v>
      </c>
      <c r="AH65" s="52">
        <f>HLOOKUP(I65,ElecAvoidedCostsWOCC!$A$5:$Q$50,T65+1,FALSE)</f>
        <v>3.1346149049506007</v>
      </c>
      <c r="AI65" s="44">
        <f t="shared" si="32"/>
        <v>0</v>
      </c>
      <c r="AJ65" s="44">
        <f t="shared" si="33"/>
        <v>150369.73391321188</v>
      </c>
      <c r="AK65" s="44">
        <f>HLOOKUP(I65,ElecAvoidedCostsWOCC!$A$5:$Q$50,G65+1,FALSE)*J65*L65</f>
        <v>0</v>
      </c>
      <c r="AL65" s="44">
        <f t="shared" si="34"/>
        <v>150369.73391321188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150369.73391321188</v>
      </c>
      <c r="AN65" s="48">
        <f t="shared" si="35"/>
        <v>165406.70730453308</v>
      </c>
      <c r="AO65" s="47">
        <f t="shared" si="36"/>
        <v>4.503895534528545</v>
      </c>
      <c r="AP65" s="47">
        <f t="shared" si="37"/>
        <v>1.6484794706574832</v>
      </c>
      <c r="AQ65">
        <v>2020</v>
      </c>
    </row>
    <row r="66" spans="2:43">
      <c r="B66" s="97" t="s">
        <v>39</v>
      </c>
      <c r="C66" s="61">
        <v>18230407</v>
      </c>
      <c r="D66" s="61" t="s">
        <v>40</v>
      </c>
      <c r="E66" s="38" t="s">
        <v>2042</v>
      </c>
      <c r="F66" s="39" t="s">
        <v>893</v>
      </c>
      <c r="G66" s="39">
        <v>12</v>
      </c>
      <c r="H66" s="39"/>
      <c r="I66" s="40" t="s">
        <v>248</v>
      </c>
      <c r="J66" s="41">
        <v>7676</v>
      </c>
      <c r="K66" s="41">
        <v>22.1</v>
      </c>
      <c r="L66" s="41"/>
      <c r="M66" s="42">
        <v>8.1300000000000008</v>
      </c>
      <c r="N66" s="42">
        <v>8.1300000000000008</v>
      </c>
      <c r="O66" s="43">
        <v>169639.6</v>
      </c>
      <c r="P66" s="44">
        <v>62405.88</v>
      </c>
      <c r="Q66" s="44">
        <v>62405.88</v>
      </c>
      <c r="R66" s="45">
        <v>0</v>
      </c>
      <c r="S66" s="46">
        <v>0</v>
      </c>
      <c r="T66" s="39">
        <f t="shared" si="19"/>
        <v>12</v>
      </c>
      <c r="U66" s="47">
        <f t="shared" si="20"/>
        <v>0.14086063728717971</v>
      </c>
      <c r="V66" s="48">
        <f t="shared" si="21"/>
        <v>0</v>
      </c>
      <c r="W66" s="49">
        <f t="shared" si="22"/>
        <v>1.173838644059831E-2</v>
      </c>
      <c r="X66" s="44">
        <f t="shared" si="23"/>
        <v>33214.348418398338</v>
      </c>
      <c r="Y66" s="44">
        <f t="shared" si="24"/>
        <v>0</v>
      </c>
      <c r="Z66" s="44">
        <f t="shared" si="25"/>
        <v>126294.69869529321</v>
      </c>
      <c r="AA66" s="50">
        <f t="shared" si="26"/>
        <v>95620.228418398328</v>
      </c>
      <c r="AB66" s="51">
        <f t="shared" si="27"/>
        <v>118065.53117256539</v>
      </c>
      <c r="AC66" s="44">
        <f t="shared" si="28"/>
        <v>89389.762006542325</v>
      </c>
      <c r="AD66" s="44">
        <f t="shared" si="29"/>
        <v>0</v>
      </c>
      <c r="AE66" s="44">
        <f t="shared" si="30"/>
        <v>0</v>
      </c>
      <c r="AF66" s="52">
        <f>HLOOKUP(I66,ElecAvoidedCostsWOCC!$A$5:$Q$50,G66+1,FALSE)</f>
        <v>0.91115730059915656</v>
      </c>
      <c r="AG66" s="44">
        <f t="shared" si="31"/>
        <v>154568.36001072067</v>
      </c>
      <c r="AH66" s="52">
        <f>HLOOKUP(I66,ElecAvoidedCostsWOCC!$A$5:$Q$50,T66+1,FALSE)</f>
        <v>0.91115730059915656</v>
      </c>
      <c r="AI66" s="44">
        <f t="shared" si="32"/>
        <v>0</v>
      </c>
      <c r="AJ66" s="44">
        <f t="shared" si="33"/>
        <v>154568.36001072067</v>
      </c>
      <c r="AK66" s="44">
        <f>HLOOKUP(I66,ElecAvoidedCostsWOCC!$A$5:$Q$50,G66+1,FALSE)*J66*L66</f>
        <v>0</v>
      </c>
      <c r="AL66" s="44">
        <f t="shared" si="34"/>
        <v>154568.36001072067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154568.3600107207</v>
      </c>
      <c r="AN66" s="48">
        <f t="shared" si="35"/>
        <v>170025.19601179278</v>
      </c>
      <c r="AO66" s="47">
        <f t="shared" si="36"/>
        <v>1.3091743074852433</v>
      </c>
      <c r="AP66" s="47">
        <f t="shared" si="37"/>
        <v>1.902065652656608</v>
      </c>
      <c r="AQ66">
        <v>2020</v>
      </c>
    </row>
    <row r="67" spans="2:43">
      <c r="B67" s="97" t="s">
        <v>39</v>
      </c>
      <c r="C67" s="61">
        <v>18230407</v>
      </c>
      <c r="D67" s="61" t="s">
        <v>40</v>
      </c>
      <c r="E67" s="38" t="s">
        <v>892</v>
      </c>
      <c r="F67" s="39" t="s">
        <v>893</v>
      </c>
      <c r="G67" s="39">
        <v>1</v>
      </c>
      <c r="H67" s="39">
        <v>11</v>
      </c>
      <c r="I67" s="40" t="s">
        <v>248</v>
      </c>
      <c r="J67" s="41">
        <v>46488</v>
      </c>
      <c r="K67" s="41">
        <v>38</v>
      </c>
      <c r="L67" s="41">
        <v>5</v>
      </c>
      <c r="M67" s="42">
        <v>8.1300000000000008</v>
      </c>
      <c r="N67" s="42">
        <v>8.1300000000000008</v>
      </c>
      <c r="O67" s="43">
        <v>1766544</v>
      </c>
      <c r="P67" s="44">
        <v>328475.34000000003</v>
      </c>
      <c r="Q67" s="44">
        <v>377947.44</v>
      </c>
      <c r="R67" s="45">
        <v>0.65</v>
      </c>
      <c r="S67" s="46">
        <v>0</v>
      </c>
      <c r="T67" s="39">
        <f t="shared" si="19"/>
        <v>12</v>
      </c>
      <c r="U67" s="47">
        <f t="shared" si="20"/>
        <v>1.466853928185657</v>
      </c>
      <c r="V67" s="48">
        <f t="shared" si="21"/>
        <v>0</v>
      </c>
      <c r="W67" s="49">
        <f t="shared" si="22"/>
        <v>0.12223782734880474</v>
      </c>
      <c r="X67" s="44">
        <f t="shared" si="23"/>
        <v>345878.01381535362</v>
      </c>
      <c r="Y67" s="44">
        <f t="shared" si="24"/>
        <v>49472.099999999977</v>
      </c>
      <c r="Z67" s="44">
        <f t="shared" si="25"/>
        <v>1315171.3527500536</v>
      </c>
      <c r="AA67" s="50">
        <f t="shared" si="26"/>
        <v>723825.45381535357</v>
      </c>
      <c r="AB67" s="51">
        <f t="shared" si="27"/>
        <v>1229476.8185005642</v>
      </c>
      <c r="AC67" s="44">
        <f t="shared" si="28"/>
        <v>676662.1050905427</v>
      </c>
      <c r="AD67" s="44">
        <f t="shared" si="29"/>
        <v>240389.94006419351</v>
      </c>
      <c r="AE67" s="44">
        <f t="shared" si="30"/>
        <v>0</v>
      </c>
      <c r="AF67" s="52">
        <f>HLOOKUP(I67,ElecAvoidedCostsWOCC!$A$5:$Q$50,G67+1,FALSE)</f>
        <v>8.6279755452712409E-2</v>
      </c>
      <c r="AG67" s="44">
        <f t="shared" si="31"/>
        <v>152416.98431645639</v>
      </c>
      <c r="AH67" s="52">
        <f>HLOOKUP(I67,ElecAvoidedCostsWOCC!$A$5:$Q$50,T67+1,FALSE)</f>
        <v>0.91115730059915656</v>
      </c>
      <c r="AI67" s="44">
        <f t="shared" si="32"/>
        <v>211789.40295126796</v>
      </c>
      <c r="AJ67" s="44">
        <f t="shared" si="33"/>
        <v>364206.38726772438</v>
      </c>
      <c r="AK67" s="44">
        <f>HLOOKUP(I67,ElecAvoidedCostsWOCC!$A$5:$Q$50,G67+1,FALSE)*J67*L67</f>
        <v>20054.866357428473</v>
      </c>
      <c r="AL67" s="44">
        <f t="shared" si="34"/>
        <v>344151.52091029589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344151.52091029589</v>
      </c>
      <c r="AN67" s="48">
        <f t="shared" si="35"/>
        <v>618956.61306551902</v>
      </c>
      <c r="AO67" s="47">
        <f t="shared" si="36"/>
        <v>0.27991704742348339</v>
      </c>
      <c r="AP67" s="47">
        <f t="shared" si="37"/>
        <v>0.91472037285536745</v>
      </c>
      <c r="AQ67">
        <v>2020</v>
      </c>
    </row>
    <row r="68" spans="2:43">
      <c r="B68" s="97" t="s">
        <v>39</v>
      </c>
      <c r="C68" s="61">
        <v>18230407</v>
      </c>
      <c r="D68" s="61" t="s">
        <v>40</v>
      </c>
      <c r="E68" s="38" t="s">
        <v>2043</v>
      </c>
      <c r="F68" s="39" t="s">
        <v>895</v>
      </c>
      <c r="G68" s="39">
        <v>12</v>
      </c>
      <c r="H68" s="39"/>
      <c r="I68" s="40" t="s">
        <v>248</v>
      </c>
      <c r="J68" s="41">
        <v>124</v>
      </c>
      <c r="K68" s="41">
        <v>18.2</v>
      </c>
      <c r="L68" s="41"/>
      <c r="M68" s="42">
        <v>9.23</v>
      </c>
      <c r="N68" s="42">
        <v>9.23</v>
      </c>
      <c r="O68" s="43">
        <v>2256.8000000000002</v>
      </c>
      <c r="P68" s="44">
        <v>1144.52</v>
      </c>
      <c r="Q68" s="44">
        <v>1144.52</v>
      </c>
      <c r="R68" s="45">
        <v>0</v>
      </c>
      <c r="S68" s="46">
        <v>0</v>
      </c>
      <c r="T68" s="39">
        <f t="shared" si="19"/>
        <v>12</v>
      </c>
      <c r="U68" s="47">
        <f t="shared" si="20"/>
        <v>1.8739391405645095E-3</v>
      </c>
      <c r="V68" s="48">
        <f t="shared" si="21"/>
        <v>0</v>
      </c>
      <c r="W68" s="49">
        <f t="shared" si="22"/>
        <v>1.5616159504704247E-4</v>
      </c>
      <c r="X68" s="44">
        <f t="shared" si="23"/>
        <v>441.86700222496023</v>
      </c>
      <c r="Y68" s="44">
        <f t="shared" si="24"/>
        <v>0</v>
      </c>
      <c r="Z68" s="44">
        <f t="shared" si="25"/>
        <v>1680.1612124500275</v>
      </c>
      <c r="AA68" s="50">
        <f t="shared" si="26"/>
        <v>1586.3870022249603</v>
      </c>
      <c r="AB68" s="51">
        <f t="shared" si="27"/>
        <v>1570.684502617582</v>
      </c>
      <c r="AC68" s="44">
        <f t="shared" si="28"/>
        <v>1483.0204751098065</v>
      </c>
      <c r="AD68" s="44">
        <f t="shared" si="29"/>
        <v>0</v>
      </c>
      <c r="AE68" s="44">
        <f t="shared" si="30"/>
        <v>0</v>
      </c>
      <c r="AF68" s="52">
        <f>HLOOKUP(I68,ElecAvoidedCostsWOCC!$A$5:$Q$50,G68+1,FALSE)</f>
        <v>0.91115730059915656</v>
      </c>
      <c r="AG68" s="44">
        <f t="shared" si="31"/>
        <v>2056.2997959921763</v>
      </c>
      <c r="AH68" s="52">
        <f>HLOOKUP(I68,ElecAvoidedCostsWOCC!$A$5:$Q$50,T68+1,FALSE)</f>
        <v>0.91115730059915656</v>
      </c>
      <c r="AI68" s="44">
        <f t="shared" si="32"/>
        <v>0</v>
      </c>
      <c r="AJ68" s="44">
        <f t="shared" si="33"/>
        <v>2056.2997959921763</v>
      </c>
      <c r="AK68" s="44">
        <f>HLOOKUP(I68,ElecAvoidedCostsWOCC!$A$5:$Q$50,G68+1,FALSE)*J68*L68</f>
        <v>0</v>
      </c>
      <c r="AL68" s="44">
        <f t="shared" si="34"/>
        <v>2056.2997959921763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2056.2997959921763</v>
      </c>
      <c r="AN68" s="48">
        <f t="shared" si="35"/>
        <v>2261.929775591394</v>
      </c>
      <c r="AO68" s="47">
        <f t="shared" si="36"/>
        <v>1.3091743074852431</v>
      </c>
      <c r="AP68" s="47">
        <f t="shared" si="37"/>
        <v>1.5252181703181913</v>
      </c>
      <c r="AQ68">
        <v>2020</v>
      </c>
    </row>
    <row r="69" spans="2:43">
      <c r="B69" s="97" t="s">
        <v>39</v>
      </c>
      <c r="C69" s="61">
        <v>18230407</v>
      </c>
      <c r="D69" s="61" t="s">
        <v>40</v>
      </c>
      <c r="E69" s="38" t="s">
        <v>894</v>
      </c>
      <c r="F69" s="39" t="s">
        <v>895</v>
      </c>
      <c r="G69" s="39">
        <v>1</v>
      </c>
      <c r="H69" s="39">
        <v>11</v>
      </c>
      <c r="I69" s="40" t="s">
        <v>248</v>
      </c>
      <c r="J69" s="41">
        <v>1623</v>
      </c>
      <c r="K69" s="41">
        <v>37</v>
      </c>
      <c r="L69" s="41">
        <v>5</v>
      </c>
      <c r="M69" s="42">
        <v>9.23</v>
      </c>
      <c r="N69" s="42">
        <v>9.23</v>
      </c>
      <c r="O69" s="43">
        <v>60051</v>
      </c>
      <c r="P69" s="44">
        <v>13590.08</v>
      </c>
      <c r="Q69" s="44">
        <v>14980.29</v>
      </c>
      <c r="R69" s="45">
        <v>0.67</v>
      </c>
      <c r="S69" s="46">
        <v>0</v>
      </c>
      <c r="T69" s="39">
        <f t="shared" si="19"/>
        <v>12</v>
      </c>
      <c r="U69" s="47">
        <f t="shared" si="20"/>
        <v>4.9863487827915345E-2</v>
      </c>
      <c r="V69" s="48">
        <f t="shared" si="21"/>
        <v>0</v>
      </c>
      <c r="W69" s="49">
        <f t="shared" si="22"/>
        <v>4.1552906523262788E-3</v>
      </c>
      <c r="X69" s="44">
        <f t="shared" si="23"/>
        <v>11757.60162646716</v>
      </c>
      <c r="Y69" s="44">
        <f t="shared" si="24"/>
        <v>1390.2100000000009</v>
      </c>
      <c r="Z69" s="44">
        <f t="shared" si="25"/>
        <v>44707.267355918375</v>
      </c>
      <c r="AA69" s="50">
        <f t="shared" si="26"/>
        <v>26737.891626467161</v>
      </c>
      <c r="AB69" s="51">
        <f t="shared" si="27"/>
        <v>41794.210859043073</v>
      </c>
      <c r="AC69" s="44">
        <f t="shared" si="28"/>
        <v>24995.691900969578</v>
      </c>
      <c r="AD69" s="44">
        <f t="shared" si="29"/>
        <v>8650.7824922628388</v>
      </c>
      <c r="AE69" s="44">
        <f t="shared" si="30"/>
        <v>0</v>
      </c>
      <c r="AF69" s="52">
        <f>HLOOKUP(I69,ElecAvoidedCostsWOCC!$A$5:$Q$50,G69+1,FALSE)</f>
        <v>8.6279755452712409E-2</v>
      </c>
      <c r="AG69" s="44">
        <f t="shared" si="31"/>
        <v>5181.1855946908327</v>
      </c>
      <c r="AH69" s="52">
        <f>HLOOKUP(I69,ElecAvoidedCostsWOCC!$A$5:$Q$50,T69+1,FALSE)</f>
        <v>0.91115730059915656</v>
      </c>
      <c r="AI69" s="44">
        <f t="shared" si="32"/>
        <v>7394.0414943621554</v>
      </c>
      <c r="AJ69" s="44">
        <f t="shared" si="33"/>
        <v>12575.227089052987</v>
      </c>
      <c r="AK69" s="44">
        <f>HLOOKUP(I69,ElecAvoidedCostsWOCC!$A$5:$Q$50,G69+1,FALSE)*J69*L69</f>
        <v>700.16021549876109</v>
      </c>
      <c r="AL69" s="44">
        <f t="shared" si="34"/>
        <v>11875.066873554226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11875.066873554228</v>
      </c>
      <c r="AN69" s="48">
        <f t="shared" si="35"/>
        <v>21713.356053172491</v>
      </c>
      <c r="AO69" s="47">
        <f t="shared" si="36"/>
        <v>0.28413186011824892</v>
      </c>
      <c r="AP69" s="47">
        <f t="shared" si="37"/>
        <v>0.86868393718400061</v>
      </c>
      <c r="AQ69">
        <v>2020</v>
      </c>
    </row>
    <row r="70" spans="2:43">
      <c r="B70" s="97" t="s">
        <v>39</v>
      </c>
      <c r="C70" s="61">
        <v>18230407</v>
      </c>
      <c r="D70" s="61" t="s">
        <v>40</v>
      </c>
      <c r="E70" s="38" t="s">
        <v>2044</v>
      </c>
      <c r="F70" s="39" t="s">
        <v>2045</v>
      </c>
      <c r="G70" s="39">
        <v>1</v>
      </c>
      <c r="H70" s="39">
        <v>11</v>
      </c>
      <c r="I70" s="40" t="s">
        <v>248</v>
      </c>
      <c r="J70" s="41">
        <v>26</v>
      </c>
      <c r="K70" s="41">
        <v>37</v>
      </c>
      <c r="L70" s="41">
        <v>5</v>
      </c>
      <c r="M70" s="42">
        <v>6.75</v>
      </c>
      <c r="N70" s="42">
        <v>6.75</v>
      </c>
      <c r="O70" s="43">
        <v>962</v>
      </c>
      <c r="P70" s="44">
        <v>148.5</v>
      </c>
      <c r="Q70" s="44">
        <v>175.5</v>
      </c>
      <c r="R70" s="45">
        <v>0.67</v>
      </c>
      <c r="S70" s="46">
        <v>0</v>
      </c>
      <c r="T70" s="39">
        <f t="shared" si="19"/>
        <v>12</v>
      </c>
      <c r="U70" s="47">
        <f t="shared" si="20"/>
        <v>7.987989424065305E-4</v>
      </c>
      <c r="V70" s="48">
        <f t="shared" si="21"/>
        <v>0</v>
      </c>
      <c r="W70" s="49">
        <f t="shared" si="22"/>
        <v>6.6566578533877542E-5</v>
      </c>
      <c r="X70" s="44">
        <f t="shared" si="23"/>
        <v>188.35344564888857</v>
      </c>
      <c r="Y70" s="44">
        <f t="shared" si="24"/>
        <v>27</v>
      </c>
      <c r="Z70" s="44">
        <f t="shared" si="25"/>
        <v>716.19775185081812</v>
      </c>
      <c r="AA70" s="50">
        <f t="shared" si="26"/>
        <v>363.85344564888857</v>
      </c>
      <c r="AB70" s="51">
        <f t="shared" si="27"/>
        <v>669.53141240611205</v>
      </c>
      <c r="AC70" s="44">
        <f t="shared" si="28"/>
        <v>340.14531705047074</v>
      </c>
      <c r="AD70" s="44">
        <f t="shared" si="29"/>
        <v>138.58308367149343</v>
      </c>
      <c r="AE70" s="44">
        <f t="shared" si="30"/>
        <v>0</v>
      </c>
      <c r="AF70" s="52">
        <f>HLOOKUP(I70,ElecAvoidedCostsWOCC!$A$5:$Q$50,G70+1,FALSE)</f>
        <v>8.6279755452712409E-2</v>
      </c>
      <c r="AG70" s="44">
        <f t="shared" si="31"/>
        <v>83.001124745509344</v>
      </c>
      <c r="AH70" s="52">
        <f>HLOOKUP(I70,ElecAvoidedCostsWOCC!$A$5:$Q$50,T70+1,FALSE)</f>
        <v>0.91115730059915656</v>
      </c>
      <c r="AI70" s="44">
        <f t="shared" si="32"/>
        <v>118.45044907789034</v>
      </c>
      <c r="AJ70" s="44">
        <f t="shared" si="33"/>
        <v>201.45157382339968</v>
      </c>
      <c r="AK70" s="44">
        <f>HLOOKUP(I70,ElecAvoidedCostsWOCC!$A$5:$Q$50,G70+1,FALSE)*J70*L70</f>
        <v>11.216368208852614</v>
      </c>
      <c r="AL70" s="44">
        <f t="shared" si="34"/>
        <v>190.23520561454706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190.23520561454711</v>
      </c>
      <c r="AN70" s="48">
        <f t="shared" si="35"/>
        <v>347.84180984749526</v>
      </c>
      <c r="AO70" s="47">
        <f t="shared" si="36"/>
        <v>0.28413186011824898</v>
      </c>
      <c r="AP70" s="47">
        <f t="shared" si="37"/>
        <v>1.0226270726399049</v>
      </c>
      <c r="AQ70">
        <v>2020</v>
      </c>
    </row>
    <row r="71" spans="2:43">
      <c r="B71" s="97" t="s">
        <v>39</v>
      </c>
      <c r="C71" s="61">
        <v>18230407</v>
      </c>
      <c r="D71" s="61" t="s">
        <v>40</v>
      </c>
      <c r="E71" s="38" t="s">
        <v>2046</v>
      </c>
      <c r="F71" s="39" t="s">
        <v>897</v>
      </c>
      <c r="G71" s="39">
        <v>12</v>
      </c>
      <c r="H71" s="39"/>
      <c r="I71" s="40" t="s">
        <v>248</v>
      </c>
      <c r="J71" s="41">
        <v>27</v>
      </c>
      <c r="K71" s="41">
        <v>27.6</v>
      </c>
      <c r="L71" s="41"/>
      <c r="M71" s="42">
        <v>10.49</v>
      </c>
      <c r="N71" s="42">
        <v>10.49</v>
      </c>
      <c r="O71" s="43">
        <v>745.2</v>
      </c>
      <c r="P71" s="44">
        <v>283.23</v>
      </c>
      <c r="Q71" s="44">
        <v>283.23</v>
      </c>
      <c r="R71" s="45">
        <v>0</v>
      </c>
      <c r="S71" s="46">
        <v>0</v>
      </c>
      <c r="T71" s="39">
        <f t="shared" si="19"/>
        <v>12</v>
      </c>
      <c r="U71" s="47">
        <f t="shared" si="20"/>
        <v>6.1877855704921682E-4</v>
      </c>
      <c r="V71" s="48">
        <f t="shared" si="21"/>
        <v>0</v>
      </c>
      <c r="W71" s="49">
        <f t="shared" si="22"/>
        <v>5.1564879754101399E-5</v>
      </c>
      <c r="X71" s="44">
        <f t="shared" si="23"/>
        <v>145.90539261699769</v>
      </c>
      <c r="Y71" s="44">
        <f t="shared" si="24"/>
        <v>0</v>
      </c>
      <c r="Z71" s="44">
        <f t="shared" si="25"/>
        <v>554.792686776746</v>
      </c>
      <c r="AA71" s="50">
        <f t="shared" si="26"/>
        <v>429.13539261699771</v>
      </c>
      <c r="AB71" s="51">
        <f t="shared" si="27"/>
        <v>518.64325210502568</v>
      </c>
      <c r="AC71" s="44">
        <f t="shared" si="28"/>
        <v>401.17359317285002</v>
      </c>
      <c r="AD71" s="44">
        <f t="shared" si="29"/>
        <v>0</v>
      </c>
      <c r="AE71" s="44">
        <f t="shared" si="30"/>
        <v>0</v>
      </c>
      <c r="AF71" s="52">
        <f>HLOOKUP(I71,ElecAvoidedCostsWOCC!$A$5:$Q$50,G71+1,FALSE)</f>
        <v>0.91115730059915656</v>
      </c>
      <c r="AG71" s="44">
        <f t="shared" si="31"/>
        <v>678.99442040649149</v>
      </c>
      <c r="AH71" s="52">
        <f>HLOOKUP(I71,ElecAvoidedCostsWOCC!$A$5:$Q$50,T71+1,FALSE)</f>
        <v>0.91115730059915656</v>
      </c>
      <c r="AI71" s="44">
        <f t="shared" si="32"/>
        <v>0</v>
      </c>
      <c r="AJ71" s="44">
        <f t="shared" si="33"/>
        <v>678.99442040649149</v>
      </c>
      <c r="AK71" s="44">
        <f>HLOOKUP(I71,ElecAvoidedCostsWOCC!$A$5:$Q$50,G71+1,FALSE)*J71*L71</f>
        <v>0</v>
      </c>
      <c r="AL71" s="44">
        <f t="shared" si="34"/>
        <v>678.99442040649149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678.9944204064916</v>
      </c>
      <c r="AN71" s="48">
        <f t="shared" si="35"/>
        <v>746.8938624471408</v>
      </c>
      <c r="AO71" s="47">
        <f t="shared" si="36"/>
        <v>1.3091743074852435</v>
      </c>
      <c r="AP71" s="47">
        <f t="shared" si="37"/>
        <v>1.8617722481183687</v>
      </c>
      <c r="AQ71">
        <v>2020</v>
      </c>
    </row>
    <row r="72" spans="2:43">
      <c r="B72" s="97" t="s">
        <v>39</v>
      </c>
      <c r="C72" s="61">
        <v>18230407</v>
      </c>
      <c r="D72" s="61" t="s">
        <v>40</v>
      </c>
      <c r="E72" s="38" t="s">
        <v>896</v>
      </c>
      <c r="F72" s="39" t="s">
        <v>897</v>
      </c>
      <c r="G72" s="39">
        <v>1</v>
      </c>
      <c r="H72" s="39">
        <v>11</v>
      </c>
      <c r="I72" s="40" t="s">
        <v>248</v>
      </c>
      <c r="J72" s="41">
        <v>1323</v>
      </c>
      <c r="K72" s="41">
        <v>16</v>
      </c>
      <c r="L72" s="41">
        <v>3</v>
      </c>
      <c r="M72" s="42">
        <v>10.49</v>
      </c>
      <c r="N72" s="42">
        <v>10.49</v>
      </c>
      <c r="O72" s="43">
        <v>21168</v>
      </c>
      <c r="P72" s="44">
        <v>12372.84</v>
      </c>
      <c r="Q72" s="44">
        <v>13878.27</v>
      </c>
      <c r="R72" s="45">
        <v>0.91</v>
      </c>
      <c r="S72" s="46">
        <v>0</v>
      </c>
      <c r="T72" s="39">
        <f t="shared" si="19"/>
        <v>12</v>
      </c>
      <c r="U72" s="47">
        <f t="shared" si="20"/>
        <v>1.7576898142267608E-2</v>
      </c>
      <c r="V72" s="48">
        <f t="shared" si="21"/>
        <v>0</v>
      </c>
      <c r="W72" s="49">
        <f t="shared" si="22"/>
        <v>1.4647415118556339E-3</v>
      </c>
      <c r="X72" s="44">
        <f t="shared" si="23"/>
        <v>4144.5589786857308</v>
      </c>
      <c r="Y72" s="44">
        <f t="shared" si="24"/>
        <v>1505.4300000000003</v>
      </c>
      <c r="Z72" s="44">
        <f t="shared" si="25"/>
        <v>15759.328493948147</v>
      </c>
      <c r="AA72" s="50">
        <f t="shared" si="26"/>
        <v>18022.828978685731</v>
      </c>
      <c r="AB72" s="51">
        <f t="shared" si="27"/>
        <v>14732.474987331163</v>
      </c>
      <c r="AC72" s="44">
        <f t="shared" si="28"/>
        <v>16848.489276138851</v>
      </c>
      <c r="AD72" s="44">
        <f t="shared" si="29"/>
        <v>9577.7458050873174</v>
      </c>
      <c r="AE72" s="44">
        <f t="shared" si="30"/>
        <v>0</v>
      </c>
      <c r="AF72" s="52">
        <f>HLOOKUP(I72,ElecAvoidedCostsWOCC!$A$5:$Q$50,G72+1,FALSE)</f>
        <v>8.6279755452712409E-2</v>
      </c>
      <c r="AG72" s="44">
        <f t="shared" si="31"/>
        <v>1826.3698634230163</v>
      </c>
      <c r="AH72" s="52">
        <f>HLOOKUP(I72,ElecAvoidedCostsWOCC!$A$5:$Q$50,T72+1,FALSE)</f>
        <v>0.91115730059915656</v>
      </c>
      <c r="AI72" s="44">
        <f t="shared" si="32"/>
        <v>3616.3833260780521</v>
      </c>
      <c r="AJ72" s="44">
        <f t="shared" si="33"/>
        <v>5442.7531895010688</v>
      </c>
      <c r="AK72" s="44">
        <f>HLOOKUP(I72,ElecAvoidedCostsWOCC!$A$5:$Q$50,G72+1,FALSE)*J72*L72</f>
        <v>342.44434939181554</v>
      </c>
      <c r="AL72" s="44">
        <f t="shared" si="34"/>
        <v>5100.3088401092537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5100.3088401092537</v>
      </c>
      <c r="AN72" s="48">
        <f t="shared" si="35"/>
        <v>15188.085529207496</v>
      </c>
      <c r="AO72" s="47">
        <f t="shared" si="36"/>
        <v>0.34619497704867253</v>
      </c>
      <c r="AP72" s="47">
        <f t="shared" si="37"/>
        <v>0.90145088264484041</v>
      </c>
      <c r="AQ72">
        <v>2020</v>
      </c>
    </row>
    <row r="73" spans="2:43">
      <c r="B73" s="97" t="s">
        <v>39</v>
      </c>
      <c r="C73" s="61">
        <v>18230407</v>
      </c>
      <c r="D73" s="61" t="s">
        <v>40</v>
      </c>
      <c r="E73" s="38" t="s">
        <v>2047</v>
      </c>
      <c r="F73" s="39" t="s">
        <v>2048</v>
      </c>
      <c r="G73" s="39">
        <v>1</v>
      </c>
      <c r="H73" s="39">
        <v>11</v>
      </c>
      <c r="I73" s="40" t="s">
        <v>248</v>
      </c>
      <c r="J73" s="41">
        <v>48</v>
      </c>
      <c r="K73" s="41">
        <v>16</v>
      </c>
      <c r="L73" s="41">
        <v>3</v>
      </c>
      <c r="M73" s="42">
        <v>6.75</v>
      </c>
      <c r="N73" s="42">
        <v>6.75</v>
      </c>
      <c r="O73" s="43">
        <v>768</v>
      </c>
      <c r="P73" s="44">
        <v>324</v>
      </c>
      <c r="Q73" s="44">
        <v>324</v>
      </c>
      <c r="R73" s="45">
        <v>0.91</v>
      </c>
      <c r="S73" s="46">
        <v>0</v>
      </c>
      <c r="T73" s="39">
        <f t="shared" si="19"/>
        <v>12</v>
      </c>
      <c r="U73" s="47">
        <f t="shared" si="20"/>
        <v>6.3771059019565005E-4</v>
      </c>
      <c r="V73" s="48">
        <f t="shared" si="21"/>
        <v>0</v>
      </c>
      <c r="W73" s="49">
        <f t="shared" si="22"/>
        <v>5.3142549182970842E-5</v>
      </c>
      <c r="X73" s="44">
        <f t="shared" si="23"/>
        <v>150.36948675503785</v>
      </c>
      <c r="Y73" s="44">
        <f t="shared" si="24"/>
        <v>0</v>
      </c>
      <c r="Z73" s="44">
        <f t="shared" si="25"/>
        <v>571.76702018859487</v>
      </c>
      <c r="AA73" s="50">
        <f t="shared" si="26"/>
        <v>474.36948675503788</v>
      </c>
      <c r="AB73" s="51">
        <f t="shared" si="27"/>
        <v>534.51156416620995</v>
      </c>
      <c r="AC73" s="44">
        <f t="shared" si="28"/>
        <v>443.46030359450111</v>
      </c>
      <c r="AD73" s="44">
        <f t="shared" si="29"/>
        <v>347.49191129568499</v>
      </c>
      <c r="AE73" s="44">
        <f t="shared" si="30"/>
        <v>0</v>
      </c>
      <c r="AF73" s="52">
        <f>HLOOKUP(I73,ElecAvoidedCostsWOCC!$A$5:$Q$50,G73+1,FALSE)</f>
        <v>8.6279755452712409E-2</v>
      </c>
      <c r="AG73" s="44">
        <f t="shared" si="31"/>
        <v>66.262852187683137</v>
      </c>
      <c r="AH73" s="52">
        <f>HLOOKUP(I73,ElecAvoidedCostsWOCC!$A$5:$Q$50,T73+1,FALSE)</f>
        <v>0.91115730059915656</v>
      </c>
      <c r="AI73" s="44">
        <f t="shared" si="32"/>
        <v>131.20665128627854</v>
      </c>
      <c r="AJ73" s="44">
        <f t="shared" si="33"/>
        <v>197.46950347396168</v>
      </c>
      <c r="AK73" s="44">
        <f>HLOOKUP(I73,ElecAvoidedCostsWOCC!$A$5:$Q$50,G73+1,FALSE)*J73*L73</f>
        <v>12.424284785190588</v>
      </c>
      <c r="AL73" s="44">
        <f t="shared" si="34"/>
        <v>185.04521868877109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185.04521868877109</v>
      </c>
      <c r="AN73" s="48">
        <f t="shared" si="35"/>
        <v>551.04165185333318</v>
      </c>
      <c r="AO73" s="47">
        <f t="shared" si="36"/>
        <v>0.34619497704867247</v>
      </c>
      <c r="AP73" s="47">
        <f t="shared" si="37"/>
        <v>1.2425952162726253</v>
      </c>
      <c r="AQ73">
        <v>2020</v>
      </c>
    </row>
    <row r="74" spans="2:43">
      <c r="B74" s="97" t="s">
        <v>39</v>
      </c>
      <c r="C74" s="61">
        <v>18230407</v>
      </c>
      <c r="D74" s="61" t="s">
        <v>40</v>
      </c>
      <c r="E74" s="38" t="s">
        <v>2049</v>
      </c>
      <c r="F74" s="39" t="s">
        <v>899</v>
      </c>
      <c r="G74" s="39">
        <v>12</v>
      </c>
      <c r="H74" s="39"/>
      <c r="I74" s="40" t="s">
        <v>248</v>
      </c>
      <c r="J74" s="41">
        <v>447</v>
      </c>
      <c r="K74" s="41">
        <v>19.5</v>
      </c>
      <c r="L74" s="41"/>
      <c r="M74" s="42">
        <v>9</v>
      </c>
      <c r="N74" s="42">
        <v>9</v>
      </c>
      <c r="O74" s="43">
        <v>8716.5</v>
      </c>
      <c r="P74" s="44">
        <v>4023</v>
      </c>
      <c r="Q74" s="44">
        <v>4023</v>
      </c>
      <c r="R74" s="45">
        <v>0</v>
      </c>
      <c r="S74" s="46">
        <v>0</v>
      </c>
      <c r="T74" s="39">
        <f t="shared" si="19"/>
        <v>12</v>
      </c>
      <c r="U74" s="47">
        <f t="shared" si="20"/>
        <v>7.2377660930213333E-3</v>
      </c>
      <c r="V74" s="48">
        <f t="shared" si="21"/>
        <v>0</v>
      </c>
      <c r="W74" s="49">
        <f t="shared" si="22"/>
        <v>6.0314717441844448E-4</v>
      </c>
      <c r="X74" s="44">
        <f t="shared" si="23"/>
        <v>1706.6349365889159</v>
      </c>
      <c r="Y74" s="44">
        <f t="shared" si="24"/>
        <v>0</v>
      </c>
      <c r="Z74" s="44">
        <f t="shared" si="25"/>
        <v>6489.3323326482914</v>
      </c>
      <c r="AA74" s="50">
        <f t="shared" si="26"/>
        <v>5729.6349365889164</v>
      </c>
      <c r="AB74" s="51">
        <f t="shared" si="27"/>
        <v>6066.4974597067312</v>
      </c>
      <c r="AC74" s="44">
        <f t="shared" si="28"/>
        <v>5356.300772729659</v>
      </c>
      <c r="AD74" s="44">
        <f t="shared" si="29"/>
        <v>0</v>
      </c>
      <c r="AE74" s="44">
        <f t="shared" si="30"/>
        <v>0</v>
      </c>
      <c r="AF74" s="52">
        <f>HLOOKUP(I74,ElecAvoidedCostsWOCC!$A$5:$Q$50,G74+1,FALSE)</f>
        <v>0.91115730059915656</v>
      </c>
      <c r="AG74" s="44">
        <f t="shared" si="31"/>
        <v>7942.1026106725485</v>
      </c>
      <c r="AH74" s="52">
        <f>HLOOKUP(I74,ElecAvoidedCostsWOCC!$A$5:$Q$50,T74+1,FALSE)</f>
        <v>0.91115730059915656</v>
      </c>
      <c r="AI74" s="44">
        <f t="shared" si="32"/>
        <v>0</v>
      </c>
      <c r="AJ74" s="44">
        <f t="shared" si="33"/>
        <v>7942.1026106725485</v>
      </c>
      <c r="AK74" s="44">
        <f>HLOOKUP(I74,ElecAvoidedCostsWOCC!$A$5:$Q$50,G74+1,FALSE)*J74*L74</f>
        <v>0</v>
      </c>
      <c r="AL74" s="44">
        <f t="shared" si="34"/>
        <v>7942.1026106725485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7942.1026106725485</v>
      </c>
      <c r="AN74" s="48">
        <f t="shared" si="35"/>
        <v>8736.3128717398049</v>
      </c>
      <c r="AO74" s="47">
        <f t="shared" si="36"/>
        <v>1.3091743074852435</v>
      </c>
      <c r="AP74" s="47">
        <f t="shared" si="37"/>
        <v>1.6310347835989121</v>
      </c>
      <c r="AQ74">
        <v>2020</v>
      </c>
    </row>
    <row r="75" spans="2:43">
      <c r="B75" s="97" t="s">
        <v>39</v>
      </c>
      <c r="C75" s="61">
        <v>18230407</v>
      </c>
      <c r="D75" s="61" t="s">
        <v>40</v>
      </c>
      <c r="E75" s="38" t="s">
        <v>898</v>
      </c>
      <c r="F75" s="39" t="s">
        <v>899</v>
      </c>
      <c r="G75" s="39">
        <v>1</v>
      </c>
      <c r="H75" s="39">
        <v>11</v>
      </c>
      <c r="I75" s="40" t="s">
        <v>248</v>
      </c>
      <c r="J75" s="41">
        <v>5474</v>
      </c>
      <c r="K75" s="41">
        <v>40</v>
      </c>
      <c r="L75" s="41">
        <v>5</v>
      </c>
      <c r="M75" s="42">
        <v>9</v>
      </c>
      <c r="N75" s="42">
        <v>9</v>
      </c>
      <c r="O75" s="43">
        <v>218960</v>
      </c>
      <c r="P75" s="44">
        <v>47224.5</v>
      </c>
      <c r="Q75" s="44">
        <v>49266</v>
      </c>
      <c r="R75" s="45">
        <v>0.75</v>
      </c>
      <c r="S75" s="46">
        <v>0</v>
      </c>
      <c r="T75" s="39">
        <f t="shared" si="19"/>
        <v>12</v>
      </c>
      <c r="U75" s="47">
        <f t="shared" si="20"/>
        <v>0.181813946392239</v>
      </c>
      <c r="V75" s="48">
        <f t="shared" si="21"/>
        <v>0</v>
      </c>
      <c r="W75" s="49">
        <f t="shared" si="22"/>
        <v>1.515116219935325E-2</v>
      </c>
      <c r="X75" s="44">
        <f t="shared" si="23"/>
        <v>42870.967213389442</v>
      </c>
      <c r="Y75" s="44">
        <f t="shared" si="24"/>
        <v>2041.5</v>
      </c>
      <c r="Z75" s="44">
        <f t="shared" si="25"/>
        <v>163013.15981835255</v>
      </c>
      <c r="AA75" s="50">
        <f t="shared" si="26"/>
        <v>92136.967213389435</v>
      </c>
      <c r="AB75" s="51">
        <f t="shared" si="27"/>
        <v>152391.47407530385</v>
      </c>
      <c r="AC75" s="44">
        <f t="shared" si="28"/>
        <v>86133.464722248696</v>
      </c>
      <c r="AD75" s="44">
        <f t="shared" si="29"/>
        <v>32660.898393416544</v>
      </c>
      <c r="AE75" s="44">
        <f t="shared" si="30"/>
        <v>0</v>
      </c>
      <c r="AF75" s="52">
        <f>HLOOKUP(I75,ElecAvoidedCostsWOCC!$A$5:$Q$50,G75+1,FALSE)</f>
        <v>8.6279755452712409E-2</v>
      </c>
      <c r="AG75" s="44">
        <f t="shared" si="31"/>
        <v>18891.81525392591</v>
      </c>
      <c r="AH75" s="52">
        <f>HLOOKUP(I75,ElecAvoidedCostsWOCC!$A$5:$Q$50,T75+1,FALSE)</f>
        <v>0.91115730059915656</v>
      </c>
      <c r="AI75" s="44">
        <f t="shared" si="32"/>
        <v>24938.375317398913</v>
      </c>
      <c r="AJ75" s="44">
        <f t="shared" si="33"/>
        <v>43830.190571324827</v>
      </c>
      <c r="AK75" s="44">
        <f>HLOOKUP(I75,ElecAvoidedCostsWOCC!$A$5:$Q$50,G75+1,FALSE)*J75*L75</f>
        <v>2361.4769067407387</v>
      </c>
      <c r="AL75" s="44">
        <f t="shared" si="34"/>
        <v>41468.713664584087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41468.713664584087</v>
      </c>
      <c r="AN75" s="48">
        <f t="shared" si="35"/>
        <v>78276.483424459046</v>
      </c>
      <c r="AO75" s="47">
        <f t="shared" si="36"/>
        <v>0.27211964393816696</v>
      </c>
      <c r="AP75" s="47">
        <f t="shared" si="37"/>
        <v>0.90878131602942291</v>
      </c>
      <c r="AQ75">
        <v>2020</v>
      </c>
    </row>
    <row r="76" spans="2:43">
      <c r="B76" s="97" t="s">
        <v>39</v>
      </c>
      <c r="C76" s="61">
        <v>18230407</v>
      </c>
      <c r="D76" s="61" t="s">
        <v>40</v>
      </c>
      <c r="E76" s="38" t="s">
        <v>900</v>
      </c>
      <c r="F76" s="39" t="s">
        <v>901</v>
      </c>
      <c r="G76" s="39">
        <v>1</v>
      </c>
      <c r="H76" s="39">
        <v>11</v>
      </c>
      <c r="I76" s="40" t="s">
        <v>248</v>
      </c>
      <c r="J76" s="41">
        <v>3882</v>
      </c>
      <c r="K76" s="41">
        <v>75</v>
      </c>
      <c r="L76" s="41">
        <v>7</v>
      </c>
      <c r="M76" s="42">
        <v>9.1</v>
      </c>
      <c r="N76" s="42">
        <v>9.1</v>
      </c>
      <c r="O76" s="43">
        <v>291150</v>
      </c>
      <c r="P76" s="44">
        <v>34907.699999999997</v>
      </c>
      <c r="Q76" s="44">
        <v>35326.199999999997</v>
      </c>
      <c r="R76" s="45">
        <v>0.89</v>
      </c>
      <c r="S76" s="46">
        <v>0</v>
      </c>
      <c r="T76" s="39">
        <f t="shared" si="19"/>
        <v>12</v>
      </c>
      <c r="U76" s="47">
        <f t="shared" si="20"/>
        <v>0.24175708116596817</v>
      </c>
      <c r="V76" s="48">
        <f t="shared" si="21"/>
        <v>0</v>
      </c>
      <c r="W76" s="49">
        <f t="shared" si="22"/>
        <v>2.0146423430497346E-2</v>
      </c>
      <c r="X76" s="44">
        <f t="shared" si="23"/>
        <v>57005.307381157909</v>
      </c>
      <c r="Y76" s="44">
        <f t="shared" si="24"/>
        <v>418.5</v>
      </c>
      <c r="Z76" s="44">
        <f t="shared" si="25"/>
        <v>216757.7707394654</v>
      </c>
      <c r="AA76" s="50">
        <f t="shared" si="26"/>
        <v>92331.507381157906</v>
      </c>
      <c r="AB76" s="51">
        <f t="shared" si="27"/>
        <v>202634.16914972925</v>
      </c>
      <c r="AC76" s="44">
        <f t="shared" si="28"/>
        <v>86315.328953125078</v>
      </c>
      <c r="AD76" s="44">
        <f t="shared" si="29"/>
        <v>27485.751000191518</v>
      </c>
      <c r="AE76" s="44">
        <f t="shared" si="30"/>
        <v>0</v>
      </c>
      <c r="AF76" s="52">
        <f>HLOOKUP(I76,ElecAvoidedCostsWOCC!$A$5:$Q$50,G76+1,FALSE)</f>
        <v>8.6279755452712409E-2</v>
      </c>
      <c r="AG76" s="44">
        <f t="shared" si="31"/>
        <v>25120.350800057218</v>
      </c>
      <c r="AH76" s="52">
        <f>HLOOKUP(I76,ElecAvoidedCostsWOCC!$A$5:$Q$50,T76+1,FALSE)</f>
        <v>0.91115730059915656</v>
      </c>
      <c r="AI76" s="44">
        <f t="shared" si="32"/>
        <v>24759.788486481481</v>
      </c>
      <c r="AJ76" s="44">
        <f t="shared" si="33"/>
        <v>49880.139286538702</v>
      </c>
      <c r="AK76" s="44">
        <f>HLOOKUP(I76,ElecAvoidedCostsWOCC!$A$5:$Q$50,G76+1,FALSE)*J76*L76</f>
        <v>2344.5660746720068</v>
      </c>
      <c r="AL76" s="44">
        <f t="shared" si="34"/>
        <v>47535.573211866693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47535.573211866693</v>
      </c>
      <c r="AN76" s="48">
        <f t="shared" si="35"/>
        <v>79774.881533244887</v>
      </c>
      <c r="AO76" s="47">
        <f t="shared" si="36"/>
        <v>0.23458814182884422</v>
      </c>
      <c r="AP76" s="47">
        <f t="shared" si="37"/>
        <v>0.92422611951775002</v>
      </c>
      <c r="AQ76">
        <v>2020</v>
      </c>
    </row>
    <row r="77" spans="2:43">
      <c r="B77" s="97" t="s">
        <v>39</v>
      </c>
      <c r="C77" s="61">
        <v>18230407</v>
      </c>
      <c r="D77" s="61" t="s">
        <v>40</v>
      </c>
      <c r="E77" s="38" t="s">
        <v>902</v>
      </c>
      <c r="F77" s="39" t="s">
        <v>903</v>
      </c>
      <c r="G77" s="39">
        <v>1</v>
      </c>
      <c r="H77" s="39">
        <v>11</v>
      </c>
      <c r="I77" s="40" t="s">
        <v>248</v>
      </c>
      <c r="J77" s="41">
        <v>1098</v>
      </c>
      <c r="K77" s="41">
        <v>75</v>
      </c>
      <c r="L77" s="41">
        <v>7</v>
      </c>
      <c r="M77" s="42">
        <v>6.75</v>
      </c>
      <c r="N77" s="42">
        <v>6.75</v>
      </c>
      <c r="O77" s="43">
        <v>82350</v>
      </c>
      <c r="P77" s="44">
        <v>7249.5</v>
      </c>
      <c r="Q77" s="44">
        <v>7411.5</v>
      </c>
      <c r="R77" s="45">
        <v>0.89</v>
      </c>
      <c r="S77" s="46">
        <v>0</v>
      </c>
      <c r="T77" s="39">
        <f t="shared" si="19"/>
        <v>12</v>
      </c>
      <c r="U77" s="47">
        <f t="shared" si="20"/>
        <v>6.8379514456525764E-2</v>
      </c>
      <c r="V77" s="48">
        <f t="shared" si="21"/>
        <v>0</v>
      </c>
      <c r="W77" s="49">
        <f t="shared" si="22"/>
        <v>5.6982928713771473E-3</v>
      </c>
      <c r="X77" s="44">
        <f t="shared" si="23"/>
        <v>16123.60316963199</v>
      </c>
      <c r="Y77" s="44">
        <f t="shared" si="24"/>
        <v>162</v>
      </c>
      <c r="Z77" s="44">
        <f t="shared" si="25"/>
        <v>61308.612125691136</v>
      </c>
      <c r="AA77" s="50">
        <f t="shared" si="26"/>
        <v>23535.103169631991</v>
      </c>
      <c r="AB77" s="51">
        <f t="shared" si="27"/>
        <v>57313.837642040882</v>
      </c>
      <c r="AC77" s="44">
        <f t="shared" si="28"/>
        <v>22001.592193729073</v>
      </c>
      <c r="AD77" s="44">
        <f t="shared" si="29"/>
        <v>7774.1768671329955</v>
      </c>
      <c r="AE77" s="44">
        <f t="shared" si="30"/>
        <v>0</v>
      </c>
      <c r="AF77" s="52">
        <f>HLOOKUP(I77,ElecAvoidedCostsWOCC!$A$5:$Q$50,G77+1,FALSE)</f>
        <v>8.6279755452712409E-2</v>
      </c>
      <c r="AG77" s="44">
        <f t="shared" si="31"/>
        <v>7105.1378615308668</v>
      </c>
      <c r="AH77" s="52">
        <f>HLOOKUP(I77,ElecAvoidedCostsWOCC!$A$5:$Q$50,T77+1,FALSE)</f>
        <v>0.91115730059915656</v>
      </c>
      <c r="AI77" s="44">
        <f t="shared" si="32"/>
        <v>7003.1550124051173</v>
      </c>
      <c r="AJ77" s="44">
        <f t="shared" si="33"/>
        <v>14108.292873935985</v>
      </c>
      <c r="AK77" s="44">
        <f>HLOOKUP(I77,ElecAvoidedCostsWOCC!$A$5:$Q$50,G77+1,FALSE)*J77*L77</f>
        <v>663.14620040954753</v>
      </c>
      <c r="AL77" s="44">
        <f t="shared" si="34"/>
        <v>13445.146673526437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13445.146673526437</v>
      </c>
      <c r="AN77" s="48">
        <f t="shared" si="35"/>
        <v>22563.838208012079</v>
      </c>
      <c r="AO77" s="47">
        <f t="shared" si="36"/>
        <v>0.23458814182884422</v>
      </c>
      <c r="AP77" s="47">
        <f t="shared" si="37"/>
        <v>1.0255547875504782</v>
      </c>
      <c r="AQ77">
        <v>2020</v>
      </c>
    </row>
    <row r="78" spans="2:43">
      <c r="B78" s="97" t="s">
        <v>39</v>
      </c>
      <c r="C78" s="61">
        <v>18230407</v>
      </c>
      <c r="D78" s="61" t="s">
        <v>40</v>
      </c>
      <c r="E78" s="38" t="s">
        <v>2052</v>
      </c>
      <c r="F78" s="39" t="s">
        <v>2053</v>
      </c>
      <c r="G78" s="39">
        <v>3</v>
      </c>
      <c r="H78" s="39">
        <v>7</v>
      </c>
      <c r="I78" s="40" t="s">
        <v>265</v>
      </c>
      <c r="J78" s="41">
        <v>214</v>
      </c>
      <c r="K78" s="41">
        <v>243</v>
      </c>
      <c r="L78" s="41">
        <v>135</v>
      </c>
      <c r="M78" s="42">
        <v>18.059999999999999</v>
      </c>
      <c r="N78" s="42">
        <v>18.059999999999999</v>
      </c>
      <c r="O78" s="43">
        <v>52002</v>
      </c>
      <c r="P78" s="44">
        <v>3864.84</v>
      </c>
      <c r="Q78" s="44">
        <v>3864.84</v>
      </c>
      <c r="R78" s="45">
        <v>20.34</v>
      </c>
      <c r="S78" s="46">
        <v>0</v>
      </c>
      <c r="T78" s="39">
        <f t="shared" si="19"/>
        <v>10</v>
      </c>
      <c r="U78" s="47">
        <f t="shared" si="20"/>
        <v>3.5983318263188145E-2</v>
      </c>
      <c r="V78" s="48">
        <f t="shared" si="21"/>
        <v>0</v>
      </c>
      <c r="W78" s="49">
        <f t="shared" si="22"/>
        <v>3.5983318263188148E-3</v>
      </c>
      <c r="X78" s="44">
        <f t="shared" si="23"/>
        <v>10181.658919577445</v>
      </c>
      <c r="Y78" s="44">
        <f t="shared" si="24"/>
        <v>0</v>
      </c>
      <c r="Z78" s="44">
        <f t="shared" si="25"/>
        <v>38714.880968551188</v>
      </c>
      <c r="AA78" s="50">
        <f t="shared" si="26"/>
        <v>14046.498919577445</v>
      </c>
      <c r="AB78" s="51">
        <f t="shared" si="27"/>
        <v>36192.279114285484</v>
      </c>
      <c r="AC78" s="44">
        <f t="shared" si="28"/>
        <v>13131.250742804004</v>
      </c>
      <c r="AD78" s="44">
        <f t="shared" si="29"/>
        <v>30614.405493744864</v>
      </c>
      <c r="AE78" s="44">
        <f t="shared" si="30"/>
        <v>0</v>
      </c>
      <c r="AF78" s="52">
        <f>HLOOKUP(I78,ElecAvoidedCostsWOCC!$A$5:$Q$50,G78+1,FALSE)</f>
        <v>0.2337612554483032</v>
      </c>
      <c r="AG78" s="44">
        <f t="shared" si="31"/>
        <v>12156.052805822663</v>
      </c>
      <c r="AH78" s="52">
        <f>HLOOKUP(I78,ElecAvoidedCostsWOCC!$A$5:$Q$50,T78+1,FALSE)</f>
        <v>0.74487332198138856</v>
      </c>
      <c r="AI78" s="44">
        <f t="shared" si="32"/>
        <v>21519.390272042314</v>
      </c>
      <c r="AJ78" s="44">
        <f t="shared" si="33"/>
        <v>33675.443077864977</v>
      </c>
      <c r="AK78" s="44">
        <f>HLOOKUP(I78,ElecAvoidedCostsWOCC!$A$5:$Q$50,G78+1,FALSE)*J78*L78</f>
        <v>6753.3626699014794</v>
      </c>
      <c r="AL78" s="44">
        <f t="shared" si="34"/>
        <v>26922.080407963498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26922.080407963505</v>
      </c>
      <c r="AN78" s="48">
        <f t="shared" si="35"/>
        <v>60228.693942504717</v>
      </c>
      <c r="AO78" s="47">
        <f t="shared" si="36"/>
        <v>0.743862532750447</v>
      </c>
      <c r="AP78" s="47">
        <f t="shared" si="37"/>
        <v>4.5866684843795529</v>
      </c>
      <c r="AQ78">
        <v>2020</v>
      </c>
    </row>
    <row r="79" spans="2:43">
      <c r="B79" s="97" t="s">
        <v>39</v>
      </c>
      <c r="C79" s="61">
        <v>18230407</v>
      </c>
      <c r="D79" s="61" t="s">
        <v>40</v>
      </c>
      <c r="E79" s="38" t="s">
        <v>2054</v>
      </c>
      <c r="F79" s="39" t="s">
        <v>2053</v>
      </c>
      <c r="G79" s="39">
        <v>3</v>
      </c>
      <c r="H79" s="39">
        <v>7</v>
      </c>
      <c r="I79" s="40" t="s">
        <v>265</v>
      </c>
      <c r="J79" s="41">
        <v>73</v>
      </c>
      <c r="K79" s="41">
        <v>227</v>
      </c>
      <c r="L79" s="41">
        <v>150</v>
      </c>
      <c r="M79" s="42">
        <v>18.059999999999999</v>
      </c>
      <c r="N79" s="42">
        <v>18.059999999999999</v>
      </c>
      <c r="O79" s="43">
        <v>16571</v>
      </c>
      <c r="P79" s="44">
        <v>1318.38</v>
      </c>
      <c r="Q79" s="44">
        <v>1318.38</v>
      </c>
      <c r="R79" s="45">
        <v>14.24</v>
      </c>
      <c r="S79" s="46">
        <v>0</v>
      </c>
      <c r="T79" s="39">
        <f t="shared" si="19"/>
        <v>10</v>
      </c>
      <c r="U79" s="47">
        <f t="shared" si="20"/>
        <v>1.1466473730612109E-2</v>
      </c>
      <c r="V79" s="48">
        <f t="shared" si="21"/>
        <v>0</v>
      </c>
      <c r="W79" s="49">
        <f t="shared" si="22"/>
        <v>1.1466473730612108E-3</v>
      </c>
      <c r="X79" s="44">
        <f t="shared" si="23"/>
        <v>3244.4957877835059</v>
      </c>
      <c r="Y79" s="44">
        <f t="shared" si="24"/>
        <v>0</v>
      </c>
      <c r="Z79" s="44">
        <f t="shared" si="25"/>
        <v>12336.915744199488</v>
      </c>
      <c r="AA79" s="50">
        <f t="shared" si="26"/>
        <v>4562.875787783506</v>
      </c>
      <c r="AB79" s="51">
        <f t="shared" si="27"/>
        <v>11533.061366924827</v>
      </c>
      <c r="AC79" s="44">
        <f t="shared" si="28"/>
        <v>4265.5658481663131</v>
      </c>
      <c r="AD79" s="44">
        <f t="shared" si="29"/>
        <v>7311.2891128519968</v>
      </c>
      <c r="AE79" s="44">
        <f t="shared" si="30"/>
        <v>0</v>
      </c>
      <c r="AF79" s="52">
        <f>HLOOKUP(I79,ElecAvoidedCostsWOCC!$A$5:$Q$50,G79+1,FALSE)</f>
        <v>0.2337612554483032</v>
      </c>
      <c r="AG79" s="44">
        <f t="shared" si="31"/>
        <v>3873.6577640338323</v>
      </c>
      <c r="AH79" s="52">
        <f>HLOOKUP(I79,ElecAvoidedCostsWOCC!$A$5:$Q$50,T79+1,FALSE)</f>
        <v>0.74487332198138856</v>
      </c>
      <c r="AI79" s="44">
        <f t="shared" si="32"/>
        <v>8156.3628756962044</v>
      </c>
      <c r="AJ79" s="44">
        <f t="shared" si="33"/>
        <v>12030.020639730037</v>
      </c>
      <c r="AK79" s="44">
        <f>HLOOKUP(I79,ElecAvoidedCostsWOCC!$A$5:$Q$50,G79+1,FALSE)*J79*L79</f>
        <v>2559.6857471589201</v>
      </c>
      <c r="AL79" s="44">
        <f t="shared" si="34"/>
        <v>9470.334892571118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9470.334892571118</v>
      </c>
      <c r="AN79" s="48">
        <f t="shared" si="35"/>
        <v>17728.657494680228</v>
      </c>
      <c r="AO79" s="47">
        <f t="shared" si="36"/>
        <v>0.82114666620353605</v>
      </c>
      <c r="AP79" s="47">
        <f t="shared" si="37"/>
        <v>4.156226424754748</v>
      </c>
      <c r="AQ79">
        <v>2020</v>
      </c>
    </row>
    <row r="80" spans="2:43">
      <c r="B80" s="97" t="s">
        <v>39</v>
      </c>
      <c r="C80" s="61">
        <v>18230407</v>
      </c>
      <c r="D80" s="61" t="s">
        <v>40</v>
      </c>
      <c r="E80" s="38" t="s">
        <v>2058</v>
      </c>
      <c r="F80" s="39" t="s">
        <v>2059</v>
      </c>
      <c r="G80" s="39">
        <v>10</v>
      </c>
      <c r="H80" s="39"/>
      <c r="I80" s="40" t="s">
        <v>265</v>
      </c>
      <c r="J80" s="41">
        <v>317</v>
      </c>
      <c r="K80" s="41">
        <v>325</v>
      </c>
      <c r="L80" s="41"/>
      <c r="M80" s="42">
        <v>40.4</v>
      </c>
      <c r="N80" s="42">
        <v>40.4</v>
      </c>
      <c r="O80" s="43">
        <v>103025</v>
      </c>
      <c r="P80" s="44">
        <v>12806.8</v>
      </c>
      <c r="Q80" s="44">
        <v>12806.8</v>
      </c>
      <c r="R80" s="45">
        <v>24.9</v>
      </c>
      <c r="S80" s="46">
        <v>0</v>
      </c>
      <c r="T80" s="39">
        <f t="shared" si="19"/>
        <v>10</v>
      </c>
      <c r="U80" s="47">
        <f t="shared" si="20"/>
        <v>7.1289207416348588E-2</v>
      </c>
      <c r="V80" s="48">
        <f t="shared" si="21"/>
        <v>0</v>
      </c>
      <c r="W80" s="49">
        <f t="shared" si="22"/>
        <v>7.1289207416348581E-3</v>
      </c>
      <c r="X80" s="44">
        <f t="shared" si="23"/>
        <v>20171.635902262726</v>
      </c>
      <c r="Y80" s="44">
        <f t="shared" si="24"/>
        <v>0</v>
      </c>
      <c r="Z80" s="44">
        <f t="shared" si="25"/>
        <v>76700.907884023429</v>
      </c>
      <c r="AA80" s="50">
        <f t="shared" si="26"/>
        <v>32978.435902262725</v>
      </c>
      <c r="AB80" s="51">
        <f t="shared" si="27"/>
        <v>71703.195179978895</v>
      </c>
      <c r="AC80" s="44">
        <f t="shared" si="28"/>
        <v>30829.611949390222</v>
      </c>
      <c r="AD80" s="44">
        <f t="shared" si="29"/>
        <v>55516.198201549436</v>
      </c>
      <c r="AE80" s="44">
        <f t="shared" si="30"/>
        <v>0</v>
      </c>
      <c r="AF80" s="52">
        <f>HLOOKUP(I80,ElecAvoidedCostsWOCC!$A$5:$Q$50,G80+1,FALSE)</f>
        <v>0.74487332198138856</v>
      </c>
      <c r="AG80" s="44">
        <f t="shared" si="31"/>
        <v>76740.573997132553</v>
      </c>
      <c r="AH80" s="52">
        <f>HLOOKUP(I80,ElecAvoidedCostsWOCC!$A$5:$Q$50,T80+1,FALSE)</f>
        <v>0.74487332198138856</v>
      </c>
      <c r="AI80" s="44">
        <f t="shared" si="32"/>
        <v>0</v>
      </c>
      <c r="AJ80" s="44">
        <f t="shared" si="33"/>
        <v>76740.573997132553</v>
      </c>
      <c r="AK80" s="44">
        <f>HLOOKUP(I80,ElecAvoidedCostsWOCC!$A$5:$Q$50,G80+1,FALSE)*J80*L80</f>
        <v>0</v>
      </c>
      <c r="AL80" s="44">
        <f t="shared" si="34"/>
        <v>76740.573997132553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76740.573997132553</v>
      </c>
      <c r="AN80" s="48">
        <f t="shared" si="35"/>
        <v>139930.82959839524</v>
      </c>
      <c r="AO80" s="47">
        <f t="shared" si="36"/>
        <v>1.0702531986825632</v>
      </c>
      <c r="AP80" s="47">
        <f t="shared" si="37"/>
        <v>4.5388449854025144</v>
      </c>
      <c r="AQ80">
        <v>2020</v>
      </c>
    </row>
    <row r="81" spans="2:43">
      <c r="B81" s="97" t="s">
        <v>39</v>
      </c>
      <c r="C81" s="61">
        <v>18230407</v>
      </c>
      <c r="D81" s="61" t="s">
        <v>40</v>
      </c>
      <c r="E81" s="38" t="s">
        <v>2060</v>
      </c>
      <c r="F81" s="39" t="s">
        <v>2059</v>
      </c>
      <c r="G81" s="39">
        <v>10</v>
      </c>
      <c r="H81" s="39"/>
      <c r="I81" s="40" t="s">
        <v>265</v>
      </c>
      <c r="J81" s="41">
        <v>1084</v>
      </c>
      <c r="K81" s="41">
        <v>273</v>
      </c>
      <c r="L81" s="41"/>
      <c r="M81" s="42">
        <v>40.4</v>
      </c>
      <c r="N81" s="42">
        <v>40.4</v>
      </c>
      <c r="O81" s="43">
        <v>295932</v>
      </c>
      <c r="P81" s="44">
        <v>43793.599999999999</v>
      </c>
      <c r="Q81" s="44">
        <v>43793.599999999999</v>
      </c>
      <c r="R81" s="45">
        <v>21.41</v>
      </c>
      <c r="S81" s="46">
        <v>0</v>
      </c>
      <c r="T81" s="39">
        <f t="shared" ref="T81:T133" si="38">G81+H81</f>
        <v>10</v>
      </c>
      <c r="U81" s="47">
        <f t="shared" ref="U81:U133" si="39">(O81/$A$10)*T81</f>
        <v>0.20477318834394437</v>
      </c>
      <c r="V81" s="48">
        <f t="shared" ref="V81:V133" si="40">N81-M81</f>
        <v>0</v>
      </c>
      <c r="W81" s="49">
        <f t="shared" ref="W81:W133" si="41">(O81/A$10)</f>
        <v>2.0477318834394437E-2</v>
      </c>
      <c r="X81" s="44">
        <f t="shared" ref="X81:X133" si="42">W81*A$8</f>
        <v>57941.592388531069</v>
      </c>
      <c r="Y81" s="44">
        <f t="shared" ref="Y81:Y133" si="43">Q81-P81</f>
        <v>0</v>
      </c>
      <c r="Z81" s="44">
        <f t="shared" ref="Z81:Z133" si="44">X81+(A$6*W81)</f>
        <v>220317.91382610842</v>
      </c>
      <c r="AA81" s="50">
        <f t="shared" ref="AA81:AA133" si="45">Q81+X81</f>
        <v>101735.19238853107</v>
      </c>
      <c r="AB81" s="51">
        <f t="shared" ref="AB81:AB133" si="46">Z81/(1+ElecDiscountRate)^1</f>
        <v>205962.33881098288</v>
      </c>
      <c r="AC81" s="44">
        <f t="shared" ref="AC81:AC133" si="47">AA81/(1+ElecDiscountRate)^1</f>
        <v>95106.284368076158</v>
      </c>
      <c r="AD81" s="44">
        <f t="shared" ref="AD81:AD133" si="48">-PV(ElecDiscountRate,T81,R81)*J81</f>
        <v>163232.65997602625</v>
      </c>
      <c r="AE81" s="44">
        <f t="shared" ref="AE81:AE133" si="49">-PV(ElecDiscountRate,T81,S81)*J81</f>
        <v>0</v>
      </c>
      <c r="AF81" s="52">
        <f>HLOOKUP(I81,ElecAvoidedCostsWOCC!$A$5:$Q$50,G81+1,FALSE)</f>
        <v>0.74487332198138856</v>
      </c>
      <c r="AG81" s="44">
        <f t="shared" ref="AG81:AG133" si="50">AF81*J81*K81</f>
        <v>220431.85192059627</v>
      </c>
      <c r="AH81" s="52">
        <f>HLOOKUP(I81,ElecAvoidedCostsWOCC!$A$5:$Q$50,T81+1,FALSE)</f>
        <v>0.74487332198138856</v>
      </c>
      <c r="AI81" s="44">
        <f t="shared" ref="AI81:AI133" si="51">AH81*J81*L81</f>
        <v>0</v>
      </c>
      <c r="AJ81" s="44">
        <f t="shared" ref="AJ81:AJ133" si="52">AG81+AI81</f>
        <v>220431.85192059627</v>
      </c>
      <c r="AK81" s="44">
        <f>HLOOKUP(I81,ElecAvoidedCostsWOCC!$A$5:$Q$50,G81+1,FALSE)*J81*L81</f>
        <v>0</v>
      </c>
      <c r="AL81" s="44">
        <f t="shared" ref="AL81:AL133" si="53">AG81+AI81-AK81</f>
        <v>220431.85192059627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220431.85192059627</v>
      </c>
      <c r="AN81" s="48">
        <f t="shared" ref="AN81:AN133" si="54">AM81*1.1+AD81+AE81</f>
        <v>405707.69708868215</v>
      </c>
      <c r="AO81" s="47">
        <f t="shared" ref="AO81:AO133" si="55">IFERROR(AM81/AB81,0)</f>
        <v>1.0702531986825632</v>
      </c>
      <c r="AP81" s="47">
        <f t="shared" ref="AP81:AP133" si="56">AN81/AC81</f>
        <v>4.2658347950859907</v>
      </c>
      <c r="AQ81">
        <v>2020</v>
      </c>
    </row>
    <row r="82" spans="2:43">
      <c r="B82" s="97" t="s">
        <v>39</v>
      </c>
      <c r="C82" s="61">
        <v>18230407</v>
      </c>
      <c r="D82" s="61" t="s">
        <v>40</v>
      </c>
      <c r="E82" s="38" t="s">
        <v>2061</v>
      </c>
      <c r="F82" s="39" t="s">
        <v>2062</v>
      </c>
      <c r="G82" s="39">
        <v>10</v>
      </c>
      <c r="H82" s="39"/>
      <c r="I82" s="40" t="s">
        <v>265</v>
      </c>
      <c r="J82" s="41">
        <v>30</v>
      </c>
      <c r="K82" s="41">
        <v>54</v>
      </c>
      <c r="L82" s="41"/>
      <c r="M82" s="42">
        <v>33</v>
      </c>
      <c r="N82" s="42">
        <v>33</v>
      </c>
      <c r="O82" s="43">
        <v>1620</v>
      </c>
      <c r="P82" s="44">
        <v>990</v>
      </c>
      <c r="Q82" s="44">
        <v>990</v>
      </c>
      <c r="R82" s="45">
        <v>3.74</v>
      </c>
      <c r="S82" s="46">
        <v>0</v>
      </c>
      <c r="T82" s="39">
        <f t="shared" si="38"/>
        <v>10</v>
      </c>
      <c r="U82" s="47">
        <f t="shared" si="39"/>
        <v>1.1209756468282912E-3</v>
      </c>
      <c r="V82" s="48">
        <f t="shared" si="40"/>
        <v>0</v>
      </c>
      <c r="W82" s="49">
        <f t="shared" si="41"/>
        <v>1.1209756468282912E-4</v>
      </c>
      <c r="X82" s="44">
        <f t="shared" si="42"/>
        <v>317.18563612390795</v>
      </c>
      <c r="Y82" s="44">
        <f t="shared" si="43"/>
        <v>0</v>
      </c>
      <c r="Z82" s="44">
        <f t="shared" si="44"/>
        <v>1206.0710582103175</v>
      </c>
      <c r="AA82" s="50">
        <f t="shared" si="45"/>
        <v>1307.1856361239079</v>
      </c>
      <c r="AB82" s="51">
        <f t="shared" si="46"/>
        <v>1127.4853306630994</v>
      </c>
      <c r="AC82" s="44">
        <f t="shared" si="47"/>
        <v>1222.0114388369709</v>
      </c>
      <c r="AD82" s="44">
        <f t="shared" si="48"/>
        <v>789.13983228989741</v>
      </c>
      <c r="AE82" s="44">
        <f t="shared" si="49"/>
        <v>0</v>
      </c>
      <c r="AF82" s="52">
        <f>HLOOKUP(I82,ElecAvoidedCostsWOCC!$A$5:$Q$50,G82+1,FALSE)</f>
        <v>0.74487332198138856</v>
      </c>
      <c r="AG82" s="44">
        <f t="shared" si="50"/>
        <v>1206.6947816098493</v>
      </c>
      <c r="AH82" s="52">
        <f>HLOOKUP(I82,ElecAvoidedCostsWOCC!$A$5:$Q$50,T82+1,FALSE)</f>
        <v>0.74487332198138856</v>
      </c>
      <c r="AI82" s="44">
        <f t="shared" si="51"/>
        <v>0</v>
      </c>
      <c r="AJ82" s="44">
        <f t="shared" si="52"/>
        <v>1206.6947816098493</v>
      </c>
      <c r="AK82" s="44">
        <f>HLOOKUP(I82,ElecAvoidedCostsWOCC!$A$5:$Q$50,G82+1,FALSE)*J82*L82</f>
        <v>0</v>
      </c>
      <c r="AL82" s="44">
        <f t="shared" si="53"/>
        <v>1206.6947816098493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1206.6947816098493</v>
      </c>
      <c r="AN82" s="48">
        <f t="shared" si="54"/>
        <v>2116.5040920607316</v>
      </c>
      <c r="AO82" s="47">
        <f t="shared" si="55"/>
        <v>1.070253198682563</v>
      </c>
      <c r="AP82" s="47">
        <f t="shared" si="56"/>
        <v>1.7319838626675044</v>
      </c>
      <c r="AQ82">
        <v>2020</v>
      </c>
    </row>
    <row r="83" spans="2:43">
      <c r="B83" s="97" t="s">
        <v>39</v>
      </c>
      <c r="C83" s="61">
        <v>18230407</v>
      </c>
      <c r="D83" s="61" t="s">
        <v>40</v>
      </c>
      <c r="E83" s="38" t="s">
        <v>2065</v>
      </c>
      <c r="F83" s="39" t="s">
        <v>2066</v>
      </c>
      <c r="G83" s="39">
        <v>15</v>
      </c>
      <c r="H83" s="39"/>
      <c r="I83" s="40" t="s">
        <v>265</v>
      </c>
      <c r="J83" s="41">
        <v>90</v>
      </c>
      <c r="K83" s="41">
        <v>20</v>
      </c>
      <c r="L83" s="41"/>
      <c r="M83" s="42">
        <v>4.5</v>
      </c>
      <c r="N83" s="42">
        <v>4.5</v>
      </c>
      <c r="O83" s="43">
        <v>1800</v>
      </c>
      <c r="P83" s="44">
        <v>405</v>
      </c>
      <c r="Q83" s="44">
        <v>405</v>
      </c>
      <c r="R83" s="45">
        <v>0</v>
      </c>
      <c r="S83" s="46"/>
      <c r="T83" s="39">
        <f t="shared" si="38"/>
        <v>15</v>
      </c>
      <c r="U83" s="47">
        <f t="shared" si="39"/>
        <v>1.8682927447138185E-3</v>
      </c>
      <c r="V83" s="48">
        <f t="shared" si="40"/>
        <v>0</v>
      </c>
      <c r="W83" s="49">
        <f t="shared" si="41"/>
        <v>1.245528496475879E-4</v>
      </c>
      <c r="X83" s="44">
        <f t="shared" si="42"/>
        <v>352.42848458211995</v>
      </c>
      <c r="Y83" s="44">
        <f t="shared" si="43"/>
        <v>0</v>
      </c>
      <c r="Z83" s="44">
        <f t="shared" si="44"/>
        <v>1340.0789535670192</v>
      </c>
      <c r="AA83" s="50">
        <f t="shared" si="45"/>
        <v>757.42848458211995</v>
      </c>
      <c r="AB83" s="51">
        <f t="shared" si="46"/>
        <v>1252.7614785145547</v>
      </c>
      <c r="AC83" s="44">
        <f t="shared" si="47"/>
        <v>708.0756142676637</v>
      </c>
      <c r="AD83" s="44">
        <f t="shared" si="48"/>
        <v>0</v>
      </c>
      <c r="AE83" s="44">
        <f t="shared" si="49"/>
        <v>0</v>
      </c>
      <c r="AF83" s="52">
        <f>HLOOKUP(I83,ElecAvoidedCostsWOCC!$A$5:$Q$50,G83+1,FALSE)</f>
        <v>1.0786528141421943</v>
      </c>
      <c r="AG83" s="44">
        <f t="shared" si="50"/>
        <v>1941.5750654559497</v>
      </c>
      <c r="AH83" s="52">
        <f>HLOOKUP(I83,ElecAvoidedCostsWOCC!$A$5:$Q$50,T83+1,FALSE)</f>
        <v>1.0786528141421943</v>
      </c>
      <c r="AI83" s="44">
        <f t="shared" si="51"/>
        <v>0</v>
      </c>
      <c r="AJ83" s="44">
        <f t="shared" si="52"/>
        <v>1941.5750654559497</v>
      </c>
      <c r="AK83" s="44">
        <f>HLOOKUP(I83,ElecAvoidedCostsWOCC!$A$5:$Q$50,G83+1,FALSE)*J83*L83</f>
        <v>0</v>
      </c>
      <c r="AL83" s="44">
        <f t="shared" si="53"/>
        <v>1941.5750654559497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1941.5750654559497</v>
      </c>
      <c r="AN83" s="48">
        <f t="shared" si="54"/>
        <v>2135.7325720015447</v>
      </c>
      <c r="AO83" s="47">
        <f t="shared" si="55"/>
        <v>1.549836180913023</v>
      </c>
      <c r="AP83" s="47">
        <f t="shared" si="56"/>
        <v>3.0162492945198425</v>
      </c>
      <c r="AQ83">
        <v>2020</v>
      </c>
    </row>
    <row r="84" spans="2:43">
      <c r="B84" s="97" t="s">
        <v>39</v>
      </c>
      <c r="C84" s="61">
        <v>18230407</v>
      </c>
      <c r="D84" s="61" t="s">
        <v>40</v>
      </c>
      <c r="E84" s="38" t="s">
        <v>2067</v>
      </c>
      <c r="F84" s="39" t="s">
        <v>2066</v>
      </c>
      <c r="G84" s="39">
        <v>15</v>
      </c>
      <c r="H84" s="39"/>
      <c r="I84" s="40" t="s">
        <v>265</v>
      </c>
      <c r="J84" s="41">
        <v>199</v>
      </c>
      <c r="K84" s="41">
        <v>21</v>
      </c>
      <c r="L84" s="41"/>
      <c r="M84" s="42">
        <v>4.5</v>
      </c>
      <c r="N84" s="42">
        <v>4.5</v>
      </c>
      <c r="O84" s="43">
        <v>4179</v>
      </c>
      <c r="P84" s="44">
        <v>895.5</v>
      </c>
      <c r="Q84" s="44">
        <v>895.5</v>
      </c>
      <c r="R84" s="45">
        <v>0</v>
      </c>
      <c r="S84" s="46">
        <v>0</v>
      </c>
      <c r="T84" s="39">
        <f t="shared" si="38"/>
        <v>15</v>
      </c>
      <c r="U84" s="47">
        <f t="shared" si="39"/>
        <v>4.3375529889772496E-3</v>
      </c>
      <c r="V84" s="48">
        <f t="shared" si="40"/>
        <v>0</v>
      </c>
      <c r="W84" s="49">
        <f t="shared" si="41"/>
        <v>2.8917019926514995E-4</v>
      </c>
      <c r="X84" s="44">
        <f t="shared" si="42"/>
        <v>818.2214650381552</v>
      </c>
      <c r="Y84" s="44">
        <f t="shared" si="43"/>
        <v>0</v>
      </c>
      <c r="Z84" s="44">
        <f t="shared" si="44"/>
        <v>3111.2166371980966</v>
      </c>
      <c r="AA84" s="50">
        <f t="shared" si="45"/>
        <v>1713.7214650381552</v>
      </c>
      <c r="AB84" s="51">
        <f t="shared" si="46"/>
        <v>2908.4945659512914</v>
      </c>
      <c r="AC84" s="44">
        <f t="shared" si="47"/>
        <v>1602.0580209761195</v>
      </c>
      <c r="AD84" s="44">
        <f t="shared" si="48"/>
        <v>0</v>
      </c>
      <c r="AE84" s="44">
        <f t="shared" si="49"/>
        <v>0</v>
      </c>
      <c r="AF84" s="52">
        <f>HLOOKUP(I84,ElecAvoidedCostsWOCC!$A$5:$Q$50,G84+1,FALSE)</f>
        <v>1.0786528141421943</v>
      </c>
      <c r="AG84" s="44">
        <f t="shared" si="50"/>
        <v>4507.6901103002292</v>
      </c>
      <c r="AH84" s="52">
        <f>HLOOKUP(I84,ElecAvoidedCostsWOCC!$A$5:$Q$50,T84+1,FALSE)</f>
        <v>1.0786528141421943</v>
      </c>
      <c r="AI84" s="44">
        <f t="shared" si="51"/>
        <v>0</v>
      </c>
      <c r="AJ84" s="44">
        <f t="shared" si="52"/>
        <v>4507.6901103002292</v>
      </c>
      <c r="AK84" s="44">
        <f>HLOOKUP(I84,ElecAvoidedCostsWOCC!$A$5:$Q$50,G84+1,FALSE)*J84*L84</f>
        <v>0</v>
      </c>
      <c r="AL84" s="44">
        <f t="shared" si="53"/>
        <v>4507.6901103002292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4507.6901103002292</v>
      </c>
      <c r="AN84" s="48">
        <f t="shared" si="54"/>
        <v>4958.4591213302529</v>
      </c>
      <c r="AO84" s="47">
        <f t="shared" si="55"/>
        <v>1.5498361809130228</v>
      </c>
      <c r="AP84" s="47">
        <f t="shared" si="56"/>
        <v>3.0950558946105513</v>
      </c>
      <c r="AQ84">
        <v>2020</v>
      </c>
    </row>
    <row r="85" spans="2:43">
      <c r="B85" s="97" t="s">
        <v>39</v>
      </c>
      <c r="C85" s="61">
        <v>18230407</v>
      </c>
      <c r="D85" s="61" t="s">
        <v>40</v>
      </c>
      <c r="E85" s="38" t="s">
        <v>2068</v>
      </c>
      <c r="F85" s="39" t="s">
        <v>2069</v>
      </c>
      <c r="G85" s="39">
        <v>45</v>
      </c>
      <c r="H85" s="39"/>
      <c r="I85" s="40" t="s">
        <v>267</v>
      </c>
      <c r="J85" s="41">
        <v>19618</v>
      </c>
      <c r="K85" s="41">
        <v>12.3</v>
      </c>
      <c r="L85" s="41"/>
      <c r="M85" s="42">
        <v>5</v>
      </c>
      <c r="N85" s="42">
        <v>17.809999999999999</v>
      </c>
      <c r="O85" s="43">
        <v>241301.4</v>
      </c>
      <c r="P85" s="44">
        <v>98090</v>
      </c>
      <c r="Q85" s="44">
        <v>349396.58</v>
      </c>
      <c r="R85" s="45">
        <v>0</v>
      </c>
      <c r="S85" s="46">
        <v>0</v>
      </c>
      <c r="T85" s="39">
        <f t="shared" si="38"/>
        <v>45</v>
      </c>
      <c r="U85" s="47">
        <f t="shared" si="39"/>
        <v>0.75136942484881175</v>
      </c>
      <c r="V85" s="48">
        <f t="shared" si="40"/>
        <v>12.809999999999999</v>
      </c>
      <c r="W85" s="49">
        <f t="shared" si="41"/>
        <v>1.6697098329973594E-2</v>
      </c>
      <c r="X85" s="44">
        <f t="shared" si="42"/>
        <v>47245.270405302203</v>
      </c>
      <c r="Y85" s="44">
        <f t="shared" si="43"/>
        <v>251306.58000000002</v>
      </c>
      <c r="Z85" s="44">
        <f t="shared" si="44"/>
        <v>179646.07089236486</v>
      </c>
      <c r="AA85" s="50">
        <f t="shared" si="45"/>
        <v>396641.85040530225</v>
      </c>
      <c r="AB85" s="51">
        <f t="shared" si="46"/>
        <v>167940.61035090665</v>
      </c>
      <c r="AC85" s="44">
        <f t="shared" si="47"/>
        <v>370797.27998999925</v>
      </c>
      <c r="AD85" s="44">
        <f t="shared" si="48"/>
        <v>0</v>
      </c>
      <c r="AE85" s="44">
        <f t="shared" si="49"/>
        <v>0</v>
      </c>
      <c r="AF85" s="52">
        <f>HLOOKUP(I85,ElecAvoidedCostsWOCC!$A$5:$Q$50,G85+1,FALSE)</f>
        <v>3.1346149049506007</v>
      </c>
      <c r="AG85" s="44">
        <f t="shared" si="50"/>
        <v>756386.96502544684</v>
      </c>
      <c r="AH85" s="52">
        <f>HLOOKUP(I85,ElecAvoidedCostsWOCC!$A$5:$Q$50,T85+1,FALSE)</f>
        <v>3.1346149049506007</v>
      </c>
      <c r="AI85" s="44">
        <f t="shared" si="51"/>
        <v>0</v>
      </c>
      <c r="AJ85" s="44">
        <f t="shared" si="52"/>
        <v>756386.96502544684</v>
      </c>
      <c r="AK85" s="44">
        <f>HLOOKUP(I85,ElecAvoidedCostsWOCC!$A$5:$Q$50,G85+1,FALSE)*J85*L85</f>
        <v>0</v>
      </c>
      <c r="AL85" s="44">
        <f t="shared" si="53"/>
        <v>756386.96502544684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756386.96502544684</v>
      </c>
      <c r="AN85" s="48">
        <f t="shared" si="54"/>
        <v>832025.66152799164</v>
      </c>
      <c r="AO85" s="47">
        <f t="shared" si="55"/>
        <v>4.503895534528545</v>
      </c>
      <c r="AP85" s="47">
        <f t="shared" si="56"/>
        <v>2.2438828611429731</v>
      </c>
      <c r="AQ85">
        <v>2020</v>
      </c>
    </row>
    <row r="86" spans="2:43">
      <c r="B86" s="97" t="s">
        <v>39</v>
      </c>
      <c r="C86" s="61">
        <v>18230407</v>
      </c>
      <c r="D86" s="61" t="s">
        <v>40</v>
      </c>
      <c r="E86" s="38" t="s">
        <v>2072</v>
      </c>
      <c r="F86" s="39" t="s">
        <v>2073</v>
      </c>
      <c r="G86" s="39">
        <v>45</v>
      </c>
      <c r="H86" s="39"/>
      <c r="I86" s="40" t="s">
        <v>267</v>
      </c>
      <c r="J86" s="41">
        <v>281</v>
      </c>
      <c r="K86" s="41">
        <v>24.2</v>
      </c>
      <c r="L86" s="41"/>
      <c r="M86" s="42">
        <v>7</v>
      </c>
      <c r="N86" s="42">
        <v>17.809999999999999</v>
      </c>
      <c r="O86" s="43">
        <v>6800.2</v>
      </c>
      <c r="P86" s="44">
        <v>1967</v>
      </c>
      <c r="Q86" s="44">
        <v>5004.6099999999997</v>
      </c>
      <c r="R86" s="45">
        <v>0</v>
      </c>
      <c r="S86" s="46">
        <v>0</v>
      </c>
      <c r="T86" s="39">
        <f t="shared" si="38"/>
        <v>45</v>
      </c>
      <c r="U86" s="47">
        <f t="shared" si="39"/>
        <v>2.1174607204338183E-2</v>
      </c>
      <c r="V86" s="48">
        <f t="shared" si="40"/>
        <v>10.809999999999999</v>
      </c>
      <c r="W86" s="49">
        <f t="shared" si="41"/>
        <v>4.7054682676307073E-4</v>
      </c>
      <c r="X86" s="44">
        <f t="shared" si="42"/>
        <v>1331.4356560307401</v>
      </c>
      <c r="Y86" s="44">
        <f t="shared" si="43"/>
        <v>3037.6099999999997</v>
      </c>
      <c r="Z86" s="44">
        <f t="shared" si="44"/>
        <v>5062.6693889146918</v>
      </c>
      <c r="AA86" s="50">
        <f t="shared" si="45"/>
        <v>6336.0456560307393</v>
      </c>
      <c r="AB86" s="51">
        <f t="shared" si="46"/>
        <v>4732.7936701081535</v>
      </c>
      <c r="AC86" s="44">
        <f t="shared" si="47"/>
        <v>5923.1987062080389</v>
      </c>
      <c r="AD86" s="44">
        <f t="shared" si="48"/>
        <v>0</v>
      </c>
      <c r="AE86" s="44">
        <f t="shared" si="49"/>
        <v>0</v>
      </c>
      <c r="AF86" s="52">
        <f>HLOOKUP(I86,ElecAvoidedCostsWOCC!$A$5:$Q$50,G86+1,FALSE)</f>
        <v>3.1346149049506007</v>
      </c>
      <c r="AG86" s="44">
        <f t="shared" si="50"/>
        <v>21316.008276645072</v>
      </c>
      <c r="AH86" s="52">
        <f>HLOOKUP(I86,ElecAvoidedCostsWOCC!$A$5:$Q$50,T86+1,FALSE)</f>
        <v>3.1346149049506007</v>
      </c>
      <c r="AI86" s="44">
        <f t="shared" si="51"/>
        <v>0</v>
      </c>
      <c r="AJ86" s="44">
        <f t="shared" si="52"/>
        <v>21316.008276645072</v>
      </c>
      <c r="AK86" s="44">
        <f>HLOOKUP(I86,ElecAvoidedCostsWOCC!$A$5:$Q$50,G86+1,FALSE)*J86*L86</f>
        <v>0</v>
      </c>
      <c r="AL86" s="44">
        <f t="shared" si="53"/>
        <v>21316.008276645072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21316.008276645072</v>
      </c>
      <c r="AN86" s="48">
        <f t="shared" si="54"/>
        <v>23447.60910430958</v>
      </c>
      <c r="AO86" s="47">
        <f t="shared" si="55"/>
        <v>4.5038955345285441</v>
      </c>
      <c r="AP86" s="47">
        <f t="shared" si="56"/>
        <v>3.9586058593196278</v>
      </c>
      <c r="AQ86">
        <v>2020</v>
      </c>
    </row>
    <row r="87" spans="2:43">
      <c r="B87" s="97" t="s">
        <v>39</v>
      </c>
      <c r="C87" s="61">
        <v>18230407</v>
      </c>
      <c r="D87" s="61" t="s">
        <v>40</v>
      </c>
      <c r="E87" s="38" t="s">
        <v>2074</v>
      </c>
      <c r="F87" s="39" t="s">
        <v>907</v>
      </c>
      <c r="G87" s="39">
        <v>45</v>
      </c>
      <c r="H87" s="39"/>
      <c r="I87" s="40" t="s">
        <v>267</v>
      </c>
      <c r="J87" s="41">
        <v>1</v>
      </c>
      <c r="K87" s="41">
        <v>1116142.8</v>
      </c>
      <c r="L87" s="41"/>
      <c r="M87" s="42">
        <v>1.21</v>
      </c>
      <c r="N87" s="42">
        <v>1.35</v>
      </c>
      <c r="O87" s="43">
        <v>1116142.8</v>
      </c>
      <c r="P87" s="44">
        <v>1413169.5</v>
      </c>
      <c r="Q87" s="44">
        <v>1603682.32</v>
      </c>
      <c r="R87" s="45">
        <v>0</v>
      </c>
      <c r="S87" s="46">
        <v>0</v>
      </c>
      <c r="T87" s="39">
        <f t="shared" si="38"/>
        <v>45</v>
      </c>
      <c r="U87" s="47">
        <f t="shared" si="39"/>
        <v>3.4754691588409448</v>
      </c>
      <c r="V87" s="48">
        <f t="shared" si="40"/>
        <v>0.14000000000000012</v>
      </c>
      <c r="W87" s="49">
        <f t="shared" si="41"/>
        <v>7.7232647974243215E-2</v>
      </c>
      <c r="X87" s="44">
        <f t="shared" si="42"/>
        <v>218533.61976735789</v>
      </c>
      <c r="Y87" s="44">
        <f t="shared" si="43"/>
        <v>190512.82000000007</v>
      </c>
      <c r="Z87" s="44">
        <f t="shared" si="44"/>
        <v>830955.26414186833</v>
      </c>
      <c r="AA87" s="50">
        <f t="shared" si="45"/>
        <v>1822215.9397673579</v>
      </c>
      <c r="AB87" s="51">
        <f t="shared" si="46"/>
        <v>776811.50242298609</v>
      </c>
      <c r="AC87" s="44">
        <f t="shared" si="47"/>
        <v>1703483.1632863025</v>
      </c>
      <c r="AD87" s="44">
        <f t="shared" si="48"/>
        <v>0</v>
      </c>
      <c r="AE87" s="44">
        <f t="shared" si="49"/>
        <v>0</v>
      </c>
      <c r="AF87" s="52">
        <f>HLOOKUP(I87,ElecAvoidedCostsWOCC!$A$5:$Q$50,G87+1,FALSE)</f>
        <v>3.1346149049506007</v>
      </c>
      <c r="AG87" s="44">
        <f t="shared" si="50"/>
        <v>3498677.8569332976</v>
      </c>
      <c r="AH87" s="52">
        <f>HLOOKUP(I87,ElecAvoidedCostsWOCC!$A$5:$Q$50,T87+1,FALSE)</f>
        <v>3.1346149049506007</v>
      </c>
      <c r="AI87" s="44">
        <f t="shared" si="51"/>
        <v>0</v>
      </c>
      <c r="AJ87" s="44">
        <f t="shared" si="52"/>
        <v>3498677.8569332976</v>
      </c>
      <c r="AK87" s="44">
        <f>HLOOKUP(I87,ElecAvoidedCostsWOCC!$A$5:$Q$50,G87+1,FALSE)*J87*L87</f>
        <v>0</v>
      </c>
      <c r="AL87" s="44">
        <f t="shared" si="53"/>
        <v>3498677.8569332976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3498677.8569332976</v>
      </c>
      <c r="AN87" s="48">
        <f t="shared" si="54"/>
        <v>3848545.6426266278</v>
      </c>
      <c r="AO87" s="47">
        <f t="shared" si="55"/>
        <v>4.5038955345285459</v>
      </c>
      <c r="AP87" s="47">
        <f t="shared" si="56"/>
        <v>2.2592214150224668</v>
      </c>
      <c r="AQ87">
        <v>2020</v>
      </c>
    </row>
    <row r="88" spans="2:43">
      <c r="B88" s="97" t="s">
        <v>39</v>
      </c>
      <c r="C88" s="61">
        <v>18230407</v>
      </c>
      <c r="D88" s="61" t="s">
        <v>40</v>
      </c>
      <c r="E88" s="38" t="s">
        <v>912</v>
      </c>
      <c r="F88" s="39" t="s">
        <v>913</v>
      </c>
      <c r="G88" s="39">
        <v>15</v>
      </c>
      <c r="H88" s="39"/>
      <c r="I88" s="40" t="s">
        <v>257</v>
      </c>
      <c r="J88" s="41">
        <v>1</v>
      </c>
      <c r="K88" s="41">
        <v>1686964</v>
      </c>
      <c r="L88" s="41"/>
      <c r="M88" s="42">
        <v>8000</v>
      </c>
      <c r="N88" s="42">
        <v>160555</v>
      </c>
      <c r="O88" s="43">
        <v>1686964</v>
      </c>
      <c r="P88" s="44">
        <v>292565.58</v>
      </c>
      <c r="Q88" s="44">
        <v>896918.81</v>
      </c>
      <c r="R88" s="45">
        <v>0</v>
      </c>
      <c r="S88" s="46">
        <v>0</v>
      </c>
      <c r="T88" s="39">
        <f t="shared" si="38"/>
        <v>15</v>
      </c>
      <c r="U88" s="47">
        <f t="shared" si="39"/>
        <v>1.7509681121074459</v>
      </c>
      <c r="V88" s="48">
        <f t="shared" si="40"/>
        <v>152555</v>
      </c>
      <c r="W88" s="49">
        <f t="shared" si="41"/>
        <v>0.11673120747382973</v>
      </c>
      <c r="X88" s="44">
        <f t="shared" si="42"/>
        <v>330296.75892477302</v>
      </c>
      <c r="Y88" s="44">
        <f t="shared" si="43"/>
        <v>604353.23</v>
      </c>
      <c r="Z88" s="44">
        <f t="shared" si="44"/>
        <v>1255924.9732362407</v>
      </c>
      <c r="AA88" s="50">
        <f t="shared" si="45"/>
        <v>1227215.568924773</v>
      </c>
      <c r="AB88" s="51">
        <f t="shared" si="46"/>
        <v>1174090.8415782375</v>
      </c>
      <c r="AC88" s="44">
        <f t="shared" si="47"/>
        <v>1147252.0977141</v>
      </c>
      <c r="AD88" s="44">
        <f t="shared" si="48"/>
        <v>0</v>
      </c>
      <c r="AE88" s="44">
        <f t="shared" si="49"/>
        <v>0</v>
      </c>
      <c r="AF88" s="52">
        <f>HLOOKUP(I88,ElecAvoidedCostsWOCC!$A$5:$Q$50,G88+1,FALSE)</f>
        <v>1.0545904948077327</v>
      </c>
      <c r="AG88" s="44">
        <f t="shared" si="50"/>
        <v>1779056.1994828321</v>
      </c>
      <c r="AH88" s="52">
        <f>HLOOKUP(I88,ElecAvoidedCostsWOCC!$A$5:$Q$50,T88+1,FALSE)</f>
        <v>1.0545904948077327</v>
      </c>
      <c r="AI88" s="44">
        <f t="shared" si="51"/>
        <v>0</v>
      </c>
      <c r="AJ88" s="44">
        <f t="shared" si="52"/>
        <v>1779056.1994828321</v>
      </c>
      <c r="AK88" s="44">
        <f>HLOOKUP(I88,ElecAvoidedCostsWOCC!$A$5:$Q$50,G88+1,FALSE)*J88*L88</f>
        <v>0</v>
      </c>
      <c r="AL88" s="44">
        <f t="shared" si="53"/>
        <v>1779056.1994828321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1779056.1994828321</v>
      </c>
      <c r="AN88" s="48">
        <f t="shared" si="54"/>
        <v>1956961.8194311154</v>
      </c>
      <c r="AO88" s="47">
        <f t="shared" si="55"/>
        <v>1.5152628199461871</v>
      </c>
      <c r="AP88" s="47">
        <f t="shared" si="56"/>
        <v>1.7057818620078029</v>
      </c>
      <c r="AQ88">
        <v>2020</v>
      </c>
    </row>
    <row r="89" spans="2:43">
      <c r="B89" s="97" t="s">
        <v>39</v>
      </c>
      <c r="C89" s="61">
        <v>18230407</v>
      </c>
      <c r="D89" s="61" t="s">
        <v>40</v>
      </c>
      <c r="E89" s="38" t="s">
        <v>2078</v>
      </c>
      <c r="F89" s="39" t="s">
        <v>2079</v>
      </c>
      <c r="G89" s="39">
        <v>15</v>
      </c>
      <c r="H89" s="39"/>
      <c r="I89" s="40" t="s">
        <v>267</v>
      </c>
      <c r="J89" s="41">
        <v>5</v>
      </c>
      <c r="K89" s="41">
        <v>1997</v>
      </c>
      <c r="L89" s="41"/>
      <c r="M89" s="42">
        <v>800</v>
      </c>
      <c r="N89" s="42">
        <v>3953.13</v>
      </c>
      <c r="O89" s="43">
        <v>9985</v>
      </c>
      <c r="P89" s="44">
        <v>4000</v>
      </c>
      <c r="Q89" s="44">
        <v>19765.650000000001</v>
      </c>
      <c r="R89" s="45">
        <v>109.84</v>
      </c>
      <c r="S89" s="46">
        <v>0</v>
      </c>
      <c r="T89" s="39">
        <f t="shared" si="38"/>
        <v>15</v>
      </c>
      <c r="U89" s="47">
        <f t="shared" si="39"/>
        <v>1.0363835031093045E-2</v>
      </c>
      <c r="V89" s="48">
        <f t="shared" si="40"/>
        <v>3153.13</v>
      </c>
      <c r="W89" s="49">
        <f t="shared" si="41"/>
        <v>6.9092233540620298E-4</v>
      </c>
      <c r="X89" s="44">
        <f t="shared" si="42"/>
        <v>1954.9991214180377</v>
      </c>
      <c r="Y89" s="44">
        <f t="shared" si="43"/>
        <v>15765.650000000001</v>
      </c>
      <c r="Z89" s="44">
        <f t="shared" si="44"/>
        <v>7433.715750759271</v>
      </c>
      <c r="AA89" s="50">
        <f t="shared" si="45"/>
        <v>21720.649121418039</v>
      </c>
      <c r="AB89" s="51">
        <f t="shared" si="46"/>
        <v>6949.3463127599052</v>
      </c>
      <c r="AC89" s="44">
        <f t="shared" si="47"/>
        <v>20305.365169129698</v>
      </c>
      <c r="AD89" s="44">
        <f t="shared" si="48"/>
        <v>5011.5583446727242</v>
      </c>
      <c r="AE89" s="44">
        <f t="shared" si="49"/>
        <v>0</v>
      </c>
      <c r="AF89" s="52">
        <f>HLOOKUP(I89,ElecAvoidedCostsWOCC!$A$5:$Q$50,G89+1,FALSE)</f>
        <v>1.3893373920773078</v>
      </c>
      <c r="AG89" s="44">
        <f t="shared" si="50"/>
        <v>13872.533859891919</v>
      </c>
      <c r="AH89" s="52">
        <f>HLOOKUP(I89,ElecAvoidedCostsWOCC!$A$5:$Q$50,T89+1,FALSE)</f>
        <v>1.3893373920773078</v>
      </c>
      <c r="AI89" s="44">
        <f t="shared" si="51"/>
        <v>0</v>
      </c>
      <c r="AJ89" s="44">
        <f t="shared" si="52"/>
        <v>13872.533859891919</v>
      </c>
      <c r="AK89" s="44">
        <f>HLOOKUP(I89,ElecAvoidedCostsWOCC!$A$5:$Q$50,G89+1,FALSE)*J89*L89</f>
        <v>0</v>
      </c>
      <c r="AL89" s="44">
        <f t="shared" si="53"/>
        <v>13872.533859891919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13872.533859891919</v>
      </c>
      <c r="AN89" s="48">
        <f t="shared" si="54"/>
        <v>20271.345590553836</v>
      </c>
      <c r="AO89" s="47">
        <f t="shared" si="55"/>
        <v>1.996235794785495</v>
      </c>
      <c r="AP89" s="47">
        <f t="shared" si="56"/>
        <v>0.99832460148869506</v>
      </c>
      <c r="AQ89">
        <v>2020</v>
      </c>
    </row>
    <row r="90" spans="2:43">
      <c r="B90" s="97" t="s">
        <v>39</v>
      </c>
      <c r="C90" s="61">
        <v>18230407</v>
      </c>
      <c r="D90" s="61" t="s">
        <v>40</v>
      </c>
      <c r="E90" s="38" t="s">
        <v>915</v>
      </c>
      <c r="F90" s="39" t="s">
        <v>916</v>
      </c>
      <c r="G90" s="39">
        <v>15</v>
      </c>
      <c r="H90" s="39"/>
      <c r="I90" s="40" t="s">
        <v>267</v>
      </c>
      <c r="J90" s="41">
        <v>560</v>
      </c>
      <c r="K90" s="41">
        <v>59</v>
      </c>
      <c r="L90" s="41"/>
      <c r="M90" s="42">
        <v>35</v>
      </c>
      <c r="N90" s="42">
        <v>57.99</v>
      </c>
      <c r="O90" s="43">
        <v>33040</v>
      </c>
      <c r="P90" s="44">
        <v>19600</v>
      </c>
      <c r="Q90" s="44">
        <v>32474.400000000001</v>
      </c>
      <c r="R90" s="45">
        <v>0</v>
      </c>
      <c r="S90" s="46">
        <v>0</v>
      </c>
      <c r="T90" s="39">
        <f t="shared" si="38"/>
        <v>15</v>
      </c>
      <c r="U90" s="47">
        <f t="shared" si="39"/>
        <v>3.4293551269635868E-2</v>
      </c>
      <c r="V90" s="48">
        <f t="shared" si="40"/>
        <v>22.990000000000002</v>
      </c>
      <c r="W90" s="49">
        <f t="shared" si="41"/>
        <v>2.286236751309058E-3</v>
      </c>
      <c r="X90" s="44">
        <f t="shared" si="42"/>
        <v>6469.020628107357</v>
      </c>
      <c r="Y90" s="44">
        <f t="shared" si="43"/>
        <v>12874.400000000001</v>
      </c>
      <c r="Z90" s="44">
        <f t="shared" si="44"/>
        <v>24597.893681030175</v>
      </c>
      <c r="AA90" s="50">
        <f t="shared" si="45"/>
        <v>38943.420628107357</v>
      </c>
      <c r="AB90" s="51">
        <f t="shared" si="46"/>
        <v>22995.132916733826</v>
      </c>
      <c r="AC90" s="44">
        <f t="shared" si="47"/>
        <v>36405.927482572079</v>
      </c>
      <c r="AD90" s="44">
        <f t="shared" si="48"/>
        <v>0</v>
      </c>
      <c r="AE90" s="44">
        <f t="shared" si="49"/>
        <v>0</v>
      </c>
      <c r="AF90" s="52">
        <f>HLOOKUP(I90,ElecAvoidedCostsWOCC!$A$5:$Q$50,G90+1,FALSE)</f>
        <v>1.3893373920773078</v>
      </c>
      <c r="AG90" s="44">
        <f t="shared" si="50"/>
        <v>45903.707434234253</v>
      </c>
      <c r="AH90" s="52">
        <f>HLOOKUP(I90,ElecAvoidedCostsWOCC!$A$5:$Q$50,T90+1,FALSE)</f>
        <v>1.3893373920773078</v>
      </c>
      <c r="AI90" s="44">
        <f t="shared" si="51"/>
        <v>0</v>
      </c>
      <c r="AJ90" s="44">
        <f t="shared" si="52"/>
        <v>45903.707434234253</v>
      </c>
      <c r="AK90" s="44">
        <f>HLOOKUP(I90,ElecAvoidedCostsWOCC!$A$5:$Q$50,G90+1,FALSE)*J90*L90</f>
        <v>0</v>
      </c>
      <c r="AL90" s="44">
        <f t="shared" si="53"/>
        <v>45903.707434234253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45903.707434234246</v>
      </c>
      <c r="AN90" s="48">
        <f t="shared" si="54"/>
        <v>50494.078177657677</v>
      </c>
      <c r="AO90" s="47">
        <f t="shared" si="55"/>
        <v>1.996235794785495</v>
      </c>
      <c r="AP90" s="47">
        <f t="shared" si="56"/>
        <v>1.386974091013881</v>
      </c>
      <c r="AQ90">
        <v>2020</v>
      </c>
    </row>
    <row r="91" spans="2:43">
      <c r="B91" s="97" t="s">
        <v>39</v>
      </c>
      <c r="C91" s="61">
        <v>18230407</v>
      </c>
      <c r="D91" s="61" t="s">
        <v>40</v>
      </c>
      <c r="E91" s="38" t="s">
        <v>919</v>
      </c>
      <c r="F91" s="39" t="s">
        <v>920</v>
      </c>
      <c r="G91" s="39">
        <v>15</v>
      </c>
      <c r="H91" s="39"/>
      <c r="I91" s="40" t="s">
        <v>267</v>
      </c>
      <c r="J91" s="41">
        <v>17</v>
      </c>
      <c r="K91" s="41">
        <v>1300</v>
      </c>
      <c r="L91" s="41"/>
      <c r="M91" s="42">
        <v>800</v>
      </c>
      <c r="N91" s="42">
        <v>3758.92</v>
      </c>
      <c r="O91" s="43">
        <v>22100</v>
      </c>
      <c r="P91" s="44">
        <v>13600</v>
      </c>
      <c r="Q91" s="44">
        <v>63901.64</v>
      </c>
      <c r="R91" s="45">
        <v>0</v>
      </c>
      <c r="S91" s="46">
        <v>0</v>
      </c>
      <c r="T91" s="39">
        <f t="shared" si="38"/>
        <v>15</v>
      </c>
      <c r="U91" s="47">
        <f t="shared" si="39"/>
        <v>2.2938483143430777E-2</v>
      </c>
      <c r="V91" s="48">
        <f t="shared" si="40"/>
        <v>2958.92</v>
      </c>
      <c r="W91" s="49">
        <f t="shared" si="41"/>
        <v>1.5292322095620517E-3</v>
      </c>
      <c r="X91" s="44">
        <f t="shared" si="42"/>
        <v>4327.0386162582508</v>
      </c>
      <c r="Y91" s="44">
        <f t="shared" si="43"/>
        <v>50301.64</v>
      </c>
      <c r="Z91" s="44">
        <f t="shared" si="44"/>
        <v>16453.191596572848</v>
      </c>
      <c r="AA91" s="50">
        <f t="shared" si="45"/>
        <v>68228.678616258258</v>
      </c>
      <c r="AB91" s="51">
        <f t="shared" si="46"/>
        <v>15381.127041762033</v>
      </c>
      <c r="AC91" s="44">
        <f t="shared" si="47"/>
        <v>63783.003287144296</v>
      </c>
      <c r="AD91" s="44">
        <f t="shared" si="48"/>
        <v>0</v>
      </c>
      <c r="AE91" s="44">
        <f t="shared" si="49"/>
        <v>0</v>
      </c>
      <c r="AF91" s="52">
        <f>HLOOKUP(I91,ElecAvoidedCostsWOCC!$A$5:$Q$50,G91+1,FALSE)</f>
        <v>1.3893373920773078</v>
      </c>
      <c r="AG91" s="44">
        <f t="shared" si="50"/>
        <v>30704.356364908504</v>
      </c>
      <c r="AH91" s="52">
        <f>HLOOKUP(I91,ElecAvoidedCostsWOCC!$A$5:$Q$50,T91+1,FALSE)</f>
        <v>1.3893373920773078</v>
      </c>
      <c r="AI91" s="44">
        <f t="shared" si="51"/>
        <v>0</v>
      </c>
      <c r="AJ91" s="44">
        <f t="shared" si="52"/>
        <v>30704.356364908504</v>
      </c>
      <c r="AK91" s="44">
        <f>HLOOKUP(I91,ElecAvoidedCostsWOCC!$A$5:$Q$50,G91+1,FALSE)*J91*L91</f>
        <v>0</v>
      </c>
      <c r="AL91" s="44">
        <f t="shared" si="53"/>
        <v>30704.356364908504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30704.356364908504</v>
      </c>
      <c r="AN91" s="48">
        <f t="shared" si="54"/>
        <v>33774.792001399357</v>
      </c>
      <c r="AO91" s="47">
        <f t="shared" si="55"/>
        <v>1.9962357947854952</v>
      </c>
      <c r="AP91" s="47">
        <f t="shared" si="56"/>
        <v>0.5295265236939195</v>
      </c>
      <c r="AQ91">
        <v>2020</v>
      </c>
    </row>
    <row r="92" spans="2:43">
      <c r="B92" s="97" t="s">
        <v>39</v>
      </c>
      <c r="C92" s="61">
        <v>18230407</v>
      </c>
      <c r="D92" s="61" t="s">
        <v>40</v>
      </c>
      <c r="E92" s="38" t="s">
        <v>921</v>
      </c>
      <c r="F92" s="39" t="s">
        <v>922</v>
      </c>
      <c r="G92" s="39">
        <v>15</v>
      </c>
      <c r="H92" s="39"/>
      <c r="I92" s="40" t="s">
        <v>266</v>
      </c>
      <c r="J92" s="41">
        <v>1</v>
      </c>
      <c r="K92" s="41">
        <v>3711</v>
      </c>
      <c r="L92" s="41"/>
      <c r="M92" s="42">
        <v>1500</v>
      </c>
      <c r="N92" s="42">
        <v>3190.37</v>
      </c>
      <c r="O92" s="43">
        <v>3711</v>
      </c>
      <c r="P92" s="44">
        <v>1500</v>
      </c>
      <c r="Q92" s="44">
        <v>3190.37</v>
      </c>
      <c r="R92" s="45">
        <v>0</v>
      </c>
      <c r="S92" s="46">
        <v>0</v>
      </c>
      <c r="T92" s="39">
        <f t="shared" si="38"/>
        <v>15</v>
      </c>
      <c r="U92" s="47">
        <f t="shared" si="39"/>
        <v>3.851796875351656E-3</v>
      </c>
      <c r="V92" s="48">
        <f t="shared" si="40"/>
        <v>1690.37</v>
      </c>
      <c r="W92" s="49">
        <f t="shared" si="41"/>
        <v>2.5678645835677707E-4</v>
      </c>
      <c r="X92" s="44">
        <f t="shared" si="42"/>
        <v>726.59005904680396</v>
      </c>
      <c r="Y92" s="44">
        <f t="shared" si="43"/>
        <v>1690.37</v>
      </c>
      <c r="Z92" s="44">
        <f t="shared" si="44"/>
        <v>2762.7961092706714</v>
      </c>
      <c r="AA92" s="50">
        <f t="shared" si="45"/>
        <v>3916.960059046804</v>
      </c>
      <c r="AB92" s="51">
        <f t="shared" si="46"/>
        <v>2582.7765815375069</v>
      </c>
      <c r="AC92" s="44">
        <f t="shared" si="47"/>
        <v>3661.7369907888228</v>
      </c>
      <c r="AD92" s="44">
        <f t="shared" si="48"/>
        <v>0</v>
      </c>
      <c r="AE92" s="44">
        <f t="shared" si="49"/>
        <v>0</v>
      </c>
      <c r="AF92" s="52">
        <f>HLOOKUP(I92,ElecAvoidedCostsWOCC!$A$5:$Q$50,G92+1,FALSE)</f>
        <v>1.3961506916040443</v>
      </c>
      <c r="AG92" s="44">
        <f t="shared" si="50"/>
        <v>5181.1152165426083</v>
      </c>
      <c r="AH92" s="52">
        <f>HLOOKUP(I92,ElecAvoidedCostsWOCC!$A$5:$Q$50,T92+1,FALSE)</f>
        <v>1.3961506916040443</v>
      </c>
      <c r="AI92" s="44">
        <f t="shared" si="51"/>
        <v>0</v>
      </c>
      <c r="AJ92" s="44">
        <f t="shared" si="52"/>
        <v>5181.1152165426083</v>
      </c>
      <c r="AK92" s="44">
        <f>HLOOKUP(I92,ElecAvoidedCostsWOCC!$A$5:$Q$50,G92+1,FALSE)*J92*L92</f>
        <v>0</v>
      </c>
      <c r="AL92" s="44">
        <f t="shared" si="53"/>
        <v>5181.1152165426083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5181.1152165426083</v>
      </c>
      <c r="AN92" s="48">
        <f t="shared" si="54"/>
        <v>5699.2267381968695</v>
      </c>
      <c r="AO92" s="47">
        <f t="shared" si="55"/>
        <v>2.0060253192548041</v>
      </c>
      <c r="AP92" s="47">
        <f t="shared" si="56"/>
        <v>1.5564271143813428</v>
      </c>
      <c r="AQ92">
        <v>2020</v>
      </c>
    </row>
    <row r="93" spans="2:43">
      <c r="B93" s="97" t="s">
        <v>39</v>
      </c>
      <c r="C93" s="61">
        <v>18230407</v>
      </c>
      <c r="D93" s="61" t="s">
        <v>40</v>
      </c>
      <c r="E93" s="38" t="s">
        <v>923</v>
      </c>
      <c r="F93" s="39" t="s">
        <v>924</v>
      </c>
      <c r="G93" s="39">
        <v>10</v>
      </c>
      <c r="H93" s="39"/>
      <c r="I93" s="40" t="s">
        <v>263</v>
      </c>
      <c r="J93" s="41">
        <v>611</v>
      </c>
      <c r="K93" s="41">
        <v>131</v>
      </c>
      <c r="L93" s="41"/>
      <c r="M93" s="42">
        <v>200</v>
      </c>
      <c r="N93" s="42">
        <v>250</v>
      </c>
      <c r="O93" s="43">
        <v>80041</v>
      </c>
      <c r="P93" s="44">
        <v>122200</v>
      </c>
      <c r="Q93" s="44">
        <v>152750</v>
      </c>
      <c r="R93" s="45">
        <v>0</v>
      </c>
      <c r="S93" s="46">
        <v>0</v>
      </c>
      <c r="T93" s="39">
        <f t="shared" si="38"/>
        <v>10</v>
      </c>
      <c r="U93" s="47">
        <f t="shared" si="39"/>
        <v>5.5385192436903243E-2</v>
      </c>
      <c r="V93" s="48">
        <f t="shared" si="40"/>
        <v>50</v>
      </c>
      <c r="W93" s="49">
        <f t="shared" si="41"/>
        <v>5.5385192436903244E-3</v>
      </c>
      <c r="X93" s="44">
        <f t="shared" si="42"/>
        <v>15671.515741354147</v>
      </c>
      <c r="Y93" s="44">
        <f t="shared" si="43"/>
        <v>30550</v>
      </c>
      <c r="Z93" s="44">
        <f t="shared" si="44"/>
        <v>59589.588623587661</v>
      </c>
      <c r="AA93" s="50">
        <f t="shared" si="45"/>
        <v>168421.51574135415</v>
      </c>
      <c r="AB93" s="51">
        <f t="shared" si="46"/>
        <v>55706.823056546375</v>
      </c>
      <c r="AC93" s="44">
        <f t="shared" si="47"/>
        <v>157447.42987880166</v>
      </c>
      <c r="AD93" s="44">
        <f t="shared" si="48"/>
        <v>0</v>
      </c>
      <c r="AE93" s="44">
        <f t="shared" si="49"/>
        <v>0</v>
      </c>
      <c r="AF93" s="52">
        <f>HLOOKUP(I93,ElecAvoidedCostsWOCC!$A$5:$Q$50,G93+1,FALSE)</f>
        <v>0.73512510012695687</v>
      </c>
      <c r="AG93" s="44">
        <f t="shared" si="50"/>
        <v>58840.14813926175</v>
      </c>
      <c r="AH93" s="52">
        <f>HLOOKUP(I93,ElecAvoidedCostsWOCC!$A$5:$Q$50,T93+1,FALSE)</f>
        <v>0.73512510012695687</v>
      </c>
      <c r="AI93" s="44">
        <f t="shared" si="51"/>
        <v>0</v>
      </c>
      <c r="AJ93" s="44">
        <f t="shared" si="52"/>
        <v>58840.14813926175</v>
      </c>
      <c r="AK93" s="44">
        <f>HLOOKUP(I93,ElecAvoidedCostsWOCC!$A$5:$Q$50,G93+1,FALSE)*J93*L93</f>
        <v>0</v>
      </c>
      <c r="AL93" s="44">
        <f t="shared" si="53"/>
        <v>58840.14813926175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58840.14813926175</v>
      </c>
      <c r="AN93" s="48">
        <f t="shared" si="54"/>
        <v>64724.16295318793</v>
      </c>
      <c r="AO93" s="47">
        <f t="shared" si="55"/>
        <v>1.0562467021236308</v>
      </c>
      <c r="AP93" s="47">
        <f t="shared" si="56"/>
        <v>0.41108427748239945</v>
      </c>
      <c r="AQ93">
        <v>2020</v>
      </c>
    </row>
    <row r="94" spans="2:43">
      <c r="B94" s="97" t="s">
        <v>39</v>
      </c>
      <c r="C94" s="61">
        <v>18230407</v>
      </c>
      <c r="D94" s="61" t="s">
        <v>40</v>
      </c>
      <c r="E94" s="38" t="s">
        <v>925</v>
      </c>
      <c r="F94" s="39" t="s">
        <v>926</v>
      </c>
      <c r="G94" s="39">
        <v>45</v>
      </c>
      <c r="H94" s="39"/>
      <c r="I94" s="40" t="s">
        <v>267</v>
      </c>
      <c r="J94" s="41">
        <v>40612</v>
      </c>
      <c r="K94" s="41">
        <v>12.3</v>
      </c>
      <c r="L94" s="41"/>
      <c r="M94" s="42">
        <v>5</v>
      </c>
      <c r="N94" s="42">
        <v>17.809999999999999</v>
      </c>
      <c r="O94" s="43">
        <v>499527.61</v>
      </c>
      <c r="P94" s="44">
        <v>252320</v>
      </c>
      <c r="Q94" s="44">
        <v>723299.71</v>
      </c>
      <c r="R94" s="45">
        <v>0</v>
      </c>
      <c r="S94" s="46">
        <v>0</v>
      </c>
      <c r="T94" s="39">
        <f t="shared" si="38"/>
        <v>45</v>
      </c>
      <c r="U94" s="47">
        <f t="shared" si="39"/>
        <v>1.5554396825787233</v>
      </c>
      <c r="V94" s="48">
        <f t="shared" si="40"/>
        <v>12.809999999999999</v>
      </c>
      <c r="W94" s="49">
        <f t="shared" si="41"/>
        <v>3.4565326279527187E-2</v>
      </c>
      <c r="X94" s="44">
        <f t="shared" si="42"/>
        <v>97804.310332904584</v>
      </c>
      <c r="Y94" s="44">
        <f t="shared" si="43"/>
        <v>470979.70999999996</v>
      </c>
      <c r="Z94" s="44">
        <f t="shared" si="44"/>
        <v>371892.46493701899</v>
      </c>
      <c r="AA94" s="50">
        <f t="shared" si="45"/>
        <v>821104.02033290453</v>
      </c>
      <c r="AB94" s="51">
        <f t="shared" si="46"/>
        <v>347660.52625691216</v>
      </c>
      <c r="AC94" s="44">
        <f t="shared" si="47"/>
        <v>767602.15044676489</v>
      </c>
      <c r="AD94" s="44">
        <f t="shared" si="48"/>
        <v>0</v>
      </c>
      <c r="AE94" s="44">
        <f t="shared" si="49"/>
        <v>0</v>
      </c>
      <c r="AF94" s="52">
        <f>HLOOKUP(I94,ElecAvoidedCostsWOCC!$A$5:$Q$50,G94+1,FALSE)</f>
        <v>3.1346149049506007</v>
      </c>
      <c r="AG94" s="44">
        <f t="shared" si="50"/>
        <v>1565826.6603942018</v>
      </c>
      <c r="AH94" s="52">
        <f>HLOOKUP(I94,ElecAvoidedCostsWOCC!$A$5:$Q$50,T94+1,FALSE)</f>
        <v>3.1346149049506007</v>
      </c>
      <c r="AI94" s="44">
        <f t="shared" si="51"/>
        <v>0</v>
      </c>
      <c r="AJ94" s="44">
        <f t="shared" si="52"/>
        <v>1565826.6603942018</v>
      </c>
      <c r="AK94" s="44">
        <f>HLOOKUP(I94,ElecAvoidedCostsWOCC!$A$5:$Q$50,G94+1,FALSE)*J94*L94</f>
        <v>0</v>
      </c>
      <c r="AL94" s="44">
        <f t="shared" si="53"/>
        <v>1565826.6603942018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1565826.6603942018</v>
      </c>
      <c r="AN94" s="48">
        <f t="shared" si="54"/>
        <v>1722409.326433622</v>
      </c>
      <c r="AO94" s="47">
        <f t="shared" si="55"/>
        <v>4.5038954443654502</v>
      </c>
      <c r="AP94" s="47">
        <f t="shared" si="56"/>
        <v>2.2438828831200301</v>
      </c>
      <c r="AQ94">
        <v>2020</v>
      </c>
    </row>
    <row r="95" spans="2:43">
      <c r="B95" s="97" t="s">
        <v>39</v>
      </c>
      <c r="C95" s="61">
        <v>18230407</v>
      </c>
      <c r="D95" s="61" t="s">
        <v>40</v>
      </c>
      <c r="E95" s="38" t="s">
        <v>928</v>
      </c>
      <c r="F95" s="39" t="s">
        <v>929</v>
      </c>
      <c r="G95" s="39">
        <v>45</v>
      </c>
      <c r="H95" s="39"/>
      <c r="I95" s="40" t="s">
        <v>267</v>
      </c>
      <c r="J95" s="41">
        <v>10852</v>
      </c>
      <c r="K95" s="41">
        <v>24.2</v>
      </c>
      <c r="L95" s="41"/>
      <c r="M95" s="42">
        <v>7</v>
      </c>
      <c r="N95" s="42">
        <v>17.809999999999999</v>
      </c>
      <c r="O95" s="43">
        <v>262618.40000000002</v>
      </c>
      <c r="P95" s="44">
        <v>84861</v>
      </c>
      <c r="Q95" s="44">
        <v>193274.13</v>
      </c>
      <c r="R95" s="45">
        <v>0</v>
      </c>
      <c r="S95" s="46">
        <v>0</v>
      </c>
      <c r="T95" s="39">
        <f t="shared" si="38"/>
        <v>45</v>
      </c>
      <c r="U95" s="47">
        <f t="shared" si="39"/>
        <v>0.81774675224725257</v>
      </c>
      <c r="V95" s="48">
        <f t="shared" si="40"/>
        <v>10.809999999999999</v>
      </c>
      <c r="W95" s="49">
        <f t="shared" si="41"/>
        <v>1.8172150049938947E-2</v>
      </c>
      <c r="X95" s="44">
        <f t="shared" si="42"/>
        <v>51419.002630767238</v>
      </c>
      <c r="Y95" s="44">
        <f t="shared" si="43"/>
        <v>108413.13</v>
      </c>
      <c r="Z95" s="44">
        <f t="shared" si="44"/>
        <v>195516.32814413609</v>
      </c>
      <c r="AA95" s="50">
        <f t="shared" si="45"/>
        <v>244693.13263076724</v>
      </c>
      <c r="AB95" s="51">
        <f t="shared" si="46"/>
        <v>182776.7861495149</v>
      </c>
      <c r="AC95" s="44">
        <f t="shared" si="47"/>
        <v>228749.30600239994</v>
      </c>
      <c r="AD95" s="44">
        <f t="shared" si="48"/>
        <v>0</v>
      </c>
      <c r="AE95" s="44">
        <f t="shared" si="49"/>
        <v>0</v>
      </c>
      <c r="AF95" s="52">
        <f>HLOOKUP(I95,ElecAvoidedCostsWOCC!$A$5:$Q$50,G95+1,FALSE)</f>
        <v>3.1346149049506007</v>
      </c>
      <c r="AG95" s="44">
        <f t="shared" si="50"/>
        <v>823207.55095427879</v>
      </c>
      <c r="AH95" s="52">
        <f>HLOOKUP(I95,ElecAvoidedCostsWOCC!$A$5:$Q$50,T95+1,FALSE)</f>
        <v>3.1346149049506007</v>
      </c>
      <c r="AI95" s="44">
        <f t="shared" si="51"/>
        <v>0</v>
      </c>
      <c r="AJ95" s="44">
        <f t="shared" si="52"/>
        <v>823207.55095427879</v>
      </c>
      <c r="AK95" s="44">
        <f>HLOOKUP(I95,ElecAvoidedCostsWOCC!$A$5:$Q$50,G95+1,FALSE)*J95*L95</f>
        <v>0</v>
      </c>
      <c r="AL95" s="44">
        <f t="shared" si="53"/>
        <v>823207.55095427879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823207.55095427879</v>
      </c>
      <c r="AN95" s="48">
        <f t="shared" si="54"/>
        <v>905528.30604970676</v>
      </c>
      <c r="AO95" s="47">
        <f t="shared" si="55"/>
        <v>4.5038955345285441</v>
      </c>
      <c r="AP95" s="47">
        <f t="shared" si="56"/>
        <v>3.9586056975412478</v>
      </c>
      <c r="AQ95">
        <v>2020</v>
      </c>
    </row>
    <row r="96" spans="2:43">
      <c r="B96" s="97" t="s">
        <v>39</v>
      </c>
      <c r="C96" s="61">
        <v>18230407</v>
      </c>
      <c r="D96" s="61" t="s">
        <v>40</v>
      </c>
      <c r="E96" s="38" t="s">
        <v>2081</v>
      </c>
      <c r="F96" s="39" t="s">
        <v>934</v>
      </c>
      <c r="G96" s="39">
        <v>45</v>
      </c>
      <c r="H96" s="39"/>
      <c r="I96" s="40" t="s">
        <v>267</v>
      </c>
      <c r="J96" s="41">
        <v>16146</v>
      </c>
      <c r="K96" s="41">
        <v>15.1</v>
      </c>
      <c r="L96" s="41"/>
      <c r="M96" s="42">
        <v>7</v>
      </c>
      <c r="N96" s="42">
        <v>19.87</v>
      </c>
      <c r="O96" s="43">
        <v>243804.6</v>
      </c>
      <c r="P96" s="44">
        <v>226044</v>
      </c>
      <c r="Q96" s="44">
        <v>320821.02</v>
      </c>
      <c r="R96" s="45">
        <v>0</v>
      </c>
      <c r="S96" s="46">
        <v>0</v>
      </c>
      <c r="T96" s="39">
        <f t="shared" si="38"/>
        <v>45</v>
      </c>
      <c r="U96" s="47">
        <f t="shared" si="39"/>
        <v>0.75916394217975791</v>
      </c>
      <c r="V96" s="48">
        <f t="shared" si="40"/>
        <v>12.870000000000001</v>
      </c>
      <c r="W96" s="49">
        <f t="shared" si="41"/>
        <v>1.6870309826216841E-2</v>
      </c>
      <c r="X96" s="44">
        <f t="shared" si="42"/>
        <v>47735.380951194405</v>
      </c>
      <c r="Y96" s="44">
        <f t="shared" si="43"/>
        <v>94777.020000000019</v>
      </c>
      <c r="Z96" s="44">
        <f t="shared" si="44"/>
        <v>181509.67402379209</v>
      </c>
      <c r="AA96" s="50">
        <f t="shared" si="45"/>
        <v>368556.4009511944</v>
      </c>
      <c r="AB96" s="51">
        <f t="shared" si="46"/>
        <v>169682.78398036092</v>
      </c>
      <c r="AC96" s="44">
        <f t="shared" si="47"/>
        <v>344541.83504832606</v>
      </c>
      <c r="AD96" s="44">
        <f t="shared" si="48"/>
        <v>0</v>
      </c>
      <c r="AE96" s="44">
        <f t="shared" si="49"/>
        <v>0</v>
      </c>
      <c r="AF96" s="52">
        <f>HLOOKUP(I96,ElecAvoidedCostsWOCC!$A$5:$Q$50,G96+1,FALSE)</f>
        <v>3.1346149049506007</v>
      </c>
      <c r="AG96" s="44">
        <f t="shared" si="50"/>
        <v>764233.53305551922</v>
      </c>
      <c r="AH96" s="52">
        <f>HLOOKUP(I96,ElecAvoidedCostsWOCC!$A$5:$Q$50,T96+1,FALSE)</f>
        <v>3.1346149049506007</v>
      </c>
      <c r="AI96" s="44">
        <f t="shared" si="51"/>
        <v>0</v>
      </c>
      <c r="AJ96" s="44">
        <f t="shared" si="52"/>
        <v>764233.53305551922</v>
      </c>
      <c r="AK96" s="44">
        <f>HLOOKUP(I96,ElecAvoidedCostsWOCC!$A$5:$Q$50,G96+1,FALSE)*J96*L96</f>
        <v>0</v>
      </c>
      <c r="AL96" s="44">
        <f t="shared" si="53"/>
        <v>764233.53305551922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764233.5330555191</v>
      </c>
      <c r="AN96" s="48">
        <f t="shared" si="54"/>
        <v>840656.88636107103</v>
      </c>
      <c r="AO96" s="47">
        <f t="shared" si="55"/>
        <v>4.5038955345285441</v>
      </c>
      <c r="AP96" s="47">
        <f t="shared" si="56"/>
        <v>2.4399268850563791</v>
      </c>
      <c r="AQ96">
        <v>2020</v>
      </c>
    </row>
    <row r="97" spans="2:43">
      <c r="B97" s="97" t="s">
        <v>39</v>
      </c>
      <c r="C97" s="61">
        <v>18230407</v>
      </c>
      <c r="D97" s="61" t="s">
        <v>40</v>
      </c>
      <c r="E97" s="38" t="s">
        <v>598</v>
      </c>
      <c r="F97" s="39" t="s">
        <v>599</v>
      </c>
      <c r="G97" s="39">
        <v>13</v>
      </c>
      <c r="H97" s="39"/>
      <c r="I97" s="40" t="s">
        <v>265</v>
      </c>
      <c r="J97" s="41">
        <v>1</v>
      </c>
      <c r="K97" s="41">
        <v>1225</v>
      </c>
      <c r="L97" s="41"/>
      <c r="M97" s="42">
        <v>500</v>
      </c>
      <c r="N97" s="42">
        <v>629.16999999999996</v>
      </c>
      <c r="O97" s="43">
        <v>1225</v>
      </c>
      <c r="P97" s="44">
        <v>500</v>
      </c>
      <c r="Q97" s="44">
        <v>629.16999999999996</v>
      </c>
      <c r="R97" s="45">
        <v>0</v>
      </c>
      <c r="S97" s="46">
        <v>0</v>
      </c>
      <c r="T97" s="39">
        <f t="shared" si="38"/>
        <v>13</v>
      </c>
      <c r="U97" s="47">
        <f t="shared" si="39"/>
        <v>1.1019467392432431E-3</v>
      </c>
      <c r="V97" s="48">
        <f t="shared" si="40"/>
        <v>129.16999999999996</v>
      </c>
      <c r="W97" s="49">
        <f t="shared" si="41"/>
        <v>8.4765133787941777E-5</v>
      </c>
      <c r="X97" s="44">
        <f t="shared" si="42"/>
        <v>239.84716311838721</v>
      </c>
      <c r="Y97" s="44">
        <f t="shared" si="43"/>
        <v>129.16999999999996</v>
      </c>
      <c r="Z97" s="44">
        <f t="shared" si="44"/>
        <v>911.99817673311043</v>
      </c>
      <c r="AA97" s="50">
        <f t="shared" si="45"/>
        <v>869.0171631183872</v>
      </c>
      <c r="AB97" s="51">
        <f t="shared" si="46"/>
        <v>852.57378398907201</v>
      </c>
      <c r="AC97" s="44">
        <f t="shared" si="47"/>
        <v>812.39334684340201</v>
      </c>
      <c r="AD97" s="44">
        <f t="shared" si="48"/>
        <v>0</v>
      </c>
      <c r="AE97" s="44">
        <f t="shared" si="49"/>
        <v>0</v>
      </c>
      <c r="AF97" s="52">
        <f>HLOOKUP(I97,ElecAvoidedCostsWOCC!$A$5:$Q$50,G97+1,FALSE)</f>
        <v>0.95298626106018935</v>
      </c>
      <c r="AG97" s="44">
        <f t="shared" si="50"/>
        <v>1167.4081697987319</v>
      </c>
      <c r="AH97" s="52">
        <f>HLOOKUP(I97,ElecAvoidedCostsWOCC!$A$5:$Q$50,T97+1,FALSE)</f>
        <v>0.95298626106018935</v>
      </c>
      <c r="AI97" s="44">
        <f t="shared" si="51"/>
        <v>0</v>
      </c>
      <c r="AJ97" s="44">
        <f t="shared" si="52"/>
        <v>1167.4081697987319</v>
      </c>
      <c r="AK97" s="44">
        <f>HLOOKUP(I97,ElecAvoidedCostsWOCC!$A$5:$Q$50,G97+1,FALSE)*J97*L97</f>
        <v>0</v>
      </c>
      <c r="AL97" s="44">
        <f t="shared" si="53"/>
        <v>1167.4081697987319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1167.4081697987319</v>
      </c>
      <c r="AN97" s="48">
        <f t="shared" si="54"/>
        <v>1284.1489867786051</v>
      </c>
      <c r="AO97" s="47">
        <f t="shared" si="55"/>
        <v>1.3692752366095453</v>
      </c>
      <c r="AP97" s="47">
        <f t="shared" si="56"/>
        <v>1.580698551715416</v>
      </c>
      <c r="AQ97">
        <v>2020</v>
      </c>
    </row>
    <row r="98" spans="2:43">
      <c r="B98" s="97" t="s">
        <v>39</v>
      </c>
      <c r="C98" s="61">
        <v>18230407</v>
      </c>
      <c r="D98" s="61" t="s">
        <v>40</v>
      </c>
      <c r="E98" s="38" t="s">
        <v>2082</v>
      </c>
      <c r="F98" s="39" t="s">
        <v>945</v>
      </c>
      <c r="G98" s="39">
        <v>10</v>
      </c>
      <c r="H98" s="39"/>
      <c r="I98" s="40" t="s">
        <v>265</v>
      </c>
      <c r="J98" s="41">
        <v>350</v>
      </c>
      <c r="K98" s="41">
        <v>50</v>
      </c>
      <c r="L98" s="41"/>
      <c r="M98" s="42">
        <v>33</v>
      </c>
      <c r="N98" s="42">
        <v>33</v>
      </c>
      <c r="O98" s="43">
        <v>17500</v>
      </c>
      <c r="P98" s="44">
        <v>11550</v>
      </c>
      <c r="Q98" s="44">
        <v>11550</v>
      </c>
      <c r="R98" s="45">
        <v>3.52</v>
      </c>
      <c r="S98" s="46">
        <v>0</v>
      </c>
      <c r="T98" s="39">
        <f t="shared" si="38"/>
        <v>10</v>
      </c>
      <c r="U98" s="47">
        <f t="shared" si="39"/>
        <v>1.2109304826848825E-2</v>
      </c>
      <c r="V98" s="48">
        <f t="shared" si="40"/>
        <v>0</v>
      </c>
      <c r="W98" s="49">
        <f t="shared" si="41"/>
        <v>1.2109304826848826E-3</v>
      </c>
      <c r="X98" s="44">
        <f t="shared" si="42"/>
        <v>3426.3880445483887</v>
      </c>
      <c r="Y98" s="44">
        <f t="shared" si="43"/>
        <v>0</v>
      </c>
      <c r="Z98" s="44">
        <f t="shared" si="44"/>
        <v>13028.545381901577</v>
      </c>
      <c r="AA98" s="50">
        <f t="shared" si="45"/>
        <v>14976.388044548388</v>
      </c>
      <c r="AB98" s="51">
        <f t="shared" si="46"/>
        <v>12179.62548555817</v>
      </c>
      <c r="AC98" s="44">
        <f t="shared" si="47"/>
        <v>14000.549728473765</v>
      </c>
      <c r="AD98" s="44">
        <f t="shared" si="48"/>
        <v>8665.0648251439707</v>
      </c>
      <c r="AE98" s="44">
        <f t="shared" si="49"/>
        <v>0</v>
      </c>
      <c r="AF98" s="52">
        <f>HLOOKUP(I98,ElecAvoidedCostsWOCC!$A$5:$Q$50,G98+1,FALSE)</f>
        <v>0.74487332198138856</v>
      </c>
      <c r="AG98" s="44">
        <f t="shared" si="50"/>
        <v>13035.283134674299</v>
      </c>
      <c r="AH98" s="52">
        <f>HLOOKUP(I98,ElecAvoidedCostsWOCC!$A$5:$Q$50,T98+1,FALSE)</f>
        <v>0.74487332198138856</v>
      </c>
      <c r="AI98" s="44">
        <f t="shared" si="51"/>
        <v>0</v>
      </c>
      <c r="AJ98" s="44">
        <f t="shared" si="52"/>
        <v>13035.283134674299</v>
      </c>
      <c r="AK98" s="44">
        <f>HLOOKUP(I98,ElecAvoidedCostsWOCC!$A$5:$Q$50,G98+1,FALSE)*J98*L98</f>
        <v>0</v>
      </c>
      <c r="AL98" s="44">
        <f t="shared" si="53"/>
        <v>13035.283134674299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13035.283134674301</v>
      </c>
      <c r="AN98" s="48">
        <f t="shared" si="54"/>
        <v>23003.876273285703</v>
      </c>
      <c r="AO98" s="47">
        <f t="shared" si="55"/>
        <v>1.0702531986825634</v>
      </c>
      <c r="AP98" s="47">
        <f t="shared" si="56"/>
        <v>1.6430695022282824</v>
      </c>
      <c r="AQ98">
        <v>2020</v>
      </c>
    </row>
    <row r="99" spans="2:43">
      <c r="B99" s="97" t="s">
        <v>39</v>
      </c>
      <c r="C99" s="61">
        <v>18230407</v>
      </c>
      <c r="D99" s="61" t="s">
        <v>40</v>
      </c>
      <c r="E99" s="38" t="s">
        <v>2085</v>
      </c>
      <c r="F99" s="39" t="s">
        <v>2086</v>
      </c>
      <c r="G99" s="39">
        <v>15</v>
      </c>
      <c r="H99" s="39"/>
      <c r="I99" s="40" t="s">
        <v>267</v>
      </c>
      <c r="J99" s="41">
        <v>1</v>
      </c>
      <c r="K99" s="41">
        <v>49</v>
      </c>
      <c r="L99" s="41"/>
      <c r="M99" s="42">
        <v>50</v>
      </c>
      <c r="N99" s="42">
        <v>100</v>
      </c>
      <c r="O99" s="43">
        <v>49</v>
      </c>
      <c r="P99" s="44">
        <v>50</v>
      </c>
      <c r="Q99" s="44">
        <v>100</v>
      </c>
      <c r="R99" s="45">
        <v>0</v>
      </c>
      <c r="S99" s="46">
        <v>0</v>
      </c>
      <c r="T99" s="39">
        <f t="shared" si="38"/>
        <v>15</v>
      </c>
      <c r="U99" s="47">
        <f t="shared" si="39"/>
        <v>5.0859080272765068E-5</v>
      </c>
      <c r="V99" s="48">
        <f t="shared" si="40"/>
        <v>50</v>
      </c>
      <c r="W99" s="49">
        <f t="shared" si="41"/>
        <v>3.3906053515176712E-6</v>
      </c>
      <c r="X99" s="44">
        <f t="shared" si="42"/>
        <v>9.5938865247354883</v>
      </c>
      <c r="Y99" s="44">
        <f t="shared" si="43"/>
        <v>50</v>
      </c>
      <c r="Z99" s="44">
        <f t="shared" si="44"/>
        <v>36.479927069324418</v>
      </c>
      <c r="AA99" s="50">
        <f t="shared" si="45"/>
        <v>109.5938865247355</v>
      </c>
      <c r="AB99" s="51">
        <f t="shared" si="46"/>
        <v>34.10295135956288</v>
      </c>
      <c r="AC99" s="44">
        <f t="shared" si="47"/>
        <v>102.45291813100448</v>
      </c>
      <c r="AD99" s="44">
        <f t="shared" si="48"/>
        <v>0</v>
      </c>
      <c r="AE99" s="44">
        <f t="shared" si="49"/>
        <v>0</v>
      </c>
      <c r="AF99" s="52">
        <f>HLOOKUP(I99,ElecAvoidedCostsWOCC!$A$5:$Q$50,G99+1,FALSE)</f>
        <v>1.3893373920773078</v>
      </c>
      <c r="AG99" s="44">
        <f t="shared" si="50"/>
        <v>68.077532211788082</v>
      </c>
      <c r="AH99" s="52">
        <f>HLOOKUP(I99,ElecAvoidedCostsWOCC!$A$5:$Q$50,T99+1,FALSE)</f>
        <v>1.3893373920773078</v>
      </c>
      <c r="AI99" s="44">
        <f t="shared" si="51"/>
        <v>0</v>
      </c>
      <c r="AJ99" s="44">
        <f t="shared" si="52"/>
        <v>68.077532211788082</v>
      </c>
      <c r="AK99" s="44">
        <f>HLOOKUP(I99,ElecAvoidedCostsWOCC!$A$5:$Q$50,G99+1,FALSE)*J99*L99</f>
        <v>0</v>
      </c>
      <c r="AL99" s="44">
        <f t="shared" si="53"/>
        <v>68.077532211788082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68.077532211788082</v>
      </c>
      <c r="AN99" s="48">
        <f t="shared" si="54"/>
        <v>74.885285432966896</v>
      </c>
      <c r="AO99" s="47">
        <f t="shared" si="55"/>
        <v>1.996235794785495</v>
      </c>
      <c r="AP99" s="47">
        <f t="shared" si="56"/>
        <v>0.73092388971500633</v>
      </c>
      <c r="AQ99">
        <v>2020</v>
      </c>
    </row>
    <row r="100" spans="2:43">
      <c r="B100" s="97" t="s">
        <v>39</v>
      </c>
      <c r="C100" s="61">
        <v>18230407</v>
      </c>
      <c r="D100" s="61" t="s">
        <v>40</v>
      </c>
      <c r="E100" s="38" t="s">
        <v>2087</v>
      </c>
      <c r="F100" s="39" t="s">
        <v>949</v>
      </c>
      <c r="G100" s="39">
        <v>12</v>
      </c>
      <c r="H100" s="39"/>
      <c r="I100" s="40" t="s">
        <v>248</v>
      </c>
      <c r="J100" s="41">
        <v>16</v>
      </c>
      <c r="K100" s="41">
        <v>99</v>
      </c>
      <c r="L100" s="41">
        <v>0</v>
      </c>
      <c r="M100" s="42">
        <v>70</v>
      </c>
      <c r="N100" s="42">
        <v>70</v>
      </c>
      <c r="O100" s="43">
        <v>1584</v>
      </c>
      <c r="P100" s="44">
        <v>1120</v>
      </c>
      <c r="Q100" s="44">
        <v>1120</v>
      </c>
      <c r="R100" s="45">
        <v>0</v>
      </c>
      <c r="S100" s="46">
        <v>0</v>
      </c>
      <c r="T100" s="39">
        <f t="shared" si="38"/>
        <v>12</v>
      </c>
      <c r="U100" s="47">
        <f t="shared" si="39"/>
        <v>1.3152780922785284E-3</v>
      </c>
      <c r="V100" s="48">
        <f t="shared" si="40"/>
        <v>0</v>
      </c>
      <c r="W100" s="49">
        <f t="shared" si="41"/>
        <v>1.0960650768987737E-4</v>
      </c>
      <c r="X100" s="44">
        <f t="shared" si="42"/>
        <v>310.13706643226561</v>
      </c>
      <c r="Y100" s="44">
        <f t="shared" si="43"/>
        <v>0</v>
      </c>
      <c r="Z100" s="44">
        <f t="shared" si="44"/>
        <v>1179.269479138977</v>
      </c>
      <c r="AA100" s="50">
        <f t="shared" si="45"/>
        <v>1430.1370664322656</v>
      </c>
      <c r="AB100" s="51">
        <f t="shared" si="46"/>
        <v>1102.4301010928082</v>
      </c>
      <c r="AC100" s="44">
        <f t="shared" si="47"/>
        <v>1336.9515438274893</v>
      </c>
      <c r="AD100" s="44">
        <f t="shared" si="48"/>
        <v>0</v>
      </c>
      <c r="AE100" s="44">
        <f t="shared" si="49"/>
        <v>0</v>
      </c>
      <c r="AF100" s="52">
        <f>HLOOKUP(I100,ElecAvoidedCostsWOCC!$A$5:$Q$50,G100+1,FALSE)</f>
        <v>0.91115730059915656</v>
      </c>
      <c r="AG100" s="44">
        <f t="shared" si="50"/>
        <v>1443.2731641490641</v>
      </c>
      <c r="AH100" s="52">
        <f>HLOOKUP(I100,ElecAvoidedCostsWOCC!$A$5:$Q$50,T100+1,FALSE)</f>
        <v>0.91115730059915656</v>
      </c>
      <c r="AI100" s="44">
        <f t="shared" si="51"/>
        <v>0</v>
      </c>
      <c r="AJ100" s="44">
        <f t="shared" si="52"/>
        <v>1443.2731641490641</v>
      </c>
      <c r="AK100" s="44">
        <f>HLOOKUP(I100,ElecAvoidedCostsWOCC!$A$5:$Q$50,G100+1,FALSE)*J100*L100</f>
        <v>0</v>
      </c>
      <c r="AL100" s="44">
        <f t="shared" si="53"/>
        <v>1443.2731641490641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1443.2731641490641</v>
      </c>
      <c r="AN100" s="48">
        <f t="shared" si="54"/>
        <v>1587.6004805639707</v>
      </c>
      <c r="AO100" s="47">
        <f t="shared" si="55"/>
        <v>1.3091743074852435</v>
      </c>
      <c r="AP100" s="47">
        <f t="shared" si="56"/>
        <v>1.1874779515336147</v>
      </c>
      <c r="AQ100">
        <v>2020</v>
      </c>
    </row>
    <row r="101" spans="2:43">
      <c r="B101" s="97" t="s">
        <v>39</v>
      </c>
      <c r="C101" s="61">
        <v>18230407</v>
      </c>
      <c r="D101" s="61" t="s">
        <v>40</v>
      </c>
      <c r="E101" s="38" t="s">
        <v>954</v>
      </c>
      <c r="F101" s="39" t="s">
        <v>955</v>
      </c>
      <c r="G101" s="39">
        <v>4</v>
      </c>
      <c r="H101" s="39"/>
      <c r="I101" s="40" t="s">
        <v>263</v>
      </c>
      <c r="J101" s="41">
        <v>3</v>
      </c>
      <c r="K101" s="41">
        <v>65</v>
      </c>
      <c r="L101" s="41"/>
      <c r="M101" s="42">
        <v>14</v>
      </c>
      <c r="N101" s="42">
        <v>14</v>
      </c>
      <c r="O101" s="43">
        <v>195</v>
      </c>
      <c r="P101" s="44">
        <v>42</v>
      </c>
      <c r="Q101" s="44">
        <v>42</v>
      </c>
      <c r="R101" s="45">
        <v>0</v>
      </c>
      <c r="S101" s="46">
        <v>0</v>
      </c>
      <c r="T101" s="39">
        <f t="shared" si="38"/>
        <v>4</v>
      </c>
      <c r="U101" s="47">
        <f t="shared" si="39"/>
        <v>5.3972901513954766E-5</v>
      </c>
      <c r="V101" s="48">
        <f t="shared" si="40"/>
        <v>0</v>
      </c>
      <c r="W101" s="49">
        <f t="shared" si="41"/>
        <v>1.3493225378488692E-5</v>
      </c>
      <c r="X101" s="44">
        <f t="shared" si="42"/>
        <v>38.179752496396333</v>
      </c>
      <c r="Y101" s="44">
        <f t="shared" si="43"/>
        <v>0</v>
      </c>
      <c r="Z101" s="44">
        <f t="shared" si="44"/>
        <v>145.17521996976043</v>
      </c>
      <c r="AA101" s="50">
        <f t="shared" si="45"/>
        <v>80.179752496396333</v>
      </c>
      <c r="AB101" s="51">
        <f t="shared" si="46"/>
        <v>135.71582683907678</v>
      </c>
      <c r="AC101" s="44">
        <f t="shared" si="47"/>
        <v>74.955363649991895</v>
      </c>
      <c r="AD101" s="44">
        <f t="shared" si="48"/>
        <v>0</v>
      </c>
      <c r="AE101" s="44">
        <f t="shared" si="49"/>
        <v>0</v>
      </c>
      <c r="AF101" s="52">
        <f>HLOOKUP(I101,ElecAvoidedCostsWOCC!$A$5:$Q$50,G101+1,FALSE)</f>
        <v>0.29675644721194466</v>
      </c>
      <c r="AG101" s="44">
        <f t="shared" si="50"/>
        <v>57.867507206329215</v>
      </c>
      <c r="AH101" s="52">
        <f>HLOOKUP(I101,ElecAvoidedCostsWOCC!$A$5:$Q$50,T101+1,FALSE)</f>
        <v>0.29675644721194466</v>
      </c>
      <c r="AI101" s="44">
        <f t="shared" si="51"/>
        <v>0</v>
      </c>
      <c r="AJ101" s="44">
        <f t="shared" si="52"/>
        <v>57.867507206329215</v>
      </c>
      <c r="AK101" s="44">
        <f>HLOOKUP(I101,ElecAvoidedCostsWOCC!$A$5:$Q$50,G101+1,FALSE)*J101*L101</f>
        <v>0</v>
      </c>
      <c r="AL101" s="44">
        <f t="shared" si="53"/>
        <v>57.867507206329215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57.867507206329208</v>
      </c>
      <c r="AN101" s="48">
        <f t="shared" si="54"/>
        <v>63.654257926962131</v>
      </c>
      <c r="AO101" s="47">
        <f t="shared" si="55"/>
        <v>0.42638731645458583</v>
      </c>
      <c r="AP101" s="47">
        <f t="shared" si="56"/>
        <v>0.84922885871382225</v>
      </c>
      <c r="AQ101">
        <v>2020</v>
      </c>
    </row>
    <row r="102" spans="2:43">
      <c r="B102" s="97" t="s">
        <v>39</v>
      </c>
      <c r="C102" s="61">
        <v>18230407</v>
      </c>
      <c r="D102" s="61" t="s">
        <v>40</v>
      </c>
      <c r="E102" s="38" t="s">
        <v>956</v>
      </c>
      <c r="F102" s="39" t="s">
        <v>957</v>
      </c>
      <c r="G102" s="39">
        <v>5</v>
      </c>
      <c r="H102" s="39"/>
      <c r="I102" s="40" t="s">
        <v>263</v>
      </c>
      <c r="J102" s="41">
        <v>123</v>
      </c>
      <c r="K102" s="41">
        <v>45</v>
      </c>
      <c r="L102" s="41"/>
      <c r="M102" s="42">
        <v>14</v>
      </c>
      <c r="N102" s="42">
        <v>14</v>
      </c>
      <c r="O102" s="43">
        <v>5535</v>
      </c>
      <c r="P102" s="44">
        <v>1722</v>
      </c>
      <c r="Q102" s="44">
        <v>1722</v>
      </c>
      <c r="R102" s="45">
        <v>0</v>
      </c>
      <c r="S102" s="46">
        <v>0</v>
      </c>
      <c r="T102" s="39">
        <f t="shared" si="38"/>
        <v>5</v>
      </c>
      <c r="U102" s="47">
        <f t="shared" si="39"/>
        <v>1.9150000633316644E-3</v>
      </c>
      <c r="V102" s="48">
        <f t="shared" si="40"/>
        <v>0</v>
      </c>
      <c r="W102" s="49">
        <f t="shared" si="41"/>
        <v>3.8300001266633287E-4</v>
      </c>
      <c r="X102" s="44">
        <f t="shared" si="42"/>
        <v>1083.717590090019</v>
      </c>
      <c r="Y102" s="44">
        <f t="shared" si="43"/>
        <v>0</v>
      </c>
      <c r="Z102" s="44">
        <f t="shared" si="44"/>
        <v>4120.7427822185846</v>
      </c>
      <c r="AA102" s="50">
        <f t="shared" si="45"/>
        <v>2805.7175900900193</v>
      </c>
      <c r="AB102" s="51">
        <f t="shared" si="46"/>
        <v>3852.2415464322557</v>
      </c>
      <c r="AC102" s="44">
        <f t="shared" si="47"/>
        <v>2622.9013649528083</v>
      </c>
      <c r="AD102" s="44">
        <f t="shared" si="48"/>
        <v>0</v>
      </c>
      <c r="AE102" s="44">
        <f t="shared" si="49"/>
        <v>0</v>
      </c>
      <c r="AF102" s="52">
        <f>HLOOKUP(I102,ElecAvoidedCostsWOCC!$A$5:$Q$50,G102+1,FALSE)</f>
        <v>0.37292142124911032</v>
      </c>
      <c r="AG102" s="44">
        <f t="shared" si="50"/>
        <v>2064.1200666138257</v>
      </c>
      <c r="AH102" s="52">
        <f>HLOOKUP(I102,ElecAvoidedCostsWOCC!$A$5:$Q$50,T102+1,FALSE)</f>
        <v>0.37292142124911032</v>
      </c>
      <c r="AI102" s="44">
        <f t="shared" si="51"/>
        <v>0</v>
      </c>
      <c r="AJ102" s="44">
        <f t="shared" si="52"/>
        <v>2064.1200666138257</v>
      </c>
      <c r="AK102" s="44">
        <f>HLOOKUP(I102,ElecAvoidedCostsWOCC!$A$5:$Q$50,G102+1,FALSE)*J102*L102</f>
        <v>0</v>
      </c>
      <c r="AL102" s="44">
        <f t="shared" si="53"/>
        <v>2064.1200666138257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2064.1200666138257</v>
      </c>
      <c r="AN102" s="48">
        <f t="shared" si="54"/>
        <v>2270.5320732752084</v>
      </c>
      <c r="AO102" s="47">
        <f t="shared" si="55"/>
        <v>0.53582311538213523</v>
      </c>
      <c r="AP102" s="47">
        <f t="shared" si="56"/>
        <v>0.86565667455667372</v>
      </c>
      <c r="AQ102">
        <v>2020</v>
      </c>
    </row>
    <row r="103" spans="2:43">
      <c r="B103" s="97"/>
      <c r="C103" s="61"/>
      <c r="D103" s="61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HLOOKUP(I103,ElecAvoidedCostsWOCC!$A$5:$Q$50,G103+1,FALSE)</f>
        <v>#N/A</v>
      </c>
      <c r="AG103" s="44" t="e">
        <f t="shared" si="50"/>
        <v>#N/A</v>
      </c>
      <c r="AH103" s="52" t="e">
        <f>HLOOKUP(I103,ElecAvoidedCostsWOCC!$A$5:$Q$50,T103+1,FALSE)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HLOOKUP(I103,ElecAvoidedCostsWOCC!$A$5:$Q$50,G103+1,FALSE)*J103*L103</f>
        <v>#N/A</v>
      </c>
      <c r="AL103" s="44" t="e">
        <f t="shared" si="53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3">
      <c r="B104" s="97"/>
      <c r="C104" s="61"/>
      <c r="D104" s="61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HLOOKUP(I104,ElecAvoidedCostsWOCC!$A$5:$Q$50,G104+1,FALSE)</f>
        <v>#N/A</v>
      </c>
      <c r="AG104" s="44" t="e">
        <f t="shared" si="50"/>
        <v>#N/A</v>
      </c>
      <c r="AH104" s="52" t="e">
        <f>HLOOKUP(I104,ElecAvoidedCostsWOCC!$A$5:$Q$50,T104+1,FALSE)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HLOOKUP(I104,ElecAvoidedCostsWOCC!$A$5:$Q$50,G104+1,FALSE)*J104*L104</f>
        <v>#N/A</v>
      </c>
      <c r="AL104" s="44" t="e">
        <f t="shared" si="53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3">
      <c r="B105" s="97"/>
      <c r="C105" s="61"/>
      <c r="D105" s="61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HLOOKUP(I105,ElecAvoidedCostsWOCC!$A$5:$Q$50,G105+1,FALSE)</f>
        <v>#N/A</v>
      </c>
      <c r="AG105" s="44" t="e">
        <f t="shared" si="50"/>
        <v>#N/A</v>
      </c>
      <c r="AH105" s="52" t="e">
        <f>HLOOKUP(I105,ElecAvoidedCostsWOCC!$A$5:$Q$50,T105+1,FALSE)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HLOOKUP(I105,ElecAvoidedCostsWOCC!$A$5:$Q$50,G105+1,FALSE)*J105*L105</f>
        <v>#N/A</v>
      </c>
      <c r="AL105" s="44" t="e">
        <f t="shared" si="53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3">
      <c r="B106" s="9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HLOOKUP(I106,ElecAvoidedCostsWOCC!$A$5:$Q$50,G106+1,FALSE)</f>
        <v>#N/A</v>
      </c>
      <c r="AG106" s="44" t="e">
        <f t="shared" si="50"/>
        <v>#N/A</v>
      </c>
      <c r="AH106" s="52" t="e">
        <f>HLOOKUP(I106,ElecAvoidedCostsWOCC!$A$5:$Q$50,T106+1,FALSE)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HLOOKUP(I106,ElecAvoidedCostsWOCC!$A$5:$Q$50,G106+1,FALSE)*J106*L106</f>
        <v>#N/A</v>
      </c>
      <c r="AL106" s="44" t="e">
        <f t="shared" si="53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3">
      <c r="B107" s="9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HLOOKUP(I107,ElecAvoidedCostsWOCC!$A$5:$Q$50,G107+1,FALSE)</f>
        <v>#N/A</v>
      </c>
      <c r="AG107" s="44" t="e">
        <f t="shared" si="50"/>
        <v>#N/A</v>
      </c>
      <c r="AH107" s="52" t="e">
        <f>HLOOKUP(I107,ElecAvoidedCostsWOCC!$A$5:$Q$50,T107+1,FALSE)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HLOOKUP(I107,ElecAvoidedCostsWOCC!$A$5:$Q$50,G107+1,FALSE)*J107*L107</f>
        <v>#N/A</v>
      </c>
      <c r="AL107" s="44" t="e">
        <f t="shared" si="53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3">
      <c r="B108" s="9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HLOOKUP(I108,ElecAvoidedCostsWOCC!$A$5:$Q$50,G108+1,FALSE)</f>
        <v>#N/A</v>
      </c>
      <c r="AG108" s="44" t="e">
        <f t="shared" si="50"/>
        <v>#N/A</v>
      </c>
      <c r="AH108" s="52" t="e">
        <f>HLOOKUP(I108,ElecAvoidedCostsWOCC!$A$5:$Q$50,T108+1,FALSE)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HLOOKUP(I108,ElecAvoidedCostsWOCC!$A$5:$Q$50,G108+1,FALSE)*J108*L108</f>
        <v>#N/A</v>
      </c>
      <c r="AL108" s="44" t="e">
        <f t="shared" si="53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3">
      <c r="B109" s="9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HLOOKUP(I109,ElecAvoidedCostsWOCC!$A$5:$Q$50,G109+1,FALSE)</f>
        <v>#N/A</v>
      </c>
      <c r="AG109" s="44" t="e">
        <f t="shared" si="50"/>
        <v>#N/A</v>
      </c>
      <c r="AH109" s="52" t="e">
        <f>HLOOKUP(I109,ElecAvoidedCostsWOCC!$A$5:$Q$50,T109+1,FALSE)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HLOOKUP(I109,ElecAvoidedCostsWOCC!$A$5:$Q$50,G109+1,FALSE)*J109*L109</f>
        <v>#N/A</v>
      </c>
      <c r="AL109" s="44" t="e">
        <f t="shared" si="53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3">
      <c r="B110" s="9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HLOOKUP(I110,ElecAvoidedCostsWOCC!$A$5:$Q$50,G110+1,FALSE)</f>
        <v>#N/A</v>
      </c>
      <c r="AG110" s="44" t="e">
        <f t="shared" si="50"/>
        <v>#N/A</v>
      </c>
      <c r="AH110" s="52" t="e">
        <f>HLOOKUP(I110,ElecAvoidedCostsWOCC!$A$5:$Q$50,T110+1,FALSE)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HLOOKUP(I110,ElecAvoidedCostsWOCC!$A$5:$Q$50,G110+1,FALSE)*J110*L110</f>
        <v>#N/A</v>
      </c>
      <c r="AL110" s="44" t="e">
        <f t="shared" si="53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3">
      <c r="B111" s="9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HLOOKUP(I111,ElecAvoidedCostsWOCC!$A$5:$Q$50,G111+1,FALSE)</f>
        <v>#N/A</v>
      </c>
      <c r="AG111" s="44" t="e">
        <f t="shared" si="50"/>
        <v>#N/A</v>
      </c>
      <c r="AH111" s="52" t="e">
        <f>HLOOKUP(I111,ElecAvoidedCostsWOCC!$A$5:$Q$50,T111+1,FALSE)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HLOOKUP(I111,ElecAvoidedCostsWOCC!$A$5:$Q$50,G111+1,FALSE)*J111*L111</f>
        <v>#N/A</v>
      </c>
      <c r="AL111" s="44" t="e">
        <f t="shared" si="53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3">
      <c r="B112" s="9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HLOOKUP(I112,ElecAvoidedCostsWOCC!$A$5:$Q$50,G112+1,FALSE)</f>
        <v>#N/A</v>
      </c>
      <c r="AG112" s="44" t="e">
        <f t="shared" si="50"/>
        <v>#N/A</v>
      </c>
      <c r="AH112" s="52" t="e">
        <f>HLOOKUP(I112,ElecAvoidedCostsWOCC!$A$5:$Q$50,T112+1,FALSE)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HLOOKUP(I112,ElecAvoidedCostsWOCC!$A$5:$Q$50,G112+1,FALSE)*J112*L112</f>
        <v>#N/A</v>
      </c>
      <c r="AL112" s="44" t="e">
        <f t="shared" si="53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9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HLOOKUP(I113,ElecAvoidedCostsWOCC!$A$5:$Q$50,G113+1,FALSE)</f>
        <v>#N/A</v>
      </c>
      <c r="AG113" s="44" t="e">
        <f t="shared" si="50"/>
        <v>#N/A</v>
      </c>
      <c r="AH113" s="52" t="e">
        <f>HLOOKUP(I113,ElecAvoidedCostsWOCC!$A$5:$Q$50,T113+1,FALSE)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HLOOKUP(I113,ElecAvoidedCostsWOCC!$A$5:$Q$50,G113+1,FALSE)*J113*L113</f>
        <v>#N/A</v>
      </c>
      <c r="AL113" s="44" t="e">
        <f t="shared" si="53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9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HLOOKUP(I114,ElecAvoidedCostsWOCC!$A$5:$Q$50,G114+1,FALSE)</f>
        <v>#N/A</v>
      </c>
      <c r="AG114" s="44" t="e">
        <f t="shared" si="50"/>
        <v>#N/A</v>
      </c>
      <c r="AH114" s="52" t="e">
        <f>HLOOKUP(I114,ElecAvoidedCostsWOCC!$A$5:$Q$50,T114+1,FALSE)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HLOOKUP(I114,ElecAvoidedCostsWOCC!$A$5:$Q$50,G114+1,FALSE)*J114*L114</f>
        <v>#N/A</v>
      </c>
      <c r="AL114" s="44" t="e">
        <f t="shared" si="53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9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HLOOKUP(I115,ElecAvoidedCostsWOCC!$A$5:$Q$50,G115+1,FALSE)</f>
        <v>#N/A</v>
      </c>
      <c r="AG115" s="44" t="e">
        <f t="shared" si="50"/>
        <v>#N/A</v>
      </c>
      <c r="AH115" s="52" t="e">
        <f>HLOOKUP(I115,ElecAvoidedCostsWOCC!$A$5:$Q$50,T115+1,FALSE)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HLOOKUP(I115,ElecAvoidedCostsWOCC!$A$5:$Q$50,G115+1,FALSE)*J115*L115</f>
        <v>#N/A</v>
      </c>
      <c r="AL115" s="44" t="e">
        <f t="shared" si="53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9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HLOOKUP(I116,ElecAvoidedCostsWOCC!$A$5:$Q$50,G116+1,FALSE)</f>
        <v>#N/A</v>
      </c>
      <c r="AG116" s="44" t="e">
        <f t="shared" si="50"/>
        <v>#N/A</v>
      </c>
      <c r="AH116" s="52" t="e">
        <f>HLOOKUP(I116,ElecAvoidedCostsWOCC!$A$5:$Q$50,T116+1,FALSE)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HLOOKUP(I116,ElecAvoidedCostsWOCC!$A$5:$Q$50,G116+1,FALSE)*J116*L116</f>
        <v>#N/A</v>
      </c>
      <c r="AL116" s="44" t="e">
        <f t="shared" si="53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9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HLOOKUP(I117,ElecAvoidedCostsWOCC!$A$5:$Q$50,G117+1,FALSE)</f>
        <v>#N/A</v>
      </c>
      <c r="AG117" s="44" t="e">
        <f t="shared" si="50"/>
        <v>#N/A</v>
      </c>
      <c r="AH117" s="52" t="e">
        <f>HLOOKUP(I117,ElecAvoidedCostsWOCC!$A$5:$Q$50,T117+1,FALSE)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HLOOKUP(I117,ElecAvoidedCostsWOCC!$A$5:$Q$50,G117+1,FALSE)*J117*L117</f>
        <v>#N/A</v>
      </c>
      <c r="AL117" s="44" t="e">
        <f t="shared" si="53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9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HLOOKUP(I118,ElecAvoidedCostsWOCC!$A$5:$Q$50,G118+1,FALSE)</f>
        <v>#N/A</v>
      </c>
      <c r="AG118" s="44" t="e">
        <f t="shared" si="50"/>
        <v>#N/A</v>
      </c>
      <c r="AH118" s="52" t="e">
        <f>HLOOKUP(I118,ElecAvoidedCostsWOCC!$A$5:$Q$50,T118+1,FALSE)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HLOOKUP(I118,ElecAvoidedCostsWOCC!$A$5:$Q$50,G118+1,FALSE)*J118*L118</f>
        <v>#N/A</v>
      </c>
      <c r="AL118" s="44" t="e">
        <f t="shared" si="53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9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HLOOKUP(I119,ElecAvoidedCostsWOCC!$A$5:$Q$50,G119+1,FALSE)</f>
        <v>#N/A</v>
      </c>
      <c r="AG119" s="44" t="e">
        <f t="shared" si="50"/>
        <v>#N/A</v>
      </c>
      <c r="AH119" s="52" t="e">
        <f>HLOOKUP(I119,ElecAvoidedCostsWOCC!$A$5:$Q$50,T119+1,FALSE)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HLOOKUP(I119,ElecAvoidedCostsWOCC!$A$5:$Q$50,G119+1,FALSE)*J119*L119</f>
        <v>#N/A</v>
      </c>
      <c r="AL119" s="44" t="e">
        <f t="shared" si="53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9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HLOOKUP(I120,ElecAvoidedCostsWOCC!$A$5:$Q$50,G120+1,FALSE)</f>
        <v>#N/A</v>
      </c>
      <c r="AG120" s="44" t="e">
        <f t="shared" si="50"/>
        <v>#N/A</v>
      </c>
      <c r="AH120" s="52" t="e">
        <f>HLOOKUP(I120,ElecAvoidedCostsWOCC!$A$5:$Q$50,T120+1,FALSE)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HLOOKUP(I120,ElecAvoidedCostsWOCC!$A$5:$Q$50,G120+1,FALSE)*J120*L120</f>
        <v>#N/A</v>
      </c>
      <c r="AL120" s="44" t="e">
        <f t="shared" si="53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3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HLOOKUP(I121,ElecAvoidedCostsWOCC!$A$5:$Q$50,G121+1,FALSE)</f>
        <v>#N/A</v>
      </c>
      <c r="AG121" s="44" t="e">
        <f t="shared" si="50"/>
        <v>#N/A</v>
      </c>
      <c r="AH121" s="52" t="e">
        <f>HLOOKUP(I121,ElecAvoidedCostsWOCC!$A$5:$Q$50,T121+1,FALSE)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HLOOKUP(I121,ElecAvoidedCostsWOCC!$A$5:$Q$50,G121+1,FALSE)*J121*L121</f>
        <v>#N/A</v>
      </c>
      <c r="AL121" s="44" t="e">
        <f t="shared" si="53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HLOOKUP(I123,ElecAvoidedCostsWOCC!$A$5:$Q$50,G123+1,FALSE)</f>
        <v>#N/A</v>
      </c>
      <c r="AG123" s="44" t="e">
        <f t="shared" si="50"/>
        <v>#N/A</v>
      </c>
      <c r="AH123" s="52" t="e">
        <f>HLOOKUP(I123,ElecAvoidedCostsWOCC!$A$5:$Q$50,T123+1,FALSE)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HLOOKUP(I123,ElecAvoidedCostsWOCC!$A$5:$Q$50,G123+1,FALSE)*J123*L123</f>
        <v>#N/A</v>
      </c>
      <c r="AL123" s="44" t="e">
        <f t="shared" si="53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HLOOKUP(I125,ElecAvoidedCostsWOCC!$A$5:$Q$50,G125+1,FALSE)</f>
        <v>#N/A</v>
      </c>
      <c r="AG125" s="44" t="e">
        <f t="shared" si="50"/>
        <v>#N/A</v>
      </c>
      <c r="AH125" s="52" t="e">
        <f>HLOOKUP(I125,ElecAvoidedCostsWOCC!$A$5:$Q$50,T125+1,FALSE)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HLOOKUP(I125,ElecAvoidedCostsWOCC!$A$5:$Q$50,G125+1,FALSE)*J125*L125</f>
        <v>#N/A</v>
      </c>
      <c r="AL125" s="44" t="e">
        <f t="shared" si="53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HLOOKUP(I127,ElecAvoidedCostsWOCC!$A$5:$Q$50,G127+1,FALSE)</f>
        <v>#N/A</v>
      </c>
      <c r="AG127" s="44" t="e">
        <f t="shared" si="50"/>
        <v>#N/A</v>
      </c>
      <c r="AH127" s="52" t="e">
        <f>HLOOKUP(I127,ElecAvoidedCostsWOCC!$A$5:$Q$50,T127+1,FALSE)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HLOOKUP(I127,ElecAvoidedCostsWOCC!$A$5:$Q$50,G127+1,FALSE)*J127*L127</f>
        <v>#N/A</v>
      </c>
      <c r="AL127" s="44" t="e">
        <f t="shared" si="53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HLOOKUP(I130,ElecAvoidedCostsWOCC!$A$5:$Q$50,G130+1,FALSE)</f>
        <v>#N/A</v>
      </c>
      <c r="AG130" s="44" t="e">
        <f t="shared" si="50"/>
        <v>#N/A</v>
      </c>
      <c r="AH130" s="52" t="e">
        <f>HLOOKUP(I130,ElecAvoidedCostsWOCC!$A$5:$Q$50,T130+1,FALSE)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HLOOKUP(I130,ElecAvoidedCostsWOCC!$A$5:$Q$50,G130+1,FALSE)*J130*L130</f>
        <v>#N/A</v>
      </c>
      <c r="AL130" s="44" t="e">
        <f t="shared" si="53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3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3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0">
        <f t="shared" si="45"/>
        <v>0</v>
      </c>
      <c r="AB132" s="51">
        <f t="shared" si="46"/>
        <v>0</v>
      </c>
      <c r="AC132" s="44">
        <f t="shared" si="47"/>
        <v>0</v>
      </c>
      <c r="AD132" s="44">
        <f t="shared" si="48"/>
        <v>0</v>
      </c>
      <c r="AE132" s="44">
        <f t="shared" si="49"/>
        <v>0</v>
      </c>
      <c r="AF132" s="52" t="e">
        <f>HLOOKUP(I132,ElecAvoidedCostsWOCC!$A$5:$Q$50,G132+1,FALSE)</f>
        <v>#N/A</v>
      </c>
      <c r="AG132" s="44" t="e">
        <f t="shared" si="50"/>
        <v>#N/A</v>
      </c>
      <c r="AH132" s="52" t="e">
        <f>HLOOKUP(I132,ElecAvoidedCostsWOCC!$A$5:$Q$50,T132+1,FALSE)</f>
        <v>#N/A</v>
      </c>
      <c r="AI132" s="44" t="e">
        <f t="shared" si="51"/>
        <v>#N/A</v>
      </c>
      <c r="AJ132" s="44" t="e">
        <f t="shared" si="52"/>
        <v>#N/A</v>
      </c>
      <c r="AK132" s="44" t="e">
        <f>HLOOKUP(I132,ElecAvoidedCostsWOCC!$A$5:$Q$50,G132+1,FALSE)*J132*L132</f>
        <v>#N/A</v>
      </c>
      <c r="AL132" s="44" t="e">
        <f t="shared" si="53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4"/>
        <v>0</v>
      </c>
      <c r="AO132" s="47">
        <f t="shared" si="55"/>
        <v>0</v>
      </c>
      <c r="AP132" s="47" t="e">
        <f t="shared" si="56"/>
        <v>#DIV/0!</v>
      </c>
    </row>
    <row r="133" spans="2:42">
      <c r="B133" s="3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HLOOKUP(I133,ElecAvoidedCostsWOCC!$A$5:$Q$50,G133+1,FALSE)</f>
        <v>#N/A</v>
      </c>
      <c r="AG133" s="44" t="e">
        <f t="shared" si="50"/>
        <v>#N/A</v>
      </c>
      <c r="AH133" s="52" t="e">
        <f>HLOOKUP(I133,ElecAvoidedCostsWOCC!$A$5:$Q$50,T133+1,FALSE)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HLOOKUP(I133,ElecAvoidedCostsWOCC!$A$5:$Q$50,G133+1,FALSE)*J133*L133</f>
        <v>#N/A</v>
      </c>
      <c r="AL133" s="44" t="e">
        <f t="shared" si="53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</sheetData>
  <conditionalFormatting sqref="J5:L133">
    <cfRule type="expression" dxfId="259" priority="4">
      <formula>ISTEXT(J5)</formula>
    </cfRule>
    <cfRule type="notContainsBlanks" dxfId="258" priority="5">
      <formula>LEN(TRIM(J5))&gt;0</formula>
    </cfRule>
  </conditionalFormatting>
  <conditionalFormatting sqref="M5:N133 R5:S133">
    <cfRule type="expression" dxfId="257" priority="2">
      <formula>ISTEXT(M5)</formula>
    </cfRule>
  </conditionalFormatting>
  <conditionalFormatting sqref="M5:N133 R5:S133">
    <cfRule type="notContainsBlanks" dxfId="256" priority="3">
      <formula>LEN(TRIM(M5))&gt;0</formula>
    </cfRule>
  </conditionalFormatting>
  <conditionalFormatting sqref="R5:S133">
    <cfRule type="expression" dxfId="2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8"/>
  <sheetViews>
    <sheetView zoomScale="85" zoomScaleNormal="85" workbookViewId="0">
      <selection activeCell="A6" sqref="A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18230486</v>
      </c>
      <c r="D2" s="20" t="s">
        <v>60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59</v>
      </c>
      <c r="C5" s="61">
        <v>18230486</v>
      </c>
      <c r="D5" s="61" t="s">
        <v>60</v>
      </c>
      <c r="E5" s="38" t="s">
        <v>974</v>
      </c>
      <c r="F5" s="39" t="s">
        <v>975</v>
      </c>
      <c r="G5" s="39">
        <v>15</v>
      </c>
      <c r="H5" s="39"/>
      <c r="I5" s="40" t="s">
        <v>256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0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1227245</v>
      </c>
      <c r="B6" s="97" t="s">
        <v>59</v>
      </c>
      <c r="C6" s="61">
        <v>18230486</v>
      </c>
      <c r="D6" s="61" t="s">
        <v>60</v>
      </c>
      <c r="E6" s="38" t="s">
        <v>974</v>
      </c>
      <c r="F6" s="39" t="s">
        <v>975</v>
      </c>
      <c r="G6" s="39">
        <v>15</v>
      </c>
      <c r="H6" s="39"/>
      <c r="I6" s="40" t="s">
        <v>256</v>
      </c>
      <c r="J6" s="41">
        <v>1</v>
      </c>
      <c r="K6" s="41">
        <v>46520</v>
      </c>
      <c r="L6" s="41"/>
      <c r="M6" s="42">
        <v>20235</v>
      </c>
      <c r="N6" s="42">
        <v>20235</v>
      </c>
      <c r="O6" s="43">
        <v>46520</v>
      </c>
      <c r="P6" s="44">
        <v>20235</v>
      </c>
      <c r="Q6" s="44">
        <v>20235</v>
      </c>
      <c r="R6" s="45"/>
      <c r="S6" s="46"/>
      <c r="T6" s="39">
        <f t="shared" si="0"/>
        <v>15</v>
      </c>
      <c r="U6" s="47">
        <f t="shared" si="1"/>
        <v>0.15120240363717835</v>
      </c>
      <c r="V6" s="48">
        <f t="shared" si="2"/>
        <v>0</v>
      </c>
      <c r="W6" s="49">
        <f t="shared" si="3"/>
        <v>1.0080160242478558E-2</v>
      </c>
      <c r="X6" s="44">
        <f t="shared" si="4"/>
        <v>8766.1738566753756</v>
      </c>
      <c r="Y6" s="44">
        <f t="shared" si="5"/>
        <v>0</v>
      </c>
      <c r="Z6" s="44">
        <f t="shared" si="6"/>
        <v>21137.000113455972</v>
      </c>
      <c r="AA6" s="50">
        <f t="shared" si="7"/>
        <v>29001.173856675377</v>
      </c>
      <c r="AB6" s="51">
        <f t="shared" si="8"/>
        <v>19759.74582916329</v>
      </c>
      <c r="AC6" s="44">
        <f t="shared" si="8"/>
        <v>27111.502156375969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47887.519790271654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4" si="12">AG6+AI6</f>
        <v>47887.519790271654</v>
      </c>
      <c r="AK6" s="44">
        <f>HLOOKUP(I6,ElecAvoidedCostsWOCC!$A$5:$Q$50,G6+1,FALSE)*J6*L6</f>
        <v>0</v>
      </c>
      <c r="AL6" s="44">
        <f t="shared" ref="AL6:AL24" si="13">AG6+AI6-AK6</f>
        <v>47887.519790271654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47887.519790271654</v>
      </c>
      <c r="AN6" s="48">
        <f t="shared" ref="AN6:AN24" si="14">AM6*1.1+AD6+AE6</f>
        <v>52676.271769298823</v>
      </c>
      <c r="AO6" s="47">
        <f t="shared" ref="AO6:AO24" si="15">IFERROR(AM6/AB6,0)</f>
        <v>2.4234886523486932</v>
      </c>
      <c r="AP6" s="47">
        <f t="shared" ref="AP6:AP24" si="16">AN6/AC6</f>
        <v>1.9429492126798529</v>
      </c>
      <c r="AQ6">
        <v>2021</v>
      </c>
    </row>
    <row r="7" spans="1:43" ht="13.5" customHeight="1">
      <c r="A7" s="36" t="s">
        <v>249</v>
      </c>
      <c r="B7" s="97" t="s">
        <v>59</v>
      </c>
      <c r="C7" s="61">
        <v>18230486</v>
      </c>
      <c r="D7" s="61" t="s">
        <v>60</v>
      </c>
      <c r="E7" s="38" t="s">
        <v>974</v>
      </c>
      <c r="F7" s="39" t="s">
        <v>975</v>
      </c>
      <c r="G7" s="39">
        <v>15</v>
      </c>
      <c r="H7" s="39"/>
      <c r="I7" s="40" t="s">
        <v>256</v>
      </c>
      <c r="J7" s="41">
        <v>1</v>
      </c>
      <c r="K7" s="41">
        <v>401021</v>
      </c>
      <c r="L7" s="41"/>
      <c r="M7" s="42">
        <v>110317</v>
      </c>
      <c r="N7" s="42">
        <v>110317</v>
      </c>
      <c r="O7" s="43">
        <v>401021</v>
      </c>
      <c r="P7" s="44">
        <v>110317</v>
      </c>
      <c r="Q7" s="44">
        <v>110317</v>
      </c>
      <c r="R7" s="45"/>
      <c r="S7" s="46"/>
      <c r="T7" s="39">
        <f t="shared" si="0"/>
        <v>15</v>
      </c>
      <c r="U7" s="47">
        <f t="shared" si="1"/>
        <v>1.3034251743117993</v>
      </c>
      <c r="V7" s="48">
        <f t="shared" si="2"/>
        <v>0</v>
      </c>
      <c r="W7" s="49">
        <f t="shared" si="3"/>
        <v>8.6895011620786625E-2</v>
      </c>
      <c r="X7" s="44">
        <f t="shared" si="4"/>
        <v>75567.923606573866</v>
      </c>
      <c r="Y7" s="44">
        <f t="shared" si="5"/>
        <v>0</v>
      </c>
      <c r="Z7" s="44">
        <f t="shared" si="6"/>
        <v>182209.39214312614</v>
      </c>
      <c r="AA7" s="50">
        <f t="shared" si="7"/>
        <v>185884.92360657387</v>
      </c>
      <c r="AB7" s="51">
        <f t="shared" si="8"/>
        <v>170336.90954765459</v>
      </c>
      <c r="AC7" s="44">
        <f t="shared" si="8"/>
        <v>173772.94905728134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412809.56736488669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412809.56736488669</v>
      </c>
      <c r="AK7" s="44">
        <f>HLOOKUP(I7,ElecAvoidedCostsWOCC!$A$5:$Q$50,G7+1,FALSE)*J7*L7</f>
        <v>0</v>
      </c>
      <c r="AL7" s="44">
        <f t="shared" si="13"/>
        <v>412809.56736488669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412809.56736488669</v>
      </c>
      <c r="AN7" s="48">
        <f t="shared" si="14"/>
        <v>454090.52410137543</v>
      </c>
      <c r="AO7" s="47">
        <f t="shared" si="15"/>
        <v>2.4234886523486932</v>
      </c>
      <c r="AP7" s="47">
        <f t="shared" si="16"/>
        <v>2.6131254983288112</v>
      </c>
      <c r="AQ7">
        <v>2021</v>
      </c>
    </row>
    <row r="8" spans="1:43" ht="13.5" customHeight="1">
      <c r="A8" s="53">
        <f>SUMIF('Program Costs'!D:D,C2,'Program Costs'!O:O)</f>
        <v>869646.28</v>
      </c>
      <c r="B8" s="97" t="s">
        <v>59</v>
      </c>
      <c r="C8" s="61">
        <v>18230486</v>
      </c>
      <c r="D8" s="61" t="s">
        <v>60</v>
      </c>
      <c r="E8" s="38" t="s">
        <v>974</v>
      </c>
      <c r="F8" s="39" t="s">
        <v>975</v>
      </c>
      <c r="G8" s="39">
        <v>15</v>
      </c>
      <c r="H8" s="39"/>
      <c r="I8" s="40" t="s">
        <v>256</v>
      </c>
      <c r="J8" s="41">
        <v>1</v>
      </c>
      <c r="K8" s="41">
        <v>265262</v>
      </c>
      <c r="L8" s="41"/>
      <c r="M8" s="42">
        <v>69070</v>
      </c>
      <c r="N8" s="42">
        <v>69070</v>
      </c>
      <c r="O8" s="43">
        <v>265262</v>
      </c>
      <c r="P8" s="44">
        <v>69070</v>
      </c>
      <c r="Q8" s="44">
        <v>69070</v>
      </c>
      <c r="R8" s="45"/>
      <c r="S8" s="46"/>
      <c r="T8" s="39">
        <f t="shared" si="0"/>
        <v>15</v>
      </c>
      <c r="U8" s="47">
        <f t="shared" si="1"/>
        <v>0.86217222686167683</v>
      </c>
      <c r="V8" s="48">
        <f t="shared" si="2"/>
        <v>0</v>
      </c>
      <c r="W8" s="49">
        <f t="shared" si="3"/>
        <v>5.7478148457445123E-2</v>
      </c>
      <c r="X8" s="44">
        <f t="shared" si="4"/>
        <v>49985.65798730489</v>
      </c>
      <c r="Y8" s="44">
        <f t="shared" si="5"/>
        <v>0</v>
      </c>
      <c r="Z8" s="44">
        <f t="shared" si="6"/>
        <v>120525.42829096213</v>
      </c>
      <c r="AA8" s="50">
        <f t="shared" si="7"/>
        <v>119055.65798730489</v>
      </c>
      <c r="AB8" s="51">
        <f t="shared" si="8"/>
        <v>112672.17751796028</v>
      </c>
      <c r="AC8" s="44">
        <f t="shared" si="8"/>
        <v>111298.17517743749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273059.74365019432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273059.74365019432</v>
      </c>
      <c r="AK8" s="44">
        <f>HLOOKUP(I8,ElecAvoidedCostsWOCC!$A$5:$Q$50,G8+1,FALSE)*J8*L8</f>
        <v>0</v>
      </c>
      <c r="AL8" s="44">
        <f t="shared" si="13"/>
        <v>273059.74365019432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273059.74365019432</v>
      </c>
      <c r="AN8" s="48">
        <f t="shared" si="14"/>
        <v>300365.71801521379</v>
      </c>
      <c r="AO8" s="47">
        <f t="shared" si="15"/>
        <v>2.4234886523486932</v>
      </c>
      <c r="AP8" s="47">
        <f t="shared" si="16"/>
        <v>2.6987479133090435</v>
      </c>
      <c r="AQ8">
        <v>2021</v>
      </c>
    </row>
    <row r="9" spans="1:43" ht="13.5" customHeight="1">
      <c r="A9" s="36" t="s">
        <v>250</v>
      </c>
      <c r="B9" s="97" t="s">
        <v>59</v>
      </c>
      <c r="C9" s="61">
        <v>18230486</v>
      </c>
      <c r="D9" s="61" t="s">
        <v>60</v>
      </c>
      <c r="E9" s="38" t="s">
        <v>974</v>
      </c>
      <c r="F9" s="39" t="s">
        <v>975</v>
      </c>
      <c r="G9" s="39">
        <v>15</v>
      </c>
      <c r="H9" s="39"/>
      <c r="I9" s="40" t="s">
        <v>256</v>
      </c>
      <c r="J9" s="41">
        <v>1</v>
      </c>
      <c r="K9" s="41">
        <v>108077</v>
      </c>
      <c r="L9" s="41"/>
      <c r="M9" s="42">
        <v>27478</v>
      </c>
      <c r="N9" s="42">
        <v>27478</v>
      </c>
      <c r="O9" s="43">
        <v>108077</v>
      </c>
      <c r="P9" s="44">
        <v>27478</v>
      </c>
      <c r="Q9" s="44">
        <v>27478</v>
      </c>
      <c r="R9" s="45"/>
      <c r="S9" s="46"/>
      <c r="T9" s="39">
        <f t="shared" si="0"/>
        <v>15</v>
      </c>
      <c r="U9" s="47">
        <f t="shared" si="1"/>
        <v>0.35127906659276281</v>
      </c>
      <c r="V9" s="48">
        <f t="shared" si="2"/>
        <v>0</v>
      </c>
      <c r="W9" s="49">
        <f t="shared" si="3"/>
        <v>2.3418604439517522E-2</v>
      </c>
      <c r="X9" s="44">
        <f t="shared" si="4"/>
        <v>20365.9022336179</v>
      </c>
      <c r="Y9" s="44">
        <f t="shared" si="5"/>
        <v>0</v>
      </c>
      <c r="Z9" s="44">
        <f t="shared" si="6"/>
        <v>49106.267438993586</v>
      </c>
      <c r="AA9" s="50">
        <f t="shared" si="7"/>
        <v>47843.902233617904</v>
      </c>
      <c r="AB9" s="51">
        <f t="shared" si="8"/>
        <v>45906.578890337085</v>
      </c>
      <c r="AC9" s="44">
        <f t="shared" si="8"/>
        <v>44726.467452199591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1.0293963841416951</v>
      </c>
      <c r="AG9" s="44">
        <f t="shared" si="10"/>
        <v>111254.07300888198</v>
      </c>
      <c r="AH9" s="52">
        <f>HLOOKUP(I9,ElecAvoidedCostsWOCC!$A$5:$Q$50,T9+1,FALSE)</f>
        <v>1.0293963841416951</v>
      </c>
      <c r="AI9" s="44">
        <f t="shared" si="11"/>
        <v>0</v>
      </c>
      <c r="AJ9" s="44">
        <f t="shared" si="12"/>
        <v>111254.07300888198</v>
      </c>
      <c r="AK9" s="44">
        <f>HLOOKUP(I9,ElecAvoidedCostsWOCC!$A$5:$Q$50,G9+1,FALSE)*J9*L9</f>
        <v>0</v>
      </c>
      <c r="AL9" s="44">
        <f t="shared" si="13"/>
        <v>111254.07300888198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111254.07300888198</v>
      </c>
      <c r="AN9" s="48">
        <f t="shared" si="14"/>
        <v>122379.4803097702</v>
      </c>
      <c r="AO9" s="47">
        <f t="shared" si="15"/>
        <v>2.4234886523486932</v>
      </c>
      <c r="AP9" s="47">
        <f t="shared" si="16"/>
        <v>2.7361758547231685</v>
      </c>
      <c r="AQ9">
        <v>2021</v>
      </c>
    </row>
    <row r="10" spans="1:43" ht="13.5" customHeight="1">
      <c r="A10" s="54">
        <f>SUM(O5:O999)</f>
        <v>4615006</v>
      </c>
      <c r="B10" s="97" t="s">
        <v>59</v>
      </c>
      <c r="C10" s="61">
        <v>18230486</v>
      </c>
      <c r="D10" s="61" t="s">
        <v>60</v>
      </c>
      <c r="E10" s="38" t="s">
        <v>976</v>
      </c>
      <c r="F10" s="39" t="s">
        <v>977</v>
      </c>
      <c r="G10" s="39">
        <v>15</v>
      </c>
      <c r="H10" s="39"/>
      <c r="I10" s="40" t="s">
        <v>257</v>
      </c>
      <c r="J10" s="41">
        <v>1</v>
      </c>
      <c r="K10" s="41">
        <v>23630</v>
      </c>
      <c r="L10" s="41"/>
      <c r="M10" s="42">
        <v>5317</v>
      </c>
      <c r="N10" s="42">
        <v>5317</v>
      </c>
      <c r="O10" s="43">
        <v>23630</v>
      </c>
      <c r="P10" s="44">
        <v>5317</v>
      </c>
      <c r="Q10" s="44">
        <v>5317</v>
      </c>
      <c r="R10" s="45"/>
      <c r="S10" s="46"/>
      <c r="T10" s="39">
        <f t="shared" si="0"/>
        <v>15</v>
      </c>
      <c r="U10" s="47">
        <f t="shared" si="1"/>
        <v>7.6803800471765368E-2</v>
      </c>
      <c r="V10" s="48">
        <f t="shared" si="2"/>
        <v>0</v>
      </c>
      <c r="W10" s="49">
        <f t="shared" si="3"/>
        <v>5.1202533647843581E-3</v>
      </c>
      <c r="X10" s="44">
        <f t="shared" si="4"/>
        <v>4452.8092913421997</v>
      </c>
      <c r="Y10" s="44">
        <f t="shared" si="5"/>
        <v>0</v>
      </c>
      <c r="Z10" s="44">
        <f t="shared" si="6"/>
        <v>10736.614632006978</v>
      </c>
      <c r="AA10" s="50">
        <f t="shared" si="7"/>
        <v>9769.8092913422006</v>
      </c>
      <c r="AB10" s="51">
        <f t="shared" si="8"/>
        <v>10037.033403764586</v>
      </c>
      <c r="AC10" s="44">
        <f t="shared" si="8"/>
        <v>9133.2236060037394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1.0545904948077327</v>
      </c>
      <c r="AG10" s="44">
        <f t="shared" si="10"/>
        <v>24919.973392306725</v>
      </c>
      <c r="AH10" s="52">
        <f>HLOOKUP(I10,ElecAvoidedCostsWOCC!$A$5:$Q$50,T10+1,FALSE)</f>
        <v>1.0545904948077327</v>
      </c>
      <c r="AI10" s="44">
        <f t="shared" si="11"/>
        <v>0</v>
      </c>
      <c r="AJ10" s="44">
        <f t="shared" si="12"/>
        <v>24919.973392306725</v>
      </c>
      <c r="AK10" s="44">
        <f>HLOOKUP(I10,ElecAvoidedCostsWOCC!$A$5:$Q$50,G10+1,FALSE)*J10*L10</f>
        <v>0</v>
      </c>
      <c r="AL10" s="44">
        <f t="shared" si="13"/>
        <v>24919.973392306725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24919.973392306725</v>
      </c>
      <c r="AN10" s="48">
        <f t="shared" si="14"/>
        <v>27411.9707315374</v>
      </c>
      <c r="AO10" s="47">
        <f t="shared" si="15"/>
        <v>2.482802675834475</v>
      </c>
      <c r="AP10" s="47">
        <f t="shared" si="16"/>
        <v>3.0013467220399703</v>
      </c>
      <c r="AQ10">
        <v>2021</v>
      </c>
    </row>
    <row r="11" spans="1:43" ht="13.5" customHeight="1">
      <c r="A11" s="36" t="s">
        <v>251</v>
      </c>
      <c r="B11" s="97" t="s">
        <v>59</v>
      </c>
      <c r="C11" s="100">
        <v>18230486</v>
      </c>
      <c r="D11" s="100" t="s">
        <v>60</v>
      </c>
      <c r="E11" s="38" t="s">
        <v>974</v>
      </c>
      <c r="F11" s="39" t="s">
        <v>975</v>
      </c>
      <c r="G11" s="39">
        <v>15</v>
      </c>
      <c r="H11" s="39"/>
      <c r="I11" s="40" t="s">
        <v>269</v>
      </c>
      <c r="J11" s="41">
        <v>1</v>
      </c>
      <c r="K11" s="41"/>
      <c r="L11" s="41"/>
      <c r="M11" s="42"/>
      <c r="N11" s="42"/>
      <c r="O11" s="43">
        <v>0</v>
      </c>
      <c r="P11" s="44">
        <v>0</v>
      </c>
      <c r="Q11" s="44">
        <v>0</v>
      </c>
      <c r="R11" s="45"/>
      <c r="S11" s="46"/>
      <c r="T11" s="39">
        <f t="shared" si="0"/>
        <v>15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1.3893373920773078</v>
      </c>
      <c r="AG11" s="44">
        <f t="shared" si="10"/>
        <v>0</v>
      </c>
      <c r="AH11" s="52">
        <f>HLOOKUP(I11,ElecAvoidedCostsWOCC!$A$5:$Q$50,T11+1,FALSE)</f>
        <v>1.3893373920773078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  <c r="AQ11">
        <v>2020</v>
      </c>
    </row>
    <row r="12" spans="1:43" ht="13.5" customHeight="1">
      <c r="A12" s="55">
        <f>SUM(P5:P1000)</f>
        <v>1217245</v>
      </c>
      <c r="B12" s="97" t="s">
        <v>59</v>
      </c>
      <c r="C12" s="100">
        <v>18230486</v>
      </c>
      <c r="D12" s="100" t="s">
        <v>60</v>
      </c>
      <c r="E12" s="38" t="s">
        <v>974</v>
      </c>
      <c r="F12" s="39" t="s">
        <v>975</v>
      </c>
      <c r="G12" s="39">
        <v>15</v>
      </c>
      <c r="H12" s="39"/>
      <c r="I12" s="40" t="s">
        <v>269</v>
      </c>
      <c r="J12" s="41">
        <v>1</v>
      </c>
      <c r="K12" s="41">
        <v>17146</v>
      </c>
      <c r="L12" s="41"/>
      <c r="M12" s="42">
        <v>5636</v>
      </c>
      <c r="N12" s="42">
        <v>5636</v>
      </c>
      <c r="O12" s="43">
        <v>17146</v>
      </c>
      <c r="P12" s="44">
        <v>5636</v>
      </c>
      <c r="Q12" s="44">
        <v>5636</v>
      </c>
      <c r="R12" s="45"/>
      <c r="S12" s="46"/>
      <c r="T12" s="39">
        <f t="shared" si="0"/>
        <v>15</v>
      </c>
      <c r="U12" s="47">
        <f t="shared" si="1"/>
        <v>5.5729071641510322E-2</v>
      </c>
      <c r="V12" s="48">
        <f t="shared" si="2"/>
        <v>0</v>
      </c>
      <c r="W12" s="49">
        <f t="shared" si="3"/>
        <v>3.7152714427673549E-3</v>
      </c>
      <c r="X12" s="44">
        <f t="shared" si="4"/>
        <v>3230.9719893928632</v>
      </c>
      <c r="Y12" s="44">
        <f t="shared" si="5"/>
        <v>0</v>
      </c>
      <c r="Z12" s="44">
        <f t="shared" si="6"/>
        <v>7790.5202911718852</v>
      </c>
      <c r="AA12" s="50">
        <f t="shared" si="7"/>
        <v>8866.9719893928632</v>
      </c>
      <c r="AB12" s="51">
        <f t="shared" si="8"/>
        <v>7282.9020203532618</v>
      </c>
      <c r="AC12" s="44">
        <f t="shared" si="8"/>
        <v>8289.2137883452015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1.3893373920773078</v>
      </c>
      <c r="AG12" s="44">
        <f t="shared" si="10"/>
        <v>23821.578924557518</v>
      </c>
      <c r="AH12" s="52">
        <f>HLOOKUP(I12,ElecAvoidedCostsWOCC!$A$5:$Q$50,T12+1,FALSE)</f>
        <v>1.3893373920773078</v>
      </c>
      <c r="AI12" s="44">
        <f t="shared" si="11"/>
        <v>0</v>
      </c>
      <c r="AJ12" s="44">
        <f t="shared" si="12"/>
        <v>23821.578924557518</v>
      </c>
      <c r="AK12" s="44">
        <f>HLOOKUP(I12,ElecAvoidedCostsWOCC!$A$5:$Q$50,G12+1,FALSE)*J12*L12</f>
        <v>0</v>
      </c>
      <c r="AL12" s="44">
        <f t="shared" si="13"/>
        <v>23821.578924557518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23821.578924557518</v>
      </c>
      <c r="AN12" s="48">
        <f t="shared" si="14"/>
        <v>26203.736817013272</v>
      </c>
      <c r="AO12" s="47">
        <f t="shared" si="15"/>
        <v>3.2708910346430882</v>
      </c>
      <c r="AP12" s="47">
        <f t="shared" si="16"/>
        <v>3.1611848223599015</v>
      </c>
      <c r="AQ12">
        <v>2020</v>
      </c>
    </row>
    <row r="13" spans="1:43" ht="13.5" customHeight="1">
      <c r="A13" s="56" t="s">
        <v>252</v>
      </c>
      <c r="B13" s="97" t="s">
        <v>59</v>
      </c>
      <c r="C13" s="100">
        <v>18230486</v>
      </c>
      <c r="D13" s="100" t="s">
        <v>60</v>
      </c>
      <c r="E13" s="38" t="s">
        <v>974</v>
      </c>
      <c r="F13" s="39" t="s">
        <v>975</v>
      </c>
      <c r="G13" s="39">
        <v>15</v>
      </c>
      <c r="H13" s="39"/>
      <c r="I13" s="40" t="s">
        <v>269</v>
      </c>
      <c r="J13" s="41">
        <v>1</v>
      </c>
      <c r="K13" s="41">
        <v>338569</v>
      </c>
      <c r="L13" s="41"/>
      <c r="M13" s="42">
        <v>73160</v>
      </c>
      <c r="N13" s="42">
        <v>73160</v>
      </c>
      <c r="O13" s="43">
        <v>338569</v>
      </c>
      <c r="P13" s="44">
        <v>73160</v>
      </c>
      <c r="Q13" s="44">
        <v>73160</v>
      </c>
      <c r="R13" s="45"/>
      <c r="S13" s="46"/>
      <c r="T13" s="39">
        <f t="shared" si="0"/>
        <v>15</v>
      </c>
      <c r="U13" s="47">
        <f t="shared" si="1"/>
        <v>1.1004395227221806</v>
      </c>
      <c r="V13" s="48">
        <f t="shared" si="2"/>
        <v>0</v>
      </c>
      <c r="W13" s="49">
        <f t="shared" si="3"/>
        <v>7.3362634848145369E-2</v>
      </c>
      <c r="X13" s="44">
        <f t="shared" si="4"/>
        <v>63799.542486687984</v>
      </c>
      <c r="Y13" s="44">
        <f t="shared" si="5"/>
        <v>0</v>
      </c>
      <c r="Z13" s="44">
        <f t="shared" si="6"/>
        <v>153833.46929090016</v>
      </c>
      <c r="AA13" s="50">
        <f t="shared" si="7"/>
        <v>136959.54248668798</v>
      </c>
      <c r="AB13" s="51">
        <f t="shared" si="8"/>
        <v>143809.91800588963</v>
      </c>
      <c r="AC13" s="44">
        <f t="shared" si="8"/>
        <v>128035.47021285217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1.3893373920773078</v>
      </c>
      <c r="AG13" s="44">
        <f t="shared" si="10"/>
        <v>470386.57149822201</v>
      </c>
      <c r="AH13" s="52">
        <f>HLOOKUP(I13,ElecAvoidedCostsWOCC!$A$5:$Q$50,T13+1,FALSE)</f>
        <v>1.3893373920773078</v>
      </c>
      <c r="AI13" s="44">
        <f t="shared" si="11"/>
        <v>0</v>
      </c>
      <c r="AJ13" s="44">
        <f t="shared" si="12"/>
        <v>470386.57149822201</v>
      </c>
      <c r="AK13" s="44">
        <f>HLOOKUP(I13,ElecAvoidedCostsWOCC!$A$5:$Q$50,G13+1,FALSE)*J13*L13</f>
        <v>0</v>
      </c>
      <c r="AL13" s="44">
        <f t="shared" si="13"/>
        <v>470386.57149822201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470386.57149822201</v>
      </c>
      <c r="AN13" s="48">
        <f t="shared" si="14"/>
        <v>517425.22864804423</v>
      </c>
      <c r="AO13" s="47">
        <f t="shared" si="15"/>
        <v>3.2708910346430882</v>
      </c>
      <c r="AP13" s="47">
        <f t="shared" si="16"/>
        <v>4.0412647197518954</v>
      </c>
      <c r="AQ13">
        <v>2020</v>
      </c>
    </row>
    <row r="14" spans="1:43" ht="13.5" customHeight="1">
      <c r="A14" s="55">
        <f>SUM(Y5:Y1000)</f>
        <v>0</v>
      </c>
      <c r="B14" s="97" t="s">
        <v>59</v>
      </c>
      <c r="C14" s="100">
        <v>18230486</v>
      </c>
      <c r="D14" s="100" t="s">
        <v>60</v>
      </c>
      <c r="E14" s="38" t="s">
        <v>974</v>
      </c>
      <c r="F14" s="39" t="s">
        <v>975</v>
      </c>
      <c r="G14" s="39">
        <v>15</v>
      </c>
      <c r="H14" s="39"/>
      <c r="I14" s="40" t="s">
        <v>269</v>
      </c>
      <c r="J14" s="41">
        <v>1</v>
      </c>
      <c r="K14" s="41">
        <v>117987</v>
      </c>
      <c r="L14" s="41"/>
      <c r="M14" s="42">
        <v>26892</v>
      </c>
      <c r="N14" s="42">
        <v>26892</v>
      </c>
      <c r="O14" s="43">
        <v>117987</v>
      </c>
      <c r="P14" s="44">
        <v>26892</v>
      </c>
      <c r="Q14" s="44">
        <v>26892</v>
      </c>
      <c r="R14" s="45"/>
      <c r="S14" s="46"/>
      <c r="T14" s="39">
        <f t="shared" si="0"/>
        <v>15</v>
      </c>
      <c r="U14" s="47">
        <f t="shared" si="1"/>
        <v>0.38348920889810328</v>
      </c>
      <c r="V14" s="48">
        <f t="shared" si="2"/>
        <v>0</v>
      </c>
      <c r="W14" s="49">
        <f t="shared" si="3"/>
        <v>2.5565947259873552E-2</v>
      </c>
      <c r="X14" s="44">
        <f t="shared" si="4"/>
        <v>22233.330929225227</v>
      </c>
      <c r="Y14" s="44">
        <f t="shared" si="5"/>
        <v>0</v>
      </c>
      <c r="Z14" s="44">
        <f t="shared" si="6"/>
        <v>53609.011874168747</v>
      </c>
      <c r="AA14" s="50">
        <f t="shared" si="7"/>
        <v>49125.330929225223</v>
      </c>
      <c r="AB14" s="51">
        <f t="shared" si="8"/>
        <v>50115.931451966666</v>
      </c>
      <c r="AC14" s="44">
        <f t="shared" si="8"/>
        <v>45924.400232986089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1.3893373920773078</v>
      </c>
      <c r="AG14" s="44">
        <f t="shared" si="10"/>
        <v>163923.75087902532</v>
      </c>
      <c r="AH14" s="52">
        <f>HLOOKUP(I14,ElecAvoidedCostsWOCC!$A$5:$Q$50,T14+1,FALSE)</f>
        <v>1.3893373920773078</v>
      </c>
      <c r="AI14" s="44">
        <f t="shared" si="11"/>
        <v>0</v>
      </c>
      <c r="AJ14" s="44">
        <f t="shared" si="12"/>
        <v>163923.75087902532</v>
      </c>
      <c r="AK14" s="44">
        <f>HLOOKUP(I14,ElecAvoidedCostsWOCC!$A$5:$Q$50,G14+1,FALSE)*J14*L14</f>
        <v>0</v>
      </c>
      <c r="AL14" s="44">
        <f t="shared" si="13"/>
        <v>163923.75087902532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163923.75087902532</v>
      </c>
      <c r="AN14" s="48">
        <f t="shared" si="14"/>
        <v>180316.12596692788</v>
      </c>
      <c r="AO14" s="47">
        <f t="shared" si="15"/>
        <v>3.2708910346430877</v>
      </c>
      <c r="AP14" s="47">
        <f t="shared" si="16"/>
        <v>3.92636866354571</v>
      </c>
      <c r="AQ14">
        <v>2020</v>
      </c>
    </row>
    <row r="15" spans="1:43" ht="13.5" customHeight="1">
      <c r="A15" s="57" t="s">
        <v>253</v>
      </c>
      <c r="B15" s="97" t="s">
        <v>59</v>
      </c>
      <c r="C15" s="100">
        <v>18230486</v>
      </c>
      <c r="D15" s="100" t="s">
        <v>60</v>
      </c>
      <c r="E15" s="38" t="s">
        <v>974</v>
      </c>
      <c r="F15" s="39" t="s">
        <v>975</v>
      </c>
      <c r="G15" s="39">
        <v>15</v>
      </c>
      <c r="H15" s="39"/>
      <c r="I15" s="40" t="s">
        <v>269</v>
      </c>
      <c r="J15" s="41">
        <v>1</v>
      </c>
      <c r="K15" s="41">
        <v>407074</v>
      </c>
      <c r="L15" s="41"/>
      <c r="M15" s="42">
        <v>114370</v>
      </c>
      <c r="N15" s="42">
        <v>114370</v>
      </c>
      <c r="O15" s="43">
        <v>407074</v>
      </c>
      <c r="P15" s="44">
        <v>114370</v>
      </c>
      <c r="Q15" s="44">
        <v>114370</v>
      </c>
      <c r="R15" s="45"/>
      <c r="S15" s="46"/>
      <c r="T15" s="39">
        <f t="shared" si="0"/>
        <v>15</v>
      </c>
      <c r="U15" s="47">
        <f t="shared" si="1"/>
        <v>1.3230990382244356</v>
      </c>
      <c r="V15" s="48">
        <f t="shared" si="2"/>
        <v>0</v>
      </c>
      <c r="W15" s="49">
        <f t="shared" si="3"/>
        <v>8.8206602548295709E-2</v>
      </c>
      <c r="X15" s="44">
        <f t="shared" si="4"/>
        <v>76708.543777563886</v>
      </c>
      <c r="Y15" s="44">
        <f t="shared" si="5"/>
        <v>0</v>
      </c>
      <c r="Z15" s="44">
        <f t="shared" si="6"/>
        <v>184959.65572194706</v>
      </c>
      <c r="AA15" s="50">
        <f t="shared" si="7"/>
        <v>191078.5437775639</v>
      </c>
      <c r="AB15" s="51">
        <f t="shared" si="8"/>
        <v>172907.97019907174</v>
      </c>
      <c r="AC15" s="44">
        <f t="shared" si="8"/>
        <v>178628.16095873973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1.3893373920773078</v>
      </c>
      <c r="AG15" s="44">
        <f t="shared" si="10"/>
        <v>565563.12954247801</v>
      </c>
      <c r="AH15" s="52">
        <f>HLOOKUP(I15,ElecAvoidedCostsWOCC!$A$5:$Q$50,T15+1,FALSE)</f>
        <v>1.3893373920773078</v>
      </c>
      <c r="AI15" s="44">
        <f t="shared" si="11"/>
        <v>0</v>
      </c>
      <c r="AJ15" s="44">
        <f t="shared" si="12"/>
        <v>565563.12954247801</v>
      </c>
      <c r="AK15" s="44">
        <f>HLOOKUP(I15,ElecAvoidedCostsWOCC!$A$5:$Q$50,G15+1,FALSE)*J15*L15</f>
        <v>0</v>
      </c>
      <c r="AL15" s="44">
        <f t="shared" si="13"/>
        <v>565563.12954247801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565563.12954247801</v>
      </c>
      <c r="AN15" s="48">
        <f t="shared" si="14"/>
        <v>622119.44249672582</v>
      </c>
      <c r="AO15" s="47">
        <f t="shared" si="15"/>
        <v>3.2708910346430882</v>
      </c>
      <c r="AP15" s="47">
        <f t="shared" si="16"/>
        <v>3.4827623995996104</v>
      </c>
      <c r="AQ15">
        <v>2020</v>
      </c>
    </row>
    <row r="16" spans="1:43" ht="13.5" customHeight="1">
      <c r="A16" s="54">
        <f>SUM(U5:U999)</f>
        <v>15.000000000000002</v>
      </c>
      <c r="B16" s="97" t="s">
        <v>59</v>
      </c>
      <c r="C16" s="100">
        <v>18230486</v>
      </c>
      <c r="D16" s="100" t="s">
        <v>60</v>
      </c>
      <c r="E16" s="38" t="s">
        <v>974</v>
      </c>
      <c r="F16" s="39" t="s">
        <v>975</v>
      </c>
      <c r="G16" s="39">
        <v>15</v>
      </c>
      <c r="H16" s="39"/>
      <c r="I16" s="40" t="s">
        <v>269</v>
      </c>
      <c r="J16" s="41">
        <v>1</v>
      </c>
      <c r="K16" s="41">
        <v>43548</v>
      </c>
      <c r="L16" s="41"/>
      <c r="M16" s="42">
        <v>13064</v>
      </c>
      <c r="N16" s="42">
        <v>13064</v>
      </c>
      <c r="O16" s="43">
        <v>43548</v>
      </c>
      <c r="P16" s="44">
        <v>13064</v>
      </c>
      <c r="Q16" s="44">
        <v>13064</v>
      </c>
      <c r="R16" s="45"/>
      <c r="S16" s="46"/>
      <c r="T16" s="39">
        <f t="shared" si="0"/>
        <v>15</v>
      </c>
      <c r="U16" s="47">
        <f t="shared" si="1"/>
        <v>0.14154261121220643</v>
      </c>
      <c r="V16" s="48">
        <f t="shared" si="2"/>
        <v>0</v>
      </c>
      <c r="W16" s="49">
        <f t="shared" si="3"/>
        <v>9.4361740808137622E-3</v>
      </c>
      <c r="X16" s="44">
        <f t="shared" si="4"/>
        <v>8206.1336868121089</v>
      </c>
      <c r="Y16" s="44">
        <f t="shared" si="5"/>
        <v>0</v>
      </c>
      <c r="Z16" s="44">
        <f t="shared" si="6"/>
        <v>19786.631146620395</v>
      </c>
      <c r="AA16" s="50">
        <f t="shared" si="7"/>
        <v>21270.133686812107</v>
      </c>
      <c r="AB16" s="51">
        <f t="shared" si="8"/>
        <v>18497.364818753289</v>
      </c>
      <c r="AC16" s="44">
        <f t="shared" si="8"/>
        <v>19884.204624485468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1.3893373920773078</v>
      </c>
      <c r="AG16" s="44">
        <f t="shared" si="10"/>
        <v>60502.864750182598</v>
      </c>
      <c r="AH16" s="52">
        <f>HLOOKUP(I16,ElecAvoidedCostsWOCC!$A$5:$Q$50,T16+1,FALSE)</f>
        <v>1.3893373920773078</v>
      </c>
      <c r="AI16" s="44">
        <f t="shared" si="11"/>
        <v>0</v>
      </c>
      <c r="AJ16" s="44">
        <f t="shared" si="12"/>
        <v>60502.864750182598</v>
      </c>
      <c r="AK16" s="44">
        <f>HLOOKUP(I16,ElecAvoidedCostsWOCC!$A$5:$Q$50,G16+1,FALSE)*J16*L16</f>
        <v>0</v>
      </c>
      <c r="AL16" s="44">
        <f t="shared" si="13"/>
        <v>60502.864750182598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60502.864750182598</v>
      </c>
      <c r="AN16" s="48">
        <f t="shared" si="14"/>
        <v>66553.151225200869</v>
      </c>
      <c r="AO16" s="47">
        <f t="shared" si="15"/>
        <v>3.2708910346430877</v>
      </c>
      <c r="AP16" s="47">
        <f t="shared" si="16"/>
        <v>3.3470361265165778</v>
      </c>
      <c r="AQ16">
        <v>2020</v>
      </c>
    </row>
    <row r="17" spans="1:43" ht="13.5" customHeight="1">
      <c r="A17" s="58" t="s">
        <v>254</v>
      </c>
      <c r="B17" s="97" t="s">
        <v>59</v>
      </c>
      <c r="C17" s="100">
        <v>18230486</v>
      </c>
      <c r="D17" s="100" t="s">
        <v>60</v>
      </c>
      <c r="E17" s="38" t="s">
        <v>974</v>
      </c>
      <c r="F17" s="39" t="s">
        <v>975</v>
      </c>
      <c r="G17" s="39">
        <v>15</v>
      </c>
      <c r="H17" s="39"/>
      <c r="I17" s="40" t="s">
        <v>269</v>
      </c>
      <c r="J17" s="41">
        <v>1</v>
      </c>
      <c r="K17" s="41">
        <v>197635</v>
      </c>
      <c r="L17" s="41"/>
      <c r="M17" s="42">
        <v>46027</v>
      </c>
      <c r="N17" s="42">
        <v>46027</v>
      </c>
      <c r="O17" s="43">
        <v>197635</v>
      </c>
      <c r="P17" s="44">
        <v>46027</v>
      </c>
      <c r="Q17" s="44">
        <v>46027</v>
      </c>
      <c r="R17" s="45"/>
      <c r="S17" s="46"/>
      <c r="T17" s="39">
        <f t="shared" si="0"/>
        <v>15</v>
      </c>
      <c r="U17" s="47">
        <f t="shared" si="1"/>
        <v>0.64236644546074262</v>
      </c>
      <c r="V17" s="48">
        <f t="shared" si="2"/>
        <v>0</v>
      </c>
      <c r="W17" s="49">
        <f t="shared" si="3"/>
        <v>4.2824429697382843E-2</v>
      </c>
      <c r="X17" s="44">
        <f t="shared" si="4"/>
        <v>37242.10597945052</v>
      </c>
      <c r="Y17" s="44">
        <f t="shared" si="5"/>
        <v>0</v>
      </c>
      <c r="Z17" s="44">
        <f t="shared" si="6"/>
        <v>89798.173203415121</v>
      </c>
      <c r="AA17" s="50">
        <f t="shared" si="7"/>
        <v>83269.105979450513</v>
      </c>
      <c r="AB17" s="51">
        <f t="shared" si="8"/>
        <v>83947.062918028518</v>
      </c>
      <c r="AC17" s="44">
        <f t="shared" si="8"/>
        <v>77843.419631158744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1.3893373920773078</v>
      </c>
      <c r="AG17" s="44">
        <f t="shared" si="10"/>
        <v>274581.69548319874</v>
      </c>
      <c r="AH17" s="52">
        <f>HLOOKUP(I17,ElecAvoidedCostsWOCC!$A$5:$Q$50,T17+1,FALSE)</f>
        <v>1.3893373920773078</v>
      </c>
      <c r="AI17" s="44">
        <f t="shared" si="11"/>
        <v>0</v>
      </c>
      <c r="AJ17" s="44">
        <f t="shared" si="12"/>
        <v>274581.69548319874</v>
      </c>
      <c r="AK17" s="44">
        <f>HLOOKUP(I17,ElecAvoidedCostsWOCC!$A$5:$Q$50,G17+1,FALSE)*J17*L17</f>
        <v>0</v>
      </c>
      <c r="AL17" s="44">
        <f t="shared" si="13"/>
        <v>274581.69548319874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274581.69548319874</v>
      </c>
      <c r="AN17" s="48">
        <f t="shared" si="14"/>
        <v>302039.86503151862</v>
      </c>
      <c r="AO17" s="47">
        <f t="shared" si="15"/>
        <v>3.2708910346430886</v>
      </c>
      <c r="AP17" s="47">
        <f t="shared" si="16"/>
        <v>3.8800950223237591</v>
      </c>
      <c r="AQ17">
        <v>2020</v>
      </c>
    </row>
    <row r="18" spans="1:43" ht="13.5" customHeight="1">
      <c r="A18" s="59">
        <f>A6+A8</f>
        <v>2096891.28</v>
      </c>
      <c r="B18" s="97" t="s">
        <v>59</v>
      </c>
      <c r="C18" s="100">
        <v>18230486</v>
      </c>
      <c r="D18" s="100" t="s">
        <v>60</v>
      </c>
      <c r="E18" s="38" t="s">
        <v>974</v>
      </c>
      <c r="F18" s="39" t="s">
        <v>975</v>
      </c>
      <c r="G18" s="39">
        <v>15</v>
      </c>
      <c r="H18" s="39"/>
      <c r="I18" s="40" t="s">
        <v>269</v>
      </c>
      <c r="J18" s="41">
        <v>1</v>
      </c>
      <c r="K18" s="41"/>
      <c r="L18" s="41"/>
      <c r="M18" s="42"/>
      <c r="N18" s="42"/>
      <c r="O18" s="43">
        <v>0</v>
      </c>
      <c r="P18" s="44">
        <v>0</v>
      </c>
      <c r="Q18" s="44">
        <v>0</v>
      </c>
      <c r="R18" s="45"/>
      <c r="S18" s="46"/>
      <c r="T18" s="39">
        <f t="shared" si="0"/>
        <v>15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1.3893373920773078</v>
      </c>
      <c r="AG18" s="44">
        <f t="shared" si="10"/>
        <v>0</v>
      </c>
      <c r="AH18" s="52">
        <f>HLOOKUP(I18,ElecAvoidedCostsWOCC!$A$5:$Q$50,T18+1,FALSE)</f>
        <v>1.3893373920773078</v>
      </c>
      <c r="AI18" s="44">
        <f t="shared" si="11"/>
        <v>0</v>
      </c>
      <c r="AJ18" s="44">
        <f t="shared" si="12"/>
        <v>0</v>
      </c>
      <c r="AK18" s="44">
        <f>HLOOKUP(I18,ElecAvoidedCostsWOCC!$A$5:$Q$50,G18+1,FALSE)*J18*L18</f>
        <v>0</v>
      </c>
      <c r="AL18" s="44">
        <f t="shared" si="13"/>
        <v>0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  <c r="AQ18">
        <v>2020</v>
      </c>
    </row>
    <row r="19" spans="1:43" ht="13.5" customHeight="1">
      <c r="A19" s="58" t="s">
        <v>231</v>
      </c>
      <c r="B19" s="97" t="s">
        <v>59</v>
      </c>
      <c r="C19" s="100">
        <v>18230486</v>
      </c>
      <c r="D19" s="100" t="s">
        <v>60</v>
      </c>
      <c r="E19" s="38" t="s">
        <v>974</v>
      </c>
      <c r="F19" s="39" t="s">
        <v>975</v>
      </c>
      <c r="G19" s="39">
        <v>15</v>
      </c>
      <c r="H19" s="39"/>
      <c r="I19" s="40" t="s">
        <v>269</v>
      </c>
      <c r="J19" s="41">
        <v>1</v>
      </c>
      <c r="K19" s="41">
        <v>1243490</v>
      </c>
      <c r="L19" s="41"/>
      <c r="M19" s="42">
        <v>354659</v>
      </c>
      <c r="N19" s="42">
        <v>354659</v>
      </c>
      <c r="O19" s="43">
        <v>1243490</v>
      </c>
      <c r="P19" s="44">
        <v>354659</v>
      </c>
      <c r="Q19" s="44">
        <v>354659</v>
      </c>
      <c r="R19" s="45"/>
      <c r="S19" s="46"/>
      <c r="T19" s="39">
        <f t="shared" si="0"/>
        <v>15</v>
      </c>
      <c r="U19" s="47">
        <f t="shared" si="1"/>
        <v>4.0416740519947325</v>
      </c>
      <c r="V19" s="48">
        <f t="shared" si="2"/>
        <v>0</v>
      </c>
      <c r="W19" s="49">
        <f t="shared" si="3"/>
        <v>0.26944493679964882</v>
      </c>
      <c r="X19" s="44">
        <f t="shared" si="4"/>
        <v>234321.78695264971</v>
      </c>
      <c r="Y19" s="44">
        <f t="shared" si="5"/>
        <v>0</v>
      </c>
      <c r="Z19" s="44">
        <f t="shared" si="6"/>
        <v>564996.73841533472</v>
      </c>
      <c r="AA19" s="50">
        <f t="shared" si="7"/>
        <v>588980.78695264971</v>
      </c>
      <c r="AB19" s="51">
        <f t="shared" si="8"/>
        <v>528182.42349755508</v>
      </c>
      <c r="AC19" s="44">
        <f t="shared" si="8"/>
        <v>550603.70847214141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1.3893373920773078</v>
      </c>
      <c r="AG19" s="44">
        <f t="shared" si="10"/>
        <v>1727627.1536742114</v>
      </c>
      <c r="AH19" s="52">
        <f>HLOOKUP(I19,ElecAvoidedCostsWOCC!$A$5:$Q$50,T19+1,FALSE)</f>
        <v>1.3893373920773078</v>
      </c>
      <c r="AI19" s="44">
        <f t="shared" si="11"/>
        <v>0</v>
      </c>
      <c r="AJ19" s="44">
        <f t="shared" si="12"/>
        <v>1727627.1536742114</v>
      </c>
      <c r="AK19" s="44">
        <f>HLOOKUP(I19,ElecAvoidedCostsWOCC!$A$5:$Q$50,G19+1,FALSE)*J19*L19</f>
        <v>0</v>
      </c>
      <c r="AL19" s="44">
        <f t="shared" si="13"/>
        <v>1727627.1536742114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1727627.1536742114</v>
      </c>
      <c r="AN19" s="48">
        <f t="shared" si="14"/>
        <v>1900389.8690416326</v>
      </c>
      <c r="AO19" s="47">
        <f t="shared" si="15"/>
        <v>3.2708910346430877</v>
      </c>
      <c r="AP19" s="47">
        <f t="shared" si="16"/>
        <v>3.4514657998126896</v>
      </c>
      <c r="AQ19">
        <v>2020</v>
      </c>
    </row>
    <row r="20" spans="1:43" ht="13.5" customHeight="1">
      <c r="A20" s="59">
        <f>A8+SUM(Q5:Q906)</f>
        <v>2086891.28</v>
      </c>
      <c r="B20" s="97" t="s">
        <v>59</v>
      </c>
      <c r="C20" s="100">
        <v>18230486</v>
      </c>
      <c r="D20" s="100" t="s">
        <v>60</v>
      </c>
      <c r="E20" s="38" t="s">
        <v>974</v>
      </c>
      <c r="F20" s="39" t="s">
        <v>975</v>
      </c>
      <c r="G20" s="39">
        <v>15</v>
      </c>
      <c r="H20" s="39"/>
      <c r="I20" s="40" t="s">
        <v>269</v>
      </c>
      <c r="J20" s="41">
        <v>1</v>
      </c>
      <c r="K20" s="41">
        <v>1179955</v>
      </c>
      <c r="L20" s="41"/>
      <c r="M20" s="42">
        <v>315323</v>
      </c>
      <c r="N20" s="42">
        <v>315323</v>
      </c>
      <c r="O20" s="43">
        <v>1179955</v>
      </c>
      <c r="P20" s="44">
        <v>315323</v>
      </c>
      <c r="Q20" s="44">
        <v>315323</v>
      </c>
      <c r="R20" s="45"/>
      <c r="S20" s="46"/>
      <c r="T20" s="39">
        <f t="shared" si="0"/>
        <v>15</v>
      </c>
      <c r="U20" s="47">
        <f t="shared" si="1"/>
        <v>3.8351683616446004</v>
      </c>
      <c r="V20" s="48">
        <f t="shared" si="2"/>
        <v>0</v>
      </c>
      <c r="W20" s="49">
        <f t="shared" si="3"/>
        <v>0.2556778907763067</v>
      </c>
      <c r="X20" s="44">
        <f t="shared" si="4"/>
        <v>222349.32659186143</v>
      </c>
      <c r="Y20" s="44">
        <f t="shared" si="5"/>
        <v>0</v>
      </c>
      <c r="Z20" s="44">
        <f t="shared" si="6"/>
        <v>536128.73965762998</v>
      </c>
      <c r="AA20" s="50">
        <f t="shared" si="7"/>
        <v>537672.32659186143</v>
      </c>
      <c r="AB20" s="51">
        <f t="shared" si="8"/>
        <v>501195.41895637091</v>
      </c>
      <c r="AC20" s="44">
        <f t="shared" si="8"/>
        <v>502638.42814981902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1.3893373920773078</v>
      </c>
      <c r="AG20" s="44">
        <f t="shared" si="10"/>
        <v>1639355.6024685798</v>
      </c>
      <c r="AH20" s="52">
        <f>HLOOKUP(I20,ElecAvoidedCostsWOCC!$A$5:$Q$50,T20+1,FALSE)</f>
        <v>1.3893373920773078</v>
      </c>
      <c r="AI20" s="44">
        <f t="shared" si="11"/>
        <v>0</v>
      </c>
      <c r="AJ20" s="44">
        <f t="shared" si="12"/>
        <v>1639355.6024685798</v>
      </c>
      <c r="AK20" s="44">
        <f>HLOOKUP(I20,ElecAvoidedCostsWOCC!$A$5:$Q$50,G20+1,FALSE)*J20*L20</f>
        <v>0</v>
      </c>
      <c r="AL20" s="44">
        <f t="shared" si="13"/>
        <v>1639355.6024685798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1639355.6024685798</v>
      </c>
      <c r="AN20" s="48">
        <f t="shared" si="14"/>
        <v>1803291.1627154378</v>
      </c>
      <c r="AO20" s="47">
        <f t="shared" si="15"/>
        <v>3.2708910346430877</v>
      </c>
      <c r="AP20" s="47">
        <f t="shared" si="16"/>
        <v>3.5876508076655442</v>
      </c>
      <c r="AQ20">
        <v>2020</v>
      </c>
    </row>
    <row r="21" spans="1:43" ht="13.5" customHeight="1">
      <c r="A21" s="58" t="s">
        <v>245</v>
      </c>
      <c r="B21" s="97" t="s">
        <v>59</v>
      </c>
      <c r="C21" s="100">
        <v>18230486</v>
      </c>
      <c r="D21" s="100" t="s">
        <v>60</v>
      </c>
      <c r="E21" s="38" t="s">
        <v>976</v>
      </c>
      <c r="F21" s="39" t="s">
        <v>977</v>
      </c>
      <c r="G21" s="39">
        <v>15</v>
      </c>
      <c r="H21" s="39"/>
      <c r="I21" s="40" t="s">
        <v>248</v>
      </c>
      <c r="J21" s="41">
        <v>1</v>
      </c>
      <c r="K21" s="41">
        <v>2123</v>
      </c>
      <c r="L21" s="41"/>
      <c r="M21" s="42">
        <v>372</v>
      </c>
      <c r="N21" s="42">
        <v>372</v>
      </c>
      <c r="O21" s="43">
        <v>2123</v>
      </c>
      <c r="P21" s="44">
        <v>372</v>
      </c>
      <c r="Q21" s="44">
        <v>372</v>
      </c>
      <c r="R21" s="45"/>
      <c r="S21" s="46"/>
      <c r="T21" s="39">
        <f t="shared" si="0"/>
        <v>15</v>
      </c>
      <c r="U21" s="47">
        <f t="shared" si="1"/>
        <v>6.9003160559271207E-3</v>
      </c>
      <c r="V21" s="48">
        <f t="shared" si="2"/>
        <v>0</v>
      </c>
      <c r="W21" s="49">
        <f t="shared" si="3"/>
        <v>4.600210703951414E-4</v>
      </c>
      <c r="X21" s="44">
        <f t="shared" si="4"/>
        <v>400.05561259075284</v>
      </c>
      <c r="Y21" s="44">
        <f t="shared" si="5"/>
        <v>0</v>
      </c>
      <c r="Z21" s="44">
        <f t="shared" si="6"/>
        <v>964.61417112783818</v>
      </c>
      <c r="AA21" s="50">
        <f t="shared" si="7"/>
        <v>772.05561259075284</v>
      </c>
      <c r="AB21" s="51">
        <f t="shared" ref="AB21:AC24" si="18">Z21/(1+ElecDiscountRate)^1</f>
        <v>901.76140144698331</v>
      </c>
      <c r="AC21" s="44">
        <f t="shared" si="18"/>
        <v>721.74966120477961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1.107650050703576</v>
      </c>
      <c r="AG21" s="44">
        <f t="shared" si="10"/>
        <v>2351.5410576436921</v>
      </c>
      <c r="AH21" s="52">
        <f>HLOOKUP(I21,ElecAvoidedCostsWOCC!$A$5:$Q$50,T21+1,FALSE)</f>
        <v>1.107650050703576</v>
      </c>
      <c r="AI21" s="44">
        <f t="shared" si="11"/>
        <v>0</v>
      </c>
      <c r="AJ21" s="44">
        <f t="shared" si="12"/>
        <v>2351.5410576436921</v>
      </c>
      <c r="AK21" s="44">
        <f>HLOOKUP(I21,ElecAvoidedCostsWOCC!$A$5:$Q$50,G21+1,FALSE)*J21*L21</f>
        <v>0</v>
      </c>
      <c r="AL21" s="44">
        <f t="shared" si="13"/>
        <v>2351.5410576436921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2351.5410576436921</v>
      </c>
      <c r="AN21" s="48">
        <f t="shared" si="14"/>
        <v>2586.6951634080615</v>
      </c>
      <c r="AO21" s="47">
        <f t="shared" si="15"/>
        <v>2.6077197958022653</v>
      </c>
      <c r="AP21" s="47">
        <f t="shared" si="16"/>
        <v>3.5839229340131924</v>
      </c>
      <c r="AQ21">
        <v>2020</v>
      </c>
    </row>
    <row r="22" spans="1:43" ht="13.5" customHeight="1">
      <c r="A22" s="60">
        <f>(SUM(AM5:AM1000)/(SUM(AB5:AB1000)))</f>
        <v>3.0837812592734282</v>
      </c>
      <c r="B22" s="97" t="s">
        <v>59</v>
      </c>
      <c r="C22" s="100">
        <v>18230486</v>
      </c>
      <c r="D22" s="100" t="s">
        <v>60</v>
      </c>
      <c r="E22" s="38" t="s">
        <v>976</v>
      </c>
      <c r="F22" s="39" t="s">
        <v>977</v>
      </c>
      <c r="G22" s="39">
        <v>15</v>
      </c>
      <c r="H22" s="39"/>
      <c r="I22" s="40" t="s">
        <v>248</v>
      </c>
      <c r="J22" s="41">
        <v>1</v>
      </c>
      <c r="K22" s="41">
        <v>222969</v>
      </c>
      <c r="L22" s="41"/>
      <c r="M22" s="42">
        <v>35325</v>
      </c>
      <c r="N22" s="42">
        <v>35325</v>
      </c>
      <c r="O22" s="43">
        <v>222969</v>
      </c>
      <c r="P22" s="44">
        <v>35325</v>
      </c>
      <c r="Q22" s="44">
        <v>35325</v>
      </c>
      <c r="R22" s="45"/>
      <c r="S22" s="46"/>
      <c r="T22" s="39">
        <f t="shared" si="0"/>
        <v>15</v>
      </c>
      <c r="U22" s="47">
        <f t="shared" si="1"/>
        <v>0.72470870027037881</v>
      </c>
      <c r="V22" s="48">
        <f t="shared" si="2"/>
        <v>0</v>
      </c>
      <c r="W22" s="49">
        <f t="shared" si="3"/>
        <v>4.8313913351358588E-2</v>
      </c>
      <c r="X22" s="44">
        <f t="shared" si="4"/>
        <v>42016.015018251332</v>
      </c>
      <c r="Y22" s="44">
        <f t="shared" si="5"/>
        <v>0</v>
      </c>
      <c r="Z22" s="44">
        <f t="shared" si="6"/>
        <v>101309.0236091394</v>
      </c>
      <c r="AA22" s="50">
        <f t="shared" si="7"/>
        <v>77341.015018251332</v>
      </c>
      <c r="AB22" s="51">
        <f t="shared" si="18"/>
        <v>94707.884088192382</v>
      </c>
      <c r="AC22" s="44">
        <f t="shared" si="18"/>
        <v>72301.593921895226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1.107650050703576</v>
      </c>
      <c r="AG22" s="44">
        <f t="shared" si="10"/>
        <v>246971.62415532564</v>
      </c>
      <c r="AH22" s="52">
        <f>HLOOKUP(I22,ElecAvoidedCostsWOCC!$A$5:$Q$50,T22+1,FALSE)</f>
        <v>1.107650050703576</v>
      </c>
      <c r="AI22" s="44">
        <f t="shared" si="11"/>
        <v>0</v>
      </c>
      <c r="AJ22" s="44">
        <f t="shared" si="12"/>
        <v>246971.62415532564</v>
      </c>
      <c r="AK22" s="44">
        <f>HLOOKUP(I22,ElecAvoidedCostsWOCC!$A$5:$Q$50,G22+1,FALSE)*J22*L22</f>
        <v>0</v>
      </c>
      <c r="AL22" s="44">
        <f t="shared" si="13"/>
        <v>246971.62415532564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246971.62415532564</v>
      </c>
      <c r="AN22" s="48">
        <f t="shared" si="14"/>
        <v>271668.78657085821</v>
      </c>
      <c r="AO22" s="47">
        <f t="shared" si="15"/>
        <v>2.6077197958022653</v>
      </c>
      <c r="AP22" s="47">
        <f t="shared" si="16"/>
        <v>3.7574384164245687</v>
      </c>
      <c r="AQ22">
        <v>2020</v>
      </c>
    </row>
    <row r="23" spans="1:43" ht="13.5" customHeight="1">
      <c r="A23" s="58" t="s">
        <v>246</v>
      </c>
      <c r="B23" s="3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3" ht="13.5" customHeight="1">
      <c r="A24" s="60">
        <f>(SUM(AN5:AN1000)/SUM(AC5:AC1000))</f>
        <v>3.4084139904009088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3" ht="13.5" customHeight="1"/>
    <row r="26" spans="1:43" ht="13.5" customHeight="1"/>
    <row r="27" spans="1:43" ht="13.5" customHeight="1"/>
    <row r="28" spans="1:43" ht="13.5" customHeight="1"/>
  </sheetData>
  <conditionalFormatting sqref="J5:L24">
    <cfRule type="expression" dxfId="254" priority="4">
      <formula>ISTEXT(J5)</formula>
    </cfRule>
    <cfRule type="notContainsBlanks" dxfId="253" priority="5">
      <formula>LEN(TRIM(J5))&gt;0</formula>
    </cfRule>
  </conditionalFormatting>
  <conditionalFormatting sqref="M5:N24 R5:S24">
    <cfRule type="expression" dxfId="252" priority="2">
      <formula>ISTEXT(M5)</formula>
    </cfRule>
  </conditionalFormatting>
  <conditionalFormatting sqref="M5:N24 R5:S24">
    <cfRule type="notContainsBlanks" dxfId="251" priority="3">
      <formula>LEN(TRIM(M5))&gt;0</formula>
    </cfRule>
  </conditionalFormatting>
  <conditionalFormatting sqref="R5:S24">
    <cfRule type="expression" dxfId="2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110"/>
  <sheetViews>
    <sheetView zoomScale="85" zoomScaleNormal="85" workbookViewId="0">
      <selection activeCell="F20" sqref="F2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18230711</v>
      </c>
      <c r="D2" s="20" t="s">
        <v>125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65</v>
      </c>
      <c r="C5" s="98">
        <v>18230711</v>
      </c>
      <c r="D5" s="61" t="s">
        <v>125</v>
      </c>
      <c r="E5" s="38" t="s">
        <v>978</v>
      </c>
      <c r="F5" s="39" t="s">
        <v>979</v>
      </c>
      <c r="G5" s="39">
        <v>24</v>
      </c>
      <c r="H5" s="39"/>
      <c r="I5" s="40" t="s">
        <v>261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36" si="0">G5+H5</f>
        <v>24</v>
      </c>
      <c r="U5" s="47">
        <f t="shared" ref="U5:U36" si="1">(O5/$A$10)*T5</f>
        <v>0</v>
      </c>
      <c r="V5" s="48">
        <f t="shared" ref="V5:V36" si="2">N5-M5</f>
        <v>0</v>
      </c>
      <c r="W5" s="49">
        <f t="shared" ref="W5:W36" si="3">(O5/A$10)</f>
        <v>0</v>
      </c>
      <c r="X5" s="44">
        <f t="shared" ref="X5:X36" si="4">W5*A$8</f>
        <v>0</v>
      </c>
      <c r="Y5" s="44">
        <f t="shared" ref="Y5:Y36" si="5">Q5-P5</f>
        <v>0</v>
      </c>
      <c r="Z5" s="44">
        <f t="shared" ref="Z5:Z36" si="6">X5+(A$6*W5)</f>
        <v>0</v>
      </c>
      <c r="AA5" s="50">
        <f t="shared" ref="AA5:AA36" si="7">Q5+X5</f>
        <v>0</v>
      </c>
      <c r="AB5" s="51">
        <f t="shared" ref="AB5:AB36" si="8">Z5/(1+ElecDiscountRate)^1</f>
        <v>0</v>
      </c>
      <c r="AC5" s="44">
        <f t="shared" ref="AC5:AC36" si="9">AA5/(1+ElecDiscountRate)^1</f>
        <v>0</v>
      </c>
      <c r="AD5" s="44">
        <f t="shared" ref="AD5:AD36" si="10">-PV(ElecDiscountRate,T5,R5)*J5</f>
        <v>0</v>
      </c>
      <c r="AE5" s="44">
        <v>0</v>
      </c>
      <c r="AF5" s="52">
        <f>HLOOKUP(I5,ElecAvoidedCostsWOCC!$A$5:$Q$50,G5+1,FALSE)</f>
        <v>1.9068512770864423</v>
      </c>
      <c r="AG5" s="44">
        <f t="shared" ref="AG5:AG36" si="11">AF5*J5*K5</f>
        <v>0</v>
      </c>
      <c r="AH5" s="52">
        <f>HLOOKUP(I5,ElecAvoidedCostsWOCC!$A$5:$Q$50,T5+1,FALSE)</f>
        <v>1.9068512770864423</v>
      </c>
      <c r="AI5" s="44">
        <f t="shared" ref="AI5:AI36" si="12">AH5*J5*L5</f>
        <v>0</v>
      </c>
      <c r="AJ5" s="44">
        <f t="shared" ref="AJ5:AJ36" si="13">AG5+AI5</f>
        <v>0</v>
      </c>
      <c r="AK5" s="44">
        <f>HLOOKUP(I5,ElecAvoidedCostsWOCC!$A$5:$Q$50,G5+1,FALSE)*J5*L5</f>
        <v>0</v>
      </c>
      <c r="AL5" s="44">
        <f t="shared" ref="AL5:AL36" si="14"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 t="shared" ref="AN5:AN36" si="15">AM5*1.1+AD5+AE5</f>
        <v>0</v>
      </c>
      <c r="AO5" s="47">
        <f t="shared" ref="AO5:AO36" si="16">IFERROR(AM5/AB5,0)</f>
        <v>0</v>
      </c>
      <c r="AP5" s="47" t="e">
        <f t="shared" ref="AP5:AP36" si="17">AN5/AC5</f>
        <v>#DIV/0!</v>
      </c>
      <c r="AQ5">
        <v>2021</v>
      </c>
    </row>
    <row r="6" spans="1:43" ht="13.5" customHeight="1">
      <c r="A6" s="53">
        <f>SUMIF('Program Costs'!D:D,C2,'Program Costs'!L:L)+SUMIF('Program Costs'!C:C,"Industrial System Optimization {E}",'Program Costs'!L:L)+SUMIF('Program Costs'!C:C,"Data Center Efficiency {E}",'Program Costs'!L:L)</f>
        <v>4165561.0100000002</v>
      </c>
      <c r="B6" s="97" t="s">
        <v>65</v>
      </c>
      <c r="C6" s="98">
        <v>18230711</v>
      </c>
      <c r="D6" s="61" t="s">
        <v>125</v>
      </c>
      <c r="E6" s="38" t="s">
        <v>980</v>
      </c>
      <c r="F6" s="39" t="s">
        <v>981</v>
      </c>
      <c r="G6" s="39">
        <v>15</v>
      </c>
      <c r="H6" s="39"/>
      <c r="I6" s="40" t="s">
        <v>261</v>
      </c>
      <c r="J6" s="41">
        <v>1</v>
      </c>
      <c r="K6" s="41"/>
      <c r="L6" s="41"/>
      <c r="M6" s="42"/>
      <c r="N6" s="42"/>
      <c r="O6" s="43">
        <v>0</v>
      </c>
      <c r="P6" s="44">
        <v>0</v>
      </c>
      <c r="Q6" s="44">
        <v>0</v>
      </c>
      <c r="R6" s="45"/>
      <c r="S6" s="46"/>
      <c r="T6" s="39">
        <f t="shared" si="0"/>
        <v>15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>
        <f>HLOOKUP(I6,ElecAvoidedCostsWOCC!$A$5:$Q$50,G6+1,FALSE)</f>
        <v>1.3787827893853604</v>
      </c>
      <c r="AG6" s="44">
        <f t="shared" si="11"/>
        <v>0</v>
      </c>
      <c r="AH6" s="52">
        <f>HLOOKUP(I6,ElecAvoidedCostsWOCC!$A$5:$Q$50,T6+1,FALSE)</f>
        <v>1.3787827893853604</v>
      </c>
      <c r="AI6" s="44">
        <f t="shared" si="12"/>
        <v>0</v>
      </c>
      <c r="AJ6" s="44">
        <f t="shared" si="13"/>
        <v>0</v>
      </c>
      <c r="AK6" s="44">
        <f>HLOOKUP(I6,ElecAvoidedCostsWOCC!$A$5:$Q$50,G6+1,FALSE)*J6*L6</f>
        <v>0</v>
      </c>
      <c r="AL6" s="44">
        <f t="shared" si="14"/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si="15"/>
        <v>0</v>
      </c>
      <c r="AO6" s="47">
        <f t="shared" si="16"/>
        <v>0</v>
      </c>
      <c r="AP6" s="47" t="e">
        <f t="shared" si="17"/>
        <v>#DIV/0!</v>
      </c>
      <c r="AQ6">
        <v>2021</v>
      </c>
    </row>
    <row r="7" spans="1:43" ht="13.5" customHeight="1">
      <c r="A7" s="36" t="s">
        <v>249</v>
      </c>
      <c r="B7" s="97" t="s">
        <v>65</v>
      </c>
      <c r="C7" s="98">
        <v>18230711</v>
      </c>
      <c r="D7" s="61" t="s">
        <v>125</v>
      </c>
      <c r="E7" s="38" t="s">
        <v>982</v>
      </c>
      <c r="F7" s="39" t="s">
        <v>983</v>
      </c>
      <c r="G7" s="39">
        <v>15</v>
      </c>
      <c r="H7" s="39"/>
      <c r="I7" s="40" t="s">
        <v>256</v>
      </c>
      <c r="J7" s="41">
        <v>1</v>
      </c>
      <c r="K7" s="41"/>
      <c r="L7" s="41"/>
      <c r="M7" s="42"/>
      <c r="N7" s="42"/>
      <c r="O7" s="43">
        <v>0</v>
      </c>
      <c r="P7" s="44">
        <v>0</v>
      </c>
      <c r="Q7" s="44">
        <v>0</v>
      </c>
      <c r="R7" s="45"/>
      <c r="S7" s="46"/>
      <c r="T7" s="39">
        <f t="shared" si="0"/>
        <v>15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>
        <f>HLOOKUP(I7,ElecAvoidedCostsWOCC!$A$5:$Q$50,G7+1,FALSE)</f>
        <v>1.0293963841416951</v>
      </c>
      <c r="AG7" s="44">
        <f t="shared" si="11"/>
        <v>0</v>
      </c>
      <c r="AH7" s="52">
        <f>HLOOKUP(I7,ElecAvoidedCostsWOCC!$A$5:$Q$50,T7+1,FALSE)</f>
        <v>1.0293963841416951</v>
      </c>
      <c r="AI7" s="44">
        <f t="shared" si="12"/>
        <v>0</v>
      </c>
      <c r="AJ7" s="44">
        <f t="shared" si="13"/>
        <v>0</v>
      </c>
      <c r="AK7" s="44">
        <f>HLOOKUP(I7,ElecAvoidedCostsWOCC!$A$5:$Q$50,G7+1,FALSE)*J7*L7</f>
        <v>0</v>
      </c>
      <c r="AL7" s="44">
        <f t="shared" si="14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  <c r="AQ7">
        <v>2021</v>
      </c>
    </row>
    <row r="8" spans="1:43" ht="13.5" customHeight="1">
      <c r="A8" s="53">
        <f>SUMIF('Program Costs'!D:D,C2,'Program Costs'!O:O)+SUMIF('Program Costs'!C:C,"Industrial System Optimization {E}",'Program Costs'!O:O)+SUMIF('Program Costs'!C:C,"Data Center Efficiency {E}",'Program Costs'!O:O)</f>
        <v>2278481.61</v>
      </c>
      <c r="B8" s="97" t="s">
        <v>65</v>
      </c>
      <c r="C8" s="98">
        <v>18230711</v>
      </c>
      <c r="D8" s="61" t="s">
        <v>125</v>
      </c>
      <c r="E8" s="38" t="s">
        <v>982</v>
      </c>
      <c r="F8" s="39" t="s">
        <v>983</v>
      </c>
      <c r="G8" s="39">
        <v>15</v>
      </c>
      <c r="H8" s="39"/>
      <c r="I8" s="40" t="s">
        <v>256</v>
      </c>
      <c r="J8" s="41">
        <v>1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/>
      <c r="S8" s="46"/>
      <c r="T8" s="39">
        <f t="shared" si="0"/>
        <v>15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>
        <f>HLOOKUP(I8,ElecAvoidedCostsWOCC!$A$5:$Q$50,G8+1,FALSE)</f>
        <v>1.0293963841416951</v>
      </c>
      <c r="AG8" s="44">
        <f t="shared" si="11"/>
        <v>0</v>
      </c>
      <c r="AH8" s="52">
        <f>HLOOKUP(I8,ElecAvoidedCostsWOCC!$A$5:$Q$50,T8+1,FALSE)</f>
        <v>1.0293963841416951</v>
      </c>
      <c r="AI8" s="44">
        <f t="shared" si="12"/>
        <v>0</v>
      </c>
      <c r="AJ8" s="44">
        <f t="shared" si="13"/>
        <v>0</v>
      </c>
      <c r="AK8" s="44">
        <f>HLOOKUP(I8,ElecAvoidedCostsWOCC!$A$5:$Q$50,G8+1,FALSE)*J8*L8</f>
        <v>0</v>
      </c>
      <c r="AL8" s="44">
        <f t="shared" si="14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  <c r="AQ8">
        <v>2021</v>
      </c>
    </row>
    <row r="9" spans="1:43" ht="13.5" customHeight="1">
      <c r="A9" s="36" t="s">
        <v>250</v>
      </c>
      <c r="B9" s="97" t="s">
        <v>65</v>
      </c>
      <c r="C9" s="98">
        <v>18230711</v>
      </c>
      <c r="D9" s="61" t="s">
        <v>125</v>
      </c>
      <c r="E9" s="38" t="s">
        <v>982</v>
      </c>
      <c r="F9" s="39" t="s">
        <v>983</v>
      </c>
      <c r="G9" s="39">
        <v>10</v>
      </c>
      <c r="H9" s="39"/>
      <c r="I9" s="40" t="s">
        <v>256</v>
      </c>
      <c r="J9" s="41">
        <v>1</v>
      </c>
      <c r="K9" s="41">
        <v>21976</v>
      </c>
      <c r="L9" s="41"/>
      <c r="M9" s="42">
        <v>2542</v>
      </c>
      <c r="N9" s="42">
        <v>3630.84</v>
      </c>
      <c r="O9" s="43">
        <v>21976</v>
      </c>
      <c r="P9" s="44">
        <v>2542</v>
      </c>
      <c r="Q9" s="44">
        <v>3630.84</v>
      </c>
      <c r="R9" s="45"/>
      <c r="S9" s="46"/>
      <c r="T9" s="39">
        <f t="shared" si="0"/>
        <v>10</v>
      </c>
      <c r="U9" s="47">
        <f t="shared" si="1"/>
        <v>1.1418228576351195E-2</v>
      </c>
      <c r="V9" s="48">
        <f t="shared" si="2"/>
        <v>1088.8400000000001</v>
      </c>
      <c r="W9" s="49">
        <f t="shared" si="3"/>
        <v>1.1418228576351194E-3</v>
      </c>
      <c r="X9" s="44">
        <f t="shared" si="4"/>
        <v>2601.6223829992673</v>
      </c>
      <c r="Y9" s="44">
        <f t="shared" si="5"/>
        <v>1088.8400000000001</v>
      </c>
      <c r="Z9" s="44">
        <f t="shared" si="6"/>
        <v>7357.9551590909014</v>
      </c>
      <c r="AA9" s="50">
        <f t="shared" si="7"/>
        <v>6232.462382999267</v>
      </c>
      <c r="AB9" s="51">
        <f t="shared" si="8"/>
        <v>6878.5221642431534</v>
      </c>
      <c r="AC9" s="44">
        <f t="shared" si="9"/>
        <v>5826.3647592776169</v>
      </c>
      <c r="AD9" s="44">
        <f t="shared" si="10"/>
        <v>0</v>
      </c>
      <c r="AE9" s="44">
        <f t="shared" ref="AE9:AE40" si="18">-PV(ElecDiscountRate,T9,S9)*J9</f>
        <v>0</v>
      </c>
      <c r="AF9" s="52">
        <f>HLOOKUP(I9,ElecAvoidedCostsWOCC!$A$5:$Q$50,G9+1,FALSE)</f>
        <v>0.70839718084543712</v>
      </c>
      <c r="AG9" s="44">
        <f t="shared" si="11"/>
        <v>15567.736446259327</v>
      </c>
      <c r="AH9" s="52">
        <f>HLOOKUP(I9,ElecAvoidedCostsWOCC!$A$5:$Q$50,T9+1,FALSE)</f>
        <v>0.70839718084543712</v>
      </c>
      <c r="AI9" s="44">
        <f t="shared" si="12"/>
        <v>0</v>
      </c>
      <c r="AJ9" s="44">
        <f t="shared" si="13"/>
        <v>15567.736446259327</v>
      </c>
      <c r="AK9" s="44">
        <f>HLOOKUP(I9,ElecAvoidedCostsWOCC!$A$5:$Q$50,G9+1,FALSE)*J9*L9</f>
        <v>0</v>
      </c>
      <c r="AL9" s="44">
        <f t="shared" si="14"/>
        <v>15567.736446259327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15567.736446259327</v>
      </c>
      <c r="AN9" s="48">
        <f t="shared" si="15"/>
        <v>17124.510090885262</v>
      </c>
      <c r="AO9" s="47">
        <f t="shared" si="16"/>
        <v>2.263238537950143</v>
      </c>
      <c r="AP9" s="47">
        <f t="shared" si="17"/>
        <v>2.9391414369684004</v>
      </c>
      <c r="AQ9">
        <v>2021</v>
      </c>
    </row>
    <row r="10" spans="1:43" ht="13.5" customHeight="1">
      <c r="A10" s="54">
        <f>SUM(O5:O972)</f>
        <v>19246418</v>
      </c>
      <c r="B10" s="97" t="s">
        <v>65</v>
      </c>
      <c r="C10" s="98">
        <v>18230711</v>
      </c>
      <c r="D10" s="61" t="s">
        <v>125</v>
      </c>
      <c r="E10" s="38" t="s">
        <v>982</v>
      </c>
      <c r="F10" s="39" t="s">
        <v>983</v>
      </c>
      <c r="G10" s="39">
        <v>15</v>
      </c>
      <c r="H10" s="39"/>
      <c r="I10" s="40" t="s">
        <v>256</v>
      </c>
      <c r="J10" s="41">
        <v>1</v>
      </c>
      <c r="K10" s="41">
        <v>109109</v>
      </c>
      <c r="L10" s="41"/>
      <c r="M10" s="42">
        <v>76626</v>
      </c>
      <c r="N10" s="42">
        <v>233109</v>
      </c>
      <c r="O10" s="43">
        <v>109109</v>
      </c>
      <c r="P10" s="44">
        <v>76626</v>
      </c>
      <c r="Q10" s="44">
        <v>233109</v>
      </c>
      <c r="R10" s="45"/>
      <c r="S10" s="46"/>
      <c r="T10" s="39">
        <f t="shared" si="0"/>
        <v>15</v>
      </c>
      <c r="U10" s="47">
        <f t="shared" si="1"/>
        <v>8.5035823289299858E-2</v>
      </c>
      <c r="V10" s="48">
        <f t="shared" si="2"/>
        <v>156483</v>
      </c>
      <c r="W10" s="49">
        <f t="shared" si="3"/>
        <v>5.6690548859533235E-3</v>
      </c>
      <c r="X10" s="44">
        <f t="shared" si="4"/>
        <v>12916.837303725295</v>
      </c>
      <c r="Y10" s="44">
        <f t="shared" si="5"/>
        <v>156483</v>
      </c>
      <c r="Z10" s="44">
        <f t="shared" si="6"/>
        <v>36531.631300202454</v>
      </c>
      <c r="AA10" s="50">
        <f t="shared" si="7"/>
        <v>246025.8373037253</v>
      </c>
      <c r="AB10" s="51">
        <f t="shared" si="8"/>
        <v>34151.286622606764</v>
      </c>
      <c r="AC10" s="44">
        <f t="shared" si="9"/>
        <v>229995.17369704149</v>
      </c>
      <c r="AD10" s="44">
        <f t="shared" si="10"/>
        <v>0</v>
      </c>
      <c r="AE10" s="44">
        <f t="shared" si="18"/>
        <v>0</v>
      </c>
      <c r="AF10" s="52">
        <f>HLOOKUP(I10,ElecAvoidedCostsWOCC!$A$5:$Q$50,G10+1,FALSE)</f>
        <v>1.0293963841416951</v>
      </c>
      <c r="AG10" s="44">
        <f t="shared" si="11"/>
        <v>112316.41007731621</v>
      </c>
      <c r="AH10" s="52">
        <f>HLOOKUP(I10,ElecAvoidedCostsWOCC!$A$5:$Q$50,T10+1,FALSE)</f>
        <v>1.0293963841416951</v>
      </c>
      <c r="AI10" s="44">
        <f t="shared" si="12"/>
        <v>0</v>
      </c>
      <c r="AJ10" s="44">
        <f t="shared" si="13"/>
        <v>112316.41007731621</v>
      </c>
      <c r="AK10" s="44">
        <f>HLOOKUP(I10,ElecAvoidedCostsWOCC!$A$5:$Q$50,G10+1,FALSE)*J10*L10</f>
        <v>0</v>
      </c>
      <c r="AL10" s="44">
        <f t="shared" si="14"/>
        <v>112316.41007731621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112316.41007731621</v>
      </c>
      <c r="AN10" s="48">
        <f t="shared" si="15"/>
        <v>123548.05108504783</v>
      </c>
      <c r="AO10" s="47">
        <f t="shared" si="16"/>
        <v>3.2887900042678715</v>
      </c>
      <c r="AP10" s="47">
        <f t="shared" si="17"/>
        <v>0.53717671157652236</v>
      </c>
      <c r="AQ10">
        <v>2021</v>
      </c>
    </row>
    <row r="11" spans="1:43" ht="13.5" customHeight="1">
      <c r="A11" s="36" t="s">
        <v>251</v>
      </c>
      <c r="B11" s="97" t="s">
        <v>65</v>
      </c>
      <c r="C11" s="98">
        <v>18230711</v>
      </c>
      <c r="D11" s="61" t="s">
        <v>125</v>
      </c>
      <c r="E11" s="38" t="s">
        <v>982</v>
      </c>
      <c r="F11" s="39" t="s">
        <v>983</v>
      </c>
      <c r="G11" s="39">
        <v>15</v>
      </c>
      <c r="H11" s="39"/>
      <c r="I11" s="40" t="s">
        <v>256</v>
      </c>
      <c r="J11" s="41">
        <v>1</v>
      </c>
      <c r="K11" s="41">
        <v>30592</v>
      </c>
      <c r="L11" s="41"/>
      <c r="M11" s="42">
        <v>7382</v>
      </c>
      <c r="N11" s="42">
        <v>13202</v>
      </c>
      <c r="O11" s="43">
        <v>30592</v>
      </c>
      <c r="P11" s="44">
        <v>7382</v>
      </c>
      <c r="Q11" s="44">
        <v>13202</v>
      </c>
      <c r="R11" s="45"/>
      <c r="S11" s="46"/>
      <c r="T11" s="39">
        <f t="shared" si="0"/>
        <v>15</v>
      </c>
      <c r="U11" s="47">
        <f t="shared" si="1"/>
        <v>2.3842358614470496E-2</v>
      </c>
      <c r="V11" s="48">
        <f t="shared" si="2"/>
        <v>5820</v>
      </c>
      <c r="W11" s="49">
        <f t="shared" si="3"/>
        <v>1.589490574298033E-3</v>
      </c>
      <c r="X11" s="44">
        <f t="shared" si="4"/>
        <v>3621.6250428064068</v>
      </c>
      <c r="Y11" s="44">
        <f t="shared" si="5"/>
        <v>5820</v>
      </c>
      <c r="Z11" s="44">
        <f t="shared" si="6"/>
        <v>10242.745004864802</v>
      </c>
      <c r="AA11" s="50">
        <f t="shared" si="7"/>
        <v>16823.625042806409</v>
      </c>
      <c r="AB11" s="51">
        <f t="shared" si="8"/>
        <v>9575.3435588153698</v>
      </c>
      <c r="AC11" s="44">
        <f t="shared" si="9"/>
        <v>15727.423616720956</v>
      </c>
      <c r="AD11" s="44">
        <f t="shared" si="10"/>
        <v>0</v>
      </c>
      <c r="AE11" s="44">
        <f t="shared" si="18"/>
        <v>0</v>
      </c>
      <c r="AF11" s="52">
        <f>HLOOKUP(I11,ElecAvoidedCostsWOCC!$A$5:$Q$50,G11+1,FALSE)</f>
        <v>1.0293963841416951</v>
      </c>
      <c r="AG11" s="44">
        <f t="shared" si="11"/>
        <v>31491.294183662736</v>
      </c>
      <c r="AH11" s="52">
        <f>HLOOKUP(I11,ElecAvoidedCostsWOCC!$A$5:$Q$50,T11+1,FALSE)</f>
        <v>1.0293963841416951</v>
      </c>
      <c r="AI11" s="44">
        <f t="shared" si="12"/>
        <v>0</v>
      </c>
      <c r="AJ11" s="44">
        <f t="shared" si="13"/>
        <v>31491.294183662736</v>
      </c>
      <c r="AK11" s="44">
        <f>HLOOKUP(I11,ElecAvoidedCostsWOCC!$A$5:$Q$50,G11+1,FALSE)*J11*L11</f>
        <v>0</v>
      </c>
      <c r="AL11" s="44">
        <f t="shared" si="14"/>
        <v>31491.294183662736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31491.294183662736</v>
      </c>
      <c r="AN11" s="48">
        <f t="shared" si="15"/>
        <v>34640.423602029012</v>
      </c>
      <c r="AO11" s="47">
        <f t="shared" si="16"/>
        <v>3.2887900042678715</v>
      </c>
      <c r="AP11" s="47">
        <f t="shared" si="17"/>
        <v>2.2025491552984104</v>
      </c>
      <c r="AQ11">
        <v>2021</v>
      </c>
    </row>
    <row r="12" spans="1:43" ht="13.5" customHeight="1">
      <c r="A12" s="55">
        <f>SUM(P5:P973)</f>
        <v>4137381.4200000004</v>
      </c>
      <c r="B12" s="97" t="s">
        <v>65</v>
      </c>
      <c r="C12" s="98">
        <v>18230711</v>
      </c>
      <c r="D12" s="61" t="s">
        <v>125</v>
      </c>
      <c r="E12" s="38" t="s">
        <v>984</v>
      </c>
      <c r="F12" s="39" t="s">
        <v>985</v>
      </c>
      <c r="G12" s="39">
        <v>30</v>
      </c>
      <c r="H12" s="39"/>
      <c r="I12" s="40" t="s">
        <v>261</v>
      </c>
      <c r="J12" s="41">
        <v>1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/>
      <c r="S12" s="46"/>
      <c r="T12" s="39">
        <f t="shared" si="0"/>
        <v>30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>
        <f>HLOOKUP(I12,ElecAvoidedCostsWOCC!$A$5:$Q$50,G12+1,FALSE)</f>
        <v>2.1380389294172497</v>
      </c>
      <c r="AG12" s="44">
        <f t="shared" si="11"/>
        <v>0</v>
      </c>
      <c r="AH12" s="52">
        <f>HLOOKUP(I12,ElecAvoidedCostsWOCC!$A$5:$Q$50,T12+1,FALSE)</f>
        <v>2.1380389294172497</v>
      </c>
      <c r="AI12" s="44">
        <f t="shared" si="12"/>
        <v>0</v>
      </c>
      <c r="AJ12" s="44">
        <f t="shared" si="13"/>
        <v>0</v>
      </c>
      <c r="AK12" s="44">
        <f>HLOOKUP(I12,ElecAvoidedCostsWOCC!$A$5:$Q$50,G12+1,FALSE)*J12*L12</f>
        <v>0</v>
      </c>
      <c r="AL12" s="44">
        <f t="shared" si="14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  <c r="AQ12">
        <v>2021</v>
      </c>
    </row>
    <row r="13" spans="1:43" ht="13.5" customHeight="1">
      <c r="A13" s="56" t="s">
        <v>252</v>
      </c>
      <c r="B13" s="97" t="s">
        <v>65</v>
      </c>
      <c r="C13" s="98">
        <v>18230711</v>
      </c>
      <c r="D13" s="61" t="s">
        <v>125</v>
      </c>
      <c r="E13" s="38" t="s">
        <v>986</v>
      </c>
      <c r="F13" s="39" t="s">
        <v>987</v>
      </c>
      <c r="G13" s="39">
        <v>15</v>
      </c>
      <c r="H13" s="39"/>
      <c r="I13" s="40" t="s">
        <v>256</v>
      </c>
      <c r="J13" s="41">
        <v>1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/>
      <c r="S13" s="46"/>
      <c r="T13" s="39">
        <f t="shared" si="0"/>
        <v>15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>
        <f>HLOOKUP(I13,ElecAvoidedCostsWOCC!$A$5:$Q$50,G13+1,FALSE)</f>
        <v>1.0293963841416951</v>
      </c>
      <c r="AG13" s="44">
        <f t="shared" si="11"/>
        <v>0</v>
      </c>
      <c r="AH13" s="52">
        <f>HLOOKUP(I13,ElecAvoidedCostsWOCC!$A$5:$Q$50,T13+1,FALSE)</f>
        <v>1.0293963841416951</v>
      </c>
      <c r="AI13" s="44">
        <f t="shared" si="12"/>
        <v>0</v>
      </c>
      <c r="AJ13" s="44">
        <f t="shared" si="13"/>
        <v>0</v>
      </c>
      <c r="AK13" s="44">
        <f>HLOOKUP(I13,ElecAvoidedCostsWOCC!$A$5:$Q$50,G13+1,FALSE)*J13*L13</f>
        <v>0</v>
      </c>
      <c r="AL13" s="44">
        <f t="shared" si="14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  <c r="AQ13">
        <v>2021</v>
      </c>
    </row>
    <row r="14" spans="1:43" ht="13.5" customHeight="1">
      <c r="A14" s="55">
        <f>SUM(Y5:Y973)</f>
        <v>3362814.1599999997</v>
      </c>
      <c r="B14" s="97" t="s">
        <v>65</v>
      </c>
      <c r="C14" s="98">
        <v>18230711</v>
      </c>
      <c r="D14" s="61" t="s">
        <v>125</v>
      </c>
      <c r="E14" s="38" t="s">
        <v>988</v>
      </c>
      <c r="F14" s="39" t="s">
        <v>989</v>
      </c>
      <c r="G14" s="39">
        <v>10</v>
      </c>
      <c r="H14" s="39"/>
      <c r="I14" s="40" t="s">
        <v>256</v>
      </c>
      <c r="J14" s="41">
        <v>1</v>
      </c>
      <c r="K14" s="41">
        <v>36830</v>
      </c>
      <c r="L14" s="41"/>
      <c r="M14" s="42">
        <v>12891</v>
      </c>
      <c r="N14" s="42">
        <v>12891</v>
      </c>
      <c r="O14" s="43">
        <v>36830</v>
      </c>
      <c r="P14" s="44">
        <v>12891</v>
      </c>
      <c r="Q14" s="44">
        <v>12891</v>
      </c>
      <c r="R14" s="45"/>
      <c r="S14" s="46"/>
      <c r="T14" s="39">
        <f t="shared" si="0"/>
        <v>10</v>
      </c>
      <c r="U14" s="47">
        <f t="shared" si="1"/>
        <v>1.9136028324855045E-2</v>
      </c>
      <c r="V14" s="48">
        <f t="shared" si="2"/>
        <v>0</v>
      </c>
      <c r="W14" s="49">
        <f t="shared" si="3"/>
        <v>1.9136028324855045E-3</v>
      </c>
      <c r="X14" s="44">
        <f t="shared" si="4"/>
        <v>4360.1088626621322</v>
      </c>
      <c r="Y14" s="44">
        <f t="shared" si="5"/>
        <v>0</v>
      </c>
      <c r="Z14" s="44">
        <f t="shared" si="6"/>
        <v>12331.338210289312</v>
      </c>
      <c r="AA14" s="50">
        <f t="shared" si="7"/>
        <v>17251.108862662131</v>
      </c>
      <c r="AB14" s="51">
        <f t="shared" si="8"/>
        <v>11527.847256510528</v>
      </c>
      <c r="AC14" s="44">
        <f t="shared" si="9"/>
        <v>16127.053251063036</v>
      </c>
      <c r="AD14" s="44">
        <f t="shared" si="10"/>
        <v>0</v>
      </c>
      <c r="AE14" s="44">
        <f t="shared" si="18"/>
        <v>0</v>
      </c>
      <c r="AF14" s="52">
        <f>HLOOKUP(I14,ElecAvoidedCostsWOCC!$A$5:$Q$50,G14+1,FALSE)</f>
        <v>0.70839718084543712</v>
      </c>
      <c r="AG14" s="44">
        <f t="shared" si="11"/>
        <v>26090.268170537449</v>
      </c>
      <c r="AH14" s="52">
        <f>HLOOKUP(I14,ElecAvoidedCostsWOCC!$A$5:$Q$50,T14+1,FALSE)</f>
        <v>0.70839718084543712</v>
      </c>
      <c r="AI14" s="44">
        <f t="shared" si="12"/>
        <v>0</v>
      </c>
      <c r="AJ14" s="44">
        <f t="shared" si="13"/>
        <v>26090.268170537449</v>
      </c>
      <c r="AK14" s="44">
        <f>HLOOKUP(I14,ElecAvoidedCostsWOCC!$A$5:$Q$50,G14+1,FALSE)*J14*L14</f>
        <v>0</v>
      </c>
      <c r="AL14" s="44">
        <f t="shared" si="14"/>
        <v>26090.268170537449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26090.268170537449</v>
      </c>
      <c r="AN14" s="48">
        <f t="shared" si="15"/>
        <v>28699.294987591195</v>
      </c>
      <c r="AO14" s="47">
        <f t="shared" si="16"/>
        <v>2.2632385379501425</v>
      </c>
      <c r="AP14" s="47">
        <f t="shared" si="17"/>
        <v>1.7795746402523624</v>
      </c>
      <c r="AQ14">
        <v>2021</v>
      </c>
    </row>
    <row r="15" spans="1:43" ht="13.5" customHeight="1">
      <c r="A15" s="57" t="s">
        <v>253</v>
      </c>
      <c r="B15" s="97" t="s">
        <v>65</v>
      </c>
      <c r="C15" s="98">
        <v>18230711</v>
      </c>
      <c r="D15" s="61" t="s">
        <v>125</v>
      </c>
      <c r="E15" s="38" t="s">
        <v>988</v>
      </c>
      <c r="F15" s="39" t="s">
        <v>989</v>
      </c>
      <c r="G15" s="39">
        <v>10</v>
      </c>
      <c r="H15" s="39"/>
      <c r="I15" s="40" t="s">
        <v>256</v>
      </c>
      <c r="J15" s="41">
        <v>1</v>
      </c>
      <c r="K15" s="41">
        <v>225138</v>
      </c>
      <c r="L15" s="41"/>
      <c r="M15" s="42">
        <v>75108</v>
      </c>
      <c r="N15" s="42">
        <v>75108</v>
      </c>
      <c r="O15" s="43">
        <v>225138</v>
      </c>
      <c r="P15" s="44">
        <v>75108</v>
      </c>
      <c r="Q15" s="44">
        <v>75108</v>
      </c>
      <c r="R15" s="45"/>
      <c r="S15" s="46"/>
      <c r="T15" s="39">
        <f t="shared" si="0"/>
        <v>10</v>
      </c>
      <c r="U15" s="47">
        <f t="shared" si="1"/>
        <v>0.11697657195224587</v>
      </c>
      <c r="V15" s="48">
        <f t="shared" si="2"/>
        <v>0</v>
      </c>
      <c r="W15" s="49">
        <f t="shared" si="3"/>
        <v>1.1697657195224587E-2</v>
      </c>
      <c r="X15" s="44">
        <f t="shared" si="4"/>
        <v>26652.896799403399</v>
      </c>
      <c r="Y15" s="44">
        <f t="shared" si="5"/>
        <v>0</v>
      </c>
      <c r="Z15" s="44">
        <f t="shared" si="6"/>
        <v>75380.201520176895</v>
      </c>
      <c r="AA15" s="50">
        <f t="shared" si="7"/>
        <v>101760.8967994034</v>
      </c>
      <c r="AB15" s="51">
        <f t="shared" si="8"/>
        <v>70468.544003156858</v>
      </c>
      <c r="AC15" s="44">
        <f t="shared" si="9"/>
        <v>95130.313919232867</v>
      </c>
      <c r="AD15" s="44">
        <f t="shared" si="10"/>
        <v>0</v>
      </c>
      <c r="AE15" s="44">
        <f t="shared" si="18"/>
        <v>0</v>
      </c>
      <c r="AF15" s="52">
        <f>HLOOKUP(I15,ElecAvoidedCostsWOCC!$A$5:$Q$50,G15+1,FALSE)</f>
        <v>0.70839718084543712</v>
      </c>
      <c r="AG15" s="44">
        <f t="shared" si="11"/>
        <v>159487.12450118002</v>
      </c>
      <c r="AH15" s="52">
        <f>HLOOKUP(I15,ElecAvoidedCostsWOCC!$A$5:$Q$50,T15+1,FALSE)</f>
        <v>0.70839718084543712</v>
      </c>
      <c r="AI15" s="44">
        <f t="shared" si="12"/>
        <v>0</v>
      </c>
      <c r="AJ15" s="44">
        <f t="shared" si="13"/>
        <v>159487.12450118002</v>
      </c>
      <c r="AK15" s="44">
        <f>HLOOKUP(I15,ElecAvoidedCostsWOCC!$A$5:$Q$50,G15+1,FALSE)*J15*L15</f>
        <v>0</v>
      </c>
      <c r="AL15" s="44">
        <f t="shared" si="14"/>
        <v>159487.12450118002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159487.12450118002</v>
      </c>
      <c r="AN15" s="48">
        <f t="shared" si="15"/>
        <v>175435.83695129803</v>
      </c>
      <c r="AO15" s="47">
        <f t="shared" si="16"/>
        <v>2.2632385379501425</v>
      </c>
      <c r="AP15" s="47">
        <f t="shared" si="17"/>
        <v>1.844163334730986</v>
      </c>
      <c r="AQ15">
        <v>2021</v>
      </c>
    </row>
    <row r="16" spans="1:43" ht="13.5" customHeight="1">
      <c r="A16" s="54">
        <f>SUM(U5:U972)</f>
        <v>12.392142111846477</v>
      </c>
      <c r="B16" s="97" t="s">
        <v>65</v>
      </c>
      <c r="C16" s="98">
        <v>18230711</v>
      </c>
      <c r="D16" s="61" t="s">
        <v>125</v>
      </c>
      <c r="E16" s="38" t="s">
        <v>988</v>
      </c>
      <c r="F16" s="39" t="s">
        <v>989</v>
      </c>
      <c r="G16" s="39">
        <v>10</v>
      </c>
      <c r="H16" s="39"/>
      <c r="I16" s="40" t="s">
        <v>256</v>
      </c>
      <c r="J16" s="41">
        <v>1</v>
      </c>
      <c r="K16" s="41">
        <v>365668</v>
      </c>
      <c r="L16" s="41"/>
      <c r="M16" s="42">
        <v>96062</v>
      </c>
      <c r="N16" s="42">
        <v>96062</v>
      </c>
      <c r="O16" s="43">
        <v>365668</v>
      </c>
      <c r="P16" s="44">
        <v>96062</v>
      </c>
      <c r="Q16" s="44">
        <v>96062</v>
      </c>
      <c r="R16" s="45"/>
      <c r="S16" s="46"/>
      <c r="T16" s="39">
        <f t="shared" si="0"/>
        <v>10</v>
      </c>
      <c r="U16" s="47">
        <f t="shared" si="1"/>
        <v>0.1899927560546591</v>
      </c>
      <c r="V16" s="48">
        <f t="shared" si="2"/>
        <v>0</v>
      </c>
      <c r="W16" s="49">
        <f t="shared" si="3"/>
        <v>1.899927560546591E-2</v>
      </c>
      <c r="X16" s="44">
        <f t="shared" si="4"/>
        <v>43289.500070375689</v>
      </c>
      <c r="Y16" s="44">
        <f t="shared" si="5"/>
        <v>0</v>
      </c>
      <c r="Z16" s="44">
        <f t="shared" si="6"/>
        <v>122432.14175074862</v>
      </c>
      <c r="AA16" s="50">
        <f t="shared" si="7"/>
        <v>139351.50007037568</v>
      </c>
      <c r="AB16" s="51">
        <f t="shared" si="8"/>
        <v>114454.65247335572</v>
      </c>
      <c r="AC16" s="44">
        <f t="shared" si="9"/>
        <v>130271.57153442617</v>
      </c>
      <c r="AD16" s="44">
        <f t="shared" si="10"/>
        <v>0</v>
      </c>
      <c r="AE16" s="44">
        <f t="shared" si="18"/>
        <v>0</v>
      </c>
      <c r="AF16" s="52">
        <f>HLOOKUP(I16,ElecAvoidedCostsWOCC!$A$5:$Q$50,G16+1,FALSE)</f>
        <v>0.70839718084543712</v>
      </c>
      <c r="AG16" s="44">
        <f t="shared" si="11"/>
        <v>259038.18032538932</v>
      </c>
      <c r="AH16" s="52">
        <f>HLOOKUP(I16,ElecAvoidedCostsWOCC!$A$5:$Q$50,T16+1,FALSE)</f>
        <v>0.70839718084543712</v>
      </c>
      <c r="AI16" s="44">
        <f t="shared" si="12"/>
        <v>0</v>
      </c>
      <c r="AJ16" s="44">
        <f t="shared" si="13"/>
        <v>259038.18032538932</v>
      </c>
      <c r="AK16" s="44">
        <f>HLOOKUP(I16,ElecAvoidedCostsWOCC!$A$5:$Q$50,G16+1,FALSE)*J16*L16</f>
        <v>0</v>
      </c>
      <c r="AL16" s="44">
        <f t="shared" si="14"/>
        <v>259038.18032538932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259038.18032538932</v>
      </c>
      <c r="AN16" s="48">
        <f t="shared" si="15"/>
        <v>284941.99835792824</v>
      </c>
      <c r="AO16" s="47">
        <f t="shared" si="16"/>
        <v>2.263238537950143</v>
      </c>
      <c r="AP16" s="47">
        <f t="shared" si="17"/>
        <v>2.1872922465100388</v>
      </c>
      <c r="AQ16">
        <v>2021</v>
      </c>
    </row>
    <row r="17" spans="1:43" ht="13.5" customHeight="1">
      <c r="A17" s="58" t="s">
        <v>254</v>
      </c>
      <c r="B17" s="97" t="s">
        <v>65</v>
      </c>
      <c r="C17" s="98">
        <v>18230711</v>
      </c>
      <c r="D17" s="61" t="s">
        <v>125</v>
      </c>
      <c r="E17" s="38" t="s">
        <v>990</v>
      </c>
      <c r="F17" s="39" t="s">
        <v>991</v>
      </c>
      <c r="G17" s="39">
        <v>15</v>
      </c>
      <c r="H17" s="39"/>
      <c r="I17" s="40" t="s">
        <v>261</v>
      </c>
      <c r="J17" s="41">
        <v>1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/>
      <c r="S17" s="46"/>
      <c r="T17" s="39">
        <f t="shared" si="0"/>
        <v>15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>
        <f>HLOOKUP(I17,ElecAvoidedCostsWOCC!$A$5:$Q$50,G17+1,FALSE)</f>
        <v>1.3787827893853604</v>
      </c>
      <c r="AG17" s="44">
        <f t="shared" si="11"/>
        <v>0</v>
      </c>
      <c r="AH17" s="52">
        <f>HLOOKUP(I17,ElecAvoidedCostsWOCC!$A$5:$Q$50,T17+1,FALSE)</f>
        <v>1.3787827893853604</v>
      </c>
      <c r="AI17" s="44">
        <f t="shared" si="12"/>
        <v>0</v>
      </c>
      <c r="AJ17" s="44">
        <f t="shared" si="13"/>
        <v>0</v>
      </c>
      <c r="AK17" s="44">
        <f>HLOOKUP(I17,ElecAvoidedCostsWOCC!$A$5:$Q$50,G17+1,FALSE)*J17*L17</f>
        <v>0</v>
      </c>
      <c r="AL17" s="44">
        <f t="shared" si="14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  <c r="AQ17">
        <v>2021</v>
      </c>
    </row>
    <row r="18" spans="1:43" ht="13.5" customHeight="1">
      <c r="A18" s="59">
        <f>A6+A8</f>
        <v>6444042.6200000001</v>
      </c>
      <c r="B18" s="97" t="s">
        <v>65</v>
      </c>
      <c r="C18" s="98">
        <v>18230711</v>
      </c>
      <c r="D18" s="61" t="s">
        <v>125</v>
      </c>
      <c r="E18" s="38" t="s">
        <v>990</v>
      </c>
      <c r="F18" s="39" t="s">
        <v>991</v>
      </c>
      <c r="G18" s="39">
        <v>15</v>
      </c>
      <c r="H18" s="39"/>
      <c r="I18" s="40" t="s">
        <v>261</v>
      </c>
      <c r="J18" s="41">
        <v>1</v>
      </c>
      <c r="K18" s="41">
        <v>244773</v>
      </c>
      <c r="L18" s="41"/>
      <c r="M18" s="42">
        <v>85671</v>
      </c>
      <c r="N18" s="42">
        <v>207006</v>
      </c>
      <c r="O18" s="43">
        <v>244773</v>
      </c>
      <c r="P18" s="44">
        <v>85671</v>
      </c>
      <c r="Q18" s="44">
        <v>207006</v>
      </c>
      <c r="R18" s="45"/>
      <c r="S18" s="46"/>
      <c r="T18" s="39">
        <f t="shared" si="0"/>
        <v>15</v>
      </c>
      <c r="U18" s="47">
        <f t="shared" si="1"/>
        <v>0.19076770545043759</v>
      </c>
      <c r="V18" s="48">
        <f t="shared" si="2"/>
        <v>121335</v>
      </c>
      <c r="W18" s="49">
        <f t="shared" si="3"/>
        <v>1.2717847030029173E-2</v>
      </c>
      <c r="X18" s="44">
        <f t="shared" si="4"/>
        <v>28977.380576714586</v>
      </c>
      <c r="Y18" s="44">
        <f t="shared" si="5"/>
        <v>121335</v>
      </c>
      <c r="Z18" s="44">
        <f t="shared" si="6"/>
        <v>81954.348296148411</v>
      </c>
      <c r="AA18" s="50">
        <f t="shared" si="7"/>
        <v>235983.38057671458</v>
      </c>
      <c r="AB18" s="51">
        <f t="shared" si="8"/>
        <v>76614.32952804376</v>
      </c>
      <c r="AC18" s="44">
        <f t="shared" si="9"/>
        <v>220607.06794121207</v>
      </c>
      <c r="AD18" s="44">
        <f t="shared" si="10"/>
        <v>0</v>
      </c>
      <c r="AE18" s="44">
        <f t="shared" si="18"/>
        <v>0</v>
      </c>
      <c r="AF18" s="52">
        <f>HLOOKUP(I18,ElecAvoidedCostsWOCC!$A$5:$Q$50,G18+1,FALSE)</f>
        <v>1.3787827893853604</v>
      </c>
      <c r="AG18" s="44">
        <f t="shared" si="11"/>
        <v>337488.79970622284</v>
      </c>
      <c r="AH18" s="52">
        <f>HLOOKUP(I18,ElecAvoidedCostsWOCC!$A$5:$Q$50,T18+1,FALSE)</f>
        <v>1.3787827893853604</v>
      </c>
      <c r="AI18" s="44">
        <f t="shared" si="12"/>
        <v>0</v>
      </c>
      <c r="AJ18" s="44">
        <f t="shared" si="13"/>
        <v>337488.79970622284</v>
      </c>
      <c r="AK18" s="44">
        <f>HLOOKUP(I18,ElecAvoidedCostsWOCC!$A$5:$Q$50,G18+1,FALSE)*J18*L18</f>
        <v>0</v>
      </c>
      <c r="AL18" s="44">
        <f t="shared" si="14"/>
        <v>337488.79970622284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337488.79970622284</v>
      </c>
      <c r="AN18" s="48">
        <f t="shared" si="15"/>
        <v>371237.67967684515</v>
      </c>
      <c r="AO18" s="47">
        <f t="shared" si="16"/>
        <v>4.4050349560611775</v>
      </c>
      <c r="AP18" s="47">
        <f t="shared" si="17"/>
        <v>1.6828004793381031</v>
      </c>
      <c r="AQ18">
        <v>2021</v>
      </c>
    </row>
    <row r="19" spans="1:43" ht="13.5" customHeight="1">
      <c r="A19" s="58" t="s">
        <v>231</v>
      </c>
      <c r="B19" s="97" t="s">
        <v>65</v>
      </c>
      <c r="C19" s="98">
        <v>18230711</v>
      </c>
      <c r="D19" s="61" t="s">
        <v>125</v>
      </c>
      <c r="E19" s="38" t="s">
        <v>990</v>
      </c>
      <c r="F19" s="39" t="s">
        <v>991</v>
      </c>
      <c r="G19" s="39">
        <v>15</v>
      </c>
      <c r="H19" s="39"/>
      <c r="I19" s="40" t="s">
        <v>261</v>
      </c>
      <c r="J19" s="41">
        <v>1</v>
      </c>
      <c r="K19" s="41">
        <v>820</v>
      </c>
      <c r="L19" s="41"/>
      <c r="M19" s="42">
        <v>500</v>
      </c>
      <c r="N19" s="42">
        <v>1010</v>
      </c>
      <c r="O19" s="43">
        <v>820</v>
      </c>
      <c r="P19" s="44">
        <v>500</v>
      </c>
      <c r="Q19" s="44">
        <v>1010</v>
      </c>
      <c r="R19" s="45"/>
      <c r="S19" s="46"/>
      <c r="T19" s="39">
        <f t="shared" si="0"/>
        <v>15</v>
      </c>
      <c r="U19" s="47">
        <f t="shared" si="1"/>
        <v>6.390799576315966E-4</v>
      </c>
      <c r="V19" s="48">
        <f t="shared" si="2"/>
        <v>510</v>
      </c>
      <c r="W19" s="49">
        <f t="shared" si="3"/>
        <v>4.260533050877311E-5</v>
      </c>
      <c r="X19" s="44">
        <f t="shared" si="4"/>
        <v>97.075462052211464</v>
      </c>
      <c r="Y19" s="44">
        <f t="shared" si="5"/>
        <v>510</v>
      </c>
      <c r="Z19" s="44">
        <f t="shared" si="6"/>
        <v>274.55056563772018</v>
      </c>
      <c r="AA19" s="50">
        <f t="shared" si="7"/>
        <v>1107.0754620522114</v>
      </c>
      <c r="AB19" s="51">
        <f t="shared" si="8"/>
        <v>256.66127478519223</v>
      </c>
      <c r="AC19" s="44">
        <f t="shared" si="9"/>
        <v>1034.9401346659918</v>
      </c>
      <c r="AD19" s="44">
        <f t="shared" si="10"/>
        <v>0</v>
      </c>
      <c r="AE19" s="44">
        <f t="shared" si="18"/>
        <v>0</v>
      </c>
      <c r="AF19" s="52">
        <f>HLOOKUP(I19,ElecAvoidedCostsWOCC!$A$5:$Q$50,G19+1,FALSE)</f>
        <v>1.3787827893853604</v>
      </c>
      <c r="AG19" s="44">
        <f t="shared" si="11"/>
        <v>1130.6018872959955</v>
      </c>
      <c r="AH19" s="52">
        <f>HLOOKUP(I19,ElecAvoidedCostsWOCC!$A$5:$Q$50,T19+1,FALSE)</f>
        <v>1.3787827893853604</v>
      </c>
      <c r="AI19" s="44">
        <f t="shared" si="12"/>
        <v>0</v>
      </c>
      <c r="AJ19" s="44">
        <f t="shared" si="13"/>
        <v>1130.6018872959955</v>
      </c>
      <c r="AK19" s="44">
        <f>HLOOKUP(I19,ElecAvoidedCostsWOCC!$A$5:$Q$50,G19+1,FALSE)*J19*L19</f>
        <v>0</v>
      </c>
      <c r="AL19" s="44">
        <f t="shared" si="14"/>
        <v>1130.6018872959955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1130.6018872959955</v>
      </c>
      <c r="AN19" s="48">
        <f t="shared" si="15"/>
        <v>1243.6620760255953</v>
      </c>
      <c r="AO19" s="47">
        <f t="shared" si="16"/>
        <v>4.4050349560611792</v>
      </c>
      <c r="AP19" s="47">
        <f t="shared" si="17"/>
        <v>1.20167537654433</v>
      </c>
      <c r="AQ19">
        <v>2021</v>
      </c>
    </row>
    <row r="20" spans="1:43" ht="13.5" customHeight="1">
      <c r="A20" s="59">
        <f>A8+SUM(Q5:Q879)</f>
        <v>9778677.1900000013</v>
      </c>
      <c r="B20" s="97" t="s">
        <v>65</v>
      </c>
      <c r="C20" s="98">
        <v>18230711</v>
      </c>
      <c r="D20" s="61" t="s">
        <v>125</v>
      </c>
      <c r="E20" s="38" t="s">
        <v>990</v>
      </c>
      <c r="F20" s="39" t="s">
        <v>991</v>
      </c>
      <c r="G20" s="39">
        <v>15</v>
      </c>
      <c r="H20" s="39"/>
      <c r="I20" s="40" t="s">
        <v>261</v>
      </c>
      <c r="J20" s="41">
        <v>1</v>
      </c>
      <c r="K20" s="41">
        <v>11720</v>
      </c>
      <c r="L20" s="41"/>
      <c r="M20" s="42">
        <v>10813</v>
      </c>
      <c r="N20" s="42">
        <v>24277</v>
      </c>
      <c r="O20" s="43">
        <v>11720</v>
      </c>
      <c r="P20" s="44">
        <v>10813</v>
      </c>
      <c r="Q20" s="44">
        <v>24277</v>
      </c>
      <c r="R20" s="45"/>
      <c r="S20" s="46"/>
      <c r="T20" s="39">
        <f t="shared" si="0"/>
        <v>15</v>
      </c>
      <c r="U20" s="47">
        <f t="shared" si="1"/>
        <v>9.1341671993198943E-3</v>
      </c>
      <c r="V20" s="48">
        <f t="shared" si="2"/>
        <v>13464</v>
      </c>
      <c r="W20" s="49">
        <f t="shared" si="3"/>
        <v>6.0894447995465961E-4</v>
      </c>
      <c r="X20" s="44">
        <f t="shared" si="4"/>
        <v>1387.4687990877055</v>
      </c>
      <c r="Y20" s="44">
        <f t="shared" si="5"/>
        <v>13464</v>
      </c>
      <c r="Z20" s="44">
        <f t="shared" si="6"/>
        <v>3924.0641820415622</v>
      </c>
      <c r="AA20" s="50">
        <f t="shared" si="7"/>
        <v>25664.468799087706</v>
      </c>
      <c r="AB20" s="51">
        <f t="shared" si="8"/>
        <v>3668.3782201005533</v>
      </c>
      <c r="AC20" s="44">
        <f t="shared" si="9"/>
        <v>23992.21164727279</v>
      </c>
      <c r="AD20" s="44">
        <f t="shared" si="10"/>
        <v>0</v>
      </c>
      <c r="AE20" s="44">
        <f t="shared" si="18"/>
        <v>0</v>
      </c>
      <c r="AF20" s="52">
        <f>HLOOKUP(I20,ElecAvoidedCostsWOCC!$A$5:$Q$50,G20+1,FALSE)</f>
        <v>1.3787827893853604</v>
      </c>
      <c r="AG20" s="44">
        <f t="shared" si="11"/>
        <v>16159.334291596424</v>
      </c>
      <c r="AH20" s="52">
        <f>HLOOKUP(I20,ElecAvoidedCostsWOCC!$A$5:$Q$50,T20+1,FALSE)</f>
        <v>1.3787827893853604</v>
      </c>
      <c r="AI20" s="44">
        <f t="shared" si="12"/>
        <v>0</v>
      </c>
      <c r="AJ20" s="44">
        <f t="shared" si="13"/>
        <v>16159.334291596424</v>
      </c>
      <c r="AK20" s="44">
        <f>HLOOKUP(I20,ElecAvoidedCostsWOCC!$A$5:$Q$50,G20+1,FALSE)*J20*L20</f>
        <v>0</v>
      </c>
      <c r="AL20" s="44">
        <f t="shared" si="14"/>
        <v>16159.334291596424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16159.334291596424</v>
      </c>
      <c r="AN20" s="48">
        <f t="shared" si="15"/>
        <v>17775.267720756066</v>
      </c>
      <c r="AO20" s="47">
        <f t="shared" si="16"/>
        <v>4.4050349560611783</v>
      </c>
      <c r="AP20" s="47">
        <f t="shared" si="17"/>
        <v>0.74087658037047166</v>
      </c>
      <c r="AQ20">
        <v>2021</v>
      </c>
    </row>
    <row r="21" spans="1:43" ht="13.5" customHeight="1">
      <c r="A21" s="58" t="s">
        <v>245</v>
      </c>
      <c r="B21" s="97" t="s">
        <v>65</v>
      </c>
      <c r="C21" s="98">
        <v>18230711</v>
      </c>
      <c r="D21" s="61" t="s">
        <v>125</v>
      </c>
      <c r="E21" s="38" t="s">
        <v>992</v>
      </c>
      <c r="F21" s="39" t="s">
        <v>993</v>
      </c>
      <c r="G21" s="39">
        <v>10</v>
      </c>
      <c r="H21" s="39"/>
      <c r="I21" s="40" t="s">
        <v>256</v>
      </c>
      <c r="J21" s="41">
        <v>1</v>
      </c>
      <c r="K21" s="41"/>
      <c r="L21" s="41"/>
      <c r="M21" s="42"/>
      <c r="N21" s="42"/>
      <c r="O21" s="43">
        <v>0</v>
      </c>
      <c r="P21" s="44">
        <v>0</v>
      </c>
      <c r="Q21" s="44">
        <v>0</v>
      </c>
      <c r="R21" s="45"/>
      <c r="S21" s="46"/>
      <c r="T21" s="39">
        <f t="shared" si="0"/>
        <v>10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>
        <f>HLOOKUP(I21,ElecAvoidedCostsWOCC!$A$5:$Q$50,G21+1,FALSE)</f>
        <v>0.70839718084543712</v>
      </c>
      <c r="AG21" s="44">
        <f t="shared" si="11"/>
        <v>0</v>
      </c>
      <c r="AH21" s="52">
        <f>HLOOKUP(I21,ElecAvoidedCostsWOCC!$A$5:$Q$50,T21+1,FALSE)</f>
        <v>0.70839718084543712</v>
      </c>
      <c r="AI21" s="44">
        <f t="shared" si="12"/>
        <v>0</v>
      </c>
      <c r="AJ21" s="44">
        <f t="shared" si="13"/>
        <v>0</v>
      </c>
      <c r="AK21" s="44">
        <f>HLOOKUP(I21,ElecAvoidedCostsWOCC!$A$5:$Q$50,G21+1,FALSE)*J21*L21</f>
        <v>0</v>
      </c>
      <c r="AL21" s="44">
        <f t="shared" si="14"/>
        <v>0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  <c r="AQ21">
        <v>2021</v>
      </c>
    </row>
    <row r="22" spans="1:43" ht="13.5" customHeight="1">
      <c r="A22" s="60">
        <f>(SUM(AM5:AM973)/(SUM(AB5:AB973)))</f>
        <v>3.1533302344525094</v>
      </c>
      <c r="B22" s="97" t="s">
        <v>65</v>
      </c>
      <c r="C22" s="98">
        <v>18230711</v>
      </c>
      <c r="D22" s="61" t="s">
        <v>125</v>
      </c>
      <c r="E22" s="38" t="s">
        <v>992</v>
      </c>
      <c r="F22" s="39" t="s">
        <v>993</v>
      </c>
      <c r="G22" s="39">
        <v>7</v>
      </c>
      <c r="H22" s="39"/>
      <c r="I22" s="40" t="s">
        <v>256</v>
      </c>
      <c r="J22" s="41">
        <v>1</v>
      </c>
      <c r="K22" s="41">
        <v>215501</v>
      </c>
      <c r="L22" s="41"/>
      <c r="M22" s="42">
        <v>23454</v>
      </c>
      <c r="N22" s="42">
        <v>33505</v>
      </c>
      <c r="O22" s="43">
        <v>215501</v>
      </c>
      <c r="P22" s="44">
        <v>23454</v>
      </c>
      <c r="Q22" s="44">
        <v>33505</v>
      </c>
      <c r="R22" s="45"/>
      <c r="S22" s="46"/>
      <c r="T22" s="39">
        <f t="shared" si="0"/>
        <v>7</v>
      </c>
      <c r="U22" s="47">
        <f t="shared" si="1"/>
        <v>7.837858452414366E-2</v>
      </c>
      <c r="V22" s="48">
        <f t="shared" si="2"/>
        <v>10051</v>
      </c>
      <c r="W22" s="49">
        <f t="shared" si="3"/>
        <v>1.1196940646306237E-2</v>
      </c>
      <c r="X22" s="44">
        <f t="shared" si="4"/>
        <v>25512.023350870273</v>
      </c>
      <c r="Y22" s="44">
        <f t="shared" si="5"/>
        <v>10051</v>
      </c>
      <c r="Z22" s="44">
        <f t="shared" si="6"/>
        <v>72153.562738407738</v>
      </c>
      <c r="AA22" s="50">
        <f t="shared" si="7"/>
        <v>59017.023350870273</v>
      </c>
      <c r="AB22" s="51">
        <f t="shared" si="8"/>
        <v>67452.148021321613</v>
      </c>
      <c r="AC22" s="44">
        <f t="shared" si="9"/>
        <v>55171.56525275336</v>
      </c>
      <c r="AD22" s="44">
        <f t="shared" si="10"/>
        <v>0</v>
      </c>
      <c r="AE22" s="44">
        <f t="shared" si="18"/>
        <v>0</v>
      </c>
      <c r="AF22" s="52">
        <f>HLOOKUP(I22,ElecAvoidedCostsWOCC!$A$5:$Q$50,G22+1,FALSE)</f>
        <v>0.49980838947667638</v>
      </c>
      <c r="AG22" s="44">
        <f t="shared" si="11"/>
        <v>107709.20774061324</v>
      </c>
      <c r="AH22" s="52">
        <f>HLOOKUP(I22,ElecAvoidedCostsWOCC!$A$5:$Q$50,T22+1,FALSE)</f>
        <v>0.49980838947667638</v>
      </c>
      <c r="AI22" s="44">
        <f t="shared" si="12"/>
        <v>0</v>
      </c>
      <c r="AJ22" s="44">
        <f t="shared" si="13"/>
        <v>107709.20774061324</v>
      </c>
      <c r="AK22" s="44">
        <f>HLOOKUP(I22,ElecAvoidedCostsWOCC!$A$5:$Q$50,G22+1,FALSE)*J22*L22</f>
        <v>0</v>
      </c>
      <c r="AL22" s="44">
        <f t="shared" si="14"/>
        <v>107709.20774061324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107709.20774061324</v>
      </c>
      <c r="AN22" s="48">
        <f t="shared" si="15"/>
        <v>118480.12851467458</v>
      </c>
      <c r="AO22" s="47">
        <f t="shared" si="16"/>
        <v>1.5968239841163603</v>
      </c>
      <c r="AP22" s="47">
        <f t="shared" si="17"/>
        <v>2.1474853572105563</v>
      </c>
      <c r="AQ22">
        <v>2021</v>
      </c>
    </row>
    <row r="23" spans="1:43" ht="13.5" customHeight="1">
      <c r="A23" s="58" t="s">
        <v>246</v>
      </c>
      <c r="B23" s="97" t="s">
        <v>65</v>
      </c>
      <c r="C23" s="98">
        <v>18230711</v>
      </c>
      <c r="D23" s="61" t="s">
        <v>125</v>
      </c>
      <c r="E23" s="38" t="s">
        <v>992</v>
      </c>
      <c r="F23" s="39" t="s">
        <v>993</v>
      </c>
      <c r="G23" s="39">
        <v>10</v>
      </c>
      <c r="H23" s="39"/>
      <c r="I23" s="40" t="s">
        <v>256</v>
      </c>
      <c r="J23" s="41">
        <v>1</v>
      </c>
      <c r="K23" s="41">
        <v>35172</v>
      </c>
      <c r="L23" s="41"/>
      <c r="M23" s="42">
        <v>9255</v>
      </c>
      <c r="N23" s="42">
        <v>13222</v>
      </c>
      <c r="O23" s="43">
        <v>35172</v>
      </c>
      <c r="P23" s="44">
        <v>9255</v>
      </c>
      <c r="Q23" s="44">
        <v>13222</v>
      </c>
      <c r="R23" s="45"/>
      <c r="S23" s="46"/>
      <c r="T23" s="39">
        <f t="shared" si="0"/>
        <v>10</v>
      </c>
      <c r="U23" s="47">
        <f t="shared" si="1"/>
        <v>1.8274569325055705E-2</v>
      </c>
      <c r="V23" s="48">
        <f t="shared" si="2"/>
        <v>3967</v>
      </c>
      <c r="W23" s="49">
        <f t="shared" si="3"/>
        <v>1.8274569325055707E-3</v>
      </c>
      <c r="X23" s="44">
        <f t="shared" si="4"/>
        <v>4163.8270137809541</v>
      </c>
      <c r="Y23" s="44">
        <f t="shared" si="5"/>
        <v>3967</v>
      </c>
      <c r="Z23" s="44">
        <f t="shared" si="6"/>
        <v>11776.210359280361</v>
      </c>
      <c r="AA23" s="50">
        <f t="shared" si="7"/>
        <v>17385.827013780952</v>
      </c>
      <c r="AB23" s="51">
        <f t="shared" si="8"/>
        <v>11008.890678957054</v>
      </c>
      <c r="AC23" s="44">
        <f t="shared" si="9"/>
        <v>16252.99337550804</v>
      </c>
      <c r="AD23" s="44">
        <f t="shared" si="10"/>
        <v>0</v>
      </c>
      <c r="AE23" s="44">
        <f t="shared" si="18"/>
        <v>0</v>
      </c>
      <c r="AF23" s="52">
        <f>HLOOKUP(I23,ElecAvoidedCostsWOCC!$A$5:$Q$50,G23+1,FALSE)</f>
        <v>0.70839718084543712</v>
      </c>
      <c r="AG23" s="44">
        <f t="shared" si="11"/>
        <v>24915.745644695715</v>
      </c>
      <c r="AH23" s="52">
        <f>HLOOKUP(I23,ElecAvoidedCostsWOCC!$A$5:$Q$50,T23+1,FALSE)</f>
        <v>0.70839718084543712</v>
      </c>
      <c r="AI23" s="44">
        <f t="shared" si="12"/>
        <v>0</v>
      </c>
      <c r="AJ23" s="44">
        <f t="shared" si="13"/>
        <v>24915.745644695715</v>
      </c>
      <c r="AK23" s="44">
        <f>HLOOKUP(I23,ElecAvoidedCostsWOCC!$A$5:$Q$50,G23+1,FALSE)*J23*L23</f>
        <v>0</v>
      </c>
      <c r="AL23" s="44">
        <f t="shared" si="14"/>
        <v>24915.745644695715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24915.745644695715</v>
      </c>
      <c r="AN23" s="48">
        <f t="shared" si="15"/>
        <v>27407.320209165289</v>
      </c>
      <c r="AO23" s="47">
        <f t="shared" si="16"/>
        <v>2.2632385379501425</v>
      </c>
      <c r="AP23" s="47">
        <f t="shared" si="17"/>
        <v>1.6862936922416967</v>
      </c>
      <c r="AQ23">
        <v>2021</v>
      </c>
    </row>
    <row r="24" spans="1:43" ht="13.5" customHeight="1">
      <c r="A24" s="60">
        <f>(SUM(AN5:AN973)/SUM(AC5:AC973))</f>
        <v>2.2858116117361273</v>
      </c>
      <c r="B24" s="97" t="s">
        <v>65</v>
      </c>
      <c r="C24" s="98">
        <v>18230711</v>
      </c>
      <c r="D24" s="61" t="s">
        <v>125</v>
      </c>
      <c r="E24" s="38" t="s">
        <v>994</v>
      </c>
      <c r="F24" s="39" t="s">
        <v>995</v>
      </c>
      <c r="G24" s="39">
        <v>15</v>
      </c>
      <c r="H24" s="39"/>
      <c r="I24" s="40" t="s">
        <v>256</v>
      </c>
      <c r="J24" s="41">
        <v>1</v>
      </c>
      <c r="K24" s="41">
        <v>259795</v>
      </c>
      <c r="L24" s="41"/>
      <c r="M24" s="42">
        <v>58425</v>
      </c>
      <c r="N24" s="42">
        <v>83464</v>
      </c>
      <c r="O24" s="43">
        <v>259795</v>
      </c>
      <c r="P24" s="44">
        <v>58425</v>
      </c>
      <c r="Q24" s="44">
        <v>83464</v>
      </c>
      <c r="R24" s="45"/>
      <c r="S24" s="46"/>
      <c r="T24" s="39">
        <f t="shared" si="0"/>
        <v>15</v>
      </c>
      <c r="U24" s="47">
        <f t="shared" si="1"/>
        <v>0.20247533852792762</v>
      </c>
      <c r="V24" s="48">
        <f t="shared" si="2"/>
        <v>25039</v>
      </c>
      <c r="W24" s="49">
        <f t="shared" si="3"/>
        <v>1.3498355901861842E-2</v>
      </c>
      <c r="X24" s="44">
        <f t="shared" si="4"/>
        <v>30755.75568762717</v>
      </c>
      <c r="Y24" s="44">
        <f t="shared" si="5"/>
        <v>25039</v>
      </c>
      <c r="Z24" s="44">
        <f t="shared" si="6"/>
        <v>86983.980731526244</v>
      </c>
      <c r="AA24" s="50">
        <f t="shared" si="7"/>
        <v>114219.75568762717</v>
      </c>
      <c r="AB24" s="51">
        <f t="shared" si="8"/>
        <v>81316.238881486614</v>
      </c>
      <c r="AC24" s="44">
        <f t="shared" si="9"/>
        <v>106777.37280324125</v>
      </c>
      <c r="AD24" s="44">
        <f t="shared" si="10"/>
        <v>0</v>
      </c>
      <c r="AE24" s="44">
        <f t="shared" si="18"/>
        <v>0</v>
      </c>
      <c r="AF24" s="52">
        <f>HLOOKUP(I24,ElecAvoidedCostsWOCC!$A$5:$Q$50,G24+1,FALSE)</f>
        <v>1.0293963841416951</v>
      </c>
      <c r="AG24" s="44">
        <f t="shared" si="11"/>
        <v>267432.03361809166</v>
      </c>
      <c r="AH24" s="52">
        <f>HLOOKUP(I24,ElecAvoidedCostsWOCC!$A$5:$Q$50,T24+1,FALSE)</f>
        <v>1.0293963841416951</v>
      </c>
      <c r="AI24" s="44">
        <f t="shared" si="12"/>
        <v>0</v>
      </c>
      <c r="AJ24" s="44">
        <f t="shared" si="13"/>
        <v>267432.03361809166</v>
      </c>
      <c r="AK24" s="44">
        <f>HLOOKUP(I24,ElecAvoidedCostsWOCC!$A$5:$Q$50,G24+1,FALSE)*J24*L24</f>
        <v>0</v>
      </c>
      <c r="AL24" s="44">
        <f t="shared" si="14"/>
        <v>267432.03361809166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267432.03361809166</v>
      </c>
      <c r="AN24" s="48">
        <f t="shared" si="15"/>
        <v>294175.23697990086</v>
      </c>
      <c r="AO24" s="47">
        <f t="shared" si="16"/>
        <v>3.2887900042678719</v>
      </c>
      <c r="AP24" s="47">
        <f t="shared" si="17"/>
        <v>2.7550334800049616</v>
      </c>
      <c r="AQ24">
        <v>2021</v>
      </c>
    </row>
    <row r="25" spans="1:43" ht="13.5" customHeight="1">
      <c r="B25" s="97" t="s">
        <v>65</v>
      </c>
      <c r="C25" s="98">
        <v>18230711</v>
      </c>
      <c r="D25" s="61" t="s">
        <v>125</v>
      </c>
      <c r="E25" s="38" t="s">
        <v>994</v>
      </c>
      <c r="F25" s="39" t="s">
        <v>995</v>
      </c>
      <c r="G25" s="39">
        <v>15</v>
      </c>
      <c r="H25" s="39"/>
      <c r="I25" s="40" t="s">
        <v>256</v>
      </c>
      <c r="J25" s="41">
        <v>1</v>
      </c>
      <c r="K25" s="41">
        <v>120615</v>
      </c>
      <c r="L25" s="41"/>
      <c r="M25" s="42">
        <v>36185</v>
      </c>
      <c r="N25" s="42">
        <v>55037</v>
      </c>
      <c r="O25" s="43">
        <v>120615</v>
      </c>
      <c r="P25" s="44">
        <v>36185</v>
      </c>
      <c r="Q25" s="44">
        <v>55037</v>
      </c>
      <c r="R25" s="45"/>
      <c r="S25" s="46"/>
      <c r="T25" s="39">
        <f t="shared" si="0"/>
        <v>15</v>
      </c>
      <c r="U25" s="47">
        <f t="shared" si="1"/>
        <v>9.4003206206993942E-2</v>
      </c>
      <c r="V25" s="48">
        <f t="shared" si="2"/>
        <v>18852</v>
      </c>
      <c r="W25" s="49">
        <f t="shared" si="3"/>
        <v>6.266880413799596E-3</v>
      </c>
      <c r="X25" s="44">
        <f t="shared" si="4"/>
        <v>14278.971774911568</v>
      </c>
      <c r="Y25" s="44">
        <f t="shared" si="5"/>
        <v>18852</v>
      </c>
      <c r="Z25" s="44">
        <f t="shared" si="6"/>
        <v>40384.04448096783</v>
      </c>
      <c r="AA25" s="50">
        <f t="shared" si="7"/>
        <v>69315.971774911566</v>
      </c>
      <c r="AB25" s="51">
        <f t="shared" si="8"/>
        <v>37752.682510019469</v>
      </c>
      <c r="AC25" s="44">
        <f t="shared" si="9"/>
        <v>64799.450102749892</v>
      </c>
      <c r="AD25" s="44">
        <f t="shared" si="10"/>
        <v>0</v>
      </c>
      <c r="AE25" s="44">
        <f t="shared" si="18"/>
        <v>0</v>
      </c>
      <c r="AF25" s="52">
        <f>HLOOKUP(I25,ElecAvoidedCostsWOCC!$A$5:$Q$50,G25+1,FALSE)</f>
        <v>1.0293963841416951</v>
      </c>
      <c r="AG25" s="44">
        <f t="shared" si="11"/>
        <v>124160.64487325055</v>
      </c>
      <c r="AH25" s="52">
        <f>HLOOKUP(I25,ElecAvoidedCostsWOCC!$A$5:$Q$50,T25+1,FALSE)</f>
        <v>1.0293963841416951</v>
      </c>
      <c r="AI25" s="44">
        <f t="shared" si="12"/>
        <v>0</v>
      </c>
      <c r="AJ25" s="44">
        <f t="shared" si="13"/>
        <v>124160.64487325055</v>
      </c>
      <c r="AK25" s="44">
        <f>HLOOKUP(I25,ElecAvoidedCostsWOCC!$A$5:$Q$50,G25+1,FALSE)*J25*L25</f>
        <v>0</v>
      </c>
      <c r="AL25" s="44">
        <f t="shared" si="14"/>
        <v>124160.64487325055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124160.64487325055</v>
      </c>
      <c r="AN25" s="48">
        <f t="shared" si="15"/>
        <v>136576.70936057562</v>
      </c>
      <c r="AO25" s="47">
        <f t="shared" si="16"/>
        <v>3.2887900042678719</v>
      </c>
      <c r="AP25" s="47">
        <f t="shared" si="17"/>
        <v>2.1076831538541052</v>
      </c>
      <c r="AQ25">
        <v>2021</v>
      </c>
    </row>
    <row r="26" spans="1:43" ht="13.5" customHeight="1">
      <c r="B26" s="97" t="s">
        <v>65</v>
      </c>
      <c r="C26" s="98">
        <v>18230711</v>
      </c>
      <c r="D26" s="61" t="s">
        <v>125</v>
      </c>
      <c r="E26" s="38" t="s">
        <v>996</v>
      </c>
      <c r="F26" s="39" t="s">
        <v>997</v>
      </c>
      <c r="G26" s="39">
        <v>7</v>
      </c>
      <c r="H26" s="39"/>
      <c r="I26" s="40" t="s">
        <v>257</v>
      </c>
      <c r="J26" s="41">
        <v>1</v>
      </c>
      <c r="K26" s="41">
        <v>557530</v>
      </c>
      <c r="L26" s="41"/>
      <c r="M26" s="42">
        <v>111200</v>
      </c>
      <c r="N26" s="42">
        <v>200158</v>
      </c>
      <c r="O26" s="43">
        <v>557530</v>
      </c>
      <c r="P26" s="44">
        <v>111200</v>
      </c>
      <c r="Q26" s="44">
        <v>200158</v>
      </c>
      <c r="R26" s="45"/>
      <c r="S26" s="46"/>
      <c r="T26" s="39">
        <f t="shared" si="0"/>
        <v>7</v>
      </c>
      <c r="U26" s="47">
        <f t="shared" si="1"/>
        <v>0.20277591393889502</v>
      </c>
      <c r="V26" s="48">
        <f t="shared" si="2"/>
        <v>88958</v>
      </c>
      <c r="W26" s="49">
        <f t="shared" si="3"/>
        <v>2.896798770555643E-2</v>
      </c>
      <c r="X26" s="44">
        <f t="shared" si="4"/>
        <v>66003.027265816418</v>
      </c>
      <c r="Y26" s="44">
        <f t="shared" si="5"/>
        <v>88958</v>
      </c>
      <c r="Z26" s="44">
        <f t="shared" si="6"/>
        <v>186670.94739024166</v>
      </c>
      <c r="AA26" s="50">
        <f t="shared" si="7"/>
        <v>266161.0272658164</v>
      </c>
      <c r="AB26" s="51">
        <f t="shared" si="8"/>
        <v>174507.75674510765</v>
      </c>
      <c r="AC26" s="44">
        <f t="shared" si="9"/>
        <v>248818.38577714909</v>
      </c>
      <c r="AD26" s="44">
        <f t="shared" si="10"/>
        <v>0</v>
      </c>
      <c r="AE26" s="44">
        <f t="shared" si="18"/>
        <v>0</v>
      </c>
      <c r="AF26" s="52">
        <f>HLOOKUP(I26,ElecAvoidedCostsWOCC!$A$5:$Q$50,G26+1,FALSE)</f>
        <v>0.51471879727314174</v>
      </c>
      <c r="AG26" s="44">
        <f t="shared" si="11"/>
        <v>286971.17104369472</v>
      </c>
      <c r="AH26" s="52">
        <f>HLOOKUP(I26,ElecAvoidedCostsWOCC!$A$5:$Q$50,T26+1,FALSE)</f>
        <v>0.51471879727314174</v>
      </c>
      <c r="AI26" s="44">
        <f t="shared" si="12"/>
        <v>0</v>
      </c>
      <c r="AJ26" s="44">
        <f t="shared" si="13"/>
        <v>286971.17104369472</v>
      </c>
      <c r="AK26" s="44">
        <f>HLOOKUP(I26,ElecAvoidedCostsWOCC!$A$5:$Q$50,G26+1,FALSE)*J26*L26</f>
        <v>0</v>
      </c>
      <c r="AL26" s="44">
        <f t="shared" si="14"/>
        <v>286971.17104369472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286971.17104369472</v>
      </c>
      <c r="AN26" s="48">
        <f t="shared" si="15"/>
        <v>315668.28814806422</v>
      </c>
      <c r="AO26" s="47">
        <f t="shared" si="16"/>
        <v>1.6444608331241986</v>
      </c>
      <c r="AP26" s="47">
        <f t="shared" si="17"/>
        <v>1.2686694641238785</v>
      </c>
      <c r="AQ26">
        <v>2021</v>
      </c>
    </row>
    <row r="27" spans="1:43" ht="13.5" customHeight="1">
      <c r="B27" s="97" t="s">
        <v>65</v>
      </c>
      <c r="C27" s="98">
        <v>18230711</v>
      </c>
      <c r="D27" s="61" t="s">
        <v>125</v>
      </c>
      <c r="E27" s="38" t="s">
        <v>998</v>
      </c>
      <c r="F27" s="39" t="s">
        <v>999</v>
      </c>
      <c r="G27" s="39">
        <v>15</v>
      </c>
      <c r="H27" s="39"/>
      <c r="I27" s="40" t="s">
        <v>256</v>
      </c>
      <c r="J27" s="41">
        <v>1</v>
      </c>
      <c r="K27" s="41"/>
      <c r="L27" s="41"/>
      <c r="M27" s="42"/>
      <c r="N27" s="42"/>
      <c r="O27" s="43">
        <v>0</v>
      </c>
      <c r="P27" s="44">
        <v>0</v>
      </c>
      <c r="Q27" s="44">
        <v>0</v>
      </c>
      <c r="R27" s="45"/>
      <c r="S27" s="46"/>
      <c r="T27" s="39">
        <f t="shared" si="0"/>
        <v>15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4">
        <f t="shared" si="4"/>
        <v>0</v>
      </c>
      <c r="Y27" s="44">
        <f t="shared" si="5"/>
        <v>0</v>
      </c>
      <c r="Z27" s="44">
        <f t="shared" si="6"/>
        <v>0</v>
      </c>
      <c r="AA27" s="50">
        <f t="shared" si="7"/>
        <v>0</v>
      </c>
      <c r="AB27" s="51">
        <f t="shared" si="8"/>
        <v>0</v>
      </c>
      <c r="AC27" s="44">
        <f t="shared" si="9"/>
        <v>0</v>
      </c>
      <c r="AD27" s="44">
        <f t="shared" si="10"/>
        <v>0</v>
      </c>
      <c r="AE27" s="44">
        <f t="shared" si="18"/>
        <v>0</v>
      </c>
      <c r="AF27" s="52">
        <f>HLOOKUP(I27,ElecAvoidedCostsWOCC!$A$5:$Q$50,G27+1,FALSE)</f>
        <v>1.0293963841416951</v>
      </c>
      <c r="AG27" s="44">
        <f t="shared" si="11"/>
        <v>0</v>
      </c>
      <c r="AH27" s="52">
        <f>HLOOKUP(I27,ElecAvoidedCostsWOCC!$A$5:$Q$50,T27+1,FALSE)</f>
        <v>1.0293963841416951</v>
      </c>
      <c r="AI27" s="44">
        <f t="shared" si="12"/>
        <v>0</v>
      </c>
      <c r="AJ27" s="44">
        <f t="shared" si="13"/>
        <v>0</v>
      </c>
      <c r="AK27" s="44">
        <f>HLOOKUP(I27,ElecAvoidedCostsWOCC!$A$5:$Q$50,G27+1,FALSE)*J27*L27</f>
        <v>0</v>
      </c>
      <c r="AL27" s="44">
        <f t="shared" si="1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15"/>
        <v>0</v>
      </c>
      <c r="AO27" s="47">
        <f t="shared" si="16"/>
        <v>0</v>
      </c>
      <c r="AP27" s="47" t="e">
        <f t="shared" si="17"/>
        <v>#DIV/0!</v>
      </c>
      <c r="AQ27">
        <v>2021</v>
      </c>
    </row>
    <row r="28" spans="1:43" ht="13.5" customHeight="1">
      <c r="B28" s="97" t="s">
        <v>65</v>
      </c>
      <c r="C28" s="98">
        <v>18230711</v>
      </c>
      <c r="D28" s="61" t="s">
        <v>125</v>
      </c>
      <c r="E28" s="38" t="s">
        <v>1000</v>
      </c>
      <c r="F28" s="39" t="s">
        <v>1001</v>
      </c>
      <c r="G28" s="39">
        <v>15</v>
      </c>
      <c r="H28" s="39"/>
      <c r="I28" s="40" t="s">
        <v>256</v>
      </c>
      <c r="J28" s="41">
        <v>1</v>
      </c>
      <c r="K28" s="41">
        <v>19274</v>
      </c>
      <c r="L28" s="41"/>
      <c r="M28" s="42">
        <v>4653</v>
      </c>
      <c r="N28" s="42">
        <v>6707.16</v>
      </c>
      <c r="O28" s="43">
        <v>19274</v>
      </c>
      <c r="P28" s="44">
        <v>4653</v>
      </c>
      <c r="Q28" s="44">
        <v>6707.16</v>
      </c>
      <c r="R28" s="45"/>
      <c r="S28" s="46"/>
      <c r="T28" s="39">
        <f t="shared" si="0"/>
        <v>15</v>
      </c>
      <c r="U28" s="47">
        <f t="shared" si="1"/>
        <v>1.5021496467550481E-2</v>
      </c>
      <c r="V28" s="48">
        <f t="shared" si="2"/>
        <v>2054.16</v>
      </c>
      <c r="W28" s="49">
        <f t="shared" si="3"/>
        <v>1.0014330978366987E-3</v>
      </c>
      <c r="X28" s="44">
        <f t="shared" si="4"/>
        <v>2281.7468970662489</v>
      </c>
      <c r="Y28" s="44">
        <f t="shared" si="5"/>
        <v>2054.16</v>
      </c>
      <c r="Z28" s="44">
        <f t="shared" si="6"/>
        <v>6453.2775635383168</v>
      </c>
      <c r="AA28" s="50">
        <f t="shared" si="7"/>
        <v>8988.9068970662483</v>
      </c>
      <c r="AB28" s="51">
        <f t="shared" si="8"/>
        <v>6032.7919636704837</v>
      </c>
      <c r="AC28" s="44">
        <f t="shared" si="9"/>
        <v>8403.2036057457681</v>
      </c>
      <c r="AD28" s="44">
        <f t="shared" si="10"/>
        <v>0</v>
      </c>
      <c r="AE28" s="44">
        <f t="shared" si="18"/>
        <v>0</v>
      </c>
      <c r="AF28" s="52">
        <f>HLOOKUP(I28,ElecAvoidedCostsWOCC!$A$5:$Q$50,G28+1,FALSE)</f>
        <v>1.0293963841416951</v>
      </c>
      <c r="AG28" s="44">
        <f t="shared" si="11"/>
        <v>19840.585907947032</v>
      </c>
      <c r="AH28" s="52">
        <f>HLOOKUP(I28,ElecAvoidedCostsWOCC!$A$5:$Q$50,T28+1,FALSE)</f>
        <v>1.0293963841416951</v>
      </c>
      <c r="AI28" s="44">
        <f t="shared" si="12"/>
        <v>0</v>
      </c>
      <c r="AJ28" s="44">
        <f t="shared" si="13"/>
        <v>19840.585907947032</v>
      </c>
      <c r="AK28" s="44">
        <f>HLOOKUP(I28,ElecAvoidedCostsWOCC!$A$5:$Q$50,G28+1,FALSE)*J28*L28</f>
        <v>0</v>
      </c>
      <c r="AL28" s="44">
        <f t="shared" si="14"/>
        <v>19840.585907947032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19840.585907947032</v>
      </c>
      <c r="AN28" s="48">
        <f t="shared" si="15"/>
        <v>21824.644498741738</v>
      </c>
      <c r="AO28" s="47">
        <f t="shared" si="16"/>
        <v>3.2887900042678715</v>
      </c>
      <c r="AP28" s="47">
        <f t="shared" si="17"/>
        <v>2.5971814468257004</v>
      </c>
      <c r="AQ28">
        <v>2021</v>
      </c>
    </row>
    <row r="29" spans="1:43">
      <c r="B29" s="97" t="s">
        <v>65</v>
      </c>
      <c r="C29" s="98">
        <v>18230711</v>
      </c>
      <c r="D29" s="61" t="s">
        <v>125</v>
      </c>
      <c r="E29" s="38" t="s">
        <v>1002</v>
      </c>
      <c r="F29" s="39" t="s">
        <v>1003</v>
      </c>
      <c r="G29" s="39">
        <v>15</v>
      </c>
      <c r="H29" s="39"/>
      <c r="I29" s="40" t="s">
        <v>256</v>
      </c>
      <c r="J29" s="41">
        <v>1</v>
      </c>
      <c r="K29" s="41">
        <v>84851</v>
      </c>
      <c r="L29" s="41"/>
      <c r="M29" s="42">
        <v>7987</v>
      </c>
      <c r="N29" s="42">
        <v>11410</v>
      </c>
      <c r="O29" s="43">
        <v>84851</v>
      </c>
      <c r="P29" s="44">
        <v>7987</v>
      </c>
      <c r="Q29" s="44">
        <v>11410</v>
      </c>
      <c r="R29" s="45"/>
      <c r="S29" s="46"/>
      <c r="T29" s="39">
        <f t="shared" si="0"/>
        <v>15</v>
      </c>
      <c r="U29" s="47">
        <f t="shared" si="1"/>
        <v>6.6129967664632458E-2</v>
      </c>
      <c r="V29" s="48">
        <f t="shared" si="2"/>
        <v>3423</v>
      </c>
      <c r="W29" s="49">
        <f t="shared" si="3"/>
        <v>4.4086645109754968E-3</v>
      </c>
      <c r="X29" s="44">
        <f t="shared" si="4"/>
        <v>10045.061012917313</v>
      </c>
      <c r="Y29" s="44">
        <f t="shared" si="5"/>
        <v>3423</v>
      </c>
      <c r="Z29" s="44">
        <f t="shared" si="6"/>
        <v>28409.622006007558</v>
      </c>
      <c r="AA29" s="50">
        <f t="shared" si="7"/>
        <v>21455.061012917315</v>
      </c>
      <c r="AB29" s="51">
        <f t="shared" si="8"/>
        <v>26558.494910729696</v>
      </c>
      <c r="AC29" s="44">
        <f t="shared" si="9"/>
        <v>20057.082371615699</v>
      </c>
      <c r="AD29" s="44">
        <f t="shared" si="10"/>
        <v>0</v>
      </c>
      <c r="AE29" s="44">
        <f t="shared" si="18"/>
        <v>0</v>
      </c>
      <c r="AF29" s="52">
        <f>HLOOKUP(I29,ElecAvoidedCostsWOCC!$A$5:$Q$50,G29+1,FALSE)</f>
        <v>1.0293963841416951</v>
      </c>
      <c r="AG29" s="44">
        <f t="shared" si="11"/>
        <v>87345.312590806978</v>
      </c>
      <c r="AH29" s="52">
        <f>HLOOKUP(I29,ElecAvoidedCostsWOCC!$A$5:$Q$50,T29+1,FALSE)</f>
        <v>1.0293963841416951</v>
      </c>
      <c r="AI29" s="44">
        <f t="shared" si="12"/>
        <v>0</v>
      </c>
      <c r="AJ29" s="44">
        <f t="shared" si="13"/>
        <v>87345.312590806978</v>
      </c>
      <c r="AK29" s="44">
        <f>HLOOKUP(I29,ElecAvoidedCostsWOCC!$A$5:$Q$50,G29+1,FALSE)*J29*L29</f>
        <v>0</v>
      </c>
      <c r="AL29" s="44">
        <f t="shared" si="14"/>
        <v>87345.312590806978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87345.312590806978</v>
      </c>
      <c r="AN29" s="48">
        <f t="shared" si="15"/>
        <v>96079.843849887679</v>
      </c>
      <c r="AO29" s="47">
        <f t="shared" si="16"/>
        <v>3.2887900042678719</v>
      </c>
      <c r="AP29" s="47">
        <f t="shared" si="17"/>
        <v>4.7903200510288357</v>
      </c>
      <c r="AQ29">
        <v>2021</v>
      </c>
    </row>
    <row r="30" spans="1:43">
      <c r="B30" s="97" t="s">
        <v>65</v>
      </c>
      <c r="C30" s="98">
        <v>18230711</v>
      </c>
      <c r="D30" s="61" t="s">
        <v>125</v>
      </c>
      <c r="E30" s="38" t="s">
        <v>1002</v>
      </c>
      <c r="F30" s="39" t="s">
        <v>1003</v>
      </c>
      <c r="G30" s="39">
        <v>15</v>
      </c>
      <c r="H30" s="39"/>
      <c r="I30" s="40" t="s">
        <v>256</v>
      </c>
      <c r="J30" s="41">
        <v>1</v>
      </c>
      <c r="K30" s="41">
        <v>188971</v>
      </c>
      <c r="L30" s="41"/>
      <c r="M30" s="42">
        <v>38403</v>
      </c>
      <c r="N30" s="42">
        <v>57479</v>
      </c>
      <c r="O30" s="43">
        <v>188971</v>
      </c>
      <c r="P30" s="44">
        <v>38403</v>
      </c>
      <c r="Q30" s="44">
        <v>57479</v>
      </c>
      <c r="R30" s="45"/>
      <c r="S30" s="46"/>
      <c r="T30" s="39">
        <f t="shared" si="0"/>
        <v>15</v>
      </c>
      <c r="U30" s="47">
        <f t="shared" si="1"/>
        <v>0.14727753496780543</v>
      </c>
      <c r="V30" s="48">
        <f t="shared" si="2"/>
        <v>19076</v>
      </c>
      <c r="W30" s="49">
        <f t="shared" si="3"/>
        <v>9.818502331187029E-3</v>
      </c>
      <c r="X30" s="44">
        <f t="shared" si="4"/>
        <v>22371.276999351772</v>
      </c>
      <c r="Y30" s="44">
        <f t="shared" si="5"/>
        <v>19076</v>
      </c>
      <c r="Z30" s="44">
        <f t="shared" si="6"/>
        <v>63270.847486738567</v>
      </c>
      <c r="AA30" s="50">
        <f t="shared" si="7"/>
        <v>79850.276999351772</v>
      </c>
      <c r="AB30" s="51">
        <f t="shared" si="8"/>
        <v>59148.216777356793</v>
      </c>
      <c r="AC30" s="44">
        <f t="shared" si="9"/>
        <v>74647.356267506562</v>
      </c>
      <c r="AD30" s="44">
        <f t="shared" si="10"/>
        <v>0</v>
      </c>
      <c r="AE30" s="44">
        <f t="shared" si="18"/>
        <v>0</v>
      </c>
      <c r="AF30" s="52">
        <f>HLOOKUP(I30,ElecAvoidedCostsWOCC!$A$5:$Q$50,G30+1,FALSE)</f>
        <v>1.0293963841416951</v>
      </c>
      <c r="AG30" s="44">
        <f t="shared" si="11"/>
        <v>194526.06410764027</v>
      </c>
      <c r="AH30" s="52">
        <f>HLOOKUP(I30,ElecAvoidedCostsWOCC!$A$5:$Q$50,T30+1,FALSE)</f>
        <v>1.0293963841416951</v>
      </c>
      <c r="AI30" s="44">
        <f t="shared" si="12"/>
        <v>0</v>
      </c>
      <c r="AJ30" s="44">
        <f t="shared" si="13"/>
        <v>194526.06410764027</v>
      </c>
      <c r="AK30" s="44">
        <f>HLOOKUP(I30,ElecAvoidedCostsWOCC!$A$5:$Q$50,G30+1,FALSE)*J30*L30</f>
        <v>0</v>
      </c>
      <c r="AL30" s="44">
        <f t="shared" si="14"/>
        <v>194526.06410764027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194526.06410764027</v>
      </c>
      <c r="AN30" s="48">
        <f t="shared" si="15"/>
        <v>213978.67051840431</v>
      </c>
      <c r="AO30" s="47">
        <f t="shared" si="16"/>
        <v>3.2887900042678719</v>
      </c>
      <c r="AP30" s="47">
        <f t="shared" si="17"/>
        <v>2.8665271111757731</v>
      </c>
      <c r="AQ30">
        <v>2021</v>
      </c>
    </row>
    <row r="31" spans="1:43">
      <c r="B31" s="97" t="s">
        <v>65</v>
      </c>
      <c r="C31" s="98">
        <v>18230711</v>
      </c>
      <c r="D31" s="61" t="s">
        <v>125</v>
      </c>
      <c r="E31" s="38" t="s">
        <v>1004</v>
      </c>
      <c r="F31" s="39" t="s">
        <v>1005</v>
      </c>
      <c r="G31" s="39">
        <v>20</v>
      </c>
      <c r="H31" s="39"/>
      <c r="I31" s="40" t="s">
        <v>259</v>
      </c>
      <c r="J31" s="41">
        <v>1</v>
      </c>
      <c r="K31" s="41">
        <v>214445</v>
      </c>
      <c r="L31" s="41"/>
      <c r="M31" s="42">
        <v>75056</v>
      </c>
      <c r="N31" s="42">
        <v>157300</v>
      </c>
      <c r="O31" s="43">
        <v>214445</v>
      </c>
      <c r="P31" s="44">
        <v>75056</v>
      </c>
      <c r="Q31" s="44">
        <v>157300</v>
      </c>
      <c r="R31" s="45"/>
      <c r="S31" s="46"/>
      <c r="T31" s="39">
        <f t="shared" si="0"/>
        <v>20</v>
      </c>
      <c r="U31" s="47">
        <f t="shared" si="1"/>
        <v>0.22284146587692316</v>
      </c>
      <c r="V31" s="48">
        <f t="shared" si="2"/>
        <v>82244</v>
      </c>
      <c r="W31" s="49">
        <f t="shared" si="3"/>
        <v>1.1142073293846158E-2</v>
      </c>
      <c r="X31" s="44">
        <f t="shared" si="4"/>
        <v>25387.009097300597</v>
      </c>
      <c r="Y31" s="44">
        <f t="shared" si="5"/>
        <v>82244</v>
      </c>
      <c r="Z31" s="44">
        <f t="shared" si="6"/>
        <v>71799.995180708429</v>
      </c>
      <c r="AA31" s="50">
        <f t="shared" si="7"/>
        <v>182687.00909730059</v>
      </c>
      <c r="AB31" s="51">
        <f t="shared" si="8"/>
        <v>67121.618379647029</v>
      </c>
      <c r="AC31" s="44">
        <f t="shared" si="9"/>
        <v>170783.40571870672</v>
      </c>
      <c r="AD31" s="44">
        <f t="shared" si="10"/>
        <v>0</v>
      </c>
      <c r="AE31" s="44">
        <f t="shared" si="18"/>
        <v>0</v>
      </c>
      <c r="AF31" s="52">
        <f>HLOOKUP(I31,ElecAvoidedCostsWOCC!$A$5:$Q$50,G31+1,FALSE)</f>
        <v>1.1073323783937479</v>
      </c>
      <c r="AG31" s="44">
        <f t="shared" si="11"/>
        <v>237461.89188464725</v>
      </c>
      <c r="AH31" s="52">
        <f>HLOOKUP(I31,ElecAvoidedCostsWOCC!$A$5:$Q$50,T31+1,FALSE)</f>
        <v>1.1073323783937479</v>
      </c>
      <c r="AI31" s="44">
        <f t="shared" si="12"/>
        <v>0</v>
      </c>
      <c r="AJ31" s="44">
        <f t="shared" si="13"/>
        <v>237461.89188464725</v>
      </c>
      <c r="AK31" s="44">
        <f>HLOOKUP(I31,ElecAvoidedCostsWOCC!$A$5:$Q$50,G31+1,FALSE)*J31*L31</f>
        <v>0</v>
      </c>
      <c r="AL31" s="44">
        <f t="shared" si="14"/>
        <v>237461.89188464725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237461.89188464725</v>
      </c>
      <c r="AN31" s="48">
        <f t="shared" si="15"/>
        <v>261208.081073112</v>
      </c>
      <c r="AO31" s="47">
        <f t="shared" si="16"/>
        <v>3.5377855542984302</v>
      </c>
      <c r="AP31" s="47">
        <f t="shared" si="17"/>
        <v>1.5294699152641422</v>
      </c>
      <c r="AQ31">
        <v>2021</v>
      </c>
    </row>
    <row r="32" spans="1:43">
      <c r="B32" s="97" t="s">
        <v>65</v>
      </c>
      <c r="C32" s="98">
        <v>18230711</v>
      </c>
      <c r="D32" s="61" t="s">
        <v>125</v>
      </c>
      <c r="E32" s="38" t="s">
        <v>1006</v>
      </c>
      <c r="F32" s="39" t="s">
        <v>1007</v>
      </c>
      <c r="G32" s="39">
        <v>24</v>
      </c>
      <c r="H32" s="39"/>
      <c r="I32" s="40" t="s">
        <v>255</v>
      </c>
      <c r="J32" s="41">
        <v>1</v>
      </c>
      <c r="K32" s="41"/>
      <c r="L32" s="41"/>
      <c r="M32" s="42"/>
      <c r="N32" s="42"/>
      <c r="O32" s="43">
        <v>0</v>
      </c>
      <c r="P32" s="44">
        <v>0</v>
      </c>
      <c r="Q32" s="44">
        <v>0</v>
      </c>
      <c r="R32" s="45"/>
      <c r="S32" s="46"/>
      <c r="T32" s="39">
        <f t="shared" si="0"/>
        <v>24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4">
        <f t="shared" si="4"/>
        <v>0</v>
      </c>
      <c r="Y32" s="44">
        <f t="shared" si="5"/>
        <v>0</v>
      </c>
      <c r="Z32" s="44">
        <f t="shared" si="6"/>
        <v>0</v>
      </c>
      <c r="AA32" s="50">
        <f t="shared" si="7"/>
        <v>0</v>
      </c>
      <c r="AB32" s="51">
        <f t="shared" si="8"/>
        <v>0</v>
      </c>
      <c r="AC32" s="44">
        <f t="shared" si="9"/>
        <v>0</v>
      </c>
      <c r="AD32" s="44">
        <f t="shared" si="10"/>
        <v>0</v>
      </c>
      <c r="AE32" s="44">
        <f t="shared" si="18"/>
        <v>0</v>
      </c>
      <c r="AF32" s="52">
        <f>HLOOKUP(I32,ElecAvoidedCostsWOCC!$A$5:$Q$50,G32+1,FALSE)</f>
        <v>1.4345808139443847</v>
      </c>
      <c r="AG32" s="44">
        <f t="shared" si="11"/>
        <v>0</v>
      </c>
      <c r="AH32" s="52">
        <f>HLOOKUP(I32,ElecAvoidedCostsWOCC!$A$5:$Q$50,T32+1,FALSE)</f>
        <v>1.4345808139443847</v>
      </c>
      <c r="AI32" s="44">
        <f t="shared" si="12"/>
        <v>0</v>
      </c>
      <c r="AJ32" s="44">
        <f t="shared" si="13"/>
        <v>0</v>
      </c>
      <c r="AK32" s="44">
        <f>HLOOKUP(I32,ElecAvoidedCostsWOCC!$A$5:$Q$50,G32+1,FALSE)*J32*L32</f>
        <v>0</v>
      </c>
      <c r="AL32" s="44">
        <f t="shared" si="14"/>
        <v>0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15"/>
        <v>0</v>
      </c>
      <c r="AO32" s="47">
        <f t="shared" si="16"/>
        <v>0</v>
      </c>
      <c r="AP32" s="47" t="e">
        <f t="shared" si="17"/>
        <v>#DIV/0!</v>
      </c>
      <c r="AQ32">
        <v>2021</v>
      </c>
    </row>
    <row r="33" spans="2:43">
      <c r="B33" s="97" t="s">
        <v>65</v>
      </c>
      <c r="C33" s="98">
        <v>18230711</v>
      </c>
      <c r="D33" s="61" t="s">
        <v>125</v>
      </c>
      <c r="E33" s="38" t="s">
        <v>1006</v>
      </c>
      <c r="F33" s="39" t="s">
        <v>1007</v>
      </c>
      <c r="G33" s="39">
        <v>24</v>
      </c>
      <c r="H33" s="39"/>
      <c r="I33" s="40" t="s">
        <v>255</v>
      </c>
      <c r="J33" s="41">
        <v>1</v>
      </c>
      <c r="K33" s="41"/>
      <c r="L33" s="41"/>
      <c r="M33" s="42"/>
      <c r="N33" s="42"/>
      <c r="O33" s="43">
        <v>0</v>
      </c>
      <c r="P33" s="44">
        <v>0</v>
      </c>
      <c r="Q33" s="44">
        <v>0</v>
      </c>
      <c r="R33" s="45"/>
      <c r="S33" s="46"/>
      <c r="T33" s="39">
        <f t="shared" si="0"/>
        <v>24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4">
        <f t="shared" si="4"/>
        <v>0</v>
      </c>
      <c r="Y33" s="44">
        <f t="shared" si="5"/>
        <v>0</v>
      </c>
      <c r="Z33" s="44">
        <f t="shared" si="6"/>
        <v>0</v>
      </c>
      <c r="AA33" s="50">
        <f t="shared" si="7"/>
        <v>0</v>
      </c>
      <c r="AB33" s="51">
        <f t="shared" si="8"/>
        <v>0</v>
      </c>
      <c r="AC33" s="44">
        <f t="shared" si="9"/>
        <v>0</v>
      </c>
      <c r="AD33" s="44">
        <f t="shared" si="10"/>
        <v>0</v>
      </c>
      <c r="AE33" s="44">
        <f t="shared" si="18"/>
        <v>0</v>
      </c>
      <c r="AF33" s="52">
        <f>HLOOKUP(I33,ElecAvoidedCostsWOCC!$A$5:$Q$50,G33+1,FALSE)</f>
        <v>1.4345808139443847</v>
      </c>
      <c r="AG33" s="44">
        <f t="shared" si="11"/>
        <v>0</v>
      </c>
      <c r="AH33" s="52">
        <f>HLOOKUP(I33,ElecAvoidedCostsWOCC!$A$5:$Q$50,T33+1,FALSE)</f>
        <v>1.4345808139443847</v>
      </c>
      <c r="AI33" s="44">
        <f t="shared" si="12"/>
        <v>0</v>
      </c>
      <c r="AJ33" s="44">
        <f t="shared" si="13"/>
        <v>0</v>
      </c>
      <c r="AK33" s="44">
        <f>HLOOKUP(I33,ElecAvoidedCostsWOCC!$A$5:$Q$50,G33+1,FALSE)*J33*L33</f>
        <v>0</v>
      </c>
      <c r="AL33" s="44">
        <f t="shared" si="14"/>
        <v>0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15"/>
        <v>0</v>
      </c>
      <c r="AO33" s="47">
        <f t="shared" si="16"/>
        <v>0</v>
      </c>
      <c r="AP33" s="47" t="e">
        <f t="shared" si="17"/>
        <v>#DIV/0!</v>
      </c>
      <c r="AQ33">
        <v>2021</v>
      </c>
    </row>
    <row r="34" spans="2:43">
      <c r="B34" s="97" t="s">
        <v>65</v>
      </c>
      <c r="C34" s="98">
        <v>18230711</v>
      </c>
      <c r="D34" s="61" t="s">
        <v>125</v>
      </c>
      <c r="E34" s="38" t="s">
        <v>1006</v>
      </c>
      <c r="F34" s="39" t="s">
        <v>1007</v>
      </c>
      <c r="G34" s="39">
        <v>24</v>
      </c>
      <c r="H34" s="39"/>
      <c r="I34" s="40" t="s">
        <v>255</v>
      </c>
      <c r="J34" s="41">
        <v>1</v>
      </c>
      <c r="K34" s="41"/>
      <c r="L34" s="41"/>
      <c r="M34" s="42"/>
      <c r="N34" s="42"/>
      <c r="O34" s="43">
        <v>0</v>
      </c>
      <c r="P34" s="44">
        <v>0</v>
      </c>
      <c r="Q34" s="44">
        <v>0</v>
      </c>
      <c r="R34" s="45"/>
      <c r="S34" s="46"/>
      <c r="T34" s="39">
        <f t="shared" si="0"/>
        <v>24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4">
        <f t="shared" si="4"/>
        <v>0</v>
      </c>
      <c r="Y34" s="44">
        <f t="shared" si="5"/>
        <v>0</v>
      </c>
      <c r="Z34" s="44">
        <f t="shared" si="6"/>
        <v>0</v>
      </c>
      <c r="AA34" s="50">
        <f t="shared" si="7"/>
        <v>0</v>
      </c>
      <c r="AB34" s="51">
        <f t="shared" si="8"/>
        <v>0</v>
      </c>
      <c r="AC34" s="44">
        <f t="shared" si="9"/>
        <v>0</v>
      </c>
      <c r="AD34" s="44">
        <f t="shared" si="10"/>
        <v>0</v>
      </c>
      <c r="AE34" s="44">
        <f t="shared" si="18"/>
        <v>0</v>
      </c>
      <c r="AF34" s="52">
        <f>HLOOKUP(I34,ElecAvoidedCostsWOCC!$A$5:$Q$50,G34+1,FALSE)</f>
        <v>1.4345808139443847</v>
      </c>
      <c r="AG34" s="44">
        <f t="shared" si="11"/>
        <v>0</v>
      </c>
      <c r="AH34" s="52">
        <f>HLOOKUP(I34,ElecAvoidedCostsWOCC!$A$5:$Q$50,T34+1,FALSE)</f>
        <v>1.4345808139443847</v>
      </c>
      <c r="AI34" s="44">
        <f t="shared" si="12"/>
        <v>0</v>
      </c>
      <c r="AJ34" s="44">
        <f t="shared" si="13"/>
        <v>0</v>
      </c>
      <c r="AK34" s="44">
        <f>HLOOKUP(I34,ElecAvoidedCostsWOCC!$A$5:$Q$50,G34+1,FALSE)*J34*L34</f>
        <v>0</v>
      </c>
      <c r="AL34" s="44">
        <f t="shared" si="14"/>
        <v>0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15"/>
        <v>0</v>
      </c>
      <c r="AO34" s="47">
        <f t="shared" si="16"/>
        <v>0</v>
      </c>
      <c r="AP34" s="47" t="e">
        <f t="shared" si="17"/>
        <v>#DIV/0!</v>
      </c>
      <c r="AQ34">
        <v>2021</v>
      </c>
    </row>
    <row r="35" spans="2:43">
      <c r="B35" s="97" t="s">
        <v>65</v>
      </c>
      <c r="C35" s="98">
        <v>18230711</v>
      </c>
      <c r="D35" s="61" t="s">
        <v>125</v>
      </c>
      <c r="E35" s="38" t="s">
        <v>1006</v>
      </c>
      <c r="F35" s="39" t="s">
        <v>1007</v>
      </c>
      <c r="G35" s="39">
        <v>24</v>
      </c>
      <c r="H35" s="39"/>
      <c r="I35" s="40" t="s">
        <v>255</v>
      </c>
      <c r="J35" s="41">
        <v>1</v>
      </c>
      <c r="K35" s="41"/>
      <c r="L35" s="41"/>
      <c r="M35" s="42"/>
      <c r="N35" s="42"/>
      <c r="O35" s="43">
        <v>0</v>
      </c>
      <c r="P35" s="44">
        <v>0</v>
      </c>
      <c r="Q35" s="44">
        <v>0</v>
      </c>
      <c r="R35" s="45"/>
      <c r="S35" s="46"/>
      <c r="T35" s="39">
        <f t="shared" si="0"/>
        <v>24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4">
        <f t="shared" si="4"/>
        <v>0</v>
      </c>
      <c r="Y35" s="44">
        <f t="shared" si="5"/>
        <v>0</v>
      </c>
      <c r="Z35" s="44">
        <f t="shared" si="6"/>
        <v>0</v>
      </c>
      <c r="AA35" s="50">
        <f t="shared" si="7"/>
        <v>0</v>
      </c>
      <c r="AB35" s="51">
        <f t="shared" si="8"/>
        <v>0</v>
      </c>
      <c r="AC35" s="44">
        <f t="shared" si="9"/>
        <v>0</v>
      </c>
      <c r="AD35" s="44">
        <f t="shared" si="10"/>
        <v>0</v>
      </c>
      <c r="AE35" s="44">
        <f t="shared" si="18"/>
        <v>0</v>
      </c>
      <c r="AF35" s="52">
        <f>HLOOKUP(I35,ElecAvoidedCostsWOCC!$A$5:$Q$50,G35+1,FALSE)</f>
        <v>1.4345808139443847</v>
      </c>
      <c r="AG35" s="44">
        <f t="shared" si="11"/>
        <v>0</v>
      </c>
      <c r="AH35" s="52">
        <f>HLOOKUP(I35,ElecAvoidedCostsWOCC!$A$5:$Q$50,T35+1,FALSE)</f>
        <v>1.4345808139443847</v>
      </c>
      <c r="AI35" s="44">
        <f t="shared" si="12"/>
        <v>0</v>
      </c>
      <c r="AJ35" s="44">
        <f t="shared" si="13"/>
        <v>0</v>
      </c>
      <c r="AK35" s="44">
        <f>HLOOKUP(I35,ElecAvoidedCostsWOCC!$A$5:$Q$50,G35+1,FALSE)*J35*L35</f>
        <v>0</v>
      </c>
      <c r="AL35" s="44">
        <f t="shared" si="14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15"/>
        <v>0</v>
      </c>
      <c r="AO35" s="47">
        <f t="shared" si="16"/>
        <v>0</v>
      </c>
      <c r="AP35" s="47" t="e">
        <f t="shared" si="17"/>
        <v>#DIV/0!</v>
      </c>
      <c r="AQ35">
        <v>2021</v>
      </c>
    </row>
    <row r="36" spans="2:43">
      <c r="B36" s="97" t="s">
        <v>65</v>
      </c>
      <c r="C36" s="98">
        <v>18230711</v>
      </c>
      <c r="D36" s="61" t="s">
        <v>125</v>
      </c>
      <c r="E36" s="38" t="s">
        <v>1008</v>
      </c>
      <c r="F36" s="39" t="s">
        <v>1009</v>
      </c>
      <c r="G36" s="39">
        <v>30</v>
      </c>
      <c r="H36" s="39"/>
      <c r="I36" s="40" t="s">
        <v>255</v>
      </c>
      <c r="J36" s="41">
        <v>1</v>
      </c>
      <c r="K36" s="41"/>
      <c r="L36" s="41"/>
      <c r="M36" s="42"/>
      <c r="N36" s="42"/>
      <c r="O36" s="43">
        <v>0</v>
      </c>
      <c r="P36" s="44">
        <v>0</v>
      </c>
      <c r="Q36" s="44">
        <v>0</v>
      </c>
      <c r="R36" s="45"/>
      <c r="S36" s="46"/>
      <c r="T36" s="39">
        <f t="shared" si="0"/>
        <v>30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4">
        <f t="shared" si="4"/>
        <v>0</v>
      </c>
      <c r="Y36" s="44">
        <f t="shared" si="5"/>
        <v>0</v>
      </c>
      <c r="Z36" s="44">
        <f t="shared" si="6"/>
        <v>0</v>
      </c>
      <c r="AA36" s="50">
        <f t="shared" si="7"/>
        <v>0</v>
      </c>
      <c r="AB36" s="51">
        <f t="shared" si="8"/>
        <v>0</v>
      </c>
      <c r="AC36" s="44">
        <f t="shared" si="9"/>
        <v>0</v>
      </c>
      <c r="AD36" s="44">
        <f t="shared" si="10"/>
        <v>0</v>
      </c>
      <c r="AE36" s="44">
        <f t="shared" si="18"/>
        <v>0</v>
      </c>
      <c r="AF36" s="52">
        <f>HLOOKUP(I36,ElecAvoidedCostsWOCC!$A$5:$Q$50,G36+1,FALSE)</f>
        <v>1.6159766001539988</v>
      </c>
      <c r="AG36" s="44">
        <f t="shared" si="11"/>
        <v>0</v>
      </c>
      <c r="AH36" s="52">
        <f>HLOOKUP(I36,ElecAvoidedCostsWOCC!$A$5:$Q$50,T36+1,FALSE)</f>
        <v>1.6159766001539988</v>
      </c>
      <c r="AI36" s="44">
        <f t="shared" si="12"/>
        <v>0</v>
      </c>
      <c r="AJ36" s="44">
        <f t="shared" si="13"/>
        <v>0</v>
      </c>
      <c r="AK36" s="44">
        <f>HLOOKUP(I36,ElecAvoidedCostsWOCC!$A$5:$Q$50,G36+1,FALSE)*J36*L36</f>
        <v>0</v>
      </c>
      <c r="AL36" s="44">
        <f t="shared" si="14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15"/>
        <v>0</v>
      </c>
      <c r="AO36" s="47">
        <f t="shared" si="16"/>
        <v>0</v>
      </c>
      <c r="AP36" s="47" t="e">
        <f t="shared" si="17"/>
        <v>#DIV/0!</v>
      </c>
      <c r="AQ36">
        <v>2021</v>
      </c>
    </row>
    <row r="37" spans="2:43">
      <c r="B37" s="97" t="s">
        <v>65</v>
      </c>
      <c r="C37" s="98">
        <v>18230711</v>
      </c>
      <c r="D37" s="61" t="s">
        <v>125</v>
      </c>
      <c r="E37" s="38" t="s">
        <v>1010</v>
      </c>
      <c r="F37" s="39" t="s">
        <v>1011</v>
      </c>
      <c r="G37" s="39">
        <v>15</v>
      </c>
      <c r="H37" s="39"/>
      <c r="I37" s="40" t="s">
        <v>256</v>
      </c>
      <c r="J37" s="41">
        <v>1</v>
      </c>
      <c r="K37" s="41"/>
      <c r="L37" s="41"/>
      <c r="M37" s="42"/>
      <c r="N37" s="42"/>
      <c r="O37" s="43">
        <v>0</v>
      </c>
      <c r="P37" s="44">
        <v>0</v>
      </c>
      <c r="Q37" s="44">
        <v>0</v>
      </c>
      <c r="R37" s="45"/>
      <c r="S37" s="46"/>
      <c r="T37" s="39">
        <f t="shared" ref="T37:T68" si="19">G37+H37</f>
        <v>15</v>
      </c>
      <c r="U37" s="47">
        <f t="shared" ref="U37:U68" si="20">(O37/$A$10)*T37</f>
        <v>0</v>
      </c>
      <c r="V37" s="48">
        <f t="shared" ref="V37:V68" si="21">N37-M37</f>
        <v>0</v>
      </c>
      <c r="W37" s="49">
        <f t="shared" ref="W37:W68" si="22">(O37/A$10)</f>
        <v>0</v>
      </c>
      <c r="X37" s="44">
        <f t="shared" ref="X37:X68" si="23">W37*A$8</f>
        <v>0</v>
      </c>
      <c r="Y37" s="44">
        <f t="shared" ref="Y37:Y68" si="24">Q37-P37</f>
        <v>0</v>
      </c>
      <c r="Z37" s="44">
        <f t="shared" ref="Z37:Z68" si="25">X37+(A$6*W37)</f>
        <v>0</v>
      </c>
      <c r="AA37" s="50">
        <f t="shared" ref="AA37:AA68" si="26">Q37+X37</f>
        <v>0</v>
      </c>
      <c r="AB37" s="51">
        <f t="shared" ref="AB37:AB65" si="27">Z37/(1+ElecDiscountRate)^1</f>
        <v>0</v>
      </c>
      <c r="AC37" s="44">
        <f t="shared" ref="AC37:AC65" si="28">AA37/(1+ElecDiscountRate)^1</f>
        <v>0</v>
      </c>
      <c r="AD37" s="44">
        <f t="shared" ref="AD37:AD68" si="29">-PV(ElecDiscountRate,T37,R37)*J37</f>
        <v>0</v>
      </c>
      <c r="AE37" s="44">
        <f t="shared" si="18"/>
        <v>0</v>
      </c>
      <c r="AF37" s="52">
        <f>HLOOKUP(I37,ElecAvoidedCostsWOCC!$A$5:$Q$50,G37+1,FALSE)</f>
        <v>1.0293963841416951</v>
      </c>
      <c r="AG37" s="44">
        <f t="shared" ref="AG37:AG68" si="30">AF37*J37*K37</f>
        <v>0</v>
      </c>
      <c r="AH37" s="52">
        <f>HLOOKUP(I37,ElecAvoidedCostsWOCC!$A$5:$Q$50,T37+1,FALSE)</f>
        <v>1.0293963841416951</v>
      </c>
      <c r="AI37" s="44">
        <f t="shared" ref="AI37:AI68" si="31">AH37*J37*L37</f>
        <v>0</v>
      </c>
      <c r="AJ37" s="44">
        <f t="shared" ref="AJ37:AJ68" si="32">AG37+AI37</f>
        <v>0</v>
      </c>
      <c r="AK37" s="44">
        <f>HLOOKUP(I37,ElecAvoidedCostsWOCC!$A$5:$Q$50,G37+1,FALSE)*J37*L37</f>
        <v>0</v>
      </c>
      <c r="AL37" s="44">
        <f t="shared" ref="AL37:AL68" si="33">AG37+AI37-AK37</f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ref="AN37:AN68" si="34">AM37*1.1+AD37+AE37</f>
        <v>0</v>
      </c>
      <c r="AO37" s="47">
        <f t="shared" ref="AO37:AO68" si="35">IFERROR(AM37/AB37,0)</f>
        <v>0</v>
      </c>
      <c r="AP37" s="47" t="e">
        <f t="shared" ref="AP37:AP68" si="36">AN37/AC37</f>
        <v>#DIV/0!</v>
      </c>
      <c r="AQ37">
        <v>2021</v>
      </c>
    </row>
    <row r="38" spans="2:43">
      <c r="B38" s="97" t="s">
        <v>65</v>
      </c>
      <c r="C38" s="98">
        <v>18230711</v>
      </c>
      <c r="D38" s="61" t="s">
        <v>125</v>
      </c>
      <c r="E38" s="38" t="s">
        <v>1010</v>
      </c>
      <c r="F38" s="39" t="s">
        <v>1011</v>
      </c>
      <c r="G38" s="39">
        <v>15</v>
      </c>
      <c r="H38" s="39"/>
      <c r="I38" s="40" t="s">
        <v>256</v>
      </c>
      <c r="J38" s="41">
        <v>1</v>
      </c>
      <c r="K38" s="41"/>
      <c r="L38" s="41"/>
      <c r="M38" s="42"/>
      <c r="N38" s="42"/>
      <c r="O38" s="43">
        <v>0</v>
      </c>
      <c r="P38" s="44">
        <v>0</v>
      </c>
      <c r="Q38" s="44">
        <v>0</v>
      </c>
      <c r="R38" s="45"/>
      <c r="S38" s="46"/>
      <c r="T38" s="39">
        <f t="shared" si="19"/>
        <v>15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18"/>
        <v>0</v>
      </c>
      <c r="AF38" s="52">
        <f>HLOOKUP(I38,ElecAvoidedCostsWOCC!$A$5:$Q$50,G38+1,FALSE)</f>
        <v>1.0293963841416951</v>
      </c>
      <c r="AG38" s="44">
        <f t="shared" si="30"/>
        <v>0</v>
      </c>
      <c r="AH38" s="52">
        <f>HLOOKUP(I38,ElecAvoidedCostsWOCC!$A$5:$Q$50,T38+1,FALSE)</f>
        <v>1.0293963841416951</v>
      </c>
      <c r="AI38" s="44">
        <f t="shared" si="31"/>
        <v>0</v>
      </c>
      <c r="AJ38" s="44">
        <f t="shared" si="32"/>
        <v>0</v>
      </c>
      <c r="AK38" s="44">
        <f>HLOOKUP(I38,ElecAvoidedCostsWOCC!$A$5:$Q$50,G38+1,FALSE)*J38*L38</f>
        <v>0</v>
      </c>
      <c r="AL38" s="44">
        <f t="shared" si="33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4"/>
        <v>0</v>
      </c>
      <c r="AO38" s="47">
        <f t="shared" si="35"/>
        <v>0</v>
      </c>
      <c r="AP38" s="47" t="e">
        <f t="shared" si="36"/>
        <v>#DIV/0!</v>
      </c>
      <c r="AQ38">
        <v>2021</v>
      </c>
    </row>
    <row r="39" spans="2:43">
      <c r="B39" s="97" t="s">
        <v>65</v>
      </c>
      <c r="C39" s="98">
        <v>18230711</v>
      </c>
      <c r="D39" s="61" t="s">
        <v>125</v>
      </c>
      <c r="E39" s="38" t="s">
        <v>1010</v>
      </c>
      <c r="F39" s="39" t="s">
        <v>1011</v>
      </c>
      <c r="G39" s="39">
        <v>15</v>
      </c>
      <c r="H39" s="39"/>
      <c r="I39" s="40" t="s">
        <v>256</v>
      </c>
      <c r="J39" s="41">
        <v>1</v>
      </c>
      <c r="K39" s="41">
        <v>3300</v>
      </c>
      <c r="L39" s="41"/>
      <c r="M39" s="42">
        <v>990</v>
      </c>
      <c r="N39" s="42">
        <v>1771</v>
      </c>
      <c r="O39" s="43">
        <v>3300</v>
      </c>
      <c r="P39" s="44">
        <v>990</v>
      </c>
      <c r="Q39" s="44">
        <v>1771</v>
      </c>
      <c r="R39" s="45"/>
      <c r="S39" s="46"/>
      <c r="T39" s="39">
        <f t="shared" si="19"/>
        <v>15</v>
      </c>
      <c r="U39" s="47">
        <f t="shared" si="20"/>
        <v>2.5719071465661815E-3</v>
      </c>
      <c r="V39" s="48">
        <f t="shared" si="21"/>
        <v>781</v>
      </c>
      <c r="W39" s="49">
        <f t="shared" si="22"/>
        <v>1.7146047643774545E-4</v>
      </c>
      <c r="X39" s="44">
        <f t="shared" si="23"/>
        <v>390.66954240524126</v>
      </c>
      <c r="Y39" s="44">
        <f t="shared" si="24"/>
        <v>781</v>
      </c>
      <c r="Z39" s="44">
        <f t="shared" si="25"/>
        <v>1104.8986178103373</v>
      </c>
      <c r="AA39" s="50">
        <f t="shared" si="26"/>
        <v>2161.6695424052414</v>
      </c>
      <c r="AB39" s="51">
        <f t="shared" si="27"/>
        <v>1032.9051302330909</v>
      </c>
      <c r="AC39" s="44">
        <f t="shared" si="28"/>
        <v>2020.8184934142669</v>
      </c>
      <c r="AD39" s="44">
        <f t="shared" si="29"/>
        <v>0</v>
      </c>
      <c r="AE39" s="44">
        <f t="shared" si="18"/>
        <v>0</v>
      </c>
      <c r="AF39" s="52">
        <f>HLOOKUP(I39,ElecAvoidedCostsWOCC!$A$5:$Q$50,G39+1,FALSE)</f>
        <v>1.0293963841416951</v>
      </c>
      <c r="AG39" s="44">
        <f t="shared" si="30"/>
        <v>3397.0080676675939</v>
      </c>
      <c r="AH39" s="52">
        <f>HLOOKUP(I39,ElecAvoidedCostsWOCC!$A$5:$Q$50,T39+1,FALSE)</f>
        <v>1.0293963841416951</v>
      </c>
      <c r="AI39" s="44">
        <f t="shared" si="31"/>
        <v>0</v>
      </c>
      <c r="AJ39" s="44">
        <f t="shared" si="32"/>
        <v>3397.0080676675939</v>
      </c>
      <c r="AK39" s="44">
        <f>HLOOKUP(I39,ElecAvoidedCostsWOCC!$A$5:$Q$50,G39+1,FALSE)*J39*L39</f>
        <v>0</v>
      </c>
      <c r="AL39" s="44">
        <f t="shared" si="33"/>
        <v>3397.0080676675939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3397.0080676675939</v>
      </c>
      <c r="AN39" s="48">
        <f t="shared" si="34"/>
        <v>3736.7088744343537</v>
      </c>
      <c r="AO39" s="47">
        <f t="shared" si="35"/>
        <v>3.2887900042678719</v>
      </c>
      <c r="AP39" s="47">
        <f t="shared" si="36"/>
        <v>1.849106630116498</v>
      </c>
      <c r="AQ39">
        <v>2021</v>
      </c>
    </row>
    <row r="40" spans="2:43">
      <c r="B40" s="97" t="s">
        <v>65</v>
      </c>
      <c r="C40" s="98">
        <v>18230711</v>
      </c>
      <c r="D40" s="61" t="s">
        <v>125</v>
      </c>
      <c r="E40" s="38" t="s">
        <v>1012</v>
      </c>
      <c r="F40" s="39" t="s">
        <v>1013</v>
      </c>
      <c r="G40" s="39">
        <v>20</v>
      </c>
      <c r="H40" s="39"/>
      <c r="I40" s="40" t="s">
        <v>260</v>
      </c>
      <c r="J40" s="41">
        <v>1</v>
      </c>
      <c r="K40" s="41"/>
      <c r="L40" s="41"/>
      <c r="M40" s="42"/>
      <c r="N40" s="42"/>
      <c r="O40" s="43">
        <v>0</v>
      </c>
      <c r="P40" s="44">
        <v>0</v>
      </c>
      <c r="Q40" s="44">
        <v>0</v>
      </c>
      <c r="R40" s="45"/>
      <c r="S40" s="46"/>
      <c r="T40" s="39">
        <f t="shared" si="19"/>
        <v>20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18"/>
        <v>0</v>
      </c>
      <c r="AF40" s="52">
        <f>HLOOKUP(I40,ElecAvoidedCostsWOCC!$A$5:$Q$50,G40+1,FALSE)</f>
        <v>1.2592865625776986</v>
      </c>
      <c r="AG40" s="44">
        <f t="shared" si="30"/>
        <v>0</v>
      </c>
      <c r="AH40" s="52">
        <f>HLOOKUP(I40,ElecAvoidedCostsWOCC!$A$5:$Q$50,T40+1,FALSE)</f>
        <v>1.2592865625776986</v>
      </c>
      <c r="AI40" s="44">
        <f t="shared" si="31"/>
        <v>0</v>
      </c>
      <c r="AJ40" s="44">
        <f t="shared" si="32"/>
        <v>0</v>
      </c>
      <c r="AK40" s="44">
        <f>HLOOKUP(I40,ElecAvoidedCostsWOCC!$A$5:$Q$50,G40+1,FALSE)*J40*L40</f>
        <v>0</v>
      </c>
      <c r="AL40" s="44">
        <f t="shared" si="33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4"/>
        <v>0</v>
      </c>
      <c r="AO40" s="47">
        <f t="shared" si="35"/>
        <v>0</v>
      </c>
      <c r="AP40" s="47" t="e">
        <f t="shared" si="36"/>
        <v>#DIV/0!</v>
      </c>
      <c r="AQ40">
        <v>2021</v>
      </c>
    </row>
    <row r="41" spans="2:43">
      <c r="B41" s="97" t="s">
        <v>65</v>
      </c>
      <c r="C41" s="98">
        <v>18230711</v>
      </c>
      <c r="D41" s="61" t="s">
        <v>125</v>
      </c>
      <c r="E41" s="38" t="s">
        <v>1012</v>
      </c>
      <c r="F41" s="39" t="s">
        <v>1013</v>
      </c>
      <c r="G41" s="39">
        <v>10</v>
      </c>
      <c r="H41" s="39"/>
      <c r="I41" s="40" t="s">
        <v>260</v>
      </c>
      <c r="J41" s="41">
        <v>1</v>
      </c>
      <c r="K41" s="41">
        <v>262629</v>
      </c>
      <c r="L41" s="41"/>
      <c r="M41" s="42">
        <v>91920</v>
      </c>
      <c r="N41" s="42">
        <v>213915</v>
      </c>
      <c r="O41" s="43">
        <v>262629</v>
      </c>
      <c r="P41" s="44">
        <v>91920</v>
      </c>
      <c r="Q41" s="44">
        <v>213915</v>
      </c>
      <c r="R41" s="45"/>
      <c r="S41" s="46"/>
      <c r="T41" s="39">
        <f t="shared" si="19"/>
        <v>10</v>
      </c>
      <c r="U41" s="47">
        <f t="shared" si="20"/>
        <v>0.13645604080717774</v>
      </c>
      <c r="V41" s="48">
        <f t="shared" si="21"/>
        <v>121995</v>
      </c>
      <c r="W41" s="49">
        <f t="shared" si="22"/>
        <v>1.3645604080717773E-2</v>
      </c>
      <c r="X41" s="44">
        <f t="shared" si="23"/>
        <v>31091.257955256398</v>
      </c>
      <c r="Y41" s="44">
        <f t="shared" si="24"/>
        <v>121995</v>
      </c>
      <c r="Z41" s="44">
        <f t="shared" si="25"/>
        <v>87932.85427179125</v>
      </c>
      <c r="AA41" s="50">
        <f t="shared" si="26"/>
        <v>245006.25795525638</v>
      </c>
      <c r="AB41" s="51">
        <f t="shared" si="27"/>
        <v>82203.28528726862</v>
      </c>
      <c r="AC41" s="44">
        <f t="shared" si="28"/>
        <v>229042.02856432306</v>
      </c>
      <c r="AD41" s="44">
        <f t="shared" si="29"/>
        <v>0</v>
      </c>
      <c r="AE41" s="44">
        <f t="shared" ref="AE41:AE68" si="37">-PV(ElecDiscountRate,T41,S41)*J41</f>
        <v>0</v>
      </c>
      <c r="AF41" s="52">
        <f>HLOOKUP(I41,ElecAvoidedCostsWOCC!$A$5:$Q$50,G41+1,FALSE)</f>
        <v>0.68726615252653023</v>
      </c>
      <c r="AG41" s="44">
        <f t="shared" si="30"/>
        <v>180496.02237189011</v>
      </c>
      <c r="AH41" s="52">
        <f>HLOOKUP(I41,ElecAvoidedCostsWOCC!$A$5:$Q$50,T41+1,FALSE)</f>
        <v>0.68726615252653023</v>
      </c>
      <c r="AI41" s="44">
        <f t="shared" si="31"/>
        <v>0</v>
      </c>
      <c r="AJ41" s="44">
        <f t="shared" si="32"/>
        <v>180496.02237189011</v>
      </c>
      <c r="AK41" s="44">
        <f>HLOOKUP(I41,ElecAvoidedCostsWOCC!$A$5:$Q$50,G41+1,FALSE)*J41*L41</f>
        <v>0</v>
      </c>
      <c r="AL41" s="44">
        <f t="shared" si="33"/>
        <v>180496.02237189011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180496.02237189011</v>
      </c>
      <c r="AN41" s="48">
        <f t="shared" si="34"/>
        <v>198545.62460907912</v>
      </c>
      <c r="AO41" s="47">
        <f t="shared" si="35"/>
        <v>2.1957276006807573</v>
      </c>
      <c r="AP41" s="47">
        <f t="shared" si="36"/>
        <v>0.86685236702451107</v>
      </c>
      <c r="AQ41">
        <v>2021</v>
      </c>
    </row>
    <row r="42" spans="2:43">
      <c r="B42" s="97" t="s">
        <v>65</v>
      </c>
      <c r="C42" s="98">
        <v>18230711</v>
      </c>
      <c r="D42" s="61" t="s">
        <v>125</v>
      </c>
      <c r="E42" s="38" t="s">
        <v>1012</v>
      </c>
      <c r="F42" s="39" t="s">
        <v>1013</v>
      </c>
      <c r="G42" s="39">
        <v>20</v>
      </c>
      <c r="H42" s="39"/>
      <c r="I42" s="40" t="s">
        <v>260</v>
      </c>
      <c r="J42" s="41">
        <v>1</v>
      </c>
      <c r="K42" s="41">
        <v>211789</v>
      </c>
      <c r="L42" s="41"/>
      <c r="M42" s="42">
        <v>74126</v>
      </c>
      <c r="N42" s="42">
        <v>325462</v>
      </c>
      <c r="O42" s="43">
        <v>211789</v>
      </c>
      <c r="P42" s="44">
        <v>74126</v>
      </c>
      <c r="Q42" s="44">
        <v>325462</v>
      </c>
      <c r="R42" s="45"/>
      <c r="S42" s="46"/>
      <c r="T42" s="39">
        <f t="shared" si="19"/>
        <v>20</v>
      </c>
      <c r="U42" s="47">
        <f t="shared" si="20"/>
        <v>0.22008147178347678</v>
      </c>
      <c r="V42" s="48">
        <f t="shared" si="21"/>
        <v>251336</v>
      </c>
      <c r="W42" s="49">
        <f t="shared" si="22"/>
        <v>1.100407358917384E-2</v>
      </c>
      <c r="X42" s="44">
        <f t="shared" si="23"/>
        <v>25072.579308019289</v>
      </c>
      <c r="Y42" s="44">
        <f t="shared" si="24"/>
        <v>251336</v>
      </c>
      <c r="Z42" s="44">
        <f t="shared" si="25"/>
        <v>70910.7192022526</v>
      </c>
      <c r="AA42" s="50">
        <f t="shared" si="26"/>
        <v>350534.57930801931</v>
      </c>
      <c r="AB42" s="51">
        <f t="shared" si="27"/>
        <v>66290.286250586694</v>
      </c>
      <c r="AC42" s="44">
        <f t="shared" si="28"/>
        <v>327694.28747127164</v>
      </c>
      <c r="AD42" s="44">
        <f t="shared" si="29"/>
        <v>0</v>
      </c>
      <c r="AE42" s="44">
        <f t="shared" si="37"/>
        <v>0</v>
      </c>
      <c r="AF42" s="52">
        <f>HLOOKUP(I42,ElecAvoidedCostsWOCC!$A$5:$Q$50,G42+1,FALSE)</f>
        <v>1.2592865625776986</v>
      </c>
      <c r="AG42" s="44">
        <f t="shared" si="30"/>
        <v>266703.04180176818</v>
      </c>
      <c r="AH42" s="52">
        <f>HLOOKUP(I42,ElecAvoidedCostsWOCC!$A$5:$Q$50,T42+1,FALSE)</f>
        <v>1.2592865625776986</v>
      </c>
      <c r="AI42" s="44">
        <f t="shared" si="31"/>
        <v>0</v>
      </c>
      <c r="AJ42" s="44">
        <f t="shared" si="32"/>
        <v>266703.04180176818</v>
      </c>
      <c r="AK42" s="44">
        <f>HLOOKUP(I42,ElecAvoidedCostsWOCC!$A$5:$Q$50,G42+1,FALSE)*J42*L42</f>
        <v>0</v>
      </c>
      <c r="AL42" s="44">
        <f t="shared" si="33"/>
        <v>266703.04180176818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266703.04180176818</v>
      </c>
      <c r="AN42" s="48">
        <f t="shared" si="34"/>
        <v>293373.34598194505</v>
      </c>
      <c r="AO42" s="47">
        <f t="shared" si="35"/>
        <v>4.0232597698189565</v>
      </c>
      <c r="AP42" s="47">
        <f t="shared" si="36"/>
        <v>0.89526536530687784</v>
      </c>
      <c r="AQ42">
        <v>2021</v>
      </c>
    </row>
    <row r="43" spans="2:43">
      <c r="B43" s="97" t="s">
        <v>65</v>
      </c>
      <c r="C43" s="98">
        <v>18230711</v>
      </c>
      <c r="D43" s="61" t="s">
        <v>125</v>
      </c>
      <c r="E43" s="38" t="s">
        <v>1012</v>
      </c>
      <c r="F43" s="39" t="s">
        <v>1013</v>
      </c>
      <c r="G43" s="39">
        <v>20</v>
      </c>
      <c r="H43" s="39"/>
      <c r="I43" s="40" t="s">
        <v>260</v>
      </c>
      <c r="J43" s="41">
        <v>1</v>
      </c>
      <c r="K43" s="41">
        <v>453723</v>
      </c>
      <c r="L43" s="41"/>
      <c r="M43" s="42">
        <v>223976</v>
      </c>
      <c r="N43" s="42">
        <v>295418</v>
      </c>
      <c r="O43" s="43">
        <v>453723</v>
      </c>
      <c r="P43" s="44">
        <v>223976</v>
      </c>
      <c r="Q43" s="44">
        <v>295418</v>
      </c>
      <c r="R43" s="45"/>
      <c r="S43" s="46"/>
      <c r="T43" s="39">
        <f t="shared" si="19"/>
        <v>20</v>
      </c>
      <c r="U43" s="47">
        <f t="shared" si="20"/>
        <v>0.47148825303492842</v>
      </c>
      <c r="V43" s="48">
        <f t="shared" si="21"/>
        <v>71442</v>
      </c>
      <c r="W43" s="49">
        <f t="shared" si="22"/>
        <v>2.357441265174642E-2</v>
      </c>
      <c r="X43" s="44">
        <f t="shared" si="23"/>
        <v>53713.865693555548</v>
      </c>
      <c r="Y43" s="44">
        <f t="shared" si="24"/>
        <v>71442</v>
      </c>
      <c r="Z43" s="44">
        <f t="shared" si="25"/>
        <v>151914.51986932114</v>
      </c>
      <c r="AA43" s="50">
        <f t="shared" si="26"/>
        <v>349131.86569355556</v>
      </c>
      <c r="AB43" s="51">
        <f t="shared" si="27"/>
        <v>142016.00436507538</v>
      </c>
      <c r="AC43" s="44">
        <f t="shared" si="28"/>
        <v>326382.97250963404</v>
      </c>
      <c r="AD43" s="44">
        <f t="shared" si="29"/>
        <v>0</v>
      </c>
      <c r="AE43" s="44">
        <f t="shared" si="37"/>
        <v>0</v>
      </c>
      <c r="AF43" s="52">
        <f>HLOOKUP(I43,ElecAvoidedCostsWOCC!$A$5:$Q$50,G43+1,FALSE)</f>
        <v>1.2592865625776986</v>
      </c>
      <c r="AG43" s="44">
        <f t="shared" si="30"/>
        <v>571367.27703244111</v>
      </c>
      <c r="AH43" s="52">
        <f>HLOOKUP(I43,ElecAvoidedCostsWOCC!$A$5:$Q$50,T43+1,FALSE)</f>
        <v>1.2592865625776986</v>
      </c>
      <c r="AI43" s="44">
        <f t="shared" si="31"/>
        <v>0</v>
      </c>
      <c r="AJ43" s="44">
        <f t="shared" si="32"/>
        <v>571367.27703244111</v>
      </c>
      <c r="AK43" s="44">
        <f>HLOOKUP(I43,ElecAvoidedCostsWOCC!$A$5:$Q$50,G43+1,FALSE)*J43*L43</f>
        <v>0</v>
      </c>
      <c r="AL43" s="44">
        <f t="shared" si="33"/>
        <v>571367.27703244111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571367.27703244111</v>
      </c>
      <c r="AN43" s="48">
        <f t="shared" si="34"/>
        <v>628504.0047356853</v>
      </c>
      <c r="AO43" s="47">
        <f t="shared" si="35"/>
        <v>4.0232597698189565</v>
      </c>
      <c r="AP43" s="47">
        <f t="shared" si="36"/>
        <v>1.9256641971943969</v>
      </c>
      <c r="AQ43">
        <v>2021</v>
      </c>
    </row>
    <row r="44" spans="2:43">
      <c r="B44" s="97" t="s">
        <v>65</v>
      </c>
      <c r="C44" s="98">
        <v>18230711</v>
      </c>
      <c r="D44" s="61" t="s">
        <v>125</v>
      </c>
      <c r="E44" s="38" t="s">
        <v>1012</v>
      </c>
      <c r="F44" s="39" t="s">
        <v>1013</v>
      </c>
      <c r="G44" s="39">
        <v>20</v>
      </c>
      <c r="H44" s="39"/>
      <c r="I44" s="40" t="s">
        <v>260</v>
      </c>
      <c r="J44" s="41">
        <v>1</v>
      </c>
      <c r="K44" s="41">
        <v>161429</v>
      </c>
      <c r="L44" s="41"/>
      <c r="M44" s="42">
        <v>28054</v>
      </c>
      <c r="N44" s="42">
        <v>63183</v>
      </c>
      <c r="O44" s="43">
        <v>161429</v>
      </c>
      <c r="P44" s="44">
        <v>28054</v>
      </c>
      <c r="Q44" s="44">
        <v>63183</v>
      </c>
      <c r="R44" s="45"/>
      <c r="S44" s="46"/>
      <c r="T44" s="39">
        <f t="shared" si="19"/>
        <v>20</v>
      </c>
      <c r="U44" s="47">
        <f t="shared" si="20"/>
        <v>0.16774965606587158</v>
      </c>
      <c r="V44" s="48">
        <f t="shared" si="21"/>
        <v>35129</v>
      </c>
      <c r="W44" s="49">
        <f t="shared" si="22"/>
        <v>8.3874828032935791E-3</v>
      </c>
      <c r="X44" s="44">
        <f t="shared" si="23"/>
        <v>19110.725321495665</v>
      </c>
      <c r="Y44" s="44">
        <f t="shared" si="24"/>
        <v>35129</v>
      </c>
      <c r="Z44" s="44">
        <f t="shared" si="25"/>
        <v>54049.296658940897</v>
      </c>
      <c r="AA44" s="50">
        <f t="shared" si="26"/>
        <v>82293.725321495673</v>
      </c>
      <c r="AB44" s="51">
        <f t="shared" si="27"/>
        <v>50527.527960120497</v>
      </c>
      <c r="AC44" s="44">
        <f t="shared" si="28"/>
        <v>76931.593270539088</v>
      </c>
      <c r="AD44" s="44">
        <f t="shared" si="29"/>
        <v>0</v>
      </c>
      <c r="AE44" s="44">
        <f t="shared" si="37"/>
        <v>0</v>
      </c>
      <c r="AF44" s="52">
        <f>HLOOKUP(I44,ElecAvoidedCostsWOCC!$A$5:$Q$50,G44+1,FALSE)</f>
        <v>1.2592865625776986</v>
      </c>
      <c r="AG44" s="44">
        <f t="shared" si="30"/>
        <v>203285.37051035531</v>
      </c>
      <c r="AH44" s="52">
        <f>HLOOKUP(I44,ElecAvoidedCostsWOCC!$A$5:$Q$50,T44+1,FALSE)</f>
        <v>1.2592865625776986</v>
      </c>
      <c r="AI44" s="44">
        <f t="shared" si="31"/>
        <v>0</v>
      </c>
      <c r="AJ44" s="44">
        <f t="shared" si="32"/>
        <v>203285.37051035531</v>
      </c>
      <c r="AK44" s="44">
        <f>HLOOKUP(I44,ElecAvoidedCostsWOCC!$A$5:$Q$50,G44+1,FALSE)*J44*L44</f>
        <v>0</v>
      </c>
      <c r="AL44" s="44">
        <f t="shared" si="33"/>
        <v>203285.37051035531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203285.37051035531</v>
      </c>
      <c r="AN44" s="48">
        <f t="shared" si="34"/>
        <v>223613.90756139086</v>
      </c>
      <c r="AO44" s="47">
        <f t="shared" si="35"/>
        <v>4.0232597698189574</v>
      </c>
      <c r="AP44" s="47">
        <f t="shared" si="36"/>
        <v>2.9066589947646864</v>
      </c>
      <c r="AQ44">
        <v>2021</v>
      </c>
    </row>
    <row r="45" spans="2:43">
      <c r="B45" s="97" t="s">
        <v>65</v>
      </c>
      <c r="C45" s="98">
        <v>18230711</v>
      </c>
      <c r="D45" s="61" t="s">
        <v>125</v>
      </c>
      <c r="E45" s="38" t="s">
        <v>1014</v>
      </c>
      <c r="F45" s="39" t="s">
        <v>1015</v>
      </c>
      <c r="G45" s="39">
        <v>10</v>
      </c>
      <c r="H45" s="39"/>
      <c r="I45" s="40" t="s">
        <v>256</v>
      </c>
      <c r="J45" s="41">
        <v>1</v>
      </c>
      <c r="K45" s="41">
        <v>69315</v>
      </c>
      <c r="L45" s="41"/>
      <c r="M45" s="42">
        <v>50706</v>
      </c>
      <c r="N45" s="42">
        <v>146414</v>
      </c>
      <c r="O45" s="43">
        <v>69315</v>
      </c>
      <c r="P45" s="44">
        <v>50706</v>
      </c>
      <c r="Q45" s="44">
        <v>146414</v>
      </c>
      <c r="R45" s="45"/>
      <c r="S45" s="46"/>
      <c r="T45" s="39">
        <f t="shared" si="19"/>
        <v>10</v>
      </c>
      <c r="U45" s="47">
        <f t="shared" si="20"/>
        <v>3.6014493709946444E-2</v>
      </c>
      <c r="V45" s="48">
        <f t="shared" si="21"/>
        <v>95708</v>
      </c>
      <c r="W45" s="49">
        <f t="shared" si="22"/>
        <v>3.6014493709946444E-3</v>
      </c>
      <c r="X45" s="44">
        <f t="shared" si="23"/>
        <v>8205.8361611573637</v>
      </c>
      <c r="Y45" s="44">
        <f t="shared" si="24"/>
        <v>95708</v>
      </c>
      <c r="Z45" s="44">
        <f t="shared" si="25"/>
        <v>23207.893240461679</v>
      </c>
      <c r="AA45" s="50">
        <f t="shared" si="26"/>
        <v>154619.83616115735</v>
      </c>
      <c r="AB45" s="51">
        <f t="shared" si="27"/>
        <v>21695.702758214149</v>
      </c>
      <c r="AC45" s="44">
        <f t="shared" si="28"/>
        <v>144545.04642531302</v>
      </c>
      <c r="AD45" s="44">
        <f t="shared" si="29"/>
        <v>0</v>
      </c>
      <c r="AE45" s="44">
        <f t="shared" si="37"/>
        <v>0</v>
      </c>
      <c r="AF45" s="52">
        <f>HLOOKUP(I45,ElecAvoidedCostsWOCC!$A$5:$Q$50,G45+1,FALSE)</f>
        <v>0.70839718084543712</v>
      </c>
      <c r="AG45" s="44">
        <f t="shared" si="30"/>
        <v>49102.550590301471</v>
      </c>
      <c r="AH45" s="52">
        <f>HLOOKUP(I45,ElecAvoidedCostsWOCC!$A$5:$Q$50,T45+1,FALSE)</f>
        <v>0.70839718084543712</v>
      </c>
      <c r="AI45" s="44">
        <f t="shared" si="31"/>
        <v>0</v>
      </c>
      <c r="AJ45" s="44">
        <f t="shared" si="32"/>
        <v>49102.550590301471</v>
      </c>
      <c r="AK45" s="44">
        <f>HLOOKUP(I45,ElecAvoidedCostsWOCC!$A$5:$Q$50,G45+1,FALSE)*J45*L45</f>
        <v>0</v>
      </c>
      <c r="AL45" s="44">
        <f t="shared" si="33"/>
        <v>49102.550590301471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49102.550590301471</v>
      </c>
      <c r="AN45" s="48">
        <f t="shared" si="34"/>
        <v>54012.805649331625</v>
      </c>
      <c r="AO45" s="47">
        <f t="shared" si="35"/>
        <v>2.263238537950143</v>
      </c>
      <c r="AP45" s="47">
        <f t="shared" si="36"/>
        <v>0.37367455326281451</v>
      </c>
      <c r="AQ45">
        <v>2021</v>
      </c>
    </row>
    <row r="46" spans="2:43">
      <c r="B46" s="97" t="s">
        <v>65</v>
      </c>
      <c r="C46" s="98">
        <v>18230711</v>
      </c>
      <c r="D46" s="61" t="s">
        <v>125</v>
      </c>
      <c r="E46" s="38" t="s">
        <v>1014</v>
      </c>
      <c r="F46" s="39" t="s">
        <v>1015</v>
      </c>
      <c r="G46" s="39">
        <v>10</v>
      </c>
      <c r="H46" s="39"/>
      <c r="I46" s="40" t="s">
        <v>256</v>
      </c>
      <c r="J46" s="41">
        <v>1</v>
      </c>
      <c r="K46" s="41">
        <v>572958</v>
      </c>
      <c r="L46" s="41"/>
      <c r="M46" s="42">
        <v>152669</v>
      </c>
      <c r="N46" s="42">
        <v>170587</v>
      </c>
      <c r="O46" s="43">
        <v>572958</v>
      </c>
      <c r="P46" s="44">
        <v>152669</v>
      </c>
      <c r="Q46" s="44">
        <v>170587</v>
      </c>
      <c r="R46" s="45"/>
      <c r="S46" s="46"/>
      <c r="T46" s="39">
        <f t="shared" si="19"/>
        <v>10</v>
      </c>
      <c r="U46" s="47">
        <f t="shared" si="20"/>
        <v>0.29769591411762958</v>
      </c>
      <c r="V46" s="48">
        <f t="shared" si="21"/>
        <v>17918</v>
      </c>
      <c r="W46" s="49">
        <f t="shared" si="22"/>
        <v>2.9769591411762959E-2</v>
      </c>
      <c r="X46" s="44">
        <f t="shared" si="23"/>
        <v>67829.466568915828</v>
      </c>
      <c r="Y46" s="44">
        <f t="shared" si="24"/>
        <v>17918</v>
      </c>
      <c r="Z46" s="44">
        <f t="shared" si="25"/>
        <v>191836.51583738648</v>
      </c>
      <c r="AA46" s="50">
        <f t="shared" si="26"/>
        <v>238416.46656891581</v>
      </c>
      <c r="AB46" s="51">
        <f t="shared" si="27"/>
        <v>179336.74472972465</v>
      </c>
      <c r="AC46" s="44">
        <f t="shared" si="28"/>
        <v>222881.61780771785</v>
      </c>
      <c r="AD46" s="44">
        <f t="shared" si="29"/>
        <v>0</v>
      </c>
      <c r="AE46" s="44">
        <f t="shared" si="37"/>
        <v>0</v>
      </c>
      <c r="AF46" s="52">
        <f>HLOOKUP(I46,ElecAvoidedCostsWOCC!$A$5:$Q$50,G46+1,FALSE)</f>
        <v>0.70839718084543712</v>
      </c>
      <c r="AG46" s="44">
        <f t="shared" si="30"/>
        <v>405881.83194283996</v>
      </c>
      <c r="AH46" s="52">
        <f>HLOOKUP(I46,ElecAvoidedCostsWOCC!$A$5:$Q$50,T46+1,FALSE)</f>
        <v>0.70839718084543712</v>
      </c>
      <c r="AI46" s="44">
        <f t="shared" si="31"/>
        <v>0</v>
      </c>
      <c r="AJ46" s="44">
        <f t="shared" si="32"/>
        <v>405881.83194283996</v>
      </c>
      <c r="AK46" s="44">
        <f>HLOOKUP(I46,ElecAvoidedCostsWOCC!$A$5:$Q$50,G46+1,FALSE)*J46*L46</f>
        <v>0</v>
      </c>
      <c r="AL46" s="44">
        <f t="shared" si="33"/>
        <v>405881.83194283996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405881.83194283996</v>
      </c>
      <c r="AN46" s="48">
        <f t="shared" si="34"/>
        <v>446470.01513712399</v>
      </c>
      <c r="AO46" s="47">
        <f t="shared" si="35"/>
        <v>2.2632385379501425</v>
      </c>
      <c r="AP46" s="47">
        <f t="shared" si="36"/>
        <v>2.0031710983105753</v>
      </c>
      <c r="AQ46">
        <v>2021</v>
      </c>
    </row>
    <row r="47" spans="2:43">
      <c r="B47" s="97" t="s">
        <v>65</v>
      </c>
      <c r="C47" s="98">
        <v>18230711</v>
      </c>
      <c r="D47" s="61" t="s">
        <v>125</v>
      </c>
      <c r="E47" s="38" t="s">
        <v>1014</v>
      </c>
      <c r="F47" s="39" t="s">
        <v>1015</v>
      </c>
      <c r="G47" s="39">
        <v>10</v>
      </c>
      <c r="H47" s="39"/>
      <c r="I47" s="40" t="s">
        <v>256</v>
      </c>
      <c r="J47" s="41">
        <v>1</v>
      </c>
      <c r="K47" s="41">
        <v>784332</v>
      </c>
      <c r="L47" s="41"/>
      <c r="M47" s="42">
        <v>42234</v>
      </c>
      <c r="N47" s="42">
        <v>42234</v>
      </c>
      <c r="O47" s="43">
        <v>784332</v>
      </c>
      <c r="P47" s="44">
        <v>42234</v>
      </c>
      <c r="Q47" s="44">
        <v>42234</v>
      </c>
      <c r="R47" s="45"/>
      <c r="S47" s="46"/>
      <c r="T47" s="39">
        <f t="shared" si="19"/>
        <v>10</v>
      </c>
      <c r="U47" s="47">
        <f t="shared" si="20"/>
        <v>0.40752102547081748</v>
      </c>
      <c r="V47" s="48">
        <f t="shared" si="21"/>
        <v>0</v>
      </c>
      <c r="W47" s="49">
        <f t="shared" si="22"/>
        <v>4.0752102547081746E-2</v>
      </c>
      <c r="X47" s="44">
        <f t="shared" si="23"/>
        <v>92852.916222359912</v>
      </c>
      <c r="Y47" s="44">
        <f t="shared" si="24"/>
        <v>0</v>
      </c>
      <c r="Z47" s="44">
        <f t="shared" si="25"/>
        <v>262608.28566800535</v>
      </c>
      <c r="AA47" s="50">
        <f t="shared" si="26"/>
        <v>135086.91622235993</v>
      </c>
      <c r="AB47" s="51">
        <f t="shared" si="27"/>
        <v>245497.13533514566</v>
      </c>
      <c r="AC47" s="44">
        <f t="shared" si="28"/>
        <v>126284.86138390195</v>
      </c>
      <c r="AD47" s="44">
        <f t="shared" si="29"/>
        <v>0</v>
      </c>
      <c r="AE47" s="44">
        <f t="shared" si="37"/>
        <v>0</v>
      </c>
      <c r="AF47" s="52">
        <f>HLOOKUP(I47,ElecAvoidedCostsWOCC!$A$5:$Q$50,G47+1,FALSE)</f>
        <v>0.70839718084543712</v>
      </c>
      <c r="AG47" s="44">
        <f t="shared" si="30"/>
        <v>555618.57764686341</v>
      </c>
      <c r="AH47" s="52">
        <f>HLOOKUP(I47,ElecAvoidedCostsWOCC!$A$5:$Q$50,T47+1,FALSE)</f>
        <v>0.70839718084543712</v>
      </c>
      <c r="AI47" s="44">
        <f t="shared" si="31"/>
        <v>0</v>
      </c>
      <c r="AJ47" s="44">
        <f t="shared" si="32"/>
        <v>555618.57764686341</v>
      </c>
      <c r="AK47" s="44">
        <f>HLOOKUP(I47,ElecAvoidedCostsWOCC!$A$5:$Q$50,G47+1,FALSE)*J47*L47</f>
        <v>0</v>
      </c>
      <c r="AL47" s="44">
        <f t="shared" si="33"/>
        <v>555618.57764686341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555618.57764686341</v>
      </c>
      <c r="AN47" s="48">
        <f t="shared" si="34"/>
        <v>611180.43541154976</v>
      </c>
      <c r="AO47" s="47">
        <f t="shared" si="35"/>
        <v>2.263238537950143</v>
      </c>
      <c r="AP47" s="47">
        <f t="shared" si="36"/>
        <v>4.8396967674025531</v>
      </c>
      <c r="AQ47">
        <v>2021</v>
      </c>
    </row>
    <row r="48" spans="2:43">
      <c r="B48" s="97" t="s">
        <v>65</v>
      </c>
      <c r="C48" s="98">
        <v>18230711</v>
      </c>
      <c r="D48" s="61" t="s">
        <v>125</v>
      </c>
      <c r="E48" s="38" t="s">
        <v>1016</v>
      </c>
      <c r="F48" s="39" t="s">
        <v>1017</v>
      </c>
      <c r="G48" s="39">
        <v>10</v>
      </c>
      <c r="H48" s="39"/>
      <c r="I48" s="40" t="s">
        <v>256</v>
      </c>
      <c r="J48" s="41">
        <v>1</v>
      </c>
      <c r="K48" s="41">
        <v>199043</v>
      </c>
      <c r="L48" s="41"/>
      <c r="M48" s="42">
        <v>42903</v>
      </c>
      <c r="N48" s="42">
        <v>61290</v>
      </c>
      <c r="O48" s="43">
        <v>199043</v>
      </c>
      <c r="P48" s="44">
        <v>42903</v>
      </c>
      <c r="Q48" s="44">
        <v>61290</v>
      </c>
      <c r="R48" s="45"/>
      <c r="S48" s="46"/>
      <c r="T48" s="39">
        <f t="shared" si="19"/>
        <v>10</v>
      </c>
      <c r="U48" s="47">
        <f t="shared" si="20"/>
        <v>0.10341820488363081</v>
      </c>
      <c r="V48" s="48">
        <f t="shared" si="21"/>
        <v>18387</v>
      </c>
      <c r="W48" s="49">
        <f t="shared" si="22"/>
        <v>1.0341820488363081E-2</v>
      </c>
      <c r="X48" s="44">
        <f t="shared" si="23"/>
        <v>23563.647796656496</v>
      </c>
      <c r="Y48" s="44">
        <f t="shared" si="24"/>
        <v>18387</v>
      </c>
      <c r="Z48" s="44">
        <f t="shared" si="25"/>
        <v>66643.131995400909</v>
      </c>
      <c r="AA48" s="50">
        <f t="shared" si="26"/>
        <v>84853.6477966565</v>
      </c>
      <c r="AB48" s="51">
        <f t="shared" si="27"/>
        <v>62300.768435450038</v>
      </c>
      <c r="AC48" s="44">
        <f t="shared" si="28"/>
        <v>79324.715150655786</v>
      </c>
      <c r="AD48" s="44">
        <f t="shared" si="29"/>
        <v>0</v>
      </c>
      <c r="AE48" s="44">
        <f t="shared" si="37"/>
        <v>0</v>
      </c>
      <c r="AF48" s="52">
        <f>HLOOKUP(I48,ElecAvoidedCostsWOCC!$A$5:$Q$50,G48+1,FALSE)</f>
        <v>0.70839718084543712</v>
      </c>
      <c r="AG48" s="44">
        <f t="shared" si="30"/>
        <v>141001.50006701835</v>
      </c>
      <c r="AH48" s="52">
        <f>HLOOKUP(I48,ElecAvoidedCostsWOCC!$A$5:$Q$50,T48+1,FALSE)</f>
        <v>0.70839718084543712</v>
      </c>
      <c r="AI48" s="44">
        <f t="shared" si="31"/>
        <v>0</v>
      </c>
      <c r="AJ48" s="44">
        <f t="shared" si="32"/>
        <v>141001.50006701835</v>
      </c>
      <c r="AK48" s="44">
        <f>HLOOKUP(I48,ElecAvoidedCostsWOCC!$A$5:$Q$50,G48+1,FALSE)*J48*L48</f>
        <v>0</v>
      </c>
      <c r="AL48" s="44">
        <f t="shared" si="33"/>
        <v>141001.50006701835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141001.50006701835</v>
      </c>
      <c r="AN48" s="48">
        <f t="shared" si="34"/>
        <v>155101.6500737202</v>
      </c>
      <c r="AO48" s="47">
        <f t="shared" si="35"/>
        <v>2.263238537950143</v>
      </c>
      <c r="AP48" s="47">
        <f t="shared" si="36"/>
        <v>1.9552752225979844</v>
      </c>
      <c r="AQ48">
        <v>2021</v>
      </c>
    </row>
    <row r="49" spans="2:43">
      <c r="B49" s="97" t="s">
        <v>65</v>
      </c>
      <c r="C49" s="98">
        <v>18230711</v>
      </c>
      <c r="D49" s="61" t="s">
        <v>125</v>
      </c>
      <c r="E49" s="38" t="s">
        <v>1018</v>
      </c>
      <c r="F49" s="39" t="s">
        <v>1019</v>
      </c>
      <c r="G49" s="39">
        <v>20</v>
      </c>
      <c r="H49" s="39"/>
      <c r="I49" s="40" t="s">
        <v>261</v>
      </c>
      <c r="J49" s="41">
        <v>1</v>
      </c>
      <c r="K49" s="41">
        <v>122189</v>
      </c>
      <c r="L49" s="41"/>
      <c r="M49" s="42">
        <v>30934</v>
      </c>
      <c r="N49" s="42">
        <v>106413</v>
      </c>
      <c r="O49" s="43">
        <v>122189</v>
      </c>
      <c r="P49" s="44">
        <v>30934</v>
      </c>
      <c r="Q49" s="44">
        <v>106413</v>
      </c>
      <c r="R49" s="45"/>
      <c r="S49" s="46"/>
      <c r="T49" s="39">
        <f t="shared" si="19"/>
        <v>20</v>
      </c>
      <c r="U49" s="47">
        <f t="shared" si="20"/>
        <v>0.12697323730576776</v>
      </c>
      <c r="V49" s="48">
        <f t="shared" si="21"/>
        <v>75479</v>
      </c>
      <c r="W49" s="49">
        <f t="shared" si="22"/>
        <v>6.3486618652883881E-3</v>
      </c>
      <c r="X49" s="44">
        <f t="shared" si="23"/>
        <v>14465.309308167889</v>
      </c>
      <c r="Y49" s="44">
        <f t="shared" si="24"/>
        <v>75479</v>
      </c>
      <c r="Z49" s="44">
        <f t="shared" si="25"/>
        <v>40911.047639887067</v>
      </c>
      <c r="AA49" s="50">
        <f t="shared" si="26"/>
        <v>120878.3093081679</v>
      </c>
      <c r="AB49" s="51">
        <f t="shared" si="27"/>
        <v>38245.346956985195</v>
      </c>
      <c r="AC49" s="44">
        <f t="shared" si="28"/>
        <v>113002.06535305963</v>
      </c>
      <c r="AD49" s="44">
        <f t="shared" si="29"/>
        <v>0</v>
      </c>
      <c r="AE49" s="44">
        <f t="shared" si="37"/>
        <v>0</v>
      </c>
      <c r="AF49" s="52">
        <f>HLOOKUP(I49,ElecAvoidedCostsWOCC!$A$5:$Q$50,G49+1,FALSE)</f>
        <v>1.7025958820263232</v>
      </c>
      <c r="AG49" s="44">
        <f t="shared" si="30"/>
        <v>208038.48822891442</v>
      </c>
      <c r="AH49" s="52">
        <f>HLOOKUP(I49,ElecAvoidedCostsWOCC!$A$5:$Q$50,T49+1,FALSE)</f>
        <v>1.7025958820263232</v>
      </c>
      <c r="AI49" s="44">
        <f t="shared" si="31"/>
        <v>0</v>
      </c>
      <c r="AJ49" s="44">
        <f t="shared" si="32"/>
        <v>208038.48822891442</v>
      </c>
      <c r="AK49" s="44">
        <f>HLOOKUP(I49,ElecAvoidedCostsWOCC!$A$5:$Q$50,G49+1,FALSE)*J49*L49</f>
        <v>0</v>
      </c>
      <c r="AL49" s="44">
        <f t="shared" si="33"/>
        <v>208038.48822891442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208038.48822891442</v>
      </c>
      <c r="AN49" s="48">
        <f t="shared" si="34"/>
        <v>228842.33705180587</v>
      </c>
      <c r="AO49" s="47">
        <f t="shared" si="35"/>
        <v>5.4395764395312387</v>
      </c>
      <c r="AP49" s="47">
        <f t="shared" si="36"/>
        <v>2.0251164112515911</v>
      </c>
      <c r="AQ49">
        <v>2021</v>
      </c>
    </row>
    <row r="50" spans="2:43">
      <c r="B50" s="97" t="s">
        <v>65</v>
      </c>
      <c r="C50" s="98">
        <v>18230711</v>
      </c>
      <c r="D50" s="61" t="s">
        <v>125</v>
      </c>
      <c r="E50" s="38" t="s">
        <v>1020</v>
      </c>
      <c r="F50" s="39" t="s">
        <v>1021</v>
      </c>
      <c r="G50" s="39">
        <v>5</v>
      </c>
      <c r="H50" s="39"/>
      <c r="I50" s="40" t="s">
        <v>256</v>
      </c>
      <c r="J50" s="41">
        <v>1</v>
      </c>
      <c r="K50" s="41"/>
      <c r="L50" s="41"/>
      <c r="M50" s="42">
        <v>1574</v>
      </c>
      <c r="N50" s="42">
        <v>1574</v>
      </c>
      <c r="O50" s="43">
        <v>0</v>
      </c>
      <c r="P50" s="44">
        <v>1574</v>
      </c>
      <c r="Q50" s="44">
        <v>1574</v>
      </c>
      <c r="R50" s="45"/>
      <c r="S50" s="46"/>
      <c r="T50" s="39">
        <f t="shared" si="19"/>
        <v>5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1574</v>
      </c>
      <c r="AB50" s="51">
        <f t="shared" si="27"/>
        <v>0</v>
      </c>
      <c r="AC50" s="44">
        <f t="shared" si="28"/>
        <v>1471.440590819856</v>
      </c>
      <c r="AD50" s="44">
        <f t="shared" si="29"/>
        <v>0</v>
      </c>
      <c r="AE50" s="44">
        <f t="shared" si="37"/>
        <v>0</v>
      </c>
      <c r="AF50" s="52">
        <f>HLOOKUP(I50,ElecAvoidedCostsWOCC!$A$5:$Q$50,G50+1,FALSE)</f>
        <v>0.35807218478063102</v>
      </c>
      <c r="AG50" s="44">
        <f t="shared" si="30"/>
        <v>0</v>
      </c>
      <c r="AH50" s="52">
        <f>HLOOKUP(I50,ElecAvoidedCostsWOCC!$A$5:$Q$50,T50+1,FALSE)</f>
        <v>0.35807218478063102</v>
      </c>
      <c r="AI50" s="44">
        <f t="shared" si="31"/>
        <v>0</v>
      </c>
      <c r="AJ50" s="44">
        <f t="shared" si="32"/>
        <v>0</v>
      </c>
      <c r="AK50" s="44">
        <f>HLOOKUP(I50,ElecAvoidedCostsWOCC!$A$5:$Q$50,G50+1,FALSE)*J50*L50</f>
        <v>0</v>
      </c>
      <c r="AL50" s="44">
        <f t="shared" si="33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4"/>
        <v>0</v>
      </c>
      <c r="AO50" s="47">
        <f t="shared" si="35"/>
        <v>0</v>
      </c>
      <c r="AP50" s="47">
        <f t="shared" si="36"/>
        <v>0</v>
      </c>
      <c r="AQ50">
        <v>2021</v>
      </c>
    </row>
    <row r="51" spans="2:43">
      <c r="B51" s="97" t="s">
        <v>65</v>
      </c>
      <c r="C51" s="98">
        <v>18230711</v>
      </c>
      <c r="D51" s="61" t="s">
        <v>125</v>
      </c>
      <c r="E51" s="38" t="s">
        <v>1022</v>
      </c>
      <c r="F51" s="39" t="s">
        <v>1023</v>
      </c>
      <c r="G51" s="39">
        <v>15</v>
      </c>
      <c r="H51" s="39"/>
      <c r="I51" s="40" t="s">
        <v>256</v>
      </c>
      <c r="J51" s="41">
        <v>1</v>
      </c>
      <c r="K51" s="41">
        <v>811961</v>
      </c>
      <c r="L51" s="41"/>
      <c r="M51" s="42">
        <v>385580</v>
      </c>
      <c r="N51" s="42">
        <v>544791.4</v>
      </c>
      <c r="O51" s="43">
        <v>811961</v>
      </c>
      <c r="P51" s="44">
        <v>385580</v>
      </c>
      <c r="Q51" s="44">
        <v>544791.4</v>
      </c>
      <c r="R51" s="45"/>
      <c r="S51" s="46"/>
      <c r="T51" s="39">
        <f t="shared" si="19"/>
        <v>15</v>
      </c>
      <c r="U51" s="47">
        <f t="shared" si="20"/>
        <v>0.63281463594940102</v>
      </c>
      <c r="V51" s="48">
        <f t="shared" si="21"/>
        <v>159211.40000000002</v>
      </c>
      <c r="W51" s="49">
        <f t="shared" si="22"/>
        <v>4.2187642396626736E-2</v>
      </c>
      <c r="X51" s="44">
        <f t="shared" si="23"/>
        <v>96123.767369970345</v>
      </c>
      <c r="Y51" s="44">
        <f t="shared" si="24"/>
        <v>159211.40000000002</v>
      </c>
      <c r="Z51" s="44">
        <f t="shared" si="25"/>
        <v>271858.96564118162</v>
      </c>
      <c r="AA51" s="50">
        <f t="shared" si="26"/>
        <v>640915.16736997035</v>
      </c>
      <c r="AB51" s="51">
        <f t="shared" si="27"/>
        <v>254145.05528763356</v>
      </c>
      <c r="AC51" s="44">
        <f t="shared" si="28"/>
        <v>599154.12486675731</v>
      </c>
      <c r="AD51" s="44">
        <f t="shared" si="29"/>
        <v>0</v>
      </c>
      <c r="AE51" s="44">
        <f t="shared" si="37"/>
        <v>0</v>
      </c>
      <c r="AF51" s="52">
        <f>HLOOKUP(I51,ElecAvoidedCostsWOCC!$A$5:$Q$50,G51+1,FALSE)</f>
        <v>1.0293963841416951</v>
      </c>
      <c r="AG51" s="44">
        <f t="shared" si="30"/>
        <v>835829.71746407484</v>
      </c>
      <c r="AH51" s="52">
        <f>HLOOKUP(I51,ElecAvoidedCostsWOCC!$A$5:$Q$50,T51+1,FALSE)</f>
        <v>1.0293963841416951</v>
      </c>
      <c r="AI51" s="44">
        <f t="shared" si="31"/>
        <v>0</v>
      </c>
      <c r="AJ51" s="44">
        <f t="shared" si="32"/>
        <v>835829.71746407484</v>
      </c>
      <c r="AK51" s="44">
        <f>HLOOKUP(I51,ElecAvoidedCostsWOCC!$A$5:$Q$50,G51+1,FALSE)*J51*L51</f>
        <v>0</v>
      </c>
      <c r="AL51" s="44">
        <f t="shared" si="33"/>
        <v>835829.71746407484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835829.71746407484</v>
      </c>
      <c r="AN51" s="48">
        <f t="shared" si="34"/>
        <v>919412.68921048241</v>
      </c>
      <c r="AO51" s="47">
        <f t="shared" si="35"/>
        <v>3.2887900042678715</v>
      </c>
      <c r="AP51" s="47">
        <f t="shared" si="36"/>
        <v>1.5345178328112916</v>
      </c>
      <c r="AQ51">
        <v>2021</v>
      </c>
    </row>
    <row r="52" spans="2:43">
      <c r="B52" s="97" t="s">
        <v>65</v>
      </c>
      <c r="C52" s="98">
        <v>18230711</v>
      </c>
      <c r="D52" s="61" t="s">
        <v>125</v>
      </c>
      <c r="E52" s="38" t="s">
        <v>1024</v>
      </c>
      <c r="F52" s="39" t="s">
        <v>1025</v>
      </c>
      <c r="G52" s="39">
        <v>5</v>
      </c>
      <c r="H52" s="39"/>
      <c r="I52" s="40" t="s">
        <v>256</v>
      </c>
      <c r="J52" s="41">
        <v>1</v>
      </c>
      <c r="K52" s="41"/>
      <c r="L52" s="41"/>
      <c r="M52" s="42">
        <v>4987</v>
      </c>
      <c r="N52" s="42">
        <v>4987</v>
      </c>
      <c r="O52" s="43">
        <v>0</v>
      </c>
      <c r="P52" s="44">
        <v>4987</v>
      </c>
      <c r="Q52" s="44">
        <v>4987</v>
      </c>
      <c r="R52" s="45"/>
      <c r="S52" s="46"/>
      <c r="T52" s="39">
        <f t="shared" si="19"/>
        <v>5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4987</v>
      </c>
      <c r="AB52" s="51">
        <f t="shared" si="27"/>
        <v>0</v>
      </c>
      <c r="AC52" s="44">
        <f t="shared" si="28"/>
        <v>4662.0547817144989</v>
      </c>
      <c r="AD52" s="44">
        <f t="shared" si="29"/>
        <v>0</v>
      </c>
      <c r="AE52" s="44">
        <f t="shared" si="37"/>
        <v>0</v>
      </c>
      <c r="AF52" s="52">
        <f>HLOOKUP(I52,ElecAvoidedCostsWOCC!$A$5:$Q$50,G52+1,FALSE)</f>
        <v>0.35807218478063102</v>
      </c>
      <c r="AG52" s="44">
        <f t="shared" si="30"/>
        <v>0</v>
      </c>
      <c r="AH52" s="52">
        <f>HLOOKUP(I52,ElecAvoidedCostsWOCC!$A$5:$Q$50,T52+1,FALSE)</f>
        <v>0.35807218478063102</v>
      </c>
      <c r="AI52" s="44">
        <f t="shared" si="31"/>
        <v>0</v>
      </c>
      <c r="AJ52" s="44">
        <f t="shared" si="32"/>
        <v>0</v>
      </c>
      <c r="AK52" s="44">
        <f>HLOOKUP(I52,ElecAvoidedCostsWOCC!$A$5:$Q$50,G52+1,FALSE)*J52*L52</f>
        <v>0</v>
      </c>
      <c r="AL52" s="44">
        <f t="shared" si="33"/>
        <v>0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4"/>
        <v>0</v>
      </c>
      <c r="AO52" s="47">
        <f t="shared" si="35"/>
        <v>0</v>
      </c>
      <c r="AP52" s="47">
        <f t="shared" si="36"/>
        <v>0</v>
      </c>
      <c r="AQ52">
        <v>2021</v>
      </c>
    </row>
    <row r="53" spans="2:43">
      <c r="B53" s="97" t="s">
        <v>65</v>
      </c>
      <c r="C53" s="98">
        <v>18230711</v>
      </c>
      <c r="D53" s="61" t="s">
        <v>125</v>
      </c>
      <c r="E53" s="38" t="s">
        <v>1026</v>
      </c>
      <c r="F53" s="39" t="s">
        <v>1027</v>
      </c>
      <c r="G53" s="39">
        <v>5</v>
      </c>
      <c r="H53" s="39"/>
      <c r="I53" s="40" t="s">
        <v>256</v>
      </c>
      <c r="J53" s="41">
        <v>1</v>
      </c>
      <c r="K53" s="41"/>
      <c r="L53" s="41"/>
      <c r="M53" s="42"/>
      <c r="N53" s="42"/>
      <c r="O53" s="43">
        <v>0</v>
      </c>
      <c r="P53" s="44">
        <v>0</v>
      </c>
      <c r="Q53" s="44">
        <v>0</v>
      </c>
      <c r="R53" s="45"/>
      <c r="S53" s="46"/>
      <c r="T53" s="39">
        <f t="shared" si="19"/>
        <v>5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7"/>
        <v>0</v>
      </c>
      <c r="AF53" s="52">
        <f>HLOOKUP(I53,ElecAvoidedCostsWOCC!$A$5:$Q$50,G53+1,FALSE)</f>
        <v>0.35807218478063102</v>
      </c>
      <c r="AG53" s="44">
        <f t="shared" si="30"/>
        <v>0</v>
      </c>
      <c r="AH53" s="52">
        <f>HLOOKUP(I53,ElecAvoidedCostsWOCC!$A$5:$Q$50,T53+1,FALSE)</f>
        <v>0.35807218478063102</v>
      </c>
      <c r="AI53" s="44">
        <f t="shared" si="31"/>
        <v>0</v>
      </c>
      <c r="AJ53" s="44">
        <f t="shared" si="32"/>
        <v>0</v>
      </c>
      <c r="AK53" s="44">
        <f>HLOOKUP(I53,ElecAvoidedCostsWOCC!$A$5:$Q$50,G53+1,FALSE)*J53*L53</f>
        <v>0</v>
      </c>
      <c r="AL53" s="44">
        <f t="shared" si="33"/>
        <v>0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4"/>
        <v>0</v>
      </c>
      <c r="AO53" s="47">
        <f t="shared" si="35"/>
        <v>0</v>
      </c>
      <c r="AP53" s="47" t="e">
        <f t="shared" si="36"/>
        <v>#DIV/0!</v>
      </c>
      <c r="AQ53">
        <v>2021</v>
      </c>
    </row>
    <row r="54" spans="2:43">
      <c r="B54" s="97" t="s">
        <v>65</v>
      </c>
      <c r="C54" s="98">
        <v>18230711</v>
      </c>
      <c r="D54" s="61" t="s">
        <v>125</v>
      </c>
      <c r="E54" s="38" t="s">
        <v>980</v>
      </c>
      <c r="F54" s="39" t="s">
        <v>981</v>
      </c>
      <c r="G54" s="39">
        <v>15</v>
      </c>
      <c r="H54" s="39"/>
      <c r="I54" s="40" t="s">
        <v>261</v>
      </c>
      <c r="J54" s="41">
        <v>1</v>
      </c>
      <c r="K54" s="41"/>
      <c r="L54" s="41"/>
      <c r="M54" s="42"/>
      <c r="N54" s="42"/>
      <c r="O54" s="43">
        <v>0</v>
      </c>
      <c r="P54" s="44">
        <v>0</v>
      </c>
      <c r="Q54" s="44">
        <v>0</v>
      </c>
      <c r="R54" s="45"/>
      <c r="S54" s="46"/>
      <c r="T54" s="39">
        <f t="shared" si="19"/>
        <v>15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7"/>
        <v>0</v>
      </c>
      <c r="AF54" s="52">
        <f>HLOOKUP(I54,ElecAvoidedCostsWOCC!$A$5:$Q$50,G54+1,FALSE)</f>
        <v>1.3787827893853604</v>
      </c>
      <c r="AG54" s="44">
        <f t="shared" si="30"/>
        <v>0</v>
      </c>
      <c r="AH54" s="52">
        <f>HLOOKUP(I54,ElecAvoidedCostsWOCC!$A$5:$Q$50,T54+1,FALSE)</f>
        <v>1.3787827893853604</v>
      </c>
      <c r="AI54" s="44">
        <f t="shared" si="31"/>
        <v>0</v>
      </c>
      <c r="AJ54" s="44">
        <f t="shared" si="32"/>
        <v>0</v>
      </c>
      <c r="AK54" s="44">
        <f>HLOOKUP(I54,ElecAvoidedCostsWOCC!$A$5:$Q$50,G54+1,FALSE)*J54*L54</f>
        <v>0</v>
      </c>
      <c r="AL54" s="44">
        <f t="shared" si="33"/>
        <v>0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4"/>
        <v>0</v>
      </c>
      <c r="AO54" s="47">
        <f t="shared" si="35"/>
        <v>0</v>
      </c>
      <c r="AP54" s="47" t="e">
        <f t="shared" si="36"/>
        <v>#DIV/0!</v>
      </c>
      <c r="AQ54">
        <v>2020</v>
      </c>
    </row>
    <row r="55" spans="2:43">
      <c r="B55" s="97" t="s">
        <v>65</v>
      </c>
      <c r="C55" s="98">
        <v>18230711</v>
      </c>
      <c r="D55" s="61" t="s">
        <v>125</v>
      </c>
      <c r="E55" s="38" t="s">
        <v>980</v>
      </c>
      <c r="F55" s="39" t="s">
        <v>981</v>
      </c>
      <c r="G55" s="39">
        <v>15</v>
      </c>
      <c r="H55" s="39"/>
      <c r="I55" s="40" t="s">
        <v>261</v>
      </c>
      <c r="J55" s="41">
        <v>1</v>
      </c>
      <c r="K55" s="41"/>
      <c r="L55" s="41"/>
      <c r="M55" s="42"/>
      <c r="N55" s="42"/>
      <c r="O55" s="43">
        <v>0</v>
      </c>
      <c r="P55" s="44">
        <v>0</v>
      </c>
      <c r="Q55" s="44">
        <v>0</v>
      </c>
      <c r="R55" s="45"/>
      <c r="S55" s="46"/>
      <c r="T55" s="39">
        <f t="shared" si="19"/>
        <v>15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7"/>
        <v>0</v>
      </c>
      <c r="AF55" s="52">
        <f>HLOOKUP(I55,ElecAvoidedCostsWOCC!$A$5:$Q$50,G55+1,FALSE)</f>
        <v>1.3787827893853604</v>
      </c>
      <c r="AG55" s="44">
        <f t="shared" si="30"/>
        <v>0</v>
      </c>
      <c r="AH55" s="52">
        <f>HLOOKUP(I55,ElecAvoidedCostsWOCC!$A$5:$Q$50,T55+1,FALSE)</f>
        <v>1.3787827893853604</v>
      </c>
      <c r="AI55" s="44">
        <f t="shared" si="31"/>
        <v>0</v>
      </c>
      <c r="AJ55" s="44">
        <f t="shared" si="32"/>
        <v>0</v>
      </c>
      <c r="AK55" s="44">
        <f>HLOOKUP(I55,ElecAvoidedCostsWOCC!$A$5:$Q$50,G55+1,FALSE)*J55*L55</f>
        <v>0</v>
      </c>
      <c r="AL55" s="44">
        <f t="shared" si="33"/>
        <v>0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4"/>
        <v>0</v>
      </c>
      <c r="AO55" s="47">
        <f t="shared" si="35"/>
        <v>0</v>
      </c>
      <c r="AP55" s="47" t="e">
        <f t="shared" si="36"/>
        <v>#DIV/0!</v>
      </c>
      <c r="AQ55">
        <v>2020</v>
      </c>
    </row>
    <row r="56" spans="2:43">
      <c r="B56" s="97" t="s">
        <v>65</v>
      </c>
      <c r="C56" s="98">
        <v>18230711</v>
      </c>
      <c r="D56" s="61" t="s">
        <v>125</v>
      </c>
      <c r="E56" s="38" t="s">
        <v>982</v>
      </c>
      <c r="F56" s="39" t="s">
        <v>983</v>
      </c>
      <c r="G56" s="39">
        <v>15</v>
      </c>
      <c r="H56" s="39"/>
      <c r="I56" s="40" t="s">
        <v>261</v>
      </c>
      <c r="J56" s="41">
        <v>1</v>
      </c>
      <c r="K56" s="41"/>
      <c r="L56" s="41"/>
      <c r="M56" s="42"/>
      <c r="N56" s="42"/>
      <c r="O56" s="43">
        <v>0</v>
      </c>
      <c r="P56" s="44">
        <v>0</v>
      </c>
      <c r="Q56" s="44">
        <v>0</v>
      </c>
      <c r="R56" s="45"/>
      <c r="S56" s="46"/>
      <c r="T56" s="39">
        <f t="shared" si="19"/>
        <v>15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7"/>
        <v>0</v>
      </c>
      <c r="AF56" s="52">
        <f>HLOOKUP(I56,ElecAvoidedCostsWOCC!$A$5:$Q$50,G56+1,FALSE)</f>
        <v>1.3787827893853604</v>
      </c>
      <c r="AG56" s="44">
        <f t="shared" si="30"/>
        <v>0</v>
      </c>
      <c r="AH56" s="52">
        <f>HLOOKUP(I56,ElecAvoidedCostsWOCC!$A$5:$Q$50,T56+1,FALSE)</f>
        <v>1.3787827893853604</v>
      </c>
      <c r="AI56" s="44">
        <f t="shared" si="31"/>
        <v>0</v>
      </c>
      <c r="AJ56" s="44">
        <f t="shared" si="32"/>
        <v>0</v>
      </c>
      <c r="AK56" s="44">
        <f>HLOOKUP(I56,ElecAvoidedCostsWOCC!$A$5:$Q$50,G56+1,FALSE)*J56*L56</f>
        <v>0</v>
      </c>
      <c r="AL56" s="44">
        <f t="shared" si="33"/>
        <v>0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4"/>
        <v>0</v>
      </c>
      <c r="AO56" s="47">
        <f t="shared" si="35"/>
        <v>0</v>
      </c>
      <c r="AP56" s="47" t="e">
        <f t="shared" si="36"/>
        <v>#DIV/0!</v>
      </c>
      <c r="AQ56">
        <v>2020</v>
      </c>
    </row>
    <row r="57" spans="2:43">
      <c r="B57" s="97" t="s">
        <v>65</v>
      </c>
      <c r="C57" s="98">
        <v>18230711</v>
      </c>
      <c r="D57" s="61" t="s">
        <v>125</v>
      </c>
      <c r="E57" s="38" t="s">
        <v>982</v>
      </c>
      <c r="F57" s="39" t="s">
        <v>983</v>
      </c>
      <c r="G57" s="39">
        <v>15</v>
      </c>
      <c r="H57" s="39"/>
      <c r="I57" s="40" t="s">
        <v>261</v>
      </c>
      <c r="J57" s="41">
        <v>1</v>
      </c>
      <c r="K57" s="41">
        <v>30637</v>
      </c>
      <c r="L57" s="41"/>
      <c r="M57" s="42">
        <v>6085</v>
      </c>
      <c r="N57" s="42">
        <v>8693</v>
      </c>
      <c r="O57" s="43">
        <v>30637</v>
      </c>
      <c r="P57" s="44">
        <v>6085</v>
      </c>
      <c r="Q57" s="44">
        <v>8693</v>
      </c>
      <c r="R57" s="45"/>
      <c r="S57" s="46"/>
      <c r="T57" s="39">
        <f t="shared" si="19"/>
        <v>15</v>
      </c>
      <c r="U57" s="47">
        <f t="shared" si="20"/>
        <v>2.3877430075560035E-2</v>
      </c>
      <c r="V57" s="48">
        <f t="shared" si="21"/>
        <v>2608</v>
      </c>
      <c r="W57" s="49">
        <f t="shared" si="22"/>
        <v>1.5918286717040023E-3</v>
      </c>
      <c r="X57" s="44">
        <f t="shared" si="23"/>
        <v>3626.9523547482963</v>
      </c>
      <c r="Y57" s="44">
        <f t="shared" si="24"/>
        <v>2608</v>
      </c>
      <c r="Z57" s="44">
        <f t="shared" si="25"/>
        <v>10257.811804198578</v>
      </c>
      <c r="AA57" s="50">
        <f t="shared" si="26"/>
        <v>12319.952354748297</v>
      </c>
      <c r="AB57" s="51">
        <f t="shared" si="27"/>
        <v>9589.428628773092</v>
      </c>
      <c r="AC57" s="44">
        <f t="shared" si="28"/>
        <v>11517.203285732725</v>
      </c>
      <c r="AD57" s="44">
        <f t="shared" si="29"/>
        <v>0</v>
      </c>
      <c r="AE57" s="44">
        <f t="shared" si="37"/>
        <v>0</v>
      </c>
      <c r="AF57" s="52">
        <f>HLOOKUP(I57,ElecAvoidedCostsWOCC!$A$5:$Q$50,G57+1,FALSE)</f>
        <v>1.3787827893853604</v>
      </c>
      <c r="AG57" s="44">
        <f t="shared" si="30"/>
        <v>42241.768318399285</v>
      </c>
      <c r="AH57" s="52">
        <f>HLOOKUP(I57,ElecAvoidedCostsWOCC!$A$5:$Q$50,T57+1,FALSE)</f>
        <v>1.3787827893853604</v>
      </c>
      <c r="AI57" s="44">
        <f t="shared" si="31"/>
        <v>0</v>
      </c>
      <c r="AJ57" s="44">
        <f t="shared" si="32"/>
        <v>42241.768318399285</v>
      </c>
      <c r="AK57" s="44">
        <f>HLOOKUP(I57,ElecAvoidedCostsWOCC!$A$5:$Q$50,G57+1,FALSE)*J57*L57</f>
        <v>0</v>
      </c>
      <c r="AL57" s="44">
        <f t="shared" si="33"/>
        <v>42241.768318399285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42241.768318399285</v>
      </c>
      <c r="AN57" s="48">
        <f t="shared" si="34"/>
        <v>46465.945150239218</v>
      </c>
      <c r="AO57" s="47">
        <f t="shared" si="35"/>
        <v>4.4050349560611783</v>
      </c>
      <c r="AP57" s="47">
        <f t="shared" si="36"/>
        <v>4.0344816356415514</v>
      </c>
      <c r="AQ57">
        <v>2020</v>
      </c>
    </row>
    <row r="58" spans="2:43">
      <c r="B58" s="97" t="s">
        <v>65</v>
      </c>
      <c r="C58" s="98">
        <v>18230711</v>
      </c>
      <c r="D58" s="61" t="s">
        <v>125</v>
      </c>
      <c r="E58" s="38" t="s">
        <v>982</v>
      </c>
      <c r="F58" s="39" t="s">
        <v>983</v>
      </c>
      <c r="G58" s="39">
        <v>15</v>
      </c>
      <c r="H58" s="39"/>
      <c r="I58" s="40" t="s">
        <v>261</v>
      </c>
      <c r="J58" s="41">
        <v>1</v>
      </c>
      <c r="K58" s="41">
        <v>223497</v>
      </c>
      <c r="L58" s="41"/>
      <c r="M58" s="42">
        <v>46805</v>
      </c>
      <c r="N58" s="42">
        <v>99408.59</v>
      </c>
      <c r="O58" s="43">
        <v>223497</v>
      </c>
      <c r="P58" s="44">
        <v>46805</v>
      </c>
      <c r="Q58" s="44">
        <v>99408.59</v>
      </c>
      <c r="R58" s="45"/>
      <c r="S58" s="46"/>
      <c r="T58" s="39">
        <f t="shared" si="19"/>
        <v>15</v>
      </c>
      <c r="U58" s="47">
        <f t="shared" si="20"/>
        <v>0.17418591864730362</v>
      </c>
      <c r="V58" s="48">
        <f t="shared" si="21"/>
        <v>52603.59</v>
      </c>
      <c r="W58" s="49">
        <f t="shared" si="22"/>
        <v>1.1612394576486908E-2</v>
      </c>
      <c r="X58" s="44">
        <f t="shared" si="23"/>
        <v>26458.627490589159</v>
      </c>
      <c r="Y58" s="44">
        <f t="shared" si="24"/>
        <v>52603.59</v>
      </c>
      <c r="Z58" s="44">
        <f t="shared" si="25"/>
        <v>74830.765571138487</v>
      </c>
      <c r="AA58" s="50">
        <f t="shared" si="26"/>
        <v>125867.21749058916</v>
      </c>
      <c r="AB58" s="51">
        <f t="shared" si="27"/>
        <v>69954.908452031857</v>
      </c>
      <c r="AC58" s="44">
        <f t="shared" si="28"/>
        <v>117665.90398297574</v>
      </c>
      <c r="AD58" s="44">
        <f t="shared" si="29"/>
        <v>0</v>
      </c>
      <c r="AE58" s="44">
        <f t="shared" si="37"/>
        <v>0</v>
      </c>
      <c r="AF58" s="52">
        <f>HLOOKUP(I58,ElecAvoidedCostsWOCC!$A$5:$Q$50,G58+1,FALSE)</f>
        <v>1.3787827893853604</v>
      </c>
      <c r="AG58" s="44">
        <f t="shared" si="30"/>
        <v>308153.8170792599</v>
      </c>
      <c r="AH58" s="52">
        <f>HLOOKUP(I58,ElecAvoidedCostsWOCC!$A$5:$Q$50,T58+1,FALSE)</f>
        <v>1.3787827893853604</v>
      </c>
      <c r="AI58" s="44">
        <f t="shared" si="31"/>
        <v>0</v>
      </c>
      <c r="AJ58" s="44">
        <f t="shared" si="32"/>
        <v>308153.8170792599</v>
      </c>
      <c r="AK58" s="44">
        <f>HLOOKUP(I58,ElecAvoidedCostsWOCC!$A$5:$Q$50,G58+1,FALSE)*J58*L58</f>
        <v>0</v>
      </c>
      <c r="AL58" s="44">
        <f t="shared" si="33"/>
        <v>308153.8170792599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308153.8170792599</v>
      </c>
      <c r="AN58" s="48">
        <f t="shared" si="34"/>
        <v>338969.19878718589</v>
      </c>
      <c r="AO58" s="47">
        <f t="shared" si="35"/>
        <v>4.4050349560611783</v>
      </c>
      <c r="AP58" s="47">
        <f t="shared" si="36"/>
        <v>2.8807767357673044</v>
      </c>
      <c r="AQ58">
        <v>2020</v>
      </c>
    </row>
    <row r="59" spans="2:43">
      <c r="B59" s="97" t="s">
        <v>65</v>
      </c>
      <c r="C59" s="98">
        <v>18230711</v>
      </c>
      <c r="D59" s="61" t="s">
        <v>125</v>
      </c>
      <c r="E59" s="38" t="s">
        <v>982</v>
      </c>
      <c r="F59" s="39" t="s">
        <v>983</v>
      </c>
      <c r="G59" s="39">
        <v>15</v>
      </c>
      <c r="H59" s="39"/>
      <c r="I59" s="40" t="s">
        <v>261</v>
      </c>
      <c r="J59" s="41">
        <v>1</v>
      </c>
      <c r="K59" s="41">
        <v>11482</v>
      </c>
      <c r="L59" s="41"/>
      <c r="M59" s="42">
        <v>27734</v>
      </c>
      <c r="N59" s="42">
        <v>62504</v>
      </c>
      <c r="O59" s="43">
        <v>11482</v>
      </c>
      <c r="P59" s="44">
        <v>27734</v>
      </c>
      <c r="Q59" s="44">
        <v>62504</v>
      </c>
      <c r="R59" s="45"/>
      <c r="S59" s="46"/>
      <c r="T59" s="39">
        <f t="shared" si="19"/>
        <v>15</v>
      </c>
      <c r="U59" s="47">
        <f t="shared" si="20"/>
        <v>8.9486781384463341E-3</v>
      </c>
      <c r="V59" s="48">
        <f t="shared" si="21"/>
        <v>34770</v>
      </c>
      <c r="W59" s="49">
        <f t="shared" si="22"/>
        <v>5.9657854256308892E-4</v>
      </c>
      <c r="X59" s="44">
        <f t="shared" si="23"/>
        <v>1359.2932381506002</v>
      </c>
      <c r="Y59" s="44">
        <f t="shared" si="24"/>
        <v>34770</v>
      </c>
      <c r="Z59" s="44">
        <f t="shared" si="25"/>
        <v>3844.377554454029</v>
      </c>
      <c r="AA59" s="50">
        <f t="shared" si="26"/>
        <v>63863.293238150603</v>
      </c>
      <c r="AB59" s="51">
        <f t="shared" si="27"/>
        <v>3593.8838501019245</v>
      </c>
      <c r="AC59" s="44">
        <f t="shared" si="28"/>
        <v>59702.059678555292</v>
      </c>
      <c r="AD59" s="44">
        <f t="shared" si="29"/>
        <v>0</v>
      </c>
      <c r="AE59" s="44">
        <f t="shared" si="37"/>
        <v>0</v>
      </c>
      <c r="AF59" s="52">
        <f>HLOOKUP(I59,ElecAvoidedCostsWOCC!$A$5:$Q$50,G59+1,FALSE)</f>
        <v>1.3787827893853604</v>
      </c>
      <c r="AG59" s="44">
        <f t="shared" si="30"/>
        <v>15831.183987722708</v>
      </c>
      <c r="AH59" s="52">
        <f>HLOOKUP(I59,ElecAvoidedCostsWOCC!$A$5:$Q$50,T59+1,FALSE)</f>
        <v>1.3787827893853604</v>
      </c>
      <c r="AI59" s="44">
        <f t="shared" si="31"/>
        <v>0</v>
      </c>
      <c r="AJ59" s="44">
        <f t="shared" si="32"/>
        <v>15831.183987722708</v>
      </c>
      <c r="AK59" s="44">
        <f>HLOOKUP(I59,ElecAvoidedCostsWOCC!$A$5:$Q$50,G59+1,FALSE)*J59*L59</f>
        <v>0</v>
      </c>
      <c r="AL59" s="44">
        <f t="shared" si="33"/>
        <v>15831.183987722708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15831.183987722708</v>
      </c>
      <c r="AN59" s="48">
        <f t="shared" si="34"/>
        <v>17414.302386494979</v>
      </c>
      <c r="AO59" s="47">
        <f t="shared" si="35"/>
        <v>4.4050349560611783</v>
      </c>
      <c r="AP59" s="47">
        <f t="shared" si="36"/>
        <v>0.29168679406131304</v>
      </c>
      <c r="AQ59">
        <v>2020</v>
      </c>
    </row>
    <row r="60" spans="2:43">
      <c r="B60" s="97" t="s">
        <v>65</v>
      </c>
      <c r="C60" s="98">
        <v>18230711</v>
      </c>
      <c r="D60" s="61" t="s">
        <v>125</v>
      </c>
      <c r="E60" s="38" t="s">
        <v>2088</v>
      </c>
      <c r="F60" s="39" t="s">
        <v>2089</v>
      </c>
      <c r="G60" s="39">
        <v>15</v>
      </c>
      <c r="H60" s="39"/>
      <c r="I60" s="40" t="s">
        <v>261</v>
      </c>
      <c r="J60" s="41">
        <v>1</v>
      </c>
      <c r="K60" s="41">
        <v>2805033</v>
      </c>
      <c r="L60" s="41"/>
      <c r="M60" s="42">
        <v>735747</v>
      </c>
      <c r="N60" s="42">
        <v>1686634</v>
      </c>
      <c r="O60" s="43">
        <v>2805033</v>
      </c>
      <c r="P60" s="44">
        <v>735747</v>
      </c>
      <c r="Q60" s="44">
        <v>1686634</v>
      </c>
      <c r="R60" s="45"/>
      <c r="S60" s="46"/>
      <c r="T60" s="39">
        <f t="shared" si="19"/>
        <v>15</v>
      </c>
      <c r="U60" s="47">
        <f t="shared" si="20"/>
        <v>2.1861467936527204</v>
      </c>
      <c r="V60" s="48">
        <f t="shared" si="21"/>
        <v>950887</v>
      </c>
      <c r="W60" s="49">
        <f t="shared" si="22"/>
        <v>0.14574311957684802</v>
      </c>
      <c r="X60" s="44">
        <f t="shared" si="23"/>
        <v>332073.0177398792</v>
      </c>
      <c r="Y60" s="44">
        <f t="shared" si="24"/>
        <v>950887</v>
      </c>
      <c r="Z60" s="44">
        <f t="shared" si="25"/>
        <v>939174.87412496505</v>
      </c>
      <c r="AA60" s="50">
        <f t="shared" si="26"/>
        <v>2018707.0177398792</v>
      </c>
      <c r="AB60" s="51">
        <f t="shared" si="27"/>
        <v>877979.6897494297</v>
      </c>
      <c r="AC60" s="44">
        <f t="shared" si="28"/>
        <v>1887171.1860707479</v>
      </c>
      <c r="AD60" s="44">
        <f t="shared" si="29"/>
        <v>0</v>
      </c>
      <c r="AE60" s="44">
        <f t="shared" si="37"/>
        <v>0</v>
      </c>
      <c r="AF60" s="52">
        <f>HLOOKUP(I60,ElecAvoidedCostsWOCC!$A$5:$Q$50,G60+1,FALSE)</f>
        <v>1.3787827893853604</v>
      </c>
      <c r="AG60" s="44">
        <f t="shared" si="30"/>
        <v>3867531.2240579855</v>
      </c>
      <c r="AH60" s="52">
        <f>HLOOKUP(I60,ElecAvoidedCostsWOCC!$A$5:$Q$50,T60+1,FALSE)</f>
        <v>1.3787827893853604</v>
      </c>
      <c r="AI60" s="44">
        <f t="shared" si="31"/>
        <v>0</v>
      </c>
      <c r="AJ60" s="44">
        <f t="shared" si="32"/>
        <v>3867531.2240579855</v>
      </c>
      <c r="AK60" s="44">
        <f>HLOOKUP(I60,ElecAvoidedCostsWOCC!$A$5:$Q$50,G60+1,FALSE)*J60*L60</f>
        <v>0</v>
      </c>
      <c r="AL60" s="44">
        <f t="shared" si="33"/>
        <v>3867531.2240579855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3867531.2240579855</v>
      </c>
      <c r="AN60" s="48">
        <f t="shared" si="34"/>
        <v>4254284.3464637846</v>
      </c>
      <c r="AO60" s="47">
        <f t="shared" si="35"/>
        <v>4.4050349560611775</v>
      </c>
      <c r="AP60" s="47">
        <f t="shared" si="36"/>
        <v>2.2543181974506346</v>
      </c>
      <c r="AQ60">
        <v>2020</v>
      </c>
    </row>
    <row r="61" spans="2:43">
      <c r="B61" s="97" t="s">
        <v>65</v>
      </c>
      <c r="C61" s="98">
        <v>18230711</v>
      </c>
      <c r="D61" s="61" t="s">
        <v>125</v>
      </c>
      <c r="E61" s="38" t="s">
        <v>1054</v>
      </c>
      <c r="F61" s="39" t="s">
        <v>1055</v>
      </c>
      <c r="G61" s="39">
        <v>15</v>
      </c>
      <c r="H61" s="39"/>
      <c r="I61" s="40" t="s">
        <v>255</v>
      </c>
      <c r="J61" s="41">
        <v>1</v>
      </c>
      <c r="K61" s="41"/>
      <c r="L61" s="41"/>
      <c r="M61" s="42"/>
      <c r="N61" s="42"/>
      <c r="O61" s="43">
        <v>0</v>
      </c>
      <c r="P61" s="44">
        <v>0</v>
      </c>
      <c r="Q61" s="44">
        <v>0</v>
      </c>
      <c r="R61" s="45"/>
      <c r="S61" s="46"/>
      <c r="T61" s="39">
        <f t="shared" si="19"/>
        <v>15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7"/>
        <v>0</v>
      </c>
      <c r="AF61" s="52">
        <f>HLOOKUP(I61,ElecAvoidedCostsWOCC!$A$5:$Q$50,G61+1,FALSE)</f>
        <v>1.0178775471043147</v>
      </c>
      <c r="AG61" s="44">
        <f t="shared" si="30"/>
        <v>0</v>
      </c>
      <c r="AH61" s="52">
        <f>HLOOKUP(I61,ElecAvoidedCostsWOCC!$A$5:$Q$50,T61+1,FALSE)</f>
        <v>1.0178775471043147</v>
      </c>
      <c r="AI61" s="44">
        <f t="shared" si="31"/>
        <v>0</v>
      </c>
      <c r="AJ61" s="44">
        <f t="shared" si="32"/>
        <v>0</v>
      </c>
      <c r="AK61" s="44">
        <f>HLOOKUP(I61,ElecAvoidedCostsWOCC!$A$5:$Q$50,G61+1,FALSE)*J61*L61</f>
        <v>0</v>
      </c>
      <c r="AL61" s="44">
        <f t="shared" si="33"/>
        <v>0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4"/>
        <v>0</v>
      </c>
      <c r="AO61" s="47">
        <f t="shared" si="35"/>
        <v>0</v>
      </c>
      <c r="AP61" s="47" t="e">
        <f t="shared" si="36"/>
        <v>#DIV/0!</v>
      </c>
      <c r="AQ61">
        <v>2020</v>
      </c>
    </row>
    <row r="62" spans="2:43">
      <c r="B62" s="97" t="s">
        <v>65</v>
      </c>
      <c r="C62" s="98">
        <v>18230711</v>
      </c>
      <c r="D62" s="61" t="s">
        <v>125</v>
      </c>
      <c r="E62" s="38" t="s">
        <v>988</v>
      </c>
      <c r="F62" s="39" t="s">
        <v>989</v>
      </c>
      <c r="G62" s="39">
        <v>10</v>
      </c>
      <c r="H62" s="39"/>
      <c r="I62" s="40" t="s">
        <v>261</v>
      </c>
      <c r="J62" s="41">
        <v>1</v>
      </c>
      <c r="K62" s="41">
        <v>161852</v>
      </c>
      <c r="L62" s="41"/>
      <c r="M62" s="42">
        <v>48556</v>
      </c>
      <c r="N62" s="42">
        <v>48556</v>
      </c>
      <c r="O62" s="43">
        <v>161852</v>
      </c>
      <c r="P62" s="44">
        <v>48556</v>
      </c>
      <c r="Q62" s="44">
        <v>48556</v>
      </c>
      <c r="R62" s="45"/>
      <c r="S62" s="46"/>
      <c r="T62" s="39">
        <f t="shared" si="19"/>
        <v>10</v>
      </c>
      <c r="U62" s="47">
        <f t="shared" si="20"/>
        <v>8.4094609189096906E-2</v>
      </c>
      <c r="V62" s="48">
        <f t="shared" si="21"/>
        <v>0</v>
      </c>
      <c r="W62" s="49">
        <f t="shared" si="22"/>
        <v>8.4094609189096902E-3</v>
      </c>
      <c r="X62" s="44">
        <f t="shared" si="23"/>
        <v>19160.80205374943</v>
      </c>
      <c r="Y62" s="44">
        <f t="shared" si="24"/>
        <v>0</v>
      </c>
      <c r="Z62" s="44">
        <f t="shared" si="25"/>
        <v>54190.924572678407</v>
      </c>
      <c r="AA62" s="50">
        <f t="shared" si="26"/>
        <v>67716.80205374943</v>
      </c>
      <c r="AB62" s="51">
        <f t="shared" si="27"/>
        <v>50659.9276177231</v>
      </c>
      <c r="AC62" s="44">
        <f t="shared" si="28"/>
        <v>63304.479810927762</v>
      </c>
      <c r="AD62" s="44">
        <f t="shared" si="29"/>
        <v>0</v>
      </c>
      <c r="AE62" s="44">
        <f t="shared" si="37"/>
        <v>0</v>
      </c>
      <c r="AF62" s="52">
        <f>HLOOKUP(I62,ElecAvoidedCostsWOCC!$A$5:$Q$50,G62+1,FALSE)</f>
        <v>0.97334887994043018</v>
      </c>
      <c r="AG62" s="44">
        <f t="shared" si="30"/>
        <v>157538.4629161185</v>
      </c>
      <c r="AH62" s="52">
        <f>HLOOKUP(I62,ElecAvoidedCostsWOCC!$A$5:$Q$50,T62+1,FALSE)</f>
        <v>0.97334887994043018</v>
      </c>
      <c r="AI62" s="44">
        <f t="shared" si="31"/>
        <v>0</v>
      </c>
      <c r="AJ62" s="44">
        <f t="shared" si="32"/>
        <v>157538.4629161185</v>
      </c>
      <c r="AK62" s="44">
        <f>HLOOKUP(I62,ElecAvoidedCostsWOCC!$A$5:$Q$50,G62+1,FALSE)*J62*L62</f>
        <v>0</v>
      </c>
      <c r="AL62" s="44">
        <f t="shared" si="33"/>
        <v>157538.4629161185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157538.4629161185</v>
      </c>
      <c r="AN62" s="48">
        <f t="shared" si="34"/>
        <v>173292.30920773037</v>
      </c>
      <c r="AO62" s="47">
        <f t="shared" si="35"/>
        <v>3.1097253850201816</v>
      </c>
      <c r="AP62" s="47">
        <f t="shared" si="36"/>
        <v>2.7374414847938815</v>
      </c>
      <c r="AQ62">
        <v>2020</v>
      </c>
    </row>
    <row r="63" spans="2:43">
      <c r="B63" s="97" t="s">
        <v>65</v>
      </c>
      <c r="C63" s="98">
        <v>18230711</v>
      </c>
      <c r="D63" s="61" t="s">
        <v>125</v>
      </c>
      <c r="E63" s="38" t="s">
        <v>988</v>
      </c>
      <c r="F63" s="39" t="s">
        <v>989</v>
      </c>
      <c r="G63" s="39">
        <v>10</v>
      </c>
      <c r="H63" s="39"/>
      <c r="I63" s="40" t="s">
        <v>261</v>
      </c>
      <c r="J63" s="41">
        <v>1</v>
      </c>
      <c r="K63" s="41">
        <v>115231</v>
      </c>
      <c r="L63" s="41"/>
      <c r="M63" s="42">
        <v>34569</v>
      </c>
      <c r="N63" s="42">
        <v>34569</v>
      </c>
      <c r="O63" s="43">
        <v>115231</v>
      </c>
      <c r="P63" s="44">
        <v>34569</v>
      </c>
      <c r="Q63" s="44">
        <v>34569</v>
      </c>
      <c r="R63" s="45"/>
      <c r="S63" s="46"/>
      <c r="T63" s="39">
        <f t="shared" si="19"/>
        <v>10</v>
      </c>
      <c r="U63" s="47">
        <f t="shared" si="20"/>
        <v>5.9871400486054077E-2</v>
      </c>
      <c r="V63" s="48">
        <f t="shared" si="21"/>
        <v>0</v>
      </c>
      <c r="W63" s="49">
        <f t="shared" si="22"/>
        <v>5.9871400486054081E-3</v>
      </c>
      <c r="X63" s="44">
        <f t="shared" si="23"/>
        <v>13641.588497241928</v>
      </c>
      <c r="Y63" s="44">
        <f t="shared" si="24"/>
        <v>0</v>
      </c>
      <c r="Z63" s="44">
        <f t="shared" si="25"/>
        <v>38581.385645122122</v>
      </c>
      <c r="AA63" s="50">
        <f t="shared" si="26"/>
        <v>48210.58849724193</v>
      </c>
      <c r="AB63" s="51">
        <f t="shared" si="27"/>
        <v>36067.482139966458</v>
      </c>
      <c r="AC63" s="44">
        <f t="shared" si="28"/>
        <v>45069.261005180822</v>
      </c>
      <c r="AD63" s="44">
        <f t="shared" si="29"/>
        <v>0</v>
      </c>
      <c r="AE63" s="44">
        <f t="shared" si="37"/>
        <v>0</v>
      </c>
      <c r="AF63" s="52">
        <f>HLOOKUP(I63,ElecAvoidedCostsWOCC!$A$5:$Q$50,G63+1,FALSE)</f>
        <v>0.97334887994043018</v>
      </c>
      <c r="AG63" s="44">
        <f t="shared" si="30"/>
        <v>112159.96478441572</v>
      </c>
      <c r="AH63" s="52">
        <f>HLOOKUP(I63,ElecAvoidedCostsWOCC!$A$5:$Q$50,T63+1,FALSE)</f>
        <v>0.97334887994043018</v>
      </c>
      <c r="AI63" s="44">
        <f t="shared" si="31"/>
        <v>0</v>
      </c>
      <c r="AJ63" s="44">
        <f t="shared" si="32"/>
        <v>112159.96478441572</v>
      </c>
      <c r="AK63" s="44">
        <f>HLOOKUP(I63,ElecAvoidedCostsWOCC!$A$5:$Q$50,G63+1,FALSE)*J63*L63</f>
        <v>0</v>
      </c>
      <c r="AL63" s="44">
        <f t="shared" si="33"/>
        <v>112159.96478441572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112159.96478441572</v>
      </c>
      <c r="AN63" s="48">
        <f t="shared" si="34"/>
        <v>123375.96126285729</v>
      </c>
      <c r="AO63" s="47">
        <f t="shared" si="35"/>
        <v>3.1097253850201816</v>
      </c>
      <c r="AP63" s="47">
        <f t="shared" si="36"/>
        <v>2.7374746892050199</v>
      </c>
      <c r="AQ63">
        <v>2020</v>
      </c>
    </row>
    <row r="64" spans="2:43">
      <c r="B64" s="97" t="s">
        <v>65</v>
      </c>
      <c r="C64" s="98">
        <v>18230711</v>
      </c>
      <c r="D64" s="61" t="s">
        <v>125</v>
      </c>
      <c r="E64" s="38" t="s">
        <v>988</v>
      </c>
      <c r="F64" s="39" t="s">
        <v>989</v>
      </c>
      <c r="G64" s="39">
        <v>10</v>
      </c>
      <c r="H64" s="39"/>
      <c r="I64" s="40" t="s">
        <v>261</v>
      </c>
      <c r="J64" s="41">
        <v>1</v>
      </c>
      <c r="K64" s="41">
        <v>48450</v>
      </c>
      <c r="L64" s="41"/>
      <c r="M64" s="42">
        <v>14535</v>
      </c>
      <c r="N64" s="42">
        <v>14535</v>
      </c>
      <c r="O64" s="43">
        <v>48450</v>
      </c>
      <c r="P64" s="44">
        <v>14535</v>
      </c>
      <c r="Q64" s="44">
        <v>14535</v>
      </c>
      <c r="R64" s="45"/>
      <c r="S64" s="46"/>
      <c r="T64" s="39">
        <f t="shared" si="19"/>
        <v>10</v>
      </c>
      <c r="U64" s="47">
        <f t="shared" si="20"/>
        <v>2.517351540426899E-2</v>
      </c>
      <c r="V64" s="48">
        <f t="shared" si="21"/>
        <v>0</v>
      </c>
      <c r="W64" s="49">
        <f t="shared" si="22"/>
        <v>2.5173515404268991E-3</v>
      </c>
      <c r="X64" s="44">
        <f t="shared" si="23"/>
        <v>5735.7391907678611</v>
      </c>
      <c r="Y64" s="44">
        <f t="shared" si="24"/>
        <v>0</v>
      </c>
      <c r="Z64" s="44">
        <f t="shared" si="25"/>
        <v>16221.920616033591</v>
      </c>
      <c r="AA64" s="50">
        <f t="shared" si="26"/>
        <v>20270.739190767861</v>
      </c>
      <c r="AB64" s="51">
        <f t="shared" si="27"/>
        <v>15164.925321149471</v>
      </c>
      <c r="AC64" s="44">
        <f t="shared" si="28"/>
        <v>18949.929130380347</v>
      </c>
      <c r="AD64" s="44">
        <f t="shared" si="29"/>
        <v>0</v>
      </c>
      <c r="AE64" s="44">
        <f t="shared" si="37"/>
        <v>0</v>
      </c>
      <c r="AF64" s="52">
        <f>HLOOKUP(I64,ElecAvoidedCostsWOCC!$A$5:$Q$50,G64+1,FALSE)</f>
        <v>0.97334887994043018</v>
      </c>
      <c r="AG64" s="44">
        <f t="shared" si="30"/>
        <v>47158.753233113843</v>
      </c>
      <c r="AH64" s="52">
        <f>HLOOKUP(I64,ElecAvoidedCostsWOCC!$A$5:$Q$50,T64+1,FALSE)</f>
        <v>0.97334887994043018</v>
      </c>
      <c r="AI64" s="44">
        <f t="shared" si="31"/>
        <v>0</v>
      </c>
      <c r="AJ64" s="44">
        <f t="shared" si="32"/>
        <v>47158.753233113843</v>
      </c>
      <c r="AK64" s="44">
        <f>HLOOKUP(I64,ElecAvoidedCostsWOCC!$A$5:$Q$50,G64+1,FALSE)*J64*L64</f>
        <v>0</v>
      </c>
      <c r="AL64" s="44">
        <f t="shared" si="33"/>
        <v>47158.753233113843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47158.753233113843</v>
      </c>
      <c r="AN64" s="48">
        <f t="shared" si="34"/>
        <v>51874.628556425232</v>
      </c>
      <c r="AO64" s="47">
        <f t="shared" si="35"/>
        <v>3.109725385020182</v>
      </c>
      <c r="AP64" s="47">
        <f t="shared" si="36"/>
        <v>2.7374576548289205</v>
      </c>
      <c r="AQ64">
        <v>2020</v>
      </c>
    </row>
    <row r="65" spans="2:43">
      <c r="B65" s="97" t="s">
        <v>65</v>
      </c>
      <c r="C65" s="98">
        <v>18230711</v>
      </c>
      <c r="D65" s="61" t="s">
        <v>125</v>
      </c>
      <c r="E65" s="38" t="s">
        <v>2090</v>
      </c>
      <c r="F65" s="39" t="s">
        <v>2091</v>
      </c>
      <c r="G65" s="39">
        <v>15</v>
      </c>
      <c r="H65" s="39"/>
      <c r="I65" s="40" t="s">
        <v>261</v>
      </c>
      <c r="J65" s="41">
        <v>1</v>
      </c>
      <c r="K65" s="41"/>
      <c r="L65" s="41"/>
      <c r="M65" s="42"/>
      <c r="N65" s="42"/>
      <c r="O65" s="43">
        <v>0</v>
      </c>
      <c r="P65" s="44">
        <v>0</v>
      </c>
      <c r="Q65" s="44">
        <v>0</v>
      </c>
      <c r="R65" s="45"/>
      <c r="S65" s="46"/>
      <c r="T65" s="39">
        <f t="shared" si="19"/>
        <v>15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7"/>
        <v>0</v>
      </c>
      <c r="AF65" s="52">
        <f>HLOOKUP(I65,ElecAvoidedCostsWOCC!$A$5:$Q$50,G65+1,FALSE)</f>
        <v>1.3787827893853604</v>
      </c>
      <c r="AG65" s="44">
        <f t="shared" si="30"/>
        <v>0</v>
      </c>
      <c r="AH65" s="52">
        <f>HLOOKUP(I65,ElecAvoidedCostsWOCC!$A$5:$Q$50,T65+1,FALSE)</f>
        <v>1.3787827893853604</v>
      </c>
      <c r="AI65" s="44">
        <f t="shared" si="31"/>
        <v>0</v>
      </c>
      <c r="AJ65" s="44">
        <f t="shared" si="32"/>
        <v>0</v>
      </c>
      <c r="AK65" s="44">
        <f>HLOOKUP(I65,ElecAvoidedCostsWOCC!$A$5:$Q$50,G65+1,FALSE)*J65*L65</f>
        <v>0</v>
      </c>
      <c r="AL65" s="44">
        <f t="shared" si="33"/>
        <v>0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4"/>
        <v>0</v>
      </c>
      <c r="AO65" s="47">
        <f t="shared" si="35"/>
        <v>0</v>
      </c>
      <c r="AP65" s="47" t="e">
        <f t="shared" si="36"/>
        <v>#DIV/0!</v>
      </c>
      <c r="AQ65">
        <v>2020</v>
      </c>
    </row>
    <row r="66" spans="2:43">
      <c r="B66" s="97" t="s">
        <v>65</v>
      </c>
      <c r="C66" s="98">
        <v>18230711</v>
      </c>
      <c r="D66" s="61" t="s">
        <v>125</v>
      </c>
      <c r="E66" s="38" t="s">
        <v>2090</v>
      </c>
      <c r="F66" s="39" t="s">
        <v>2091</v>
      </c>
      <c r="G66" s="39">
        <v>15</v>
      </c>
      <c r="H66" s="39"/>
      <c r="I66" s="40" t="s">
        <v>261</v>
      </c>
      <c r="J66" s="41">
        <v>1</v>
      </c>
      <c r="K66" s="41">
        <v>12441</v>
      </c>
      <c r="L66" s="41"/>
      <c r="M66" s="42">
        <v>3732</v>
      </c>
      <c r="N66" s="42">
        <v>8604.0400000000009</v>
      </c>
      <c r="O66" s="43">
        <v>12441</v>
      </c>
      <c r="P66" s="44">
        <v>3732</v>
      </c>
      <c r="Q66" s="44">
        <v>8604.0400000000009</v>
      </c>
      <c r="R66" s="45"/>
      <c r="S66" s="46"/>
      <c r="T66" s="39">
        <f t="shared" si="19"/>
        <v>15</v>
      </c>
      <c r="U66" s="47">
        <f t="shared" si="20"/>
        <v>9.6960899425545064E-3</v>
      </c>
      <c r="V66" s="48">
        <f t="shared" si="21"/>
        <v>4872.0400000000009</v>
      </c>
      <c r="W66" s="49">
        <f t="shared" si="22"/>
        <v>6.464059961703004E-4</v>
      </c>
      <c r="X66" s="44">
        <f t="shared" si="23"/>
        <v>1472.8241748677599</v>
      </c>
      <c r="Y66" s="44">
        <f t="shared" si="24"/>
        <v>4872.0400000000009</v>
      </c>
      <c r="Z66" s="44">
        <f t="shared" si="25"/>
        <v>4165.4677891449728</v>
      </c>
      <c r="AA66" s="50">
        <f t="shared" si="26"/>
        <v>10076.86417486776</v>
      </c>
      <c r="AB66" s="51">
        <f t="shared" ref="AB66:AC68" si="38">Z66/(1+ElecDiscountRate)^1</f>
        <v>3894.0523409787534</v>
      </c>
      <c r="AC66" s="44">
        <f t="shared" si="38"/>
        <v>9420.2712675215098</v>
      </c>
      <c r="AD66" s="44">
        <f t="shared" si="29"/>
        <v>0</v>
      </c>
      <c r="AE66" s="44">
        <f t="shared" si="37"/>
        <v>0</v>
      </c>
      <c r="AF66" s="52">
        <f>HLOOKUP(I66,ElecAvoidedCostsWOCC!$A$5:$Q$50,G66+1,FALSE)</f>
        <v>1.3787827893853604</v>
      </c>
      <c r="AG66" s="44">
        <f t="shared" si="30"/>
        <v>17153.436682743268</v>
      </c>
      <c r="AH66" s="52">
        <f>HLOOKUP(I66,ElecAvoidedCostsWOCC!$A$5:$Q$50,T66+1,FALSE)</f>
        <v>1.3787827893853604</v>
      </c>
      <c r="AI66" s="44">
        <f t="shared" si="31"/>
        <v>0</v>
      </c>
      <c r="AJ66" s="44">
        <f t="shared" si="32"/>
        <v>17153.436682743268</v>
      </c>
      <c r="AK66" s="44">
        <f>HLOOKUP(I66,ElecAvoidedCostsWOCC!$A$5:$Q$50,G66+1,FALSE)*J66*L66</f>
        <v>0</v>
      </c>
      <c r="AL66" s="44">
        <f t="shared" si="33"/>
        <v>17153.436682743268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17153.436682743268</v>
      </c>
      <c r="AN66" s="48">
        <f t="shared" si="34"/>
        <v>18868.780351017595</v>
      </c>
      <c r="AO66" s="47">
        <f t="shared" si="35"/>
        <v>4.4050349560611775</v>
      </c>
      <c r="AP66" s="47">
        <f t="shared" si="36"/>
        <v>2.0029975586872886</v>
      </c>
      <c r="AQ66">
        <v>2020</v>
      </c>
    </row>
    <row r="67" spans="2:43">
      <c r="B67" s="97" t="s">
        <v>65</v>
      </c>
      <c r="C67" s="98">
        <v>18230711</v>
      </c>
      <c r="D67" s="61" t="s">
        <v>125</v>
      </c>
      <c r="E67" s="38" t="s">
        <v>990</v>
      </c>
      <c r="F67" s="39" t="s">
        <v>991</v>
      </c>
      <c r="G67" s="39">
        <v>15</v>
      </c>
      <c r="H67" s="39"/>
      <c r="I67" s="40" t="s">
        <v>261</v>
      </c>
      <c r="J67" s="41">
        <v>1</v>
      </c>
      <c r="K67" s="41"/>
      <c r="L67" s="41"/>
      <c r="M67" s="42"/>
      <c r="N67" s="42"/>
      <c r="O67" s="43">
        <v>0</v>
      </c>
      <c r="P67" s="44">
        <v>0</v>
      </c>
      <c r="Q67" s="44">
        <v>0</v>
      </c>
      <c r="R67" s="45"/>
      <c r="S67" s="46"/>
      <c r="T67" s="39">
        <f t="shared" si="19"/>
        <v>15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38"/>
        <v>0</v>
      </c>
      <c r="AC67" s="44">
        <f t="shared" si="38"/>
        <v>0</v>
      </c>
      <c r="AD67" s="44">
        <f t="shared" si="29"/>
        <v>0</v>
      </c>
      <c r="AE67" s="44">
        <f t="shared" si="37"/>
        <v>0</v>
      </c>
      <c r="AF67" s="52">
        <f>HLOOKUP(I67,ElecAvoidedCostsWOCC!$A$5:$Q$50,G67+1,FALSE)</f>
        <v>1.3787827893853604</v>
      </c>
      <c r="AG67" s="44">
        <f t="shared" si="30"/>
        <v>0</v>
      </c>
      <c r="AH67" s="52">
        <f>HLOOKUP(I67,ElecAvoidedCostsWOCC!$A$5:$Q$50,T67+1,FALSE)</f>
        <v>1.3787827893853604</v>
      </c>
      <c r="AI67" s="44">
        <f t="shared" si="31"/>
        <v>0</v>
      </c>
      <c r="AJ67" s="44">
        <f t="shared" si="32"/>
        <v>0</v>
      </c>
      <c r="AK67" s="44">
        <f>HLOOKUP(I67,ElecAvoidedCostsWOCC!$A$5:$Q$50,G67+1,FALSE)*J67*L67</f>
        <v>0</v>
      </c>
      <c r="AL67" s="44">
        <f t="shared" si="33"/>
        <v>0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4"/>
        <v>0</v>
      </c>
      <c r="AO67" s="47">
        <f t="shared" si="35"/>
        <v>0</v>
      </c>
      <c r="AP67" s="47" t="e">
        <f t="shared" si="36"/>
        <v>#DIV/0!</v>
      </c>
      <c r="AQ67">
        <v>2020</v>
      </c>
    </row>
    <row r="68" spans="2:43">
      <c r="B68" s="97" t="s">
        <v>65</v>
      </c>
      <c r="C68" s="98">
        <v>18230711</v>
      </c>
      <c r="D68" s="61" t="s">
        <v>125</v>
      </c>
      <c r="E68" s="38" t="s">
        <v>990</v>
      </c>
      <c r="F68" s="39" t="s">
        <v>991</v>
      </c>
      <c r="G68" s="39">
        <v>15</v>
      </c>
      <c r="H68" s="39"/>
      <c r="I68" s="40" t="s">
        <v>261</v>
      </c>
      <c r="J68" s="41">
        <v>1</v>
      </c>
      <c r="K68" s="41"/>
      <c r="L68" s="41"/>
      <c r="M68" s="42"/>
      <c r="N68" s="42"/>
      <c r="O68" s="43">
        <v>0</v>
      </c>
      <c r="P68" s="44">
        <v>0</v>
      </c>
      <c r="Q68" s="44">
        <v>0</v>
      </c>
      <c r="R68" s="45"/>
      <c r="S68" s="46"/>
      <c r="T68" s="39">
        <f t="shared" si="19"/>
        <v>15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38"/>
        <v>0</v>
      </c>
      <c r="AC68" s="44">
        <f t="shared" si="38"/>
        <v>0</v>
      </c>
      <c r="AD68" s="44">
        <f t="shared" si="29"/>
        <v>0</v>
      </c>
      <c r="AE68" s="44">
        <f t="shared" si="37"/>
        <v>0</v>
      </c>
      <c r="AF68" s="52">
        <f>HLOOKUP(I68,ElecAvoidedCostsWOCC!$A$5:$Q$50,G68+1,FALSE)</f>
        <v>1.3787827893853604</v>
      </c>
      <c r="AG68" s="44">
        <f t="shared" si="30"/>
        <v>0</v>
      </c>
      <c r="AH68" s="52">
        <f>HLOOKUP(I68,ElecAvoidedCostsWOCC!$A$5:$Q$50,T68+1,FALSE)</f>
        <v>1.3787827893853604</v>
      </c>
      <c r="AI68" s="44">
        <f t="shared" si="31"/>
        <v>0</v>
      </c>
      <c r="AJ68" s="44">
        <f t="shared" si="32"/>
        <v>0</v>
      </c>
      <c r="AK68" s="44">
        <f>HLOOKUP(I68,ElecAvoidedCostsWOCC!$A$5:$Q$50,G68+1,FALSE)*J68*L68</f>
        <v>0</v>
      </c>
      <c r="AL68" s="44">
        <f t="shared" si="33"/>
        <v>0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4"/>
        <v>0</v>
      </c>
      <c r="AO68" s="47">
        <f t="shared" si="35"/>
        <v>0</v>
      </c>
      <c r="AP68" s="47" t="e">
        <f t="shared" si="36"/>
        <v>#DIV/0!</v>
      </c>
      <c r="AQ68">
        <v>2020</v>
      </c>
    </row>
    <row r="69" spans="2:43">
      <c r="B69" s="97" t="s">
        <v>65</v>
      </c>
      <c r="C69" s="98">
        <v>18230711</v>
      </c>
      <c r="D69" s="61" t="s">
        <v>125</v>
      </c>
      <c r="E69" s="38" t="s">
        <v>990</v>
      </c>
      <c r="F69" s="39" t="s">
        <v>991</v>
      </c>
      <c r="G69" s="39">
        <v>15</v>
      </c>
      <c r="H69" s="39"/>
      <c r="I69" s="40" t="s">
        <v>261</v>
      </c>
      <c r="J69" s="41">
        <v>1</v>
      </c>
      <c r="K69" s="41">
        <v>11889</v>
      </c>
      <c r="L69" s="41"/>
      <c r="M69" s="42">
        <v>2915</v>
      </c>
      <c r="N69" s="42">
        <v>4164.6099999999997</v>
      </c>
      <c r="O69" s="43">
        <v>11889</v>
      </c>
      <c r="P69" s="44">
        <v>2915</v>
      </c>
      <c r="Q69" s="44">
        <v>4164.6099999999997</v>
      </c>
      <c r="R69" s="45"/>
      <c r="S69" s="46"/>
      <c r="T69" s="39">
        <f t="shared" ref="T69:T88" si="39">G69+H69</f>
        <v>15</v>
      </c>
      <c r="U69" s="47">
        <f t="shared" ref="U69:U88" si="40">(O69/$A$10)*T69</f>
        <v>9.2658800198561625E-3</v>
      </c>
      <c r="V69" s="48">
        <f t="shared" ref="V69:V88" si="41">N69-M69</f>
        <v>1249.6099999999997</v>
      </c>
      <c r="W69" s="49">
        <f t="shared" ref="W69:W100" si="42">(O69/A$10)</f>
        <v>6.1772533465707751E-4</v>
      </c>
      <c r="X69" s="44">
        <f t="shared" ref="X69:X100" si="43">W69*A$8</f>
        <v>1407.4758150472467</v>
      </c>
      <c r="Y69" s="44">
        <f t="shared" ref="Y69:Y88" si="44">Q69-P69</f>
        <v>1249.6099999999997</v>
      </c>
      <c r="Z69" s="44">
        <f t="shared" ref="Z69:Z100" si="45">X69+(A$6*W69)</f>
        <v>3980.6483839839707</v>
      </c>
      <c r="AA69" s="50">
        <f t="shared" ref="AA69:AA88" si="46">Q69+X69</f>
        <v>5572.0858150472468</v>
      </c>
      <c r="AB69" s="51">
        <f t="shared" ref="AB69:AB88" si="47">Z69/(1+ElecDiscountRate)^1</f>
        <v>3721.2754828306724</v>
      </c>
      <c r="AC69" s="44">
        <f t="shared" ref="AC69:AC88" si="48">AA69/(1+ElecDiscountRate)^1</f>
        <v>5209.0173086353616</v>
      </c>
      <c r="AD69" s="44">
        <f t="shared" ref="AD69:AD88" si="49">-PV(ElecDiscountRate,T69,R69)*J69</f>
        <v>0</v>
      </c>
      <c r="AE69" s="44">
        <f t="shared" ref="AE69:AE88" si="50">-PV(ElecDiscountRate,T69,S69)*J69</f>
        <v>0</v>
      </c>
      <c r="AF69" s="52">
        <f>HLOOKUP(I69,ElecAvoidedCostsWOCC!$A$5:$Q$50,G69+1,FALSE)</f>
        <v>1.3787827893853604</v>
      </c>
      <c r="AG69" s="44">
        <f t="shared" ref="AG69:AG88" si="51">AF69*J69*K69</f>
        <v>16392.348583002549</v>
      </c>
      <c r="AH69" s="52">
        <f>HLOOKUP(I69,ElecAvoidedCostsWOCC!$A$5:$Q$50,T69+1,FALSE)</f>
        <v>1.3787827893853604</v>
      </c>
      <c r="AI69" s="44">
        <f t="shared" ref="AI69:AI88" si="52">AH69*J69*L69</f>
        <v>0</v>
      </c>
      <c r="AJ69" s="44">
        <f t="shared" ref="AJ69:AJ88" si="53">AG69+AI69</f>
        <v>16392.348583002549</v>
      </c>
      <c r="AK69" s="44">
        <f>HLOOKUP(I69,ElecAvoidedCostsWOCC!$A$5:$Q$50,G69+1,FALSE)*J69*L69</f>
        <v>0</v>
      </c>
      <c r="AL69" s="44">
        <f t="shared" ref="AL69:AL88" si="54">AG69+AI69-AK69</f>
        <v>16392.348583002549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16392.348583002549</v>
      </c>
      <c r="AN69" s="48">
        <f t="shared" ref="AN69:AN88" si="55">AM69*1.1+AD69+AE69</f>
        <v>18031.583441302806</v>
      </c>
      <c r="AO69" s="47">
        <f t="shared" ref="AO69:AO88" si="56">IFERROR(AM69/AB69,0)</f>
        <v>4.4050349560611775</v>
      </c>
      <c r="AP69" s="47">
        <f t="shared" ref="AP69:AP88" si="57">AN69/AC69</f>
        <v>3.461609430901786</v>
      </c>
      <c r="AQ69">
        <v>2020</v>
      </c>
    </row>
    <row r="70" spans="2:43">
      <c r="B70" s="97" t="s">
        <v>65</v>
      </c>
      <c r="C70" s="98">
        <v>18230711</v>
      </c>
      <c r="D70" s="61" t="s">
        <v>125</v>
      </c>
      <c r="E70" s="38" t="s">
        <v>990</v>
      </c>
      <c r="F70" s="39" t="s">
        <v>991</v>
      </c>
      <c r="G70" s="39">
        <v>15</v>
      </c>
      <c r="H70" s="39"/>
      <c r="I70" s="40" t="s">
        <v>261</v>
      </c>
      <c r="J70" s="41">
        <v>1</v>
      </c>
      <c r="K70" s="41">
        <v>1214</v>
      </c>
      <c r="L70" s="41"/>
      <c r="M70" s="42">
        <v>952</v>
      </c>
      <c r="N70" s="42">
        <v>2118.1999999999998</v>
      </c>
      <c r="O70" s="43">
        <v>1214</v>
      </c>
      <c r="P70" s="44">
        <v>952</v>
      </c>
      <c r="Q70" s="44">
        <v>2118.1999999999998</v>
      </c>
      <c r="R70" s="45"/>
      <c r="S70" s="46"/>
      <c r="T70" s="39">
        <f t="shared" si="39"/>
        <v>15</v>
      </c>
      <c r="U70" s="47">
        <f t="shared" si="40"/>
        <v>9.4615008361555902E-4</v>
      </c>
      <c r="V70" s="48">
        <f t="shared" si="41"/>
        <v>1166.1999999999998</v>
      </c>
      <c r="W70" s="49">
        <f t="shared" si="42"/>
        <v>6.3076672241037268E-5</v>
      </c>
      <c r="X70" s="44">
        <f t="shared" si="43"/>
        <v>143.71903772120089</v>
      </c>
      <c r="Y70" s="44">
        <f t="shared" si="44"/>
        <v>1166.1999999999998</v>
      </c>
      <c r="Z70" s="44">
        <f t="shared" si="45"/>
        <v>406.46876424901507</v>
      </c>
      <c r="AA70" s="50">
        <f t="shared" si="46"/>
        <v>2261.9190377212008</v>
      </c>
      <c r="AB70" s="51">
        <f t="shared" si="47"/>
        <v>379.98388730393106</v>
      </c>
      <c r="AC70" s="44">
        <f t="shared" si="48"/>
        <v>2114.5358864365717</v>
      </c>
      <c r="AD70" s="44">
        <f t="shared" si="49"/>
        <v>0</v>
      </c>
      <c r="AE70" s="44">
        <f t="shared" si="50"/>
        <v>0</v>
      </c>
      <c r="AF70" s="52">
        <f>HLOOKUP(I70,ElecAvoidedCostsWOCC!$A$5:$Q$50,G70+1,FALSE)</f>
        <v>1.3787827893853604</v>
      </c>
      <c r="AG70" s="44">
        <f t="shared" si="51"/>
        <v>1673.8423063138275</v>
      </c>
      <c r="AH70" s="52">
        <f>HLOOKUP(I70,ElecAvoidedCostsWOCC!$A$5:$Q$50,T70+1,FALSE)</f>
        <v>1.3787827893853604</v>
      </c>
      <c r="AI70" s="44">
        <f t="shared" si="52"/>
        <v>0</v>
      </c>
      <c r="AJ70" s="44">
        <f t="shared" si="53"/>
        <v>1673.8423063138275</v>
      </c>
      <c r="AK70" s="44">
        <f>HLOOKUP(I70,ElecAvoidedCostsWOCC!$A$5:$Q$50,G70+1,FALSE)*J70*L70</f>
        <v>0</v>
      </c>
      <c r="AL70" s="44">
        <f t="shared" si="54"/>
        <v>1673.8423063138275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1673.8423063138275</v>
      </c>
      <c r="AN70" s="48">
        <f t="shared" si="55"/>
        <v>1841.2265369452105</v>
      </c>
      <c r="AO70" s="47">
        <f t="shared" si="56"/>
        <v>4.4050349560611783</v>
      </c>
      <c r="AP70" s="47">
        <f t="shared" si="57"/>
        <v>0.87074735820542459</v>
      </c>
      <c r="AQ70">
        <v>2020</v>
      </c>
    </row>
    <row r="71" spans="2:43">
      <c r="B71" s="97" t="s">
        <v>65</v>
      </c>
      <c r="C71" s="98">
        <v>18230711</v>
      </c>
      <c r="D71" s="61" t="s">
        <v>125</v>
      </c>
      <c r="E71" s="38" t="s">
        <v>990</v>
      </c>
      <c r="F71" s="39" t="s">
        <v>991</v>
      </c>
      <c r="G71" s="39">
        <v>15</v>
      </c>
      <c r="H71" s="39"/>
      <c r="I71" s="40" t="s">
        <v>261</v>
      </c>
      <c r="J71" s="41">
        <v>1</v>
      </c>
      <c r="K71" s="41">
        <v>1634</v>
      </c>
      <c r="L71" s="41"/>
      <c r="M71" s="42">
        <v>1399.45</v>
      </c>
      <c r="N71" s="42">
        <v>3306</v>
      </c>
      <c r="O71" s="43">
        <v>1634</v>
      </c>
      <c r="P71" s="44">
        <v>1399.45</v>
      </c>
      <c r="Q71" s="44">
        <v>3306</v>
      </c>
      <c r="R71" s="45"/>
      <c r="S71" s="46"/>
      <c r="T71" s="39">
        <f t="shared" si="39"/>
        <v>15</v>
      </c>
      <c r="U71" s="47">
        <f t="shared" si="40"/>
        <v>1.2734837204512548E-3</v>
      </c>
      <c r="V71" s="48">
        <f t="shared" si="41"/>
        <v>1906.55</v>
      </c>
      <c r="W71" s="49">
        <f t="shared" si="42"/>
        <v>8.4898914696750322E-5</v>
      </c>
      <c r="X71" s="44">
        <f t="shared" si="43"/>
        <v>193.44061584550431</v>
      </c>
      <c r="Y71" s="44">
        <f t="shared" si="44"/>
        <v>1906.55</v>
      </c>
      <c r="Z71" s="44">
        <f t="shared" si="45"/>
        <v>547.09222469760346</v>
      </c>
      <c r="AA71" s="50">
        <f t="shared" si="46"/>
        <v>3499.4406158455045</v>
      </c>
      <c r="AB71" s="51">
        <f t="shared" si="47"/>
        <v>511.44454024268805</v>
      </c>
      <c r="AC71" s="44">
        <f t="shared" si="48"/>
        <v>3271.4224697069312</v>
      </c>
      <c r="AD71" s="44">
        <f t="shared" si="49"/>
        <v>0</v>
      </c>
      <c r="AE71" s="44">
        <f t="shared" si="50"/>
        <v>0</v>
      </c>
      <c r="AF71" s="52">
        <f>HLOOKUP(I71,ElecAvoidedCostsWOCC!$A$5:$Q$50,G71+1,FALSE)</f>
        <v>1.3787827893853604</v>
      </c>
      <c r="AG71" s="44">
        <f t="shared" si="51"/>
        <v>2252.9310778556787</v>
      </c>
      <c r="AH71" s="52">
        <f>HLOOKUP(I71,ElecAvoidedCostsWOCC!$A$5:$Q$50,T71+1,FALSE)</f>
        <v>1.3787827893853604</v>
      </c>
      <c r="AI71" s="44">
        <f t="shared" si="52"/>
        <v>0</v>
      </c>
      <c r="AJ71" s="44">
        <f t="shared" si="53"/>
        <v>2252.9310778556787</v>
      </c>
      <c r="AK71" s="44">
        <f>HLOOKUP(I71,ElecAvoidedCostsWOCC!$A$5:$Q$50,G71+1,FALSE)*J71*L71</f>
        <v>0</v>
      </c>
      <c r="AL71" s="44">
        <f t="shared" si="54"/>
        <v>2252.9310778556787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2252.9310778556787</v>
      </c>
      <c r="AN71" s="48">
        <f t="shared" si="55"/>
        <v>2478.224185641247</v>
      </c>
      <c r="AO71" s="47">
        <f t="shared" si="56"/>
        <v>4.4050349560611783</v>
      </c>
      <c r="AP71" s="47">
        <f t="shared" si="57"/>
        <v>0.75753719019459365</v>
      </c>
      <c r="AQ71">
        <v>2020</v>
      </c>
    </row>
    <row r="72" spans="2:43">
      <c r="B72" s="97" t="s">
        <v>65</v>
      </c>
      <c r="C72" s="98">
        <v>18230711</v>
      </c>
      <c r="D72" s="61" t="s">
        <v>125</v>
      </c>
      <c r="E72" s="38" t="s">
        <v>990</v>
      </c>
      <c r="F72" s="39" t="s">
        <v>991</v>
      </c>
      <c r="G72" s="39">
        <v>15</v>
      </c>
      <c r="H72" s="39"/>
      <c r="I72" s="40" t="s">
        <v>261</v>
      </c>
      <c r="J72" s="41">
        <v>1</v>
      </c>
      <c r="K72" s="41">
        <v>960</v>
      </c>
      <c r="L72" s="41"/>
      <c r="M72" s="42">
        <v>390</v>
      </c>
      <c r="N72" s="42">
        <v>810</v>
      </c>
      <c r="O72" s="43">
        <v>960</v>
      </c>
      <c r="P72" s="44">
        <v>390</v>
      </c>
      <c r="Q72" s="44">
        <v>810</v>
      </c>
      <c r="R72" s="45"/>
      <c r="S72" s="46"/>
      <c r="T72" s="39">
        <f t="shared" si="39"/>
        <v>15</v>
      </c>
      <c r="U72" s="47">
        <f t="shared" si="40"/>
        <v>7.4819116991016205E-4</v>
      </c>
      <c r="V72" s="48">
        <f t="shared" si="41"/>
        <v>420</v>
      </c>
      <c r="W72" s="49">
        <f t="shared" si="42"/>
        <v>4.9879411327344135E-5</v>
      </c>
      <c r="X72" s="44">
        <f t="shared" si="43"/>
        <v>113.6493214269793</v>
      </c>
      <c r="Y72" s="44">
        <f t="shared" si="44"/>
        <v>420</v>
      </c>
      <c r="Z72" s="44">
        <f t="shared" si="45"/>
        <v>321.42505245391635</v>
      </c>
      <c r="AA72" s="50">
        <f t="shared" si="46"/>
        <v>923.64932142697933</v>
      </c>
      <c r="AB72" s="51">
        <f t="shared" si="47"/>
        <v>300.48149243144462</v>
      </c>
      <c r="AC72" s="44">
        <f t="shared" si="48"/>
        <v>863.46575808822968</v>
      </c>
      <c r="AD72" s="44">
        <f t="shared" si="49"/>
        <v>0</v>
      </c>
      <c r="AE72" s="44">
        <f t="shared" si="50"/>
        <v>0</v>
      </c>
      <c r="AF72" s="52">
        <f>HLOOKUP(I72,ElecAvoidedCostsWOCC!$A$5:$Q$50,G72+1,FALSE)</f>
        <v>1.3787827893853604</v>
      </c>
      <c r="AG72" s="44">
        <f t="shared" si="51"/>
        <v>1323.6314778099459</v>
      </c>
      <c r="AH72" s="52">
        <f>HLOOKUP(I72,ElecAvoidedCostsWOCC!$A$5:$Q$50,T72+1,FALSE)</f>
        <v>1.3787827893853604</v>
      </c>
      <c r="AI72" s="44">
        <f t="shared" si="52"/>
        <v>0</v>
      </c>
      <c r="AJ72" s="44">
        <f t="shared" si="53"/>
        <v>1323.6314778099459</v>
      </c>
      <c r="AK72" s="44">
        <f>HLOOKUP(I72,ElecAvoidedCostsWOCC!$A$5:$Q$50,G72+1,FALSE)*J72*L72</f>
        <v>0</v>
      </c>
      <c r="AL72" s="44">
        <f t="shared" si="54"/>
        <v>1323.6314778099459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1323.6314778099459</v>
      </c>
      <c r="AN72" s="48">
        <f t="shared" si="55"/>
        <v>1455.9946255909406</v>
      </c>
      <c r="AO72" s="47">
        <f t="shared" si="56"/>
        <v>4.4050349560611783</v>
      </c>
      <c r="AP72" s="47">
        <f t="shared" si="57"/>
        <v>1.6862216155677199</v>
      </c>
      <c r="AQ72">
        <v>2020</v>
      </c>
    </row>
    <row r="73" spans="2:43">
      <c r="B73" s="97" t="s">
        <v>65</v>
      </c>
      <c r="C73" s="98">
        <v>18230711</v>
      </c>
      <c r="D73" s="61" t="s">
        <v>125</v>
      </c>
      <c r="E73" s="38" t="s">
        <v>992</v>
      </c>
      <c r="F73" s="39" t="s">
        <v>993</v>
      </c>
      <c r="G73" s="39">
        <v>10</v>
      </c>
      <c r="H73" s="39"/>
      <c r="I73" s="40" t="s">
        <v>261</v>
      </c>
      <c r="J73" s="41">
        <v>1</v>
      </c>
      <c r="K73" s="41"/>
      <c r="L73" s="41"/>
      <c r="M73" s="42"/>
      <c r="N73" s="42"/>
      <c r="O73" s="43">
        <v>0</v>
      </c>
      <c r="P73" s="44">
        <v>0</v>
      </c>
      <c r="Q73" s="44">
        <v>0</v>
      </c>
      <c r="R73" s="45"/>
      <c r="S73" s="46"/>
      <c r="T73" s="39">
        <f t="shared" si="39"/>
        <v>10</v>
      </c>
      <c r="U73" s="47">
        <f t="shared" si="40"/>
        <v>0</v>
      </c>
      <c r="V73" s="48">
        <f t="shared" si="41"/>
        <v>0</v>
      </c>
      <c r="W73" s="49">
        <f t="shared" si="42"/>
        <v>0</v>
      </c>
      <c r="X73" s="44">
        <f t="shared" si="43"/>
        <v>0</v>
      </c>
      <c r="Y73" s="44">
        <f t="shared" si="44"/>
        <v>0</v>
      </c>
      <c r="Z73" s="44">
        <f t="shared" si="45"/>
        <v>0</v>
      </c>
      <c r="AA73" s="50">
        <f t="shared" si="46"/>
        <v>0</v>
      </c>
      <c r="AB73" s="51">
        <f t="shared" si="47"/>
        <v>0</v>
      </c>
      <c r="AC73" s="44">
        <f t="shared" si="48"/>
        <v>0</v>
      </c>
      <c r="AD73" s="44">
        <f t="shared" si="49"/>
        <v>0</v>
      </c>
      <c r="AE73" s="44">
        <f t="shared" si="50"/>
        <v>0</v>
      </c>
      <c r="AF73" s="52">
        <f>HLOOKUP(I73,ElecAvoidedCostsWOCC!$A$5:$Q$50,G73+1,FALSE)</f>
        <v>0.97334887994043018</v>
      </c>
      <c r="AG73" s="44">
        <f t="shared" si="51"/>
        <v>0</v>
      </c>
      <c r="AH73" s="52">
        <f>HLOOKUP(I73,ElecAvoidedCostsWOCC!$A$5:$Q$50,T73+1,FALSE)</f>
        <v>0.97334887994043018</v>
      </c>
      <c r="AI73" s="44">
        <f t="shared" si="52"/>
        <v>0</v>
      </c>
      <c r="AJ73" s="44">
        <f t="shared" si="53"/>
        <v>0</v>
      </c>
      <c r="AK73" s="44">
        <f>HLOOKUP(I73,ElecAvoidedCostsWOCC!$A$5:$Q$50,G73+1,FALSE)*J73*L73</f>
        <v>0</v>
      </c>
      <c r="AL73" s="44">
        <f t="shared" si="54"/>
        <v>0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5"/>
        <v>0</v>
      </c>
      <c r="AO73" s="47">
        <f t="shared" si="56"/>
        <v>0</v>
      </c>
      <c r="AP73" s="47" t="e">
        <f t="shared" si="57"/>
        <v>#DIV/0!</v>
      </c>
      <c r="AQ73">
        <v>2020</v>
      </c>
    </row>
    <row r="74" spans="2:43">
      <c r="B74" s="97" t="s">
        <v>65</v>
      </c>
      <c r="C74" s="98">
        <v>18230711</v>
      </c>
      <c r="D74" s="61" t="s">
        <v>125</v>
      </c>
      <c r="E74" s="38" t="s">
        <v>992</v>
      </c>
      <c r="F74" s="39" t="s">
        <v>993</v>
      </c>
      <c r="G74" s="39">
        <v>10</v>
      </c>
      <c r="H74" s="39"/>
      <c r="I74" s="40" t="s">
        <v>261</v>
      </c>
      <c r="J74" s="41">
        <v>1</v>
      </c>
      <c r="K74" s="41">
        <v>94007</v>
      </c>
      <c r="L74" s="41"/>
      <c r="M74" s="42">
        <v>20317</v>
      </c>
      <c r="N74" s="42">
        <v>31926</v>
      </c>
      <c r="O74" s="43">
        <v>94007</v>
      </c>
      <c r="P74" s="44">
        <v>20317</v>
      </c>
      <c r="Q74" s="44">
        <v>31926</v>
      </c>
      <c r="R74" s="45"/>
      <c r="S74" s="46"/>
      <c r="T74" s="39">
        <f t="shared" si="39"/>
        <v>10</v>
      </c>
      <c r="U74" s="47">
        <f t="shared" si="40"/>
        <v>4.8843893965100416E-2</v>
      </c>
      <c r="V74" s="48">
        <f t="shared" si="41"/>
        <v>11609</v>
      </c>
      <c r="W74" s="49">
        <f t="shared" si="42"/>
        <v>4.8843893965100412E-3</v>
      </c>
      <c r="X74" s="44">
        <f t="shared" si="43"/>
        <v>11128.991416027127</v>
      </c>
      <c r="Y74" s="44">
        <f t="shared" si="44"/>
        <v>11609</v>
      </c>
      <c r="Z74" s="44">
        <f t="shared" si="45"/>
        <v>31475.213443786786</v>
      </c>
      <c r="AA74" s="50">
        <f t="shared" si="46"/>
        <v>43054.991416027129</v>
      </c>
      <c r="AB74" s="51">
        <f t="shared" si="47"/>
        <v>29424.337144794601</v>
      </c>
      <c r="AC74" s="44">
        <f t="shared" si="48"/>
        <v>40249.594667689191</v>
      </c>
      <c r="AD74" s="44">
        <f t="shared" si="49"/>
        <v>0</v>
      </c>
      <c r="AE74" s="44">
        <f t="shared" si="50"/>
        <v>0</v>
      </c>
      <c r="AF74" s="52">
        <f>HLOOKUP(I74,ElecAvoidedCostsWOCC!$A$5:$Q$50,G74+1,FALSE)</f>
        <v>0.97334887994043018</v>
      </c>
      <c r="AG74" s="44">
        <f t="shared" si="51"/>
        <v>91501.608156560018</v>
      </c>
      <c r="AH74" s="52">
        <f>HLOOKUP(I74,ElecAvoidedCostsWOCC!$A$5:$Q$50,T74+1,FALSE)</f>
        <v>0.97334887994043018</v>
      </c>
      <c r="AI74" s="44">
        <f t="shared" si="52"/>
        <v>0</v>
      </c>
      <c r="AJ74" s="44">
        <f t="shared" si="53"/>
        <v>91501.608156560018</v>
      </c>
      <c r="AK74" s="44">
        <f>HLOOKUP(I74,ElecAvoidedCostsWOCC!$A$5:$Q$50,G74+1,FALSE)*J74*L74</f>
        <v>0</v>
      </c>
      <c r="AL74" s="44">
        <f t="shared" si="54"/>
        <v>91501.608156560018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91501.608156560018</v>
      </c>
      <c r="AN74" s="48">
        <f t="shared" si="55"/>
        <v>100651.76897221603</v>
      </c>
      <c r="AO74" s="47">
        <f t="shared" si="56"/>
        <v>3.1097253850201816</v>
      </c>
      <c r="AP74" s="47">
        <f t="shared" si="57"/>
        <v>2.5006902505036988</v>
      </c>
      <c r="AQ74">
        <v>2020</v>
      </c>
    </row>
    <row r="75" spans="2:43">
      <c r="B75" s="97" t="s">
        <v>65</v>
      </c>
      <c r="C75" s="98">
        <v>18230711</v>
      </c>
      <c r="D75" s="61" t="s">
        <v>125</v>
      </c>
      <c r="E75" s="38" t="s">
        <v>992</v>
      </c>
      <c r="F75" s="39" t="s">
        <v>993</v>
      </c>
      <c r="G75" s="39">
        <v>10</v>
      </c>
      <c r="H75" s="39"/>
      <c r="I75" s="40" t="s">
        <v>261</v>
      </c>
      <c r="J75" s="41">
        <v>1</v>
      </c>
      <c r="K75" s="41">
        <v>10092</v>
      </c>
      <c r="L75" s="41"/>
      <c r="M75" s="42">
        <v>5800</v>
      </c>
      <c r="N75" s="42">
        <v>5800</v>
      </c>
      <c r="O75" s="43">
        <v>10092</v>
      </c>
      <c r="P75" s="44">
        <v>5800</v>
      </c>
      <c r="Q75" s="44">
        <v>5800</v>
      </c>
      <c r="R75" s="45"/>
      <c r="S75" s="46"/>
      <c r="T75" s="39">
        <f t="shared" si="39"/>
        <v>10</v>
      </c>
      <c r="U75" s="47">
        <f t="shared" si="40"/>
        <v>5.2435731157870515E-3</v>
      </c>
      <c r="V75" s="48">
        <f t="shared" si="41"/>
        <v>0</v>
      </c>
      <c r="W75" s="49">
        <f t="shared" si="42"/>
        <v>5.2435731157870515E-4</v>
      </c>
      <c r="X75" s="44">
        <f t="shared" si="43"/>
        <v>1194.7384915011196</v>
      </c>
      <c r="Y75" s="44">
        <f t="shared" si="44"/>
        <v>0</v>
      </c>
      <c r="Z75" s="44">
        <f t="shared" si="45"/>
        <v>3378.9808639217954</v>
      </c>
      <c r="AA75" s="50">
        <f t="shared" si="46"/>
        <v>6994.7384915011198</v>
      </c>
      <c r="AB75" s="51">
        <f t="shared" si="47"/>
        <v>3158.8116891855616</v>
      </c>
      <c r="AC75" s="44">
        <f t="shared" si="48"/>
        <v>6538.9721337768715</v>
      </c>
      <c r="AD75" s="44">
        <f t="shared" si="49"/>
        <v>0</v>
      </c>
      <c r="AE75" s="44">
        <f t="shared" si="50"/>
        <v>0</v>
      </c>
      <c r="AF75" s="52">
        <f>HLOOKUP(I75,ElecAvoidedCostsWOCC!$A$5:$Q$50,G75+1,FALSE)</f>
        <v>0.97334887994043018</v>
      </c>
      <c r="AG75" s="44">
        <f t="shared" si="51"/>
        <v>9823.0368963588207</v>
      </c>
      <c r="AH75" s="52">
        <f>HLOOKUP(I75,ElecAvoidedCostsWOCC!$A$5:$Q$50,T75+1,FALSE)</f>
        <v>0.97334887994043018</v>
      </c>
      <c r="AI75" s="44">
        <f t="shared" si="52"/>
        <v>0</v>
      </c>
      <c r="AJ75" s="44">
        <f t="shared" si="53"/>
        <v>9823.0368963588207</v>
      </c>
      <c r="AK75" s="44">
        <f>HLOOKUP(I75,ElecAvoidedCostsWOCC!$A$5:$Q$50,G75+1,FALSE)*J75*L75</f>
        <v>0</v>
      </c>
      <c r="AL75" s="44">
        <f t="shared" si="54"/>
        <v>9823.0368963588207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9823.0368963588207</v>
      </c>
      <c r="AN75" s="48">
        <f t="shared" si="55"/>
        <v>10805.340585994703</v>
      </c>
      <c r="AO75" s="47">
        <f t="shared" si="56"/>
        <v>3.1097253850201816</v>
      </c>
      <c r="AP75" s="47">
        <f t="shared" si="57"/>
        <v>1.6524524596427057</v>
      </c>
      <c r="AQ75">
        <v>2020</v>
      </c>
    </row>
    <row r="76" spans="2:43">
      <c r="B76" s="97" t="s">
        <v>65</v>
      </c>
      <c r="C76" s="98">
        <v>18230711</v>
      </c>
      <c r="D76" s="61" t="s">
        <v>125</v>
      </c>
      <c r="E76" s="38" t="s">
        <v>994</v>
      </c>
      <c r="F76" s="39" t="s">
        <v>995</v>
      </c>
      <c r="G76" s="39">
        <v>15</v>
      </c>
      <c r="H76" s="39"/>
      <c r="I76" s="40" t="s">
        <v>261</v>
      </c>
      <c r="J76" s="41">
        <v>1</v>
      </c>
      <c r="K76" s="41">
        <v>375714</v>
      </c>
      <c r="L76" s="41"/>
      <c r="M76" s="42">
        <v>125741</v>
      </c>
      <c r="N76" s="42">
        <v>350186.8</v>
      </c>
      <c r="O76" s="43">
        <v>375714</v>
      </c>
      <c r="P76" s="44">
        <v>125741</v>
      </c>
      <c r="Q76" s="44">
        <v>350186.8</v>
      </c>
      <c r="R76" s="45"/>
      <c r="S76" s="46"/>
      <c r="T76" s="39">
        <f t="shared" si="39"/>
        <v>15</v>
      </c>
      <c r="U76" s="47">
        <f t="shared" si="40"/>
        <v>0.29281864292877768</v>
      </c>
      <c r="V76" s="48">
        <f t="shared" si="41"/>
        <v>224445.8</v>
      </c>
      <c r="W76" s="49">
        <f t="shared" si="42"/>
        <v>1.9521242861918513E-2</v>
      </c>
      <c r="X76" s="44">
        <f t="shared" si="43"/>
        <v>44478.792865225099</v>
      </c>
      <c r="Y76" s="44">
        <f t="shared" si="44"/>
        <v>224445.8</v>
      </c>
      <c r="Z76" s="44">
        <f t="shared" si="45"/>
        <v>125795.72099757368</v>
      </c>
      <c r="AA76" s="50">
        <f t="shared" si="46"/>
        <v>394665.5928652251</v>
      </c>
      <c r="AB76" s="51">
        <f t="shared" si="47"/>
        <v>117599.06609102894</v>
      </c>
      <c r="AC76" s="44">
        <f t="shared" si="48"/>
        <v>368949.79233918397</v>
      </c>
      <c r="AD76" s="44">
        <f t="shared" si="49"/>
        <v>0</v>
      </c>
      <c r="AE76" s="44">
        <f t="shared" si="50"/>
        <v>0</v>
      </c>
      <c r="AF76" s="52">
        <f>HLOOKUP(I76,ElecAvoidedCostsWOCC!$A$5:$Q$50,G76+1,FALSE)</f>
        <v>1.3787827893853604</v>
      </c>
      <c r="AG76" s="44">
        <f t="shared" si="51"/>
        <v>518027.99693113129</v>
      </c>
      <c r="AH76" s="52">
        <f>HLOOKUP(I76,ElecAvoidedCostsWOCC!$A$5:$Q$50,T76+1,FALSE)</f>
        <v>1.3787827893853604</v>
      </c>
      <c r="AI76" s="44">
        <f t="shared" si="52"/>
        <v>0</v>
      </c>
      <c r="AJ76" s="44">
        <f t="shared" si="53"/>
        <v>518027.99693113129</v>
      </c>
      <c r="AK76" s="44">
        <f>HLOOKUP(I76,ElecAvoidedCostsWOCC!$A$5:$Q$50,G76+1,FALSE)*J76*L76</f>
        <v>0</v>
      </c>
      <c r="AL76" s="44">
        <f t="shared" si="54"/>
        <v>518027.99693113129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518027.99693113129</v>
      </c>
      <c r="AN76" s="48">
        <f t="shared" si="55"/>
        <v>569830.79662424442</v>
      </c>
      <c r="AO76" s="47">
        <f t="shared" si="56"/>
        <v>4.4050349560611783</v>
      </c>
      <c r="AP76" s="47">
        <f t="shared" si="57"/>
        <v>1.5444670479727116</v>
      </c>
      <c r="AQ76">
        <v>2020</v>
      </c>
    </row>
    <row r="77" spans="2:43">
      <c r="B77" s="97" t="s">
        <v>65</v>
      </c>
      <c r="C77" s="98">
        <v>18230711</v>
      </c>
      <c r="D77" s="61" t="s">
        <v>125</v>
      </c>
      <c r="E77" s="38" t="s">
        <v>994</v>
      </c>
      <c r="F77" s="39" t="s">
        <v>995</v>
      </c>
      <c r="G77" s="39">
        <v>15</v>
      </c>
      <c r="H77" s="39"/>
      <c r="I77" s="40" t="s">
        <v>261</v>
      </c>
      <c r="J77" s="41">
        <v>1</v>
      </c>
      <c r="K77" s="41">
        <v>422538</v>
      </c>
      <c r="L77" s="41"/>
      <c r="M77" s="42">
        <v>58456</v>
      </c>
      <c r="N77" s="42">
        <v>123612</v>
      </c>
      <c r="O77" s="43">
        <v>422538</v>
      </c>
      <c r="P77" s="44">
        <v>58456</v>
      </c>
      <c r="Q77" s="44">
        <v>123612</v>
      </c>
      <c r="R77" s="45"/>
      <c r="S77" s="46"/>
      <c r="T77" s="39">
        <f t="shared" si="39"/>
        <v>15</v>
      </c>
      <c r="U77" s="47">
        <f t="shared" si="40"/>
        <v>0.32931166724114586</v>
      </c>
      <c r="V77" s="48">
        <f t="shared" si="41"/>
        <v>65156</v>
      </c>
      <c r="W77" s="49">
        <f t="shared" si="42"/>
        <v>2.1954111149409723E-2</v>
      </c>
      <c r="X77" s="44">
        <f t="shared" si="43"/>
        <v>50022.038517826011</v>
      </c>
      <c r="Y77" s="44">
        <f t="shared" si="44"/>
        <v>65156</v>
      </c>
      <c r="Z77" s="44">
        <f t="shared" si="45"/>
        <v>141473.22793101345</v>
      </c>
      <c r="AA77" s="50">
        <f t="shared" si="46"/>
        <v>173634.038517826</v>
      </c>
      <c r="AB77" s="51">
        <f t="shared" si="47"/>
        <v>132255.05088437267</v>
      </c>
      <c r="AC77" s="44">
        <f t="shared" si="48"/>
        <v>162320.31272116106</v>
      </c>
      <c r="AD77" s="44">
        <f t="shared" si="49"/>
        <v>0</v>
      </c>
      <c r="AE77" s="44">
        <f t="shared" si="50"/>
        <v>0</v>
      </c>
      <c r="AF77" s="52">
        <f>HLOOKUP(I77,ElecAvoidedCostsWOCC!$A$5:$Q$50,G77+1,FALSE)</f>
        <v>1.3787827893853604</v>
      </c>
      <c r="AG77" s="44">
        <f t="shared" si="51"/>
        <v>582588.12226131139</v>
      </c>
      <c r="AH77" s="52">
        <f>HLOOKUP(I77,ElecAvoidedCostsWOCC!$A$5:$Q$50,T77+1,FALSE)</f>
        <v>1.3787827893853604</v>
      </c>
      <c r="AI77" s="44">
        <f t="shared" si="52"/>
        <v>0</v>
      </c>
      <c r="AJ77" s="44">
        <f t="shared" si="53"/>
        <v>582588.12226131139</v>
      </c>
      <c r="AK77" s="44">
        <f>HLOOKUP(I77,ElecAvoidedCostsWOCC!$A$5:$Q$50,G77+1,FALSE)*J77*L77</f>
        <v>0</v>
      </c>
      <c r="AL77" s="44">
        <f t="shared" si="54"/>
        <v>582588.12226131139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582588.12226131139</v>
      </c>
      <c r="AN77" s="48">
        <f t="shared" si="55"/>
        <v>640846.9344874426</v>
      </c>
      <c r="AO77" s="47">
        <f t="shared" si="56"/>
        <v>4.4050349560611775</v>
      </c>
      <c r="AP77" s="47">
        <f t="shared" si="57"/>
        <v>3.9480390577383231</v>
      </c>
      <c r="AQ77">
        <v>2020</v>
      </c>
    </row>
    <row r="78" spans="2:43">
      <c r="B78" s="97" t="s">
        <v>65</v>
      </c>
      <c r="C78" s="98">
        <v>18230711</v>
      </c>
      <c r="D78" s="61" t="s">
        <v>125</v>
      </c>
      <c r="E78" s="38" t="s">
        <v>1076</v>
      </c>
      <c r="F78" s="39" t="s">
        <v>1077</v>
      </c>
      <c r="G78" s="39">
        <v>15</v>
      </c>
      <c r="H78" s="39"/>
      <c r="I78" s="40" t="s">
        <v>261</v>
      </c>
      <c r="J78" s="41">
        <v>1</v>
      </c>
      <c r="K78" s="41">
        <v>2378</v>
      </c>
      <c r="L78" s="41"/>
      <c r="M78" s="42">
        <v>678</v>
      </c>
      <c r="N78" s="42">
        <v>968</v>
      </c>
      <c r="O78" s="43">
        <v>2378</v>
      </c>
      <c r="P78" s="44">
        <v>678</v>
      </c>
      <c r="Q78" s="44">
        <v>968</v>
      </c>
      <c r="R78" s="45"/>
      <c r="S78" s="46"/>
      <c r="T78" s="39">
        <f t="shared" si="39"/>
        <v>15</v>
      </c>
      <c r="U78" s="47">
        <f t="shared" si="40"/>
        <v>1.8533318771316305E-3</v>
      </c>
      <c r="V78" s="48">
        <f t="shared" si="41"/>
        <v>290</v>
      </c>
      <c r="W78" s="49">
        <f t="shared" si="42"/>
        <v>1.2355545847544204E-4</v>
      </c>
      <c r="X78" s="44">
        <f t="shared" si="43"/>
        <v>281.51883995141333</v>
      </c>
      <c r="Y78" s="44">
        <f t="shared" si="44"/>
        <v>290</v>
      </c>
      <c r="Z78" s="44">
        <f t="shared" si="45"/>
        <v>796.19664034938864</v>
      </c>
      <c r="AA78" s="50">
        <f t="shared" si="46"/>
        <v>1249.5188399514134</v>
      </c>
      <c r="AB78" s="51">
        <f t="shared" si="47"/>
        <v>744.31769687705764</v>
      </c>
      <c r="AC78" s="44">
        <f t="shared" si="48"/>
        <v>1168.1021220448847</v>
      </c>
      <c r="AD78" s="44">
        <f t="shared" si="49"/>
        <v>0</v>
      </c>
      <c r="AE78" s="44">
        <f t="shared" si="50"/>
        <v>0</v>
      </c>
      <c r="AF78" s="52">
        <f>HLOOKUP(I78,ElecAvoidedCostsWOCC!$A$5:$Q$50,G78+1,FALSE)</f>
        <v>1.3787827893853604</v>
      </c>
      <c r="AG78" s="44">
        <f t="shared" si="51"/>
        <v>3278.7454731583871</v>
      </c>
      <c r="AH78" s="52">
        <f>HLOOKUP(I78,ElecAvoidedCostsWOCC!$A$5:$Q$50,T78+1,FALSE)</f>
        <v>1.3787827893853604</v>
      </c>
      <c r="AI78" s="44">
        <f t="shared" si="52"/>
        <v>0</v>
      </c>
      <c r="AJ78" s="44">
        <f t="shared" si="53"/>
        <v>3278.7454731583871</v>
      </c>
      <c r="AK78" s="44">
        <f>HLOOKUP(I78,ElecAvoidedCostsWOCC!$A$5:$Q$50,G78+1,FALSE)*J78*L78</f>
        <v>0</v>
      </c>
      <c r="AL78" s="44">
        <f t="shared" si="54"/>
        <v>3278.7454731583871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3278.7454731583871</v>
      </c>
      <c r="AN78" s="48">
        <f t="shared" si="55"/>
        <v>3606.6200204742263</v>
      </c>
      <c r="AO78" s="47">
        <f t="shared" si="56"/>
        <v>4.4050349560611783</v>
      </c>
      <c r="AP78" s="47">
        <f t="shared" si="57"/>
        <v>3.0875896485492738</v>
      </c>
      <c r="AQ78">
        <v>2020</v>
      </c>
    </row>
    <row r="79" spans="2:43">
      <c r="B79" s="97" t="s">
        <v>65</v>
      </c>
      <c r="C79" s="98">
        <v>18230711</v>
      </c>
      <c r="D79" s="61" t="s">
        <v>125</v>
      </c>
      <c r="E79" s="38" t="s">
        <v>2092</v>
      </c>
      <c r="F79" s="39" t="s">
        <v>2093</v>
      </c>
      <c r="G79" s="39">
        <v>15</v>
      </c>
      <c r="H79" s="39"/>
      <c r="I79" s="40" t="s">
        <v>261</v>
      </c>
      <c r="J79" s="41">
        <v>1</v>
      </c>
      <c r="K79" s="41">
        <v>27286</v>
      </c>
      <c r="L79" s="41"/>
      <c r="M79" s="42">
        <v>8186</v>
      </c>
      <c r="N79" s="42">
        <v>34429</v>
      </c>
      <c r="O79" s="43">
        <v>27286</v>
      </c>
      <c r="P79" s="44">
        <v>8186</v>
      </c>
      <c r="Q79" s="44">
        <v>34429</v>
      </c>
      <c r="R79" s="45"/>
      <c r="S79" s="46"/>
      <c r="T79" s="39">
        <f t="shared" si="39"/>
        <v>15</v>
      </c>
      <c r="U79" s="47">
        <f t="shared" si="40"/>
        <v>2.1265775273092376E-2</v>
      </c>
      <c r="V79" s="48">
        <f t="shared" si="41"/>
        <v>26243</v>
      </c>
      <c r="W79" s="49">
        <f t="shared" si="42"/>
        <v>1.4177183515394916E-3</v>
      </c>
      <c r="X79" s="44">
        <f t="shared" si="43"/>
        <v>3230.2451921422467</v>
      </c>
      <c r="Y79" s="44">
        <f t="shared" si="44"/>
        <v>26243</v>
      </c>
      <c r="Z79" s="44">
        <f t="shared" si="45"/>
        <v>9135.8374804766263</v>
      </c>
      <c r="AA79" s="50">
        <f t="shared" si="46"/>
        <v>37659.245192142247</v>
      </c>
      <c r="AB79" s="51">
        <f t="shared" si="47"/>
        <v>8540.5604192545816</v>
      </c>
      <c r="AC79" s="44">
        <f t="shared" si="48"/>
        <v>35205.426934787552</v>
      </c>
      <c r="AD79" s="44">
        <f t="shared" si="49"/>
        <v>0</v>
      </c>
      <c r="AE79" s="44">
        <f t="shared" si="50"/>
        <v>0</v>
      </c>
      <c r="AF79" s="52">
        <f>HLOOKUP(I79,ElecAvoidedCostsWOCC!$A$5:$Q$50,G79+1,FALSE)</f>
        <v>1.3787827893853604</v>
      </c>
      <c r="AG79" s="44">
        <f t="shared" si="51"/>
        <v>37621.467191168944</v>
      </c>
      <c r="AH79" s="52">
        <f>HLOOKUP(I79,ElecAvoidedCostsWOCC!$A$5:$Q$50,T79+1,FALSE)</f>
        <v>1.3787827893853604</v>
      </c>
      <c r="AI79" s="44">
        <f t="shared" si="52"/>
        <v>0</v>
      </c>
      <c r="AJ79" s="44">
        <f t="shared" si="53"/>
        <v>37621.467191168944</v>
      </c>
      <c r="AK79" s="44">
        <f>HLOOKUP(I79,ElecAvoidedCostsWOCC!$A$5:$Q$50,G79+1,FALSE)*J79*L79</f>
        <v>0</v>
      </c>
      <c r="AL79" s="44">
        <f t="shared" si="54"/>
        <v>37621.467191168944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37621.467191168944</v>
      </c>
      <c r="AN79" s="48">
        <f t="shared" si="55"/>
        <v>41383.613910285843</v>
      </c>
      <c r="AO79" s="47">
        <f t="shared" si="56"/>
        <v>4.4050349560611783</v>
      </c>
      <c r="AP79" s="47">
        <f t="shared" si="57"/>
        <v>1.1754896194539097</v>
      </c>
      <c r="AQ79">
        <v>2020</v>
      </c>
    </row>
    <row r="80" spans="2:43">
      <c r="B80" s="97" t="s">
        <v>65</v>
      </c>
      <c r="C80" s="98">
        <v>18230711</v>
      </c>
      <c r="D80" s="61" t="s">
        <v>125</v>
      </c>
      <c r="E80" s="38" t="s">
        <v>1000</v>
      </c>
      <c r="F80" s="39" t="s">
        <v>1001</v>
      </c>
      <c r="G80" s="39">
        <v>15</v>
      </c>
      <c r="H80" s="39"/>
      <c r="I80" s="40" t="s">
        <v>261</v>
      </c>
      <c r="J80" s="41">
        <v>1</v>
      </c>
      <c r="K80" s="41">
        <v>23270</v>
      </c>
      <c r="L80" s="41"/>
      <c r="M80" s="42">
        <v>2659</v>
      </c>
      <c r="N80" s="42">
        <v>3798</v>
      </c>
      <c r="O80" s="43">
        <v>23270</v>
      </c>
      <c r="P80" s="44">
        <v>2659</v>
      </c>
      <c r="Q80" s="44">
        <v>3798</v>
      </c>
      <c r="R80" s="45"/>
      <c r="S80" s="46"/>
      <c r="T80" s="39">
        <f t="shared" si="39"/>
        <v>15</v>
      </c>
      <c r="U80" s="47">
        <f t="shared" si="40"/>
        <v>1.813584221230153E-2</v>
      </c>
      <c r="V80" s="48">
        <f t="shared" si="41"/>
        <v>1139</v>
      </c>
      <c r="W80" s="49">
        <f t="shared" si="42"/>
        <v>1.2090561474867687E-3</v>
      </c>
      <c r="X80" s="44">
        <f t="shared" si="43"/>
        <v>2754.8121975060499</v>
      </c>
      <c r="Y80" s="44">
        <f t="shared" si="44"/>
        <v>1139</v>
      </c>
      <c r="Z80" s="44">
        <f t="shared" si="45"/>
        <v>7791.209344377743</v>
      </c>
      <c r="AA80" s="50">
        <f t="shared" si="46"/>
        <v>6552.8121975060494</v>
      </c>
      <c r="AB80" s="51">
        <f t="shared" si="47"/>
        <v>7283.5461759163709</v>
      </c>
      <c r="AC80" s="44">
        <f t="shared" si="48"/>
        <v>6125.8410746060099</v>
      </c>
      <c r="AD80" s="44">
        <f t="shared" si="49"/>
        <v>0</v>
      </c>
      <c r="AE80" s="44">
        <f t="shared" si="50"/>
        <v>0</v>
      </c>
      <c r="AF80" s="52">
        <f>HLOOKUP(I80,ElecAvoidedCostsWOCC!$A$5:$Q$50,G80+1,FALSE)</f>
        <v>1.3787827893853604</v>
      </c>
      <c r="AG80" s="44">
        <f t="shared" si="51"/>
        <v>32084.275508997336</v>
      </c>
      <c r="AH80" s="52">
        <f>HLOOKUP(I80,ElecAvoidedCostsWOCC!$A$5:$Q$50,T80+1,FALSE)</f>
        <v>1.3787827893853604</v>
      </c>
      <c r="AI80" s="44">
        <f t="shared" si="52"/>
        <v>0</v>
      </c>
      <c r="AJ80" s="44">
        <f t="shared" si="53"/>
        <v>32084.275508997336</v>
      </c>
      <c r="AK80" s="44">
        <f>HLOOKUP(I80,ElecAvoidedCostsWOCC!$A$5:$Q$50,G80+1,FALSE)*J80*L80</f>
        <v>0</v>
      </c>
      <c r="AL80" s="44">
        <f t="shared" si="54"/>
        <v>32084.275508997336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32084.275508997336</v>
      </c>
      <c r="AN80" s="48">
        <f t="shared" si="55"/>
        <v>35292.703059897074</v>
      </c>
      <c r="AO80" s="47">
        <f t="shared" si="56"/>
        <v>4.4050349560611783</v>
      </c>
      <c r="AP80" s="47">
        <f t="shared" si="57"/>
        <v>5.7612828393800539</v>
      </c>
      <c r="AQ80">
        <v>2020</v>
      </c>
    </row>
    <row r="81" spans="2:43">
      <c r="B81" s="37" t="s">
        <v>65</v>
      </c>
      <c r="C81" s="98">
        <v>18230711</v>
      </c>
      <c r="D81" s="61" t="s">
        <v>125</v>
      </c>
      <c r="E81" s="38" t="s">
        <v>1002</v>
      </c>
      <c r="F81" s="39" t="s">
        <v>1003</v>
      </c>
      <c r="G81" s="39">
        <v>15</v>
      </c>
      <c r="H81" s="39"/>
      <c r="I81" s="40" t="s">
        <v>261</v>
      </c>
      <c r="J81" s="41">
        <v>1</v>
      </c>
      <c r="K81" s="41">
        <v>542312</v>
      </c>
      <c r="L81" s="41"/>
      <c r="M81" s="42">
        <v>123606</v>
      </c>
      <c r="N81" s="42">
        <v>220971</v>
      </c>
      <c r="O81" s="43">
        <v>542312</v>
      </c>
      <c r="P81" s="44">
        <v>123606</v>
      </c>
      <c r="Q81" s="44">
        <v>220971</v>
      </c>
      <c r="R81" s="45"/>
      <c r="S81" s="46"/>
      <c r="T81" s="39">
        <f t="shared" si="39"/>
        <v>15</v>
      </c>
      <c r="U81" s="47">
        <f t="shared" si="40"/>
        <v>0.42265942680866642</v>
      </c>
      <c r="V81" s="48">
        <f t="shared" si="41"/>
        <v>97365</v>
      </c>
      <c r="W81" s="49">
        <f t="shared" si="42"/>
        <v>2.8177295120577761E-2</v>
      </c>
      <c r="X81" s="44">
        <f t="shared" si="43"/>
        <v>64201.448751779157</v>
      </c>
      <c r="Y81" s="44">
        <f t="shared" si="44"/>
        <v>97365</v>
      </c>
      <c r="Z81" s="44">
        <f t="shared" si="45"/>
        <v>181575.69067332114</v>
      </c>
      <c r="AA81" s="50">
        <f t="shared" si="46"/>
        <v>285172.44875177916</v>
      </c>
      <c r="AB81" s="51">
        <f t="shared" si="47"/>
        <v>169744.49908696002</v>
      </c>
      <c r="AC81" s="44">
        <f t="shared" si="48"/>
        <v>266591.05239953176</v>
      </c>
      <c r="AD81" s="44">
        <f t="shared" si="49"/>
        <v>0</v>
      </c>
      <c r="AE81" s="44">
        <f t="shared" si="50"/>
        <v>0</v>
      </c>
      <c r="AF81" s="52">
        <f>HLOOKUP(I81,ElecAvoidedCostsWOCC!$A$5:$Q$50,G81+1,FALSE)</f>
        <v>1.3787827893853604</v>
      </c>
      <c r="AG81" s="44">
        <f t="shared" si="51"/>
        <v>747730.4520771536</v>
      </c>
      <c r="AH81" s="52">
        <f>HLOOKUP(I81,ElecAvoidedCostsWOCC!$A$5:$Q$50,T81+1,FALSE)</f>
        <v>1.3787827893853604</v>
      </c>
      <c r="AI81" s="44">
        <f t="shared" si="52"/>
        <v>0</v>
      </c>
      <c r="AJ81" s="44">
        <f t="shared" si="53"/>
        <v>747730.4520771536</v>
      </c>
      <c r="AK81" s="44">
        <f>HLOOKUP(I81,ElecAvoidedCostsWOCC!$A$5:$Q$50,G81+1,FALSE)*J81*L81</f>
        <v>0</v>
      </c>
      <c r="AL81" s="44">
        <f t="shared" si="54"/>
        <v>747730.4520771536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747730.4520771536</v>
      </c>
      <c r="AN81" s="48">
        <f t="shared" si="55"/>
        <v>822503.49728486908</v>
      </c>
      <c r="AO81" s="47">
        <f t="shared" si="56"/>
        <v>4.4050349560611783</v>
      </c>
      <c r="AP81" s="47">
        <f t="shared" si="57"/>
        <v>3.0852629519321173</v>
      </c>
      <c r="AQ81">
        <v>2020</v>
      </c>
    </row>
    <row r="82" spans="2:43">
      <c r="B82" s="37" t="s">
        <v>65</v>
      </c>
      <c r="C82" s="98">
        <v>18230711</v>
      </c>
      <c r="D82" s="61" t="s">
        <v>125</v>
      </c>
      <c r="E82" s="38" t="s">
        <v>1002</v>
      </c>
      <c r="F82" s="39" t="s">
        <v>1003</v>
      </c>
      <c r="G82" s="39">
        <v>15</v>
      </c>
      <c r="H82" s="39"/>
      <c r="I82" s="40" t="s">
        <v>261</v>
      </c>
      <c r="J82" s="41">
        <v>1</v>
      </c>
      <c r="K82" s="41">
        <v>43797</v>
      </c>
      <c r="L82" s="41"/>
      <c r="M82" s="42">
        <v>13848</v>
      </c>
      <c r="N82" s="42">
        <v>21889.51</v>
      </c>
      <c r="O82" s="43">
        <v>43797</v>
      </c>
      <c r="P82" s="44">
        <v>13848</v>
      </c>
      <c r="Q82" s="44">
        <v>21889.51</v>
      </c>
      <c r="R82" s="45"/>
      <c r="S82" s="46"/>
      <c r="T82" s="39">
        <f t="shared" si="39"/>
        <v>15</v>
      </c>
      <c r="U82" s="47">
        <f t="shared" si="40"/>
        <v>3.4133884029745168E-2</v>
      </c>
      <c r="V82" s="48">
        <f t="shared" si="41"/>
        <v>8041.5099999999984</v>
      </c>
      <c r="W82" s="49">
        <f t="shared" si="42"/>
        <v>2.2755922686496779E-3</v>
      </c>
      <c r="X82" s="44">
        <f t="shared" si="43"/>
        <v>5184.8951359764706</v>
      </c>
      <c r="Y82" s="44">
        <f t="shared" si="44"/>
        <v>8041.5099999999984</v>
      </c>
      <c r="Z82" s="44">
        <f t="shared" si="45"/>
        <v>14664.013564921015</v>
      </c>
      <c r="AA82" s="50">
        <f t="shared" si="46"/>
        <v>27074.405135976471</v>
      </c>
      <c r="AB82" s="51">
        <f t="shared" si="47"/>
        <v>13708.529087520814</v>
      </c>
      <c r="AC82" s="44">
        <f t="shared" si="48"/>
        <v>25310.278709896669</v>
      </c>
      <c r="AD82" s="44">
        <f t="shared" si="49"/>
        <v>0</v>
      </c>
      <c r="AE82" s="44">
        <f t="shared" si="50"/>
        <v>0</v>
      </c>
      <c r="AF82" s="52">
        <f>HLOOKUP(I82,ElecAvoidedCostsWOCC!$A$5:$Q$50,G82+1,FALSE)</f>
        <v>1.3787827893853604</v>
      </c>
      <c r="AG82" s="44">
        <f t="shared" si="51"/>
        <v>60386.54982671063</v>
      </c>
      <c r="AH82" s="52">
        <f>HLOOKUP(I82,ElecAvoidedCostsWOCC!$A$5:$Q$50,T82+1,FALSE)</f>
        <v>1.3787827893853604</v>
      </c>
      <c r="AI82" s="44">
        <f t="shared" si="52"/>
        <v>0</v>
      </c>
      <c r="AJ82" s="44">
        <f t="shared" si="53"/>
        <v>60386.54982671063</v>
      </c>
      <c r="AK82" s="44">
        <f>HLOOKUP(I82,ElecAvoidedCostsWOCC!$A$5:$Q$50,G82+1,FALSE)*J82*L82</f>
        <v>0</v>
      </c>
      <c r="AL82" s="44">
        <f t="shared" si="54"/>
        <v>60386.54982671063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60386.54982671063</v>
      </c>
      <c r="AN82" s="48">
        <f t="shared" si="55"/>
        <v>66425.204809381699</v>
      </c>
      <c r="AO82" s="47">
        <f t="shared" si="56"/>
        <v>4.4050349560611783</v>
      </c>
      <c r="AP82" s="47">
        <f t="shared" si="57"/>
        <v>2.6244359286098469</v>
      </c>
      <c r="AQ82">
        <v>2020</v>
      </c>
    </row>
    <row r="83" spans="2:43">
      <c r="B83" s="37" t="s">
        <v>65</v>
      </c>
      <c r="C83" s="98">
        <v>18230711</v>
      </c>
      <c r="D83" s="61" t="s">
        <v>125</v>
      </c>
      <c r="E83" s="38" t="s">
        <v>1004</v>
      </c>
      <c r="F83" s="39" t="s">
        <v>1005</v>
      </c>
      <c r="G83" s="39">
        <v>20</v>
      </c>
      <c r="H83" s="39"/>
      <c r="I83" s="40" t="s">
        <v>261</v>
      </c>
      <c r="J83" s="41">
        <v>1</v>
      </c>
      <c r="K83" s="41">
        <v>206098</v>
      </c>
      <c r="L83" s="41"/>
      <c r="M83" s="42">
        <v>77487</v>
      </c>
      <c r="N83" s="42">
        <v>146858.98000000001</v>
      </c>
      <c r="O83" s="43">
        <v>206098</v>
      </c>
      <c r="P83" s="44">
        <v>77487</v>
      </c>
      <c r="Q83" s="44">
        <v>146858.98000000001</v>
      </c>
      <c r="R83" s="45"/>
      <c r="S83" s="46"/>
      <c r="T83" s="39">
        <f t="shared" si="39"/>
        <v>20</v>
      </c>
      <c r="U83" s="47">
        <f t="shared" si="40"/>
        <v>0.21416764407797856</v>
      </c>
      <c r="V83" s="48">
        <f t="shared" si="41"/>
        <v>69371.98000000001</v>
      </c>
      <c r="W83" s="49">
        <f t="shared" si="42"/>
        <v>1.0708382203898928E-2</v>
      </c>
      <c r="X83" s="44">
        <f t="shared" si="43"/>
        <v>24398.851924434977</v>
      </c>
      <c r="Y83" s="44">
        <f t="shared" si="44"/>
        <v>69371.98000000001</v>
      </c>
      <c r="Z83" s="44">
        <f t="shared" si="45"/>
        <v>69005.27131317422</v>
      </c>
      <c r="AA83" s="50">
        <f t="shared" si="46"/>
        <v>171257.83192443498</v>
      </c>
      <c r="AB83" s="51">
        <f t="shared" si="47"/>
        <v>64508.994403266537</v>
      </c>
      <c r="AC83" s="44">
        <f t="shared" si="48"/>
        <v>160098.93607968118</v>
      </c>
      <c r="AD83" s="44">
        <f t="shared" si="49"/>
        <v>0</v>
      </c>
      <c r="AE83" s="44">
        <f t="shared" si="50"/>
        <v>0</v>
      </c>
      <c r="AF83" s="52">
        <f>HLOOKUP(I83,ElecAvoidedCostsWOCC!$A$5:$Q$50,G83+1,FALSE)</f>
        <v>1.7025958820263232</v>
      </c>
      <c r="AG83" s="44">
        <f t="shared" si="51"/>
        <v>350901.60609386116</v>
      </c>
      <c r="AH83" s="52">
        <f>HLOOKUP(I83,ElecAvoidedCostsWOCC!$A$5:$Q$50,T83+1,FALSE)</f>
        <v>1.7025958820263232</v>
      </c>
      <c r="AI83" s="44">
        <f t="shared" si="52"/>
        <v>0</v>
      </c>
      <c r="AJ83" s="44">
        <f t="shared" si="53"/>
        <v>350901.60609386116</v>
      </c>
      <c r="AK83" s="44">
        <f>HLOOKUP(I83,ElecAvoidedCostsWOCC!$A$5:$Q$50,G83+1,FALSE)*J83*L83</f>
        <v>0</v>
      </c>
      <c r="AL83" s="44">
        <f t="shared" si="54"/>
        <v>350901.60609386116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350901.60609386116</v>
      </c>
      <c r="AN83" s="48">
        <f t="shared" si="55"/>
        <v>385991.76670324733</v>
      </c>
      <c r="AO83" s="47">
        <f t="shared" si="56"/>
        <v>5.4395764395312378</v>
      </c>
      <c r="AP83" s="47">
        <f t="shared" si="57"/>
        <v>2.4109577249853764</v>
      </c>
      <c r="AQ83">
        <v>2020</v>
      </c>
    </row>
    <row r="84" spans="2:43">
      <c r="B84" s="37" t="s">
        <v>65</v>
      </c>
      <c r="C84" s="98">
        <v>18230711</v>
      </c>
      <c r="D84" s="61" t="s">
        <v>125</v>
      </c>
      <c r="E84" s="38" t="s">
        <v>1006</v>
      </c>
      <c r="F84" s="39" t="s">
        <v>1007</v>
      </c>
      <c r="G84" s="39">
        <v>24</v>
      </c>
      <c r="H84" s="39"/>
      <c r="I84" s="40" t="s">
        <v>255</v>
      </c>
      <c r="J84" s="41">
        <v>1</v>
      </c>
      <c r="K84" s="41"/>
      <c r="L84" s="41"/>
      <c r="M84" s="42"/>
      <c r="N84" s="42"/>
      <c r="O84" s="43">
        <v>0</v>
      </c>
      <c r="P84" s="44">
        <v>0</v>
      </c>
      <c r="Q84" s="44">
        <v>0</v>
      </c>
      <c r="R84" s="45"/>
      <c r="S84" s="46"/>
      <c r="T84" s="39">
        <f t="shared" si="39"/>
        <v>24</v>
      </c>
      <c r="U84" s="47">
        <f t="shared" si="40"/>
        <v>0</v>
      </c>
      <c r="V84" s="48">
        <f t="shared" si="41"/>
        <v>0</v>
      </c>
      <c r="W84" s="49">
        <f t="shared" si="42"/>
        <v>0</v>
      </c>
      <c r="X84" s="44">
        <f t="shared" si="43"/>
        <v>0</v>
      </c>
      <c r="Y84" s="44">
        <f t="shared" si="44"/>
        <v>0</v>
      </c>
      <c r="Z84" s="44">
        <f t="shared" si="45"/>
        <v>0</v>
      </c>
      <c r="AA84" s="50">
        <f t="shared" si="46"/>
        <v>0</v>
      </c>
      <c r="AB84" s="51">
        <f t="shared" si="47"/>
        <v>0</v>
      </c>
      <c r="AC84" s="44">
        <f t="shared" si="48"/>
        <v>0</v>
      </c>
      <c r="AD84" s="44">
        <f t="shared" si="49"/>
        <v>0</v>
      </c>
      <c r="AE84" s="44">
        <f t="shared" si="50"/>
        <v>0</v>
      </c>
      <c r="AF84" s="52">
        <f>HLOOKUP(I84,ElecAvoidedCostsWOCC!$A$5:$Q$50,G84+1,FALSE)</f>
        <v>1.4345808139443847</v>
      </c>
      <c r="AG84" s="44">
        <f t="shared" si="51"/>
        <v>0</v>
      </c>
      <c r="AH84" s="52">
        <f>HLOOKUP(I84,ElecAvoidedCostsWOCC!$A$5:$Q$50,T84+1,FALSE)</f>
        <v>1.4345808139443847</v>
      </c>
      <c r="AI84" s="44">
        <f t="shared" si="52"/>
        <v>0</v>
      </c>
      <c r="AJ84" s="44">
        <f t="shared" si="53"/>
        <v>0</v>
      </c>
      <c r="AK84" s="44">
        <f>HLOOKUP(I84,ElecAvoidedCostsWOCC!$A$5:$Q$50,G84+1,FALSE)*J84*L84</f>
        <v>0</v>
      </c>
      <c r="AL84" s="44">
        <f t="shared" si="54"/>
        <v>0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55"/>
        <v>0</v>
      </c>
      <c r="AO84" s="47">
        <f t="shared" si="56"/>
        <v>0</v>
      </c>
      <c r="AP84" s="47" t="e">
        <f t="shared" si="57"/>
        <v>#DIV/0!</v>
      </c>
      <c r="AQ84">
        <v>2020</v>
      </c>
    </row>
    <row r="85" spans="2:43">
      <c r="B85" s="37" t="s">
        <v>65</v>
      </c>
      <c r="C85" s="98">
        <v>18230711</v>
      </c>
      <c r="D85" s="61" t="s">
        <v>125</v>
      </c>
      <c r="E85" s="38" t="s">
        <v>1006</v>
      </c>
      <c r="F85" s="39" t="s">
        <v>1007</v>
      </c>
      <c r="G85" s="39">
        <v>24</v>
      </c>
      <c r="H85" s="39"/>
      <c r="I85" s="40" t="s">
        <v>255</v>
      </c>
      <c r="J85" s="41">
        <v>1</v>
      </c>
      <c r="K85" s="41"/>
      <c r="L85" s="41"/>
      <c r="M85" s="42"/>
      <c r="N85" s="42"/>
      <c r="O85" s="43">
        <v>0</v>
      </c>
      <c r="P85" s="44">
        <v>0</v>
      </c>
      <c r="Q85" s="44">
        <v>0</v>
      </c>
      <c r="R85" s="45"/>
      <c r="S85" s="46"/>
      <c r="T85" s="39">
        <f t="shared" si="39"/>
        <v>24</v>
      </c>
      <c r="U85" s="47">
        <f t="shared" si="40"/>
        <v>0</v>
      </c>
      <c r="V85" s="48">
        <f t="shared" si="41"/>
        <v>0</v>
      </c>
      <c r="W85" s="49">
        <f t="shared" si="42"/>
        <v>0</v>
      </c>
      <c r="X85" s="44">
        <f t="shared" si="43"/>
        <v>0</v>
      </c>
      <c r="Y85" s="44">
        <f t="shared" si="44"/>
        <v>0</v>
      </c>
      <c r="Z85" s="44">
        <f t="shared" si="45"/>
        <v>0</v>
      </c>
      <c r="AA85" s="50">
        <f t="shared" si="46"/>
        <v>0</v>
      </c>
      <c r="AB85" s="51">
        <f t="shared" si="47"/>
        <v>0</v>
      </c>
      <c r="AC85" s="44">
        <f t="shared" si="48"/>
        <v>0</v>
      </c>
      <c r="AD85" s="44">
        <f t="shared" si="49"/>
        <v>0</v>
      </c>
      <c r="AE85" s="44">
        <f t="shared" si="50"/>
        <v>0</v>
      </c>
      <c r="AF85" s="52">
        <f>HLOOKUP(I85,ElecAvoidedCostsWOCC!$A$5:$Q$50,G85+1,FALSE)</f>
        <v>1.4345808139443847</v>
      </c>
      <c r="AG85" s="44">
        <f t="shared" si="51"/>
        <v>0</v>
      </c>
      <c r="AH85" s="52">
        <f>HLOOKUP(I85,ElecAvoidedCostsWOCC!$A$5:$Q$50,T85+1,FALSE)</f>
        <v>1.4345808139443847</v>
      </c>
      <c r="AI85" s="44">
        <f t="shared" si="52"/>
        <v>0</v>
      </c>
      <c r="AJ85" s="44">
        <f t="shared" si="53"/>
        <v>0</v>
      </c>
      <c r="AK85" s="44">
        <f>HLOOKUP(I85,ElecAvoidedCostsWOCC!$A$5:$Q$50,G85+1,FALSE)*J85*L85</f>
        <v>0</v>
      </c>
      <c r="AL85" s="44">
        <f t="shared" si="54"/>
        <v>0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55"/>
        <v>0</v>
      </c>
      <c r="AO85" s="47">
        <f t="shared" si="56"/>
        <v>0</v>
      </c>
      <c r="AP85" s="47" t="e">
        <f t="shared" si="57"/>
        <v>#DIV/0!</v>
      </c>
      <c r="AQ85">
        <v>2020</v>
      </c>
    </row>
    <row r="86" spans="2:43">
      <c r="B86" s="37" t="s">
        <v>65</v>
      </c>
      <c r="C86" s="98">
        <v>18230711</v>
      </c>
      <c r="D86" s="61" t="s">
        <v>125</v>
      </c>
      <c r="E86" s="38" t="s">
        <v>1010</v>
      </c>
      <c r="F86" s="39" t="s">
        <v>1011</v>
      </c>
      <c r="G86" s="39">
        <v>15</v>
      </c>
      <c r="H86" s="39"/>
      <c r="I86" s="40" t="s">
        <v>256</v>
      </c>
      <c r="J86" s="41">
        <v>1</v>
      </c>
      <c r="K86" s="41">
        <v>22153</v>
      </c>
      <c r="L86" s="41"/>
      <c r="M86" s="42">
        <v>4957</v>
      </c>
      <c r="N86" s="42">
        <v>7082.25</v>
      </c>
      <c r="O86" s="43">
        <v>22153</v>
      </c>
      <c r="P86" s="44">
        <v>4957</v>
      </c>
      <c r="Q86" s="44">
        <v>7082.25</v>
      </c>
      <c r="R86" s="45"/>
      <c r="S86" s="46"/>
      <c r="T86" s="39">
        <f t="shared" si="39"/>
        <v>15</v>
      </c>
      <c r="U86" s="47">
        <f t="shared" si="40"/>
        <v>1.7265290611478978E-2</v>
      </c>
      <c r="V86" s="48">
        <f t="shared" si="41"/>
        <v>2125.25</v>
      </c>
      <c r="W86" s="49">
        <f t="shared" si="42"/>
        <v>1.1510193740985985E-3</v>
      </c>
      <c r="X86" s="44">
        <f t="shared" si="43"/>
        <v>2622.5764766373668</v>
      </c>
      <c r="Y86" s="44">
        <f t="shared" si="44"/>
        <v>2125.25</v>
      </c>
      <c r="Z86" s="44">
        <f t="shared" si="45"/>
        <v>7417.2179031370933</v>
      </c>
      <c r="AA86" s="50">
        <f t="shared" si="46"/>
        <v>9704.8264766373668</v>
      </c>
      <c r="AB86" s="51">
        <f t="shared" si="47"/>
        <v>6933.9234394102014</v>
      </c>
      <c r="AC86" s="44">
        <f t="shared" si="48"/>
        <v>9072.4749711483273</v>
      </c>
      <c r="AD86" s="44">
        <f t="shared" si="49"/>
        <v>0</v>
      </c>
      <c r="AE86" s="44">
        <f t="shared" si="50"/>
        <v>0</v>
      </c>
      <c r="AF86" s="52">
        <f>HLOOKUP(I86,ElecAvoidedCostsWOCC!$A$5:$Q$50,G86+1,FALSE)</f>
        <v>1.0293963841416951</v>
      </c>
      <c r="AG86" s="44">
        <f t="shared" si="51"/>
        <v>22804.218097890971</v>
      </c>
      <c r="AH86" s="52">
        <f>HLOOKUP(I86,ElecAvoidedCostsWOCC!$A$5:$Q$50,T86+1,FALSE)</f>
        <v>1.0293963841416951</v>
      </c>
      <c r="AI86" s="44">
        <f t="shared" si="52"/>
        <v>0</v>
      </c>
      <c r="AJ86" s="44">
        <f t="shared" si="53"/>
        <v>22804.218097890971</v>
      </c>
      <c r="AK86" s="44">
        <f>HLOOKUP(I86,ElecAvoidedCostsWOCC!$A$5:$Q$50,G86+1,FALSE)*J86*L86</f>
        <v>0</v>
      </c>
      <c r="AL86" s="44">
        <f t="shared" si="54"/>
        <v>22804.218097890971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22804.218097890971</v>
      </c>
      <c r="AN86" s="48">
        <f t="shared" si="55"/>
        <v>25084.63990768007</v>
      </c>
      <c r="AO86" s="47">
        <f t="shared" si="56"/>
        <v>3.2887900042678715</v>
      </c>
      <c r="AP86" s="47">
        <f t="shared" si="57"/>
        <v>2.7649169589833589</v>
      </c>
      <c r="AQ86">
        <v>2020</v>
      </c>
    </row>
    <row r="87" spans="2:43">
      <c r="B87" s="37" t="s">
        <v>65</v>
      </c>
      <c r="C87" s="98">
        <v>18230711</v>
      </c>
      <c r="D87" s="61" t="s">
        <v>125</v>
      </c>
      <c r="E87" s="38" t="s">
        <v>1012</v>
      </c>
      <c r="F87" s="39" t="s">
        <v>1013</v>
      </c>
      <c r="G87" s="39">
        <v>20</v>
      </c>
      <c r="H87" s="39"/>
      <c r="I87" s="40" t="s">
        <v>260</v>
      </c>
      <c r="J87" s="41">
        <v>1</v>
      </c>
      <c r="K87" s="41"/>
      <c r="L87" s="41"/>
      <c r="M87" s="42"/>
      <c r="N87" s="42"/>
      <c r="O87" s="43">
        <v>0</v>
      </c>
      <c r="P87" s="44">
        <v>0</v>
      </c>
      <c r="Q87" s="44">
        <v>0</v>
      </c>
      <c r="R87" s="45"/>
      <c r="S87" s="46"/>
      <c r="T87" s="39">
        <f t="shared" si="39"/>
        <v>20</v>
      </c>
      <c r="U87" s="47">
        <f t="shared" si="40"/>
        <v>0</v>
      </c>
      <c r="V87" s="48">
        <f t="shared" si="41"/>
        <v>0</v>
      </c>
      <c r="W87" s="49">
        <f t="shared" si="42"/>
        <v>0</v>
      </c>
      <c r="X87" s="44">
        <f t="shared" si="43"/>
        <v>0</v>
      </c>
      <c r="Y87" s="44">
        <f t="shared" si="44"/>
        <v>0</v>
      </c>
      <c r="Z87" s="44">
        <f t="shared" si="45"/>
        <v>0</v>
      </c>
      <c r="AA87" s="50">
        <f t="shared" si="46"/>
        <v>0</v>
      </c>
      <c r="AB87" s="51">
        <f t="shared" si="47"/>
        <v>0</v>
      </c>
      <c r="AC87" s="44">
        <f t="shared" si="48"/>
        <v>0</v>
      </c>
      <c r="AD87" s="44">
        <f t="shared" si="49"/>
        <v>0</v>
      </c>
      <c r="AE87" s="44">
        <f t="shared" si="50"/>
        <v>0</v>
      </c>
      <c r="AF87" s="52">
        <f>HLOOKUP(I87,ElecAvoidedCostsWOCC!$A$5:$Q$50,G87+1,FALSE)</f>
        <v>1.2592865625776986</v>
      </c>
      <c r="AG87" s="44">
        <f t="shared" si="51"/>
        <v>0</v>
      </c>
      <c r="AH87" s="52">
        <f>HLOOKUP(I87,ElecAvoidedCostsWOCC!$A$5:$Q$50,T87+1,FALSE)</f>
        <v>1.2592865625776986</v>
      </c>
      <c r="AI87" s="44">
        <f t="shared" si="52"/>
        <v>0</v>
      </c>
      <c r="AJ87" s="44">
        <f t="shared" si="53"/>
        <v>0</v>
      </c>
      <c r="AK87" s="44">
        <f>HLOOKUP(I87,ElecAvoidedCostsWOCC!$A$5:$Q$50,G87+1,FALSE)*J87*L87</f>
        <v>0</v>
      </c>
      <c r="AL87" s="44">
        <f t="shared" si="54"/>
        <v>0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55"/>
        <v>0</v>
      </c>
      <c r="AO87" s="47">
        <f t="shared" si="56"/>
        <v>0</v>
      </c>
      <c r="AP87" s="47" t="e">
        <f t="shared" si="57"/>
        <v>#DIV/0!</v>
      </c>
      <c r="AQ87">
        <v>2020</v>
      </c>
    </row>
    <row r="88" spans="2:43">
      <c r="B88" s="37" t="s">
        <v>65</v>
      </c>
      <c r="C88" s="98">
        <v>18230711</v>
      </c>
      <c r="D88" s="61" t="s">
        <v>125</v>
      </c>
      <c r="E88" s="38" t="s">
        <v>1012</v>
      </c>
      <c r="F88" s="39" t="s">
        <v>1013</v>
      </c>
      <c r="G88" s="39">
        <v>20</v>
      </c>
      <c r="H88" s="39"/>
      <c r="I88" s="40" t="s">
        <v>260</v>
      </c>
      <c r="J88" s="41">
        <v>1</v>
      </c>
      <c r="K88" s="41">
        <v>7658</v>
      </c>
      <c r="L88" s="41"/>
      <c r="M88" s="42">
        <v>338</v>
      </c>
      <c r="N88" s="42">
        <v>4813.5</v>
      </c>
      <c r="O88" s="43">
        <v>7658</v>
      </c>
      <c r="P88" s="44">
        <v>338</v>
      </c>
      <c r="Q88" s="44">
        <v>4813.5</v>
      </c>
      <c r="R88" s="45"/>
      <c r="S88" s="46"/>
      <c r="T88" s="39">
        <f t="shared" si="39"/>
        <v>20</v>
      </c>
      <c r="U88" s="47">
        <f t="shared" si="40"/>
        <v>7.9578444155166943E-3</v>
      </c>
      <c r="V88" s="48">
        <f t="shared" si="41"/>
        <v>4475.5</v>
      </c>
      <c r="W88" s="49">
        <f t="shared" si="42"/>
        <v>3.9789222077583474E-4</v>
      </c>
      <c r="X88" s="44">
        <f t="shared" si="43"/>
        <v>906.59010779979928</v>
      </c>
      <c r="Y88" s="44">
        <f t="shared" si="44"/>
        <v>4475.5</v>
      </c>
      <c r="Z88" s="44">
        <f t="shared" si="45"/>
        <v>2564.0344288459287</v>
      </c>
      <c r="AA88" s="50">
        <f t="shared" si="46"/>
        <v>5720.0901077997996</v>
      </c>
      <c r="AB88" s="51">
        <f t="shared" si="47"/>
        <v>2396.9659052500033</v>
      </c>
      <c r="AC88" s="44">
        <f t="shared" si="48"/>
        <v>5347.3778702438058</v>
      </c>
      <c r="AD88" s="44">
        <f t="shared" si="49"/>
        <v>0</v>
      </c>
      <c r="AE88" s="44">
        <f t="shared" si="50"/>
        <v>0</v>
      </c>
      <c r="AF88" s="52">
        <f>HLOOKUP(I88,ElecAvoidedCostsWOCC!$A$5:$Q$50,G88+1,FALSE)</f>
        <v>1.2592865625776986</v>
      </c>
      <c r="AG88" s="44">
        <f t="shared" si="51"/>
        <v>9643.6164962200164</v>
      </c>
      <c r="AH88" s="52">
        <f>HLOOKUP(I88,ElecAvoidedCostsWOCC!$A$5:$Q$50,T88+1,FALSE)</f>
        <v>1.2592865625776986</v>
      </c>
      <c r="AI88" s="44">
        <f t="shared" si="52"/>
        <v>0</v>
      </c>
      <c r="AJ88" s="44">
        <f t="shared" si="53"/>
        <v>9643.6164962200164</v>
      </c>
      <c r="AK88" s="44">
        <f>HLOOKUP(I88,ElecAvoidedCostsWOCC!$A$5:$Q$50,G88+1,FALSE)*J88*L88</f>
        <v>0</v>
      </c>
      <c r="AL88" s="44">
        <f t="shared" si="54"/>
        <v>9643.6164962200164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9643.6164962200164</v>
      </c>
      <c r="AN88" s="48">
        <f t="shared" si="55"/>
        <v>10607.978145842018</v>
      </c>
      <c r="AO88" s="47">
        <f t="shared" si="56"/>
        <v>4.0232597698189574</v>
      </c>
      <c r="AP88" s="47">
        <f t="shared" si="57"/>
        <v>1.9837719351893048</v>
      </c>
      <c r="AQ88">
        <v>2020</v>
      </c>
    </row>
    <row r="89" spans="2:43">
      <c r="B89" s="37" t="s">
        <v>65</v>
      </c>
      <c r="C89" s="98">
        <v>18230711</v>
      </c>
      <c r="D89" s="61" t="s">
        <v>125</v>
      </c>
      <c r="E89" s="38" t="s">
        <v>1012</v>
      </c>
      <c r="F89" s="39" t="s">
        <v>1013</v>
      </c>
      <c r="G89" s="39">
        <v>20</v>
      </c>
      <c r="H89" s="39"/>
      <c r="I89" s="40" t="s">
        <v>260</v>
      </c>
      <c r="J89" s="41">
        <v>1</v>
      </c>
      <c r="K89" s="41">
        <v>55861</v>
      </c>
      <c r="L89" s="41"/>
      <c r="M89" s="42">
        <v>19551</v>
      </c>
      <c r="N89" s="42">
        <v>53638</v>
      </c>
      <c r="O89" s="43">
        <v>55861</v>
      </c>
      <c r="P89" s="44">
        <v>19551</v>
      </c>
      <c r="Q89" s="44">
        <v>53638</v>
      </c>
      <c r="R89" s="45"/>
      <c r="S89" s="46"/>
      <c r="T89" s="39">
        <f t="shared" ref="T89:T110" si="58">G89+H89</f>
        <v>20</v>
      </c>
      <c r="U89" s="47">
        <f t="shared" ref="U89:U110" si="59">(O89/$A$10)*T89</f>
        <v>5.8048204086599386E-2</v>
      </c>
      <c r="V89" s="48">
        <f t="shared" ref="V89:V110" si="60">N89-M89</f>
        <v>34087</v>
      </c>
      <c r="W89" s="49">
        <f t="shared" si="42"/>
        <v>2.9024102043299694E-3</v>
      </c>
      <c r="X89" s="44">
        <f t="shared" si="43"/>
        <v>6613.0882752421776</v>
      </c>
      <c r="Y89" s="44">
        <f t="shared" ref="Y89:Y110" si="61">Q89-P89</f>
        <v>34087</v>
      </c>
      <c r="Z89" s="44">
        <f t="shared" si="45"/>
        <v>18703.255057425231</v>
      </c>
      <c r="AA89" s="50">
        <f t="shared" ref="AA89:AA110" si="62">Q89+X89</f>
        <v>60251.088275242175</v>
      </c>
      <c r="AB89" s="51">
        <f t="shared" ref="AB89:AB110" si="63">Z89/(1+ElecDiscountRate)^1</f>
        <v>17484.579842409301</v>
      </c>
      <c r="AC89" s="44">
        <f t="shared" ref="AC89:AC110" si="64">AA89/(1+ElecDiscountRate)^1</f>
        <v>56325.220412491508</v>
      </c>
      <c r="AD89" s="44">
        <f t="shared" ref="AD89:AD110" si="65">-PV(ElecDiscountRate,T89,R89)*J89</f>
        <v>0</v>
      </c>
      <c r="AE89" s="44">
        <f t="shared" ref="AE89:AE110" si="66">-PV(ElecDiscountRate,T89,S89)*J89</f>
        <v>0</v>
      </c>
      <c r="AF89" s="52">
        <f>HLOOKUP(I89,ElecAvoidedCostsWOCC!$A$5:$Q$50,G89+1,FALSE)</f>
        <v>1.2592865625776986</v>
      </c>
      <c r="AG89" s="44">
        <f t="shared" ref="AG89:AG110" si="67">AF89*J89*K89</f>
        <v>70345.006672152813</v>
      </c>
      <c r="AH89" s="52">
        <f>HLOOKUP(I89,ElecAvoidedCostsWOCC!$A$5:$Q$50,T89+1,FALSE)</f>
        <v>1.2592865625776986</v>
      </c>
      <c r="AI89" s="44">
        <f t="shared" ref="AI89:AI110" si="68">AH89*J89*L89</f>
        <v>0</v>
      </c>
      <c r="AJ89" s="44">
        <f t="shared" ref="AJ89:AJ110" si="69">AG89+AI89</f>
        <v>70345.006672152813</v>
      </c>
      <c r="AK89" s="44">
        <f>HLOOKUP(I89,ElecAvoidedCostsWOCC!$A$5:$Q$50,G89+1,FALSE)*J89*L89</f>
        <v>0</v>
      </c>
      <c r="AL89" s="44">
        <f t="shared" ref="AL89:AL110" si="70">AG89+AI89-AK89</f>
        <v>70345.006672152813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70345.006672152813</v>
      </c>
      <c r="AN89" s="48">
        <f t="shared" ref="AN89:AN110" si="71">AM89*1.1+AD89+AE89</f>
        <v>77379.507339368094</v>
      </c>
      <c r="AO89" s="47">
        <f t="shared" ref="AO89:AO110" si="72">IFERROR(AM89/AB89,0)</f>
        <v>4.0232597698189565</v>
      </c>
      <c r="AP89" s="47">
        <f t="shared" ref="AP89:AP110" si="73">AN89/AC89</f>
        <v>1.373798571451436</v>
      </c>
      <c r="AQ89">
        <v>2020</v>
      </c>
    </row>
    <row r="90" spans="2:43">
      <c r="B90" s="37" t="s">
        <v>65</v>
      </c>
      <c r="C90" s="98">
        <v>18230711</v>
      </c>
      <c r="D90" s="61" t="s">
        <v>125</v>
      </c>
      <c r="E90" s="38" t="s">
        <v>1012</v>
      </c>
      <c r="F90" s="39" t="s">
        <v>1013</v>
      </c>
      <c r="G90" s="39">
        <v>20</v>
      </c>
      <c r="H90" s="39"/>
      <c r="I90" s="40" t="s">
        <v>260</v>
      </c>
      <c r="J90" s="41">
        <v>1</v>
      </c>
      <c r="K90" s="41">
        <v>22974</v>
      </c>
      <c r="L90" s="41"/>
      <c r="M90" s="42">
        <v>1014</v>
      </c>
      <c r="N90" s="42">
        <v>16567</v>
      </c>
      <c r="O90" s="43">
        <v>22974</v>
      </c>
      <c r="P90" s="44">
        <v>1014</v>
      </c>
      <c r="Q90" s="44">
        <v>16567</v>
      </c>
      <c r="R90" s="45"/>
      <c r="S90" s="46"/>
      <c r="T90" s="39">
        <f t="shared" si="58"/>
        <v>20</v>
      </c>
      <c r="U90" s="47">
        <f t="shared" si="59"/>
        <v>2.3873533246550088E-2</v>
      </c>
      <c r="V90" s="48">
        <f t="shared" si="60"/>
        <v>15553</v>
      </c>
      <c r="W90" s="49">
        <f t="shared" si="42"/>
        <v>1.1936766623275043E-3</v>
      </c>
      <c r="X90" s="44">
        <f t="shared" si="43"/>
        <v>2719.7703233993984</v>
      </c>
      <c r="Y90" s="44">
        <f t="shared" si="61"/>
        <v>15553</v>
      </c>
      <c r="Z90" s="44">
        <f t="shared" si="45"/>
        <v>7692.1032865377874</v>
      </c>
      <c r="AA90" s="50">
        <f t="shared" si="62"/>
        <v>19286.7703233994</v>
      </c>
      <c r="AB90" s="51">
        <f t="shared" si="63"/>
        <v>7190.8977157500112</v>
      </c>
      <c r="AC90" s="44">
        <f t="shared" si="64"/>
        <v>18030.074154809197</v>
      </c>
      <c r="AD90" s="44">
        <f t="shared" si="65"/>
        <v>0</v>
      </c>
      <c r="AE90" s="44">
        <f t="shared" si="66"/>
        <v>0</v>
      </c>
      <c r="AF90" s="52">
        <f>HLOOKUP(I90,ElecAvoidedCostsWOCC!$A$5:$Q$50,G90+1,FALSE)</f>
        <v>1.2592865625776986</v>
      </c>
      <c r="AG90" s="44">
        <f t="shared" si="67"/>
        <v>28930.849488660046</v>
      </c>
      <c r="AH90" s="52">
        <f>HLOOKUP(I90,ElecAvoidedCostsWOCC!$A$5:$Q$50,T90+1,FALSE)</f>
        <v>1.2592865625776986</v>
      </c>
      <c r="AI90" s="44">
        <f t="shared" si="68"/>
        <v>0</v>
      </c>
      <c r="AJ90" s="44">
        <f t="shared" si="69"/>
        <v>28930.849488660046</v>
      </c>
      <c r="AK90" s="44">
        <f>HLOOKUP(I90,ElecAvoidedCostsWOCC!$A$5:$Q$50,G90+1,FALSE)*J90*L90</f>
        <v>0</v>
      </c>
      <c r="AL90" s="44">
        <f t="shared" si="70"/>
        <v>28930.849488660046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28930.849488660046</v>
      </c>
      <c r="AN90" s="48">
        <f t="shared" si="71"/>
        <v>31823.934437526052</v>
      </c>
      <c r="AO90" s="47">
        <f t="shared" si="72"/>
        <v>4.0232597698189556</v>
      </c>
      <c r="AP90" s="47">
        <f t="shared" si="73"/>
        <v>1.7650473405866494</v>
      </c>
      <c r="AQ90">
        <v>2020</v>
      </c>
    </row>
    <row r="91" spans="2:43">
      <c r="B91" s="37" t="s">
        <v>65</v>
      </c>
      <c r="C91" s="98">
        <v>18230711</v>
      </c>
      <c r="D91" s="61" t="s">
        <v>125</v>
      </c>
      <c r="E91" s="38" t="s">
        <v>1012</v>
      </c>
      <c r="F91" s="39" t="s">
        <v>1013</v>
      </c>
      <c r="G91" s="39">
        <v>20</v>
      </c>
      <c r="H91" s="39"/>
      <c r="I91" s="40" t="s">
        <v>260</v>
      </c>
      <c r="J91" s="41">
        <v>1</v>
      </c>
      <c r="K91" s="41">
        <v>657695</v>
      </c>
      <c r="L91" s="41"/>
      <c r="M91" s="42">
        <v>151991</v>
      </c>
      <c r="N91" s="42">
        <v>250319</v>
      </c>
      <c r="O91" s="43">
        <v>657695</v>
      </c>
      <c r="P91" s="44">
        <v>151991</v>
      </c>
      <c r="Q91" s="44">
        <v>250319</v>
      </c>
      <c r="R91" s="45"/>
      <c r="S91" s="46"/>
      <c r="T91" s="39">
        <f t="shared" si="58"/>
        <v>20</v>
      </c>
      <c r="U91" s="47">
        <f t="shared" si="59"/>
        <v>0.68344665485286671</v>
      </c>
      <c r="V91" s="48">
        <f t="shared" si="60"/>
        <v>98328</v>
      </c>
      <c r="W91" s="49">
        <f t="shared" si="42"/>
        <v>3.4172332742643335E-2</v>
      </c>
      <c r="X91" s="44">
        <f t="shared" si="43"/>
        <v>77861.031724913701</v>
      </c>
      <c r="Y91" s="44">
        <f t="shared" si="61"/>
        <v>98328</v>
      </c>
      <c r="Z91" s="44">
        <f t="shared" si="45"/>
        <v>220207.96861841518</v>
      </c>
      <c r="AA91" s="50">
        <f t="shared" si="62"/>
        <v>328180.03172491369</v>
      </c>
      <c r="AB91" s="51">
        <f t="shared" si="63"/>
        <v>205859.55746322815</v>
      </c>
      <c r="AC91" s="44">
        <f t="shared" si="64"/>
        <v>306796.3276852516</v>
      </c>
      <c r="AD91" s="44">
        <f t="shared" si="65"/>
        <v>0</v>
      </c>
      <c r="AE91" s="44">
        <f t="shared" si="66"/>
        <v>0</v>
      </c>
      <c r="AF91" s="52">
        <f>HLOOKUP(I91,ElecAvoidedCostsWOCC!$A$5:$Q$50,G91+1,FALSE)</f>
        <v>1.2592865625776986</v>
      </c>
      <c r="AG91" s="44">
        <f t="shared" si="67"/>
        <v>828226.4757745394</v>
      </c>
      <c r="AH91" s="52">
        <f>HLOOKUP(I91,ElecAvoidedCostsWOCC!$A$5:$Q$50,T91+1,FALSE)</f>
        <v>1.2592865625776986</v>
      </c>
      <c r="AI91" s="44">
        <f t="shared" si="68"/>
        <v>0</v>
      </c>
      <c r="AJ91" s="44">
        <f t="shared" si="69"/>
        <v>828226.4757745394</v>
      </c>
      <c r="AK91" s="44">
        <f>HLOOKUP(I91,ElecAvoidedCostsWOCC!$A$5:$Q$50,G91+1,FALSE)*J91*L91</f>
        <v>0</v>
      </c>
      <c r="AL91" s="44">
        <f t="shared" si="70"/>
        <v>828226.4757745394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828226.4757745394</v>
      </c>
      <c r="AN91" s="48">
        <f t="shared" si="71"/>
        <v>911049.12335199339</v>
      </c>
      <c r="AO91" s="47">
        <f t="shared" si="72"/>
        <v>4.0232597698189556</v>
      </c>
      <c r="AP91" s="47">
        <f t="shared" si="73"/>
        <v>2.9695568073639285</v>
      </c>
      <c r="AQ91">
        <v>2020</v>
      </c>
    </row>
    <row r="92" spans="2:43">
      <c r="B92" s="37" t="s">
        <v>65</v>
      </c>
      <c r="C92" s="98">
        <v>18230711</v>
      </c>
      <c r="D92" s="61" t="s">
        <v>125</v>
      </c>
      <c r="E92" s="38" t="s">
        <v>2094</v>
      </c>
      <c r="F92" s="39" t="s">
        <v>2095</v>
      </c>
      <c r="G92" s="39">
        <v>10</v>
      </c>
      <c r="H92" s="39"/>
      <c r="I92" s="40" t="s">
        <v>256</v>
      </c>
      <c r="J92" s="41">
        <v>1</v>
      </c>
      <c r="K92" s="41">
        <v>123676</v>
      </c>
      <c r="L92" s="41"/>
      <c r="M92" s="42">
        <v>43287</v>
      </c>
      <c r="N92" s="42">
        <v>108769</v>
      </c>
      <c r="O92" s="43">
        <v>123676</v>
      </c>
      <c r="P92" s="44">
        <v>43287</v>
      </c>
      <c r="Q92" s="44">
        <v>108769</v>
      </c>
      <c r="R92" s="45"/>
      <c r="S92" s="46"/>
      <c r="T92" s="39">
        <f t="shared" si="58"/>
        <v>10</v>
      </c>
      <c r="U92" s="47">
        <f t="shared" si="59"/>
        <v>6.425922995125638E-2</v>
      </c>
      <c r="V92" s="48">
        <f t="shared" si="60"/>
        <v>65482</v>
      </c>
      <c r="W92" s="49">
        <f t="shared" si="42"/>
        <v>6.4259229951256387E-3</v>
      </c>
      <c r="X92" s="44">
        <f t="shared" si="43"/>
        <v>14641.347371669886</v>
      </c>
      <c r="Y92" s="44">
        <f t="shared" si="61"/>
        <v>65482</v>
      </c>
      <c r="Z92" s="44">
        <f t="shared" si="45"/>
        <v>41408.921653427664</v>
      </c>
      <c r="AA92" s="50">
        <f t="shared" si="62"/>
        <v>123410.34737166989</v>
      </c>
      <c r="AB92" s="51">
        <f t="shared" si="63"/>
        <v>38710.780268699316</v>
      </c>
      <c r="AC92" s="44">
        <f t="shared" si="64"/>
        <v>115369.11972671766</v>
      </c>
      <c r="AD92" s="44">
        <f t="shared" si="65"/>
        <v>0</v>
      </c>
      <c r="AE92" s="44">
        <f t="shared" si="66"/>
        <v>0</v>
      </c>
      <c r="AF92" s="52">
        <f>HLOOKUP(I92,ElecAvoidedCostsWOCC!$A$5:$Q$50,G92+1,FALSE)</f>
        <v>0.70839718084543712</v>
      </c>
      <c r="AG92" s="44">
        <f t="shared" si="67"/>
        <v>87611.729738240276</v>
      </c>
      <c r="AH92" s="52">
        <f>HLOOKUP(I92,ElecAvoidedCostsWOCC!$A$5:$Q$50,T92+1,FALSE)</f>
        <v>0.70839718084543712</v>
      </c>
      <c r="AI92" s="44">
        <f t="shared" si="68"/>
        <v>0</v>
      </c>
      <c r="AJ92" s="44">
        <f t="shared" si="69"/>
        <v>87611.729738240276</v>
      </c>
      <c r="AK92" s="44">
        <f>HLOOKUP(I92,ElecAvoidedCostsWOCC!$A$5:$Q$50,G92+1,FALSE)*J92*L92</f>
        <v>0</v>
      </c>
      <c r="AL92" s="44">
        <f t="shared" si="70"/>
        <v>87611.729738240276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87611.729738240276</v>
      </c>
      <c r="AN92" s="48">
        <f t="shared" si="71"/>
        <v>96372.902712064315</v>
      </c>
      <c r="AO92" s="47">
        <f t="shared" si="72"/>
        <v>2.263238537950143</v>
      </c>
      <c r="AP92" s="47">
        <f t="shared" si="73"/>
        <v>0.83534400661415353</v>
      </c>
      <c r="AQ92">
        <v>2020</v>
      </c>
    </row>
    <row r="93" spans="2:43">
      <c r="B93" s="37" t="s">
        <v>65</v>
      </c>
      <c r="C93" s="98">
        <v>18230711</v>
      </c>
      <c r="D93" s="61" t="s">
        <v>125</v>
      </c>
      <c r="E93" s="38" t="s">
        <v>1014</v>
      </c>
      <c r="F93" s="39" t="s">
        <v>1015</v>
      </c>
      <c r="G93" s="39">
        <v>10</v>
      </c>
      <c r="H93" s="39"/>
      <c r="I93" s="40" t="s">
        <v>261</v>
      </c>
      <c r="J93" s="41">
        <v>1</v>
      </c>
      <c r="K93" s="41">
        <v>102633</v>
      </c>
      <c r="L93" s="41"/>
      <c r="M93" s="42">
        <v>21942</v>
      </c>
      <c r="N93" s="42">
        <v>21942</v>
      </c>
      <c r="O93" s="43">
        <v>102633</v>
      </c>
      <c r="P93" s="44">
        <v>21942</v>
      </c>
      <c r="Q93" s="44">
        <v>21942</v>
      </c>
      <c r="R93" s="45"/>
      <c r="S93" s="46"/>
      <c r="T93" s="39">
        <f t="shared" si="58"/>
        <v>10</v>
      </c>
      <c r="U93" s="47">
        <f t="shared" si="59"/>
        <v>5.3325766903742813E-2</v>
      </c>
      <c r="V93" s="48">
        <f t="shared" si="60"/>
        <v>0</v>
      </c>
      <c r="W93" s="49">
        <f t="shared" si="42"/>
        <v>5.3325766903742815E-3</v>
      </c>
      <c r="X93" s="44">
        <f t="shared" si="43"/>
        <v>12150.177922932464</v>
      </c>
      <c r="Y93" s="44">
        <f t="shared" si="61"/>
        <v>0</v>
      </c>
      <c r="Z93" s="44">
        <f t="shared" si="45"/>
        <v>34363.351467190412</v>
      </c>
      <c r="AA93" s="50">
        <f t="shared" si="62"/>
        <v>34092.17792293246</v>
      </c>
      <c r="AB93" s="51">
        <f t="shared" si="63"/>
        <v>32124.288554912975</v>
      </c>
      <c r="AC93" s="44">
        <f t="shared" si="64"/>
        <v>31870.784260009776</v>
      </c>
      <c r="AD93" s="44">
        <f t="shared" si="65"/>
        <v>0</v>
      </c>
      <c r="AE93" s="44">
        <f t="shared" si="66"/>
        <v>0</v>
      </c>
      <c r="AF93" s="52">
        <f>HLOOKUP(I93,ElecAvoidedCostsWOCC!$A$5:$Q$50,G93+1,FALSE)</f>
        <v>0.97334887994043018</v>
      </c>
      <c r="AG93" s="44">
        <f t="shared" si="67"/>
        <v>99897.715594926165</v>
      </c>
      <c r="AH93" s="52">
        <f>HLOOKUP(I93,ElecAvoidedCostsWOCC!$A$5:$Q$50,T93+1,FALSE)</f>
        <v>0.97334887994043018</v>
      </c>
      <c r="AI93" s="44">
        <f t="shared" si="68"/>
        <v>0</v>
      </c>
      <c r="AJ93" s="44">
        <f t="shared" si="69"/>
        <v>99897.715594926165</v>
      </c>
      <c r="AK93" s="44">
        <f>HLOOKUP(I93,ElecAvoidedCostsWOCC!$A$5:$Q$50,G93+1,FALSE)*J93*L93</f>
        <v>0</v>
      </c>
      <c r="AL93" s="44">
        <f t="shared" si="70"/>
        <v>99897.715594926165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99897.715594926165</v>
      </c>
      <c r="AN93" s="48">
        <f t="shared" si="71"/>
        <v>109887.48715441879</v>
      </c>
      <c r="AO93" s="47">
        <f t="shared" si="72"/>
        <v>3.1097253850201816</v>
      </c>
      <c r="AP93" s="47">
        <f t="shared" si="73"/>
        <v>3.4479065923803245</v>
      </c>
      <c r="AQ93">
        <v>2020</v>
      </c>
    </row>
    <row r="94" spans="2:43">
      <c r="B94" s="37" t="s">
        <v>65</v>
      </c>
      <c r="C94" s="98">
        <v>18230711</v>
      </c>
      <c r="D94" s="61" t="s">
        <v>125</v>
      </c>
      <c r="E94" s="38" t="s">
        <v>1014</v>
      </c>
      <c r="F94" s="39" t="s">
        <v>1015</v>
      </c>
      <c r="G94" s="39">
        <v>10</v>
      </c>
      <c r="H94" s="39"/>
      <c r="I94" s="40" t="s">
        <v>261</v>
      </c>
      <c r="J94" s="41">
        <v>1</v>
      </c>
      <c r="K94" s="41">
        <v>805987</v>
      </c>
      <c r="L94" s="41"/>
      <c r="M94" s="42">
        <v>69020</v>
      </c>
      <c r="N94" s="42">
        <v>69020</v>
      </c>
      <c r="O94" s="43">
        <v>805987</v>
      </c>
      <c r="P94" s="44">
        <v>69020</v>
      </c>
      <c r="Q94" s="44">
        <v>69020</v>
      </c>
      <c r="R94" s="45"/>
      <c r="S94" s="46"/>
      <c r="T94" s="39">
        <f t="shared" si="58"/>
        <v>10</v>
      </c>
      <c r="U94" s="47">
        <f t="shared" si="59"/>
        <v>0.41877246976554289</v>
      </c>
      <c r="V94" s="48">
        <f t="shared" si="60"/>
        <v>0</v>
      </c>
      <c r="W94" s="49">
        <f t="shared" si="42"/>
        <v>4.1877246976554289E-2</v>
      </c>
      <c r="X94" s="44">
        <f t="shared" si="43"/>
        <v>95416.537113507045</v>
      </c>
      <c r="Y94" s="44">
        <f t="shared" si="61"/>
        <v>0</v>
      </c>
      <c r="Z94" s="44">
        <f t="shared" si="45"/>
        <v>269858.76432518195</v>
      </c>
      <c r="AA94" s="50">
        <f t="shared" si="62"/>
        <v>164436.53711350705</v>
      </c>
      <c r="AB94" s="51">
        <f t="shared" si="63"/>
        <v>252275.18400035705</v>
      </c>
      <c r="AC94" s="44">
        <f t="shared" si="64"/>
        <v>153722.10630411052</v>
      </c>
      <c r="AD94" s="44">
        <f t="shared" si="65"/>
        <v>0</v>
      </c>
      <c r="AE94" s="44">
        <f t="shared" si="66"/>
        <v>0</v>
      </c>
      <c r="AF94" s="52">
        <f>HLOOKUP(I94,ElecAvoidedCostsWOCC!$A$5:$Q$50,G94+1,FALSE)</f>
        <v>0.97334887994043018</v>
      </c>
      <c r="AG94" s="44">
        <f t="shared" si="67"/>
        <v>784506.54369654751</v>
      </c>
      <c r="AH94" s="52">
        <f>HLOOKUP(I94,ElecAvoidedCostsWOCC!$A$5:$Q$50,T94+1,FALSE)</f>
        <v>0.97334887994043018</v>
      </c>
      <c r="AI94" s="44">
        <f t="shared" si="68"/>
        <v>0</v>
      </c>
      <c r="AJ94" s="44">
        <f t="shared" si="69"/>
        <v>784506.54369654751</v>
      </c>
      <c r="AK94" s="44">
        <f>HLOOKUP(I94,ElecAvoidedCostsWOCC!$A$5:$Q$50,G94+1,FALSE)*J94*L94</f>
        <v>0</v>
      </c>
      <c r="AL94" s="44">
        <f t="shared" si="70"/>
        <v>784506.54369654751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784506.54369654751</v>
      </c>
      <c r="AN94" s="48">
        <f t="shared" si="71"/>
        <v>862957.19806620234</v>
      </c>
      <c r="AO94" s="47">
        <f t="shared" si="72"/>
        <v>3.1097253850201816</v>
      </c>
      <c r="AP94" s="47">
        <f t="shared" si="73"/>
        <v>5.6137482032610357</v>
      </c>
      <c r="AQ94">
        <v>2020</v>
      </c>
    </row>
    <row r="95" spans="2:43">
      <c r="B95" s="37" t="s">
        <v>65</v>
      </c>
      <c r="C95" s="98">
        <v>18230711</v>
      </c>
      <c r="D95" s="61" t="s">
        <v>125</v>
      </c>
      <c r="E95" s="38" t="s">
        <v>1014</v>
      </c>
      <c r="F95" s="39" t="s">
        <v>1015</v>
      </c>
      <c r="G95" s="39">
        <v>10</v>
      </c>
      <c r="H95" s="39"/>
      <c r="I95" s="40" t="s">
        <v>261</v>
      </c>
      <c r="J95" s="41">
        <v>1</v>
      </c>
      <c r="K95" s="41">
        <v>402656</v>
      </c>
      <c r="L95" s="41"/>
      <c r="M95" s="42">
        <v>138056</v>
      </c>
      <c r="N95" s="42">
        <v>138056</v>
      </c>
      <c r="O95" s="43">
        <v>402656</v>
      </c>
      <c r="P95" s="44">
        <v>138056</v>
      </c>
      <c r="Q95" s="44">
        <v>138056</v>
      </c>
      <c r="R95" s="45"/>
      <c r="S95" s="46"/>
      <c r="T95" s="39">
        <f t="shared" si="58"/>
        <v>10</v>
      </c>
      <c r="U95" s="47">
        <f t="shared" si="59"/>
        <v>0.20921087757732376</v>
      </c>
      <c r="V95" s="48">
        <f t="shared" si="60"/>
        <v>0</v>
      </c>
      <c r="W95" s="49">
        <f t="shared" si="42"/>
        <v>2.0921087757732375E-2</v>
      </c>
      <c r="X95" s="44">
        <f t="shared" si="43"/>
        <v>47668.313717189347</v>
      </c>
      <c r="Y95" s="44">
        <f t="shared" si="61"/>
        <v>0</v>
      </c>
      <c r="Z95" s="44">
        <f t="shared" si="45"/>
        <v>134816.38116758765</v>
      </c>
      <c r="AA95" s="50">
        <f t="shared" si="62"/>
        <v>185724.31371718936</v>
      </c>
      <c r="AB95" s="51">
        <f t="shared" si="63"/>
        <v>126031.95397549559</v>
      </c>
      <c r="AC95" s="44">
        <f t="shared" si="64"/>
        <v>173622.80426024992</v>
      </c>
      <c r="AD95" s="44">
        <f t="shared" si="65"/>
        <v>0</v>
      </c>
      <c r="AE95" s="44">
        <f t="shared" si="66"/>
        <v>0</v>
      </c>
      <c r="AF95" s="52">
        <f>HLOOKUP(I95,ElecAvoidedCostsWOCC!$A$5:$Q$50,G95+1,FALSE)</f>
        <v>0.97334887994043018</v>
      </c>
      <c r="AG95" s="44">
        <f t="shared" si="67"/>
        <v>391924.76660129387</v>
      </c>
      <c r="AH95" s="52">
        <f>HLOOKUP(I95,ElecAvoidedCostsWOCC!$A$5:$Q$50,T95+1,FALSE)</f>
        <v>0.97334887994043018</v>
      </c>
      <c r="AI95" s="44">
        <f t="shared" si="68"/>
        <v>0</v>
      </c>
      <c r="AJ95" s="44">
        <f t="shared" si="69"/>
        <v>391924.76660129387</v>
      </c>
      <c r="AK95" s="44">
        <f>HLOOKUP(I95,ElecAvoidedCostsWOCC!$A$5:$Q$50,G95+1,FALSE)*J95*L95</f>
        <v>0</v>
      </c>
      <c r="AL95" s="44">
        <f t="shared" si="70"/>
        <v>391924.76660129387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391924.76660129387</v>
      </c>
      <c r="AN95" s="48">
        <f t="shared" si="71"/>
        <v>431117.24326142331</v>
      </c>
      <c r="AO95" s="47">
        <f t="shared" si="72"/>
        <v>3.109725385020182</v>
      </c>
      <c r="AP95" s="47">
        <f t="shared" si="73"/>
        <v>2.4830680802459857</v>
      </c>
      <c r="AQ95">
        <v>2020</v>
      </c>
    </row>
    <row r="96" spans="2:43">
      <c r="B96" s="37" t="s">
        <v>65</v>
      </c>
      <c r="C96" s="98">
        <v>18230711</v>
      </c>
      <c r="D96" s="61" t="s">
        <v>125</v>
      </c>
      <c r="E96" s="38" t="s">
        <v>1014</v>
      </c>
      <c r="F96" s="39" t="s">
        <v>1015</v>
      </c>
      <c r="G96" s="39">
        <v>10</v>
      </c>
      <c r="H96" s="39"/>
      <c r="I96" s="40" t="s">
        <v>261</v>
      </c>
      <c r="J96" s="41">
        <v>1</v>
      </c>
      <c r="K96" s="41">
        <v>1316058</v>
      </c>
      <c r="L96" s="41"/>
      <c r="M96" s="42">
        <v>170430</v>
      </c>
      <c r="N96" s="42">
        <v>170430</v>
      </c>
      <c r="O96" s="43">
        <v>1316058</v>
      </c>
      <c r="P96" s="44">
        <v>170430</v>
      </c>
      <c r="Q96" s="44">
        <v>170430</v>
      </c>
      <c r="R96" s="45"/>
      <c r="S96" s="46"/>
      <c r="T96" s="39">
        <f t="shared" si="58"/>
        <v>10</v>
      </c>
      <c r="U96" s="47">
        <f t="shared" si="59"/>
        <v>0.68379373242335273</v>
      </c>
      <c r="V96" s="48">
        <f t="shared" si="60"/>
        <v>0</v>
      </c>
      <c r="W96" s="49">
        <f t="shared" si="42"/>
        <v>6.837937324233527E-2</v>
      </c>
      <c r="X96" s="44">
        <f t="shared" si="43"/>
        <v>155801.14443598696</v>
      </c>
      <c r="Y96" s="44">
        <f t="shared" si="61"/>
        <v>0</v>
      </c>
      <c r="Z96" s="44">
        <f t="shared" si="45"/>
        <v>440639.59550249611</v>
      </c>
      <c r="AA96" s="50">
        <f t="shared" si="62"/>
        <v>326231.14443598699</v>
      </c>
      <c r="AB96" s="51">
        <f t="shared" si="63"/>
        <v>411928.19996493979</v>
      </c>
      <c r="AC96" s="44">
        <f t="shared" si="64"/>
        <v>304974.42688229127</v>
      </c>
      <c r="AD96" s="44">
        <f t="shared" si="65"/>
        <v>0</v>
      </c>
      <c r="AE96" s="44">
        <f t="shared" si="66"/>
        <v>0</v>
      </c>
      <c r="AF96" s="52">
        <f>HLOOKUP(I96,ElecAvoidedCostsWOCC!$A$5:$Q$50,G96+1,FALSE)</f>
        <v>0.97334887994043018</v>
      </c>
      <c r="AG96" s="44">
        <f t="shared" si="67"/>
        <v>1280983.5802366426</v>
      </c>
      <c r="AH96" s="52">
        <f>HLOOKUP(I96,ElecAvoidedCostsWOCC!$A$5:$Q$50,T96+1,FALSE)</f>
        <v>0.97334887994043018</v>
      </c>
      <c r="AI96" s="44">
        <f t="shared" si="68"/>
        <v>0</v>
      </c>
      <c r="AJ96" s="44">
        <f t="shared" si="69"/>
        <v>1280983.5802366426</v>
      </c>
      <c r="AK96" s="44">
        <f>HLOOKUP(I96,ElecAvoidedCostsWOCC!$A$5:$Q$50,G96+1,FALSE)*J96*L96</f>
        <v>0</v>
      </c>
      <c r="AL96" s="44">
        <f t="shared" si="70"/>
        <v>1280983.5802366426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1280983.5802366426</v>
      </c>
      <c r="AN96" s="48">
        <f t="shared" si="71"/>
        <v>1409081.9382603071</v>
      </c>
      <c r="AO96" s="47">
        <f t="shared" si="72"/>
        <v>3.1097253850201811</v>
      </c>
      <c r="AP96" s="47">
        <f t="shared" si="73"/>
        <v>4.6203281785464592</v>
      </c>
      <c r="AQ96">
        <v>2020</v>
      </c>
    </row>
    <row r="97" spans="2:43">
      <c r="B97" s="37" t="s">
        <v>65</v>
      </c>
      <c r="C97" s="98">
        <v>18230711</v>
      </c>
      <c r="D97" s="61" t="s">
        <v>125</v>
      </c>
      <c r="E97" s="38" t="s">
        <v>1014</v>
      </c>
      <c r="F97" s="39" t="s">
        <v>1015</v>
      </c>
      <c r="G97" s="39">
        <v>10</v>
      </c>
      <c r="H97" s="39"/>
      <c r="I97" s="40" t="s">
        <v>261</v>
      </c>
      <c r="J97" s="41">
        <v>1</v>
      </c>
      <c r="K97" s="41">
        <v>278900</v>
      </c>
      <c r="L97" s="41"/>
      <c r="M97" s="42">
        <v>65982</v>
      </c>
      <c r="N97" s="42">
        <v>65982</v>
      </c>
      <c r="O97" s="43">
        <v>278900</v>
      </c>
      <c r="P97" s="44">
        <v>65982</v>
      </c>
      <c r="Q97" s="44">
        <v>65982</v>
      </c>
      <c r="R97" s="45"/>
      <c r="S97" s="46"/>
      <c r="T97" s="39">
        <f t="shared" si="58"/>
        <v>10</v>
      </c>
      <c r="U97" s="47">
        <f t="shared" si="59"/>
        <v>0.14491008144996123</v>
      </c>
      <c r="V97" s="48">
        <f t="shared" si="60"/>
        <v>0</v>
      </c>
      <c r="W97" s="49">
        <f t="shared" si="42"/>
        <v>1.4491008144996124E-2</v>
      </c>
      <c r="X97" s="44">
        <f t="shared" si="43"/>
        <v>33017.495568733881</v>
      </c>
      <c r="Y97" s="44">
        <f t="shared" si="61"/>
        <v>0</v>
      </c>
      <c r="Z97" s="44">
        <f t="shared" si="45"/>
        <v>93380.674093122158</v>
      </c>
      <c r="AA97" s="50">
        <f t="shared" si="62"/>
        <v>98999.495568733881</v>
      </c>
      <c r="AB97" s="51">
        <f t="shared" si="63"/>
        <v>87296.133582426992</v>
      </c>
      <c r="AC97" s="44">
        <f t="shared" si="64"/>
        <v>92548.841328161041</v>
      </c>
      <c r="AD97" s="44">
        <f t="shared" si="65"/>
        <v>0</v>
      </c>
      <c r="AE97" s="44">
        <f t="shared" si="66"/>
        <v>0</v>
      </c>
      <c r="AF97" s="52">
        <f>HLOOKUP(I97,ElecAvoidedCostsWOCC!$A$5:$Q$50,G97+1,FALSE)</f>
        <v>0.97334887994043018</v>
      </c>
      <c r="AG97" s="44">
        <f t="shared" si="67"/>
        <v>271467.00261538598</v>
      </c>
      <c r="AH97" s="52">
        <f>HLOOKUP(I97,ElecAvoidedCostsWOCC!$A$5:$Q$50,T97+1,FALSE)</f>
        <v>0.97334887994043018</v>
      </c>
      <c r="AI97" s="44">
        <f t="shared" si="68"/>
        <v>0</v>
      </c>
      <c r="AJ97" s="44">
        <f t="shared" si="69"/>
        <v>271467.00261538598</v>
      </c>
      <c r="AK97" s="44">
        <f>HLOOKUP(I97,ElecAvoidedCostsWOCC!$A$5:$Q$50,G97+1,FALSE)*J97*L97</f>
        <v>0</v>
      </c>
      <c r="AL97" s="44">
        <f t="shared" si="70"/>
        <v>271467.00261538598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271467.00261538598</v>
      </c>
      <c r="AN97" s="48">
        <f t="shared" si="71"/>
        <v>298613.7028769246</v>
      </c>
      <c r="AO97" s="47">
        <f t="shared" si="72"/>
        <v>3.1097253850201816</v>
      </c>
      <c r="AP97" s="47">
        <f t="shared" si="73"/>
        <v>3.2265525812267679</v>
      </c>
      <c r="AQ97">
        <v>2020</v>
      </c>
    </row>
    <row r="98" spans="2:43">
      <c r="B98" s="37" t="s">
        <v>65</v>
      </c>
      <c r="C98" s="98">
        <v>18230711</v>
      </c>
      <c r="D98" s="61" t="s">
        <v>125</v>
      </c>
      <c r="E98" s="38" t="s">
        <v>1042</v>
      </c>
      <c r="F98" s="39" t="s">
        <v>1043</v>
      </c>
      <c r="G98" s="39">
        <v>15</v>
      </c>
      <c r="H98" s="39"/>
      <c r="I98" s="40" t="s">
        <v>256</v>
      </c>
      <c r="J98" s="41">
        <v>1</v>
      </c>
      <c r="K98" s="41">
        <v>216193</v>
      </c>
      <c r="L98" s="41"/>
      <c r="M98" s="42">
        <v>26432</v>
      </c>
      <c r="N98" s="42">
        <v>37760.160000000003</v>
      </c>
      <c r="O98" s="43">
        <v>216193</v>
      </c>
      <c r="P98" s="44">
        <v>26432</v>
      </c>
      <c r="Q98" s="44">
        <v>37760.160000000003</v>
      </c>
      <c r="R98" s="45"/>
      <c r="S98" s="46"/>
      <c r="T98" s="39">
        <f t="shared" si="58"/>
        <v>15</v>
      </c>
      <c r="U98" s="47">
        <f t="shared" si="59"/>
        <v>0.16849343082957047</v>
      </c>
      <c r="V98" s="48">
        <f t="shared" si="60"/>
        <v>11328.160000000003</v>
      </c>
      <c r="W98" s="49">
        <f t="shared" si="42"/>
        <v>1.1232895388638031E-2</v>
      </c>
      <c r="X98" s="44">
        <f t="shared" si="43"/>
        <v>25593.945570065556</v>
      </c>
      <c r="Y98" s="44">
        <f t="shared" si="61"/>
        <v>11328.160000000003</v>
      </c>
      <c r="Z98" s="44">
        <f t="shared" si="45"/>
        <v>72385.256630384945</v>
      </c>
      <c r="AA98" s="50">
        <f t="shared" si="62"/>
        <v>63354.105570065556</v>
      </c>
      <c r="AB98" s="51">
        <f t="shared" si="63"/>
        <v>67668.745097115956</v>
      </c>
      <c r="AC98" s="44">
        <f t="shared" si="64"/>
        <v>59226.049892554503</v>
      </c>
      <c r="AD98" s="44">
        <f t="shared" si="65"/>
        <v>0</v>
      </c>
      <c r="AE98" s="44">
        <f t="shared" si="66"/>
        <v>0</v>
      </c>
      <c r="AF98" s="52">
        <f>HLOOKUP(I98,ElecAvoidedCostsWOCC!$A$5:$Q$50,G98+1,FALSE)</f>
        <v>1.0293963841416951</v>
      </c>
      <c r="AG98" s="44">
        <f t="shared" si="67"/>
        <v>222548.2924767455</v>
      </c>
      <c r="AH98" s="52">
        <f>HLOOKUP(I98,ElecAvoidedCostsWOCC!$A$5:$Q$50,T98+1,FALSE)</f>
        <v>1.0293963841416951</v>
      </c>
      <c r="AI98" s="44">
        <f t="shared" si="68"/>
        <v>0</v>
      </c>
      <c r="AJ98" s="44">
        <f t="shared" si="69"/>
        <v>222548.2924767455</v>
      </c>
      <c r="AK98" s="44">
        <f>HLOOKUP(I98,ElecAvoidedCostsWOCC!$A$5:$Q$50,G98+1,FALSE)*J98*L98</f>
        <v>0</v>
      </c>
      <c r="AL98" s="44">
        <f t="shared" si="70"/>
        <v>222548.2924767455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222548.2924767455</v>
      </c>
      <c r="AN98" s="48">
        <f t="shared" si="71"/>
        <v>244803.12172442005</v>
      </c>
      <c r="AO98" s="47">
        <f t="shared" si="72"/>
        <v>3.2887900042678715</v>
      </c>
      <c r="AP98" s="47">
        <f t="shared" si="73"/>
        <v>4.1333690524445235</v>
      </c>
      <c r="AQ98">
        <v>2020</v>
      </c>
    </row>
    <row r="99" spans="2:43">
      <c r="B99" s="37" t="s">
        <v>65</v>
      </c>
      <c r="C99" s="98">
        <v>18230711</v>
      </c>
      <c r="D99" s="61" t="s">
        <v>125</v>
      </c>
      <c r="E99" s="38" t="s">
        <v>1042</v>
      </c>
      <c r="F99" s="39" t="s">
        <v>1043</v>
      </c>
      <c r="G99" s="39">
        <v>15</v>
      </c>
      <c r="H99" s="39"/>
      <c r="I99" s="40" t="s">
        <v>256</v>
      </c>
      <c r="J99" s="41">
        <v>1</v>
      </c>
      <c r="K99" s="41"/>
      <c r="L99" s="41"/>
      <c r="M99" s="42"/>
      <c r="N99" s="42"/>
      <c r="O99" s="43">
        <v>0</v>
      </c>
      <c r="P99" s="44">
        <v>0</v>
      </c>
      <c r="Q99" s="44">
        <v>0</v>
      </c>
      <c r="R99" s="45"/>
      <c r="S99" s="46"/>
      <c r="T99" s="39">
        <f t="shared" si="58"/>
        <v>15</v>
      </c>
      <c r="U99" s="47">
        <f t="shared" si="59"/>
        <v>0</v>
      </c>
      <c r="V99" s="48">
        <f t="shared" si="60"/>
        <v>0</v>
      </c>
      <c r="W99" s="49">
        <f t="shared" si="42"/>
        <v>0</v>
      </c>
      <c r="X99" s="44">
        <f t="shared" si="43"/>
        <v>0</v>
      </c>
      <c r="Y99" s="44">
        <f t="shared" si="61"/>
        <v>0</v>
      </c>
      <c r="Z99" s="44">
        <f t="shared" si="45"/>
        <v>0</v>
      </c>
      <c r="AA99" s="50">
        <f t="shared" si="62"/>
        <v>0</v>
      </c>
      <c r="AB99" s="51">
        <f t="shared" si="63"/>
        <v>0</v>
      </c>
      <c r="AC99" s="44">
        <f t="shared" si="64"/>
        <v>0</v>
      </c>
      <c r="AD99" s="44">
        <f t="shared" si="65"/>
        <v>0</v>
      </c>
      <c r="AE99" s="44">
        <f t="shared" si="66"/>
        <v>0</v>
      </c>
      <c r="AF99" s="52">
        <f>HLOOKUP(I99,ElecAvoidedCostsWOCC!$A$5:$Q$50,G99+1,FALSE)</f>
        <v>1.0293963841416951</v>
      </c>
      <c r="AG99" s="44">
        <f t="shared" si="67"/>
        <v>0</v>
      </c>
      <c r="AH99" s="52">
        <f>HLOOKUP(I99,ElecAvoidedCostsWOCC!$A$5:$Q$50,T99+1,FALSE)</f>
        <v>1.0293963841416951</v>
      </c>
      <c r="AI99" s="44">
        <f t="shared" si="68"/>
        <v>0</v>
      </c>
      <c r="AJ99" s="44">
        <f t="shared" si="69"/>
        <v>0</v>
      </c>
      <c r="AK99" s="44">
        <f>HLOOKUP(I99,ElecAvoidedCostsWOCC!$A$5:$Q$50,G99+1,FALSE)*J99*L99</f>
        <v>0</v>
      </c>
      <c r="AL99" s="44">
        <f t="shared" si="70"/>
        <v>0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71"/>
        <v>0</v>
      </c>
      <c r="AO99" s="47">
        <f t="shared" si="72"/>
        <v>0</v>
      </c>
      <c r="AP99" s="47" t="e">
        <f t="shared" si="73"/>
        <v>#DIV/0!</v>
      </c>
      <c r="AQ99">
        <v>2020</v>
      </c>
    </row>
    <row r="100" spans="2:43">
      <c r="B100" s="37" t="s">
        <v>65</v>
      </c>
      <c r="C100" s="98">
        <v>18230711</v>
      </c>
      <c r="D100" s="61" t="s">
        <v>125</v>
      </c>
      <c r="E100" s="38" t="s">
        <v>1042</v>
      </c>
      <c r="F100" s="39" t="s">
        <v>1043</v>
      </c>
      <c r="G100" s="39">
        <v>15</v>
      </c>
      <c r="H100" s="39"/>
      <c r="I100" s="40" t="s">
        <v>256</v>
      </c>
      <c r="J100" s="41">
        <v>1</v>
      </c>
      <c r="K100" s="41">
        <v>1197327</v>
      </c>
      <c r="L100" s="41"/>
      <c r="M100" s="42">
        <v>142000</v>
      </c>
      <c r="N100" s="42">
        <v>310492.86</v>
      </c>
      <c r="O100" s="43">
        <v>1197327</v>
      </c>
      <c r="P100" s="44">
        <v>142000</v>
      </c>
      <c r="Q100" s="44">
        <v>310492.86</v>
      </c>
      <c r="R100" s="45"/>
      <c r="S100" s="46"/>
      <c r="T100" s="39">
        <f t="shared" si="58"/>
        <v>15</v>
      </c>
      <c r="U100" s="47">
        <f t="shared" si="59"/>
        <v>0.93315571759898386</v>
      </c>
      <c r="V100" s="48">
        <f t="shared" si="60"/>
        <v>168492.86</v>
      </c>
      <c r="W100" s="49">
        <f t="shared" si="42"/>
        <v>6.2210381173265591E-2</v>
      </c>
      <c r="X100" s="44">
        <f t="shared" si="43"/>
        <v>141745.20945437587</v>
      </c>
      <c r="Y100" s="44">
        <f t="shared" si="61"/>
        <v>168492.86</v>
      </c>
      <c r="Z100" s="44">
        <f t="shared" si="45"/>
        <v>400886.34768696909</v>
      </c>
      <c r="AA100" s="50">
        <f t="shared" si="62"/>
        <v>452238.06945437589</v>
      </c>
      <c r="AB100" s="51">
        <f t="shared" si="63"/>
        <v>374765.21238381701</v>
      </c>
      <c r="AC100" s="44">
        <f t="shared" si="64"/>
        <v>422770.93526631378</v>
      </c>
      <c r="AD100" s="44">
        <f t="shared" si="65"/>
        <v>0</v>
      </c>
      <c r="AE100" s="44">
        <f t="shared" si="66"/>
        <v>0</v>
      </c>
      <c r="AF100" s="52">
        <f>HLOOKUP(I100,ElecAvoidedCostsWOCC!$A$5:$Q$50,G100+1,FALSE)</f>
        <v>1.0293963841416951</v>
      </c>
      <c r="AG100" s="44">
        <f t="shared" si="67"/>
        <v>1232524.0844352234</v>
      </c>
      <c r="AH100" s="52">
        <f>HLOOKUP(I100,ElecAvoidedCostsWOCC!$A$5:$Q$50,T100+1,FALSE)</f>
        <v>1.0293963841416951</v>
      </c>
      <c r="AI100" s="44">
        <f t="shared" si="68"/>
        <v>0</v>
      </c>
      <c r="AJ100" s="44">
        <f t="shared" si="69"/>
        <v>1232524.0844352234</v>
      </c>
      <c r="AK100" s="44">
        <f>HLOOKUP(I100,ElecAvoidedCostsWOCC!$A$5:$Q$50,G100+1,FALSE)*J100*L100</f>
        <v>0</v>
      </c>
      <c r="AL100" s="44">
        <f t="shared" si="70"/>
        <v>1232524.0844352234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1232524.0844352234</v>
      </c>
      <c r="AN100" s="48">
        <f t="shared" si="71"/>
        <v>1355776.4928787458</v>
      </c>
      <c r="AO100" s="47">
        <f t="shared" si="72"/>
        <v>3.2887900042678715</v>
      </c>
      <c r="AP100" s="47">
        <f t="shared" si="73"/>
        <v>3.2068819774110273</v>
      </c>
      <c r="AQ100">
        <v>2020</v>
      </c>
    </row>
    <row r="101" spans="2:43">
      <c r="B101" s="37" t="s">
        <v>65</v>
      </c>
      <c r="C101" s="98">
        <v>18230711</v>
      </c>
      <c r="D101" s="61" t="s">
        <v>125</v>
      </c>
      <c r="E101" s="38" t="s">
        <v>2096</v>
      </c>
      <c r="F101" s="39" t="s">
        <v>2097</v>
      </c>
      <c r="G101" s="39">
        <v>10</v>
      </c>
      <c r="H101" s="39"/>
      <c r="I101" s="40" t="s">
        <v>261</v>
      </c>
      <c r="J101" s="41">
        <v>1</v>
      </c>
      <c r="K101" s="41">
        <v>13351</v>
      </c>
      <c r="L101" s="41"/>
      <c r="M101" s="42">
        <v>4005</v>
      </c>
      <c r="N101" s="42">
        <v>7866.94</v>
      </c>
      <c r="O101" s="43">
        <v>13351</v>
      </c>
      <c r="P101" s="44">
        <v>4005</v>
      </c>
      <c r="Q101" s="44">
        <v>7866.94</v>
      </c>
      <c r="R101" s="45"/>
      <c r="S101" s="46"/>
      <c r="T101" s="39">
        <f t="shared" si="58"/>
        <v>10</v>
      </c>
      <c r="U101" s="47">
        <f t="shared" si="59"/>
        <v>6.9368752149101195E-3</v>
      </c>
      <c r="V101" s="48">
        <f t="shared" si="60"/>
        <v>3861.9399999999996</v>
      </c>
      <c r="W101" s="49">
        <f t="shared" ref="W101:W110" si="74">(O101/A$10)</f>
        <v>6.9368752149101195E-4</v>
      </c>
      <c r="X101" s="44">
        <f t="shared" ref="X101:X110" si="75">W101*A$8</f>
        <v>1580.5542608037504</v>
      </c>
      <c r="Y101" s="44">
        <f t="shared" si="61"/>
        <v>3861.9399999999996</v>
      </c>
      <c r="Z101" s="44">
        <f t="shared" ref="Z101:Z110" si="76">X101+(A$6*W101)</f>
        <v>4470.1519534502477</v>
      </c>
      <c r="AA101" s="50">
        <f t="shared" si="62"/>
        <v>9447.4942608037491</v>
      </c>
      <c r="AB101" s="51">
        <f t="shared" si="63"/>
        <v>4178.8837556793933</v>
      </c>
      <c r="AC101" s="44">
        <f t="shared" si="64"/>
        <v>8831.9101250853018</v>
      </c>
      <c r="AD101" s="44">
        <f t="shared" si="65"/>
        <v>0</v>
      </c>
      <c r="AE101" s="44">
        <f t="shared" si="66"/>
        <v>0</v>
      </c>
      <c r="AF101" s="52">
        <f>HLOOKUP(I101,ElecAvoidedCostsWOCC!$A$5:$Q$50,G101+1,FALSE)</f>
        <v>0.97334887994043018</v>
      </c>
      <c r="AG101" s="44">
        <f t="shared" si="67"/>
        <v>12995.180896084683</v>
      </c>
      <c r="AH101" s="52">
        <f>HLOOKUP(I101,ElecAvoidedCostsWOCC!$A$5:$Q$50,T101+1,FALSE)</f>
        <v>0.97334887994043018</v>
      </c>
      <c r="AI101" s="44">
        <f t="shared" si="68"/>
        <v>0</v>
      </c>
      <c r="AJ101" s="44">
        <f t="shared" si="69"/>
        <v>12995.180896084683</v>
      </c>
      <c r="AK101" s="44">
        <f>HLOOKUP(I101,ElecAvoidedCostsWOCC!$A$5:$Q$50,G101+1,FALSE)*J101*L101</f>
        <v>0</v>
      </c>
      <c r="AL101" s="44">
        <f t="shared" si="70"/>
        <v>12995.180896084683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12995.180896084683</v>
      </c>
      <c r="AN101" s="48">
        <f t="shared" si="71"/>
        <v>14294.698985693152</v>
      </c>
      <c r="AO101" s="47">
        <f t="shared" si="72"/>
        <v>3.1097253850201816</v>
      </c>
      <c r="AP101" s="47">
        <f t="shared" si="73"/>
        <v>1.6185285836516694</v>
      </c>
      <c r="AQ101">
        <v>2020</v>
      </c>
    </row>
    <row r="102" spans="2:43">
      <c r="B102" s="37" t="s">
        <v>65</v>
      </c>
      <c r="C102" s="98">
        <v>18230711</v>
      </c>
      <c r="D102" s="61" t="s">
        <v>125</v>
      </c>
      <c r="E102" s="38" t="s">
        <v>1018</v>
      </c>
      <c r="F102" s="39" t="s">
        <v>1019</v>
      </c>
      <c r="G102" s="39">
        <v>20</v>
      </c>
      <c r="H102" s="39"/>
      <c r="I102" s="40" t="s">
        <v>261</v>
      </c>
      <c r="J102" s="41">
        <v>1</v>
      </c>
      <c r="K102" s="41">
        <v>14210</v>
      </c>
      <c r="L102" s="41"/>
      <c r="M102" s="42">
        <v>5130</v>
      </c>
      <c r="N102" s="42">
        <v>9541.7999999999993</v>
      </c>
      <c r="O102" s="43">
        <v>14210</v>
      </c>
      <c r="P102" s="44">
        <v>5130</v>
      </c>
      <c r="Q102" s="44">
        <v>9541.7999999999993</v>
      </c>
      <c r="R102" s="45"/>
      <c r="S102" s="46"/>
      <c r="T102" s="39">
        <f t="shared" si="58"/>
        <v>20</v>
      </c>
      <c r="U102" s="47">
        <f t="shared" si="59"/>
        <v>1.4766384061699169E-2</v>
      </c>
      <c r="V102" s="48">
        <f t="shared" si="60"/>
        <v>4411.7999999999993</v>
      </c>
      <c r="W102" s="49">
        <f t="shared" si="74"/>
        <v>7.3831920308495844E-4</v>
      </c>
      <c r="X102" s="44">
        <f t="shared" si="75"/>
        <v>1682.246726538933</v>
      </c>
      <c r="Y102" s="44">
        <f t="shared" si="61"/>
        <v>4411.7999999999993</v>
      </c>
      <c r="Z102" s="44">
        <f t="shared" si="76"/>
        <v>4757.7604118439076</v>
      </c>
      <c r="AA102" s="50">
        <f t="shared" si="62"/>
        <v>11224.046726538932</v>
      </c>
      <c r="AB102" s="51">
        <f t="shared" si="63"/>
        <v>4447.7520910946123</v>
      </c>
      <c r="AC102" s="44">
        <f t="shared" si="64"/>
        <v>10492.705175786605</v>
      </c>
      <c r="AD102" s="44">
        <f t="shared" si="65"/>
        <v>0</v>
      </c>
      <c r="AE102" s="44">
        <f t="shared" si="66"/>
        <v>0</v>
      </c>
      <c r="AF102" s="52">
        <f>HLOOKUP(I102,ElecAvoidedCostsWOCC!$A$5:$Q$50,G102+1,FALSE)</f>
        <v>1.7025958820263232</v>
      </c>
      <c r="AG102" s="44">
        <f t="shared" si="67"/>
        <v>24193.887483594051</v>
      </c>
      <c r="AH102" s="52">
        <f>HLOOKUP(I102,ElecAvoidedCostsWOCC!$A$5:$Q$50,T102+1,FALSE)</f>
        <v>1.7025958820263232</v>
      </c>
      <c r="AI102" s="44">
        <f t="shared" si="68"/>
        <v>0</v>
      </c>
      <c r="AJ102" s="44">
        <f t="shared" si="69"/>
        <v>24193.887483594051</v>
      </c>
      <c r="AK102" s="44">
        <f>HLOOKUP(I102,ElecAvoidedCostsWOCC!$A$5:$Q$50,G102+1,FALSE)*J102*L102</f>
        <v>0</v>
      </c>
      <c r="AL102" s="44">
        <f t="shared" si="70"/>
        <v>24193.887483594051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24193.887483594051</v>
      </c>
      <c r="AN102" s="48">
        <f t="shared" si="71"/>
        <v>26613.27623195346</v>
      </c>
      <c r="AO102" s="47">
        <f t="shared" si="72"/>
        <v>5.4395764395312387</v>
      </c>
      <c r="AP102" s="47">
        <f t="shared" si="73"/>
        <v>2.5363598601214243</v>
      </c>
      <c r="AQ102">
        <v>2020</v>
      </c>
    </row>
    <row r="103" spans="2:43">
      <c r="B103" s="37" t="s">
        <v>65</v>
      </c>
      <c r="C103" s="98">
        <v>18230711</v>
      </c>
      <c r="D103" s="61" t="s">
        <v>125</v>
      </c>
      <c r="E103" s="38" t="s">
        <v>1020</v>
      </c>
      <c r="F103" s="39" t="s">
        <v>1021</v>
      </c>
      <c r="G103" s="39">
        <v>7</v>
      </c>
      <c r="H103" s="39"/>
      <c r="I103" s="40" t="s">
        <v>261</v>
      </c>
      <c r="J103" s="41">
        <v>1</v>
      </c>
      <c r="K103" s="41"/>
      <c r="L103" s="41"/>
      <c r="M103" s="42"/>
      <c r="N103" s="42"/>
      <c r="O103" s="43">
        <v>0</v>
      </c>
      <c r="P103" s="44">
        <v>0</v>
      </c>
      <c r="Q103" s="44">
        <v>0</v>
      </c>
      <c r="R103" s="45"/>
      <c r="S103" s="46"/>
      <c r="T103" s="39">
        <f t="shared" si="58"/>
        <v>7</v>
      </c>
      <c r="U103" s="47">
        <f t="shared" si="59"/>
        <v>0</v>
      </c>
      <c r="V103" s="48">
        <f t="shared" si="60"/>
        <v>0</v>
      </c>
      <c r="W103" s="49">
        <f t="shared" si="74"/>
        <v>0</v>
      </c>
      <c r="X103" s="44">
        <f t="shared" si="75"/>
        <v>0</v>
      </c>
      <c r="Y103" s="44">
        <f t="shared" si="61"/>
        <v>0</v>
      </c>
      <c r="Z103" s="44">
        <f t="shared" si="76"/>
        <v>0</v>
      </c>
      <c r="AA103" s="50">
        <f t="shared" si="62"/>
        <v>0</v>
      </c>
      <c r="AB103" s="51">
        <f t="shared" si="63"/>
        <v>0</v>
      </c>
      <c r="AC103" s="44">
        <f t="shared" si="64"/>
        <v>0</v>
      </c>
      <c r="AD103" s="44">
        <f t="shared" si="65"/>
        <v>0</v>
      </c>
      <c r="AE103" s="44">
        <f t="shared" si="66"/>
        <v>0</v>
      </c>
      <c r="AF103" s="52">
        <f>HLOOKUP(I103,ElecAvoidedCostsWOCC!$A$5:$Q$50,G103+1,FALSE)</f>
        <v>0.70059179485856848</v>
      </c>
      <c r="AG103" s="44">
        <f t="shared" si="67"/>
        <v>0</v>
      </c>
      <c r="AH103" s="52">
        <f>HLOOKUP(I103,ElecAvoidedCostsWOCC!$A$5:$Q$50,T103+1,FALSE)</f>
        <v>0.70059179485856848</v>
      </c>
      <c r="AI103" s="44">
        <f t="shared" si="68"/>
        <v>0</v>
      </c>
      <c r="AJ103" s="44">
        <f t="shared" si="69"/>
        <v>0</v>
      </c>
      <c r="AK103" s="44">
        <f>HLOOKUP(I103,ElecAvoidedCostsWOCC!$A$5:$Q$50,G103+1,FALSE)*J103*L103</f>
        <v>0</v>
      </c>
      <c r="AL103" s="44">
        <f t="shared" si="70"/>
        <v>0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71"/>
        <v>0</v>
      </c>
      <c r="AO103" s="47">
        <f t="shared" si="72"/>
        <v>0</v>
      </c>
      <c r="AP103" s="47" t="e">
        <f t="shared" si="73"/>
        <v>#DIV/0!</v>
      </c>
      <c r="AQ103">
        <v>2020</v>
      </c>
    </row>
    <row r="104" spans="2:43">
      <c r="B104" s="37" t="s">
        <v>65</v>
      </c>
      <c r="C104" s="98">
        <v>18231133</v>
      </c>
      <c r="D104" s="61" t="s">
        <v>175</v>
      </c>
      <c r="E104" s="38" t="s">
        <v>2437</v>
      </c>
      <c r="F104" s="39" t="s">
        <v>2438</v>
      </c>
      <c r="G104" s="39">
        <v>5</v>
      </c>
      <c r="H104" s="39"/>
      <c r="I104" s="40" t="s">
        <v>256</v>
      </c>
      <c r="J104" s="41">
        <v>1</v>
      </c>
      <c r="K104" s="41">
        <v>99915</v>
      </c>
      <c r="L104" s="41"/>
      <c r="M104" s="42">
        <v>2547</v>
      </c>
      <c r="N104" s="42">
        <v>2923</v>
      </c>
      <c r="O104" s="43">
        <v>99915</v>
      </c>
      <c r="P104" s="44">
        <v>2547</v>
      </c>
      <c r="Q104" s="44">
        <v>2923</v>
      </c>
      <c r="R104" s="45"/>
      <c r="S104" s="46"/>
      <c r="T104" s="39">
        <f t="shared" si="58"/>
        <v>5</v>
      </c>
      <c r="U104" s="47">
        <f t="shared" si="59"/>
        <v>2.5956778035268694E-2</v>
      </c>
      <c r="V104" s="48">
        <f t="shared" si="60"/>
        <v>376</v>
      </c>
      <c r="W104" s="49">
        <f t="shared" si="74"/>
        <v>5.1913556070537388E-3</v>
      </c>
      <c r="X104" s="44">
        <f t="shared" si="75"/>
        <v>11828.408281642329</v>
      </c>
      <c r="Y104" s="44">
        <f t="shared" si="61"/>
        <v>376</v>
      </c>
      <c r="Z104" s="44">
        <f t="shared" si="76"/>
        <v>33453.316787430267</v>
      </c>
      <c r="AA104" s="50">
        <f t="shared" si="62"/>
        <v>14751.408281642329</v>
      </c>
      <c r="AB104" s="51">
        <f t="shared" si="63"/>
        <v>31273.550329466452</v>
      </c>
      <c r="AC104" s="44">
        <f t="shared" si="64"/>
        <v>13790.229299469316</v>
      </c>
      <c r="AD104" s="44">
        <f t="shared" si="65"/>
        <v>0</v>
      </c>
      <c r="AE104" s="44">
        <f t="shared" si="66"/>
        <v>0</v>
      </c>
      <c r="AF104" s="52">
        <f>HLOOKUP(I104,ElecAvoidedCostsWOCC!$A$5:$Q$50,G104+1,FALSE)</f>
        <v>0.35807218478063102</v>
      </c>
      <c r="AG104" s="44">
        <f t="shared" si="67"/>
        <v>35776.782342356746</v>
      </c>
      <c r="AH104" s="52">
        <f>HLOOKUP(I104,ElecAvoidedCostsWOCC!$A$5:$Q$50,T104+1,FALSE)</f>
        <v>0.35807218478063102</v>
      </c>
      <c r="AI104" s="44">
        <f t="shared" si="68"/>
        <v>0</v>
      </c>
      <c r="AJ104" s="44">
        <f t="shared" si="69"/>
        <v>35776.782342356746</v>
      </c>
      <c r="AK104" s="44">
        <f>HLOOKUP(I104,ElecAvoidedCostsWOCC!$A$5:$Q$50,G104+1,FALSE)*J104*L104</f>
        <v>0</v>
      </c>
      <c r="AL104" s="44">
        <f t="shared" si="70"/>
        <v>35776.782342356746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35776.782342356746</v>
      </c>
      <c r="AN104" s="48">
        <f t="shared" si="71"/>
        <v>39354.460576592421</v>
      </c>
      <c r="AO104" s="47">
        <f t="shared" si="72"/>
        <v>1.1439949083314431</v>
      </c>
      <c r="AP104" s="47">
        <f t="shared" si="73"/>
        <v>2.8537930531805502</v>
      </c>
      <c r="AQ104">
        <v>2020</v>
      </c>
    </row>
    <row r="105" spans="2:43">
      <c r="B105" s="37" t="s">
        <v>65</v>
      </c>
      <c r="C105" s="98">
        <v>18231133</v>
      </c>
      <c r="D105" s="61" t="s">
        <v>175</v>
      </c>
      <c r="E105" s="38" t="s">
        <v>2437</v>
      </c>
      <c r="F105" s="39" t="s">
        <v>2438</v>
      </c>
      <c r="G105" s="39">
        <v>5</v>
      </c>
      <c r="H105" s="39"/>
      <c r="I105" s="40" t="s">
        <v>256</v>
      </c>
      <c r="J105" s="41">
        <v>1</v>
      </c>
      <c r="K105" s="41">
        <v>2341911</v>
      </c>
      <c r="L105" s="41"/>
      <c r="M105" s="42">
        <v>47635.97</v>
      </c>
      <c r="N105" s="42">
        <v>48032.94</v>
      </c>
      <c r="O105" s="43">
        <v>2341911</v>
      </c>
      <c r="P105" s="44">
        <v>47635.97</v>
      </c>
      <c r="Q105" s="44">
        <v>48032.94</v>
      </c>
      <c r="R105" s="45"/>
      <c r="S105" s="46"/>
      <c r="T105" s="39">
        <f t="shared" si="58"/>
        <v>5</v>
      </c>
      <c r="U105" s="47">
        <f t="shared" si="59"/>
        <v>0.60840178156787417</v>
      </c>
      <c r="V105" s="48">
        <f t="shared" si="60"/>
        <v>396.97000000000116</v>
      </c>
      <c r="W105" s="49">
        <f t="shared" si="74"/>
        <v>0.12168035631357482</v>
      </c>
      <c r="X105" s="44">
        <f t="shared" si="75"/>
        <v>277246.4541587276</v>
      </c>
      <c r="Y105" s="44">
        <f t="shared" si="61"/>
        <v>396.97000000000116</v>
      </c>
      <c r="Z105" s="44">
        <f t="shared" si="76"/>
        <v>784113.40210146224</v>
      </c>
      <c r="AA105" s="50">
        <f t="shared" si="62"/>
        <v>325279.39415872761</v>
      </c>
      <c r="AB105" s="51">
        <f t="shared" si="63"/>
        <v>733021.78377251769</v>
      </c>
      <c r="AC105" s="44">
        <f t="shared" si="64"/>
        <v>304084.6911832547</v>
      </c>
      <c r="AD105" s="44">
        <f t="shared" si="65"/>
        <v>0</v>
      </c>
      <c r="AE105" s="44">
        <f t="shared" si="66"/>
        <v>0</v>
      </c>
      <c r="AF105" s="52">
        <f>HLOOKUP(I105,ElecAvoidedCostsWOCC!$A$5:$Q$50,G105+1,FALSE)</f>
        <v>0.35807218478063102</v>
      </c>
      <c r="AG105" s="44">
        <f t="shared" si="67"/>
        <v>838573.18833179236</v>
      </c>
      <c r="AH105" s="52">
        <f>HLOOKUP(I105,ElecAvoidedCostsWOCC!$A$5:$Q$50,T105+1,FALSE)</f>
        <v>0.35807218478063102</v>
      </c>
      <c r="AI105" s="44">
        <f t="shared" si="68"/>
        <v>0</v>
      </c>
      <c r="AJ105" s="44">
        <f t="shared" si="69"/>
        <v>838573.18833179236</v>
      </c>
      <c r="AK105" s="44">
        <f>HLOOKUP(I105,ElecAvoidedCostsWOCC!$A$5:$Q$50,G105+1,FALSE)*J105*L105</f>
        <v>0</v>
      </c>
      <c r="AL105" s="44">
        <f t="shared" si="70"/>
        <v>838573.18833179236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838573.18833179236</v>
      </c>
      <c r="AN105" s="48">
        <f t="shared" si="71"/>
        <v>922430.50716497167</v>
      </c>
      <c r="AO105" s="47">
        <f t="shared" si="72"/>
        <v>1.1439949083314431</v>
      </c>
      <c r="AP105" s="47">
        <f t="shared" si="73"/>
        <v>3.0334657873620965</v>
      </c>
      <c r="AQ105">
        <v>2020</v>
      </c>
    </row>
    <row r="106" spans="2:43">
      <c r="B106" s="3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58"/>
        <v>0</v>
      </c>
      <c r="U106" s="47">
        <f t="shared" si="59"/>
        <v>0</v>
      </c>
      <c r="V106" s="48">
        <f t="shared" si="60"/>
        <v>0</v>
      </c>
      <c r="W106" s="49">
        <f t="shared" si="74"/>
        <v>0</v>
      </c>
      <c r="X106" s="44">
        <f t="shared" si="75"/>
        <v>0</v>
      </c>
      <c r="Y106" s="44">
        <f t="shared" si="61"/>
        <v>0</v>
      </c>
      <c r="Z106" s="44">
        <f t="shared" si="76"/>
        <v>0</v>
      </c>
      <c r="AA106" s="50">
        <f t="shared" si="62"/>
        <v>0</v>
      </c>
      <c r="AB106" s="51">
        <f t="shared" si="63"/>
        <v>0</v>
      </c>
      <c r="AC106" s="44">
        <f t="shared" si="64"/>
        <v>0</v>
      </c>
      <c r="AD106" s="44">
        <f t="shared" si="65"/>
        <v>0</v>
      </c>
      <c r="AE106" s="44">
        <f t="shared" si="66"/>
        <v>0</v>
      </c>
      <c r="AF106" s="52" t="e">
        <f>HLOOKUP(I106,ElecAvoidedCostsWOCC!$A$5:$Q$50,G106+1,FALSE)</f>
        <v>#N/A</v>
      </c>
      <c r="AG106" s="44" t="e">
        <f t="shared" si="67"/>
        <v>#N/A</v>
      </c>
      <c r="AH106" s="52" t="e">
        <f>HLOOKUP(I106,ElecAvoidedCostsWOCC!$A$5:$Q$50,T106+1,FALSE)</f>
        <v>#N/A</v>
      </c>
      <c r="AI106" s="44" t="e">
        <f t="shared" si="68"/>
        <v>#N/A</v>
      </c>
      <c r="AJ106" s="44" t="e">
        <f t="shared" si="69"/>
        <v>#N/A</v>
      </c>
      <c r="AK106" s="44" t="e">
        <f>HLOOKUP(I106,ElecAvoidedCostsWOCC!$A$5:$Q$50,G106+1,FALSE)*J106*L106</f>
        <v>#N/A</v>
      </c>
      <c r="AL106" s="44" t="e">
        <f t="shared" si="70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71"/>
        <v>0</v>
      </c>
      <c r="AO106" s="47">
        <f t="shared" si="72"/>
        <v>0</v>
      </c>
      <c r="AP106" s="47" t="e">
        <f t="shared" si="73"/>
        <v>#DIV/0!</v>
      </c>
    </row>
    <row r="107" spans="2:43">
      <c r="B107" s="3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58"/>
        <v>0</v>
      </c>
      <c r="U107" s="47">
        <f t="shared" si="59"/>
        <v>0</v>
      </c>
      <c r="V107" s="48">
        <f t="shared" si="60"/>
        <v>0</v>
      </c>
      <c r="W107" s="49">
        <f t="shared" si="74"/>
        <v>0</v>
      </c>
      <c r="X107" s="44">
        <f t="shared" si="75"/>
        <v>0</v>
      </c>
      <c r="Y107" s="44">
        <f t="shared" si="61"/>
        <v>0</v>
      </c>
      <c r="Z107" s="44">
        <f t="shared" si="76"/>
        <v>0</v>
      </c>
      <c r="AA107" s="50">
        <f t="shared" si="62"/>
        <v>0</v>
      </c>
      <c r="AB107" s="51">
        <f t="shared" si="63"/>
        <v>0</v>
      </c>
      <c r="AC107" s="44">
        <f t="shared" si="64"/>
        <v>0</v>
      </c>
      <c r="AD107" s="44">
        <f t="shared" si="65"/>
        <v>0</v>
      </c>
      <c r="AE107" s="44">
        <f t="shared" si="66"/>
        <v>0</v>
      </c>
      <c r="AF107" s="52" t="e">
        <f>HLOOKUP(I107,ElecAvoidedCostsWOCC!$A$5:$Q$50,G107+1,FALSE)</f>
        <v>#N/A</v>
      </c>
      <c r="AG107" s="44" t="e">
        <f t="shared" si="67"/>
        <v>#N/A</v>
      </c>
      <c r="AH107" s="52" t="e">
        <f>HLOOKUP(I107,ElecAvoidedCostsWOCC!$A$5:$Q$50,T107+1,FALSE)</f>
        <v>#N/A</v>
      </c>
      <c r="AI107" s="44" t="e">
        <f t="shared" si="68"/>
        <v>#N/A</v>
      </c>
      <c r="AJ107" s="44" t="e">
        <f t="shared" si="69"/>
        <v>#N/A</v>
      </c>
      <c r="AK107" s="44" t="e">
        <f>HLOOKUP(I107,ElecAvoidedCostsWOCC!$A$5:$Q$50,G107+1,FALSE)*J107*L107</f>
        <v>#N/A</v>
      </c>
      <c r="AL107" s="44" t="e">
        <f t="shared" si="70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71"/>
        <v>0</v>
      </c>
      <c r="AO107" s="47">
        <f t="shared" si="72"/>
        <v>0</v>
      </c>
      <c r="AP107" s="47" t="e">
        <f t="shared" si="73"/>
        <v>#DIV/0!</v>
      </c>
    </row>
    <row r="108" spans="2:43">
      <c r="B108" s="3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58"/>
        <v>0</v>
      </c>
      <c r="U108" s="47">
        <f t="shared" si="59"/>
        <v>0</v>
      </c>
      <c r="V108" s="48">
        <f t="shared" si="60"/>
        <v>0</v>
      </c>
      <c r="W108" s="49">
        <f t="shared" si="74"/>
        <v>0</v>
      </c>
      <c r="X108" s="44">
        <f t="shared" si="75"/>
        <v>0</v>
      </c>
      <c r="Y108" s="44">
        <f t="shared" si="61"/>
        <v>0</v>
      </c>
      <c r="Z108" s="44">
        <f t="shared" si="76"/>
        <v>0</v>
      </c>
      <c r="AA108" s="50">
        <f t="shared" si="62"/>
        <v>0</v>
      </c>
      <c r="AB108" s="51">
        <f t="shared" si="63"/>
        <v>0</v>
      </c>
      <c r="AC108" s="44">
        <f t="shared" si="64"/>
        <v>0</v>
      </c>
      <c r="AD108" s="44">
        <f t="shared" si="65"/>
        <v>0</v>
      </c>
      <c r="AE108" s="44">
        <f t="shared" si="66"/>
        <v>0</v>
      </c>
      <c r="AF108" s="52" t="e">
        <f>HLOOKUP(I108,ElecAvoidedCostsWOCC!$A$5:$Q$50,G108+1,FALSE)</f>
        <v>#N/A</v>
      </c>
      <c r="AG108" s="44" t="e">
        <f t="shared" si="67"/>
        <v>#N/A</v>
      </c>
      <c r="AH108" s="52" t="e">
        <f>HLOOKUP(I108,ElecAvoidedCostsWOCC!$A$5:$Q$50,T108+1,FALSE)</f>
        <v>#N/A</v>
      </c>
      <c r="AI108" s="44" t="e">
        <f t="shared" si="68"/>
        <v>#N/A</v>
      </c>
      <c r="AJ108" s="44" t="e">
        <f t="shared" si="69"/>
        <v>#N/A</v>
      </c>
      <c r="AK108" s="44" t="e">
        <f>HLOOKUP(I108,ElecAvoidedCostsWOCC!$A$5:$Q$50,G108+1,FALSE)*J108*L108</f>
        <v>#N/A</v>
      </c>
      <c r="AL108" s="44" t="e">
        <f t="shared" si="70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71"/>
        <v>0</v>
      </c>
      <c r="AO108" s="47">
        <f t="shared" si="72"/>
        <v>0</v>
      </c>
      <c r="AP108" s="47" t="e">
        <f t="shared" si="73"/>
        <v>#DIV/0!</v>
      </c>
    </row>
    <row r="109" spans="2:43">
      <c r="B109" s="3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58"/>
        <v>0</v>
      </c>
      <c r="U109" s="47">
        <f t="shared" si="59"/>
        <v>0</v>
      </c>
      <c r="V109" s="48">
        <f t="shared" si="60"/>
        <v>0</v>
      </c>
      <c r="W109" s="49">
        <f t="shared" si="74"/>
        <v>0</v>
      </c>
      <c r="X109" s="44">
        <f t="shared" si="75"/>
        <v>0</v>
      </c>
      <c r="Y109" s="44">
        <f t="shared" si="61"/>
        <v>0</v>
      </c>
      <c r="Z109" s="44">
        <f t="shared" si="76"/>
        <v>0</v>
      </c>
      <c r="AA109" s="50">
        <f t="shared" si="62"/>
        <v>0</v>
      </c>
      <c r="AB109" s="51">
        <f t="shared" si="63"/>
        <v>0</v>
      </c>
      <c r="AC109" s="44">
        <f t="shared" si="64"/>
        <v>0</v>
      </c>
      <c r="AD109" s="44">
        <f t="shared" si="65"/>
        <v>0</v>
      </c>
      <c r="AE109" s="44">
        <f t="shared" si="66"/>
        <v>0</v>
      </c>
      <c r="AF109" s="52" t="e">
        <f>HLOOKUP(I109,ElecAvoidedCostsWOCC!$A$5:$Q$50,G109+1,FALSE)</f>
        <v>#N/A</v>
      </c>
      <c r="AG109" s="44" t="e">
        <f t="shared" si="67"/>
        <v>#N/A</v>
      </c>
      <c r="AH109" s="52" t="e">
        <f>HLOOKUP(I109,ElecAvoidedCostsWOCC!$A$5:$Q$50,T109+1,FALSE)</f>
        <v>#N/A</v>
      </c>
      <c r="AI109" s="44" t="e">
        <f t="shared" si="68"/>
        <v>#N/A</v>
      </c>
      <c r="AJ109" s="44" t="e">
        <f t="shared" si="69"/>
        <v>#N/A</v>
      </c>
      <c r="AK109" s="44" t="e">
        <f>HLOOKUP(I109,ElecAvoidedCostsWOCC!$A$5:$Q$50,G109+1,FALSE)*J109*L109</f>
        <v>#N/A</v>
      </c>
      <c r="AL109" s="44" t="e">
        <f t="shared" si="70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71"/>
        <v>0</v>
      </c>
      <c r="AO109" s="47">
        <f t="shared" si="72"/>
        <v>0</v>
      </c>
      <c r="AP109" s="47" t="e">
        <f t="shared" si="73"/>
        <v>#DIV/0!</v>
      </c>
    </row>
    <row r="110" spans="2:43">
      <c r="B110" s="3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58"/>
        <v>0</v>
      </c>
      <c r="U110" s="47">
        <f t="shared" si="59"/>
        <v>0</v>
      </c>
      <c r="V110" s="48">
        <f t="shared" si="60"/>
        <v>0</v>
      </c>
      <c r="W110" s="49">
        <f t="shared" si="74"/>
        <v>0</v>
      </c>
      <c r="X110" s="44">
        <f t="shared" si="75"/>
        <v>0</v>
      </c>
      <c r="Y110" s="44">
        <f t="shared" si="61"/>
        <v>0</v>
      </c>
      <c r="Z110" s="44">
        <f t="shared" si="76"/>
        <v>0</v>
      </c>
      <c r="AA110" s="50">
        <f t="shared" si="62"/>
        <v>0</v>
      </c>
      <c r="AB110" s="51">
        <f t="shared" si="63"/>
        <v>0</v>
      </c>
      <c r="AC110" s="44">
        <f t="shared" si="64"/>
        <v>0</v>
      </c>
      <c r="AD110" s="44">
        <f t="shared" si="65"/>
        <v>0</v>
      </c>
      <c r="AE110" s="44">
        <f t="shared" si="66"/>
        <v>0</v>
      </c>
      <c r="AF110" s="52" t="e">
        <f>HLOOKUP(I110,ElecAvoidedCostsWOCC!$A$5:$Q$50,G110+1,FALSE)</f>
        <v>#N/A</v>
      </c>
      <c r="AG110" s="44" t="e">
        <f t="shared" si="67"/>
        <v>#N/A</v>
      </c>
      <c r="AH110" s="52" t="e">
        <f>HLOOKUP(I110,ElecAvoidedCostsWOCC!$A$5:$Q$50,T110+1,FALSE)</f>
        <v>#N/A</v>
      </c>
      <c r="AI110" s="44" t="e">
        <f t="shared" si="68"/>
        <v>#N/A</v>
      </c>
      <c r="AJ110" s="44" t="e">
        <f t="shared" si="69"/>
        <v>#N/A</v>
      </c>
      <c r="AK110" s="44" t="e">
        <f>HLOOKUP(I110,ElecAvoidedCostsWOCC!$A$5:$Q$50,G110+1,FALSE)*J110*L110</f>
        <v>#N/A</v>
      </c>
      <c r="AL110" s="44" t="e">
        <f t="shared" si="70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71"/>
        <v>0</v>
      </c>
      <c r="AO110" s="47">
        <f t="shared" si="72"/>
        <v>0</v>
      </c>
      <c r="AP110" s="47" t="e">
        <f t="shared" si="73"/>
        <v>#DIV/0!</v>
      </c>
    </row>
  </sheetData>
  <conditionalFormatting sqref="J5:L110">
    <cfRule type="expression" dxfId="249" priority="4">
      <formula>ISTEXT(J5)</formula>
    </cfRule>
    <cfRule type="notContainsBlanks" dxfId="248" priority="5">
      <formula>LEN(TRIM(J5))&gt;0</formula>
    </cfRule>
  </conditionalFormatting>
  <conditionalFormatting sqref="R5:S110 M5:N110">
    <cfRule type="expression" dxfId="247" priority="2">
      <formula>ISTEXT(M5)</formula>
    </cfRule>
  </conditionalFormatting>
  <conditionalFormatting sqref="R5:S110 M5:N110">
    <cfRule type="notContainsBlanks" dxfId="246" priority="3">
      <formula>LEN(TRIM(M5))&gt;0</formula>
    </cfRule>
  </conditionalFormatting>
  <conditionalFormatting sqref="R5:S110">
    <cfRule type="expression" dxfId="2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67"/>
  <sheetViews>
    <sheetView topLeftCell="A19" zoomScale="85" zoomScaleNormal="85" workbookViewId="0">
      <selection activeCell="AI54" sqref="AI5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85546875" customWidth="1"/>
    <col min="13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18230724</v>
      </c>
      <c r="D2" s="20" t="s">
        <v>138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65</v>
      </c>
      <c r="C5" s="98">
        <v>18230724</v>
      </c>
      <c r="D5" s="61" t="s">
        <v>138</v>
      </c>
      <c r="E5" s="38" t="s">
        <v>996</v>
      </c>
      <c r="F5" s="39" t="s">
        <v>997</v>
      </c>
      <c r="G5" s="39">
        <v>20</v>
      </c>
      <c r="H5" s="39"/>
      <c r="I5" s="40" t="s">
        <v>257</v>
      </c>
      <c r="J5" s="41">
        <v>1</v>
      </c>
      <c r="K5" s="41">
        <v>50863</v>
      </c>
      <c r="L5" s="41"/>
      <c r="M5" s="42">
        <v>3826</v>
      </c>
      <c r="N5" s="42">
        <v>27403</v>
      </c>
      <c r="O5" s="43">
        <v>50863</v>
      </c>
      <c r="P5" s="44">
        <v>3826</v>
      </c>
      <c r="Q5" s="44">
        <v>27403</v>
      </c>
      <c r="R5" s="45"/>
      <c r="S5" s="46"/>
      <c r="T5" s="39">
        <f t="shared" ref="T5:T24" si="0">G5+H5</f>
        <v>20</v>
      </c>
      <c r="U5" s="47">
        <f t="shared" ref="U5:U24" si="1">(O5/$A$10)*T5</f>
        <v>1.1232410430735699E-2</v>
      </c>
      <c r="V5" s="48">
        <f t="shared" ref="V5:V24" si="2">N5-M5</f>
        <v>23577</v>
      </c>
      <c r="W5" s="49">
        <f t="shared" ref="W5:W24" si="3">(O5/A$10)</f>
        <v>5.6162052153678498E-4</v>
      </c>
      <c r="X5" s="44">
        <f t="shared" ref="X5:X24" si="4">W5*A$8</f>
        <v>2675.3166234782843</v>
      </c>
      <c r="Y5" s="44">
        <f t="shared" ref="Y5:Y24" si="5">Q5-P5</f>
        <v>23577</v>
      </c>
      <c r="Z5" s="44">
        <f t="shared" ref="Z5:Z24" si="6">X5+(A$6*W5)</f>
        <v>13761.313106556428</v>
      </c>
      <c r="AA5" s="50">
        <f t="shared" ref="AA5:AA24" si="7">Q5+X5</f>
        <v>30078.316623478284</v>
      </c>
      <c r="AB5" s="51">
        <f t="shared" ref="AB5:AC20" si="8">Z5/(1+ElecDiscountRate)^1</f>
        <v>12864.64719693038</v>
      </c>
      <c r="AC5" s="44">
        <f t="shared" si="8"/>
        <v>28118.459963988298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1.3192527795896587</v>
      </c>
      <c r="AG5" s="44">
        <f t="shared" ref="AG5:AG24" si="10">AF5*J5*K5</f>
        <v>67101.154128268812</v>
      </c>
      <c r="AH5" s="52">
        <f>HLOOKUP(I5,ElecAvoidedCostsWOCC!$A$5:$Q$50,T5+1,FALSE)</f>
        <v>1.3192527795896587</v>
      </c>
      <c r="AI5" s="44">
        <f t="shared" ref="AI5:AI24" si="11">AH5*J5*L5</f>
        <v>0</v>
      </c>
      <c r="AJ5" s="44">
        <f>AG5+AI5</f>
        <v>67101.154128268812</v>
      </c>
      <c r="AK5" s="44">
        <f>HLOOKUP(I5,ElecAvoidedCostsWOCC!$A$5:$Q$50,G5+1,FALSE)*J5*L5</f>
        <v>0</v>
      </c>
      <c r="AL5" s="44">
        <f>AG5+AI5-AK5</f>
        <v>67101.154128268812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67101.154128268812</v>
      </c>
      <c r="AN5" s="48">
        <f>AM5*1.1+AD5+AE5</f>
        <v>73811.269541095695</v>
      </c>
      <c r="AO5" s="47">
        <f>IFERROR(AM5/AB5,0)</f>
        <v>5.2159342655179648</v>
      </c>
      <c r="AP5" s="47">
        <f>AN5/AC5</f>
        <v>2.6250111007369115</v>
      </c>
      <c r="AQ5">
        <v>2021</v>
      </c>
    </row>
    <row r="6" spans="1:43" ht="13.5" customHeight="1">
      <c r="A6" s="53">
        <f>SUMIF('Program Costs'!D:D,C2,'Program Costs'!L:L)</f>
        <v>19739300.93</v>
      </c>
      <c r="B6" s="97" t="s">
        <v>65</v>
      </c>
      <c r="C6" s="98">
        <v>18230724</v>
      </c>
      <c r="D6" s="61" t="s">
        <v>138</v>
      </c>
      <c r="E6" s="38" t="s">
        <v>996</v>
      </c>
      <c r="F6" s="39" t="s">
        <v>997</v>
      </c>
      <c r="G6" s="39">
        <v>20</v>
      </c>
      <c r="H6" s="39"/>
      <c r="I6" s="40" t="s">
        <v>257</v>
      </c>
      <c r="J6" s="41">
        <v>1</v>
      </c>
      <c r="K6" s="41">
        <v>304505</v>
      </c>
      <c r="L6" s="41"/>
      <c r="M6" s="42">
        <v>60500</v>
      </c>
      <c r="N6" s="42">
        <v>134562</v>
      </c>
      <c r="O6" s="43">
        <v>304505</v>
      </c>
      <c r="P6" s="44">
        <v>60500</v>
      </c>
      <c r="Q6" s="44">
        <v>134562</v>
      </c>
      <c r="R6" s="45"/>
      <c r="S6" s="46"/>
      <c r="T6" s="39">
        <f t="shared" si="0"/>
        <v>20</v>
      </c>
      <c r="U6" s="47">
        <f t="shared" si="1"/>
        <v>6.7245839573190233E-2</v>
      </c>
      <c r="V6" s="48">
        <f t="shared" si="2"/>
        <v>74062</v>
      </c>
      <c r="W6" s="49">
        <f t="shared" si="3"/>
        <v>3.3622919786595114E-3</v>
      </c>
      <c r="X6" s="44">
        <f t="shared" si="4"/>
        <v>16016.500962040285</v>
      </c>
      <c r="Y6" s="44">
        <f t="shared" si="5"/>
        <v>74062</v>
      </c>
      <c r="Z6" s="44">
        <f t="shared" si="6"/>
        <v>82385.794143325518</v>
      </c>
      <c r="AA6" s="50">
        <f t="shared" si="7"/>
        <v>150578.50096204027</v>
      </c>
      <c r="AB6" s="51">
        <f t="shared" si="8"/>
        <v>77017.663030125739</v>
      </c>
      <c r="AC6" s="44">
        <f t="shared" si="8"/>
        <v>140767.03838650114</v>
      </c>
      <c r="AD6" s="44">
        <f t="shared" si="9"/>
        <v>0</v>
      </c>
      <c r="AE6" s="44">
        <v>0</v>
      </c>
      <c r="AF6" s="52">
        <f>HLOOKUP(I6,ElecAvoidedCostsWOCC!$A$5:$Q$50,G6+1,FALSE)</f>
        <v>1.3192527795896587</v>
      </c>
      <c r="AG6" s="44">
        <f t="shared" si="10"/>
        <v>401719.06764894904</v>
      </c>
      <c r="AH6" s="52">
        <f>HLOOKUP(I6,ElecAvoidedCostsWOCC!$A$5:$Q$50,T6+1,FALSE)</f>
        <v>1.3192527795896587</v>
      </c>
      <c r="AI6" s="44">
        <f t="shared" si="11"/>
        <v>0</v>
      </c>
      <c r="AJ6" s="44">
        <f t="shared" ref="AJ6:AJ24" si="12">AG6+AI6</f>
        <v>401719.06764894904</v>
      </c>
      <c r="AK6" s="44">
        <f>HLOOKUP(I6,ElecAvoidedCostsWOCC!$A$5:$Q$50,G6+1,FALSE)*J6*L6</f>
        <v>0</v>
      </c>
      <c r="AL6" s="44">
        <f t="shared" ref="AL6:AL24" si="13">AG6+AI6-AK6</f>
        <v>401719.06764894904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401719.06764894904</v>
      </c>
      <c r="AN6" s="48">
        <f t="shared" ref="AN6:AN24" si="14">AM6*1.1+AD6+AE6</f>
        <v>441890.974413844</v>
      </c>
      <c r="AO6" s="47">
        <f t="shared" ref="AO6:AO24" si="15">IFERROR(AM6/AB6,0)</f>
        <v>5.2159342655179657</v>
      </c>
      <c r="AP6" s="47">
        <f t="shared" ref="AP6:AP24" si="16">AN6/AC6</f>
        <v>3.1391651019932176</v>
      </c>
      <c r="AQ6">
        <v>2021</v>
      </c>
    </row>
    <row r="7" spans="1:43" ht="13.5" customHeight="1">
      <c r="A7" s="36" t="s">
        <v>249</v>
      </c>
      <c r="B7" s="97" t="s">
        <v>65</v>
      </c>
      <c r="C7" s="98">
        <v>18230724</v>
      </c>
      <c r="D7" s="61" t="s">
        <v>138</v>
      </c>
      <c r="E7" s="38" t="s">
        <v>996</v>
      </c>
      <c r="F7" s="39" t="s">
        <v>997</v>
      </c>
      <c r="G7" s="39">
        <v>20</v>
      </c>
      <c r="H7" s="39"/>
      <c r="I7" s="40" t="s">
        <v>257</v>
      </c>
      <c r="J7" s="41">
        <v>1</v>
      </c>
      <c r="K7" s="41">
        <v>267</v>
      </c>
      <c r="L7" s="41"/>
      <c r="M7" s="42">
        <v>600</v>
      </c>
      <c r="N7" s="42">
        <v>600</v>
      </c>
      <c r="O7" s="43">
        <v>267</v>
      </c>
      <c r="P7" s="44">
        <v>600</v>
      </c>
      <c r="Q7" s="44">
        <v>600</v>
      </c>
      <c r="R7" s="45"/>
      <c r="S7" s="46"/>
      <c r="T7" s="39">
        <f t="shared" si="0"/>
        <v>20</v>
      </c>
      <c r="U7" s="47">
        <f t="shared" si="1"/>
        <v>5.8963364036852561E-5</v>
      </c>
      <c r="V7" s="48">
        <f t="shared" si="2"/>
        <v>0</v>
      </c>
      <c r="W7" s="49">
        <f t="shared" si="3"/>
        <v>2.9481682018426281E-6</v>
      </c>
      <c r="X7" s="44">
        <f t="shared" si="4"/>
        <v>14.043794869919232</v>
      </c>
      <c r="Y7" s="44">
        <f t="shared" si="5"/>
        <v>0</v>
      </c>
      <c r="Z7" s="44">
        <f t="shared" si="6"/>
        <v>72.238574198347848</v>
      </c>
      <c r="AA7" s="50">
        <f t="shared" si="7"/>
        <v>614.04379486991922</v>
      </c>
      <c r="AB7" s="51">
        <f t="shared" si="8"/>
        <v>67.53162026582018</v>
      </c>
      <c r="AC7" s="44">
        <f t="shared" si="8"/>
        <v>574.03364949978425</v>
      </c>
      <c r="AD7" s="44">
        <f t="shared" si="9"/>
        <v>0</v>
      </c>
      <c r="AE7" s="44">
        <v>0</v>
      </c>
      <c r="AF7" s="52">
        <f>HLOOKUP(I7,ElecAvoidedCostsWOCC!$A$5:$Q$50,G7+1,FALSE)</f>
        <v>1.3192527795896587</v>
      </c>
      <c r="AG7" s="44">
        <f t="shared" si="10"/>
        <v>352.24049215043885</v>
      </c>
      <c r="AH7" s="52">
        <f>HLOOKUP(I7,ElecAvoidedCostsWOCC!$A$5:$Q$50,T7+1,FALSE)</f>
        <v>1.3192527795896587</v>
      </c>
      <c r="AI7" s="44">
        <f t="shared" si="11"/>
        <v>0</v>
      </c>
      <c r="AJ7" s="44">
        <f t="shared" si="12"/>
        <v>352.24049215043885</v>
      </c>
      <c r="AK7" s="44">
        <f>HLOOKUP(I7,ElecAvoidedCostsWOCC!$A$5:$Q$50,G7+1,FALSE)*J7*L7</f>
        <v>0</v>
      </c>
      <c r="AL7" s="44">
        <f t="shared" si="13"/>
        <v>352.24049215043885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352.24049215043885</v>
      </c>
      <c r="AN7" s="48">
        <f t="shared" si="14"/>
        <v>387.46454136548277</v>
      </c>
      <c r="AO7" s="47">
        <f t="shared" si="15"/>
        <v>5.2159342655179639</v>
      </c>
      <c r="AP7" s="47">
        <f t="shared" si="16"/>
        <v>0.67498576381910935</v>
      </c>
      <c r="AQ7">
        <v>2021</v>
      </c>
    </row>
    <row r="8" spans="1:43" ht="13.5" customHeight="1">
      <c r="A8" s="53">
        <f>SUMIF('Program Costs'!D:D,C2,'Program Costs'!O:O)</f>
        <v>4763566.3599999994</v>
      </c>
      <c r="B8" s="97" t="s">
        <v>65</v>
      </c>
      <c r="C8" s="98">
        <v>18230724</v>
      </c>
      <c r="D8" s="61" t="s">
        <v>138</v>
      </c>
      <c r="E8" s="38" t="s">
        <v>996</v>
      </c>
      <c r="F8" s="39" t="s">
        <v>997</v>
      </c>
      <c r="G8" s="39">
        <v>20</v>
      </c>
      <c r="H8" s="39"/>
      <c r="I8" s="40" t="s">
        <v>257</v>
      </c>
      <c r="J8" s="41">
        <v>1</v>
      </c>
      <c r="K8" s="41">
        <v>536869</v>
      </c>
      <c r="L8" s="41"/>
      <c r="M8" s="42">
        <v>100792.69</v>
      </c>
      <c r="N8" s="42">
        <v>274736</v>
      </c>
      <c r="O8" s="43">
        <v>536869</v>
      </c>
      <c r="P8" s="44">
        <v>100792.69</v>
      </c>
      <c r="Q8" s="44">
        <v>274736</v>
      </c>
      <c r="R8" s="45"/>
      <c r="S8" s="46"/>
      <c r="T8" s="39">
        <f t="shared" si="0"/>
        <v>20</v>
      </c>
      <c r="U8" s="47">
        <f t="shared" si="1"/>
        <v>0.11856030819138952</v>
      </c>
      <c r="V8" s="48">
        <f t="shared" si="2"/>
        <v>173943.31</v>
      </c>
      <c r="W8" s="49">
        <f t="shared" si="3"/>
        <v>5.9280154095694756E-3</v>
      </c>
      <c r="X8" s="44">
        <f t="shared" si="4"/>
        <v>28238.494786586773</v>
      </c>
      <c r="Y8" s="44">
        <f t="shared" si="5"/>
        <v>173943.31</v>
      </c>
      <c r="Z8" s="44">
        <f t="shared" si="6"/>
        <v>145253.37487375585</v>
      </c>
      <c r="AA8" s="50">
        <f t="shared" si="7"/>
        <v>302974.49478658679</v>
      </c>
      <c r="AB8" s="51">
        <f t="shared" si="8"/>
        <v>135788.889290227</v>
      </c>
      <c r="AC8" s="44">
        <f t="shared" si="8"/>
        <v>283233.14460744767</v>
      </c>
      <c r="AD8" s="44">
        <f t="shared" si="9"/>
        <v>0</v>
      </c>
      <c r="AE8" s="44">
        <v>0</v>
      </c>
      <c r="AF8" s="52">
        <f>HLOOKUP(I8,ElecAvoidedCostsWOCC!$A$5:$Q$50,G8+1,FALSE)</f>
        <v>1.3192527795896587</v>
      </c>
      <c r="AG8" s="44">
        <f t="shared" si="10"/>
        <v>708265.92052552046</v>
      </c>
      <c r="AH8" s="52">
        <f>HLOOKUP(I8,ElecAvoidedCostsWOCC!$A$5:$Q$50,T8+1,FALSE)</f>
        <v>1.3192527795896587</v>
      </c>
      <c r="AI8" s="44">
        <f t="shared" si="11"/>
        <v>0</v>
      </c>
      <c r="AJ8" s="44">
        <f t="shared" si="12"/>
        <v>708265.92052552046</v>
      </c>
      <c r="AK8" s="44">
        <f>HLOOKUP(I8,ElecAvoidedCostsWOCC!$A$5:$Q$50,G8+1,FALSE)*J8*L8</f>
        <v>0</v>
      </c>
      <c r="AL8" s="44">
        <f t="shared" si="13"/>
        <v>708265.92052552046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708265.92052552046</v>
      </c>
      <c r="AN8" s="48">
        <f t="shared" si="14"/>
        <v>779092.51257807261</v>
      </c>
      <c r="AO8" s="47">
        <f t="shared" si="15"/>
        <v>5.2159342655179648</v>
      </c>
      <c r="AP8" s="47">
        <f t="shared" si="16"/>
        <v>2.7507109510713184</v>
      </c>
      <c r="AQ8">
        <v>2021</v>
      </c>
    </row>
    <row r="9" spans="1:43" ht="13.5" customHeight="1">
      <c r="A9" s="36" t="s">
        <v>250</v>
      </c>
      <c r="B9" s="97" t="s">
        <v>65</v>
      </c>
      <c r="C9" s="98">
        <v>18230724</v>
      </c>
      <c r="D9" s="61" t="s">
        <v>138</v>
      </c>
      <c r="E9" s="38" t="s">
        <v>996</v>
      </c>
      <c r="F9" s="39" t="s">
        <v>997</v>
      </c>
      <c r="G9" s="39">
        <v>20</v>
      </c>
      <c r="H9" s="39"/>
      <c r="I9" s="40" t="s">
        <v>257</v>
      </c>
      <c r="J9" s="41">
        <v>1</v>
      </c>
      <c r="K9" s="41">
        <v>16388</v>
      </c>
      <c r="L9" s="41"/>
      <c r="M9" s="42">
        <v>3278</v>
      </c>
      <c r="N9" s="42">
        <v>10691.46</v>
      </c>
      <c r="O9" s="43">
        <v>16388</v>
      </c>
      <c r="P9" s="44">
        <v>3278</v>
      </c>
      <c r="Q9" s="44">
        <v>10691.46</v>
      </c>
      <c r="R9" s="45"/>
      <c r="S9" s="46"/>
      <c r="T9" s="39">
        <f t="shared" si="0"/>
        <v>20</v>
      </c>
      <c r="U9" s="47">
        <f t="shared" si="1"/>
        <v>3.6190696997600745E-3</v>
      </c>
      <c r="V9" s="48">
        <f t="shared" si="2"/>
        <v>7413.4599999999991</v>
      </c>
      <c r="W9" s="49">
        <f t="shared" si="3"/>
        <v>1.8095348498800372E-4</v>
      </c>
      <c r="X9" s="44">
        <f t="shared" si="4"/>
        <v>861.98393381361939</v>
      </c>
      <c r="Y9" s="44">
        <f t="shared" si="5"/>
        <v>7413.4599999999991</v>
      </c>
      <c r="Z9" s="44">
        <f t="shared" si="6"/>
        <v>4433.8792283240618</v>
      </c>
      <c r="AA9" s="50">
        <f t="shared" si="7"/>
        <v>11553.443933813618</v>
      </c>
      <c r="AB9" s="51">
        <f t="shared" si="8"/>
        <v>4144.974505304348</v>
      </c>
      <c r="AC9" s="44">
        <f t="shared" si="8"/>
        <v>10800.639369742561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1.3192527795896587</v>
      </c>
      <c r="AG9" s="44">
        <f t="shared" si="10"/>
        <v>21619.914551915328</v>
      </c>
      <c r="AH9" s="52">
        <f>HLOOKUP(I9,ElecAvoidedCostsWOCC!$A$5:$Q$50,T9+1,FALSE)</f>
        <v>1.3192527795896587</v>
      </c>
      <c r="AI9" s="44">
        <f t="shared" si="11"/>
        <v>0</v>
      </c>
      <c r="AJ9" s="44">
        <f t="shared" si="12"/>
        <v>21619.914551915328</v>
      </c>
      <c r="AK9" s="44">
        <f>HLOOKUP(I9,ElecAvoidedCostsWOCC!$A$5:$Q$50,G9+1,FALSE)*J9*L9</f>
        <v>0</v>
      </c>
      <c r="AL9" s="44">
        <f t="shared" si="13"/>
        <v>21619.914551915328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21619.914551915328</v>
      </c>
      <c r="AN9" s="48">
        <f t="shared" si="14"/>
        <v>23781.906007106863</v>
      </c>
      <c r="AO9" s="47">
        <f t="shared" si="15"/>
        <v>5.2159342655179657</v>
      </c>
      <c r="AP9" s="47">
        <f t="shared" si="16"/>
        <v>2.2018979796446732</v>
      </c>
      <c r="AQ9">
        <v>2021</v>
      </c>
    </row>
    <row r="10" spans="1:43" ht="13.5" customHeight="1">
      <c r="A10" s="54">
        <f>SUM(O5:O999)</f>
        <v>90564710.599999994</v>
      </c>
      <c r="B10" s="97" t="s">
        <v>65</v>
      </c>
      <c r="C10" s="98">
        <v>18230724</v>
      </c>
      <c r="D10" s="61" t="s">
        <v>138</v>
      </c>
      <c r="E10" s="38" t="s">
        <v>996</v>
      </c>
      <c r="F10" s="39" t="s">
        <v>997</v>
      </c>
      <c r="G10" s="39">
        <v>20</v>
      </c>
      <c r="H10" s="39"/>
      <c r="I10" s="40" t="s">
        <v>257</v>
      </c>
      <c r="J10" s="41">
        <v>1</v>
      </c>
      <c r="K10" s="41">
        <v>41000</v>
      </c>
      <c r="L10" s="41"/>
      <c r="M10" s="42">
        <v>6497.57</v>
      </c>
      <c r="N10" s="42">
        <v>25850</v>
      </c>
      <c r="O10" s="43">
        <v>41000</v>
      </c>
      <c r="P10" s="44">
        <v>6497.57</v>
      </c>
      <c r="Q10" s="44">
        <v>25850</v>
      </c>
      <c r="R10" s="45"/>
      <c r="S10" s="46"/>
      <c r="T10" s="39">
        <f t="shared" si="0"/>
        <v>20</v>
      </c>
      <c r="U10" s="47">
        <f t="shared" si="1"/>
        <v>9.0542993464829778E-3</v>
      </c>
      <c r="V10" s="48">
        <f t="shared" si="2"/>
        <v>19352.43</v>
      </c>
      <c r="W10" s="49">
        <f t="shared" si="3"/>
        <v>4.527149673241489E-4</v>
      </c>
      <c r="X10" s="44">
        <f t="shared" si="4"/>
        <v>2156.5377890138147</v>
      </c>
      <c r="Y10" s="44">
        <f t="shared" si="5"/>
        <v>19352.43</v>
      </c>
      <c r="Z10" s="44">
        <f t="shared" si="6"/>
        <v>11092.814764540308</v>
      </c>
      <c r="AA10" s="50">
        <f t="shared" si="7"/>
        <v>28006.537789013815</v>
      </c>
      <c r="AB10" s="51">
        <f t="shared" si="8"/>
        <v>10370.02408576265</v>
      </c>
      <c r="AC10" s="44">
        <f t="shared" si="8"/>
        <v>26181.675038808837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1.3192527795896587</v>
      </c>
      <c r="AG10" s="44">
        <f t="shared" si="10"/>
        <v>54089.363963176009</v>
      </c>
      <c r="AH10" s="52">
        <f>HLOOKUP(I10,ElecAvoidedCostsWOCC!$A$5:$Q$50,T10+1,FALSE)</f>
        <v>1.3192527795896587</v>
      </c>
      <c r="AI10" s="44">
        <f t="shared" si="11"/>
        <v>0</v>
      </c>
      <c r="AJ10" s="44">
        <f t="shared" si="12"/>
        <v>54089.363963176009</v>
      </c>
      <c r="AK10" s="44">
        <f>HLOOKUP(I10,ElecAvoidedCostsWOCC!$A$5:$Q$50,G10+1,FALSE)*J10*L10</f>
        <v>0</v>
      </c>
      <c r="AL10" s="44">
        <f t="shared" si="13"/>
        <v>54089.363963176009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54089.363963176009</v>
      </c>
      <c r="AN10" s="48">
        <f t="shared" si="14"/>
        <v>59498.300359493616</v>
      </c>
      <c r="AO10" s="47">
        <f t="shared" si="15"/>
        <v>5.2159342655179639</v>
      </c>
      <c r="AP10" s="47">
        <f t="shared" si="16"/>
        <v>2.2725169520781185</v>
      </c>
      <c r="AQ10">
        <v>2021</v>
      </c>
    </row>
    <row r="11" spans="1:43" ht="13.5" customHeight="1">
      <c r="A11" s="36" t="s">
        <v>251</v>
      </c>
      <c r="B11" s="97" t="s">
        <v>65</v>
      </c>
      <c r="C11" s="98">
        <v>18230724</v>
      </c>
      <c r="D11" s="61" t="s">
        <v>138</v>
      </c>
      <c r="E11" s="38" t="s">
        <v>996</v>
      </c>
      <c r="F11" s="39" t="s">
        <v>997</v>
      </c>
      <c r="G11" s="39">
        <v>20</v>
      </c>
      <c r="H11" s="39"/>
      <c r="I11" s="40" t="s">
        <v>257</v>
      </c>
      <c r="J11" s="41">
        <v>1</v>
      </c>
      <c r="K11" s="41">
        <v>378516</v>
      </c>
      <c r="L11" s="41"/>
      <c r="M11" s="42">
        <v>102199</v>
      </c>
      <c r="N11" s="42">
        <v>264610</v>
      </c>
      <c r="O11" s="43">
        <v>378516</v>
      </c>
      <c r="P11" s="44">
        <v>102199</v>
      </c>
      <c r="Q11" s="44">
        <v>264610</v>
      </c>
      <c r="R11" s="45"/>
      <c r="S11" s="46"/>
      <c r="T11" s="39">
        <f t="shared" si="0"/>
        <v>20</v>
      </c>
      <c r="U11" s="47">
        <f t="shared" si="1"/>
        <v>8.3590174913008561E-2</v>
      </c>
      <c r="V11" s="48">
        <f t="shared" si="2"/>
        <v>162411</v>
      </c>
      <c r="W11" s="49">
        <f t="shared" si="3"/>
        <v>4.1795087456504279E-3</v>
      </c>
      <c r="X11" s="44">
        <f t="shared" si="4"/>
        <v>19909.367262106171</v>
      </c>
      <c r="Y11" s="44">
        <f t="shared" si="5"/>
        <v>162411</v>
      </c>
      <c r="Z11" s="44">
        <f t="shared" si="6"/>
        <v>102409.9481320668</v>
      </c>
      <c r="AA11" s="50">
        <f t="shared" si="7"/>
        <v>284519.36726210616</v>
      </c>
      <c r="AB11" s="51">
        <f t="shared" si="8"/>
        <v>95737.074069427676</v>
      </c>
      <c r="AC11" s="44">
        <f t="shared" si="8"/>
        <v>265980.52469113411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1.3192527795896587</v>
      </c>
      <c r="AG11" s="44">
        <f t="shared" si="10"/>
        <v>499358.28511915926</v>
      </c>
      <c r="AH11" s="52">
        <f>HLOOKUP(I11,ElecAvoidedCostsWOCC!$A$5:$Q$50,T11+1,FALSE)</f>
        <v>1.3192527795896587</v>
      </c>
      <c r="AI11" s="44">
        <f t="shared" si="11"/>
        <v>0</v>
      </c>
      <c r="AJ11" s="44">
        <f t="shared" si="12"/>
        <v>499358.28511915926</v>
      </c>
      <c r="AK11" s="44">
        <f>HLOOKUP(I11,ElecAvoidedCostsWOCC!$A$5:$Q$50,G11+1,FALSE)*J11*L11</f>
        <v>0</v>
      </c>
      <c r="AL11" s="44">
        <f t="shared" si="13"/>
        <v>499358.28511915926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499358.28511915926</v>
      </c>
      <c r="AN11" s="48">
        <f t="shared" si="14"/>
        <v>549294.11363107525</v>
      </c>
      <c r="AO11" s="47">
        <f t="shared" si="15"/>
        <v>5.2159342655179648</v>
      </c>
      <c r="AP11" s="47">
        <f t="shared" si="16"/>
        <v>2.0651666668788429</v>
      </c>
      <c r="AQ11">
        <v>2021</v>
      </c>
    </row>
    <row r="12" spans="1:43" ht="13.5" customHeight="1">
      <c r="A12" s="55">
        <f>SUM(P5:P1000)</f>
        <v>19736090.93</v>
      </c>
      <c r="B12" s="97" t="s">
        <v>65</v>
      </c>
      <c r="C12" s="98">
        <v>18230724</v>
      </c>
      <c r="D12" s="61" t="s">
        <v>138</v>
      </c>
      <c r="E12" s="38" t="s">
        <v>996</v>
      </c>
      <c r="F12" s="39" t="s">
        <v>997</v>
      </c>
      <c r="G12" s="39">
        <v>20</v>
      </c>
      <c r="H12" s="39"/>
      <c r="I12" s="40" t="s">
        <v>257</v>
      </c>
      <c r="J12" s="41">
        <v>1</v>
      </c>
      <c r="K12" s="41">
        <v>14342</v>
      </c>
      <c r="L12" s="41"/>
      <c r="M12" s="42">
        <v>1666</v>
      </c>
      <c r="N12" s="42">
        <v>32728</v>
      </c>
      <c r="O12" s="43">
        <v>14342</v>
      </c>
      <c r="P12" s="44">
        <v>1666</v>
      </c>
      <c r="Q12" s="44">
        <v>32728</v>
      </c>
      <c r="R12" s="45"/>
      <c r="S12" s="46"/>
      <c r="T12" s="39">
        <f t="shared" si="0"/>
        <v>20</v>
      </c>
      <c r="U12" s="47">
        <f t="shared" si="1"/>
        <v>3.1672380787136313E-3</v>
      </c>
      <c r="V12" s="48">
        <f t="shared" si="2"/>
        <v>31062</v>
      </c>
      <c r="W12" s="49">
        <f t="shared" si="3"/>
        <v>1.5836190393568155E-4</v>
      </c>
      <c r="X12" s="44">
        <f t="shared" si="4"/>
        <v>754.36743829356419</v>
      </c>
      <c r="Y12" s="44">
        <f t="shared" si="5"/>
        <v>31062</v>
      </c>
      <c r="Z12" s="44">
        <f t="shared" si="6"/>
        <v>3880.3207159277335</v>
      </c>
      <c r="AA12" s="50">
        <f t="shared" si="7"/>
        <v>33482.367438293564</v>
      </c>
      <c r="AB12" s="51">
        <f t="shared" si="8"/>
        <v>3627.4850106831195</v>
      </c>
      <c r="AC12" s="44">
        <f t="shared" si="8"/>
        <v>31300.70808478411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1.3192527795896587</v>
      </c>
      <c r="AG12" s="44">
        <f t="shared" si="10"/>
        <v>18920.723364874884</v>
      </c>
      <c r="AH12" s="52">
        <f>HLOOKUP(I12,ElecAvoidedCostsWOCC!$A$5:$Q$50,T12+1,FALSE)</f>
        <v>1.3192527795896587</v>
      </c>
      <c r="AI12" s="44">
        <f t="shared" si="11"/>
        <v>0</v>
      </c>
      <c r="AJ12" s="44">
        <f t="shared" si="12"/>
        <v>18920.723364874884</v>
      </c>
      <c r="AK12" s="44">
        <f>HLOOKUP(I12,ElecAvoidedCostsWOCC!$A$5:$Q$50,G12+1,FALSE)*J12*L12</f>
        <v>0</v>
      </c>
      <c r="AL12" s="44">
        <f t="shared" si="13"/>
        <v>18920.723364874884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18920.723364874884</v>
      </c>
      <c r="AN12" s="48">
        <f t="shared" si="14"/>
        <v>20812.795701362375</v>
      </c>
      <c r="AO12" s="47">
        <f t="shared" si="15"/>
        <v>5.2159342655179648</v>
      </c>
      <c r="AP12" s="47">
        <f t="shared" si="16"/>
        <v>0.66493050716254831</v>
      </c>
      <c r="AQ12">
        <v>2021</v>
      </c>
    </row>
    <row r="13" spans="1:43" ht="13.5" customHeight="1">
      <c r="A13" s="56" t="s">
        <v>252</v>
      </c>
      <c r="B13" s="97" t="s">
        <v>65</v>
      </c>
      <c r="C13" s="98">
        <v>18230724</v>
      </c>
      <c r="D13" s="61" t="s">
        <v>138</v>
      </c>
      <c r="E13" s="38" t="s">
        <v>996</v>
      </c>
      <c r="F13" s="39" t="s">
        <v>997</v>
      </c>
      <c r="G13" s="39">
        <v>7</v>
      </c>
      <c r="H13" s="39"/>
      <c r="I13" s="40" t="s">
        <v>257</v>
      </c>
      <c r="J13" s="41">
        <v>1</v>
      </c>
      <c r="K13" s="41">
        <v>1482281</v>
      </c>
      <c r="L13" s="41"/>
      <c r="M13" s="42">
        <v>287200</v>
      </c>
      <c r="N13" s="42">
        <v>778928</v>
      </c>
      <c r="O13" s="43">
        <v>1482281</v>
      </c>
      <c r="P13" s="44">
        <v>287200</v>
      </c>
      <c r="Q13" s="44">
        <v>778928</v>
      </c>
      <c r="R13" s="45"/>
      <c r="S13" s="46"/>
      <c r="T13" s="39">
        <f t="shared" si="0"/>
        <v>7</v>
      </c>
      <c r="U13" s="47">
        <f t="shared" si="1"/>
        <v>0.11456964783808408</v>
      </c>
      <c r="V13" s="48">
        <f t="shared" si="2"/>
        <v>491728</v>
      </c>
      <c r="W13" s="49">
        <f t="shared" si="3"/>
        <v>1.6367092548297726E-2</v>
      </c>
      <c r="X13" s="44">
        <f t="shared" si="4"/>
        <v>77965.731474077722</v>
      </c>
      <c r="Y13" s="44">
        <f t="shared" si="5"/>
        <v>491728</v>
      </c>
      <c r="Z13" s="44">
        <f t="shared" si="6"/>
        <v>401040.69663408713</v>
      </c>
      <c r="AA13" s="50">
        <f t="shared" si="7"/>
        <v>856893.73147407768</v>
      </c>
      <c r="AB13" s="51">
        <f t="shared" si="8"/>
        <v>374909.50419191091</v>
      </c>
      <c r="AC13" s="44">
        <f t="shared" si="8"/>
        <v>801059.85928211419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0.51471879727314174</v>
      </c>
      <c r="AG13" s="44">
        <f t="shared" si="10"/>
        <v>762957.89354082977</v>
      </c>
      <c r="AH13" s="52">
        <f>HLOOKUP(I13,ElecAvoidedCostsWOCC!$A$5:$Q$50,T13+1,FALSE)</f>
        <v>0.51471879727314174</v>
      </c>
      <c r="AI13" s="44">
        <f t="shared" si="11"/>
        <v>0</v>
      </c>
      <c r="AJ13" s="44">
        <f t="shared" si="12"/>
        <v>762957.89354082977</v>
      </c>
      <c r="AK13" s="44">
        <f>HLOOKUP(I13,ElecAvoidedCostsWOCC!$A$5:$Q$50,G13+1,FALSE)*J13*L13</f>
        <v>0</v>
      </c>
      <c r="AL13" s="44">
        <f t="shared" si="13"/>
        <v>762957.89354082977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762957.89354082977</v>
      </c>
      <c r="AN13" s="48">
        <f t="shared" si="14"/>
        <v>839253.68289491278</v>
      </c>
      <c r="AO13" s="47">
        <f t="shared" si="15"/>
        <v>2.0350454843371546</v>
      </c>
      <c r="AP13" s="47">
        <f t="shared" si="16"/>
        <v>1.0476791130778</v>
      </c>
      <c r="AQ13">
        <v>2021</v>
      </c>
    </row>
    <row r="14" spans="1:43" ht="13.5" customHeight="1">
      <c r="A14" s="55">
        <f>SUM(Y5:Y1000)</f>
        <v>34037103.569999993</v>
      </c>
      <c r="B14" s="97" t="s">
        <v>65</v>
      </c>
      <c r="C14" s="98">
        <v>18230724</v>
      </c>
      <c r="D14" s="61" t="s">
        <v>138</v>
      </c>
      <c r="E14" s="38" t="s">
        <v>996</v>
      </c>
      <c r="F14" s="39" t="s">
        <v>997</v>
      </c>
      <c r="G14" s="39">
        <v>10</v>
      </c>
      <c r="H14" s="39"/>
      <c r="I14" s="40" t="s">
        <v>257</v>
      </c>
      <c r="J14" s="41">
        <v>1</v>
      </c>
      <c r="K14" s="41">
        <v>2353308</v>
      </c>
      <c r="L14" s="41"/>
      <c r="M14" s="42">
        <v>171077</v>
      </c>
      <c r="N14" s="42">
        <v>903818.87</v>
      </c>
      <c r="O14" s="43">
        <v>2353308</v>
      </c>
      <c r="P14" s="44">
        <v>171077</v>
      </c>
      <c r="Q14" s="44">
        <v>903818.87</v>
      </c>
      <c r="R14" s="45"/>
      <c r="S14" s="46"/>
      <c r="T14" s="39">
        <f t="shared" si="0"/>
        <v>10</v>
      </c>
      <c r="U14" s="47">
        <f t="shared" si="1"/>
        <v>0.25984823276186786</v>
      </c>
      <c r="V14" s="48">
        <f t="shared" si="2"/>
        <v>732741.87</v>
      </c>
      <c r="W14" s="49">
        <f t="shared" si="3"/>
        <v>2.5984823276186786E-2</v>
      </c>
      <c r="X14" s="44">
        <f t="shared" si="4"/>
        <v>123780.43002898835</v>
      </c>
      <c r="Y14" s="44">
        <f t="shared" si="5"/>
        <v>732741.87</v>
      </c>
      <c r="Z14" s="44">
        <f t="shared" si="6"/>
        <v>636702.67629050778</v>
      </c>
      <c r="AA14" s="50">
        <f t="shared" si="7"/>
        <v>1027599.3000289884</v>
      </c>
      <c r="AB14" s="51">
        <f t="shared" si="8"/>
        <v>595216.11320043728</v>
      </c>
      <c r="AC14" s="44">
        <f t="shared" si="8"/>
        <v>960642.51662053692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0.7278724357900942</v>
      </c>
      <c r="AG14" s="44">
        <f t="shared" si="10"/>
        <v>1712908.0261243151</v>
      </c>
      <c r="AH14" s="52">
        <f>HLOOKUP(I14,ElecAvoidedCostsWOCC!$A$5:$Q$50,T14+1,FALSE)</f>
        <v>0.7278724357900942</v>
      </c>
      <c r="AI14" s="44">
        <f t="shared" si="11"/>
        <v>0</v>
      </c>
      <c r="AJ14" s="44">
        <f t="shared" si="12"/>
        <v>1712908.0261243151</v>
      </c>
      <c r="AK14" s="44">
        <f>HLOOKUP(I14,ElecAvoidedCostsWOCC!$A$5:$Q$50,G14+1,FALSE)*J14*L14</f>
        <v>0</v>
      </c>
      <c r="AL14" s="44">
        <f t="shared" si="13"/>
        <v>1712908.0261243151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1712908.0261243151</v>
      </c>
      <c r="AN14" s="48">
        <f t="shared" si="14"/>
        <v>1884198.8287367467</v>
      </c>
      <c r="AO14" s="47">
        <f t="shared" si="15"/>
        <v>2.8777917602299494</v>
      </c>
      <c r="AP14" s="47">
        <f t="shared" si="16"/>
        <v>1.9613943752616807</v>
      </c>
      <c r="AQ14">
        <v>2021</v>
      </c>
    </row>
    <row r="15" spans="1:43" ht="13.5" customHeight="1">
      <c r="A15" s="57" t="s">
        <v>253</v>
      </c>
      <c r="B15" s="97" t="s">
        <v>65</v>
      </c>
      <c r="C15" s="98">
        <v>18230724</v>
      </c>
      <c r="D15" s="61" t="s">
        <v>138</v>
      </c>
      <c r="E15" s="38" t="s">
        <v>996</v>
      </c>
      <c r="F15" s="39" t="s">
        <v>997</v>
      </c>
      <c r="G15" s="39">
        <v>11</v>
      </c>
      <c r="H15" s="39"/>
      <c r="I15" s="40" t="s">
        <v>257</v>
      </c>
      <c r="J15" s="41">
        <v>1</v>
      </c>
      <c r="K15" s="41">
        <v>570793</v>
      </c>
      <c r="L15" s="41"/>
      <c r="M15" s="42">
        <v>99811</v>
      </c>
      <c r="N15" s="42">
        <v>364454</v>
      </c>
      <c r="O15" s="43">
        <v>570793</v>
      </c>
      <c r="P15" s="44">
        <v>99811</v>
      </c>
      <c r="Q15" s="44">
        <v>364454</v>
      </c>
      <c r="R15" s="45"/>
      <c r="S15" s="46"/>
      <c r="T15" s="39">
        <f t="shared" si="0"/>
        <v>11</v>
      </c>
      <c r="U15" s="47">
        <f t="shared" si="1"/>
        <v>6.9328582384936152E-2</v>
      </c>
      <c r="V15" s="48">
        <f t="shared" si="2"/>
        <v>264643</v>
      </c>
      <c r="W15" s="49">
        <f t="shared" si="3"/>
        <v>6.3025983986305595E-3</v>
      </c>
      <c r="X15" s="44">
        <f t="shared" si="4"/>
        <v>30022.8457123064</v>
      </c>
      <c r="Y15" s="44">
        <f t="shared" si="5"/>
        <v>264643</v>
      </c>
      <c r="Z15" s="44">
        <f t="shared" si="6"/>
        <v>154431.73214381112</v>
      </c>
      <c r="AA15" s="50">
        <f t="shared" si="7"/>
        <v>394476.84571230639</v>
      </c>
      <c r="AB15" s="51">
        <f t="shared" si="8"/>
        <v>144369.19897523709</v>
      </c>
      <c r="AC15" s="44">
        <f t="shared" si="8"/>
        <v>368773.34365925618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0.79881822463794228</v>
      </c>
      <c r="AG15" s="44">
        <f t="shared" si="10"/>
        <v>455959.850895765</v>
      </c>
      <c r="AH15" s="52">
        <f>HLOOKUP(I15,ElecAvoidedCostsWOCC!$A$5:$Q$50,T15+1,FALSE)</f>
        <v>0.79881822463794228</v>
      </c>
      <c r="AI15" s="44">
        <f t="shared" si="11"/>
        <v>0</v>
      </c>
      <c r="AJ15" s="44">
        <f t="shared" si="12"/>
        <v>455959.850895765</v>
      </c>
      <c r="AK15" s="44">
        <f>HLOOKUP(I15,ElecAvoidedCostsWOCC!$A$5:$Q$50,G15+1,FALSE)*J15*L15</f>
        <v>0</v>
      </c>
      <c r="AL15" s="44">
        <f t="shared" si="13"/>
        <v>455959.850895765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455959.850895765</v>
      </c>
      <c r="AN15" s="48">
        <f t="shared" si="14"/>
        <v>501555.83598534152</v>
      </c>
      <c r="AO15" s="47">
        <f t="shared" si="15"/>
        <v>3.1582903703301248</v>
      </c>
      <c r="AP15" s="47">
        <f t="shared" si="16"/>
        <v>1.3600653209055571</v>
      </c>
      <c r="AQ15">
        <v>2021</v>
      </c>
    </row>
    <row r="16" spans="1:43" ht="13.5" customHeight="1">
      <c r="A16" s="54">
        <f>SUM(U5:U999)</f>
        <v>51.539329153560679</v>
      </c>
      <c r="B16" s="97" t="s">
        <v>65</v>
      </c>
      <c r="C16" s="98">
        <v>18230724</v>
      </c>
      <c r="D16" s="61" t="s">
        <v>138</v>
      </c>
      <c r="E16" s="38" t="s">
        <v>996</v>
      </c>
      <c r="F16" s="39" t="s">
        <v>997</v>
      </c>
      <c r="G16" s="39">
        <v>12</v>
      </c>
      <c r="H16" s="39"/>
      <c r="I16" s="40" t="s">
        <v>257</v>
      </c>
      <c r="J16" s="41">
        <v>1</v>
      </c>
      <c r="K16" s="41">
        <v>255644</v>
      </c>
      <c r="L16" s="41"/>
      <c r="M16" s="42">
        <v>37423.54</v>
      </c>
      <c r="N16" s="42">
        <v>209009.61</v>
      </c>
      <c r="O16" s="43">
        <v>255644</v>
      </c>
      <c r="P16" s="44">
        <v>37423.54</v>
      </c>
      <c r="Q16" s="44">
        <v>209009.61</v>
      </c>
      <c r="R16" s="45"/>
      <c r="S16" s="46"/>
      <c r="T16" s="39">
        <f t="shared" si="0"/>
        <v>12</v>
      </c>
      <c r="U16" s="47">
        <f t="shared" si="1"/>
        <v>3.3873326372667725E-2</v>
      </c>
      <c r="V16" s="48">
        <f t="shared" si="2"/>
        <v>171586.06999999998</v>
      </c>
      <c r="W16" s="49">
        <f t="shared" si="3"/>
        <v>2.8227771977223102E-3</v>
      </c>
      <c r="X16" s="44">
        <f t="shared" si="4"/>
        <v>13446.486500845063</v>
      </c>
      <c r="Y16" s="44">
        <f t="shared" si="5"/>
        <v>171586.06999999998</v>
      </c>
      <c r="Z16" s="44">
        <f t="shared" si="6"/>
        <v>69166.135065027847</v>
      </c>
      <c r="AA16" s="50">
        <f t="shared" si="7"/>
        <v>222456.09650084504</v>
      </c>
      <c r="AB16" s="51">
        <f t="shared" si="8"/>
        <v>64659.376521480641</v>
      </c>
      <c r="AC16" s="44">
        <f t="shared" si="8"/>
        <v>207961.20080475369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0.86650348716649883</v>
      </c>
      <c r="AG16" s="44">
        <f t="shared" si="10"/>
        <v>221516.41747319241</v>
      </c>
      <c r="AH16" s="52">
        <f>HLOOKUP(I16,ElecAvoidedCostsWOCC!$A$5:$Q$50,T16+1,FALSE)</f>
        <v>0.86650348716649883</v>
      </c>
      <c r="AI16" s="44">
        <f t="shared" si="11"/>
        <v>0</v>
      </c>
      <c r="AJ16" s="44">
        <f t="shared" si="12"/>
        <v>221516.41747319241</v>
      </c>
      <c r="AK16" s="44">
        <f>HLOOKUP(I16,ElecAvoidedCostsWOCC!$A$5:$Q$50,G16+1,FALSE)*J16*L16</f>
        <v>0</v>
      </c>
      <c r="AL16" s="44">
        <f t="shared" si="13"/>
        <v>221516.41747319241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221516.41747319241</v>
      </c>
      <c r="AN16" s="48">
        <f t="shared" si="14"/>
        <v>243668.05922051167</v>
      </c>
      <c r="AO16" s="47">
        <f t="shared" si="15"/>
        <v>3.4258978262743058</v>
      </c>
      <c r="AP16" s="47">
        <f t="shared" si="16"/>
        <v>1.1716996164552911</v>
      </c>
      <c r="AQ16">
        <v>2021</v>
      </c>
    </row>
    <row r="17" spans="1:43" ht="13.5" customHeight="1">
      <c r="A17" s="58" t="s">
        <v>254</v>
      </c>
      <c r="B17" s="97" t="s">
        <v>65</v>
      </c>
      <c r="C17" s="98">
        <v>18230724</v>
      </c>
      <c r="D17" s="61" t="s">
        <v>138</v>
      </c>
      <c r="E17" s="38" t="s">
        <v>996</v>
      </c>
      <c r="F17" s="39" t="s">
        <v>997</v>
      </c>
      <c r="G17" s="39">
        <v>13</v>
      </c>
      <c r="H17" s="39"/>
      <c r="I17" s="40" t="s">
        <v>257</v>
      </c>
      <c r="J17" s="41">
        <v>1</v>
      </c>
      <c r="K17" s="41">
        <v>578993</v>
      </c>
      <c r="L17" s="41"/>
      <c r="M17" s="42">
        <v>125973</v>
      </c>
      <c r="N17" s="42">
        <v>327778.71000000002</v>
      </c>
      <c r="O17" s="43">
        <v>578993</v>
      </c>
      <c r="P17" s="44">
        <v>125973</v>
      </c>
      <c r="Q17" s="44">
        <v>327778.71000000002</v>
      </c>
      <c r="R17" s="45"/>
      <c r="S17" s="46"/>
      <c r="T17" s="39">
        <f t="shared" si="0"/>
        <v>13</v>
      </c>
      <c r="U17" s="47">
        <f t="shared" si="1"/>
        <v>8.3110838097240056E-2</v>
      </c>
      <c r="V17" s="48">
        <f t="shared" si="2"/>
        <v>201805.71000000002</v>
      </c>
      <c r="W17" s="49">
        <f t="shared" si="3"/>
        <v>6.3931413920953889E-3</v>
      </c>
      <c r="X17" s="44">
        <f t="shared" si="4"/>
        <v>30454.15327010916</v>
      </c>
      <c r="Y17" s="44">
        <f t="shared" si="5"/>
        <v>201805.71000000002</v>
      </c>
      <c r="Z17" s="44">
        <f t="shared" si="6"/>
        <v>156650.29509671917</v>
      </c>
      <c r="AA17" s="50">
        <f t="shared" si="7"/>
        <v>358232.86327010917</v>
      </c>
      <c r="AB17" s="51">
        <f t="shared" si="8"/>
        <v>146443.2037923896</v>
      </c>
      <c r="AC17" s="44">
        <f t="shared" si="8"/>
        <v>334890.96313929994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0.93164439687846989</v>
      </c>
      <c r="AG17" s="44">
        <f t="shared" si="10"/>
        <v>539415.58428185596</v>
      </c>
      <c r="AH17" s="52">
        <f>HLOOKUP(I17,ElecAvoidedCostsWOCC!$A$5:$Q$50,T17+1,FALSE)</f>
        <v>0.93164439687846989</v>
      </c>
      <c r="AI17" s="44">
        <f t="shared" si="11"/>
        <v>0</v>
      </c>
      <c r="AJ17" s="44">
        <f t="shared" si="12"/>
        <v>539415.58428185596</v>
      </c>
      <c r="AK17" s="44">
        <f>HLOOKUP(I17,ElecAvoidedCostsWOCC!$A$5:$Q$50,G17+1,FALSE)*J17*L17</f>
        <v>0</v>
      </c>
      <c r="AL17" s="44">
        <f t="shared" si="13"/>
        <v>539415.58428185596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539415.58428185596</v>
      </c>
      <c r="AN17" s="48">
        <f t="shared" si="14"/>
        <v>593357.1427100416</v>
      </c>
      <c r="AO17" s="47">
        <f t="shared" si="15"/>
        <v>3.68344566571063</v>
      </c>
      <c r="AP17" s="47">
        <f t="shared" si="16"/>
        <v>1.7717920398563609</v>
      </c>
      <c r="AQ17">
        <v>2021</v>
      </c>
    </row>
    <row r="18" spans="1:43" ht="13.5" customHeight="1">
      <c r="A18" s="59">
        <f>A6+A8</f>
        <v>24502867.289999999</v>
      </c>
      <c r="B18" s="97" t="s">
        <v>65</v>
      </c>
      <c r="C18" s="98">
        <v>18230724</v>
      </c>
      <c r="D18" s="61" t="s">
        <v>138</v>
      </c>
      <c r="E18" s="38" t="s">
        <v>996</v>
      </c>
      <c r="F18" s="39" t="s">
        <v>997</v>
      </c>
      <c r="G18" s="39">
        <v>14</v>
      </c>
      <c r="H18" s="39"/>
      <c r="I18" s="40" t="s">
        <v>257</v>
      </c>
      <c r="J18" s="41">
        <v>1</v>
      </c>
      <c r="K18" s="41">
        <v>3670649</v>
      </c>
      <c r="L18" s="41"/>
      <c r="M18" s="42">
        <v>853029.42</v>
      </c>
      <c r="N18" s="42">
        <v>1786896.69</v>
      </c>
      <c r="O18" s="43">
        <v>3670649</v>
      </c>
      <c r="P18" s="44">
        <v>853029.42</v>
      </c>
      <c r="Q18" s="44">
        <v>1786896.69</v>
      </c>
      <c r="R18" s="45"/>
      <c r="S18" s="46"/>
      <c r="T18" s="39">
        <f t="shared" si="0"/>
        <v>14</v>
      </c>
      <c r="U18" s="47">
        <f t="shared" si="1"/>
        <v>0.56742947290994827</v>
      </c>
      <c r="V18" s="48">
        <f t="shared" si="2"/>
        <v>933867.2699999999</v>
      </c>
      <c r="W18" s="49">
        <f t="shared" si="3"/>
        <v>4.0530676636424873E-2</v>
      </c>
      <c r="X18" s="44">
        <f t="shared" si="4"/>
        <v>193070.56777331146</v>
      </c>
      <c r="Y18" s="44">
        <f t="shared" si="5"/>
        <v>933867.2699999999</v>
      </c>
      <c r="Z18" s="44">
        <f t="shared" si="6"/>
        <v>993117.79079622217</v>
      </c>
      <c r="AA18" s="50">
        <f t="shared" si="7"/>
        <v>1979967.2577733113</v>
      </c>
      <c r="AB18" s="51">
        <f t="shared" si="8"/>
        <v>928407.76927757508</v>
      </c>
      <c r="AC18" s="44">
        <f t="shared" si="8"/>
        <v>1850955.6490355344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0.99426126995605024</v>
      </c>
      <c r="AG18" s="44">
        <f t="shared" si="10"/>
        <v>3649584.1363029061</v>
      </c>
      <c r="AH18" s="52">
        <f>HLOOKUP(I18,ElecAvoidedCostsWOCC!$A$5:$Q$50,T18+1,FALSE)</f>
        <v>0.99426126995605024</v>
      </c>
      <c r="AI18" s="44">
        <f t="shared" si="11"/>
        <v>0</v>
      </c>
      <c r="AJ18" s="44">
        <f t="shared" si="12"/>
        <v>3649584.1363029061</v>
      </c>
      <c r="AK18" s="44">
        <f>HLOOKUP(I18,ElecAvoidedCostsWOCC!$A$5:$Q$50,G18+1,FALSE)*J18*L18</f>
        <v>0</v>
      </c>
      <c r="AL18" s="44">
        <f t="shared" si="13"/>
        <v>3649584.1363029061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3649584.1363029061</v>
      </c>
      <c r="AN18" s="48">
        <f t="shared" si="14"/>
        <v>4014542.549933197</v>
      </c>
      <c r="AO18" s="47">
        <f t="shared" si="15"/>
        <v>3.9310142127987238</v>
      </c>
      <c r="AP18" s="47">
        <f t="shared" si="16"/>
        <v>2.1689026163457936</v>
      </c>
      <c r="AQ18">
        <v>2021</v>
      </c>
    </row>
    <row r="19" spans="1:43" ht="13.5" customHeight="1">
      <c r="A19" s="58" t="s">
        <v>231</v>
      </c>
      <c r="B19" s="97" t="s">
        <v>65</v>
      </c>
      <c r="C19" s="98">
        <v>18230724</v>
      </c>
      <c r="D19" s="61" t="s">
        <v>138</v>
      </c>
      <c r="E19" s="38" t="s">
        <v>996</v>
      </c>
      <c r="F19" s="39" t="s">
        <v>997</v>
      </c>
      <c r="G19" s="39">
        <v>15</v>
      </c>
      <c r="H19" s="39"/>
      <c r="I19" s="40" t="s">
        <v>257</v>
      </c>
      <c r="J19" s="41">
        <v>1</v>
      </c>
      <c r="K19" s="41">
        <v>21296758</v>
      </c>
      <c r="L19" s="41"/>
      <c r="M19" s="42">
        <v>5797234.7999999998</v>
      </c>
      <c r="N19" s="42">
        <v>13235491.32</v>
      </c>
      <c r="O19" s="43">
        <v>21296758</v>
      </c>
      <c r="P19" s="44">
        <v>5797234.7999999998</v>
      </c>
      <c r="Q19" s="44">
        <v>13235491.32</v>
      </c>
      <c r="R19" s="45"/>
      <c r="S19" s="46"/>
      <c r="T19" s="39">
        <f t="shared" si="0"/>
        <v>15</v>
      </c>
      <c r="U19" s="47">
        <f t="shared" si="1"/>
        <v>3.5273272324684051</v>
      </c>
      <c r="V19" s="48">
        <f t="shared" si="2"/>
        <v>7438256.5200000005</v>
      </c>
      <c r="W19" s="49">
        <f t="shared" si="3"/>
        <v>0.23515514883122701</v>
      </c>
      <c r="X19" s="44">
        <f t="shared" si="4"/>
        <v>1120177.1563532262</v>
      </c>
      <c r="Y19" s="44">
        <f t="shared" si="5"/>
        <v>7438256.5200000005</v>
      </c>
      <c r="Z19" s="44">
        <f t="shared" si="6"/>
        <v>5761975.4043717533</v>
      </c>
      <c r="AA19" s="50">
        <f t="shared" si="7"/>
        <v>14355668.476353226</v>
      </c>
      <c r="AB19" s="51">
        <f t="shared" si="8"/>
        <v>5386533.9855770338</v>
      </c>
      <c r="AC19" s="44">
        <f t="shared" si="8"/>
        <v>13420275.288728826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1.0545904948077327</v>
      </c>
      <c r="AG19" s="44">
        <f t="shared" si="10"/>
        <v>22459358.557020541</v>
      </c>
      <c r="AH19" s="52">
        <f>HLOOKUP(I19,ElecAvoidedCostsWOCC!$A$5:$Q$50,T19+1,FALSE)</f>
        <v>1.0545904948077327</v>
      </c>
      <c r="AI19" s="44">
        <f t="shared" si="11"/>
        <v>0</v>
      </c>
      <c r="AJ19" s="44">
        <f t="shared" si="12"/>
        <v>22459358.557020541</v>
      </c>
      <c r="AK19" s="44">
        <f>HLOOKUP(I19,ElecAvoidedCostsWOCC!$A$5:$Q$50,G19+1,FALSE)*J19*L19</f>
        <v>0</v>
      </c>
      <c r="AL19" s="44">
        <f t="shared" si="13"/>
        <v>22459358.557020541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22459358.557020541</v>
      </c>
      <c r="AN19" s="48">
        <f t="shared" si="14"/>
        <v>24705294.412722599</v>
      </c>
      <c r="AO19" s="47">
        <f t="shared" si="15"/>
        <v>4.1695380772046828</v>
      </c>
      <c r="AP19" s="47">
        <f t="shared" si="16"/>
        <v>1.840893266434827</v>
      </c>
      <c r="AQ19">
        <v>2021</v>
      </c>
    </row>
    <row r="20" spans="1:43" ht="13.5" customHeight="1">
      <c r="A20" s="59">
        <f>A8+SUM(Q5:Q906)</f>
        <v>58536760.859999999</v>
      </c>
      <c r="B20" s="97" t="s">
        <v>65</v>
      </c>
      <c r="C20" s="98">
        <v>18230724</v>
      </c>
      <c r="D20" s="61" t="s">
        <v>138</v>
      </c>
      <c r="E20" s="38" t="s">
        <v>996</v>
      </c>
      <c r="F20" s="39" t="s">
        <v>997</v>
      </c>
      <c r="G20" s="39">
        <v>16</v>
      </c>
      <c r="H20" s="39"/>
      <c r="I20" s="40" t="s">
        <v>257</v>
      </c>
      <c r="J20" s="41">
        <v>1</v>
      </c>
      <c r="K20" s="41">
        <v>1406677</v>
      </c>
      <c r="L20" s="41"/>
      <c r="M20" s="42">
        <v>344230</v>
      </c>
      <c r="N20" s="42">
        <v>861799.85</v>
      </c>
      <c r="O20" s="43">
        <v>1406677</v>
      </c>
      <c r="P20" s="44">
        <v>344230</v>
      </c>
      <c r="Q20" s="44">
        <v>861799.85</v>
      </c>
      <c r="R20" s="45"/>
      <c r="S20" s="46"/>
      <c r="T20" s="39">
        <f t="shared" si="0"/>
        <v>16</v>
      </c>
      <c r="U20" s="47">
        <f t="shared" si="1"/>
        <v>0.24851657837683194</v>
      </c>
      <c r="V20" s="48">
        <f t="shared" si="2"/>
        <v>517569.85</v>
      </c>
      <c r="W20" s="49">
        <f t="shared" si="3"/>
        <v>1.5532286148551996E-2</v>
      </c>
      <c r="X20" s="44">
        <f t="shared" si="4"/>
        <v>73989.075791136245</v>
      </c>
      <c r="Y20" s="44">
        <f t="shared" si="5"/>
        <v>517569.85</v>
      </c>
      <c r="Z20" s="44">
        <f t="shared" si="6"/>
        <v>380585.54620827478</v>
      </c>
      <c r="AA20" s="50">
        <f t="shared" si="7"/>
        <v>935788.92579113622</v>
      </c>
      <c r="AB20" s="51">
        <f t="shared" si="8"/>
        <v>355787.17977776454</v>
      </c>
      <c r="AC20" s="44">
        <f t="shared" si="8"/>
        <v>874814.364579916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1.1126010938169359</v>
      </c>
      <c r="AG20" s="44">
        <f t="shared" si="10"/>
        <v>1565070.3688471259</v>
      </c>
      <c r="AH20" s="52">
        <f>HLOOKUP(I20,ElecAvoidedCostsWOCC!$A$5:$Q$50,T20+1,FALSE)</f>
        <v>1.1126010938169359</v>
      </c>
      <c r="AI20" s="44">
        <f t="shared" si="11"/>
        <v>0</v>
      </c>
      <c r="AJ20" s="44">
        <f t="shared" si="12"/>
        <v>1565070.3688471259</v>
      </c>
      <c r="AK20" s="44">
        <f>HLOOKUP(I20,ElecAvoidedCostsWOCC!$A$5:$Q$50,G20+1,FALSE)*J20*L20</f>
        <v>0</v>
      </c>
      <c r="AL20" s="44">
        <f t="shared" si="13"/>
        <v>1565070.3688471259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1565070.3688471259</v>
      </c>
      <c r="AN20" s="48">
        <f t="shared" si="14"/>
        <v>1721577.4057318387</v>
      </c>
      <c r="AO20" s="47">
        <f t="shared" si="15"/>
        <v>4.3988947826189699</v>
      </c>
      <c r="AP20" s="47">
        <f t="shared" si="16"/>
        <v>1.9679345418139498</v>
      </c>
      <c r="AQ20">
        <v>2021</v>
      </c>
    </row>
    <row r="21" spans="1:43" ht="13.5" customHeight="1">
      <c r="A21" s="58" t="s">
        <v>245</v>
      </c>
      <c r="B21" s="97" t="s">
        <v>65</v>
      </c>
      <c r="C21" s="98">
        <v>18230724</v>
      </c>
      <c r="D21" s="61" t="s">
        <v>138</v>
      </c>
      <c r="E21" s="38" t="s">
        <v>996</v>
      </c>
      <c r="F21" s="39" t="s">
        <v>997</v>
      </c>
      <c r="G21" s="39">
        <v>17</v>
      </c>
      <c r="H21" s="39"/>
      <c r="I21" s="40" t="s">
        <v>257</v>
      </c>
      <c r="J21" s="41">
        <v>1</v>
      </c>
      <c r="K21" s="41">
        <v>432045</v>
      </c>
      <c r="L21" s="41"/>
      <c r="M21" s="42">
        <v>113142</v>
      </c>
      <c r="N21" s="42">
        <v>218329.28</v>
      </c>
      <c r="O21" s="43">
        <v>432045</v>
      </c>
      <c r="P21" s="44">
        <v>113142</v>
      </c>
      <c r="Q21" s="44">
        <v>218329.28</v>
      </c>
      <c r="R21" s="45"/>
      <c r="S21" s="46"/>
      <c r="T21" s="39">
        <f t="shared" si="0"/>
        <v>17</v>
      </c>
      <c r="U21" s="47">
        <f t="shared" si="1"/>
        <v>8.1099635292159813E-2</v>
      </c>
      <c r="V21" s="48">
        <f t="shared" si="2"/>
        <v>105187.28</v>
      </c>
      <c r="W21" s="49">
        <f t="shared" si="3"/>
        <v>4.770566781891754E-3</v>
      </c>
      <c r="X21" s="44">
        <f t="shared" si="4"/>
        <v>22724.911440353015</v>
      </c>
      <c r="Y21" s="44">
        <f t="shared" si="5"/>
        <v>105187.28</v>
      </c>
      <c r="Z21" s="44">
        <f t="shared" si="6"/>
        <v>116892.56475477602</v>
      </c>
      <c r="AA21" s="50">
        <f t="shared" si="7"/>
        <v>241054.19144035302</v>
      </c>
      <c r="AB21" s="51">
        <f t="shared" ref="AB21:AC24" si="18">Z21/(1+ElecDiscountRate)^1</f>
        <v>109276.02575934936</v>
      </c>
      <c r="AC21" s="44">
        <f t="shared" si="18"/>
        <v>225347.47260012434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1.1675084352039682</v>
      </c>
      <c r="AG21" s="44">
        <f t="shared" si="10"/>
        <v>504416.18188769842</v>
      </c>
      <c r="AH21" s="52">
        <f>HLOOKUP(I21,ElecAvoidedCostsWOCC!$A$5:$Q$50,T21+1,FALSE)</f>
        <v>1.1675084352039682</v>
      </c>
      <c r="AI21" s="44">
        <f t="shared" si="11"/>
        <v>0</v>
      </c>
      <c r="AJ21" s="44">
        <f t="shared" si="12"/>
        <v>504416.18188769842</v>
      </c>
      <c r="AK21" s="44">
        <f>HLOOKUP(I21,ElecAvoidedCostsWOCC!$A$5:$Q$50,G21+1,FALSE)*J21*L21</f>
        <v>0</v>
      </c>
      <c r="AL21" s="44">
        <f t="shared" si="13"/>
        <v>504416.18188769842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504416.18188769842</v>
      </c>
      <c r="AN21" s="48">
        <f t="shared" si="14"/>
        <v>554857.80007646827</v>
      </c>
      <c r="AO21" s="47">
        <f t="shared" si="15"/>
        <v>4.6159821276675768</v>
      </c>
      <c r="AP21" s="47">
        <f t="shared" si="16"/>
        <v>2.462232186029683</v>
      </c>
      <c r="AQ21">
        <v>2021</v>
      </c>
    </row>
    <row r="22" spans="1:43" ht="13.5" customHeight="1">
      <c r="A22" s="60">
        <f>(SUM(AM5:AM1000)/(SUM(AB5:AB1000)))</f>
        <v>4.1520091121204938</v>
      </c>
      <c r="B22" s="97" t="s">
        <v>65</v>
      </c>
      <c r="C22" s="98">
        <v>18230724</v>
      </c>
      <c r="D22" s="61" t="s">
        <v>138</v>
      </c>
      <c r="E22" s="38" t="s">
        <v>996</v>
      </c>
      <c r="F22" s="39" t="s">
        <v>997</v>
      </c>
      <c r="G22" s="39">
        <v>18</v>
      </c>
      <c r="H22" s="39"/>
      <c r="I22" s="40" t="s">
        <v>257</v>
      </c>
      <c r="J22" s="41">
        <v>1</v>
      </c>
      <c r="K22" s="41">
        <v>1471561</v>
      </c>
      <c r="L22" s="41"/>
      <c r="M22" s="42">
        <v>439594</v>
      </c>
      <c r="N22" s="42">
        <v>911247.49</v>
      </c>
      <c r="O22" s="43">
        <v>1471561</v>
      </c>
      <c r="P22" s="44">
        <v>439594</v>
      </c>
      <c r="Q22" s="44">
        <v>911247.49</v>
      </c>
      <c r="R22" s="45"/>
      <c r="S22" s="46"/>
      <c r="T22" s="39">
        <f t="shared" si="0"/>
        <v>18</v>
      </c>
      <c r="U22" s="47">
        <f t="shared" si="1"/>
        <v>0.29247703464753305</v>
      </c>
      <c r="V22" s="48">
        <f t="shared" si="2"/>
        <v>471653.49</v>
      </c>
      <c r="W22" s="49">
        <f t="shared" si="3"/>
        <v>1.624872414708517E-2</v>
      </c>
      <c r="X22" s="44">
        <f t="shared" si="4"/>
        <v>77401.875739974595</v>
      </c>
      <c r="Y22" s="44">
        <f t="shared" si="5"/>
        <v>471653.49</v>
      </c>
      <c r="Z22" s="44">
        <f t="shared" si="6"/>
        <v>398140.33140784636</v>
      </c>
      <c r="AA22" s="50">
        <f t="shared" si="7"/>
        <v>988649.36573997454</v>
      </c>
      <c r="AB22" s="51">
        <f t="shared" si="18"/>
        <v>372198.12228460907</v>
      </c>
      <c r="AC22" s="44">
        <f t="shared" si="18"/>
        <v>924230.49989714357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1.2205357682002123</v>
      </c>
      <c r="AG22" s="44">
        <f t="shared" si="10"/>
        <v>1796092.8355884727</v>
      </c>
      <c r="AH22" s="52">
        <f>HLOOKUP(I22,ElecAvoidedCostsWOCC!$A$5:$Q$50,T22+1,FALSE)</f>
        <v>1.2205357682002123</v>
      </c>
      <c r="AI22" s="44">
        <f t="shared" si="11"/>
        <v>0</v>
      </c>
      <c r="AJ22" s="44">
        <f t="shared" si="12"/>
        <v>1796092.8355884727</v>
      </c>
      <c r="AK22" s="44">
        <f>HLOOKUP(I22,ElecAvoidedCostsWOCC!$A$5:$Q$50,G22+1,FALSE)*J22*L22</f>
        <v>0</v>
      </c>
      <c r="AL22" s="44">
        <f t="shared" si="13"/>
        <v>1796092.8355884727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1796092.8355884727</v>
      </c>
      <c r="AN22" s="48">
        <f t="shared" si="14"/>
        <v>1975702.11914732</v>
      </c>
      <c r="AO22" s="47">
        <f t="shared" si="15"/>
        <v>4.8256364770563049</v>
      </c>
      <c r="AP22" s="47">
        <f t="shared" si="16"/>
        <v>2.1376724955162087</v>
      </c>
      <c r="AQ22">
        <v>2021</v>
      </c>
    </row>
    <row r="23" spans="1:43" ht="13.5" customHeight="1">
      <c r="A23" s="58" t="s">
        <v>246</v>
      </c>
      <c r="B23" s="97" t="s">
        <v>65</v>
      </c>
      <c r="C23" s="98">
        <v>18230724</v>
      </c>
      <c r="D23" s="61" t="s">
        <v>138</v>
      </c>
      <c r="E23" s="38" t="s">
        <v>996</v>
      </c>
      <c r="F23" s="39" t="s">
        <v>997</v>
      </c>
      <c r="G23" s="39">
        <v>19</v>
      </c>
      <c r="H23" s="39"/>
      <c r="I23" s="40" t="s">
        <v>257</v>
      </c>
      <c r="J23" s="41">
        <v>1</v>
      </c>
      <c r="K23" s="41">
        <v>1106087</v>
      </c>
      <c r="L23" s="41"/>
      <c r="M23" s="42">
        <v>292362</v>
      </c>
      <c r="N23" s="42">
        <v>570156.63</v>
      </c>
      <c r="O23" s="43">
        <v>1106087</v>
      </c>
      <c r="P23" s="44">
        <v>292362</v>
      </c>
      <c r="Q23" s="44">
        <v>570156.63</v>
      </c>
      <c r="R23" s="45"/>
      <c r="S23" s="46"/>
      <c r="T23" s="39">
        <f t="shared" si="0"/>
        <v>19</v>
      </c>
      <c r="U23" s="47">
        <f t="shared" si="1"/>
        <v>0.23205123563879637</v>
      </c>
      <c r="V23" s="48">
        <f t="shared" si="2"/>
        <v>277794.63</v>
      </c>
      <c r="W23" s="49">
        <f t="shared" si="3"/>
        <v>1.2213222928357704E-2</v>
      </c>
      <c r="X23" s="44">
        <f t="shared" si="4"/>
        <v>58178.497888705446</v>
      </c>
      <c r="Y23" s="44">
        <f t="shared" si="5"/>
        <v>277794.63</v>
      </c>
      <c r="Z23" s="44">
        <f t="shared" si="6"/>
        <v>299258.98059673398</v>
      </c>
      <c r="AA23" s="50">
        <f t="shared" si="7"/>
        <v>628335.12788870547</v>
      </c>
      <c r="AB23" s="51">
        <f t="shared" si="18"/>
        <v>279759.72758412076</v>
      </c>
      <c r="AC23" s="44">
        <f t="shared" si="18"/>
        <v>587393.7813300041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1.2712443780420335</v>
      </c>
      <c r="AG23" s="44">
        <f t="shared" si="10"/>
        <v>1406106.8803753788</v>
      </c>
      <c r="AH23" s="52">
        <f>HLOOKUP(I23,ElecAvoidedCostsWOCC!$A$5:$Q$50,T23+1,FALSE)</f>
        <v>1.2712443780420335</v>
      </c>
      <c r="AI23" s="44">
        <f t="shared" si="11"/>
        <v>0</v>
      </c>
      <c r="AJ23" s="44">
        <f t="shared" si="12"/>
        <v>1406106.8803753788</v>
      </c>
      <c r="AK23" s="44">
        <f>HLOOKUP(I23,ElecAvoidedCostsWOCC!$A$5:$Q$50,G23+1,FALSE)*J23*L23</f>
        <v>0</v>
      </c>
      <c r="AL23" s="44">
        <f t="shared" si="13"/>
        <v>1406106.8803753788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1406106.8803753788</v>
      </c>
      <c r="AN23" s="48">
        <f t="shared" si="14"/>
        <v>1546717.5684129167</v>
      </c>
      <c r="AO23" s="47">
        <f t="shared" si="15"/>
        <v>5.0261232827107953</v>
      </c>
      <c r="AP23" s="47">
        <f t="shared" si="16"/>
        <v>2.6331868289629616</v>
      </c>
      <c r="AQ23">
        <v>2021</v>
      </c>
    </row>
    <row r="24" spans="1:43" ht="13.5" customHeight="1">
      <c r="A24" s="60">
        <f>(SUM(AN5:AN1000)/SUM(AC5:AC1000))</f>
        <v>2.0270895435428113</v>
      </c>
      <c r="B24" s="97" t="s">
        <v>65</v>
      </c>
      <c r="C24" s="98">
        <v>18230724</v>
      </c>
      <c r="D24" s="61" t="s">
        <v>138</v>
      </c>
      <c r="E24" s="38" t="s">
        <v>996</v>
      </c>
      <c r="F24" s="39" t="s">
        <v>997</v>
      </c>
      <c r="G24" s="39">
        <v>20</v>
      </c>
      <c r="H24" s="39"/>
      <c r="I24" s="40" t="s">
        <v>257</v>
      </c>
      <c r="J24" s="41">
        <v>1</v>
      </c>
      <c r="K24" s="41">
        <v>3725033</v>
      </c>
      <c r="L24" s="41"/>
      <c r="M24" s="42">
        <v>883570</v>
      </c>
      <c r="N24" s="42">
        <v>2823041.12</v>
      </c>
      <c r="O24" s="43">
        <v>3725033</v>
      </c>
      <c r="P24" s="44">
        <v>883570</v>
      </c>
      <c r="Q24" s="44">
        <v>2823041.12</v>
      </c>
      <c r="R24" s="45"/>
      <c r="S24" s="46"/>
      <c r="T24" s="39">
        <f t="shared" si="0"/>
        <v>20</v>
      </c>
      <c r="U24" s="47">
        <f t="shared" si="1"/>
        <v>0.82262350872018364</v>
      </c>
      <c r="V24" s="48">
        <f t="shared" si="2"/>
        <v>1939471.12</v>
      </c>
      <c r="W24" s="49">
        <f t="shared" si="3"/>
        <v>4.1131175436009179E-2</v>
      </c>
      <c r="X24" s="44">
        <f t="shared" si="4"/>
        <v>195931.08365423162</v>
      </c>
      <c r="Y24" s="44">
        <f t="shared" si="5"/>
        <v>1939471.12</v>
      </c>
      <c r="Z24" s="44">
        <f t="shared" si="6"/>
        <v>1007831.7331902408</v>
      </c>
      <c r="AA24" s="50">
        <f t="shared" si="7"/>
        <v>3018972.2036542315</v>
      </c>
      <c r="AB24" s="51">
        <f t="shared" si="18"/>
        <v>942162.97390879749</v>
      </c>
      <c r="AC24" s="44">
        <f t="shared" si="18"/>
        <v>2822260.6372386944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1.3192527795896587</v>
      </c>
      <c r="AG24" s="44">
        <f t="shared" si="10"/>
        <v>4914260.1393132051</v>
      </c>
      <c r="AH24" s="52">
        <f>HLOOKUP(I24,ElecAvoidedCostsWOCC!$A$5:$Q$50,T24+1,FALSE)</f>
        <v>1.3192527795896587</v>
      </c>
      <c r="AI24" s="44">
        <f t="shared" si="11"/>
        <v>0</v>
      </c>
      <c r="AJ24" s="44">
        <f t="shared" si="12"/>
        <v>4914260.1393132051</v>
      </c>
      <c r="AK24" s="44">
        <f>HLOOKUP(I24,ElecAvoidedCostsWOCC!$A$5:$Q$50,G24+1,FALSE)*J24*L24</f>
        <v>0</v>
      </c>
      <c r="AL24" s="44">
        <f t="shared" si="13"/>
        <v>4914260.1393132051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4914260.1393132051</v>
      </c>
      <c r="AN24" s="48">
        <f t="shared" si="14"/>
        <v>5405686.1532445261</v>
      </c>
      <c r="AO24" s="47">
        <f t="shared" si="15"/>
        <v>5.2159342655179648</v>
      </c>
      <c r="AP24" s="47">
        <f t="shared" si="16"/>
        <v>1.9153745341300088</v>
      </c>
      <c r="AQ24">
        <v>2021</v>
      </c>
    </row>
    <row r="25" spans="1:43" ht="13.5" customHeight="1">
      <c r="B25" s="97" t="s">
        <v>65</v>
      </c>
      <c r="C25" s="98">
        <v>18230724</v>
      </c>
      <c r="D25" s="61" t="s">
        <v>138</v>
      </c>
      <c r="E25" s="38" t="s">
        <v>1028</v>
      </c>
      <c r="F25" s="39" t="s">
        <v>1029</v>
      </c>
      <c r="G25" s="39">
        <v>12</v>
      </c>
      <c r="H25" s="39"/>
      <c r="I25" s="40" t="s">
        <v>257</v>
      </c>
      <c r="J25" s="41">
        <v>1</v>
      </c>
      <c r="K25" s="41">
        <v>1837395</v>
      </c>
      <c r="L25" s="41"/>
      <c r="M25" s="42">
        <v>178825.31</v>
      </c>
      <c r="N25" s="42">
        <v>1781873.6</v>
      </c>
      <c r="O25" s="43">
        <v>1837395</v>
      </c>
      <c r="P25" s="44">
        <v>178825.31</v>
      </c>
      <c r="Q25" s="44">
        <v>1781873.6</v>
      </c>
      <c r="R25" s="45"/>
      <c r="S25" s="46"/>
      <c r="T25" s="39">
        <f t="shared" ref="T25:T67" si="19">G25+H25</f>
        <v>12</v>
      </c>
      <c r="U25" s="47">
        <f t="shared" ref="U25:U67" si="20">(O25/$A$10)*T25</f>
        <v>0.24345840508874766</v>
      </c>
      <c r="V25" s="48">
        <f t="shared" ref="V25:V67" si="21">N25-M25</f>
        <v>1603048.29</v>
      </c>
      <c r="W25" s="49">
        <f t="shared" ref="W25:W67" si="22">(O25/A$10)</f>
        <v>2.0288200424062305E-2</v>
      </c>
      <c r="X25" s="44">
        <f t="shared" ref="X25:X67" si="23">W25*A$8</f>
        <v>96644.189045000923</v>
      </c>
      <c r="Y25" s="44">
        <f t="shared" ref="Y25:Y67" si="24">Q25-P25</f>
        <v>1603048.29</v>
      </c>
      <c r="Z25" s="44">
        <f t="shared" ref="Z25:Z67" si="25">X25+(A$6*W25)</f>
        <v>497119.08254372037</v>
      </c>
      <c r="AA25" s="50">
        <f t="shared" ref="AA25:AA67" si="26">Q25+X25</f>
        <v>1878517.7890450009</v>
      </c>
      <c r="AB25" s="51">
        <f t="shared" ref="AB25:AB67" si="27">Z25/(1+ElecDiscountRate)^1</f>
        <v>464727.57085511857</v>
      </c>
      <c r="AC25" s="44">
        <f t="shared" ref="AC25:AC67" si="28">AA25/(1+ElecDiscountRate)^1</f>
        <v>1756116.4710152387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>
        <f>HLOOKUP(I25,ElecAvoidedCostsWOCC!$A$5:$Q$50,G25+1,FALSE)</f>
        <v>0.86650348716649883</v>
      </c>
      <c r="AG25" s="44">
        <f t="shared" ref="AG25:AG67" si="31">AF25*J25*K25</f>
        <v>1592109.1748022891</v>
      </c>
      <c r="AH25" s="52">
        <f>HLOOKUP(I25,ElecAvoidedCostsWOCC!$A$5:$Q$50,T25+1,FALSE)</f>
        <v>0.86650348716649883</v>
      </c>
      <c r="AI25" s="44">
        <f t="shared" ref="AI25:AI67" si="32">AH25*J25*L25</f>
        <v>0</v>
      </c>
      <c r="AJ25" s="44">
        <f t="shared" ref="AJ25:AJ67" si="33">AG25+AI25</f>
        <v>1592109.1748022891</v>
      </c>
      <c r="AK25" s="44">
        <f>HLOOKUP(I25,ElecAvoidedCostsWOCC!$A$5:$Q$50,G25+1,FALSE)*J25*L25</f>
        <v>0</v>
      </c>
      <c r="AL25" s="44">
        <f t="shared" ref="AL25:AL67" si="34">AG25+AI25-AK25</f>
        <v>1592109.1748022891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1592109.1748022891</v>
      </c>
      <c r="AN25" s="48">
        <f t="shared" ref="AN25:AN67" si="35">AM25*1.1+AD25+AE25</f>
        <v>1751320.0922825183</v>
      </c>
      <c r="AO25" s="47">
        <f t="shared" ref="AO25:AO67" si="36">IFERROR(AM25/AB25,0)</f>
        <v>3.4258978262743058</v>
      </c>
      <c r="AP25" s="47">
        <f t="shared" ref="AP25:AP67" si="37">AN25/AC25</f>
        <v>0.99726875818780547</v>
      </c>
      <c r="AQ25">
        <v>2021</v>
      </c>
    </row>
    <row r="26" spans="1:43" ht="13.5" customHeight="1">
      <c r="B26" s="97" t="s">
        <v>65</v>
      </c>
      <c r="C26" s="98">
        <v>18230724</v>
      </c>
      <c r="D26" s="61" t="s">
        <v>138</v>
      </c>
      <c r="E26" s="38" t="s">
        <v>1028</v>
      </c>
      <c r="F26" s="39" t="s">
        <v>1029</v>
      </c>
      <c r="G26" s="39">
        <v>20</v>
      </c>
      <c r="H26" s="39"/>
      <c r="I26" s="40" t="s">
        <v>257</v>
      </c>
      <c r="J26" s="41">
        <v>1</v>
      </c>
      <c r="K26" s="41">
        <v>520721</v>
      </c>
      <c r="L26" s="41"/>
      <c r="M26" s="42">
        <v>92071</v>
      </c>
      <c r="N26" s="42">
        <v>151884.98000000001</v>
      </c>
      <c r="O26" s="43">
        <v>520721</v>
      </c>
      <c r="P26" s="44">
        <v>92071</v>
      </c>
      <c r="Q26" s="44">
        <v>151884.98000000001</v>
      </c>
      <c r="R26" s="45"/>
      <c r="S26" s="46"/>
      <c r="T26" s="39">
        <f t="shared" si="19"/>
        <v>20</v>
      </c>
      <c r="U26" s="47">
        <f t="shared" si="20"/>
        <v>0.11499423926829178</v>
      </c>
      <c r="V26" s="48">
        <f t="shared" si="21"/>
        <v>59813.98000000001</v>
      </c>
      <c r="W26" s="49">
        <f t="shared" si="22"/>
        <v>5.7497119634145888E-3</v>
      </c>
      <c r="X26" s="44">
        <f t="shared" si="23"/>
        <v>27389.134488611282</v>
      </c>
      <c r="Y26" s="44">
        <f t="shared" si="24"/>
        <v>59813.98000000001</v>
      </c>
      <c r="Z26" s="44">
        <f t="shared" si="25"/>
        <v>140884.429195273</v>
      </c>
      <c r="AA26" s="50">
        <f t="shared" si="26"/>
        <v>179274.11448861129</v>
      </c>
      <c r="AB26" s="51">
        <f t="shared" si="27"/>
        <v>131704.61736493689</v>
      </c>
      <c r="AC26" s="44">
        <f t="shared" si="28"/>
        <v>167592.89005198772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1.3192527795896587</v>
      </c>
      <c r="AG26" s="44">
        <f t="shared" si="31"/>
        <v>686962.62664070667</v>
      </c>
      <c r="AH26" s="52">
        <f>HLOOKUP(I26,ElecAvoidedCostsWOCC!$A$5:$Q$50,T26+1,FALSE)</f>
        <v>1.3192527795896587</v>
      </c>
      <c r="AI26" s="44">
        <f t="shared" si="32"/>
        <v>0</v>
      </c>
      <c r="AJ26" s="44">
        <f t="shared" si="33"/>
        <v>686962.62664070667</v>
      </c>
      <c r="AK26" s="44">
        <f>HLOOKUP(I26,ElecAvoidedCostsWOCC!$A$5:$Q$50,G26+1,FALSE)*J26*L26</f>
        <v>0</v>
      </c>
      <c r="AL26" s="44">
        <f t="shared" si="34"/>
        <v>686962.62664070667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686962.62664070667</v>
      </c>
      <c r="AN26" s="48">
        <f t="shared" si="35"/>
        <v>755658.88930477737</v>
      </c>
      <c r="AO26" s="47">
        <f t="shared" si="36"/>
        <v>5.2159342655179648</v>
      </c>
      <c r="AP26" s="47">
        <f t="shared" si="37"/>
        <v>4.50889586706435</v>
      </c>
      <c r="AQ26">
        <v>2021</v>
      </c>
    </row>
    <row r="27" spans="1:43" ht="13.5" customHeight="1">
      <c r="B27" s="97" t="s">
        <v>65</v>
      </c>
      <c r="C27" s="98">
        <v>18230724</v>
      </c>
      <c r="D27" s="61" t="s">
        <v>138</v>
      </c>
      <c r="E27" s="38" t="s">
        <v>1030</v>
      </c>
      <c r="F27" s="39" t="s">
        <v>1031</v>
      </c>
      <c r="G27" s="39">
        <v>12</v>
      </c>
      <c r="H27" s="39"/>
      <c r="I27" s="40" t="s">
        <v>257</v>
      </c>
      <c r="J27" s="41">
        <v>3008</v>
      </c>
      <c r="K27" s="41">
        <v>79.2</v>
      </c>
      <c r="L27" s="41"/>
      <c r="M27" s="42">
        <v>4</v>
      </c>
      <c r="N27" s="42">
        <v>4</v>
      </c>
      <c r="O27" s="43">
        <v>238233.60000000001</v>
      </c>
      <c r="P27" s="44">
        <v>12032</v>
      </c>
      <c r="Q27" s="44">
        <v>12032</v>
      </c>
      <c r="R27" s="45">
        <v>0</v>
      </c>
      <c r="S27" s="46">
        <v>0</v>
      </c>
      <c r="T27" s="39">
        <f t="shared" si="19"/>
        <v>12</v>
      </c>
      <c r="U27" s="47">
        <f t="shared" si="20"/>
        <v>3.1566414567662737E-2</v>
      </c>
      <c r="V27" s="48">
        <f t="shared" si="21"/>
        <v>0</v>
      </c>
      <c r="W27" s="49">
        <f t="shared" si="22"/>
        <v>2.6305345473052284E-3</v>
      </c>
      <c r="X27" s="44">
        <f t="shared" si="23"/>
        <v>12530.725878361012</v>
      </c>
      <c r="Y27" s="44">
        <f t="shared" si="24"/>
        <v>0</v>
      </c>
      <c r="Z27" s="44">
        <f t="shared" si="25"/>
        <v>64455.638914380237</v>
      </c>
      <c r="AA27" s="50">
        <f t="shared" si="26"/>
        <v>24562.725878361012</v>
      </c>
      <c r="AB27" s="51">
        <f t="shared" si="27"/>
        <v>60255.809025315728</v>
      </c>
      <c r="AC27" s="44">
        <f t="shared" si="28"/>
        <v>22962.256593774899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0.86650348716649883</v>
      </c>
      <c r="AG27" s="44">
        <f t="shared" si="31"/>
        <v>206430.24516022883</v>
      </c>
      <c r="AH27" s="52">
        <f>HLOOKUP(I27,ElecAvoidedCostsWOCC!$A$5:$Q$50,T27+1,FALSE)</f>
        <v>0.86650348716649883</v>
      </c>
      <c r="AI27" s="44">
        <f t="shared" si="32"/>
        <v>0</v>
      </c>
      <c r="AJ27" s="44">
        <f t="shared" si="33"/>
        <v>206430.24516022883</v>
      </c>
      <c r="AK27" s="44">
        <f>HLOOKUP(I27,ElecAvoidedCostsWOCC!$A$5:$Q$50,G27+1,FALSE)*J27*L27</f>
        <v>0</v>
      </c>
      <c r="AL27" s="44">
        <f t="shared" si="34"/>
        <v>206430.24516022883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206430.24516022883</v>
      </c>
      <c r="AN27" s="48">
        <f t="shared" si="35"/>
        <v>227073.26967625174</v>
      </c>
      <c r="AO27" s="47">
        <f t="shared" si="36"/>
        <v>3.4258978262743054</v>
      </c>
      <c r="AP27" s="47">
        <f t="shared" si="37"/>
        <v>9.8889788444316764</v>
      </c>
      <c r="AQ27">
        <v>2021</v>
      </c>
    </row>
    <row r="28" spans="1:43" ht="13.5" customHeight="1">
      <c r="B28" s="97" t="s">
        <v>65</v>
      </c>
      <c r="C28" s="98">
        <v>18230724</v>
      </c>
      <c r="D28" s="61" t="s">
        <v>138</v>
      </c>
      <c r="E28" s="38" t="s">
        <v>1032</v>
      </c>
      <c r="F28" s="39" t="s">
        <v>1033</v>
      </c>
      <c r="G28" s="39">
        <v>13</v>
      </c>
      <c r="H28" s="39"/>
      <c r="I28" s="40" t="s">
        <v>257</v>
      </c>
      <c r="J28" s="41">
        <v>1</v>
      </c>
      <c r="K28" s="41">
        <v>218275</v>
      </c>
      <c r="L28" s="41"/>
      <c r="M28" s="42">
        <v>63850</v>
      </c>
      <c r="N28" s="42">
        <v>155586</v>
      </c>
      <c r="O28" s="43">
        <v>218275</v>
      </c>
      <c r="P28" s="44">
        <v>63850</v>
      </c>
      <c r="Q28" s="44">
        <v>155586</v>
      </c>
      <c r="R28" s="45"/>
      <c r="S28" s="46"/>
      <c r="T28" s="39">
        <f t="shared" si="19"/>
        <v>13</v>
      </c>
      <c r="U28" s="47">
        <f t="shared" si="20"/>
        <v>3.133201642450785E-2</v>
      </c>
      <c r="V28" s="48">
        <f t="shared" si="21"/>
        <v>91736</v>
      </c>
      <c r="W28" s="49">
        <f t="shared" si="22"/>
        <v>2.4101551095775269E-3</v>
      </c>
      <c r="X28" s="44">
        <f t="shared" si="23"/>
        <v>11480.93380236562</v>
      </c>
      <c r="Y28" s="44">
        <f t="shared" si="24"/>
        <v>91736</v>
      </c>
      <c r="Z28" s="44">
        <f t="shared" si="25"/>
        <v>59055.710798293556</v>
      </c>
      <c r="AA28" s="50">
        <f t="shared" si="26"/>
        <v>167066.93380236562</v>
      </c>
      <c r="AB28" s="51">
        <f t="shared" si="27"/>
        <v>55207.731885849818</v>
      </c>
      <c r="AC28" s="44">
        <f t="shared" si="28"/>
        <v>156181.11040699785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0.93164439687846989</v>
      </c>
      <c r="AG28" s="44">
        <f t="shared" si="31"/>
        <v>203354.680728648</v>
      </c>
      <c r="AH28" s="52">
        <f>HLOOKUP(I28,ElecAvoidedCostsWOCC!$A$5:$Q$50,T28+1,FALSE)</f>
        <v>0.93164439687846989</v>
      </c>
      <c r="AI28" s="44">
        <f t="shared" si="32"/>
        <v>0</v>
      </c>
      <c r="AJ28" s="44">
        <f t="shared" si="33"/>
        <v>203354.680728648</v>
      </c>
      <c r="AK28" s="44">
        <f>HLOOKUP(I28,ElecAvoidedCostsWOCC!$A$5:$Q$50,G28+1,FALSE)*J28*L28</f>
        <v>0</v>
      </c>
      <c r="AL28" s="44">
        <f t="shared" si="34"/>
        <v>203354.680728648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203354.680728648</v>
      </c>
      <c r="AN28" s="48">
        <f t="shared" si="35"/>
        <v>223690.14880151281</v>
      </c>
      <c r="AO28" s="47">
        <f t="shared" si="36"/>
        <v>3.6834456657106291</v>
      </c>
      <c r="AP28" s="47">
        <f t="shared" si="37"/>
        <v>1.432248421198894</v>
      </c>
      <c r="AQ28">
        <v>2021</v>
      </c>
    </row>
    <row r="29" spans="1:43">
      <c r="B29" s="97" t="s">
        <v>65</v>
      </c>
      <c r="C29" s="98">
        <v>18230724</v>
      </c>
      <c r="D29" s="61" t="s">
        <v>138</v>
      </c>
      <c r="E29" s="38" t="s">
        <v>1032</v>
      </c>
      <c r="F29" s="39" t="s">
        <v>1033</v>
      </c>
      <c r="G29" s="39">
        <v>14</v>
      </c>
      <c r="H29" s="39"/>
      <c r="I29" s="40" t="s">
        <v>257</v>
      </c>
      <c r="J29" s="41">
        <v>1</v>
      </c>
      <c r="K29" s="41">
        <v>100649</v>
      </c>
      <c r="L29" s="41"/>
      <c r="M29" s="42">
        <v>46674</v>
      </c>
      <c r="N29" s="42">
        <v>248324</v>
      </c>
      <c r="O29" s="43">
        <v>100649</v>
      </c>
      <c r="P29" s="44">
        <v>46674</v>
      </c>
      <c r="Q29" s="44">
        <v>248324</v>
      </c>
      <c r="R29" s="45"/>
      <c r="S29" s="46"/>
      <c r="T29" s="39">
        <f t="shared" si="19"/>
        <v>14</v>
      </c>
      <c r="U29" s="47">
        <f t="shared" si="20"/>
        <v>1.5558885913339406E-2</v>
      </c>
      <c r="V29" s="48">
        <f t="shared" si="21"/>
        <v>201650</v>
      </c>
      <c r="W29" s="49">
        <f t="shared" si="22"/>
        <v>1.1113489938099576E-3</v>
      </c>
      <c r="X29" s="44">
        <f t="shared" si="23"/>
        <v>5293.9846811329617</v>
      </c>
      <c r="Y29" s="44">
        <f t="shared" si="24"/>
        <v>201650</v>
      </c>
      <c r="Z29" s="44">
        <f t="shared" si="25"/>
        <v>27231.236908200422</v>
      </c>
      <c r="AA29" s="50">
        <f t="shared" si="26"/>
        <v>253617.98468113295</v>
      </c>
      <c r="AB29" s="51">
        <f t="shared" si="27"/>
        <v>25456.891566046947</v>
      </c>
      <c r="AC29" s="44">
        <f t="shared" si="28"/>
        <v>237092.62847633255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0.99426126995605024</v>
      </c>
      <c r="AG29" s="44">
        <f t="shared" si="31"/>
        <v>100071.40255980651</v>
      </c>
      <c r="AH29" s="52">
        <f>HLOOKUP(I29,ElecAvoidedCostsWOCC!$A$5:$Q$50,T29+1,FALSE)</f>
        <v>0.99426126995605024</v>
      </c>
      <c r="AI29" s="44">
        <f t="shared" si="32"/>
        <v>0</v>
      </c>
      <c r="AJ29" s="44">
        <f t="shared" si="33"/>
        <v>100071.40255980651</v>
      </c>
      <c r="AK29" s="44">
        <f>HLOOKUP(I29,ElecAvoidedCostsWOCC!$A$5:$Q$50,G29+1,FALSE)*J29*L29</f>
        <v>0</v>
      </c>
      <c r="AL29" s="44">
        <f t="shared" si="34"/>
        <v>100071.40255980651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100071.40255980651</v>
      </c>
      <c r="AN29" s="48">
        <f t="shared" si="35"/>
        <v>110078.54281578716</v>
      </c>
      <c r="AO29" s="47">
        <f t="shared" si="36"/>
        <v>3.9310142127987238</v>
      </c>
      <c r="AP29" s="47">
        <f t="shared" si="37"/>
        <v>0.46428496542976916</v>
      </c>
      <c r="AQ29">
        <v>2021</v>
      </c>
    </row>
    <row r="30" spans="1:43">
      <c r="B30" s="97" t="s">
        <v>65</v>
      </c>
      <c r="C30" s="98">
        <v>18230724</v>
      </c>
      <c r="D30" s="61" t="s">
        <v>138</v>
      </c>
      <c r="E30" s="38" t="s">
        <v>1032</v>
      </c>
      <c r="F30" s="39" t="s">
        <v>1033</v>
      </c>
      <c r="G30" s="39">
        <v>15</v>
      </c>
      <c r="H30" s="39"/>
      <c r="I30" s="40" t="s">
        <v>257</v>
      </c>
      <c r="J30" s="41">
        <v>1</v>
      </c>
      <c r="K30" s="41">
        <v>3281462</v>
      </c>
      <c r="L30" s="41"/>
      <c r="M30" s="42">
        <v>1427250</v>
      </c>
      <c r="N30" s="42">
        <v>2654125.77</v>
      </c>
      <c r="O30" s="43">
        <v>3281462</v>
      </c>
      <c r="P30" s="44">
        <v>1427250</v>
      </c>
      <c r="Q30" s="44">
        <v>2654125.77</v>
      </c>
      <c r="R30" s="45"/>
      <c r="S30" s="46"/>
      <c r="T30" s="39">
        <f t="shared" si="19"/>
        <v>15</v>
      </c>
      <c r="U30" s="47">
        <f t="shared" si="20"/>
        <v>0.54350010808735483</v>
      </c>
      <c r="V30" s="48">
        <f t="shared" si="21"/>
        <v>1226875.77</v>
      </c>
      <c r="W30" s="49">
        <f t="shared" si="22"/>
        <v>3.6233340539156986E-2</v>
      </c>
      <c r="X30" s="44">
        <f t="shared" si="23"/>
        <v>172599.92210275246</v>
      </c>
      <c r="Y30" s="44">
        <f t="shared" si="24"/>
        <v>1226875.77</v>
      </c>
      <c r="Z30" s="44">
        <f t="shared" si="25"/>
        <v>887820.73470434069</v>
      </c>
      <c r="AA30" s="50">
        <f t="shared" si="26"/>
        <v>2826725.6921027526</v>
      </c>
      <c r="AB30" s="51">
        <f t="shared" si="27"/>
        <v>829971.70674426528</v>
      </c>
      <c r="AC30" s="44">
        <f t="shared" si="28"/>
        <v>2642540.611482427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1.0545904948077327</v>
      </c>
      <c r="AG30" s="44">
        <f t="shared" si="31"/>
        <v>3460598.6342727724</v>
      </c>
      <c r="AH30" s="52">
        <f>HLOOKUP(I30,ElecAvoidedCostsWOCC!$A$5:$Q$50,T30+1,FALSE)</f>
        <v>1.0545904948077327</v>
      </c>
      <c r="AI30" s="44">
        <f t="shared" si="32"/>
        <v>0</v>
      </c>
      <c r="AJ30" s="44">
        <f t="shared" si="33"/>
        <v>3460598.6342727724</v>
      </c>
      <c r="AK30" s="44">
        <f>HLOOKUP(I30,ElecAvoidedCostsWOCC!$A$5:$Q$50,G30+1,FALSE)*J30*L30</f>
        <v>0</v>
      </c>
      <c r="AL30" s="44">
        <f t="shared" si="34"/>
        <v>3460598.6342727724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3460598.6342727724</v>
      </c>
      <c r="AN30" s="48">
        <f t="shared" si="35"/>
        <v>3806658.49770005</v>
      </c>
      <c r="AO30" s="47">
        <f t="shared" si="36"/>
        <v>4.1695380772046819</v>
      </c>
      <c r="AP30" s="47">
        <f t="shared" si="37"/>
        <v>1.4405297996781097</v>
      </c>
      <c r="AQ30">
        <v>2021</v>
      </c>
    </row>
    <row r="31" spans="1:43">
      <c r="B31" s="97" t="s">
        <v>65</v>
      </c>
      <c r="C31" s="98">
        <v>18230724</v>
      </c>
      <c r="D31" s="61" t="s">
        <v>138</v>
      </c>
      <c r="E31" s="38" t="s">
        <v>1032</v>
      </c>
      <c r="F31" s="39" t="s">
        <v>1033</v>
      </c>
      <c r="G31" s="39">
        <v>16</v>
      </c>
      <c r="H31" s="39"/>
      <c r="I31" s="40" t="s">
        <v>257</v>
      </c>
      <c r="J31" s="41">
        <v>1</v>
      </c>
      <c r="K31" s="41">
        <v>340735</v>
      </c>
      <c r="L31" s="41"/>
      <c r="M31" s="42">
        <v>128645</v>
      </c>
      <c r="N31" s="42">
        <v>270316</v>
      </c>
      <c r="O31" s="43">
        <v>340735</v>
      </c>
      <c r="P31" s="44">
        <v>128645</v>
      </c>
      <c r="Q31" s="44">
        <v>270316</v>
      </c>
      <c r="R31" s="45"/>
      <c r="S31" s="46"/>
      <c r="T31" s="39">
        <f t="shared" si="19"/>
        <v>16</v>
      </c>
      <c r="U31" s="47">
        <f t="shared" si="20"/>
        <v>6.0197398786807368E-2</v>
      </c>
      <c r="V31" s="48">
        <f t="shared" si="21"/>
        <v>141671</v>
      </c>
      <c r="W31" s="49">
        <f t="shared" si="22"/>
        <v>3.7623374241754605E-3</v>
      </c>
      <c r="X31" s="44">
        <f t="shared" si="23"/>
        <v>17922.143988771273</v>
      </c>
      <c r="Y31" s="44">
        <f t="shared" si="24"/>
        <v>141671</v>
      </c>
      <c r="Z31" s="44">
        <f t="shared" si="25"/>
        <v>92188.054604771751</v>
      </c>
      <c r="AA31" s="50">
        <f t="shared" si="26"/>
        <v>288238.14398877125</v>
      </c>
      <c r="AB31" s="51">
        <f t="shared" si="27"/>
        <v>86181.223338105774</v>
      </c>
      <c r="AC31" s="44">
        <f t="shared" si="28"/>
        <v>269456.99166941311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1.1126010938169359</v>
      </c>
      <c r="AG31" s="44">
        <f t="shared" si="31"/>
        <v>379102.1337017137</v>
      </c>
      <c r="AH31" s="52">
        <f>HLOOKUP(I31,ElecAvoidedCostsWOCC!$A$5:$Q$50,T31+1,FALSE)</f>
        <v>1.1126010938169359</v>
      </c>
      <c r="AI31" s="44">
        <f t="shared" si="32"/>
        <v>0</v>
      </c>
      <c r="AJ31" s="44">
        <f t="shared" si="33"/>
        <v>379102.1337017137</v>
      </c>
      <c r="AK31" s="44">
        <f>HLOOKUP(I31,ElecAvoidedCostsWOCC!$A$5:$Q$50,G31+1,FALSE)*J31*L31</f>
        <v>0</v>
      </c>
      <c r="AL31" s="44">
        <f t="shared" si="34"/>
        <v>379102.1337017137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379102.1337017137</v>
      </c>
      <c r="AN31" s="48">
        <f t="shared" si="35"/>
        <v>417012.34707188507</v>
      </c>
      <c r="AO31" s="47">
        <f t="shared" si="36"/>
        <v>4.3988947826189699</v>
      </c>
      <c r="AP31" s="47">
        <f t="shared" si="37"/>
        <v>1.5476026229206263</v>
      </c>
      <c r="AQ31">
        <v>2021</v>
      </c>
    </row>
    <row r="32" spans="1:43">
      <c r="B32" s="97" t="s">
        <v>65</v>
      </c>
      <c r="C32" s="98">
        <v>18230724</v>
      </c>
      <c r="D32" s="61" t="s">
        <v>138</v>
      </c>
      <c r="E32" s="38" t="s">
        <v>1032</v>
      </c>
      <c r="F32" s="39" t="s">
        <v>1033</v>
      </c>
      <c r="G32" s="39">
        <v>18</v>
      </c>
      <c r="H32" s="39"/>
      <c r="I32" s="40" t="s">
        <v>257</v>
      </c>
      <c r="J32" s="41">
        <v>1</v>
      </c>
      <c r="K32" s="41">
        <v>569993</v>
      </c>
      <c r="L32" s="41"/>
      <c r="M32" s="42">
        <v>179582</v>
      </c>
      <c r="N32" s="42">
        <v>323442</v>
      </c>
      <c r="O32" s="43">
        <v>569993</v>
      </c>
      <c r="P32" s="44">
        <v>179582</v>
      </c>
      <c r="Q32" s="44">
        <v>323442</v>
      </c>
      <c r="R32" s="45"/>
      <c r="S32" s="46"/>
      <c r="T32" s="39">
        <f t="shared" si="19"/>
        <v>18</v>
      </c>
      <c r="U32" s="47">
        <f t="shared" si="20"/>
        <v>0.11328776884536304</v>
      </c>
      <c r="V32" s="48">
        <f t="shared" si="21"/>
        <v>143860</v>
      </c>
      <c r="W32" s="49">
        <f t="shared" si="22"/>
        <v>6.2937649358535026E-3</v>
      </c>
      <c r="X32" s="44">
        <f t="shared" si="23"/>
        <v>29980.766926179298</v>
      </c>
      <c r="Y32" s="44">
        <f t="shared" si="24"/>
        <v>143860</v>
      </c>
      <c r="Z32" s="44">
        <f t="shared" si="25"/>
        <v>154215.28697767374</v>
      </c>
      <c r="AA32" s="50">
        <f t="shared" si="26"/>
        <v>353422.76692617929</v>
      </c>
      <c r="AB32" s="51">
        <f t="shared" si="27"/>
        <v>144166.85704185633</v>
      </c>
      <c r="AC32" s="44">
        <f t="shared" si="28"/>
        <v>330394.28524462867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1.2205357682002123</v>
      </c>
      <c r="AG32" s="44">
        <f t="shared" si="31"/>
        <v>695696.84412374359</v>
      </c>
      <c r="AH32" s="52">
        <f>HLOOKUP(I32,ElecAvoidedCostsWOCC!$A$5:$Q$50,T32+1,FALSE)</f>
        <v>1.2205357682002123</v>
      </c>
      <c r="AI32" s="44">
        <f t="shared" si="32"/>
        <v>0</v>
      </c>
      <c r="AJ32" s="44">
        <f t="shared" si="33"/>
        <v>695696.84412374359</v>
      </c>
      <c r="AK32" s="44">
        <f>HLOOKUP(I32,ElecAvoidedCostsWOCC!$A$5:$Q$50,G32+1,FALSE)*J32*L32</f>
        <v>0</v>
      </c>
      <c r="AL32" s="44">
        <f t="shared" si="34"/>
        <v>695696.84412374359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695696.84412374359</v>
      </c>
      <c r="AN32" s="48">
        <f t="shared" si="35"/>
        <v>765266.52853611798</v>
      </c>
      <c r="AO32" s="47">
        <f t="shared" si="36"/>
        <v>4.8256364770563049</v>
      </c>
      <c r="AP32" s="47">
        <f t="shared" si="37"/>
        <v>2.3162220495717825</v>
      </c>
      <c r="AQ32">
        <v>2021</v>
      </c>
    </row>
    <row r="33" spans="2:43">
      <c r="B33" s="97" t="s">
        <v>65</v>
      </c>
      <c r="C33" s="98">
        <v>18230724</v>
      </c>
      <c r="D33" s="61" t="s">
        <v>138</v>
      </c>
      <c r="E33" s="38" t="s">
        <v>1034</v>
      </c>
      <c r="F33" s="39" t="s">
        <v>1035</v>
      </c>
      <c r="G33" s="39">
        <v>10</v>
      </c>
      <c r="H33" s="39"/>
      <c r="I33" s="40" t="s">
        <v>257</v>
      </c>
      <c r="J33" s="41">
        <v>1</v>
      </c>
      <c r="K33" s="41">
        <v>1581601</v>
      </c>
      <c r="L33" s="41"/>
      <c r="M33" s="42">
        <v>554550</v>
      </c>
      <c r="N33" s="42">
        <v>555675</v>
      </c>
      <c r="O33" s="43">
        <v>1581601</v>
      </c>
      <c r="P33" s="44">
        <v>554550</v>
      </c>
      <c r="Q33" s="44">
        <v>555675</v>
      </c>
      <c r="R33" s="45"/>
      <c r="S33" s="46"/>
      <c r="T33" s="39">
        <f t="shared" si="19"/>
        <v>10</v>
      </c>
      <c r="U33" s="47">
        <f t="shared" si="20"/>
        <v>0.17463766952069298</v>
      </c>
      <c r="V33" s="48">
        <f t="shared" si="21"/>
        <v>1125</v>
      </c>
      <c r="W33" s="49">
        <f t="shared" si="22"/>
        <v>1.7463766952069297E-2</v>
      </c>
      <c r="X33" s="44">
        <f t="shared" si="23"/>
        <v>83189.812771757031</v>
      </c>
      <c r="Y33" s="44">
        <f t="shared" si="24"/>
        <v>1125</v>
      </c>
      <c r="Z33" s="44">
        <f t="shared" si="25"/>
        <v>427912.36401004175</v>
      </c>
      <c r="AA33" s="50">
        <f t="shared" si="26"/>
        <v>638864.81277175702</v>
      </c>
      <c r="AB33" s="51">
        <f t="shared" si="27"/>
        <v>400030.25522112905</v>
      </c>
      <c r="AC33" s="44">
        <f t="shared" si="28"/>
        <v>597237.36820768157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0.7278724357900942</v>
      </c>
      <c r="AG33" s="44">
        <f t="shared" si="31"/>
        <v>1151203.7723180489</v>
      </c>
      <c r="AH33" s="52">
        <f>HLOOKUP(I33,ElecAvoidedCostsWOCC!$A$5:$Q$50,T33+1,FALSE)</f>
        <v>0.7278724357900942</v>
      </c>
      <c r="AI33" s="44">
        <f t="shared" si="32"/>
        <v>0</v>
      </c>
      <c r="AJ33" s="44">
        <f t="shared" si="33"/>
        <v>1151203.7723180489</v>
      </c>
      <c r="AK33" s="44">
        <f>HLOOKUP(I33,ElecAvoidedCostsWOCC!$A$5:$Q$50,G33+1,FALSE)*J33*L33</f>
        <v>0</v>
      </c>
      <c r="AL33" s="44">
        <f t="shared" si="34"/>
        <v>1151203.7723180489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1151203.7723180489</v>
      </c>
      <c r="AN33" s="48">
        <f t="shared" si="35"/>
        <v>1266324.1495498538</v>
      </c>
      <c r="AO33" s="47">
        <f t="shared" si="36"/>
        <v>2.8777917602299494</v>
      </c>
      <c r="AP33" s="47">
        <f t="shared" si="37"/>
        <v>2.1203029431164224</v>
      </c>
      <c r="AQ33">
        <v>2021</v>
      </c>
    </row>
    <row r="34" spans="2:43">
      <c r="B34" s="97" t="s">
        <v>65</v>
      </c>
      <c r="C34" s="98">
        <v>18230724</v>
      </c>
      <c r="D34" s="61" t="s">
        <v>138</v>
      </c>
      <c r="E34" s="38" t="s">
        <v>1036</v>
      </c>
      <c r="F34" s="39" t="s">
        <v>1037</v>
      </c>
      <c r="G34" s="39">
        <v>12</v>
      </c>
      <c r="H34" s="39"/>
      <c r="I34" s="40" t="s">
        <v>257</v>
      </c>
      <c r="J34" s="41">
        <v>12</v>
      </c>
      <c r="K34" s="41">
        <v>252</v>
      </c>
      <c r="L34" s="41"/>
      <c r="M34" s="42">
        <v>35</v>
      </c>
      <c r="N34" s="42">
        <v>108</v>
      </c>
      <c r="O34" s="43">
        <v>3024</v>
      </c>
      <c r="P34" s="44">
        <v>420</v>
      </c>
      <c r="Q34" s="44">
        <v>1296</v>
      </c>
      <c r="R34" s="45">
        <v>0</v>
      </c>
      <c r="S34" s="46">
        <v>0</v>
      </c>
      <c r="T34" s="39">
        <f t="shared" si="19"/>
        <v>12</v>
      </c>
      <c r="U34" s="47">
        <f t="shared" si="20"/>
        <v>4.006858715672857E-4</v>
      </c>
      <c r="V34" s="48">
        <f t="shared" si="21"/>
        <v>73</v>
      </c>
      <c r="W34" s="49">
        <f t="shared" si="22"/>
        <v>3.3390489297273811E-5</v>
      </c>
      <c r="X34" s="44">
        <f t="shared" si="23"/>
        <v>159.05781156043355</v>
      </c>
      <c r="Y34" s="44">
        <f t="shared" si="24"/>
        <v>876</v>
      </c>
      <c r="Z34" s="44">
        <f t="shared" si="25"/>
        <v>818.1627279992656</v>
      </c>
      <c r="AA34" s="50">
        <f t="shared" si="26"/>
        <v>1455.0578115604335</v>
      </c>
      <c r="AB34" s="51">
        <f t="shared" si="27"/>
        <v>764.85250817917688</v>
      </c>
      <c r="AC34" s="44">
        <f t="shared" si="28"/>
        <v>1360.2484916896638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0.86650348716649883</v>
      </c>
      <c r="AG34" s="44">
        <f t="shared" si="31"/>
        <v>2620.3065451914922</v>
      </c>
      <c r="AH34" s="52">
        <f>HLOOKUP(I34,ElecAvoidedCostsWOCC!$A$5:$Q$50,T34+1,FALSE)</f>
        <v>0.86650348716649883</v>
      </c>
      <c r="AI34" s="44">
        <f t="shared" si="32"/>
        <v>0</v>
      </c>
      <c r="AJ34" s="44">
        <f t="shared" si="33"/>
        <v>2620.3065451914922</v>
      </c>
      <c r="AK34" s="44">
        <f>HLOOKUP(I34,ElecAvoidedCostsWOCC!$A$5:$Q$50,G34+1,FALSE)*J34*L34</f>
        <v>0</v>
      </c>
      <c r="AL34" s="44">
        <f t="shared" si="34"/>
        <v>2620.3065451914922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2620.3065451914927</v>
      </c>
      <c r="AN34" s="48">
        <f t="shared" si="35"/>
        <v>2882.3371997106424</v>
      </c>
      <c r="AO34" s="47">
        <f t="shared" si="36"/>
        <v>3.4258978262743058</v>
      </c>
      <c r="AP34" s="47">
        <f t="shared" si="37"/>
        <v>2.1189784199872785</v>
      </c>
      <c r="AQ34">
        <v>2021</v>
      </c>
    </row>
    <row r="35" spans="2:43">
      <c r="B35" s="97" t="s">
        <v>65</v>
      </c>
      <c r="C35" s="98">
        <v>18230724</v>
      </c>
      <c r="D35" s="61" t="s">
        <v>138</v>
      </c>
      <c r="E35" s="38" t="s">
        <v>1038</v>
      </c>
      <c r="F35" s="39" t="s">
        <v>1039</v>
      </c>
      <c r="G35" s="39">
        <v>12</v>
      </c>
      <c r="H35" s="39"/>
      <c r="I35" s="40" t="s">
        <v>257</v>
      </c>
      <c r="J35" s="41">
        <v>15</v>
      </c>
      <c r="K35" s="41">
        <v>857</v>
      </c>
      <c r="L35" s="41"/>
      <c r="M35" s="42">
        <v>110</v>
      </c>
      <c r="N35" s="42">
        <v>320</v>
      </c>
      <c r="O35" s="43">
        <v>12855</v>
      </c>
      <c r="P35" s="44">
        <v>1650</v>
      </c>
      <c r="Q35" s="44">
        <v>4800</v>
      </c>
      <c r="R35" s="45">
        <v>0</v>
      </c>
      <c r="S35" s="46">
        <v>0</v>
      </c>
      <c r="T35" s="39">
        <f t="shared" si="19"/>
        <v>12</v>
      </c>
      <c r="U35" s="47">
        <f t="shared" si="20"/>
        <v>1.703312459985932E-3</v>
      </c>
      <c r="V35" s="48">
        <f t="shared" si="21"/>
        <v>210</v>
      </c>
      <c r="W35" s="49">
        <f t="shared" si="22"/>
        <v>1.4194270499882767E-4</v>
      </c>
      <c r="X35" s="44">
        <f t="shared" si="23"/>
        <v>676.15349457981927</v>
      </c>
      <c r="Y35" s="44">
        <f t="shared" si="24"/>
        <v>3150</v>
      </c>
      <c r="Z35" s="44">
        <f t="shared" si="25"/>
        <v>3478.0032633698938</v>
      </c>
      <c r="AA35" s="50">
        <f t="shared" si="26"/>
        <v>5476.1534945798194</v>
      </c>
      <c r="AB35" s="51">
        <f t="shared" si="27"/>
        <v>3251.3819420116793</v>
      </c>
      <c r="AC35" s="44">
        <f t="shared" si="28"/>
        <v>5119.3357900157234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0.86650348716649883</v>
      </c>
      <c r="AG35" s="44">
        <f t="shared" si="31"/>
        <v>11138.902327525342</v>
      </c>
      <c r="AH35" s="52">
        <f>HLOOKUP(I35,ElecAvoidedCostsWOCC!$A$5:$Q$50,T35+1,FALSE)</f>
        <v>0.86650348716649883</v>
      </c>
      <c r="AI35" s="44">
        <f t="shared" si="32"/>
        <v>0</v>
      </c>
      <c r="AJ35" s="44">
        <f t="shared" si="33"/>
        <v>11138.902327525342</v>
      </c>
      <c r="AK35" s="44">
        <f>HLOOKUP(I35,ElecAvoidedCostsWOCC!$A$5:$Q$50,G35+1,FALSE)*J35*L35</f>
        <v>0</v>
      </c>
      <c r="AL35" s="44">
        <f t="shared" si="34"/>
        <v>11138.902327525342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11138.902327525342</v>
      </c>
      <c r="AN35" s="48">
        <f t="shared" si="35"/>
        <v>12252.792560277878</v>
      </c>
      <c r="AO35" s="47">
        <f t="shared" si="36"/>
        <v>3.4258978262743054</v>
      </c>
      <c r="AP35" s="47">
        <f t="shared" si="37"/>
        <v>2.3934340435676411</v>
      </c>
      <c r="AQ35">
        <v>2021</v>
      </c>
    </row>
    <row r="36" spans="2:43">
      <c r="B36" s="97" t="s">
        <v>65</v>
      </c>
      <c r="C36" s="98">
        <v>18230724</v>
      </c>
      <c r="D36" s="61" t="s">
        <v>138</v>
      </c>
      <c r="E36" s="38" t="s">
        <v>1040</v>
      </c>
      <c r="F36" s="39" t="s">
        <v>1041</v>
      </c>
      <c r="G36" s="39">
        <v>12</v>
      </c>
      <c r="H36" s="39"/>
      <c r="I36" s="40" t="s">
        <v>257</v>
      </c>
      <c r="J36" s="41">
        <v>16</v>
      </c>
      <c r="K36" s="41">
        <v>1230</v>
      </c>
      <c r="L36" s="41"/>
      <c r="M36" s="42">
        <v>155</v>
      </c>
      <c r="N36" s="42">
        <v>436</v>
      </c>
      <c r="O36" s="43">
        <v>19680</v>
      </c>
      <c r="P36" s="44">
        <v>2480</v>
      </c>
      <c r="Q36" s="44">
        <v>6976</v>
      </c>
      <c r="R36" s="45">
        <v>0</v>
      </c>
      <c r="S36" s="46">
        <v>0</v>
      </c>
      <c r="T36" s="39">
        <f t="shared" si="19"/>
        <v>12</v>
      </c>
      <c r="U36" s="47">
        <f t="shared" si="20"/>
        <v>2.6076382117870976E-3</v>
      </c>
      <c r="V36" s="48">
        <f t="shared" si="21"/>
        <v>281</v>
      </c>
      <c r="W36" s="49">
        <f t="shared" si="22"/>
        <v>2.1730318431559148E-4</v>
      </c>
      <c r="X36" s="44">
        <f t="shared" si="23"/>
        <v>1035.138138726631</v>
      </c>
      <c r="Y36" s="44">
        <f t="shared" si="24"/>
        <v>4496</v>
      </c>
      <c r="Z36" s="44">
        <f t="shared" si="25"/>
        <v>5324.551086979347</v>
      </c>
      <c r="AA36" s="50">
        <f t="shared" si="26"/>
        <v>8011.138138726631</v>
      </c>
      <c r="AB36" s="51">
        <f t="shared" si="27"/>
        <v>4977.6115611660716</v>
      </c>
      <c r="AC36" s="44">
        <f t="shared" si="28"/>
        <v>7489.1447496743294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0.86650348716649883</v>
      </c>
      <c r="AG36" s="44">
        <f t="shared" si="31"/>
        <v>17052.788627436697</v>
      </c>
      <c r="AH36" s="52">
        <f>HLOOKUP(I36,ElecAvoidedCostsWOCC!$A$5:$Q$50,T36+1,FALSE)</f>
        <v>0.86650348716649883</v>
      </c>
      <c r="AI36" s="44">
        <f t="shared" si="32"/>
        <v>0</v>
      </c>
      <c r="AJ36" s="44">
        <f t="shared" si="33"/>
        <v>17052.788627436697</v>
      </c>
      <c r="AK36" s="44">
        <f>HLOOKUP(I36,ElecAvoidedCostsWOCC!$A$5:$Q$50,G36+1,FALSE)*J36*L36</f>
        <v>0</v>
      </c>
      <c r="AL36" s="44">
        <f t="shared" si="34"/>
        <v>17052.788627436697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17052.788627436697</v>
      </c>
      <c r="AN36" s="48">
        <f t="shared" si="35"/>
        <v>18758.067490180369</v>
      </c>
      <c r="AO36" s="47">
        <f t="shared" si="36"/>
        <v>3.4258978262743054</v>
      </c>
      <c r="AP36" s="47">
        <f t="shared" si="37"/>
        <v>2.5047008860385662</v>
      </c>
      <c r="AQ36">
        <v>2021</v>
      </c>
    </row>
    <row r="37" spans="2:43">
      <c r="B37" s="97" t="s">
        <v>65</v>
      </c>
      <c r="C37" s="98">
        <v>18230724</v>
      </c>
      <c r="D37" s="61" t="s">
        <v>138</v>
      </c>
      <c r="E37" s="38" t="s">
        <v>996</v>
      </c>
      <c r="F37" s="39" t="s">
        <v>997</v>
      </c>
      <c r="G37" s="39">
        <v>20</v>
      </c>
      <c r="H37" s="39"/>
      <c r="I37" s="40" t="s">
        <v>257</v>
      </c>
      <c r="J37" s="41">
        <v>1</v>
      </c>
      <c r="K37" s="41">
        <v>22285</v>
      </c>
      <c r="L37" s="41"/>
      <c r="M37" s="42">
        <v>1184</v>
      </c>
      <c r="N37" s="42">
        <v>12468.38</v>
      </c>
      <c r="O37" s="43">
        <v>22285</v>
      </c>
      <c r="P37" s="44">
        <v>1184</v>
      </c>
      <c r="Q37" s="44">
        <v>12468.38</v>
      </c>
      <c r="R37" s="45"/>
      <c r="S37" s="46"/>
      <c r="T37" s="39">
        <f t="shared" ref="T37:T59" si="38">G37+H37</f>
        <v>20</v>
      </c>
      <c r="U37" s="47">
        <f>(O37/'CI Retrofit {E}'!$A$10)*T37</f>
        <v>2.3157555863122167E-2</v>
      </c>
      <c r="V37" s="48">
        <f t="shared" ref="V37:V59" si="39">N37-M37</f>
        <v>11284.38</v>
      </c>
      <c r="W37" s="49">
        <f>(O37/'CI Retrofit {E}'!A$10)</f>
        <v>1.1578777931561084E-3</v>
      </c>
      <c r="X37" s="44">
        <f>W37*'CI Retrofit {E}'!A$8</f>
        <v>2638.2032583335767</v>
      </c>
      <c r="Y37" s="44">
        <f t="shared" ref="Y37:Y59" si="40">Q37-P37</f>
        <v>11284.38</v>
      </c>
      <c r="Z37" s="44">
        <f>X37+('CI Retrofit {E}'!A$6*W37)</f>
        <v>7461.413847849507</v>
      </c>
      <c r="AA37" s="50">
        <f t="shared" ref="AA37:AA59" si="41">Q37+X37</f>
        <v>15106.583258333576</v>
      </c>
      <c r="AB37" s="51">
        <f t="shared" ref="AB37:AB59" si="42">Z37/(1+ElecDiscountRate)^1</f>
        <v>6975.2396446195253</v>
      </c>
      <c r="AC37" s="44">
        <f t="shared" si="28"/>
        <v>14122.26162319676</v>
      </c>
      <c r="AD37" s="44">
        <f t="shared" ref="AD37:AD59" si="43">-PV(ElecDiscountRate,T37,R37)*J37</f>
        <v>0</v>
      </c>
      <c r="AE37" s="44">
        <f t="shared" ref="AE37:AE59" si="44">-PV(ElecDiscountRate,T37,S37)*J37</f>
        <v>0</v>
      </c>
      <c r="AF37" s="52">
        <f>HLOOKUP(I37,ElecAvoidedCostsWOCC!$A$5:$Q$50,G37+1,FALSE)</f>
        <v>1.3192527795896587</v>
      </c>
      <c r="AG37" s="44">
        <f t="shared" ref="AG37:AG59" si="45">AF37*J37*K37</f>
        <v>29399.548193155544</v>
      </c>
      <c r="AH37" s="52">
        <f>HLOOKUP(I37,ElecAvoidedCostsWOCC!$A$5:$Q$50,T37+1,FALSE)</f>
        <v>1.3192527795896587</v>
      </c>
      <c r="AI37" s="44">
        <f t="shared" ref="AI37:AI59" si="46">AH37*J37*L37</f>
        <v>0</v>
      </c>
      <c r="AJ37" s="44">
        <f t="shared" ref="AJ37:AJ59" si="47">AG37+AI37</f>
        <v>29399.548193155544</v>
      </c>
      <c r="AK37" s="44">
        <f>HLOOKUP(I37,ElecAvoidedCostsWOCC!$A$5:$Q$50,G37+1,FALSE)*J37*L37</f>
        <v>0</v>
      </c>
      <c r="AL37" s="44">
        <f t="shared" ref="AL37:AL59" si="48">AG37+AI37-AK37</f>
        <v>29399.548193155544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29399.548193155544</v>
      </c>
      <c r="AN37" s="48">
        <f t="shared" ref="AN37:AN59" si="49">AM37*1.1+AD37+AE37</f>
        <v>32339.503012471101</v>
      </c>
      <c r="AO37" s="47">
        <f t="shared" ref="AO37:AO59" si="50">IFERROR(AM37/AB37,0)</f>
        <v>4.2148441761185094</v>
      </c>
      <c r="AP37" s="47">
        <f t="shared" ref="AP37:AP59" si="51">AN37/AC37</f>
        <v>2.2899662869402801</v>
      </c>
      <c r="AQ37">
        <v>2020</v>
      </c>
    </row>
    <row r="38" spans="2:43">
      <c r="B38" s="97" t="s">
        <v>65</v>
      </c>
      <c r="C38" s="98">
        <v>18230724</v>
      </c>
      <c r="D38" s="61" t="s">
        <v>138</v>
      </c>
      <c r="E38" s="38" t="s">
        <v>996</v>
      </c>
      <c r="F38" s="39" t="s">
        <v>997</v>
      </c>
      <c r="G38" s="39">
        <v>20</v>
      </c>
      <c r="H38" s="39"/>
      <c r="I38" s="40" t="s">
        <v>257</v>
      </c>
      <c r="J38" s="41">
        <v>1</v>
      </c>
      <c r="K38" s="41">
        <v>3604750</v>
      </c>
      <c r="L38" s="41"/>
      <c r="M38" s="42">
        <v>404555.35</v>
      </c>
      <c r="N38" s="42">
        <v>1353828.53</v>
      </c>
      <c r="O38" s="43">
        <v>3604750</v>
      </c>
      <c r="P38" s="44">
        <v>404555.35</v>
      </c>
      <c r="Q38" s="44">
        <v>1353828.53</v>
      </c>
      <c r="R38" s="45"/>
      <c r="S38" s="46"/>
      <c r="T38" s="39">
        <f t="shared" si="38"/>
        <v>20</v>
      </c>
      <c r="U38" s="47">
        <f>(O38/'CI Retrofit {E}'!$A$10)*T38</f>
        <v>3.7458918329634114</v>
      </c>
      <c r="V38" s="48">
        <f t="shared" si="39"/>
        <v>949273.18</v>
      </c>
      <c r="W38" s="49">
        <f>(O38/'CI Retrofit {E}'!A$10)</f>
        <v>0.18729459164817058</v>
      </c>
      <c r="X38" s="44">
        <f>W38*'CI Retrofit {E}'!A$8</f>
        <v>426747.28272281622</v>
      </c>
      <c r="Y38" s="44">
        <f t="shared" si="40"/>
        <v>949273.18</v>
      </c>
      <c r="Z38" s="44">
        <f>X38+('CI Retrofit {E}'!A$6*W38)</f>
        <v>1206934.3310763072</v>
      </c>
      <c r="AA38" s="50">
        <f t="shared" si="41"/>
        <v>1780575.8127228161</v>
      </c>
      <c r="AB38" s="51">
        <f t="shared" si="42"/>
        <v>1128292.3540023437</v>
      </c>
      <c r="AC38" s="44">
        <f t="shared" si="28"/>
        <v>1664556.24261271</v>
      </c>
      <c r="AD38" s="44">
        <f t="shared" si="43"/>
        <v>0</v>
      </c>
      <c r="AE38" s="44">
        <f t="shared" si="44"/>
        <v>0</v>
      </c>
      <c r="AF38" s="52">
        <f>HLOOKUP(I38,ElecAvoidedCostsWOCC!$A$5:$Q$50,G38+1,FALSE)</f>
        <v>1.3192527795896587</v>
      </c>
      <c r="AG38" s="44">
        <f t="shared" si="45"/>
        <v>4755576.4572258219</v>
      </c>
      <c r="AH38" s="52">
        <f>HLOOKUP(I38,ElecAvoidedCostsWOCC!$A$5:$Q$50,T38+1,FALSE)</f>
        <v>1.3192527795896587</v>
      </c>
      <c r="AI38" s="44">
        <f t="shared" si="46"/>
        <v>0</v>
      </c>
      <c r="AJ38" s="44">
        <f t="shared" si="47"/>
        <v>4755576.4572258219</v>
      </c>
      <c r="AK38" s="44">
        <f>HLOOKUP(I38,ElecAvoidedCostsWOCC!$A$5:$Q$50,G38+1,FALSE)*J38*L38</f>
        <v>0</v>
      </c>
      <c r="AL38" s="44">
        <f t="shared" si="48"/>
        <v>4755576.4572258219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4755576.4572258219</v>
      </c>
      <c r="AN38" s="48">
        <f t="shared" si="49"/>
        <v>5231134.1029484048</v>
      </c>
      <c r="AO38" s="47">
        <f t="shared" si="50"/>
        <v>4.2148441761185094</v>
      </c>
      <c r="AP38" s="47">
        <f t="shared" si="51"/>
        <v>3.1426598687573009</v>
      </c>
      <c r="AQ38">
        <v>2020</v>
      </c>
    </row>
    <row r="39" spans="2:43">
      <c r="B39" s="97" t="s">
        <v>65</v>
      </c>
      <c r="C39" s="98">
        <v>18230724</v>
      </c>
      <c r="D39" s="61" t="s">
        <v>138</v>
      </c>
      <c r="E39" s="38" t="s">
        <v>996</v>
      </c>
      <c r="F39" s="39" t="s">
        <v>997</v>
      </c>
      <c r="G39" s="39">
        <v>20</v>
      </c>
      <c r="H39" s="39"/>
      <c r="I39" s="40" t="s">
        <v>257</v>
      </c>
      <c r="J39" s="41">
        <v>1</v>
      </c>
      <c r="K39" s="41">
        <v>234920</v>
      </c>
      <c r="L39" s="41"/>
      <c r="M39" s="42">
        <v>44488.66</v>
      </c>
      <c r="N39" s="42">
        <v>133379.60999999999</v>
      </c>
      <c r="O39" s="43">
        <v>234920</v>
      </c>
      <c r="P39" s="44">
        <v>44488.66</v>
      </c>
      <c r="Q39" s="44">
        <v>133379.60999999999</v>
      </c>
      <c r="R39" s="45"/>
      <c r="S39" s="46"/>
      <c r="T39" s="39">
        <f t="shared" si="38"/>
        <v>20</v>
      </c>
      <c r="U39" s="47">
        <f>(O39/'CI Retrofit {E}'!$A$10)*T39</f>
        <v>0.24411815227124339</v>
      </c>
      <c r="V39" s="48">
        <f t="shared" si="39"/>
        <v>88890.949999999983</v>
      </c>
      <c r="W39" s="49">
        <f>(O39/'CI Retrofit {E}'!A$10)</f>
        <v>1.220590761356217E-2</v>
      </c>
      <c r="X39" s="44">
        <f>W39*'CI Retrofit {E}'!A$8</f>
        <v>27810.93603086039</v>
      </c>
      <c r="Y39" s="44">
        <f t="shared" si="40"/>
        <v>88890.949999999983</v>
      </c>
      <c r="Z39" s="44">
        <f>X39+('CI Retrofit {E}'!A$6*W39)</f>
        <v>78655.388877577119</v>
      </c>
      <c r="AA39" s="50">
        <f t="shared" si="41"/>
        <v>161190.54603086037</v>
      </c>
      <c r="AB39" s="51">
        <f t="shared" si="42"/>
        <v>73530.325210411436</v>
      </c>
      <c r="AC39" s="44">
        <f t="shared" si="28"/>
        <v>150687.61898743606</v>
      </c>
      <c r="AD39" s="44">
        <f t="shared" si="43"/>
        <v>0</v>
      </c>
      <c r="AE39" s="44">
        <f t="shared" si="44"/>
        <v>0</v>
      </c>
      <c r="AF39" s="52">
        <f>HLOOKUP(I39,ElecAvoidedCostsWOCC!$A$5:$Q$50,G39+1,FALSE)</f>
        <v>1.3192527795896587</v>
      </c>
      <c r="AG39" s="44">
        <f t="shared" si="45"/>
        <v>309918.8629812026</v>
      </c>
      <c r="AH39" s="52">
        <f>HLOOKUP(I39,ElecAvoidedCostsWOCC!$A$5:$Q$50,T39+1,FALSE)</f>
        <v>1.3192527795896587</v>
      </c>
      <c r="AI39" s="44">
        <f t="shared" si="46"/>
        <v>0</v>
      </c>
      <c r="AJ39" s="44">
        <f t="shared" si="47"/>
        <v>309918.8629812026</v>
      </c>
      <c r="AK39" s="44">
        <f>HLOOKUP(I39,ElecAvoidedCostsWOCC!$A$5:$Q$50,G39+1,FALSE)*J39*L39</f>
        <v>0</v>
      </c>
      <c r="AL39" s="44">
        <f t="shared" si="48"/>
        <v>309918.8629812026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309918.8629812026</v>
      </c>
      <c r="AN39" s="48">
        <f t="shared" si="49"/>
        <v>340910.74927932292</v>
      </c>
      <c r="AO39" s="47">
        <f t="shared" si="50"/>
        <v>4.2148441761185085</v>
      </c>
      <c r="AP39" s="47">
        <f t="shared" si="51"/>
        <v>2.2623673502183825</v>
      </c>
      <c r="AQ39">
        <v>2020</v>
      </c>
    </row>
    <row r="40" spans="2:43">
      <c r="B40" s="97" t="s">
        <v>65</v>
      </c>
      <c r="C40" s="98">
        <v>18230724</v>
      </c>
      <c r="D40" s="61" t="s">
        <v>138</v>
      </c>
      <c r="E40" s="38" t="s">
        <v>996</v>
      </c>
      <c r="F40" s="39" t="s">
        <v>997</v>
      </c>
      <c r="G40" s="39">
        <v>20</v>
      </c>
      <c r="H40" s="39"/>
      <c r="I40" s="40" t="s">
        <v>257</v>
      </c>
      <c r="J40" s="41">
        <v>1</v>
      </c>
      <c r="K40" s="41">
        <v>522845</v>
      </c>
      <c r="L40" s="41"/>
      <c r="M40" s="42">
        <v>82331.509999999995</v>
      </c>
      <c r="N40" s="42">
        <v>564489</v>
      </c>
      <c r="O40" s="43">
        <v>522845</v>
      </c>
      <c r="P40" s="44">
        <v>82331.509999999995</v>
      </c>
      <c r="Q40" s="44">
        <v>564489</v>
      </c>
      <c r="R40" s="45"/>
      <c r="S40" s="46"/>
      <c r="T40" s="39">
        <f t="shared" si="38"/>
        <v>20</v>
      </c>
      <c r="U40" s="47">
        <f>(O40/'CI Retrofit {E}'!$A$10)*T40</f>
        <v>0.54331668365510921</v>
      </c>
      <c r="V40" s="48">
        <f t="shared" si="39"/>
        <v>482157.49</v>
      </c>
      <c r="W40" s="49">
        <f>(O40/'CI Retrofit {E}'!A$10)</f>
        <v>2.716583418275546E-2</v>
      </c>
      <c r="X40" s="44">
        <f>W40*'CI Retrofit {E}'!A$8</f>
        <v>61896.85360571769</v>
      </c>
      <c r="Y40" s="44">
        <f t="shared" si="40"/>
        <v>482157.49</v>
      </c>
      <c r="Z40" s="44">
        <f>X40+('CI Retrofit {E}'!A$6*W40)</f>
        <v>175057.79328152904</v>
      </c>
      <c r="AA40" s="50">
        <f t="shared" si="41"/>
        <v>626385.85360571765</v>
      </c>
      <c r="AB40" s="51">
        <f t="shared" si="42"/>
        <v>163651.29782324861</v>
      </c>
      <c r="AC40" s="44">
        <f t="shared" si="28"/>
        <v>585571.51874891797</v>
      </c>
      <c r="AD40" s="44">
        <f t="shared" si="43"/>
        <v>0</v>
      </c>
      <c r="AE40" s="44">
        <f t="shared" si="44"/>
        <v>0</v>
      </c>
      <c r="AF40" s="52">
        <f>HLOOKUP(I40,ElecAvoidedCostsWOCC!$A$5:$Q$50,G40+1,FALSE)</f>
        <v>1.3192527795896587</v>
      </c>
      <c r="AG40" s="44">
        <f t="shared" si="45"/>
        <v>689764.71954455506</v>
      </c>
      <c r="AH40" s="52">
        <f>HLOOKUP(I40,ElecAvoidedCostsWOCC!$A$5:$Q$50,T40+1,FALSE)</f>
        <v>1.3192527795896587</v>
      </c>
      <c r="AI40" s="44">
        <f t="shared" si="46"/>
        <v>0</v>
      </c>
      <c r="AJ40" s="44">
        <f t="shared" si="47"/>
        <v>689764.71954455506</v>
      </c>
      <c r="AK40" s="44">
        <f>HLOOKUP(I40,ElecAvoidedCostsWOCC!$A$5:$Q$50,G40+1,FALSE)*J40*L40</f>
        <v>0</v>
      </c>
      <c r="AL40" s="44">
        <f t="shared" si="48"/>
        <v>689764.71954455506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689764.71954455506</v>
      </c>
      <c r="AN40" s="48">
        <f t="shared" si="49"/>
        <v>758741.19149901066</v>
      </c>
      <c r="AO40" s="47">
        <f t="shared" si="50"/>
        <v>4.2148441761185094</v>
      </c>
      <c r="AP40" s="47">
        <f t="shared" si="51"/>
        <v>1.295727621999226</v>
      </c>
      <c r="AQ40">
        <v>2020</v>
      </c>
    </row>
    <row r="41" spans="2:43">
      <c r="B41" s="97" t="s">
        <v>65</v>
      </c>
      <c r="C41" s="98">
        <v>18230724</v>
      </c>
      <c r="D41" s="61" t="s">
        <v>138</v>
      </c>
      <c r="E41" s="38" t="s">
        <v>996</v>
      </c>
      <c r="F41" s="39" t="s">
        <v>997</v>
      </c>
      <c r="G41" s="39">
        <v>20</v>
      </c>
      <c r="H41" s="39"/>
      <c r="I41" s="40" t="s">
        <v>257</v>
      </c>
      <c r="J41" s="41">
        <v>1</v>
      </c>
      <c r="K41" s="41">
        <v>911304</v>
      </c>
      <c r="L41" s="41"/>
      <c r="M41" s="42">
        <v>70139</v>
      </c>
      <c r="N41" s="42">
        <v>437268.45</v>
      </c>
      <c r="O41" s="43">
        <v>911304</v>
      </c>
      <c r="P41" s="44">
        <v>70139</v>
      </c>
      <c r="Q41" s="44">
        <v>437268.45</v>
      </c>
      <c r="R41" s="45"/>
      <c r="S41" s="46"/>
      <c r="T41" s="39">
        <f t="shared" si="38"/>
        <v>20</v>
      </c>
      <c r="U41" s="47">
        <f>(O41/'CI Retrofit {E}'!$A$10)*T41</f>
        <v>0.94698556375529208</v>
      </c>
      <c r="V41" s="48">
        <f t="shared" si="39"/>
        <v>367129.45</v>
      </c>
      <c r="W41" s="49">
        <f>(O41/'CI Retrofit {E}'!A$10)</f>
        <v>4.7349278187764604E-2</v>
      </c>
      <c r="X41" s="44">
        <f>W41*'CI Retrofit {E}'!A$8</f>
        <v>107884.45959759578</v>
      </c>
      <c r="Y41" s="44">
        <f t="shared" si="40"/>
        <v>367129.45</v>
      </c>
      <c r="Z41" s="44">
        <f>X41+('CI Retrofit {E}'!A$6*W41)</f>
        <v>305120.76666819147</v>
      </c>
      <c r="AA41" s="50">
        <f t="shared" si="41"/>
        <v>545152.9095975958</v>
      </c>
      <c r="AB41" s="51">
        <f t="shared" si="42"/>
        <v>285239.56872785965</v>
      </c>
      <c r="AC41" s="44">
        <f t="shared" si="28"/>
        <v>509631.58791959967</v>
      </c>
      <c r="AD41" s="44">
        <f t="shared" si="43"/>
        <v>0</v>
      </c>
      <c r="AE41" s="44">
        <f t="shared" si="44"/>
        <v>0</v>
      </c>
      <c r="AF41" s="52">
        <f>HLOOKUP(I41,ElecAvoidedCostsWOCC!$A$5:$Q$50,G41+1,FALSE)</f>
        <v>1.3192527795896587</v>
      </c>
      <c r="AG41" s="44">
        <f t="shared" si="45"/>
        <v>1202240.3350511743</v>
      </c>
      <c r="AH41" s="52">
        <f>HLOOKUP(I41,ElecAvoidedCostsWOCC!$A$5:$Q$50,T41+1,FALSE)</f>
        <v>1.3192527795896587</v>
      </c>
      <c r="AI41" s="44">
        <f t="shared" si="46"/>
        <v>0</v>
      </c>
      <c r="AJ41" s="44">
        <f t="shared" si="47"/>
        <v>1202240.3350511743</v>
      </c>
      <c r="AK41" s="44">
        <f>HLOOKUP(I41,ElecAvoidedCostsWOCC!$A$5:$Q$50,G41+1,FALSE)*J41*L41</f>
        <v>0</v>
      </c>
      <c r="AL41" s="44">
        <f t="shared" si="48"/>
        <v>1202240.3350511743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1202240.3350511743</v>
      </c>
      <c r="AN41" s="48">
        <f t="shared" si="49"/>
        <v>1322464.3685562918</v>
      </c>
      <c r="AO41" s="47">
        <f t="shared" si="50"/>
        <v>4.2148441761185085</v>
      </c>
      <c r="AP41" s="47">
        <f t="shared" si="51"/>
        <v>2.5949419147168835</v>
      </c>
      <c r="AQ41">
        <v>2020</v>
      </c>
    </row>
    <row r="42" spans="2:43">
      <c r="B42" s="97" t="s">
        <v>65</v>
      </c>
      <c r="C42" s="98">
        <v>18230724</v>
      </c>
      <c r="D42" s="61" t="s">
        <v>138</v>
      </c>
      <c r="E42" s="38" t="s">
        <v>996</v>
      </c>
      <c r="F42" s="39" t="s">
        <v>997</v>
      </c>
      <c r="G42" s="39">
        <v>20</v>
      </c>
      <c r="H42" s="39"/>
      <c r="I42" s="40" t="s">
        <v>257</v>
      </c>
      <c r="J42" s="41">
        <v>1</v>
      </c>
      <c r="K42" s="41">
        <v>27268</v>
      </c>
      <c r="L42" s="41"/>
      <c r="M42" s="42">
        <v>2642.4</v>
      </c>
      <c r="N42" s="42">
        <v>8174.82</v>
      </c>
      <c r="O42" s="43">
        <v>27268</v>
      </c>
      <c r="P42" s="44">
        <v>2642.4</v>
      </c>
      <c r="Q42" s="44">
        <v>8174.82</v>
      </c>
      <c r="R42" s="45"/>
      <c r="S42" s="46"/>
      <c r="T42" s="39">
        <f t="shared" si="38"/>
        <v>20</v>
      </c>
      <c r="U42" s="47">
        <f>(O42/'CI Retrofit {E}'!$A$10)*T42</f>
        <v>2.8335662251542076E-2</v>
      </c>
      <c r="V42" s="48">
        <f t="shared" si="39"/>
        <v>5532.42</v>
      </c>
      <c r="W42" s="49">
        <f>(O42/'CI Retrofit {E}'!A$10)</f>
        <v>1.4167831125771039E-3</v>
      </c>
      <c r="X42" s="44">
        <f>W42*'CI Retrofit {E}'!A$8</f>
        <v>3228.1142673654908</v>
      </c>
      <c r="Y42" s="44">
        <f t="shared" si="40"/>
        <v>5532.42</v>
      </c>
      <c r="Z42" s="44">
        <f>X42+('CI Retrofit {E}'!A$6*W42)</f>
        <v>9129.8107607431157</v>
      </c>
      <c r="AA42" s="50">
        <f t="shared" si="41"/>
        <v>11402.93426736549</v>
      </c>
      <c r="AB42" s="51">
        <f t="shared" si="42"/>
        <v>8534.9263912714923</v>
      </c>
      <c r="AC42" s="44">
        <f t="shared" si="28"/>
        <v>10659.936680719351</v>
      </c>
      <c r="AD42" s="44">
        <f t="shared" si="43"/>
        <v>0</v>
      </c>
      <c r="AE42" s="44">
        <f t="shared" si="44"/>
        <v>0</v>
      </c>
      <c r="AF42" s="52">
        <f>HLOOKUP(I42,ElecAvoidedCostsWOCC!$A$5:$Q$50,G42+1,FALSE)</f>
        <v>1.3192527795896587</v>
      </c>
      <c r="AG42" s="44">
        <f t="shared" si="45"/>
        <v>35973.384793850812</v>
      </c>
      <c r="AH42" s="52">
        <f>HLOOKUP(I42,ElecAvoidedCostsWOCC!$A$5:$Q$50,T42+1,FALSE)</f>
        <v>1.3192527795896587</v>
      </c>
      <c r="AI42" s="44">
        <f t="shared" si="46"/>
        <v>0</v>
      </c>
      <c r="AJ42" s="44">
        <f t="shared" si="47"/>
        <v>35973.384793850812</v>
      </c>
      <c r="AK42" s="44">
        <f>HLOOKUP(I42,ElecAvoidedCostsWOCC!$A$5:$Q$50,G42+1,FALSE)*J42*L42</f>
        <v>0</v>
      </c>
      <c r="AL42" s="44">
        <f t="shared" si="48"/>
        <v>35973.384793850812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35973.384793850812</v>
      </c>
      <c r="AN42" s="48">
        <f t="shared" si="49"/>
        <v>39570.723273235897</v>
      </c>
      <c r="AO42" s="47">
        <f t="shared" si="50"/>
        <v>4.2148441761185085</v>
      </c>
      <c r="AP42" s="47">
        <f t="shared" si="51"/>
        <v>3.7120974034308802</v>
      </c>
      <c r="AQ42">
        <v>2020</v>
      </c>
    </row>
    <row r="43" spans="2:43">
      <c r="B43" s="97" t="s">
        <v>65</v>
      </c>
      <c r="C43" s="98">
        <v>18230724</v>
      </c>
      <c r="D43" s="61" t="s">
        <v>138</v>
      </c>
      <c r="E43" s="38" t="s">
        <v>996</v>
      </c>
      <c r="F43" s="39" t="s">
        <v>997</v>
      </c>
      <c r="G43" s="39">
        <v>20</v>
      </c>
      <c r="H43" s="39"/>
      <c r="I43" s="40" t="s">
        <v>257</v>
      </c>
      <c r="J43" s="41">
        <v>1</v>
      </c>
      <c r="K43" s="41">
        <v>1358095</v>
      </c>
      <c r="L43" s="41"/>
      <c r="M43" s="42">
        <v>117381.96</v>
      </c>
      <c r="N43" s="42">
        <v>777513.51</v>
      </c>
      <c r="O43" s="43">
        <v>1358095</v>
      </c>
      <c r="P43" s="44">
        <v>117381.96</v>
      </c>
      <c r="Q43" s="44">
        <v>777513.51</v>
      </c>
      <c r="R43" s="45"/>
      <c r="S43" s="46"/>
      <c r="T43" s="39">
        <f t="shared" si="38"/>
        <v>20</v>
      </c>
      <c r="U43" s="47">
        <f>(O43/'CI Retrofit {E}'!$A$10)*T43</f>
        <v>1.4112703984710298</v>
      </c>
      <c r="V43" s="48">
        <f t="shared" si="39"/>
        <v>660131.55000000005</v>
      </c>
      <c r="W43" s="49">
        <f>(O43/'CI Retrofit {E}'!A$10)</f>
        <v>7.056351992355149E-2</v>
      </c>
      <c r="X43" s="44">
        <f>W43*'CI Retrofit {E}'!A$8</f>
        <v>160777.68248268066</v>
      </c>
      <c r="Y43" s="44">
        <f t="shared" si="40"/>
        <v>660131.55000000005</v>
      </c>
      <c r="Z43" s="44">
        <f>X43+('CI Retrofit {E}'!A$6*W43)</f>
        <v>454714.32980458497</v>
      </c>
      <c r="AA43" s="50">
        <f t="shared" si="41"/>
        <v>938291.19248268066</v>
      </c>
      <c r="AB43" s="51">
        <f t="shared" si="42"/>
        <v>425085.8463163363</v>
      </c>
      <c r="AC43" s="44">
        <f t="shared" si="28"/>
        <v>877153.58743823553</v>
      </c>
      <c r="AD43" s="44">
        <f t="shared" si="43"/>
        <v>0</v>
      </c>
      <c r="AE43" s="44">
        <f t="shared" si="44"/>
        <v>0</v>
      </c>
      <c r="AF43" s="52">
        <f>HLOOKUP(I43,ElecAvoidedCostsWOCC!$A$5:$Q$50,G43+1,FALSE)</f>
        <v>1.3192527795896587</v>
      </c>
      <c r="AG43" s="44">
        <f t="shared" si="45"/>
        <v>1791670.6036968175</v>
      </c>
      <c r="AH43" s="52">
        <f>HLOOKUP(I43,ElecAvoidedCostsWOCC!$A$5:$Q$50,T43+1,FALSE)</f>
        <v>1.3192527795896587</v>
      </c>
      <c r="AI43" s="44">
        <f t="shared" si="46"/>
        <v>0</v>
      </c>
      <c r="AJ43" s="44">
        <f t="shared" si="47"/>
        <v>1791670.6036968175</v>
      </c>
      <c r="AK43" s="44">
        <f>HLOOKUP(I43,ElecAvoidedCostsWOCC!$A$5:$Q$50,G43+1,FALSE)*J43*L43</f>
        <v>0</v>
      </c>
      <c r="AL43" s="44">
        <f t="shared" si="48"/>
        <v>1791670.6036968175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1791670.6036968175</v>
      </c>
      <c r="AN43" s="48">
        <f t="shared" si="49"/>
        <v>1970837.6640664993</v>
      </c>
      <c r="AO43" s="47">
        <f t="shared" si="50"/>
        <v>4.2148441761185085</v>
      </c>
      <c r="AP43" s="47">
        <f t="shared" si="51"/>
        <v>2.2468558440516841</v>
      </c>
      <c r="AQ43">
        <v>2020</v>
      </c>
    </row>
    <row r="44" spans="2:43">
      <c r="B44" s="97" t="s">
        <v>65</v>
      </c>
      <c r="C44" s="98">
        <v>18230724</v>
      </c>
      <c r="D44" s="61" t="s">
        <v>138</v>
      </c>
      <c r="E44" s="38" t="s">
        <v>996</v>
      </c>
      <c r="F44" s="39" t="s">
        <v>997</v>
      </c>
      <c r="G44" s="39">
        <v>20</v>
      </c>
      <c r="H44" s="39"/>
      <c r="I44" s="40" t="s">
        <v>257</v>
      </c>
      <c r="J44" s="41">
        <v>1</v>
      </c>
      <c r="K44" s="41">
        <v>472126</v>
      </c>
      <c r="L44" s="41"/>
      <c r="M44" s="42">
        <v>47249.02</v>
      </c>
      <c r="N44" s="42">
        <v>506951.97</v>
      </c>
      <c r="O44" s="43">
        <v>472126</v>
      </c>
      <c r="P44" s="44">
        <v>47249.02</v>
      </c>
      <c r="Q44" s="44">
        <v>506951.97</v>
      </c>
      <c r="R44" s="45"/>
      <c r="S44" s="46"/>
      <c r="T44" s="39">
        <f t="shared" si="38"/>
        <v>20</v>
      </c>
      <c r="U44" s="47">
        <f>(O44/'CI Retrofit {E}'!$A$10)*T44</f>
        <v>0.4906118115069516</v>
      </c>
      <c r="V44" s="48">
        <f t="shared" si="39"/>
        <v>459702.94999999995</v>
      </c>
      <c r="W44" s="49">
        <f>(O44/'CI Retrofit {E}'!A$10)</f>
        <v>2.453059057534758E-2</v>
      </c>
      <c r="X44" s="44">
        <f>W44*'CI Retrofit {E}'!A$8</f>
        <v>55892.499508368775</v>
      </c>
      <c r="Y44" s="44">
        <f t="shared" si="40"/>
        <v>459702.94999999995</v>
      </c>
      <c r="Z44" s="44">
        <f>X44+('CI Retrofit {E}'!A$6*W44)</f>
        <v>158076.17116131014</v>
      </c>
      <c r="AA44" s="50">
        <f t="shared" si="41"/>
        <v>562844.46950836875</v>
      </c>
      <c r="AB44" s="51">
        <f t="shared" si="42"/>
        <v>147776.17197467526</v>
      </c>
      <c r="AC44" s="44">
        <f t="shared" si="28"/>
        <v>526170.39310869284</v>
      </c>
      <c r="AD44" s="44">
        <f t="shared" si="43"/>
        <v>0</v>
      </c>
      <c r="AE44" s="44">
        <f t="shared" si="44"/>
        <v>0</v>
      </c>
      <c r="AF44" s="52">
        <f>HLOOKUP(I44,ElecAvoidedCostsWOCC!$A$5:$Q$50,G44+1,FALSE)</f>
        <v>1.3192527795896587</v>
      </c>
      <c r="AG44" s="44">
        <f t="shared" si="45"/>
        <v>622853.53781654721</v>
      </c>
      <c r="AH44" s="52">
        <f>HLOOKUP(I44,ElecAvoidedCostsWOCC!$A$5:$Q$50,T44+1,FALSE)</f>
        <v>1.3192527795896587</v>
      </c>
      <c r="AI44" s="44">
        <f t="shared" si="46"/>
        <v>0</v>
      </c>
      <c r="AJ44" s="44">
        <f t="shared" si="47"/>
        <v>622853.53781654721</v>
      </c>
      <c r="AK44" s="44">
        <f>HLOOKUP(I44,ElecAvoidedCostsWOCC!$A$5:$Q$50,G44+1,FALSE)*J44*L44</f>
        <v>0</v>
      </c>
      <c r="AL44" s="44">
        <f t="shared" si="48"/>
        <v>622853.53781654721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622853.53781654721</v>
      </c>
      <c r="AN44" s="48">
        <f t="shared" si="49"/>
        <v>685138.89159820194</v>
      </c>
      <c r="AO44" s="47">
        <f t="shared" si="50"/>
        <v>4.2148441761185085</v>
      </c>
      <c r="AP44" s="47">
        <f t="shared" si="51"/>
        <v>1.3021236097118647</v>
      </c>
      <c r="AQ44">
        <v>2020</v>
      </c>
    </row>
    <row r="45" spans="2:43">
      <c r="B45" s="97" t="s">
        <v>65</v>
      </c>
      <c r="C45" s="98">
        <v>18230724</v>
      </c>
      <c r="D45" s="61" t="s">
        <v>138</v>
      </c>
      <c r="E45" s="38" t="s">
        <v>996</v>
      </c>
      <c r="F45" s="39" t="s">
        <v>997</v>
      </c>
      <c r="G45" s="39">
        <v>20</v>
      </c>
      <c r="H45" s="39"/>
      <c r="I45" s="40" t="s">
        <v>257</v>
      </c>
      <c r="J45" s="41">
        <v>1</v>
      </c>
      <c r="K45" s="41">
        <v>2183182</v>
      </c>
      <c r="L45" s="41"/>
      <c r="M45" s="42">
        <v>396130.8</v>
      </c>
      <c r="N45" s="42">
        <v>1232890.55</v>
      </c>
      <c r="O45" s="43">
        <v>2183182</v>
      </c>
      <c r="P45" s="44">
        <v>396130.8</v>
      </c>
      <c r="Q45" s="44">
        <v>1232890.55</v>
      </c>
      <c r="R45" s="45"/>
      <c r="S45" s="46"/>
      <c r="T45" s="39">
        <f t="shared" si="38"/>
        <v>20</v>
      </c>
      <c r="U45" s="47">
        <f>(O45/'CI Retrofit {E}'!$A$10)*T45</f>
        <v>2.268663187092788</v>
      </c>
      <c r="V45" s="48">
        <f t="shared" si="39"/>
        <v>836759.75</v>
      </c>
      <c r="W45" s="49">
        <f>(O45/'CI Retrofit {E}'!A$10)</f>
        <v>0.11343315935463939</v>
      </c>
      <c r="X45" s="44">
        <f>W45*'CI Retrofit {E}'!A$8</f>
        <v>258455.36755374531</v>
      </c>
      <c r="Y45" s="44">
        <f t="shared" si="40"/>
        <v>836759.75</v>
      </c>
      <c r="Z45" s="44">
        <f>X45+('CI Retrofit {E}'!A$6*W45)</f>
        <v>730968.1134025479</v>
      </c>
      <c r="AA45" s="50">
        <f t="shared" si="41"/>
        <v>1491345.9175537454</v>
      </c>
      <c r="AB45" s="51">
        <f t="shared" si="42"/>
        <v>683339.3600098606</v>
      </c>
      <c r="AC45" s="44">
        <f t="shared" si="28"/>
        <v>1394172.1207382868</v>
      </c>
      <c r="AD45" s="44">
        <f t="shared" si="43"/>
        <v>0</v>
      </c>
      <c r="AE45" s="44">
        <f t="shared" si="44"/>
        <v>0</v>
      </c>
      <c r="AF45" s="52">
        <f>HLOOKUP(I45,ElecAvoidedCostsWOCC!$A$5:$Q$50,G45+1,FALSE)</f>
        <v>1.3192527795896587</v>
      </c>
      <c r="AG45" s="44">
        <f t="shared" si="45"/>
        <v>2880168.9218501104</v>
      </c>
      <c r="AH45" s="52">
        <f>HLOOKUP(I45,ElecAvoidedCostsWOCC!$A$5:$Q$50,T45+1,FALSE)</f>
        <v>1.3192527795896587</v>
      </c>
      <c r="AI45" s="44">
        <f t="shared" si="46"/>
        <v>0</v>
      </c>
      <c r="AJ45" s="44">
        <f t="shared" si="47"/>
        <v>2880168.9218501104</v>
      </c>
      <c r="AK45" s="44">
        <f>HLOOKUP(I45,ElecAvoidedCostsWOCC!$A$5:$Q$50,G45+1,FALSE)*J45*L45</f>
        <v>0</v>
      </c>
      <c r="AL45" s="44">
        <f t="shared" si="48"/>
        <v>2880168.9218501104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2880168.9218501104</v>
      </c>
      <c r="AN45" s="48">
        <f t="shared" si="49"/>
        <v>3168185.8140351218</v>
      </c>
      <c r="AO45" s="47">
        <f t="shared" si="50"/>
        <v>4.2148441761185094</v>
      </c>
      <c r="AP45" s="47">
        <f t="shared" si="51"/>
        <v>2.2724495540460259</v>
      </c>
      <c r="AQ45">
        <v>2020</v>
      </c>
    </row>
    <row r="46" spans="2:43">
      <c r="B46" s="97" t="s">
        <v>65</v>
      </c>
      <c r="C46" s="98">
        <v>18230724</v>
      </c>
      <c r="D46" s="61" t="s">
        <v>138</v>
      </c>
      <c r="E46" s="38" t="s">
        <v>996</v>
      </c>
      <c r="F46" s="39" t="s">
        <v>997</v>
      </c>
      <c r="G46" s="39">
        <v>20</v>
      </c>
      <c r="H46" s="39"/>
      <c r="I46" s="40" t="s">
        <v>257</v>
      </c>
      <c r="J46" s="41">
        <v>1</v>
      </c>
      <c r="K46" s="41">
        <v>19346313</v>
      </c>
      <c r="L46" s="41"/>
      <c r="M46" s="42">
        <v>3686596.35</v>
      </c>
      <c r="N46" s="42">
        <v>10299256.779999999</v>
      </c>
      <c r="O46" s="43">
        <v>19346313</v>
      </c>
      <c r="P46" s="44">
        <v>3686596.35</v>
      </c>
      <c r="Q46" s="44">
        <v>10299256.779999999</v>
      </c>
      <c r="R46" s="45"/>
      <c r="S46" s="46"/>
      <c r="T46" s="39">
        <f t="shared" si="38"/>
        <v>20</v>
      </c>
      <c r="U46" s="47">
        <f>(O46/'CI Retrofit {E}'!$A$10)*T46</f>
        <v>20.103806329053022</v>
      </c>
      <c r="V46" s="48">
        <f t="shared" si="39"/>
        <v>6612660.4299999997</v>
      </c>
      <c r="W46" s="49">
        <f>(O46/'CI Retrofit {E}'!A$10)</f>
        <v>1.005190316452651</v>
      </c>
      <c r="X46" s="44">
        <f>W46*'CI Retrofit {E}'!A$8</f>
        <v>2290307.6505874456</v>
      </c>
      <c r="Y46" s="44">
        <f t="shared" si="40"/>
        <v>6612660.4299999997</v>
      </c>
      <c r="Z46" s="44">
        <f>X46+('CI Retrofit {E}'!A$6*W46)</f>
        <v>6477489.2404321702</v>
      </c>
      <c r="AA46" s="50">
        <f t="shared" si="41"/>
        <v>12589564.430587444</v>
      </c>
      <c r="AB46" s="51">
        <f t="shared" si="42"/>
        <v>6055426.0450894358</v>
      </c>
      <c r="AC46" s="44">
        <f t="shared" si="28"/>
        <v>11769247.855087822</v>
      </c>
      <c r="AD46" s="44">
        <f t="shared" si="43"/>
        <v>0</v>
      </c>
      <c r="AE46" s="44">
        <f t="shared" si="44"/>
        <v>0</v>
      </c>
      <c r="AF46" s="52">
        <f>HLOOKUP(I46,ElecAvoidedCostsWOCC!$A$5:$Q$50,G46+1,FALSE)</f>
        <v>1.3192527795896587</v>
      </c>
      <c r="AG46" s="44">
        <f t="shared" si="45"/>
        <v>25522677.200061549</v>
      </c>
      <c r="AH46" s="52">
        <f>HLOOKUP(I46,ElecAvoidedCostsWOCC!$A$5:$Q$50,T46+1,FALSE)</f>
        <v>1.3192527795896587</v>
      </c>
      <c r="AI46" s="44">
        <f t="shared" si="46"/>
        <v>0</v>
      </c>
      <c r="AJ46" s="44">
        <f t="shared" si="47"/>
        <v>25522677.200061549</v>
      </c>
      <c r="AK46" s="44">
        <f>HLOOKUP(I46,ElecAvoidedCostsWOCC!$A$5:$Q$50,G46+1,FALSE)*J46*L46</f>
        <v>0</v>
      </c>
      <c r="AL46" s="44">
        <f t="shared" si="48"/>
        <v>25522677.200061549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25522677.200061549</v>
      </c>
      <c r="AN46" s="48">
        <f t="shared" si="49"/>
        <v>28074944.920067705</v>
      </c>
      <c r="AO46" s="47">
        <f t="shared" si="50"/>
        <v>4.2148441761185094</v>
      </c>
      <c r="AP46" s="47">
        <f t="shared" si="51"/>
        <v>2.3854493732945699</v>
      </c>
      <c r="AQ46">
        <v>2020</v>
      </c>
    </row>
    <row r="47" spans="2:43">
      <c r="B47" s="97" t="s">
        <v>65</v>
      </c>
      <c r="C47" s="98">
        <v>18230724</v>
      </c>
      <c r="D47" s="61" t="s">
        <v>138</v>
      </c>
      <c r="E47" s="38" t="s">
        <v>996</v>
      </c>
      <c r="F47" s="39" t="s">
        <v>997</v>
      </c>
      <c r="G47" s="39">
        <v>20</v>
      </c>
      <c r="H47" s="39"/>
      <c r="I47" s="40" t="s">
        <v>257</v>
      </c>
      <c r="J47" s="41">
        <v>1</v>
      </c>
      <c r="K47" s="41">
        <v>5646435</v>
      </c>
      <c r="L47" s="41"/>
      <c r="M47" s="42">
        <v>864764.39</v>
      </c>
      <c r="N47" s="42">
        <v>2969482.86</v>
      </c>
      <c r="O47" s="43">
        <v>5646435</v>
      </c>
      <c r="P47" s="44">
        <v>864764.39</v>
      </c>
      <c r="Q47" s="44">
        <v>2969482.86</v>
      </c>
      <c r="R47" s="45"/>
      <c r="S47" s="46"/>
      <c r="T47" s="39">
        <f t="shared" si="38"/>
        <v>20</v>
      </c>
      <c r="U47" s="47">
        <f>(O47/'CI Retrofit {E}'!$A$10)*T47</f>
        <v>5.8675177895440083</v>
      </c>
      <c r="V47" s="48">
        <f t="shared" si="39"/>
        <v>2104718.4699999997</v>
      </c>
      <c r="W47" s="49">
        <f>(O47/'CI Retrofit {E}'!A$10)</f>
        <v>0.29337588947720039</v>
      </c>
      <c r="X47" s="44">
        <f>W47*'CI Retrofit {E}'!A$8</f>
        <v>668451.56899119355</v>
      </c>
      <c r="Y47" s="44">
        <f t="shared" si="40"/>
        <v>2104718.4699999997</v>
      </c>
      <c r="Z47" s="44">
        <f>X47+('CI Retrofit {E}'!A$6*W47)</f>
        <v>1890526.7354714889</v>
      </c>
      <c r="AA47" s="50">
        <f t="shared" si="41"/>
        <v>3637934.4289911934</v>
      </c>
      <c r="AB47" s="51">
        <f t="shared" si="42"/>
        <v>1767342.933038692</v>
      </c>
      <c r="AC47" s="44">
        <f t="shared" si="28"/>
        <v>3400892.2398721073</v>
      </c>
      <c r="AD47" s="44">
        <f t="shared" si="43"/>
        <v>0</v>
      </c>
      <c r="AE47" s="44">
        <f t="shared" si="44"/>
        <v>0</v>
      </c>
      <c r="AF47" s="52">
        <f>HLOOKUP(I47,ElecAvoidedCostsWOCC!$A$5:$Q$50,G47+1,FALSE)</f>
        <v>1.3192527795896587</v>
      </c>
      <c r="AG47" s="44">
        <f t="shared" si="45"/>
        <v>7449075.0685223341</v>
      </c>
      <c r="AH47" s="52">
        <f>HLOOKUP(I47,ElecAvoidedCostsWOCC!$A$5:$Q$50,T47+1,FALSE)</f>
        <v>1.3192527795896587</v>
      </c>
      <c r="AI47" s="44">
        <f t="shared" si="46"/>
        <v>0</v>
      </c>
      <c r="AJ47" s="44">
        <f t="shared" si="47"/>
        <v>7449075.0685223341</v>
      </c>
      <c r="AK47" s="44">
        <f>HLOOKUP(I47,ElecAvoidedCostsWOCC!$A$5:$Q$50,G47+1,FALSE)*J47*L47</f>
        <v>0</v>
      </c>
      <c r="AL47" s="44">
        <f t="shared" si="48"/>
        <v>7449075.0685223341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7449075.0685223341</v>
      </c>
      <c r="AN47" s="48">
        <f t="shared" si="49"/>
        <v>8193982.5753745679</v>
      </c>
      <c r="AO47" s="47">
        <f t="shared" si="50"/>
        <v>4.2148441761185085</v>
      </c>
      <c r="AP47" s="47">
        <f t="shared" si="51"/>
        <v>2.4093626017632088</v>
      </c>
      <c r="AQ47">
        <v>2020</v>
      </c>
    </row>
    <row r="48" spans="2:43">
      <c r="B48" s="97" t="s">
        <v>65</v>
      </c>
      <c r="C48" s="98">
        <v>18230724</v>
      </c>
      <c r="D48" s="61" t="s">
        <v>138</v>
      </c>
      <c r="E48" s="38" t="s">
        <v>996</v>
      </c>
      <c r="F48" s="39" t="s">
        <v>997</v>
      </c>
      <c r="G48" s="39">
        <v>20</v>
      </c>
      <c r="H48" s="39"/>
      <c r="I48" s="40" t="s">
        <v>257</v>
      </c>
      <c r="J48" s="41">
        <v>1</v>
      </c>
      <c r="K48" s="41">
        <v>628317</v>
      </c>
      <c r="L48" s="41"/>
      <c r="M48" s="42">
        <v>118712.15</v>
      </c>
      <c r="N48" s="42">
        <v>277873.53000000003</v>
      </c>
      <c r="O48" s="43">
        <v>628317</v>
      </c>
      <c r="P48" s="44">
        <v>118712.15</v>
      </c>
      <c r="Q48" s="44">
        <v>277873.53000000003</v>
      </c>
      <c r="R48" s="45"/>
      <c r="S48" s="46"/>
      <c r="T48" s="39">
        <f t="shared" si="38"/>
        <v>20</v>
      </c>
      <c r="U48" s="47">
        <f>(O48/'CI Retrofit {E}'!$A$10)*T48</f>
        <v>0.65291837681172682</v>
      </c>
      <c r="V48" s="48">
        <f t="shared" si="39"/>
        <v>159161.38000000003</v>
      </c>
      <c r="W48" s="49">
        <f>(O48/'CI Retrofit {E}'!A$10)</f>
        <v>3.264591884058634E-2</v>
      </c>
      <c r="X48" s="44">
        <f>W48*'CI Retrofit {E}'!A$8</f>
        <v>74383.125719828487</v>
      </c>
      <c r="Y48" s="44">
        <f t="shared" si="40"/>
        <v>159161.38000000003</v>
      </c>
      <c r="Z48" s="44">
        <f>X48+('CI Retrofit {E}'!A$6*W48)</f>
        <v>210371.69237779937</v>
      </c>
      <c r="AA48" s="50">
        <f t="shared" si="41"/>
        <v>352256.6557198285</v>
      </c>
      <c r="AB48" s="51">
        <f t="shared" si="42"/>
        <v>196664.1977917167</v>
      </c>
      <c r="AC48" s="44">
        <f t="shared" si="28"/>
        <v>329304.15604359022</v>
      </c>
      <c r="AD48" s="44">
        <f t="shared" si="43"/>
        <v>0</v>
      </c>
      <c r="AE48" s="44">
        <f t="shared" si="44"/>
        <v>0</v>
      </c>
      <c r="AF48" s="52">
        <f>HLOOKUP(I48,ElecAvoidedCostsWOCC!$A$5:$Q$50,G48+1,FALSE)</f>
        <v>1.3192527795896587</v>
      </c>
      <c r="AG48" s="44">
        <f t="shared" si="45"/>
        <v>828908.94871343556</v>
      </c>
      <c r="AH48" s="52">
        <f>HLOOKUP(I48,ElecAvoidedCostsWOCC!$A$5:$Q$50,T48+1,FALSE)</f>
        <v>1.3192527795896587</v>
      </c>
      <c r="AI48" s="44">
        <f t="shared" si="46"/>
        <v>0</v>
      </c>
      <c r="AJ48" s="44">
        <f t="shared" si="47"/>
        <v>828908.94871343556</v>
      </c>
      <c r="AK48" s="44">
        <f>HLOOKUP(I48,ElecAvoidedCostsWOCC!$A$5:$Q$50,G48+1,FALSE)*J48*L48</f>
        <v>0</v>
      </c>
      <c r="AL48" s="44">
        <f t="shared" si="48"/>
        <v>828908.94871343556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828908.94871343556</v>
      </c>
      <c r="AN48" s="48">
        <f t="shared" si="49"/>
        <v>911799.84358477918</v>
      </c>
      <c r="AO48" s="47">
        <f t="shared" si="50"/>
        <v>4.2148441761185085</v>
      </c>
      <c r="AP48" s="47">
        <f t="shared" si="51"/>
        <v>2.7688683147505846</v>
      </c>
      <c r="AQ48">
        <v>2020</v>
      </c>
    </row>
    <row r="49" spans="2:43">
      <c r="B49" s="97" t="s">
        <v>65</v>
      </c>
      <c r="C49" s="98">
        <v>18230724</v>
      </c>
      <c r="D49" s="61" t="s">
        <v>138</v>
      </c>
      <c r="E49" s="38" t="s">
        <v>996</v>
      </c>
      <c r="F49" s="39" t="s">
        <v>997</v>
      </c>
      <c r="G49" s="39">
        <v>20</v>
      </c>
      <c r="H49" s="39"/>
      <c r="I49" s="40" t="s">
        <v>257</v>
      </c>
      <c r="J49" s="41">
        <v>1</v>
      </c>
      <c r="K49" s="41">
        <v>335564</v>
      </c>
      <c r="L49" s="41"/>
      <c r="M49" s="42">
        <v>60594.75</v>
      </c>
      <c r="N49" s="42">
        <v>264243.19</v>
      </c>
      <c r="O49" s="43">
        <v>335564</v>
      </c>
      <c r="P49" s="44">
        <v>60594.75</v>
      </c>
      <c r="Q49" s="44">
        <v>264243.19</v>
      </c>
      <c r="R49" s="45"/>
      <c r="S49" s="46"/>
      <c r="T49" s="39">
        <f t="shared" si="38"/>
        <v>20</v>
      </c>
      <c r="U49" s="47">
        <f>(O49/'CI Retrofit {E}'!$A$10)*T49</f>
        <v>0.34870280797185227</v>
      </c>
      <c r="V49" s="48">
        <f t="shared" si="39"/>
        <v>203648.44</v>
      </c>
      <c r="W49" s="49">
        <f>(O49/'CI Retrofit {E}'!A$10)</f>
        <v>1.7435140398592612E-2</v>
      </c>
      <c r="X49" s="44">
        <f>W49*'CI Retrofit {E}'!A$8</f>
        <v>39725.646765961334</v>
      </c>
      <c r="Y49" s="44">
        <f t="shared" si="40"/>
        <v>203648.44</v>
      </c>
      <c r="Z49" s="44">
        <f>X49+('CI Retrofit {E}'!A$6*W49)</f>
        <v>112352.78781421459</v>
      </c>
      <c r="AA49" s="50">
        <f t="shared" si="41"/>
        <v>303968.83676596131</v>
      </c>
      <c r="AB49" s="51">
        <f t="shared" si="42"/>
        <v>105032.05367319303</v>
      </c>
      <c r="AC49" s="44">
        <f t="shared" si="28"/>
        <v>284162.69679906638</v>
      </c>
      <c r="AD49" s="44">
        <f t="shared" si="43"/>
        <v>0</v>
      </c>
      <c r="AE49" s="44">
        <f t="shared" si="44"/>
        <v>0</v>
      </c>
      <c r="AF49" s="52">
        <f>HLOOKUP(I49,ElecAvoidedCostsWOCC!$A$5:$Q$50,G49+1,FALSE)</f>
        <v>1.3192527795896587</v>
      </c>
      <c r="AG49" s="44">
        <f t="shared" si="45"/>
        <v>442693.73973022425</v>
      </c>
      <c r="AH49" s="52">
        <f>HLOOKUP(I49,ElecAvoidedCostsWOCC!$A$5:$Q$50,T49+1,FALSE)</f>
        <v>1.3192527795896587</v>
      </c>
      <c r="AI49" s="44">
        <f t="shared" si="46"/>
        <v>0</v>
      </c>
      <c r="AJ49" s="44">
        <f t="shared" si="47"/>
        <v>442693.73973022425</v>
      </c>
      <c r="AK49" s="44">
        <f>HLOOKUP(I49,ElecAvoidedCostsWOCC!$A$5:$Q$50,G49+1,FALSE)*J49*L49</f>
        <v>0</v>
      </c>
      <c r="AL49" s="44">
        <f t="shared" si="48"/>
        <v>442693.73973022425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442693.73973022425</v>
      </c>
      <c r="AN49" s="48">
        <f t="shared" si="49"/>
        <v>486963.11370324669</v>
      </c>
      <c r="AO49" s="47">
        <f t="shared" si="50"/>
        <v>4.2148441761185085</v>
      </c>
      <c r="AP49" s="47">
        <f t="shared" si="51"/>
        <v>1.7136771264793493</v>
      </c>
      <c r="AQ49">
        <v>2020</v>
      </c>
    </row>
    <row r="50" spans="2:43">
      <c r="B50" s="97" t="s">
        <v>65</v>
      </c>
      <c r="C50" s="98">
        <v>18230724</v>
      </c>
      <c r="D50" s="61" t="s">
        <v>138</v>
      </c>
      <c r="E50" s="38" t="s">
        <v>996</v>
      </c>
      <c r="F50" s="39" t="s">
        <v>997</v>
      </c>
      <c r="G50" s="39">
        <v>20</v>
      </c>
      <c r="H50" s="39"/>
      <c r="I50" s="40" t="s">
        <v>257</v>
      </c>
      <c r="J50" s="41">
        <v>1</v>
      </c>
      <c r="K50" s="41">
        <v>719944</v>
      </c>
      <c r="L50" s="41"/>
      <c r="M50" s="42">
        <v>123930.15</v>
      </c>
      <c r="N50" s="42">
        <v>399264.22</v>
      </c>
      <c r="O50" s="43">
        <v>719944</v>
      </c>
      <c r="P50" s="44">
        <v>123930.15</v>
      </c>
      <c r="Q50" s="44">
        <v>399264.22</v>
      </c>
      <c r="R50" s="45"/>
      <c r="S50" s="46"/>
      <c r="T50" s="39">
        <f t="shared" si="38"/>
        <v>20</v>
      </c>
      <c r="U50" s="47">
        <f>(O50/'CI Retrofit {E}'!$A$10)*T50</f>
        <v>0.7481329772636135</v>
      </c>
      <c r="V50" s="48">
        <f t="shared" si="39"/>
        <v>275334.06999999995</v>
      </c>
      <c r="W50" s="49">
        <f>(O50/'CI Retrofit {E}'!A$10)</f>
        <v>3.7406648863180673E-2</v>
      </c>
      <c r="X50" s="44">
        <f>W50*'CI Retrofit {E}'!A$8</f>
        <v>85230.361526484572</v>
      </c>
      <c r="Y50" s="44">
        <f t="shared" si="40"/>
        <v>275334.06999999995</v>
      </c>
      <c r="Z50" s="44">
        <f>X50+('CI Retrofit {E}'!A$6*W50)</f>
        <v>241050.03954571081</v>
      </c>
      <c r="AA50" s="50">
        <f t="shared" si="41"/>
        <v>484494.58152648457</v>
      </c>
      <c r="AB50" s="51">
        <f t="shared" si="42"/>
        <v>225343.59123652498</v>
      </c>
      <c r="AC50" s="44">
        <f t="shared" si="28"/>
        <v>452925.66282741376</v>
      </c>
      <c r="AD50" s="44">
        <f t="shared" si="43"/>
        <v>0</v>
      </c>
      <c r="AE50" s="44">
        <f t="shared" si="44"/>
        <v>0</v>
      </c>
      <c r="AF50" s="52">
        <f>HLOOKUP(I50,ElecAvoidedCostsWOCC!$A$5:$Q$50,G50+1,FALSE)</f>
        <v>1.3192527795896587</v>
      </c>
      <c r="AG50" s="44">
        <f t="shared" si="45"/>
        <v>949788.1231488972</v>
      </c>
      <c r="AH50" s="52">
        <f>HLOOKUP(I50,ElecAvoidedCostsWOCC!$A$5:$Q$50,T50+1,FALSE)</f>
        <v>1.3192527795896587</v>
      </c>
      <c r="AI50" s="44">
        <f t="shared" si="46"/>
        <v>0</v>
      </c>
      <c r="AJ50" s="44">
        <f t="shared" si="47"/>
        <v>949788.1231488972</v>
      </c>
      <c r="AK50" s="44">
        <f>HLOOKUP(I50,ElecAvoidedCostsWOCC!$A$5:$Q$50,G50+1,FALSE)*J50*L50</f>
        <v>0</v>
      </c>
      <c r="AL50" s="44">
        <f t="shared" si="48"/>
        <v>949788.1231488972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949788.1231488972</v>
      </c>
      <c r="AN50" s="48">
        <f t="shared" si="49"/>
        <v>1044766.9354637871</v>
      </c>
      <c r="AO50" s="47">
        <f t="shared" si="50"/>
        <v>4.2148441761185094</v>
      </c>
      <c r="AP50" s="47">
        <f t="shared" si="51"/>
        <v>2.3067073058783447</v>
      </c>
      <c r="AQ50">
        <v>2020</v>
      </c>
    </row>
    <row r="51" spans="2:43">
      <c r="B51" s="97" t="s">
        <v>65</v>
      </c>
      <c r="C51" s="98">
        <v>18230724</v>
      </c>
      <c r="D51" s="61" t="s">
        <v>138</v>
      </c>
      <c r="E51" s="38" t="s">
        <v>996</v>
      </c>
      <c r="F51" s="39" t="s">
        <v>997</v>
      </c>
      <c r="G51" s="39">
        <v>20</v>
      </c>
      <c r="H51" s="39"/>
      <c r="I51" s="40" t="s">
        <v>257</v>
      </c>
      <c r="J51" s="41">
        <v>1</v>
      </c>
      <c r="K51" s="41">
        <v>3096030</v>
      </c>
      <c r="L51" s="41"/>
      <c r="M51" s="42">
        <v>569260.88</v>
      </c>
      <c r="N51" s="42">
        <v>1854663.81</v>
      </c>
      <c r="O51" s="43">
        <v>3096030</v>
      </c>
      <c r="P51" s="44">
        <v>569260.88</v>
      </c>
      <c r="Q51" s="44">
        <v>1854663.81</v>
      </c>
      <c r="R51" s="45"/>
      <c r="S51" s="46"/>
      <c r="T51" s="39">
        <f t="shared" si="38"/>
        <v>20</v>
      </c>
      <c r="U51" s="47">
        <f>(O51/'CI Retrofit {E}'!$A$10)*T51</f>
        <v>3.2172532052457758</v>
      </c>
      <c r="V51" s="48">
        <f t="shared" si="39"/>
        <v>1285402.9300000002</v>
      </c>
      <c r="W51" s="49">
        <f>(O51/'CI Retrofit {E}'!A$10)</f>
        <v>0.16086266026228879</v>
      </c>
      <c r="X51" s="44">
        <f>W51*'CI Retrofit {E}'!A$8</f>
        <v>366522.61314330279</v>
      </c>
      <c r="Y51" s="44">
        <f t="shared" si="40"/>
        <v>1285402.9300000002</v>
      </c>
      <c r="Z51" s="44">
        <f>X51+('CI Retrofit {E}'!A$6*W51)</f>
        <v>1036605.8386967694</v>
      </c>
      <c r="AA51" s="50">
        <f t="shared" si="41"/>
        <v>2221186.423143303</v>
      </c>
      <c r="AB51" s="51">
        <f t="shared" si="42"/>
        <v>969062.20313804748</v>
      </c>
      <c r="AC51" s="44">
        <f t="shared" si="28"/>
        <v>2076457.3461188211</v>
      </c>
      <c r="AD51" s="44">
        <f t="shared" si="43"/>
        <v>0</v>
      </c>
      <c r="AE51" s="44">
        <f t="shared" si="44"/>
        <v>0</v>
      </c>
      <c r="AF51" s="52">
        <f>HLOOKUP(I51,ElecAvoidedCostsWOCC!$A$5:$Q$50,G51+1,FALSE)</f>
        <v>1.3192527795896587</v>
      </c>
      <c r="AG51" s="44">
        <f t="shared" si="45"/>
        <v>4084446.1831929712</v>
      </c>
      <c r="AH51" s="52">
        <f>HLOOKUP(I51,ElecAvoidedCostsWOCC!$A$5:$Q$50,T51+1,FALSE)</f>
        <v>1.3192527795896587</v>
      </c>
      <c r="AI51" s="44">
        <f t="shared" si="46"/>
        <v>0</v>
      </c>
      <c r="AJ51" s="44">
        <f t="shared" si="47"/>
        <v>4084446.1831929712</v>
      </c>
      <c r="AK51" s="44">
        <f>HLOOKUP(I51,ElecAvoidedCostsWOCC!$A$5:$Q$50,G51+1,FALSE)*J51*L51</f>
        <v>0</v>
      </c>
      <c r="AL51" s="44">
        <f t="shared" si="48"/>
        <v>4084446.1831929712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4084446.1831929712</v>
      </c>
      <c r="AN51" s="48">
        <f t="shared" si="49"/>
        <v>4492890.8015122684</v>
      </c>
      <c r="AO51" s="47">
        <f t="shared" si="50"/>
        <v>4.2148441761185094</v>
      </c>
      <c r="AP51" s="47">
        <f t="shared" si="51"/>
        <v>2.1637289154579014</v>
      </c>
      <c r="AQ51">
        <v>2020</v>
      </c>
    </row>
    <row r="52" spans="2:43">
      <c r="B52" s="97" t="s">
        <v>65</v>
      </c>
      <c r="C52" s="98">
        <v>18230724</v>
      </c>
      <c r="D52" s="61" t="s">
        <v>138</v>
      </c>
      <c r="E52" s="38" t="s">
        <v>1028</v>
      </c>
      <c r="F52" s="39" t="s">
        <v>1029</v>
      </c>
      <c r="G52" s="39">
        <v>20</v>
      </c>
      <c r="H52" s="39"/>
      <c r="I52" s="40" t="s">
        <v>257</v>
      </c>
      <c r="J52" s="41">
        <v>1</v>
      </c>
      <c r="K52" s="41">
        <v>1437402</v>
      </c>
      <c r="L52" s="41"/>
      <c r="M52" s="42">
        <v>226773.23</v>
      </c>
      <c r="N52" s="42">
        <v>1866232.33</v>
      </c>
      <c r="O52" s="43">
        <v>1437402</v>
      </c>
      <c r="P52" s="44">
        <v>226773.23</v>
      </c>
      <c r="Q52" s="44">
        <v>1866232.33</v>
      </c>
      <c r="R52" s="45"/>
      <c r="S52" s="46"/>
      <c r="T52" s="39">
        <f t="shared" si="38"/>
        <v>20</v>
      </c>
      <c r="U52" s="47">
        <f>(O52/'CI Retrofit {E}'!$A$10)*T52</f>
        <v>1.4936826166822315</v>
      </c>
      <c r="V52" s="48">
        <f t="shared" si="39"/>
        <v>1639459.1</v>
      </c>
      <c r="W52" s="49">
        <f>(O52/'CI Retrofit {E}'!A$10)</f>
        <v>7.4684130834111573E-2</v>
      </c>
      <c r="X52" s="44">
        <f>W52*'CI Retrofit {E}'!A$8</f>
        <v>170166.41866435716</v>
      </c>
      <c r="Y52" s="44">
        <f t="shared" si="40"/>
        <v>1639459.1</v>
      </c>
      <c r="Z52" s="44">
        <f>X52+('CI Retrofit {E}'!A$6*W52)</f>
        <v>481267.7221326711</v>
      </c>
      <c r="AA52" s="50">
        <f t="shared" si="41"/>
        <v>2036398.7486643572</v>
      </c>
      <c r="AB52" s="51">
        <f t="shared" si="42"/>
        <v>449909.06060827436</v>
      </c>
      <c r="AC52" s="44">
        <f t="shared" si="28"/>
        <v>1903710.1511305573</v>
      </c>
      <c r="AD52" s="44">
        <f t="shared" si="43"/>
        <v>0</v>
      </c>
      <c r="AE52" s="44">
        <f t="shared" si="44"/>
        <v>0</v>
      </c>
      <c r="AF52" s="52">
        <f>HLOOKUP(I52,ElecAvoidedCostsWOCC!$A$5:$Q$50,G52+1,FALSE)</f>
        <v>1.3192527795896587</v>
      </c>
      <c r="AG52" s="44">
        <f t="shared" si="45"/>
        <v>1896296.5838877347</v>
      </c>
      <c r="AH52" s="52">
        <f>HLOOKUP(I52,ElecAvoidedCostsWOCC!$A$5:$Q$50,T52+1,FALSE)</f>
        <v>1.3192527795896587</v>
      </c>
      <c r="AI52" s="44">
        <f t="shared" si="46"/>
        <v>0</v>
      </c>
      <c r="AJ52" s="44">
        <f t="shared" si="47"/>
        <v>1896296.5838877347</v>
      </c>
      <c r="AK52" s="44">
        <f>HLOOKUP(I52,ElecAvoidedCostsWOCC!$A$5:$Q$50,G52+1,FALSE)*J52*L52</f>
        <v>0</v>
      </c>
      <c r="AL52" s="44">
        <f t="shared" si="48"/>
        <v>1896296.5838877347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1896296.5838877347</v>
      </c>
      <c r="AN52" s="48">
        <f t="shared" si="49"/>
        <v>2085926.2422765084</v>
      </c>
      <c r="AO52" s="47">
        <f t="shared" si="50"/>
        <v>4.2148441761185094</v>
      </c>
      <c r="AP52" s="47">
        <f t="shared" si="51"/>
        <v>1.095716299583599</v>
      </c>
      <c r="AQ52">
        <v>2020</v>
      </c>
    </row>
    <row r="53" spans="2:43">
      <c r="B53" s="97" t="s">
        <v>65</v>
      </c>
      <c r="C53" s="98">
        <v>18230724</v>
      </c>
      <c r="D53" s="61" t="s">
        <v>138</v>
      </c>
      <c r="E53" s="38" t="s">
        <v>1032</v>
      </c>
      <c r="F53" s="39" t="s">
        <v>1033</v>
      </c>
      <c r="G53" s="39">
        <v>20</v>
      </c>
      <c r="H53" s="39"/>
      <c r="I53" s="40" t="s">
        <v>257</v>
      </c>
      <c r="J53" s="41">
        <v>1</v>
      </c>
      <c r="K53" s="41">
        <v>24298</v>
      </c>
      <c r="L53" s="41"/>
      <c r="M53" s="42">
        <v>1438</v>
      </c>
      <c r="N53" s="42">
        <v>35980</v>
      </c>
      <c r="O53" s="43">
        <v>24298</v>
      </c>
      <c r="P53" s="44">
        <v>1438</v>
      </c>
      <c r="Q53" s="44">
        <v>35980</v>
      </c>
      <c r="R53" s="45"/>
      <c r="S53" s="46"/>
      <c r="T53" s="39">
        <f t="shared" si="38"/>
        <v>20</v>
      </c>
      <c r="U53" s="47">
        <f>(O53/'CI Retrofit {E}'!$A$10)*T53</f>
        <v>2.5249373675662663E-2</v>
      </c>
      <c r="V53" s="48">
        <f t="shared" si="39"/>
        <v>34542</v>
      </c>
      <c r="W53" s="49">
        <f>(O53/'CI Retrofit {E}'!A$10)</f>
        <v>1.2624686837831331E-3</v>
      </c>
      <c r="X53" s="44">
        <f>W53*'CI Retrofit {E}'!A$8</f>
        <v>2876.5116792007739</v>
      </c>
      <c r="Y53" s="44">
        <f t="shared" si="40"/>
        <v>34542</v>
      </c>
      <c r="Z53" s="44">
        <f>X53+('CI Retrofit {E}'!A$6*W53)</f>
        <v>8135.4020047138129</v>
      </c>
      <c r="AA53" s="50">
        <f t="shared" si="41"/>
        <v>38856.511679200776</v>
      </c>
      <c r="AB53" s="51">
        <f t="shared" si="42"/>
        <v>7605.3117740617108</v>
      </c>
      <c r="AC53" s="44">
        <f t="shared" si="28"/>
        <v>36324.681386557699</v>
      </c>
      <c r="AD53" s="44">
        <f t="shared" si="43"/>
        <v>0</v>
      </c>
      <c r="AE53" s="44">
        <f t="shared" si="44"/>
        <v>0</v>
      </c>
      <c r="AF53" s="52">
        <f>HLOOKUP(I53,ElecAvoidedCostsWOCC!$A$5:$Q$50,G53+1,FALSE)</f>
        <v>1.3192527795896587</v>
      </c>
      <c r="AG53" s="44">
        <f t="shared" si="45"/>
        <v>32055.204038469528</v>
      </c>
      <c r="AH53" s="52">
        <f>HLOOKUP(I53,ElecAvoidedCostsWOCC!$A$5:$Q$50,T53+1,FALSE)</f>
        <v>1.3192527795896587</v>
      </c>
      <c r="AI53" s="44">
        <f t="shared" si="46"/>
        <v>0</v>
      </c>
      <c r="AJ53" s="44">
        <f t="shared" si="47"/>
        <v>32055.204038469528</v>
      </c>
      <c r="AK53" s="44">
        <f>HLOOKUP(I53,ElecAvoidedCostsWOCC!$A$5:$Q$50,G53+1,FALSE)*J53*L53</f>
        <v>0</v>
      </c>
      <c r="AL53" s="44">
        <f t="shared" si="48"/>
        <v>32055.204038469528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32055.204038469528</v>
      </c>
      <c r="AN53" s="48">
        <f t="shared" si="49"/>
        <v>35260.724442316481</v>
      </c>
      <c r="AO53" s="47">
        <f t="shared" si="50"/>
        <v>4.2148441761185094</v>
      </c>
      <c r="AP53" s="47">
        <f t="shared" si="51"/>
        <v>0.9707098065659856</v>
      </c>
      <c r="AQ53">
        <v>2020</v>
      </c>
    </row>
    <row r="54" spans="2:43">
      <c r="B54" s="97" t="s">
        <v>65</v>
      </c>
      <c r="C54" s="98">
        <v>18230724</v>
      </c>
      <c r="D54" s="61" t="s">
        <v>138</v>
      </c>
      <c r="E54" s="38" t="s">
        <v>1032</v>
      </c>
      <c r="F54" s="39" t="s">
        <v>1033</v>
      </c>
      <c r="G54" s="39">
        <v>20</v>
      </c>
      <c r="H54" s="39"/>
      <c r="I54" s="40" t="s">
        <v>257</v>
      </c>
      <c r="J54" s="41">
        <v>1</v>
      </c>
      <c r="K54" s="41">
        <v>938147</v>
      </c>
      <c r="L54" s="41"/>
      <c r="M54" s="42">
        <v>292842</v>
      </c>
      <c r="N54" s="42">
        <v>577049.57999999996</v>
      </c>
      <c r="O54" s="43">
        <v>938147</v>
      </c>
      <c r="P54" s="44">
        <v>292842</v>
      </c>
      <c r="Q54" s="44">
        <v>577049.57999999996</v>
      </c>
      <c r="R54" s="45"/>
      <c r="S54" s="46"/>
      <c r="T54" s="39">
        <f t="shared" si="38"/>
        <v>20</v>
      </c>
      <c r="U54" s="47">
        <f>(O54/'CI Retrofit {E}'!$A$10)*T54</f>
        <v>0.97487958538570663</v>
      </c>
      <c r="V54" s="48">
        <f t="shared" si="39"/>
        <v>284207.57999999996</v>
      </c>
      <c r="W54" s="49">
        <f>(O54/'CI Retrofit {E}'!A$10)</f>
        <v>4.874397926928533E-2</v>
      </c>
      <c r="X54" s="44">
        <f>W54*'CI Retrofit {E}'!A$8</f>
        <v>111062.26036328786</v>
      </c>
      <c r="Y54" s="44">
        <f t="shared" si="40"/>
        <v>284207.57999999996</v>
      </c>
      <c r="Z54" s="44">
        <f>X54+('CI Retrofit {E}'!A$6*W54)</f>
        <v>314108.27987967111</v>
      </c>
      <c r="AA54" s="50">
        <f t="shared" si="41"/>
        <v>688111.84036328783</v>
      </c>
      <c r="AB54" s="51">
        <f t="shared" si="42"/>
        <v>293641.46945841925</v>
      </c>
      <c r="AC54" s="44">
        <f t="shared" si="28"/>
        <v>643275.53553640062</v>
      </c>
      <c r="AD54" s="44">
        <f t="shared" si="43"/>
        <v>0</v>
      </c>
      <c r="AE54" s="44">
        <f t="shared" si="44"/>
        <v>0</v>
      </c>
      <c r="AF54" s="52">
        <f>HLOOKUP(I54,ElecAvoidedCostsWOCC!$A$5:$Q$50,G54+1,FALSE)</f>
        <v>1.3192527795896587</v>
      </c>
      <c r="AG54" s="44">
        <f t="shared" si="45"/>
        <v>1237653.0374136996</v>
      </c>
      <c r="AH54" s="52">
        <f>HLOOKUP(I54,ElecAvoidedCostsWOCC!$A$5:$Q$50,T54+1,FALSE)</f>
        <v>1.3192527795896587</v>
      </c>
      <c r="AI54" s="44">
        <f t="shared" si="46"/>
        <v>0</v>
      </c>
      <c r="AJ54" s="44">
        <f t="shared" si="47"/>
        <v>1237653.0374136996</v>
      </c>
      <c r="AK54" s="44">
        <f>HLOOKUP(I54,ElecAvoidedCostsWOCC!$A$5:$Q$50,G54+1,FALSE)*J54*L54</f>
        <v>0</v>
      </c>
      <c r="AL54" s="44">
        <f t="shared" si="48"/>
        <v>1237653.0374136996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1237653.0374136996</v>
      </c>
      <c r="AN54" s="48">
        <f t="shared" si="49"/>
        <v>1361418.3411550696</v>
      </c>
      <c r="AO54" s="47">
        <f t="shared" si="50"/>
        <v>4.2148441761185094</v>
      </c>
      <c r="AP54" s="47">
        <f t="shared" si="51"/>
        <v>2.1163844510577254</v>
      </c>
      <c r="AQ54">
        <v>2020</v>
      </c>
    </row>
    <row r="55" spans="2:43">
      <c r="B55" s="97" t="s">
        <v>65</v>
      </c>
      <c r="C55" s="98">
        <v>18230724</v>
      </c>
      <c r="D55" s="61" t="s">
        <v>138</v>
      </c>
      <c r="E55" s="38" t="s">
        <v>1032</v>
      </c>
      <c r="F55" s="39" t="s">
        <v>1033</v>
      </c>
      <c r="G55" s="39">
        <v>20</v>
      </c>
      <c r="H55" s="39"/>
      <c r="I55" s="40" t="s">
        <v>257</v>
      </c>
      <c r="J55" s="41">
        <v>1</v>
      </c>
      <c r="K55" s="41">
        <v>177763</v>
      </c>
      <c r="L55" s="41"/>
      <c r="M55" s="42">
        <v>62891</v>
      </c>
      <c r="N55" s="42">
        <v>106577</v>
      </c>
      <c r="O55" s="43">
        <v>177763</v>
      </c>
      <c r="P55" s="44">
        <v>62891</v>
      </c>
      <c r="Q55" s="44">
        <v>106577</v>
      </c>
      <c r="R55" s="45"/>
      <c r="S55" s="46"/>
      <c r="T55" s="39">
        <f t="shared" si="38"/>
        <v>20</v>
      </c>
      <c r="U55" s="47">
        <f>(O55/'CI Retrofit {E}'!$A$10)*T55</f>
        <v>0.18472320407880574</v>
      </c>
      <c r="V55" s="48">
        <f t="shared" si="39"/>
        <v>43686</v>
      </c>
      <c r="W55" s="49">
        <f>(O55/'CI Retrofit {E}'!A$10)</f>
        <v>9.2361602039402867E-3</v>
      </c>
      <c r="X55" s="44">
        <f>W55*'CI Retrofit {E}'!A$8</f>
        <v>21044.421171691793</v>
      </c>
      <c r="Y55" s="44">
        <f t="shared" si="40"/>
        <v>43686</v>
      </c>
      <c r="Z55" s="44">
        <f>X55+('CI Retrofit {E}'!A$6*W55)</f>
        <v>59518.209999339102</v>
      </c>
      <c r="AA55" s="50">
        <f t="shared" si="41"/>
        <v>127621.42117169179</v>
      </c>
      <c r="AB55" s="51">
        <f t="shared" si="42"/>
        <v>55640.095353219687</v>
      </c>
      <c r="AC55" s="44">
        <f t="shared" si="28"/>
        <v>119305.80646133662</v>
      </c>
      <c r="AD55" s="44">
        <f t="shared" si="43"/>
        <v>0</v>
      </c>
      <c r="AE55" s="44">
        <f t="shared" si="44"/>
        <v>0</v>
      </c>
      <c r="AF55" s="52">
        <f>HLOOKUP(I55,ElecAvoidedCostsWOCC!$A$5:$Q$50,G55+1,FALSE)</f>
        <v>1.3192527795896587</v>
      </c>
      <c r="AG55" s="44">
        <f t="shared" si="45"/>
        <v>234514.3318581965</v>
      </c>
      <c r="AH55" s="52">
        <f>HLOOKUP(I55,ElecAvoidedCostsWOCC!$A$5:$Q$50,T55+1,FALSE)</f>
        <v>1.3192527795896587</v>
      </c>
      <c r="AI55" s="44">
        <f t="shared" si="46"/>
        <v>0</v>
      </c>
      <c r="AJ55" s="44">
        <f t="shared" si="47"/>
        <v>234514.3318581965</v>
      </c>
      <c r="AK55" s="44">
        <f>HLOOKUP(I55,ElecAvoidedCostsWOCC!$A$5:$Q$50,G55+1,FALSE)*J55*L55</f>
        <v>0</v>
      </c>
      <c r="AL55" s="44">
        <f t="shared" si="48"/>
        <v>234514.3318581965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234514.3318581965</v>
      </c>
      <c r="AN55" s="48">
        <f t="shared" si="49"/>
        <v>257965.76504401618</v>
      </c>
      <c r="AO55" s="47">
        <f t="shared" si="50"/>
        <v>4.2148441761185085</v>
      </c>
      <c r="AP55" s="47">
        <f t="shared" si="51"/>
        <v>2.1622230526358752</v>
      </c>
      <c r="AQ55">
        <v>2020</v>
      </c>
    </row>
    <row r="56" spans="2:43">
      <c r="B56" s="97" t="s">
        <v>65</v>
      </c>
      <c r="C56" s="98">
        <v>18230724</v>
      </c>
      <c r="D56" s="61" t="s">
        <v>138</v>
      </c>
      <c r="E56" s="38" t="s">
        <v>1034</v>
      </c>
      <c r="F56" s="39" t="s">
        <v>1035</v>
      </c>
      <c r="G56" s="39">
        <v>10</v>
      </c>
      <c r="H56" s="39"/>
      <c r="I56" s="40" t="s">
        <v>257</v>
      </c>
      <c r="J56" s="41">
        <v>1</v>
      </c>
      <c r="K56" s="41">
        <v>388122</v>
      </c>
      <c r="L56" s="41"/>
      <c r="M56" s="42">
        <v>135525</v>
      </c>
      <c r="N56" s="42">
        <v>135525</v>
      </c>
      <c r="O56" s="43">
        <v>388122</v>
      </c>
      <c r="P56" s="44">
        <v>135525</v>
      </c>
      <c r="Q56" s="44">
        <v>135525</v>
      </c>
      <c r="R56" s="45"/>
      <c r="S56" s="46"/>
      <c r="T56" s="39">
        <f t="shared" si="38"/>
        <v>10</v>
      </c>
      <c r="U56" s="47">
        <f>(O56/'CI Retrofit {E}'!$A$10)*T56</f>
        <v>0.20165934253324438</v>
      </c>
      <c r="V56" s="48">
        <f t="shared" si="39"/>
        <v>0</v>
      </c>
      <c r="W56" s="49">
        <f>(O56/'CI Retrofit {E}'!A$10)</f>
        <v>2.0165934253324438E-2</v>
      </c>
      <c r="X56" s="44">
        <f>W56*'CI Retrofit {E}'!A$8</f>
        <v>45947.710344668812</v>
      </c>
      <c r="Y56" s="44">
        <f t="shared" si="40"/>
        <v>0</v>
      </c>
      <c r="Z56" s="44">
        <f>X56+('CI Retrofit {E}'!A$6*W56)</f>
        <v>129950.13980054056</v>
      </c>
      <c r="AA56" s="50">
        <f t="shared" si="41"/>
        <v>181472.71034466883</v>
      </c>
      <c r="AB56" s="51">
        <f t="shared" si="42"/>
        <v>121482.78938070539</v>
      </c>
      <c r="AC56" s="44">
        <f t="shared" si="28"/>
        <v>169648.22879748416</v>
      </c>
      <c r="AD56" s="44">
        <f t="shared" si="43"/>
        <v>0</v>
      </c>
      <c r="AE56" s="44">
        <f t="shared" si="44"/>
        <v>0</v>
      </c>
      <c r="AF56" s="52">
        <f>HLOOKUP(I56,ElecAvoidedCostsWOCC!$A$5:$Q$50,G56+1,FALSE)</f>
        <v>0.7278724357900942</v>
      </c>
      <c r="AG56" s="44">
        <f t="shared" si="45"/>
        <v>282503.30552372296</v>
      </c>
      <c r="AH56" s="52">
        <f>HLOOKUP(I56,ElecAvoidedCostsWOCC!$A$5:$Q$50,T56+1,FALSE)</f>
        <v>0.7278724357900942</v>
      </c>
      <c r="AI56" s="44">
        <f t="shared" si="46"/>
        <v>0</v>
      </c>
      <c r="AJ56" s="44">
        <f t="shared" si="47"/>
        <v>282503.30552372296</v>
      </c>
      <c r="AK56" s="44">
        <f>HLOOKUP(I56,ElecAvoidedCostsWOCC!$A$5:$Q$50,G56+1,FALSE)*J56*L56</f>
        <v>0</v>
      </c>
      <c r="AL56" s="44">
        <f t="shared" si="48"/>
        <v>282503.30552372296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282503.30552372296</v>
      </c>
      <c r="AN56" s="48">
        <f t="shared" si="49"/>
        <v>310753.63607609528</v>
      </c>
      <c r="AO56" s="47">
        <f t="shared" si="50"/>
        <v>2.3254594907136021</v>
      </c>
      <c r="AP56" s="47">
        <f t="shared" si="51"/>
        <v>1.8317529058735664</v>
      </c>
      <c r="AQ56">
        <v>2020</v>
      </c>
    </row>
    <row r="57" spans="2:43">
      <c r="B57" s="97" t="s">
        <v>65</v>
      </c>
      <c r="C57" s="98">
        <v>18230724</v>
      </c>
      <c r="D57" s="61" t="s">
        <v>138</v>
      </c>
      <c r="E57" s="38" t="s">
        <v>1119</v>
      </c>
      <c r="F57" s="39" t="s">
        <v>1120</v>
      </c>
      <c r="G57" s="39">
        <v>15</v>
      </c>
      <c r="H57" s="39"/>
      <c r="I57" s="40" t="s">
        <v>257</v>
      </c>
      <c r="J57" s="41">
        <v>4</v>
      </c>
      <c r="K57" s="41">
        <v>857</v>
      </c>
      <c r="L57" s="41"/>
      <c r="M57" s="42">
        <v>175</v>
      </c>
      <c r="N57" s="42">
        <v>516</v>
      </c>
      <c r="O57" s="43">
        <v>3428</v>
      </c>
      <c r="P57" s="44">
        <v>700</v>
      </c>
      <c r="Q57" s="44">
        <v>2064</v>
      </c>
      <c r="R57" s="45">
        <v>0</v>
      </c>
      <c r="S57" s="46">
        <v>0</v>
      </c>
      <c r="T57" s="39">
        <f t="shared" si="38"/>
        <v>15</v>
      </c>
      <c r="U57" s="47">
        <f>(O57/'CI Retrofit {E}'!$A$10)*T57</f>
        <v>2.6716659692208704E-3</v>
      </c>
      <c r="V57" s="48">
        <f t="shared" si="39"/>
        <v>341</v>
      </c>
      <c r="W57" s="49">
        <f>(O57/'CI Retrofit {E}'!A$10)</f>
        <v>1.7811106461472468E-4</v>
      </c>
      <c r="X57" s="44">
        <f>W57*'CI Retrofit {E}'!A$8</f>
        <v>405.82278526217192</v>
      </c>
      <c r="Y57" s="44">
        <f t="shared" si="40"/>
        <v>1364</v>
      </c>
      <c r="Z57" s="44">
        <f>X57+('CI Retrofit {E}'!A$6*W57)</f>
        <v>1147.7552914708599</v>
      </c>
      <c r="AA57" s="50">
        <f t="shared" si="41"/>
        <v>2469.8227852621721</v>
      </c>
      <c r="AB57" s="51">
        <f t="shared" si="42"/>
        <v>1072.9693292239504</v>
      </c>
      <c r="AC57" s="44">
        <f t="shared" si="28"/>
        <v>2308.892946865637</v>
      </c>
      <c r="AD57" s="44">
        <f t="shared" si="43"/>
        <v>0</v>
      </c>
      <c r="AE57" s="44">
        <f t="shared" si="44"/>
        <v>0</v>
      </c>
      <c r="AF57" s="52">
        <f>HLOOKUP(I57,ElecAvoidedCostsWOCC!$A$5:$Q$50,G57+1,FALSE)</f>
        <v>1.0545904948077327</v>
      </c>
      <c r="AG57" s="44">
        <f t="shared" si="45"/>
        <v>3615.1362162009077</v>
      </c>
      <c r="AH57" s="52">
        <f>HLOOKUP(I57,ElecAvoidedCostsWOCC!$A$5:$Q$50,T57+1,FALSE)</f>
        <v>1.0545904948077327</v>
      </c>
      <c r="AI57" s="44">
        <f t="shared" si="46"/>
        <v>0</v>
      </c>
      <c r="AJ57" s="44">
        <f t="shared" si="47"/>
        <v>3615.1362162009077</v>
      </c>
      <c r="AK57" s="44">
        <f>HLOOKUP(I57,ElecAvoidedCostsWOCC!$A$5:$Q$50,G57+1,FALSE)*J57*L57</f>
        <v>0</v>
      </c>
      <c r="AL57" s="44">
        <f t="shared" si="48"/>
        <v>3615.1362162009077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3615.1362162009077</v>
      </c>
      <c r="AN57" s="48">
        <f t="shared" si="49"/>
        <v>3976.649837820999</v>
      </c>
      <c r="AO57" s="47">
        <f t="shared" si="50"/>
        <v>3.3692819708235628</v>
      </c>
      <c r="AP57" s="47">
        <f t="shared" si="51"/>
        <v>1.7223188468826029</v>
      </c>
      <c r="AQ57">
        <v>2020</v>
      </c>
    </row>
    <row r="58" spans="2:43">
      <c r="B58" s="97" t="s">
        <v>65</v>
      </c>
      <c r="C58" s="98">
        <v>18230724</v>
      </c>
      <c r="D58" s="61" t="s">
        <v>138</v>
      </c>
      <c r="E58" s="38" t="s">
        <v>1123</v>
      </c>
      <c r="F58" s="39" t="s">
        <v>1124</v>
      </c>
      <c r="G58" s="39">
        <v>15</v>
      </c>
      <c r="H58" s="39"/>
      <c r="I58" s="40" t="s">
        <v>257</v>
      </c>
      <c r="J58" s="41">
        <v>17</v>
      </c>
      <c r="K58" s="41">
        <v>1230</v>
      </c>
      <c r="L58" s="41"/>
      <c r="M58" s="42">
        <v>250</v>
      </c>
      <c r="N58" s="42">
        <v>677</v>
      </c>
      <c r="O58" s="43">
        <v>20910</v>
      </c>
      <c r="P58" s="44">
        <v>4250</v>
      </c>
      <c r="Q58" s="44">
        <v>11509</v>
      </c>
      <c r="R58" s="45">
        <v>0</v>
      </c>
      <c r="S58" s="46">
        <v>0</v>
      </c>
      <c r="T58" s="39">
        <f t="shared" si="38"/>
        <v>15</v>
      </c>
      <c r="U58" s="47">
        <f>(O58/'CI Retrofit {E}'!$A$10)*T58</f>
        <v>1.6296538919605714E-2</v>
      </c>
      <c r="V58" s="48">
        <f t="shared" si="39"/>
        <v>427</v>
      </c>
      <c r="W58" s="49">
        <f>(O58/'CI Retrofit {E}'!A$10)</f>
        <v>1.0864359279737143E-3</v>
      </c>
      <c r="X58" s="44">
        <f>W58*'CI Retrofit {E}'!A$8</f>
        <v>2475.4242823313925</v>
      </c>
      <c r="Y58" s="44">
        <f t="shared" si="40"/>
        <v>7259</v>
      </c>
      <c r="Z58" s="44">
        <f>X58+('CI Retrofit {E}'!A$6*W58)</f>
        <v>7001.0394237618657</v>
      </c>
      <c r="AA58" s="50">
        <f t="shared" si="41"/>
        <v>13984.424282331393</v>
      </c>
      <c r="AB58" s="51">
        <f t="shared" si="42"/>
        <v>6544.8625070224034</v>
      </c>
      <c r="AC58" s="44">
        <f t="shared" si="28"/>
        <v>13073.220793055429</v>
      </c>
      <c r="AD58" s="44">
        <f t="shared" si="43"/>
        <v>0</v>
      </c>
      <c r="AE58" s="44">
        <f t="shared" si="44"/>
        <v>0</v>
      </c>
      <c r="AF58" s="52">
        <f>HLOOKUP(I58,ElecAvoidedCostsWOCC!$A$5:$Q$50,G58+1,FALSE)</f>
        <v>1.0545904948077327</v>
      </c>
      <c r="AG58" s="44">
        <f t="shared" si="45"/>
        <v>22051.487246429693</v>
      </c>
      <c r="AH58" s="52">
        <f>HLOOKUP(I58,ElecAvoidedCostsWOCC!$A$5:$Q$50,T58+1,FALSE)</f>
        <v>1.0545904948077327</v>
      </c>
      <c r="AI58" s="44">
        <f t="shared" si="46"/>
        <v>0</v>
      </c>
      <c r="AJ58" s="44">
        <f t="shared" si="47"/>
        <v>22051.487246429693</v>
      </c>
      <c r="AK58" s="44">
        <f>HLOOKUP(I58,ElecAvoidedCostsWOCC!$A$5:$Q$50,G58+1,FALSE)*J58*L58</f>
        <v>0</v>
      </c>
      <c r="AL58" s="44">
        <f t="shared" si="48"/>
        <v>22051.487246429693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22051.487246429693</v>
      </c>
      <c r="AN58" s="48">
        <f t="shared" si="49"/>
        <v>24256.635971072665</v>
      </c>
      <c r="AO58" s="47">
        <f t="shared" si="50"/>
        <v>3.3692819708235637</v>
      </c>
      <c r="AP58" s="47">
        <f t="shared" si="51"/>
        <v>1.8554445270256532</v>
      </c>
      <c r="AQ58">
        <v>2020</v>
      </c>
    </row>
    <row r="59" spans="2:43">
      <c r="B59" s="97" t="s">
        <v>65</v>
      </c>
      <c r="C59" s="98">
        <v>18230724</v>
      </c>
      <c r="D59" s="61" t="s">
        <v>138</v>
      </c>
      <c r="E59" s="38" t="s">
        <v>1125</v>
      </c>
      <c r="F59" s="39" t="s">
        <v>1126</v>
      </c>
      <c r="G59" s="39">
        <v>15</v>
      </c>
      <c r="H59" s="39"/>
      <c r="I59" s="40" t="s">
        <v>257</v>
      </c>
      <c r="J59" s="41">
        <v>15</v>
      </c>
      <c r="K59" s="41">
        <v>3204</v>
      </c>
      <c r="L59" s="41"/>
      <c r="M59" s="42">
        <v>645</v>
      </c>
      <c r="N59" s="42">
        <v>1203</v>
      </c>
      <c r="O59" s="43">
        <v>48060</v>
      </c>
      <c r="P59" s="44">
        <v>9675</v>
      </c>
      <c r="Q59" s="44">
        <v>18045</v>
      </c>
      <c r="R59" s="45">
        <v>0</v>
      </c>
      <c r="S59" s="46">
        <v>0</v>
      </c>
      <c r="T59" s="39">
        <f t="shared" si="38"/>
        <v>15</v>
      </c>
      <c r="U59" s="47">
        <f>(O59/'CI Retrofit {E}'!$A$10)*T59</f>
        <v>3.745632044362749E-2</v>
      </c>
      <c r="V59" s="48">
        <f t="shared" si="39"/>
        <v>558</v>
      </c>
      <c r="W59" s="49">
        <f>(O59/'CI Retrofit {E}'!A$10)</f>
        <v>2.4970880295751658E-3</v>
      </c>
      <c r="X59" s="44">
        <f>W59*'CI Retrofit {E}'!A$8</f>
        <v>5689.5691539381514</v>
      </c>
      <c r="Y59" s="44">
        <f t="shared" si="40"/>
        <v>8370</v>
      </c>
      <c r="Z59" s="44">
        <f>X59+('CI Retrofit {E}'!A$6*W59)</f>
        <v>16091.341688474189</v>
      </c>
      <c r="AA59" s="50">
        <f t="shared" si="41"/>
        <v>23734.569153938151</v>
      </c>
      <c r="AB59" s="51">
        <f t="shared" si="42"/>
        <v>15042.854714849198</v>
      </c>
      <c r="AC59" s="44">
        <f t="shared" si="28"/>
        <v>22188.061282544779</v>
      </c>
      <c r="AD59" s="44">
        <f t="shared" si="43"/>
        <v>0</v>
      </c>
      <c r="AE59" s="44">
        <f t="shared" si="44"/>
        <v>0</v>
      </c>
      <c r="AF59" s="52">
        <f>HLOOKUP(I59,ElecAvoidedCostsWOCC!$A$5:$Q$50,G59+1,FALSE)</f>
        <v>1.0545904948077327</v>
      </c>
      <c r="AG59" s="44">
        <f t="shared" si="45"/>
        <v>50683.619180459631</v>
      </c>
      <c r="AH59" s="52">
        <f>HLOOKUP(I59,ElecAvoidedCostsWOCC!$A$5:$Q$50,T59+1,FALSE)</f>
        <v>1.0545904948077327</v>
      </c>
      <c r="AI59" s="44">
        <f t="shared" si="46"/>
        <v>0</v>
      </c>
      <c r="AJ59" s="44">
        <f t="shared" si="47"/>
        <v>50683.619180459631</v>
      </c>
      <c r="AK59" s="44">
        <f>HLOOKUP(I59,ElecAvoidedCostsWOCC!$A$5:$Q$50,G59+1,FALSE)*J59*L59</f>
        <v>0</v>
      </c>
      <c r="AL59" s="44">
        <f t="shared" si="48"/>
        <v>50683.619180459631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50683.619180459631</v>
      </c>
      <c r="AN59" s="48">
        <f t="shared" si="49"/>
        <v>55751.981098505596</v>
      </c>
      <c r="AO59" s="47">
        <f t="shared" si="50"/>
        <v>3.3692819708235628</v>
      </c>
      <c r="AP59" s="47">
        <f t="shared" si="51"/>
        <v>2.512701780861105</v>
      </c>
      <c r="AQ59">
        <v>2020</v>
      </c>
    </row>
    <row r="60" spans="2:43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3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3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3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3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36 J60:L67">
    <cfRule type="expression" dxfId="244" priority="9">
      <formula>ISTEXT(J5)</formula>
    </cfRule>
    <cfRule type="notContainsBlanks" dxfId="243" priority="10">
      <formula>LEN(TRIM(J5))&gt;0</formula>
    </cfRule>
  </conditionalFormatting>
  <conditionalFormatting sqref="M5:N36 R5:S36 R60:S67 M60:N67">
    <cfRule type="expression" dxfId="242" priority="7">
      <formula>ISTEXT(M5)</formula>
    </cfRule>
  </conditionalFormatting>
  <conditionalFormatting sqref="M5:N36 R5:S36 R60:S67 M60:N67">
    <cfRule type="notContainsBlanks" dxfId="241" priority="8">
      <formula>LEN(TRIM(M5))&gt;0</formula>
    </cfRule>
  </conditionalFormatting>
  <conditionalFormatting sqref="R5:S36 R60:S67">
    <cfRule type="expression" dxfId="240" priority="6">
      <formula>"istext($AB17)"</formula>
    </cfRule>
  </conditionalFormatting>
  <conditionalFormatting sqref="R37:S59">
    <cfRule type="expression" dxfId="239" priority="1">
      <formula>"istext($AB17)"</formula>
    </cfRule>
  </conditionalFormatting>
  <conditionalFormatting sqref="J37:L59">
    <cfRule type="expression" dxfId="238" priority="4">
      <formula>ISTEXT(J37)</formula>
    </cfRule>
    <cfRule type="notContainsBlanks" dxfId="237" priority="5">
      <formula>LEN(TRIM(J37))&gt;0</formula>
    </cfRule>
  </conditionalFormatting>
  <conditionalFormatting sqref="M37:N59 R37:S59">
    <cfRule type="expression" dxfId="236" priority="2">
      <formula>ISTEXT(M37)</formula>
    </cfRule>
  </conditionalFormatting>
  <conditionalFormatting sqref="M37:N59 R37:S59">
    <cfRule type="notContainsBlanks" dxfId="235" priority="3">
      <formula>LEN(TRIM(M37))&gt;0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45"/>
  <sheetViews>
    <sheetView zoomScale="85" zoomScaleNormal="85" workbookViewId="0">
      <selection activeCell="D13" sqref="D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18231137</v>
      </c>
      <c r="D2" s="20" t="s">
        <v>99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65</v>
      </c>
      <c r="C5" s="100">
        <v>18231137</v>
      </c>
      <c r="D5" s="100" t="s">
        <v>99</v>
      </c>
      <c r="E5" s="38" t="s">
        <v>1000</v>
      </c>
      <c r="F5" s="39" t="s">
        <v>1001</v>
      </c>
      <c r="G5" s="39">
        <v>15</v>
      </c>
      <c r="H5" s="39"/>
      <c r="I5" s="40" t="s">
        <v>256</v>
      </c>
      <c r="J5" s="41">
        <v>1</v>
      </c>
      <c r="K5" s="41">
        <v>26163</v>
      </c>
      <c r="L5" s="41"/>
      <c r="M5" s="42">
        <v>5623</v>
      </c>
      <c r="N5" s="42">
        <v>49733</v>
      </c>
      <c r="O5" s="43">
        <v>26163</v>
      </c>
      <c r="P5" s="44">
        <v>5623</v>
      </c>
      <c r="Q5" s="44">
        <v>49733</v>
      </c>
      <c r="R5" s="45"/>
      <c r="S5" s="46"/>
      <c r="T5" s="39">
        <f t="shared" ref="T5:T22" si="0">G5+H5</f>
        <v>15</v>
      </c>
      <c r="U5" s="47">
        <f t="shared" ref="U5:U22" si="1">(O5/$A$10)*T5</f>
        <v>0.13186548883473675</v>
      </c>
      <c r="V5" s="48">
        <f t="shared" ref="V5:V22" si="2">N5-M5</f>
        <v>44110</v>
      </c>
      <c r="W5" s="49">
        <f t="shared" ref="W5:W22" si="3">(O5/A$10)</f>
        <v>8.7910325889824503E-3</v>
      </c>
      <c r="X5" s="44">
        <f t="shared" ref="X5:X22" si="4">W5*A$8</f>
        <v>3780.5154343893382</v>
      </c>
      <c r="Y5" s="44">
        <f t="shared" ref="Y5:Y22" si="5">Q5-P5</f>
        <v>44110</v>
      </c>
      <c r="Z5" s="44">
        <f t="shared" ref="Z5:Z22" si="6">X5+(A$6*W5)</f>
        <v>10975.702910640564</v>
      </c>
      <c r="AA5" s="50">
        <f t="shared" ref="AA5:AA22" si="7">Q5+X5</f>
        <v>53513.515434389337</v>
      </c>
      <c r="AB5" s="51">
        <f t="shared" ref="AB5:AC18" si="8">Z5/(1+ElecDiscountRate)^1</f>
        <v>10260.543059400359</v>
      </c>
      <c r="AC5" s="44">
        <f t="shared" si="8"/>
        <v>50026.657412722569</v>
      </c>
      <c r="AD5" s="44">
        <f t="shared" ref="AD5:AD22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2" si="10">AF5*J5*K5</f>
        <v>26932.097598299169</v>
      </c>
      <c r="AH5" s="52">
        <f>HLOOKUP(I5,ElecAvoidedCostsWOCC!$A$5:$Q$50,T5+1,FALSE)</f>
        <v>1.0293963841416951</v>
      </c>
      <c r="AI5" s="44">
        <f t="shared" ref="AI5:AI22" si="11">AH5*J5*L5</f>
        <v>0</v>
      </c>
      <c r="AJ5" s="44">
        <f>AG5+AI5</f>
        <v>26932.097598299169</v>
      </c>
      <c r="AK5" s="44">
        <f>HLOOKUP(I5,ElecAvoidedCostsWOCC!$A$5:$Q$50,G5+1,FALSE)*J5*L5</f>
        <v>0</v>
      </c>
      <c r="AL5" s="44">
        <f>AG5+AI5-AK5</f>
        <v>26932.097598299169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26932.097598299169</v>
      </c>
      <c r="AN5" s="48">
        <f>AM5*1.1+AD5+AE5</f>
        <v>29625.307358129088</v>
      </c>
      <c r="AO5" s="47">
        <f>IFERROR(AM5/AB5,0)</f>
        <v>2.6248218483547907</v>
      </c>
      <c r="AP5" s="47">
        <f>AN5/AC5</f>
        <v>0.59219042187285742</v>
      </c>
      <c r="AQ5">
        <v>2021</v>
      </c>
    </row>
    <row r="6" spans="1:43" ht="13.5" customHeight="1">
      <c r="A6" s="53">
        <f>SUMIF('Program Costs'!D:D,C2,'Program Costs'!L:L)</f>
        <v>818468.98</v>
      </c>
      <c r="B6" s="97" t="s">
        <v>65</v>
      </c>
      <c r="C6" s="100">
        <v>18231137</v>
      </c>
      <c r="D6" s="100" t="s">
        <v>99</v>
      </c>
      <c r="E6" s="38" t="s">
        <v>1002</v>
      </c>
      <c r="F6" s="39" t="s">
        <v>1003</v>
      </c>
      <c r="G6" s="39">
        <v>15</v>
      </c>
      <c r="H6" s="39"/>
      <c r="I6" s="40" t="s">
        <v>256</v>
      </c>
      <c r="J6" s="41">
        <v>1</v>
      </c>
      <c r="K6" s="41">
        <v>62209.9</v>
      </c>
      <c r="L6" s="41"/>
      <c r="M6" s="42">
        <v>12380</v>
      </c>
      <c r="N6" s="42">
        <v>20055</v>
      </c>
      <c r="O6" s="43">
        <v>62209.9</v>
      </c>
      <c r="P6" s="44">
        <v>12380</v>
      </c>
      <c r="Q6" s="44">
        <v>20055</v>
      </c>
      <c r="R6" s="45"/>
      <c r="S6" s="46"/>
      <c r="T6" s="39">
        <f t="shared" si="0"/>
        <v>15</v>
      </c>
      <c r="U6" s="47">
        <f t="shared" si="1"/>
        <v>0.31354733302221038</v>
      </c>
      <c r="V6" s="48">
        <f t="shared" si="2"/>
        <v>7675</v>
      </c>
      <c r="W6" s="49">
        <f t="shared" si="3"/>
        <v>2.0903155534814026E-2</v>
      </c>
      <c r="X6" s="44">
        <f t="shared" si="4"/>
        <v>8989.2400382913765</v>
      </c>
      <c r="Y6" s="44">
        <f t="shared" si="5"/>
        <v>7675</v>
      </c>
      <c r="Z6" s="44">
        <f t="shared" si="6"/>
        <v>26097.824427651965</v>
      </c>
      <c r="AA6" s="50">
        <f t="shared" si="7"/>
        <v>29044.240038291377</v>
      </c>
      <c r="AB6" s="51">
        <f t="shared" si="8"/>
        <v>24397.330492336136</v>
      </c>
      <c r="AC6" s="44">
        <f t="shared" si="8"/>
        <v>27151.762212107482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64038.646117816439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2" si="12">AG6+AI6</f>
        <v>64038.646117816439</v>
      </c>
      <c r="AK6" s="44">
        <f>HLOOKUP(I6,ElecAvoidedCostsWOCC!$A$5:$Q$50,G6+1,FALSE)*J6*L6</f>
        <v>0</v>
      </c>
      <c r="AL6" s="44">
        <f t="shared" ref="AL6:AL22" si="13">AG6+AI6-AK6</f>
        <v>64038.646117816439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64038.646117816439</v>
      </c>
      <c r="AN6" s="48">
        <f t="shared" ref="AN6:AN22" si="14">AM6*1.1+AD6+AE6</f>
        <v>70442.510729598085</v>
      </c>
      <c r="AO6" s="47">
        <f t="shared" ref="AO6:AO22" si="15">IFERROR(AM6/AB6,0)</f>
        <v>2.6248218483547912</v>
      </c>
      <c r="AP6" s="47">
        <f t="shared" ref="AP6:AP22" si="16">AN6/AC6</f>
        <v>2.5943992209163662</v>
      </c>
      <c r="AQ6">
        <v>2021</v>
      </c>
    </row>
    <row r="7" spans="1:43" ht="13.5" customHeight="1">
      <c r="A7" s="36" t="s">
        <v>249</v>
      </c>
      <c r="B7" s="97" t="s">
        <v>65</v>
      </c>
      <c r="C7" s="100">
        <v>18231137</v>
      </c>
      <c r="D7" s="100" t="s">
        <v>99</v>
      </c>
      <c r="E7" s="38" t="s">
        <v>1012</v>
      </c>
      <c r="F7" s="39" t="s">
        <v>1013</v>
      </c>
      <c r="G7" s="39">
        <v>20</v>
      </c>
      <c r="H7" s="39"/>
      <c r="I7" s="40" t="s">
        <v>260</v>
      </c>
      <c r="J7" s="41">
        <v>1</v>
      </c>
      <c r="K7" s="41">
        <v>134195</v>
      </c>
      <c r="L7" s="41"/>
      <c r="M7" s="42">
        <v>32978</v>
      </c>
      <c r="N7" s="42">
        <v>47112</v>
      </c>
      <c r="O7" s="43">
        <v>134195</v>
      </c>
      <c r="P7" s="44">
        <v>32978</v>
      </c>
      <c r="Q7" s="44">
        <v>47112</v>
      </c>
      <c r="R7" s="45"/>
      <c r="S7" s="46"/>
      <c r="T7" s="39">
        <f t="shared" si="0"/>
        <v>20</v>
      </c>
      <c r="U7" s="47">
        <f t="shared" si="1"/>
        <v>0.90181754254366853</v>
      </c>
      <c r="V7" s="48">
        <f t="shared" si="2"/>
        <v>14134</v>
      </c>
      <c r="W7" s="49">
        <f t="shared" si="3"/>
        <v>4.5090877127183425E-2</v>
      </c>
      <c r="X7" s="44">
        <f t="shared" si="4"/>
        <v>19390.982254247498</v>
      </c>
      <c r="Y7" s="44">
        <f t="shared" si="5"/>
        <v>14134</v>
      </c>
      <c r="Z7" s="44">
        <f t="shared" si="6"/>
        <v>56296.466463838646</v>
      </c>
      <c r="AA7" s="50">
        <f t="shared" si="7"/>
        <v>66502.982254247501</v>
      </c>
      <c r="AB7" s="51">
        <f t="shared" si="8"/>
        <v>52628.275650966287</v>
      </c>
      <c r="AC7" s="44">
        <f t="shared" si="8"/>
        <v>62169.750634988777</v>
      </c>
      <c r="AD7" s="44">
        <f t="shared" si="9"/>
        <v>0</v>
      </c>
      <c r="AE7" s="44">
        <v>0</v>
      </c>
      <c r="AF7" s="52">
        <f>HLOOKUP(I7,ElecAvoidedCostsWOCC!$A$5:$Q$50,G7+1,FALSE)</f>
        <v>1.2592865625776986</v>
      </c>
      <c r="AG7" s="44">
        <f t="shared" si="10"/>
        <v>168989.96026511426</v>
      </c>
      <c r="AH7" s="52">
        <f>HLOOKUP(I7,ElecAvoidedCostsWOCC!$A$5:$Q$50,T7+1,FALSE)</f>
        <v>1.2592865625776986</v>
      </c>
      <c r="AI7" s="44">
        <f t="shared" si="11"/>
        <v>0</v>
      </c>
      <c r="AJ7" s="44">
        <f t="shared" si="12"/>
        <v>168989.96026511426</v>
      </c>
      <c r="AK7" s="44">
        <f>HLOOKUP(I7,ElecAvoidedCostsWOCC!$A$5:$Q$50,G7+1,FALSE)*J7*L7</f>
        <v>0</v>
      </c>
      <c r="AL7" s="44">
        <f t="shared" si="13"/>
        <v>168989.96026511426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168989.96026511426</v>
      </c>
      <c r="AN7" s="48">
        <f t="shared" si="14"/>
        <v>185888.95629162571</v>
      </c>
      <c r="AO7" s="47">
        <f t="shared" si="15"/>
        <v>3.2110107765237319</v>
      </c>
      <c r="AP7" s="47">
        <f t="shared" si="16"/>
        <v>2.9900225494391557</v>
      </c>
      <c r="AQ7">
        <v>2021</v>
      </c>
    </row>
    <row r="8" spans="1:43" ht="13.5" customHeight="1">
      <c r="A8" s="53">
        <f>SUMIF('Program Costs'!D:D,C2,'Program Costs'!O:O)</f>
        <v>430042.25</v>
      </c>
      <c r="B8" s="97" t="s">
        <v>65</v>
      </c>
      <c r="C8" s="100">
        <v>18231137</v>
      </c>
      <c r="D8" s="100" t="s">
        <v>99</v>
      </c>
      <c r="E8" s="38" t="s">
        <v>1012</v>
      </c>
      <c r="F8" s="39" t="s">
        <v>1013</v>
      </c>
      <c r="G8" s="39">
        <v>20</v>
      </c>
      <c r="H8" s="39"/>
      <c r="I8" s="40" t="s">
        <v>260</v>
      </c>
      <c r="J8" s="41">
        <v>1</v>
      </c>
      <c r="K8" s="41">
        <v>125175</v>
      </c>
      <c r="L8" s="41"/>
      <c r="M8" s="42">
        <v>46043</v>
      </c>
      <c r="N8" s="42">
        <v>127557.75</v>
      </c>
      <c r="O8" s="43">
        <v>125175</v>
      </c>
      <c r="P8" s="44">
        <v>46043</v>
      </c>
      <c r="Q8" s="44">
        <v>127557.75</v>
      </c>
      <c r="R8" s="45"/>
      <c r="S8" s="46"/>
      <c r="T8" s="39">
        <f t="shared" si="0"/>
        <v>20</v>
      </c>
      <c r="U8" s="47">
        <f t="shared" si="1"/>
        <v>0.84120131814079291</v>
      </c>
      <c r="V8" s="48">
        <f t="shared" si="2"/>
        <v>81514.75</v>
      </c>
      <c r="W8" s="49">
        <f t="shared" si="3"/>
        <v>4.2060065907039645E-2</v>
      </c>
      <c r="X8" s="44">
        <f t="shared" si="4"/>
        <v>18087.605377811618</v>
      </c>
      <c r="Y8" s="44">
        <f t="shared" si="5"/>
        <v>81514.75</v>
      </c>
      <c r="Z8" s="44">
        <f t="shared" si="6"/>
        <v>52512.464619479128</v>
      </c>
      <c r="AA8" s="50">
        <f t="shared" si="7"/>
        <v>145645.35537781162</v>
      </c>
      <c r="AB8" s="51">
        <f t="shared" si="8"/>
        <v>49090.833522930843</v>
      </c>
      <c r="AC8" s="44">
        <f t="shared" si="8"/>
        <v>136155.32894999682</v>
      </c>
      <c r="AD8" s="44">
        <f t="shared" si="9"/>
        <v>0</v>
      </c>
      <c r="AE8" s="44">
        <v>0</v>
      </c>
      <c r="AF8" s="52">
        <f>HLOOKUP(I8,ElecAvoidedCostsWOCC!$A$5:$Q$50,G8+1,FALSE)</f>
        <v>1.2592865625776986</v>
      </c>
      <c r="AG8" s="44">
        <f t="shared" si="10"/>
        <v>157631.19547066343</v>
      </c>
      <c r="AH8" s="52">
        <f>HLOOKUP(I8,ElecAvoidedCostsWOCC!$A$5:$Q$50,T8+1,FALSE)</f>
        <v>1.2592865625776986</v>
      </c>
      <c r="AI8" s="44">
        <f t="shared" si="11"/>
        <v>0</v>
      </c>
      <c r="AJ8" s="44">
        <f t="shared" si="12"/>
        <v>157631.19547066343</v>
      </c>
      <c r="AK8" s="44">
        <f>HLOOKUP(I8,ElecAvoidedCostsWOCC!$A$5:$Q$50,G8+1,FALSE)*J8*L8</f>
        <v>0</v>
      </c>
      <c r="AL8" s="44">
        <f t="shared" si="13"/>
        <v>157631.19547066343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157631.19547066343</v>
      </c>
      <c r="AN8" s="48">
        <f t="shared" si="14"/>
        <v>173394.31501772979</v>
      </c>
      <c r="AO8" s="47">
        <f t="shared" si="15"/>
        <v>3.2110107765237323</v>
      </c>
      <c r="AP8" s="47">
        <f t="shared" si="16"/>
        <v>1.2735036987161115</v>
      </c>
      <c r="AQ8">
        <v>2021</v>
      </c>
    </row>
    <row r="9" spans="1:43" ht="13.5" customHeight="1">
      <c r="A9" s="36" t="s">
        <v>250</v>
      </c>
      <c r="B9" s="97" t="s">
        <v>65</v>
      </c>
      <c r="C9" s="100">
        <v>18231137</v>
      </c>
      <c r="D9" s="100" t="s">
        <v>99</v>
      </c>
      <c r="E9" s="38" t="s">
        <v>1042</v>
      </c>
      <c r="F9" s="39" t="s">
        <v>1043</v>
      </c>
      <c r="G9" s="39">
        <v>15</v>
      </c>
      <c r="H9" s="39"/>
      <c r="I9" s="40" t="s">
        <v>256</v>
      </c>
      <c r="J9" s="41">
        <v>1</v>
      </c>
      <c r="K9" s="41">
        <v>1170592</v>
      </c>
      <c r="L9" s="41"/>
      <c r="M9" s="42">
        <v>409707</v>
      </c>
      <c r="N9" s="42">
        <v>890686</v>
      </c>
      <c r="O9" s="43">
        <v>1170592</v>
      </c>
      <c r="P9" s="44">
        <v>409707</v>
      </c>
      <c r="Q9" s="44">
        <v>890686</v>
      </c>
      <c r="R9" s="45"/>
      <c r="S9" s="46"/>
      <c r="T9" s="39">
        <f t="shared" si="0"/>
        <v>15</v>
      </c>
      <c r="U9" s="47">
        <f t="shared" si="1"/>
        <v>5.8999612546738591</v>
      </c>
      <c r="V9" s="48">
        <f t="shared" si="2"/>
        <v>480979</v>
      </c>
      <c r="W9" s="49">
        <f t="shared" si="3"/>
        <v>0.39333075031159059</v>
      </c>
      <c r="X9" s="44">
        <f t="shared" si="4"/>
        <v>169148.84085818462</v>
      </c>
      <c r="Y9" s="44">
        <f t="shared" si="5"/>
        <v>480979</v>
      </c>
      <c r="Z9" s="44">
        <f t="shared" si="6"/>
        <v>491077.85886834684</v>
      </c>
      <c r="AA9" s="50">
        <f t="shared" si="7"/>
        <v>1059834.8408581847</v>
      </c>
      <c r="AB9" s="51">
        <f t="shared" si="8"/>
        <v>459079.98398461886</v>
      </c>
      <c r="AC9" s="44">
        <f t="shared" si="8"/>
        <v>990777.63939252566</v>
      </c>
      <c r="AD9" s="44">
        <f t="shared" si="9"/>
        <v>0</v>
      </c>
      <c r="AE9" s="44">
        <f t="shared" ref="AE9:AE22" si="17">-PV(ElecDiscountRate,T9,S9)*J9</f>
        <v>0</v>
      </c>
      <c r="AF9" s="52">
        <f>HLOOKUP(I9,ElecAvoidedCostsWOCC!$A$5:$Q$50,G9+1,FALSE)</f>
        <v>1.0293963841416951</v>
      </c>
      <c r="AG9" s="44">
        <f t="shared" si="10"/>
        <v>1205003.1721051952</v>
      </c>
      <c r="AH9" s="52">
        <f>HLOOKUP(I9,ElecAvoidedCostsWOCC!$A$5:$Q$50,T9+1,FALSE)</f>
        <v>1.0293963841416951</v>
      </c>
      <c r="AI9" s="44">
        <f t="shared" si="11"/>
        <v>0</v>
      </c>
      <c r="AJ9" s="44">
        <f t="shared" si="12"/>
        <v>1205003.1721051952</v>
      </c>
      <c r="AK9" s="44">
        <f>HLOOKUP(I9,ElecAvoidedCostsWOCC!$A$5:$Q$50,G9+1,FALSE)*J9*L9</f>
        <v>0</v>
      </c>
      <c r="AL9" s="44">
        <f t="shared" si="13"/>
        <v>1205003.1721051952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1205003.1721051952</v>
      </c>
      <c r="AN9" s="48">
        <f t="shared" si="14"/>
        <v>1325503.4893157149</v>
      </c>
      <c r="AO9" s="47">
        <f t="shared" si="15"/>
        <v>2.6248218483547912</v>
      </c>
      <c r="AP9" s="47">
        <f t="shared" si="16"/>
        <v>1.3378415464931357</v>
      </c>
      <c r="AQ9">
        <v>2021</v>
      </c>
    </row>
    <row r="10" spans="1:43" ht="13.5" customHeight="1">
      <c r="A10" s="54">
        <f>SUM(O5:O997)</f>
        <v>2976100.9</v>
      </c>
      <c r="B10" s="97" t="s">
        <v>65</v>
      </c>
      <c r="C10" s="100">
        <v>18231137</v>
      </c>
      <c r="D10" s="100" t="s">
        <v>99</v>
      </c>
      <c r="E10" s="38" t="s">
        <v>1044</v>
      </c>
      <c r="F10" s="39" t="s">
        <v>1045</v>
      </c>
      <c r="G10" s="39">
        <v>5</v>
      </c>
      <c r="H10" s="39"/>
      <c r="I10" s="40" t="s">
        <v>260</v>
      </c>
      <c r="J10" s="41">
        <v>1</v>
      </c>
      <c r="K10" s="41">
        <v>1009164</v>
      </c>
      <c r="L10" s="41"/>
      <c r="M10" s="42">
        <v>37189</v>
      </c>
      <c r="N10" s="42">
        <v>52838.11</v>
      </c>
      <c r="O10" s="43">
        <v>1009164</v>
      </c>
      <c r="P10" s="44">
        <v>37189</v>
      </c>
      <c r="Q10" s="44">
        <v>52838.11</v>
      </c>
      <c r="R10" s="45"/>
      <c r="S10" s="46"/>
      <c r="T10" s="39">
        <f t="shared" si="0"/>
        <v>5</v>
      </c>
      <c r="U10" s="47">
        <f t="shared" si="1"/>
        <v>1.6954465488720494</v>
      </c>
      <c r="V10" s="48">
        <f t="shared" si="2"/>
        <v>15649.11</v>
      </c>
      <c r="W10" s="49">
        <f t="shared" si="3"/>
        <v>0.33908930977440987</v>
      </c>
      <c r="X10" s="44">
        <f t="shared" si="4"/>
        <v>145822.72972633422</v>
      </c>
      <c r="Y10" s="44">
        <f t="shared" si="5"/>
        <v>15649.11</v>
      </c>
      <c r="Z10" s="44">
        <f t="shared" si="6"/>
        <v>423356.8112262995</v>
      </c>
      <c r="AA10" s="50">
        <f t="shared" si="7"/>
        <v>198660.8397263342</v>
      </c>
      <c r="AB10" s="51">
        <f t="shared" si="8"/>
        <v>395771.53522137</v>
      </c>
      <c r="AC10" s="44">
        <f t="shared" si="8"/>
        <v>185716.40621326931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0.34568878046554885</v>
      </c>
      <c r="AG10" s="44">
        <f t="shared" si="10"/>
        <v>348856.67244973517</v>
      </c>
      <c r="AH10" s="52">
        <f>HLOOKUP(I10,ElecAvoidedCostsWOCC!$A$5:$Q$50,T10+1,FALSE)</f>
        <v>0.34568878046554885</v>
      </c>
      <c r="AI10" s="44">
        <f t="shared" si="11"/>
        <v>0</v>
      </c>
      <c r="AJ10" s="44">
        <f t="shared" si="12"/>
        <v>348856.67244973517</v>
      </c>
      <c r="AK10" s="44">
        <f>HLOOKUP(I10,ElecAvoidedCostsWOCC!$A$5:$Q$50,G10+1,FALSE)*J10*L10</f>
        <v>0</v>
      </c>
      <c r="AL10" s="44">
        <f t="shared" si="13"/>
        <v>348856.67244973517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348856.67244973517</v>
      </c>
      <c r="AN10" s="48">
        <f t="shared" si="14"/>
        <v>383742.3396947087</v>
      </c>
      <c r="AO10" s="47">
        <f t="shared" si="15"/>
        <v>0.88145973472954908</v>
      </c>
      <c r="AP10" s="47">
        <f t="shared" si="16"/>
        <v>2.0662813131007622</v>
      </c>
      <c r="AQ10">
        <v>2021</v>
      </c>
    </row>
    <row r="11" spans="1:43" ht="13.5" customHeight="1">
      <c r="A11" s="36" t="s">
        <v>251</v>
      </c>
      <c r="B11" s="97" t="s">
        <v>65</v>
      </c>
      <c r="C11" s="100">
        <v>18231137</v>
      </c>
      <c r="D11" s="100" t="s">
        <v>99</v>
      </c>
      <c r="E11" s="38" t="s">
        <v>1046</v>
      </c>
      <c r="F11" s="39" t="s">
        <v>1047</v>
      </c>
      <c r="G11" s="39">
        <v>5</v>
      </c>
      <c r="H11" s="39"/>
      <c r="I11" s="40" t="s">
        <v>256</v>
      </c>
      <c r="J11" s="41">
        <v>1</v>
      </c>
      <c r="K11" s="41"/>
      <c r="L11" s="41"/>
      <c r="M11" s="42"/>
      <c r="N11" s="42"/>
      <c r="O11" s="43">
        <v>0</v>
      </c>
      <c r="P11" s="44">
        <v>0</v>
      </c>
      <c r="Q11" s="44">
        <v>0</v>
      </c>
      <c r="R11" s="45"/>
      <c r="S11" s="46"/>
      <c r="T11" s="39">
        <f t="shared" si="0"/>
        <v>5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0.35807218478063102</v>
      </c>
      <c r="AG11" s="44">
        <f t="shared" si="10"/>
        <v>0</v>
      </c>
      <c r="AH11" s="52">
        <f>HLOOKUP(I11,ElecAvoidedCostsWOCC!$A$5:$Q$50,T11+1,FALSE)</f>
        <v>0.35807218478063102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  <c r="AQ11">
        <v>2021</v>
      </c>
    </row>
    <row r="12" spans="1:43" ht="13.5" customHeight="1">
      <c r="A12" s="55">
        <f>SUM(P5:P998)</f>
        <v>623441</v>
      </c>
      <c r="B12" s="97" t="s">
        <v>65</v>
      </c>
      <c r="C12" s="100">
        <v>18231137</v>
      </c>
      <c r="D12" s="100" t="s">
        <v>99</v>
      </c>
      <c r="E12" s="38" t="s">
        <v>1048</v>
      </c>
      <c r="F12" s="39" t="s">
        <v>1049</v>
      </c>
      <c r="G12" s="39">
        <v>3</v>
      </c>
      <c r="H12" s="39"/>
      <c r="I12" s="40" t="s">
        <v>256</v>
      </c>
      <c r="J12" s="41">
        <v>1</v>
      </c>
      <c r="K12" s="41">
        <v>186306</v>
      </c>
      <c r="L12" s="41"/>
      <c r="M12" s="42">
        <v>3726</v>
      </c>
      <c r="N12" s="42">
        <v>3726</v>
      </c>
      <c r="O12" s="43">
        <v>186306</v>
      </c>
      <c r="P12" s="44">
        <v>3726</v>
      </c>
      <c r="Q12" s="44">
        <v>3726</v>
      </c>
      <c r="R12" s="45"/>
      <c r="S12" s="46"/>
      <c r="T12" s="39">
        <f t="shared" si="0"/>
        <v>3</v>
      </c>
      <c r="U12" s="47">
        <f t="shared" si="1"/>
        <v>0.18780210039249678</v>
      </c>
      <c r="V12" s="48">
        <f t="shared" si="2"/>
        <v>0</v>
      </c>
      <c r="W12" s="49">
        <f t="shared" si="3"/>
        <v>6.2600700130832257E-2</v>
      </c>
      <c r="X12" s="44">
        <f t="shared" si="4"/>
        <v>26920.945935838397</v>
      </c>
      <c r="Y12" s="44">
        <f t="shared" si="5"/>
        <v>0</v>
      </c>
      <c r="Z12" s="44">
        <f t="shared" si="6"/>
        <v>78157.67711920655</v>
      </c>
      <c r="AA12" s="50">
        <f t="shared" si="7"/>
        <v>30646.945935838397</v>
      </c>
      <c r="AB12" s="51">
        <f t="shared" si="8"/>
        <v>73065.043581571037</v>
      </c>
      <c r="AC12" s="44">
        <f t="shared" si="8"/>
        <v>28650.038268522385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0.22068555405687484</v>
      </c>
      <c r="AG12" s="44">
        <f t="shared" si="10"/>
        <v>41115.042834120126</v>
      </c>
      <c r="AH12" s="52">
        <f>HLOOKUP(I12,ElecAvoidedCostsWOCC!$A$5:$Q$50,T12+1,FALSE)</f>
        <v>0.22068555405687484</v>
      </c>
      <c r="AI12" s="44">
        <f t="shared" si="11"/>
        <v>0</v>
      </c>
      <c r="AJ12" s="44">
        <f t="shared" si="12"/>
        <v>41115.042834120126</v>
      </c>
      <c r="AK12" s="44">
        <f>HLOOKUP(I12,ElecAvoidedCostsWOCC!$A$5:$Q$50,G12+1,FALSE)*J12*L12</f>
        <v>0</v>
      </c>
      <c r="AL12" s="44">
        <f t="shared" si="13"/>
        <v>41115.042834120126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41115.042834120126</v>
      </c>
      <c r="AN12" s="48">
        <f t="shared" si="14"/>
        <v>45226.547117532144</v>
      </c>
      <c r="AO12" s="47">
        <f t="shared" si="15"/>
        <v>0.56271837829287819</v>
      </c>
      <c r="AP12" s="47">
        <f t="shared" si="16"/>
        <v>1.5785859234688095</v>
      </c>
      <c r="AQ12">
        <v>2021</v>
      </c>
    </row>
    <row r="13" spans="1:43" ht="13.5" customHeight="1">
      <c r="A13" s="56" t="s">
        <v>252</v>
      </c>
      <c r="B13" s="97" t="s">
        <v>65</v>
      </c>
      <c r="C13" s="100">
        <v>18231137</v>
      </c>
      <c r="D13" s="100" t="s">
        <v>99</v>
      </c>
      <c r="E13" s="38" t="s">
        <v>1050</v>
      </c>
      <c r="F13" s="39" t="s">
        <v>1051</v>
      </c>
      <c r="G13" s="39">
        <v>1</v>
      </c>
      <c r="H13" s="39"/>
      <c r="I13" s="40" t="s">
        <v>256</v>
      </c>
      <c r="J13" s="41">
        <v>1</v>
      </c>
      <c r="K13" s="41"/>
      <c r="L13" s="41"/>
      <c r="M13" s="42">
        <v>4000</v>
      </c>
      <c r="N13" s="42">
        <v>4000</v>
      </c>
      <c r="O13" s="43">
        <v>0</v>
      </c>
      <c r="P13" s="44">
        <v>4000</v>
      </c>
      <c r="Q13" s="44">
        <v>4000</v>
      </c>
      <c r="R13" s="45"/>
      <c r="S13" s="46"/>
      <c r="T13" s="39">
        <f t="shared" si="0"/>
        <v>1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4000</v>
      </c>
      <c r="AB13" s="51">
        <f t="shared" si="8"/>
        <v>0</v>
      </c>
      <c r="AC13" s="44">
        <f t="shared" si="8"/>
        <v>3739.3661774329248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7.9031636554116616E-2</v>
      </c>
      <c r="AG13" s="44">
        <f t="shared" si="10"/>
        <v>0</v>
      </c>
      <c r="AH13" s="52">
        <f>HLOOKUP(I13,ElecAvoidedCostsWOCC!$A$5:$Q$50,T13+1,FALSE)</f>
        <v>7.9031636554116616E-2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  <c r="AQ13">
        <v>2021</v>
      </c>
    </row>
    <row r="14" spans="1:43" ht="13.5" customHeight="1">
      <c r="A14" s="55">
        <f>SUM(Y5:Y998)</f>
        <v>677598.86</v>
      </c>
      <c r="B14" s="97" t="s">
        <v>65</v>
      </c>
      <c r="C14" s="100">
        <v>18231137</v>
      </c>
      <c r="D14" s="100" t="s">
        <v>99</v>
      </c>
      <c r="E14" s="38" t="s">
        <v>1052</v>
      </c>
      <c r="F14" s="39" t="s">
        <v>1053</v>
      </c>
      <c r="G14" s="39">
        <v>1</v>
      </c>
      <c r="H14" s="39"/>
      <c r="I14" s="40" t="s">
        <v>256</v>
      </c>
      <c r="J14" s="41">
        <v>1</v>
      </c>
      <c r="K14" s="41"/>
      <c r="L14" s="41"/>
      <c r="M14" s="42">
        <v>4000</v>
      </c>
      <c r="N14" s="42">
        <v>4000</v>
      </c>
      <c r="O14" s="43">
        <v>0</v>
      </c>
      <c r="P14" s="44">
        <v>4000</v>
      </c>
      <c r="Q14" s="44">
        <v>4000</v>
      </c>
      <c r="R14" s="45"/>
      <c r="S14" s="46"/>
      <c r="T14" s="39">
        <f t="shared" si="0"/>
        <v>1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4000</v>
      </c>
      <c r="AB14" s="51">
        <f t="shared" si="8"/>
        <v>0</v>
      </c>
      <c r="AC14" s="44">
        <f t="shared" si="8"/>
        <v>3739.3661774329248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7.9031636554116616E-2</v>
      </c>
      <c r="AG14" s="44">
        <f t="shared" si="10"/>
        <v>0</v>
      </c>
      <c r="AH14" s="52">
        <f>HLOOKUP(I14,ElecAvoidedCostsWOCC!$A$5:$Q$50,T14+1,FALSE)</f>
        <v>7.9031636554116616E-2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  <c r="AQ14">
        <v>2021</v>
      </c>
    </row>
    <row r="15" spans="1:43" ht="13.5" customHeight="1">
      <c r="A15" s="57" t="s">
        <v>253</v>
      </c>
      <c r="B15" s="97" t="s">
        <v>65</v>
      </c>
      <c r="C15" s="100">
        <v>18231137</v>
      </c>
      <c r="D15" s="100" t="s">
        <v>99</v>
      </c>
      <c r="E15" s="38" t="s">
        <v>994</v>
      </c>
      <c r="F15" s="39" t="s">
        <v>995</v>
      </c>
      <c r="G15" s="39">
        <v>15</v>
      </c>
      <c r="H15" s="39"/>
      <c r="I15" s="40" t="s">
        <v>256</v>
      </c>
      <c r="J15" s="41">
        <v>1</v>
      </c>
      <c r="K15" s="41">
        <v>11371</v>
      </c>
      <c r="L15" s="41"/>
      <c r="M15" s="42">
        <v>1800</v>
      </c>
      <c r="N15" s="42">
        <v>2571</v>
      </c>
      <c r="O15" s="43">
        <v>11371</v>
      </c>
      <c r="P15" s="44">
        <v>1800</v>
      </c>
      <c r="Q15" s="44">
        <v>2571</v>
      </c>
      <c r="R15" s="45"/>
      <c r="S15" s="46"/>
      <c r="T15" s="39">
        <f t="shared" si="0"/>
        <v>15</v>
      </c>
      <c r="U15" s="47">
        <f t="shared" si="1"/>
        <v>5.7311564940556961E-2</v>
      </c>
      <c r="V15" s="48">
        <f t="shared" si="2"/>
        <v>771</v>
      </c>
      <c r="W15" s="49">
        <f t="shared" si="3"/>
        <v>3.8207709960371306E-3</v>
      </c>
      <c r="X15" s="44">
        <f t="shared" si="4"/>
        <v>1643.0929558705488</v>
      </c>
      <c r="Y15" s="44">
        <f t="shared" si="5"/>
        <v>771</v>
      </c>
      <c r="Z15" s="44">
        <f t="shared" si="6"/>
        <v>4770.2754958106434</v>
      </c>
      <c r="AA15" s="50">
        <f t="shared" si="7"/>
        <v>4214.0929558705484</v>
      </c>
      <c r="AB15" s="51">
        <f t="shared" si="8"/>
        <v>4459.4517115178487</v>
      </c>
      <c r="AC15" s="44">
        <f t="shared" si="8"/>
        <v>3939.5091669351668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1.0293963841416951</v>
      </c>
      <c r="AG15" s="44">
        <f t="shared" si="10"/>
        <v>11705.266284075215</v>
      </c>
      <c r="AH15" s="52">
        <f>HLOOKUP(I15,ElecAvoidedCostsWOCC!$A$5:$Q$50,T15+1,FALSE)</f>
        <v>1.0293963841416951</v>
      </c>
      <c r="AI15" s="44">
        <f t="shared" si="11"/>
        <v>0</v>
      </c>
      <c r="AJ15" s="44">
        <f t="shared" si="12"/>
        <v>11705.266284075215</v>
      </c>
      <c r="AK15" s="44">
        <f>HLOOKUP(I15,ElecAvoidedCostsWOCC!$A$5:$Q$50,G15+1,FALSE)*J15*L15</f>
        <v>0</v>
      </c>
      <c r="AL15" s="44">
        <f t="shared" si="13"/>
        <v>11705.266284075215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11705.266284075215</v>
      </c>
      <c r="AN15" s="48">
        <f t="shared" si="14"/>
        <v>12875.792912482737</v>
      </c>
      <c r="AO15" s="47">
        <f t="shared" si="15"/>
        <v>2.6248218483547907</v>
      </c>
      <c r="AP15" s="47">
        <f t="shared" si="16"/>
        <v>3.2683749083644753</v>
      </c>
    </row>
    <row r="16" spans="1:43" ht="13.5" customHeight="1">
      <c r="A16" s="54">
        <f>SUM(U5:U997)</f>
        <v>11.561760725249606</v>
      </c>
      <c r="B16" s="97" t="s">
        <v>65</v>
      </c>
      <c r="C16" s="100">
        <v>18231137</v>
      </c>
      <c r="D16" s="100" t="s">
        <v>99</v>
      </c>
      <c r="E16" s="38" t="s">
        <v>1002</v>
      </c>
      <c r="F16" s="39" t="s">
        <v>1003</v>
      </c>
      <c r="G16" s="39">
        <v>15</v>
      </c>
      <c r="H16" s="39"/>
      <c r="I16" s="40" t="s">
        <v>256</v>
      </c>
      <c r="J16" s="41">
        <v>1</v>
      </c>
      <c r="K16" s="41">
        <v>33021</v>
      </c>
      <c r="L16" s="41"/>
      <c r="M16" s="42">
        <v>8748</v>
      </c>
      <c r="N16" s="42">
        <v>13559</v>
      </c>
      <c r="O16" s="43">
        <v>33021</v>
      </c>
      <c r="P16" s="44">
        <v>8748</v>
      </c>
      <c r="Q16" s="44">
        <v>13559</v>
      </c>
      <c r="R16" s="45"/>
      <c r="S16" s="46"/>
      <c r="T16" s="39">
        <f t="shared" si="0"/>
        <v>15</v>
      </c>
      <c r="U16" s="47">
        <f t="shared" si="1"/>
        <v>0.16643084916912596</v>
      </c>
      <c r="V16" s="48">
        <f t="shared" si="2"/>
        <v>4811</v>
      </c>
      <c r="W16" s="49">
        <f t="shared" si="3"/>
        <v>1.1095389944608397E-2</v>
      </c>
      <c r="X16" s="44">
        <f t="shared" si="4"/>
        <v>4771.4864564067702</v>
      </c>
      <c r="Y16" s="44">
        <f t="shared" si="5"/>
        <v>4811</v>
      </c>
      <c r="Z16" s="44">
        <f t="shared" si="6"/>
        <v>13852.718947072661</v>
      </c>
      <c r="AA16" s="50">
        <f t="shared" si="7"/>
        <v>18330.486456406768</v>
      </c>
      <c r="AB16" s="51">
        <f t="shared" si="8"/>
        <v>12950.097174041937</v>
      </c>
      <c r="AC16" s="44">
        <f t="shared" si="8"/>
        <v>17136.100267744943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1.0293963841416951</v>
      </c>
      <c r="AG16" s="44">
        <f t="shared" si="10"/>
        <v>33991.698000742916</v>
      </c>
      <c r="AH16" s="52">
        <f>HLOOKUP(I16,ElecAvoidedCostsWOCC!$A$5:$Q$50,T16+1,FALSE)</f>
        <v>1.0293963841416951</v>
      </c>
      <c r="AI16" s="44">
        <f t="shared" si="11"/>
        <v>0</v>
      </c>
      <c r="AJ16" s="44">
        <f t="shared" si="12"/>
        <v>33991.698000742916</v>
      </c>
      <c r="AK16" s="44">
        <f>HLOOKUP(I16,ElecAvoidedCostsWOCC!$A$5:$Q$50,G16+1,FALSE)*J16*L16</f>
        <v>0</v>
      </c>
      <c r="AL16" s="44">
        <f t="shared" si="13"/>
        <v>33991.698000742916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33991.698000742916</v>
      </c>
      <c r="AN16" s="48">
        <f t="shared" si="14"/>
        <v>37390.867800817214</v>
      </c>
      <c r="AO16" s="47">
        <f t="shared" si="15"/>
        <v>2.6248218483547912</v>
      </c>
      <c r="AP16" s="47">
        <f t="shared" si="16"/>
        <v>2.1819939902661258</v>
      </c>
    </row>
    <row r="17" spans="1:42" ht="13.5" customHeight="1">
      <c r="A17" s="58" t="s">
        <v>254</v>
      </c>
      <c r="B17" s="37" t="s">
        <v>65</v>
      </c>
      <c r="C17">
        <v>18231137</v>
      </c>
      <c r="D17" t="s">
        <v>99</v>
      </c>
      <c r="E17" s="38" t="s">
        <v>1002</v>
      </c>
      <c r="F17" s="39" t="s">
        <v>1003</v>
      </c>
      <c r="G17" s="39">
        <v>15</v>
      </c>
      <c r="H17" s="39"/>
      <c r="I17" s="40" t="s">
        <v>256</v>
      </c>
      <c r="J17" s="41">
        <v>1</v>
      </c>
      <c r="K17" s="41">
        <v>58321</v>
      </c>
      <c r="L17" s="41"/>
      <c r="M17" s="42">
        <v>9086</v>
      </c>
      <c r="N17" s="42">
        <v>16400</v>
      </c>
      <c r="O17" s="43">
        <v>58321</v>
      </c>
      <c r="P17" s="44">
        <v>9086</v>
      </c>
      <c r="Q17" s="44">
        <v>16400</v>
      </c>
      <c r="R17" s="45"/>
      <c r="S17" s="46"/>
      <c r="T17" s="39">
        <f t="shared" si="0"/>
        <v>15</v>
      </c>
      <c r="U17" s="47">
        <f t="shared" si="1"/>
        <v>0.29394668708980937</v>
      </c>
      <c r="V17" s="48">
        <f t="shared" si="2"/>
        <v>7314</v>
      </c>
      <c r="W17" s="49">
        <f t="shared" si="3"/>
        <v>1.9596445805987291E-2</v>
      </c>
      <c r="X17" s="44">
        <f t="shared" si="4"/>
        <v>8427.2996464098378</v>
      </c>
      <c r="Y17" s="44">
        <f t="shared" si="5"/>
        <v>7314</v>
      </c>
      <c r="Z17" s="44">
        <f t="shared" si="6"/>
        <v>24466.382656861533</v>
      </c>
      <c r="AA17" s="50">
        <f t="shared" si="7"/>
        <v>24827.29964640984</v>
      </c>
      <c r="AB17" s="51">
        <f t="shared" si="8"/>
        <v>22872.190947799878</v>
      </c>
      <c r="AC17" s="44">
        <f t="shared" si="8"/>
        <v>23209.591143694342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1.0293963841416951</v>
      </c>
      <c r="AG17" s="44">
        <f t="shared" si="10"/>
        <v>60035.426519527799</v>
      </c>
      <c r="AH17" s="52">
        <f>HLOOKUP(I17,ElecAvoidedCostsWOCC!$A$5:$Q$50,T17+1,FALSE)</f>
        <v>1.0293963841416951</v>
      </c>
      <c r="AI17" s="44">
        <f t="shared" si="11"/>
        <v>0</v>
      </c>
      <c r="AJ17" s="44">
        <f t="shared" si="12"/>
        <v>60035.426519527799</v>
      </c>
      <c r="AK17" s="44">
        <f>HLOOKUP(I17,ElecAvoidedCostsWOCC!$A$5:$Q$50,G17+1,FALSE)*J17*L17</f>
        <v>0</v>
      </c>
      <c r="AL17" s="44">
        <f t="shared" si="13"/>
        <v>60035.426519527799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60035.426519527799</v>
      </c>
      <c r="AN17" s="48">
        <f t="shared" si="14"/>
        <v>66038.969171480581</v>
      </c>
      <c r="AO17" s="47">
        <f t="shared" si="15"/>
        <v>2.6248218483547912</v>
      </c>
      <c r="AP17" s="47">
        <f t="shared" si="16"/>
        <v>2.8453309996984699</v>
      </c>
    </row>
    <row r="18" spans="1:42" ht="13.5" customHeight="1">
      <c r="A18" s="59">
        <f>A6+A8</f>
        <v>1248511.23</v>
      </c>
      <c r="B18" s="37" t="s">
        <v>65</v>
      </c>
      <c r="C18">
        <v>18231137</v>
      </c>
      <c r="D18" t="s">
        <v>99</v>
      </c>
      <c r="E18" s="38" t="s">
        <v>1012</v>
      </c>
      <c r="F18" s="39" t="s">
        <v>1013</v>
      </c>
      <c r="G18" s="39">
        <v>20</v>
      </c>
      <c r="H18" s="39"/>
      <c r="I18" s="40" t="s">
        <v>256</v>
      </c>
      <c r="J18" s="41">
        <v>1</v>
      </c>
      <c r="K18" s="41">
        <v>159583</v>
      </c>
      <c r="L18" s="41"/>
      <c r="M18" s="42">
        <v>48161</v>
      </c>
      <c r="N18" s="42">
        <v>68802</v>
      </c>
      <c r="O18" s="43">
        <v>159583</v>
      </c>
      <c r="P18" s="44">
        <v>48161</v>
      </c>
      <c r="Q18" s="44">
        <v>68802</v>
      </c>
      <c r="R18" s="45"/>
      <c r="S18" s="46"/>
      <c r="T18" s="39">
        <f t="shared" si="0"/>
        <v>20</v>
      </c>
      <c r="U18" s="47">
        <f t="shared" si="1"/>
        <v>1.0724300375702989</v>
      </c>
      <c r="V18" s="48">
        <f t="shared" si="2"/>
        <v>20641</v>
      </c>
      <c r="W18" s="49">
        <f t="shared" si="3"/>
        <v>5.3621501878514943E-2</v>
      </c>
      <c r="X18" s="44">
        <f t="shared" si="4"/>
        <v>23059.511316215794</v>
      </c>
      <c r="Y18" s="44">
        <f t="shared" si="5"/>
        <v>20641</v>
      </c>
      <c r="Z18" s="44">
        <f t="shared" si="6"/>
        <v>66947.047264791996</v>
      </c>
      <c r="AA18" s="50">
        <f t="shared" si="7"/>
        <v>91861.511316215794</v>
      </c>
      <c r="AB18" s="51">
        <f t="shared" si="8"/>
        <v>62584.881055241647</v>
      </c>
      <c r="AC18" s="44">
        <f t="shared" si="8"/>
        <v>85875.957105932306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1.2902164218576104</v>
      </c>
      <c r="AG18" s="44">
        <f t="shared" si="10"/>
        <v>205896.60724930305</v>
      </c>
      <c r="AH18" s="52">
        <f>HLOOKUP(I18,ElecAvoidedCostsWOCC!$A$5:$Q$50,T18+1,FALSE)</f>
        <v>1.2902164218576104</v>
      </c>
      <c r="AI18" s="44">
        <f t="shared" si="11"/>
        <v>0</v>
      </c>
      <c r="AJ18" s="44">
        <f t="shared" si="12"/>
        <v>205896.60724930305</v>
      </c>
      <c r="AK18" s="44">
        <f>HLOOKUP(I18,ElecAvoidedCostsWOCC!$A$5:$Q$50,G18+1,FALSE)*J18*L18</f>
        <v>0</v>
      </c>
      <c r="AL18" s="44">
        <f t="shared" si="13"/>
        <v>205896.60724930305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205896.60724930305</v>
      </c>
      <c r="AN18" s="48">
        <f t="shared" si="14"/>
        <v>226486.26797423337</v>
      </c>
      <c r="AO18" s="47">
        <f t="shared" si="15"/>
        <v>3.2898777432774025</v>
      </c>
      <c r="AP18" s="47">
        <f t="shared" si="16"/>
        <v>2.637365283682966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ref="AB19:AC22" si="18">Z19/(1+ElecDiscountRate)^1</f>
        <v>0</v>
      </c>
      <c r="AC19" s="44">
        <f t="shared" si="1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A8+SUM(Q5:Q904)</f>
        <v>1731082.11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18"/>
        <v>0</v>
      </c>
      <c r="AC20" s="44">
        <f t="shared" si="1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18"/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(SUM(AM5:AM998)/(SUM(AB5:AB998)))</f>
        <v>1.991325485395711</v>
      </c>
      <c r="B22" s="37"/>
      <c r="C22" s="61"/>
      <c r="D22" s="61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ref="T23:T45" si="19">G23+H23</f>
        <v>0</v>
      </c>
      <c r="U23" s="47">
        <f t="shared" ref="U23:U45" si="20">(O23/$A$10)*T23</f>
        <v>0</v>
      </c>
      <c r="V23" s="48">
        <f t="shared" ref="V23:V45" si="21">N23-M23</f>
        <v>0</v>
      </c>
      <c r="W23" s="49">
        <f t="shared" ref="W23:W45" si="22">(O23/A$10)</f>
        <v>0</v>
      </c>
      <c r="X23" s="44">
        <f t="shared" ref="X23:X45" si="23">W23*A$8</f>
        <v>0</v>
      </c>
      <c r="Y23" s="44">
        <f t="shared" ref="Y23:Y45" si="24">Q23-P23</f>
        <v>0</v>
      </c>
      <c r="Z23" s="44">
        <f t="shared" ref="Z23:Z45" si="25">X23+(A$6*W23)</f>
        <v>0</v>
      </c>
      <c r="AA23" s="50">
        <f t="shared" ref="AA23:AA45" si="26">Q23+X23</f>
        <v>0</v>
      </c>
      <c r="AB23" s="51">
        <f t="shared" ref="AB23:AB45" si="27">Z23/(1+ElecDiscountRate)^1</f>
        <v>0</v>
      </c>
      <c r="AC23" s="44">
        <f t="shared" ref="AC23:AC45" si="28">AA23/(1+ElecDiscountRate)^1</f>
        <v>0</v>
      </c>
      <c r="AD23" s="44">
        <f t="shared" ref="AD23:AD45" si="29">-PV(ElecDiscountRate,T23,R23)*J23</f>
        <v>0</v>
      </c>
      <c r="AE23" s="44">
        <f t="shared" ref="AE23:AE45" si="30">-PV(ElecDiscountRate,T23,S23)*J23</f>
        <v>0</v>
      </c>
      <c r="AF23" s="52" t="e">
        <f>HLOOKUP(I23,ElecAvoidedCostsWOCC!$A$5:$Q$50,G23+1,FALSE)</f>
        <v>#N/A</v>
      </c>
      <c r="AG23" s="44" t="e">
        <f t="shared" ref="AG23:AG45" si="31">AF23*J23*K23</f>
        <v>#N/A</v>
      </c>
      <c r="AH23" s="52" t="e">
        <f>HLOOKUP(I23,ElecAvoidedCostsWOCC!$A$5:$Q$50,T23+1,FALSE)</f>
        <v>#N/A</v>
      </c>
      <c r="AI23" s="44" t="e">
        <f t="shared" ref="AI23:AI45" si="32">AH23*J23*L23</f>
        <v>#N/A</v>
      </c>
      <c r="AJ23" s="44" t="e">
        <f t="shared" ref="AJ23:AJ45" si="33">AG23+AI23</f>
        <v>#N/A</v>
      </c>
      <c r="AK23" s="44" t="e">
        <f>HLOOKUP(I23,ElecAvoidedCostsWOCC!$A$5:$Q$50,G23+1,FALSE)*J23*L23</f>
        <v>#N/A</v>
      </c>
      <c r="AL23" s="44" t="e">
        <f t="shared" ref="AL23:AL45" si="34">AG23+AI23-AK23</f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ref="AN23:AN45" si="35">AM23*1.1+AD23+AE23</f>
        <v>0</v>
      </c>
      <c r="AO23" s="47">
        <f t="shared" ref="AO23:AO45" si="36">IFERROR(AM23/AB23,0)</f>
        <v>0</v>
      </c>
      <c r="AP23" s="47" t="e">
        <f t="shared" ref="AP23:AP45" si="37">AN23/AC23</f>
        <v>#DIV/0!</v>
      </c>
    </row>
    <row r="24" spans="1:42" ht="13.5" customHeight="1">
      <c r="A24" s="60">
        <f>(SUM(AN5:AN998)/SUM(AC5:AC998))</f>
        <v>1.5798276918313952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19"/>
        <v>0</v>
      </c>
      <c r="U24" s="47">
        <f t="shared" si="20"/>
        <v>0</v>
      </c>
      <c r="V24" s="48">
        <f t="shared" si="21"/>
        <v>0</v>
      </c>
      <c r="W24" s="49">
        <f t="shared" si="22"/>
        <v>0</v>
      </c>
      <c r="X24" s="44">
        <f t="shared" si="23"/>
        <v>0</v>
      </c>
      <c r="Y24" s="44">
        <f t="shared" si="24"/>
        <v>0</v>
      </c>
      <c r="Z24" s="44">
        <f t="shared" si="25"/>
        <v>0</v>
      </c>
      <c r="AA24" s="50">
        <f t="shared" si="26"/>
        <v>0</v>
      </c>
      <c r="AB24" s="51">
        <f t="shared" si="27"/>
        <v>0</v>
      </c>
      <c r="AC24" s="44">
        <f t="shared" si="28"/>
        <v>0</v>
      </c>
      <c r="AD24" s="44">
        <f t="shared" si="29"/>
        <v>0</v>
      </c>
      <c r="AE24" s="44">
        <f t="shared" si="30"/>
        <v>0</v>
      </c>
      <c r="AF24" s="52" t="e">
        <f>HLOOKUP(I24,ElecAvoidedCostsWOCC!$A$5:$Q$50,G24+1,FALSE)</f>
        <v>#N/A</v>
      </c>
      <c r="AG24" s="44" t="e">
        <f t="shared" si="31"/>
        <v>#N/A</v>
      </c>
      <c r="AH24" s="52" t="e">
        <f>HLOOKUP(I24,ElecAvoidedCostsWOCC!$A$5:$Q$50,T24+1,FALSE)</f>
        <v>#N/A</v>
      </c>
      <c r="AI24" s="44" t="e">
        <f t="shared" si="32"/>
        <v>#N/A</v>
      </c>
      <c r="AJ24" s="44" t="e">
        <f t="shared" si="33"/>
        <v>#N/A</v>
      </c>
      <c r="AK24" s="44" t="e">
        <f>HLOOKUP(I24,ElecAvoidedCostsWOCC!$A$5:$Q$50,G24+1,FALSE)*J24*L24</f>
        <v>#N/A</v>
      </c>
      <c r="AL24" s="44" t="e">
        <f t="shared" si="3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5"/>
        <v>0</v>
      </c>
      <c r="AO24" s="47">
        <f t="shared" si="36"/>
        <v>0</v>
      </c>
      <c r="AP24" s="47" t="e">
        <f t="shared" si="3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19"/>
        <v>0</v>
      </c>
      <c r="U25" s="47">
        <f t="shared" si="20"/>
        <v>0</v>
      </c>
      <c r="V25" s="48">
        <f t="shared" si="21"/>
        <v>0</v>
      </c>
      <c r="W25" s="49">
        <f t="shared" si="22"/>
        <v>0</v>
      </c>
      <c r="X25" s="44">
        <f t="shared" si="23"/>
        <v>0</v>
      </c>
      <c r="Y25" s="44">
        <f t="shared" si="24"/>
        <v>0</v>
      </c>
      <c r="Z25" s="44">
        <f t="shared" si="25"/>
        <v>0</v>
      </c>
      <c r="AA25" s="50">
        <f t="shared" si="26"/>
        <v>0</v>
      </c>
      <c r="AB25" s="51">
        <f t="shared" si="27"/>
        <v>0</v>
      </c>
      <c r="AC25" s="44">
        <f t="shared" si="28"/>
        <v>0</v>
      </c>
      <c r="AD25" s="44">
        <f t="shared" si="29"/>
        <v>0</v>
      </c>
      <c r="AE25" s="44">
        <f t="shared" si="30"/>
        <v>0</v>
      </c>
      <c r="AF25" s="52" t="e">
        <f>HLOOKUP(I25,ElecAvoidedCostsWOCC!$A$5:$Q$50,G25+1,FALSE)</f>
        <v>#N/A</v>
      </c>
      <c r="AG25" s="44" t="e">
        <f t="shared" si="31"/>
        <v>#N/A</v>
      </c>
      <c r="AH25" s="52" t="e">
        <f>HLOOKUP(I25,ElecAvoidedCostsWOCC!$A$5:$Q$50,T25+1,FALSE)</f>
        <v>#N/A</v>
      </c>
      <c r="AI25" s="44" t="e">
        <f t="shared" si="32"/>
        <v>#N/A</v>
      </c>
      <c r="AJ25" s="44" t="e">
        <f t="shared" si="33"/>
        <v>#N/A</v>
      </c>
      <c r="AK25" s="44" t="e">
        <f>HLOOKUP(I25,ElecAvoidedCostsWOCC!$A$5:$Q$50,G25+1,FALSE)*J25*L25</f>
        <v>#N/A</v>
      </c>
      <c r="AL25" s="44" t="e">
        <f t="shared" si="34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 t="e">
        <f t="shared" si="37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</sheetData>
  <conditionalFormatting sqref="J5:L45">
    <cfRule type="expression" dxfId="234" priority="4">
      <formula>ISTEXT(J5)</formula>
    </cfRule>
    <cfRule type="notContainsBlanks" dxfId="233" priority="5">
      <formula>LEN(TRIM(J5))&gt;0</formula>
    </cfRule>
  </conditionalFormatting>
  <conditionalFormatting sqref="M5:N45 R5:S45">
    <cfRule type="expression" dxfId="232" priority="2">
      <formula>ISTEXT(M5)</formula>
    </cfRule>
  </conditionalFormatting>
  <conditionalFormatting sqref="M5:N45 R5:S45">
    <cfRule type="notContainsBlanks" dxfId="231" priority="3">
      <formula>LEN(TRIM(M5))&gt;0</formula>
    </cfRule>
  </conditionalFormatting>
  <conditionalFormatting sqref="R5:S45">
    <cfRule type="expression" dxfId="23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C7" sqref="C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512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18230013</v>
      </c>
      <c r="D2" s="20" t="s">
        <v>507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65</v>
      </c>
      <c r="C5" s="100">
        <v>18230013</v>
      </c>
      <c r="D5" s="100" t="s">
        <v>507</v>
      </c>
      <c r="E5" s="38" t="s">
        <v>1711</v>
      </c>
      <c r="F5" s="39" t="s">
        <v>1712</v>
      </c>
      <c r="G5" s="39">
        <v>5</v>
      </c>
      <c r="H5" s="39"/>
      <c r="I5" s="40" t="s">
        <v>256</v>
      </c>
      <c r="J5" s="41">
        <v>1</v>
      </c>
      <c r="K5" s="41">
        <v>49410</v>
      </c>
      <c r="L5" s="41"/>
      <c r="M5" s="42"/>
      <c r="N5" s="42"/>
      <c r="O5" s="43">
        <v>49410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42645</v>
      </c>
      <c r="Y5" s="44">
        <f t="shared" ref="Y5:Y24" si="5">Q5-P5</f>
        <v>0</v>
      </c>
      <c r="Z5" s="44">
        <f t="shared" ref="Z5:Z24" si="6">X5+(A$6*W5)</f>
        <v>42645</v>
      </c>
      <c r="AA5" s="50">
        <f t="shared" ref="AA5:AA24" si="7">Q5+X5</f>
        <v>42645</v>
      </c>
      <c r="AB5" s="51">
        <f t="shared" ref="AB5:AC20" si="8">Z5/(1+ElecDiscountRate)^1</f>
        <v>39866.317659156768</v>
      </c>
      <c r="AC5" s="44">
        <f t="shared" si="8"/>
        <v>39866.317659156768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0.35807218478063102</v>
      </c>
      <c r="AG5" s="44">
        <f t="shared" ref="AG5:AG24" si="10">AF5*J5*K5</f>
        <v>17692.346650010979</v>
      </c>
      <c r="AH5" s="52">
        <f>HLOOKUP(I5,ElecAvoidedCostsWOCC!$A$5:$Q$50,T5+1,FALSE)</f>
        <v>0.35807218478063102</v>
      </c>
      <c r="AI5" s="44">
        <f t="shared" ref="AI5:AI24" si="11">AH5*J5*L5</f>
        <v>0</v>
      </c>
      <c r="AJ5" s="44">
        <f>AG5+AI5</f>
        <v>17692.346650010979</v>
      </c>
      <c r="AK5" s="44">
        <f>HLOOKUP(I5,ElecAvoidedCostsWOCC!$A$5:$Q$50,G5+1,FALSE)*J5*L5</f>
        <v>0</v>
      </c>
      <c r="AL5" s="44">
        <f>AG5+AI5-AK5</f>
        <v>17692.346650010979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17692.346650010979</v>
      </c>
      <c r="AN5" s="48">
        <f>AM5*1.1+AD5+AE5</f>
        <v>19461.581315012078</v>
      </c>
      <c r="AO5" s="47">
        <f>IFERROR(AM5/AB5,0)</f>
        <v>0.44379184456599241</v>
      </c>
      <c r="AP5" s="47">
        <f>AN5/AC5</f>
        <v>0.48817102902259168</v>
      </c>
      <c r="AQ5">
        <v>2021</v>
      </c>
    </row>
    <row r="6" spans="1:43" ht="13.5" customHeight="1">
      <c r="A6" s="53">
        <f>SUMIF('Program Costs'!D:D,C2,'Program Costs'!L:L)</f>
        <v>0</v>
      </c>
      <c r="B6" s="97" t="s">
        <v>65</v>
      </c>
      <c r="C6" s="100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3" ht="13.5" customHeight="1">
      <c r="A7" s="36" t="s">
        <v>249</v>
      </c>
      <c r="B7" s="97" t="s">
        <v>65</v>
      </c>
      <c r="C7" s="100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42645</v>
      </c>
      <c r="B8" s="97" t="s">
        <v>65</v>
      </c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97" t="s">
        <v>65</v>
      </c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49410</v>
      </c>
      <c r="B10" s="97" t="s">
        <v>65</v>
      </c>
      <c r="C10" s="100"/>
      <c r="D10" s="100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97" t="s">
        <v>65</v>
      </c>
      <c r="C11" s="100"/>
      <c r="D11" s="100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97" t="s">
        <v>65</v>
      </c>
      <c r="C12" s="100"/>
      <c r="D12" s="100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97" t="s">
        <v>65</v>
      </c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97" t="s">
        <v>65</v>
      </c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42645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42645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0.44379184456599241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0.48817102902259168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29" priority="4">
      <formula>ISTEXT(J5)</formula>
    </cfRule>
    <cfRule type="notContainsBlanks" dxfId="228" priority="5">
      <formula>LEN(TRIM(J5))&gt;0</formula>
    </cfRule>
  </conditionalFormatting>
  <conditionalFormatting sqref="M5:N24 R5:S24">
    <cfRule type="expression" dxfId="227" priority="2">
      <formula>ISTEXT(M5)</formula>
    </cfRule>
  </conditionalFormatting>
  <conditionalFormatting sqref="M5:N24 R5:S24">
    <cfRule type="notContainsBlanks" dxfId="226" priority="3">
      <formula>LEN(TRIM(M5))&gt;0</formula>
    </cfRule>
  </conditionalFormatting>
  <conditionalFormatting sqref="R5:S24">
    <cfRule type="expression" dxfId="225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57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7109375" customWidth="1"/>
    <col min="13" max="14" width="14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18230715</v>
      </c>
      <c r="D2" s="20" t="s">
        <v>130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129</v>
      </c>
      <c r="C5" s="98">
        <v>18230715</v>
      </c>
      <c r="D5" s="61" t="s">
        <v>130</v>
      </c>
      <c r="E5" s="38" t="s">
        <v>1054</v>
      </c>
      <c r="F5" s="39" t="s">
        <v>1055</v>
      </c>
      <c r="G5" s="39">
        <v>15</v>
      </c>
      <c r="H5" s="39"/>
      <c r="I5" s="40" t="s">
        <v>255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1.0178775471043147</v>
      </c>
      <c r="AG5" s="44">
        <f t="shared" ref="AG5:AG24" si="10">AF5*J5*K5</f>
        <v>0</v>
      </c>
      <c r="AH5" s="52">
        <f>HLOOKUP(I5,ElecAvoidedCostsWOCC!$A$5:$Q$50,T5+1,FALSE)</f>
        <v>1.0178775471043147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4722671.5999999996</v>
      </c>
      <c r="B6" s="97" t="s">
        <v>129</v>
      </c>
      <c r="C6" s="98">
        <v>18230715</v>
      </c>
      <c r="D6" s="61" t="s">
        <v>130</v>
      </c>
      <c r="E6" s="38" t="s">
        <v>974</v>
      </c>
      <c r="F6" s="39" t="s">
        <v>975</v>
      </c>
      <c r="G6" s="39">
        <v>15</v>
      </c>
      <c r="H6" s="39"/>
      <c r="I6" s="40" t="s">
        <v>256</v>
      </c>
      <c r="J6" s="41">
        <v>1</v>
      </c>
      <c r="K6" s="41">
        <v>36878</v>
      </c>
      <c r="L6" s="41"/>
      <c r="M6" s="42">
        <v>11063</v>
      </c>
      <c r="N6" s="42">
        <v>11063</v>
      </c>
      <c r="O6" s="43">
        <v>36878</v>
      </c>
      <c r="P6" s="44">
        <v>11063</v>
      </c>
      <c r="Q6" s="44">
        <v>11063</v>
      </c>
      <c r="R6" s="45"/>
      <c r="S6" s="46"/>
      <c r="T6" s="39">
        <f t="shared" si="0"/>
        <v>15</v>
      </c>
      <c r="U6" s="47">
        <f t="shared" si="1"/>
        <v>2.0160662075311593E-2</v>
      </c>
      <c r="V6" s="48">
        <f t="shared" si="2"/>
        <v>0</v>
      </c>
      <c r="W6" s="49">
        <f t="shared" si="3"/>
        <v>1.3440441383541061E-3</v>
      </c>
      <c r="X6" s="44">
        <f t="shared" si="4"/>
        <v>766.61525049322927</v>
      </c>
      <c r="Y6" s="44">
        <f t="shared" si="5"/>
        <v>0</v>
      </c>
      <c r="Z6" s="44">
        <f t="shared" si="6"/>
        <v>7114.0943318446371</v>
      </c>
      <c r="AA6" s="50">
        <f t="shared" si="7"/>
        <v>11829.615250493229</v>
      </c>
      <c r="AB6" s="51">
        <f t="shared" si="8"/>
        <v>6650.5509318917793</v>
      </c>
      <c r="AC6" s="44">
        <f t="shared" si="8"/>
        <v>11058.815789934773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37962.079854377429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4" si="12">AG6+AI6</f>
        <v>37962.079854377429</v>
      </c>
      <c r="AK6" s="44">
        <f>HLOOKUP(I6,ElecAvoidedCostsWOCC!$A$5:$Q$50,G6+1,FALSE)*J6*L6</f>
        <v>0</v>
      </c>
      <c r="AL6" s="44">
        <f t="shared" ref="AL6:AL24" si="13">AG6+AI6-AK6</f>
        <v>37962.079854377429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37962.079854377429</v>
      </c>
      <c r="AN6" s="48">
        <f t="shared" ref="AN6:AN24" si="14">AM6*1.1+AD6+AE6</f>
        <v>41758.287839815173</v>
      </c>
      <c r="AO6" s="47">
        <f t="shared" ref="AO6:AO24" si="15">IFERROR(AM6/AB6,0)</f>
        <v>5.7081105374797785</v>
      </c>
      <c r="AP6" s="47">
        <f t="shared" ref="AP6:AP24" si="16">AN6/AC6</f>
        <v>3.7760180324028592</v>
      </c>
      <c r="AQ6">
        <v>2021</v>
      </c>
    </row>
    <row r="7" spans="1:43" ht="13.5" customHeight="1">
      <c r="A7" s="36" t="s">
        <v>249</v>
      </c>
      <c r="B7" s="97" t="s">
        <v>129</v>
      </c>
      <c r="C7" s="98">
        <v>18230715</v>
      </c>
      <c r="D7" s="61" t="s">
        <v>130</v>
      </c>
      <c r="E7" s="38" t="s">
        <v>974</v>
      </c>
      <c r="F7" s="39" t="s">
        <v>975</v>
      </c>
      <c r="G7" s="39">
        <v>15</v>
      </c>
      <c r="H7" s="39"/>
      <c r="I7" s="40" t="s">
        <v>256</v>
      </c>
      <c r="J7" s="41">
        <v>1</v>
      </c>
      <c r="K7" s="41">
        <v>80610</v>
      </c>
      <c r="L7" s="41"/>
      <c r="M7" s="42">
        <v>28214</v>
      </c>
      <c r="N7" s="42">
        <v>28214</v>
      </c>
      <c r="O7" s="43">
        <v>80610</v>
      </c>
      <c r="P7" s="44">
        <v>28214</v>
      </c>
      <c r="Q7" s="44">
        <v>28214</v>
      </c>
      <c r="R7" s="45"/>
      <c r="S7" s="46"/>
      <c r="T7" s="39">
        <f t="shared" si="0"/>
        <v>15</v>
      </c>
      <c r="U7" s="47">
        <f t="shared" si="1"/>
        <v>4.4068305490831051E-2</v>
      </c>
      <c r="V7" s="48">
        <f t="shared" si="2"/>
        <v>0</v>
      </c>
      <c r="W7" s="49">
        <f t="shared" si="3"/>
        <v>2.93788703272207E-3</v>
      </c>
      <c r="X7" s="44">
        <f t="shared" si="4"/>
        <v>1675.7105955382399</v>
      </c>
      <c r="Y7" s="44">
        <f t="shared" si="5"/>
        <v>0</v>
      </c>
      <c r="Z7" s="44">
        <f t="shared" si="6"/>
        <v>15550.386248983028</v>
      </c>
      <c r="AA7" s="50">
        <f t="shared" si="7"/>
        <v>29889.710595538239</v>
      </c>
      <c r="AB7" s="51">
        <f t="shared" si="8"/>
        <v>14537.147096366296</v>
      </c>
      <c r="AC7" s="44">
        <f t="shared" si="8"/>
        <v>27942.143213553554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82979.642525662042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82979.642525662042</v>
      </c>
      <c r="AK7" s="44">
        <f>HLOOKUP(I7,ElecAvoidedCostsWOCC!$A$5:$Q$50,G7+1,FALSE)*J7*L7</f>
        <v>0</v>
      </c>
      <c r="AL7" s="44">
        <f t="shared" si="13"/>
        <v>82979.642525662042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82979.642525662042</v>
      </c>
      <c r="AN7" s="48">
        <f t="shared" si="14"/>
        <v>91277.606778228248</v>
      </c>
      <c r="AO7" s="47">
        <f t="shared" si="15"/>
        <v>5.7081105374797803</v>
      </c>
      <c r="AP7" s="47">
        <f t="shared" si="16"/>
        <v>3.2666644816977866</v>
      </c>
      <c r="AQ7">
        <v>2021</v>
      </c>
    </row>
    <row r="8" spans="1:43" ht="13.5" customHeight="1">
      <c r="A8" s="53">
        <f>SUMIF('Program Costs'!D:D,C2,'Program Costs'!O:O)</f>
        <v>570379.52000000048</v>
      </c>
      <c r="B8" s="97" t="s">
        <v>129</v>
      </c>
      <c r="C8" s="98">
        <v>18230715</v>
      </c>
      <c r="D8" s="61" t="s">
        <v>130</v>
      </c>
      <c r="E8" s="38" t="s">
        <v>974</v>
      </c>
      <c r="F8" s="39" t="s">
        <v>975</v>
      </c>
      <c r="G8" s="39">
        <v>15</v>
      </c>
      <c r="H8" s="39"/>
      <c r="I8" s="40" t="s">
        <v>256</v>
      </c>
      <c r="J8" s="41">
        <v>1</v>
      </c>
      <c r="K8" s="41">
        <v>1387316</v>
      </c>
      <c r="L8" s="41"/>
      <c r="M8" s="42">
        <v>455844</v>
      </c>
      <c r="N8" s="42">
        <v>455844</v>
      </c>
      <c r="O8" s="43">
        <v>1387316</v>
      </c>
      <c r="P8" s="44">
        <v>455844</v>
      </c>
      <c r="Q8" s="44">
        <v>455844</v>
      </c>
      <c r="R8" s="45"/>
      <c r="S8" s="46"/>
      <c r="T8" s="39">
        <f t="shared" si="0"/>
        <v>15</v>
      </c>
      <c r="U8" s="47">
        <f t="shared" si="1"/>
        <v>0.75842532316484013</v>
      </c>
      <c r="V8" s="48">
        <f t="shared" si="2"/>
        <v>0</v>
      </c>
      <c r="W8" s="49">
        <f t="shared" si="3"/>
        <v>5.0561688210989345E-2</v>
      </c>
      <c r="X8" s="44">
        <f t="shared" si="4"/>
        <v>28839.351452173785</v>
      </c>
      <c r="Y8" s="44">
        <f t="shared" si="5"/>
        <v>0</v>
      </c>
      <c r="Z8" s="44">
        <f t="shared" si="6"/>
        <v>267625.60041426797</v>
      </c>
      <c r="AA8" s="50">
        <f t="shared" si="7"/>
        <v>484683.35145217378</v>
      </c>
      <c r="AB8" s="51">
        <f t="shared" si="8"/>
        <v>250187.52960107315</v>
      </c>
      <c r="AC8" s="44">
        <f t="shared" si="8"/>
        <v>453102.13279627345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1428098.0740619199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1428098.0740619199</v>
      </c>
      <c r="AK8" s="44">
        <f>HLOOKUP(I8,ElecAvoidedCostsWOCC!$A$5:$Q$50,G8+1,FALSE)*J8*L8</f>
        <v>0</v>
      </c>
      <c r="AL8" s="44">
        <f t="shared" si="13"/>
        <v>1428098.0740619199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1428098.0740619199</v>
      </c>
      <c r="AN8" s="48">
        <f t="shared" si="14"/>
        <v>1570907.8814681121</v>
      </c>
      <c r="AO8" s="47">
        <f t="shared" si="15"/>
        <v>5.7081105374797794</v>
      </c>
      <c r="AP8" s="47">
        <f t="shared" si="16"/>
        <v>3.4670061510710948</v>
      </c>
      <c r="AQ8">
        <v>2021</v>
      </c>
    </row>
    <row r="9" spans="1:43" ht="13.5" customHeight="1">
      <c r="A9" s="36" t="s">
        <v>250</v>
      </c>
      <c r="B9" s="97" t="s">
        <v>129</v>
      </c>
      <c r="C9" s="98">
        <v>18230715</v>
      </c>
      <c r="D9" s="61" t="s">
        <v>130</v>
      </c>
      <c r="E9" s="38" t="s">
        <v>990</v>
      </c>
      <c r="F9" s="39" t="s">
        <v>991</v>
      </c>
      <c r="G9" s="39">
        <v>15</v>
      </c>
      <c r="H9" s="39"/>
      <c r="I9" s="40" t="s">
        <v>261</v>
      </c>
      <c r="J9" s="41">
        <v>1</v>
      </c>
      <c r="K9" s="41"/>
      <c r="L9" s="41"/>
      <c r="M9" s="42"/>
      <c r="N9" s="42"/>
      <c r="O9" s="43">
        <v>0</v>
      </c>
      <c r="P9" s="44">
        <v>0</v>
      </c>
      <c r="Q9" s="44">
        <v>0</v>
      </c>
      <c r="R9" s="45"/>
      <c r="S9" s="46"/>
      <c r="T9" s="39">
        <f t="shared" si="0"/>
        <v>15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1.3787827893853604</v>
      </c>
      <c r="AG9" s="44">
        <f t="shared" si="10"/>
        <v>0</v>
      </c>
      <c r="AH9" s="52">
        <f>HLOOKUP(I9,ElecAvoidedCostsWOCC!$A$5:$Q$50,T9+1,FALSE)</f>
        <v>1.3787827893853604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  <c r="AQ9">
        <v>2021</v>
      </c>
    </row>
    <row r="10" spans="1:43" ht="13.5" customHeight="1">
      <c r="A10" s="54">
        <f>SUM(O5:O999)</f>
        <v>27438087</v>
      </c>
      <c r="B10" s="97" t="s">
        <v>129</v>
      </c>
      <c r="C10" s="98">
        <v>18230715</v>
      </c>
      <c r="D10" s="61" t="s">
        <v>130</v>
      </c>
      <c r="E10" s="38" t="s">
        <v>990</v>
      </c>
      <c r="F10" s="39" t="s">
        <v>991</v>
      </c>
      <c r="G10" s="39">
        <v>15</v>
      </c>
      <c r="H10" s="39"/>
      <c r="I10" s="40" t="s">
        <v>261</v>
      </c>
      <c r="J10" s="41">
        <v>1</v>
      </c>
      <c r="K10" s="41">
        <v>1511</v>
      </c>
      <c r="L10" s="41"/>
      <c r="M10" s="42">
        <v>1184.8</v>
      </c>
      <c r="N10" s="42">
        <v>2991.82</v>
      </c>
      <c r="O10" s="43">
        <v>1511</v>
      </c>
      <c r="P10" s="44">
        <v>1184.8</v>
      </c>
      <c r="Q10" s="44">
        <v>2991.82</v>
      </c>
      <c r="R10" s="45"/>
      <c r="S10" s="46"/>
      <c r="T10" s="39">
        <f t="shared" si="0"/>
        <v>15</v>
      </c>
      <c r="U10" s="47">
        <f t="shared" si="1"/>
        <v>8.2604155311556519E-4</v>
      </c>
      <c r="V10" s="48">
        <f t="shared" si="2"/>
        <v>1807.0200000000002</v>
      </c>
      <c r="W10" s="49">
        <f t="shared" si="3"/>
        <v>5.5069436874371014E-5</v>
      </c>
      <c r="X10" s="44">
        <f t="shared" si="4"/>
        <v>31.410478971074067</v>
      </c>
      <c r="Y10" s="44">
        <f t="shared" si="5"/>
        <v>1807.0200000000002</v>
      </c>
      <c r="Z10" s="44">
        <f t="shared" si="6"/>
        <v>291.48534452565877</v>
      </c>
      <c r="AA10" s="50">
        <f t="shared" si="7"/>
        <v>3023.2304789710743</v>
      </c>
      <c r="AB10" s="51">
        <f t="shared" si="8"/>
        <v>272.49260963415793</v>
      </c>
      <c r="AC10" s="44">
        <f t="shared" si="8"/>
        <v>2826.2414499121942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1.3787827893853604</v>
      </c>
      <c r="AG10" s="44">
        <f t="shared" si="10"/>
        <v>2083.3407947612795</v>
      </c>
      <c r="AH10" s="52">
        <f>HLOOKUP(I10,ElecAvoidedCostsWOCC!$A$5:$Q$50,T10+1,FALSE)</f>
        <v>1.3787827893853604</v>
      </c>
      <c r="AI10" s="44">
        <f t="shared" si="11"/>
        <v>0</v>
      </c>
      <c r="AJ10" s="44">
        <f t="shared" si="12"/>
        <v>2083.3407947612795</v>
      </c>
      <c r="AK10" s="44">
        <f>HLOOKUP(I10,ElecAvoidedCostsWOCC!$A$5:$Q$50,G10+1,FALSE)*J10*L10</f>
        <v>0</v>
      </c>
      <c r="AL10" s="44">
        <f t="shared" si="13"/>
        <v>2083.3407947612795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2083.3407947612795</v>
      </c>
      <c r="AN10" s="48">
        <f t="shared" si="14"/>
        <v>2291.6748742374075</v>
      </c>
      <c r="AO10" s="47">
        <f t="shared" si="15"/>
        <v>7.6454946706933562</v>
      </c>
      <c r="AP10" s="47">
        <f t="shared" si="16"/>
        <v>0.81085601313667144</v>
      </c>
      <c r="AQ10">
        <v>2021</v>
      </c>
    </row>
    <row r="11" spans="1:43" ht="13.5" customHeight="1">
      <c r="A11" s="36" t="s">
        <v>251</v>
      </c>
      <c r="B11" s="97" t="s">
        <v>129</v>
      </c>
      <c r="C11" s="98">
        <v>18230715</v>
      </c>
      <c r="D11" s="61" t="s">
        <v>130</v>
      </c>
      <c r="E11" s="38" t="s">
        <v>994</v>
      </c>
      <c r="F11" s="39" t="s">
        <v>995</v>
      </c>
      <c r="G11" s="39">
        <v>15</v>
      </c>
      <c r="H11" s="39"/>
      <c r="I11" s="40" t="s">
        <v>256</v>
      </c>
      <c r="J11" s="41">
        <v>1</v>
      </c>
      <c r="K11" s="41">
        <v>219761</v>
      </c>
      <c r="L11" s="41"/>
      <c r="M11" s="42">
        <v>22900</v>
      </c>
      <c r="N11" s="42">
        <v>24646</v>
      </c>
      <c r="O11" s="43">
        <v>219761</v>
      </c>
      <c r="P11" s="44">
        <v>22900</v>
      </c>
      <c r="Q11" s="44">
        <v>24646</v>
      </c>
      <c r="R11" s="45"/>
      <c r="S11" s="46"/>
      <c r="T11" s="39">
        <f t="shared" si="0"/>
        <v>15</v>
      </c>
      <c r="U11" s="47">
        <f t="shared" si="1"/>
        <v>0.12014011764012555</v>
      </c>
      <c r="V11" s="48">
        <f t="shared" si="2"/>
        <v>1746</v>
      </c>
      <c r="W11" s="49">
        <f t="shared" si="3"/>
        <v>8.0093411760083708E-3</v>
      </c>
      <c r="X11" s="44">
        <f t="shared" si="4"/>
        <v>4568.3641754878936</v>
      </c>
      <c r="Y11" s="44">
        <f t="shared" si="5"/>
        <v>1746</v>
      </c>
      <c r="Z11" s="44">
        <f t="shared" si="6"/>
        <v>42393.852282133223</v>
      </c>
      <c r="AA11" s="50">
        <f t="shared" si="7"/>
        <v>29214.364175487892</v>
      </c>
      <c r="AB11" s="51">
        <f t="shared" si="8"/>
        <v>39631.534338724145</v>
      </c>
      <c r="AC11" s="44">
        <f t="shared" si="8"/>
        <v>27310.801323256885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226221.17877536305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226221.17877536305</v>
      </c>
      <c r="AK11" s="44">
        <f>HLOOKUP(I11,ElecAvoidedCostsWOCC!$A$5:$Q$50,G11+1,FALSE)*J11*L11</f>
        <v>0</v>
      </c>
      <c r="AL11" s="44">
        <f t="shared" si="13"/>
        <v>226221.17877536305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226221.17877536305</v>
      </c>
      <c r="AN11" s="48">
        <f t="shared" si="14"/>
        <v>248843.29665289939</v>
      </c>
      <c r="AO11" s="47">
        <f t="shared" si="15"/>
        <v>5.7081105374797803</v>
      </c>
      <c r="AP11" s="47">
        <f t="shared" si="16"/>
        <v>9.1115340669624914</v>
      </c>
      <c r="AQ11">
        <v>2021</v>
      </c>
    </row>
    <row r="12" spans="1:43" ht="13.5" customHeight="1">
      <c r="A12" s="55">
        <f>SUM(P5:P1000)</f>
        <v>4722671.5999999996</v>
      </c>
      <c r="B12" s="97" t="s">
        <v>129</v>
      </c>
      <c r="C12" s="98">
        <v>18230715</v>
      </c>
      <c r="D12" s="61" t="s">
        <v>130</v>
      </c>
      <c r="E12" s="38" t="s">
        <v>996</v>
      </c>
      <c r="F12" s="39" t="s">
        <v>997</v>
      </c>
      <c r="G12" s="39">
        <v>20</v>
      </c>
      <c r="H12" s="39"/>
      <c r="I12" s="40" t="s">
        <v>257</v>
      </c>
      <c r="J12" s="41">
        <v>1</v>
      </c>
      <c r="K12" s="41">
        <v>25282</v>
      </c>
      <c r="L12" s="41"/>
      <c r="M12" s="42">
        <v>4424</v>
      </c>
      <c r="N12" s="42">
        <v>4424</v>
      </c>
      <c r="O12" s="43">
        <v>25282</v>
      </c>
      <c r="P12" s="44">
        <v>4424</v>
      </c>
      <c r="Q12" s="44">
        <v>4424</v>
      </c>
      <c r="R12" s="45"/>
      <c r="S12" s="46"/>
      <c r="T12" s="39">
        <f t="shared" si="0"/>
        <v>20</v>
      </c>
      <c r="U12" s="47">
        <f t="shared" si="1"/>
        <v>1.8428398452122408E-2</v>
      </c>
      <c r="V12" s="48">
        <f t="shared" si="2"/>
        <v>0</v>
      </c>
      <c r="W12" s="49">
        <f t="shared" si="3"/>
        <v>9.2141992260612044E-4</v>
      </c>
      <c r="X12" s="44">
        <f t="shared" si="4"/>
        <v>525.55905317451652</v>
      </c>
      <c r="Y12" s="44">
        <f t="shared" si="5"/>
        <v>0</v>
      </c>
      <c r="Z12" s="44">
        <f t="shared" si="6"/>
        <v>4877.1227533406391</v>
      </c>
      <c r="AA12" s="50">
        <f t="shared" si="7"/>
        <v>4949.5590531745165</v>
      </c>
      <c r="AB12" s="51">
        <f t="shared" si="8"/>
        <v>4559.3369667576317</v>
      </c>
      <c r="AC12" s="44">
        <f t="shared" si="8"/>
        <v>4627.0534291619297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1.3192527795896587</v>
      </c>
      <c r="AG12" s="44">
        <f t="shared" si="10"/>
        <v>33353.348773585749</v>
      </c>
      <c r="AH12" s="52">
        <f>HLOOKUP(I12,ElecAvoidedCostsWOCC!$A$5:$Q$50,T12+1,FALSE)</f>
        <v>1.3192527795896587</v>
      </c>
      <c r="AI12" s="44">
        <f t="shared" si="11"/>
        <v>0</v>
      </c>
      <c r="AJ12" s="44">
        <f t="shared" si="12"/>
        <v>33353.348773585749</v>
      </c>
      <c r="AK12" s="44">
        <f>HLOOKUP(I12,ElecAvoidedCostsWOCC!$A$5:$Q$50,G12+1,FALSE)*J12*L12</f>
        <v>0</v>
      </c>
      <c r="AL12" s="44">
        <f t="shared" si="13"/>
        <v>33353.348773585749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33353.348773585749</v>
      </c>
      <c r="AN12" s="48">
        <f t="shared" si="14"/>
        <v>36688.683650944324</v>
      </c>
      <c r="AO12" s="47">
        <f t="shared" si="15"/>
        <v>7.3153945445942661</v>
      </c>
      <c r="AP12" s="47">
        <f t="shared" si="16"/>
        <v>7.929167927846799</v>
      </c>
      <c r="AQ12">
        <v>2021</v>
      </c>
    </row>
    <row r="13" spans="1:43" ht="13.5" customHeight="1">
      <c r="A13" s="56" t="s">
        <v>252</v>
      </c>
      <c r="B13" s="97" t="s">
        <v>129</v>
      </c>
      <c r="C13" s="98">
        <v>18230715</v>
      </c>
      <c r="D13" s="61" t="s">
        <v>130</v>
      </c>
      <c r="E13" s="38" t="s">
        <v>996</v>
      </c>
      <c r="F13" s="39" t="s">
        <v>997</v>
      </c>
      <c r="G13" s="39">
        <v>1</v>
      </c>
      <c r="H13" s="39"/>
      <c r="I13" s="40" t="s">
        <v>257</v>
      </c>
      <c r="J13" s="41">
        <v>1</v>
      </c>
      <c r="K13" s="41">
        <v>4056</v>
      </c>
      <c r="L13" s="41"/>
      <c r="M13" s="42">
        <v>3943</v>
      </c>
      <c r="N13" s="42">
        <v>3943</v>
      </c>
      <c r="O13" s="43">
        <v>4056</v>
      </c>
      <c r="P13" s="44">
        <v>3943</v>
      </c>
      <c r="Q13" s="44">
        <v>3943</v>
      </c>
      <c r="R13" s="45"/>
      <c r="S13" s="46"/>
      <c r="T13" s="39">
        <f t="shared" si="0"/>
        <v>1</v>
      </c>
      <c r="U13" s="47">
        <f t="shared" si="1"/>
        <v>1.4782371671902636E-4</v>
      </c>
      <c r="V13" s="48">
        <f t="shared" si="2"/>
        <v>0</v>
      </c>
      <c r="W13" s="49">
        <f t="shared" si="3"/>
        <v>1.4782371671902636E-4</v>
      </c>
      <c r="X13" s="44">
        <f t="shared" si="4"/>
        <v>84.315620586814305</v>
      </c>
      <c r="Y13" s="44">
        <f t="shared" si="5"/>
        <v>0</v>
      </c>
      <c r="Z13" s="44">
        <f t="shared" si="6"/>
        <v>782.43848934220523</v>
      </c>
      <c r="AA13" s="50">
        <f t="shared" si="7"/>
        <v>4027.3156205868145</v>
      </c>
      <c r="AB13" s="51">
        <f t="shared" si="8"/>
        <v>731.45600574198852</v>
      </c>
      <c r="AC13" s="44">
        <f t="shared" si="8"/>
        <v>3764.9019543674058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8.1625385732676276E-2</v>
      </c>
      <c r="AG13" s="44">
        <f t="shared" si="10"/>
        <v>331.072564531735</v>
      </c>
      <c r="AH13" s="52">
        <f>HLOOKUP(I13,ElecAvoidedCostsWOCC!$A$5:$Q$50,T13+1,FALSE)</f>
        <v>8.1625385732676276E-2</v>
      </c>
      <c r="AI13" s="44">
        <f t="shared" si="11"/>
        <v>0</v>
      </c>
      <c r="AJ13" s="44">
        <f t="shared" si="12"/>
        <v>331.072564531735</v>
      </c>
      <c r="AK13" s="44">
        <f>HLOOKUP(I13,ElecAvoidedCostsWOCC!$A$5:$Q$50,G13+1,FALSE)*J13*L13</f>
        <v>0</v>
      </c>
      <c r="AL13" s="44">
        <f t="shared" si="13"/>
        <v>331.072564531735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331.072564531735</v>
      </c>
      <c r="AN13" s="48">
        <f t="shared" si="14"/>
        <v>364.17982098490853</v>
      </c>
      <c r="AO13" s="47">
        <f t="shared" si="15"/>
        <v>0.45262129496892323</v>
      </c>
      <c r="AP13" s="47">
        <f t="shared" si="16"/>
        <v>9.6730227081331666E-2</v>
      </c>
      <c r="AQ13">
        <v>2021</v>
      </c>
    </row>
    <row r="14" spans="1:43" ht="13.5" customHeight="1">
      <c r="A14" s="55">
        <f>SUM(Y5:Y1000)</f>
        <v>1094457.4600000002</v>
      </c>
      <c r="B14" s="97" t="s">
        <v>129</v>
      </c>
      <c r="C14" s="98">
        <v>18230715</v>
      </c>
      <c r="D14" s="61" t="s">
        <v>130</v>
      </c>
      <c r="E14" s="38" t="s">
        <v>996</v>
      </c>
      <c r="F14" s="39" t="s">
        <v>997</v>
      </c>
      <c r="G14" s="39">
        <v>7</v>
      </c>
      <c r="H14" s="39"/>
      <c r="I14" s="40" t="s">
        <v>257</v>
      </c>
      <c r="J14" s="41">
        <v>1</v>
      </c>
      <c r="K14" s="41">
        <v>4892300</v>
      </c>
      <c r="L14" s="41"/>
      <c r="M14" s="42">
        <v>776511</v>
      </c>
      <c r="N14" s="42">
        <v>1256311</v>
      </c>
      <c r="O14" s="43">
        <v>4892300</v>
      </c>
      <c r="P14" s="44">
        <v>776511</v>
      </c>
      <c r="Q14" s="44">
        <v>1256311</v>
      </c>
      <c r="R14" s="45"/>
      <c r="S14" s="46"/>
      <c r="T14" s="39">
        <f t="shared" si="0"/>
        <v>7</v>
      </c>
      <c r="U14" s="47">
        <f t="shared" si="1"/>
        <v>1.2481227280896077</v>
      </c>
      <c r="V14" s="48">
        <f t="shared" si="2"/>
        <v>479800</v>
      </c>
      <c r="W14" s="49">
        <f t="shared" si="3"/>
        <v>0.17830324686994395</v>
      </c>
      <c r="X14" s="44">
        <f t="shared" si="4"/>
        <v>101700.52036412022</v>
      </c>
      <c r="Y14" s="44">
        <f t="shared" si="5"/>
        <v>479800</v>
      </c>
      <c r="Z14" s="44">
        <f t="shared" si="6"/>
        <v>943768.20054459339</v>
      </c>
      <c r="AA14" s="50">
        <f t="shared" si="7"/>
        <v>1358011.5203641201</v>
      </c>
      <c r="AB14" s="51">
        <f t="shared" si="8"/>
        <v>882273.72211329651</v>
      </c>
      <c r="AC14" s="44">
        <f t="shared" si="8"/>
        <v>1269525.5869534635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0.51471879727314174</v>
      </c>
      <c r="AG14" s="44">
        <f t="shared" si="10"/>
        <v>2518158.7718993914</v>
      </c>
      <c r="AH14" s="52">
        <f>HLOOKUP(I14,ElecAvoidedCostsWOCC!$A$5:$Q$50,T14+1,FALSE)</f>
        <v>0.51471879727314174</v>
      </c>
      <c r="AI14" s="44">
        <f t="shared" si="11"/>
        <v>0</v>
      </c>
      <c r="AJ14" s="44">
        <f t="shared" si="12"/>
        <v>2518158.7718993914</v>
      </c>
      <c r="AK14" s="44">
        <f>HLOOKUP(I14,ElecAvoidedCostsWOCC!$A$5:$Q$50,G14+1,FALSE)*J14*L14</f>
        <v>0</v>
      </c>
      <c r="AL14" s="44">
        <f t="shared" si="13"/>
        <v>2518158.7718993914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2518158.7718993914</v>
      </c>
      <c r="AN14" s="48">
        <f t="shared" si="14"/>
        <v>2769974.6490893308</v>
      </c>
      <c r="AO14" s="47">
        <f t="shared" si="15"/>
        <v>2.854169526740165</v>
      </c>
      <c r="AP14" s="47">
        <f t="shared" si="16"/>
        <v>2.1818974564636866</v>
      </c>
      <c r="AQ14">
        <v>2021</v>
      </c>
    </row>
    <row r="15" spans="1:43" ht="13.5" customHeight="1">
      <c r="A15" s="57" t="s">
        <v>253</v>
      </c>
      <c r="B15" s="97" t="s">
        <v>129</v>
      </c>
      <c r="C15" s="98">
        <v>18230715</v>
      </c>
      <c r="D15" s="61" t="s">
        <v>130</v>
      </c>
      <c r="E15" s="38" t="s">
        <v>996</v>
      </c>
      <c r="F15" s="39" t="s">
        <v>997</v>
      </c>
      <c r="G15" s="39">
        <v>10</v>
      </c>
      <c r="H15" s="39"/>
      <c r="I15" s="40" t="s">
        <v>257</v>
      </c>
      <c r="J15" s="41">
        <v>1</v>
      </c>
      <c r="K15" s="41">
        <v>283870</v>
      </c>
      <c r="L15" s="41"/>
      <c r="M15" s="42">
        <v>49678</v>
      </c>
      <c r="N15" s="42">
        <v>91384</v>
      </c>
      <c r="O15" s="43">
        <v>283870</v>
      </c>
      <c r="P15" s="44">
        <v>49678</v>
      </c>
      <c r="Q15" s="44">
        <v>91384</v>
      </c>
      <c r="R15" s="45"/>
      <c r="S15" s="46"/>
      <c r="T15" s="39">
        <f t="shared" si="0"/>
        <v>10</v>
      </c>
      <c r="U15" s="47">
        <f t="shared" si="1"/>
        <v>0.10345837885855526</v>
      </c>
      <c r="V15" s="48">
        <f t="shared" si="2"/>
        <v>41706</v>
      </c>
      <c r="W15" s="49">
        <f t="shared" si="3"/>
        <v>1.0345837885855526E-2</v>
      </c>
      <c r="X15" s="44">
        <f t="shared" si="4"/>
        <v>5901.0540473320953</v>
      </c>
      <c r="Y15" s="44">
        <f t="shared" si="5"/>
        <v>41706</v>
      </c>
      <c r="Z15" s="44">
        <f t="shared" si="6"/>
        <v>54761.048809066029</v>
      </c>
      <c r="AA15" s="50">
        <f t="shared" si="7"/>
        <v>97285.054047332102</v>
      </c>
      <c r="AB15" s="51">
        <f t="shared" si="8"/>
        <v>51192.903439343761</v>
      </c>
      <c r="AC15" s="44">
        <f t="shared" si="8"/>
        <v>90946.11016858193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0.7278724357900942</v>
      </c>
      <c r="AG15" s="44">
        <f t="shared" si="10"/>
        <v>206621.14834773404</v>
      </c>
      <c r="AH15" s="52">
        <f>HLOOKUP(I15,ElecAvoidedCostsWOCC!$A$5:$Q$50,T15+1,FALSE)</f>
        <v>0.7278724357900942</v>
      </c>
      <c r="AI15" s="44">
        <f t="shared" si="11"/>
        <v>0</v>
      </c>
      <c r="AJ15" s="44">
        <f t="shared" si="12"/>
        <v>206621.14834773404</v>
      </c>
      <c r="AK15" s="44">
        <f>HLOOKUP(I15,ElecAvoidedCostsWOCC!$A$5:$Q$50,G15+1,FALSE)*J15*L15</f>
        <v>0</v>
      </c>
      <c r="AL15" s="44">
        <f t="shared" si="13"/>
        <v>206621.14834773404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206621.14834773404</v>
      </c>
      <c r="AN15" s="48">
        <f t="shared" si="14"/>
        <v>227283.26318250745</v>
      </c>
      <c r="AO15" s="47">
        <f t="shared" si="15"/>
        <v>4.0361287300797546</v>
      </c>
      <c r="AP15" s="47">
        <f t="shared" si="16"/>
        <v>2.4990982325819613</v>
      </c>
      <c r="AQ15">
        <v>2021</v>
      </c>
    </row>
    <row r="16" spans="1:43" ht="13.5" customHeight="1">
      <c r="A16" s="54">
        <f>SUM(U5:U999)</f>
        <v>16.494743383531073</v>
      </c>
      <c r="B16" s="97" t="s">
        <v>129</v>
      </c>
      <c r="C16" s="98">
        <v>18230715</v>
      </c>
      <c r="D16" s="61" t="s">
        <v>130</v>
      </c>
      <c r="E16" s="38" t="s">
        <v>996</v>
      </c>
      <c r="F16" s="39" t="s">
        <v>997</v>
      </c>
      <c r="G16" s="39">
        <v>11</v>
      </c>
      <c r="H16" s="39"/>
      <c r="I16" s="40" t="s">
        <v>257</v>
      </c>
      <c r="J16" s="41">
        <v>1</v>
      </c>
      <c r="K16" s="41">
        <v>123798</v>
      </c>
      <c r="L16" s="41"/>
      <c r="M16" s="42">
        <v>21665</v>
      </c>
      <c r="N16" s="42">
        <v>32477</v>
      </c>
      <c r="O16" s="43">
        <v>123798</v>
      </c>
      <c r="P16" s="44">
        <v>21665</v>
      </c>
      <c r="Q16" s="44">
        <v>32477</v>
      </c>
      <c r="R16" s="45"/>
      <c r="S16" s="46"/>
      <c r="T16" s="39">
        <f t="shared" si="0"/>
        <v>11</v>
      </c>
      <c r="U16" s="47">
        <f t="shared" si="1"/>
        <v>4.9630938191864468E-2</v>
      </c>
      <c r="V16" s="48">
        <f t="shared" si="2"/>
        <v>10812</v>
      </c>
      <c r="W16" s="49">
        <f t="shared" si="3"/>
        <v>4.5119034719876792E-3</v>
      </c>
      <c r="X16" s="44">
        <f t="shared" si="4"/>
        <v>2573.497336638668</v>
      </c>
      <c r="Y16" s="44">
        <f t="shared" si="5"/>
        <v>10812</v>
      </c>
      <c r="Z16" s="44">
        <f t="shared" si="6"/>
        <v>23881.735725736275</v>
      </c>
      <c r="AA16" s="50">
        <f t="shared" si="7"/>
        <v>35050.497336638669</v>
      </c>
      <c r="AB16" s="51">
        <f t="shared" si="8"/>
        <v>22325.638707802442</v>
      </c>
      <c r="AC16" s="44">
        <f t="shared" si="8"/>
        <v>32766.661060707364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0.79881822463794228</v>
      </c>
      <c r="AG16" s="44">
        <f t="shared" si="10"/>
        <v>98892.098573727984</v>
      </c>
      <c r="AH16" s="52">
        <f>HLOOKUP(I16,ElecAvoidedCostsWOCC!$A$5:$Q$50,T16+1,FALSE)</f>
        <v>0.79881822463794228</v>
      </c>
      <c r="AI16" s="44">
        <f t="shared" si="11"/>
        <v>0</v>
      </c>
      <c r="AJ16" s="44">
        <f t="shared" si="12"/>
        <v>98892.098573727984</v>
      </c>
      <c r="AK16" s="44">
        <f>HLOOKUP(I16,ElecAvoidedCostsWOCC!$A$5:$Q$50,G16+1,FALSE)*J16*L16</f>
        <v>0</v>
      </c>
      <c r="AL16" s="44">
        <f t="shared" si="13"/>
        <v>98892.098573727984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98892.098573727984</v>
      </c>
      <c r="AN16" s="48">
        <f t="shared" si="14"/>
        <v>108781.3084311008</v>
      </c>
      <c r="AO16" s="47">
        <f t="shared" si="15"/>
        <v>4.4295305441437085</v>
      </c>
      <c r="AP16" s="47">
        <f t="shared" si="16"/>
        <v>3.3198777327222868</v>
      </c>
      <c r="AQ16">
        <v>2021</v>
      </c>
    </row>
    <row r="17" spans="1:43" ht="13.5" customHeight="1">
      <c r="A17" s="58" t="s">
        <v>254</v>
      </c>
      <c r="B17" s="97" t="s">
        <v>129</v>
      </c>
      <c r="C17" s="98">
        <v>18230715</v>
      </c>
      <c r="D17" s="61" t="s">
        <v>130</v>
      </c>
      <c r="E17" s="38" t="s">
        <v>996</v>
      </c>
      <c r="F17" s="39" t="s">
        <v>997</v>
      </c>
      <c r="G17" s="39">
        <v>13</v>
      </c>
      <c r="H17" s="39"/>
      <c r="I17" s="40" t="s">
        <v>257</v>
      </c>
      <c r="J17" s="41">
        <v>1</v>
      </c>
      <c r="K17" s="41">
        <v>263694</v>
      </c>
      <c r="L17" s="41"/>
      <c r="M17" s="42">
        <v>46146</v>
      </c>
      <c r="N17" s="42">
        <v>106818</v>
      </c>
      <c r="O17" s="43">
        <v>263694</v>
      </c>
      <c r="P17" s="44">
        <v>46146</v>
      </c>
      <c r="Q17" s="44">
        <v>106818</v>
      </c>
      <c r="R17" s="45"/>
      <c r="S17" s="46"/>
      <c r="T17" s="39">
        <f t="shared" si="0"/>
        <v>13</v>
      </c>
      <c r="U17" s="47">
        <f t="shared" si="1"/>
        <v>0.12493662550162481</v>
      </c>
      <c r="V17" s="48">
        <f t="shared" si="2"/>
        <v>60672</v>
      </c>
      <c r="W17" s="49">
        <f t="shared" si="3"/>
        <v>9.6105096539711391E-3</v>
      </c>
      <c r="X17" s="44">
        <f t="shared" si="4"/>
        <v>5481.6378833874287</v>
      </c>
      <c r="Y17" s="44">
        <f t="shared" si="5"/>
        <v>60672</v>
      </c>
      <c r="Z17" s="44">
        <f t="shared" si="6"/>
        <v>50868.91888772275</v>
      </c>
      <c r="AA17" s="50">
        <f t="shared" si="7"/>
        <v>112299.63788338743</v>
      </c>
      <c r="AB17" s="51">
        <f t="shared" si="8"/>
        <v>47554.378692832332</v>
      </c>
      <c r="AC17" s="44">
        <f t="shared" si="8"/>
        <v>104982.36690977603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0.93164439687846989</v>
      </c>
      <c r="AG17" s="44">
        <f t="shared" si="10"/>
        <v>245669.03759047124</v>
      </c>
      <c r="AH17" s="52">
        <f>HLOOKUP(I17,ElecAvoidedCostsWOCC!$A$5:$Q$50,T17+1,FALSE)</f>
        <v>0.93164439687846989</v>
      </c>
      <c r="AI17" s="44">
        <f t="shared" si="11"/>
        <v>0</v>
      </c>
      <c r="AJ17" s="44">
        <f t="shared" si="12"/>
        <v>245669.03759047124</v>
      </c>
      <c r="AK17" s="44">
        <f>HLOOKUP(I17,ElecAvoidedCostsWOCC!$A$5:$Q$50,G17+1,FALSE)*J17*L17</f>
        <v>0</v>
      </c>
      <c r="AL17" s="44">
        <f t="shared" si="13"/>
        <v>245669.03759047124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245669.03759047124</v>
      </c>
      <c r="AN17" s="48">
        <f t="shared" si="14"/>
        <v>270235.94134951837</v>
      </c>
      <c r="AO17" s="47">
        <f t="shared" si="15"/>
        <v>5.1660655515514051</v>
      </c>
      <c r="AP17" s="47">
        <f t="shared" si="16"/>
        <v>2.5741079126341724</v>
      </c>
      <c r="AQ17">
        <v>2021</v>
      </c>
    </row>
    <row r="18" spans="1:43" ht="13.5" customHeight="1">
      <c r="A18" s="59">
        <f>A6+A8</f>
        <v>5293051.12</v>
      </c>
      <c r="B18" s="97" t="s">
        <v>129</v>
      </c>
      <c r="C18" s="98">
        <v>18230715</v>
      </c>
      <c r="D18" s="61" t="s">
        <v>130</v>
      </c>
      <c r="E18" s="38" t="s">
        <v>996</v>
      </c>
      <c r="F18" s="39" t="s">
        <v>997</v>
      </c>
      <c r="G18" s="39">
        <v>15</v>
      </c>
      <c r="H18" s="39"/>
      <c r="I18" s="40" t="s">
        <v>257</v>
      </c>
      <c r="J18" s="41">
        <v>1</v>
      </c>
      <c r="K18" s="41">
        <v>31273</v>
      </c>
      <c r="L18" s="41"/>
      <c r="M18" s="42">
        <v>6136</v>
      </c>
      <c r="N18" s="42">
        <v>6136</v>
      </c>
      <c r="O18" s="43">
        <v>31273</v>
      </c>
      <c r="P18" s="44">
        <v>6136</v>
      </c>
      <c r="Q18" s="44">
        <v>6136</v>
      </c>
      <c r="R18" s="45"/>
      <c r="S18" s="46"/>
      <c r="T18" s="39">
        <f t="shared" si="0"/>
        <v>15</v>
      </c>
      <c r="U18" s="47">
        <f t="shared" si="1"/>
        <v>1.7096490728380591E-2</v>
      </c>
      <c r="V18" s="48">
        <f t="shared" si="2"/>
        <v>0</v>
      </c>
      <c r="W18" s="49">
        <f t="shared" si="3"/>
        <v>1.1397660485587061E-3</v>
      </c>
      <c r="X18" s="44">
        <f t="shared" si="4"/>
        <v>650.09921168921198</v>
      </c>
      <c r="Y18" s="44">
        <f t="shared" si="5"/>
        <v>0</v>
      </c>
      <c r="Z18" s="44">
        <f t="shared" si="6"/>
        <v>6032.8399598616334</v>
      </c>
      <c r="AA18" s="50">
        <f t="shared" si="7"/>
        <v>6786.0992116892121</v>
      </c>
      <c r="AB18" s="51">
        <f t="shared" si="8"/>
        <v>5639.7494249430993</v>
      </c>
      <c r="AC18" s="44">
        <f t="shared" si="8"/>
        <v>6343.9274672237179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1.0545904948077327</v>
      </c>
      <c r="AG18" s="44">
        <f t="shared" si="10"/>
        <v>32980.208544122223</v>
      </c>
      <c r="AH18" s="52">
        <f>HLOOKUP(I18,ElecAvoidedCostsWOCC!$A$5:$Q$50,T18+1,FALSE)</f>
        <v>1.0545904948077327</v>
      </c>
      <c r="AI18" s="44">
        <f t="shared" si="11"/>
        <v>0</v>
      </c>
      <c r="AJ18" s="44">
        <f t="shared" si="12"/>
        <v>32980.208544122223</v>
      </c>
      <c r="AK18" s="44">
        <f>HLOOKUP(I18,ElecAvoidedCostsWOCC!$A$5:$Q$50,G18+1,FALSE)*J18*L18</f>
        <v>0</v>
      </c>
      <c r="AL18" s="44">
        <f t="shared" si="13"/>
        <v>32980.208544122223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32980.208544122223</v>
      </c>
      <c r="AN18" s="48">
        <f t="shared" si="14"/>
        <v>36278.229398534451</v>
      </c>
      <c r="AO18" s="47">
        <f t="shared" si="15"/>
        <v>5.8478145142866813</v>
      </c>
      <c r="AP18" s="47">
        <f t="shared" si="16"/>
        <v>5.7185756908426368</v>
      </c>
      <c r="AQ18">
        <v>2021</v>
      </c>
    </row>
    <row r="19" spans="1:43" ht="13.5" customHeight="1">
      <c r="A19" s="58" t="s">
        <v>231</v>
      </c>
      <c r="B19" s="97" t="s">
        <v>129</v>
      </c>
      <c r="C19" s="98">
        <v>18230715</v>
      </c>
      <c r="D19" s="61" t="s">
        <v>130</v>
      </c>
      <c r="E19" s="38" t="s">
        <v>996</v>
      </c>
      <c r="F19" s="39" t="s">
        <v>997</v>
      </c>
      <c r="G19" s="39">
        <v>20</v>
      </c>
      <c r="H19" s="39"/>
      <c r="I19" s="40" t="s">
        <v>257</v>
      </c>
      <c r="J19" s="41">
        <v>1</v>
      </c>
      <c r="K19" s="41">
        <v>88510</v>
      </c>
      <c r="L19" s="41"/>
      <c r="M19" s="42">
        <v>6446</v>
      </c>
      <c r="N19" s="42">
        <v>6446</v>
      </c>
      <c r="O19" s="43">
        <v>88510</v>
      </c>
      <c r="P19" s="44">
        <v>6446</v>
      </c>
      <c r="Q19" s="44">
        <v>6446</v>
      </c>
      <c r="R19" s="45"/>
      <c r="S19" s="46"/>
      <c r="T19" s="39">
        <f t="shared" si="0"/>
        <v>20</v>
      </c>
      <c r="U19" s="47">
        <f t="shared" si="1"/>
        <v>6.4516159599610573E-2</v>
      </c>
      <c r="V19" s="48">
        <f t="shared" si="2"/>
        <v>0</v>
      </c>
      <c r="W19" s="49">
        <f t="shared" si="3"/>
        <v>3.2258079799805284E-3</v>
      </c>
      <c r="X19" s="44">
        <f t="shared" si="4"/>
        <v>1839.9348072334649</v>
      </c>
      <c r="Y19" s="44">
        <f t="shared" si="5"/>
        <v>0</v>
      </c>
      <c r="Z19" s="44">
        <f t="shared" si="6"/>
        <v>17074.366541340874</v>
      </c>
      <c r="AA19" s="50">
        <f t="shared" si="7"/>
        <v>8285.9348072334651</v>
      </c>
      <c r="AB19" s="51">
        <f t="shared" si="8"/>
        <v>15961.827186445613</v>
      </c>
      <c r="AC19" s="44">
        <f t="shared" si="8"/>
        <v>7746.0360916457548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1.3192527795896587</v>
      </c>
      <c r="AG19" s="44">
        <f t="shared" si="10"/>
        <v>116767.0635214807</v>
      </c>
      <c r="AH19" s="52">
        <f>HLOOKUP(I19,ElecAvoidedCostsWOCC!$A$5:$Q$50,T19+1,FALSE)</f>
        <v>1.3192527795896587</v>
      </c>
      <c r="AI19" s="44">
        <f t="shared" si="11"/>
        <v>0</v>
      </c>
      <c r="AJ19" s="44">
        <f t="shared" si="12"/>
        <v>116767.0635214807</v>
      </c>
      <c r="AK19" s="44">
        <f>HLOOKUP(I19,ElecAvoidedCostsWOCC!$A$5:$Q$50,G19+1,FALSE)*J19*L19</f>
        <v>0</v>
      </c>
      <c r="AL19" s="44">
        <f t="shared" si="13"/>
        <v>116767.0635214807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116767.0635214807</v>
      </c>
      <c r="AN19" s="48">
        <f t="shared" si="14"/>
        <v>128443.76987362877</v>
      </c>
      <c r="AO19" s="47">
        <f t="shared" si="15"/>
        <v>7.315394544594267</v>
      </c>
      <c r="AP19" s="47">
        <f t="shared" si="16"/>
        <v>16.581870824505682</v>
      </c>
      <c r="AQ19">
        <v>2021</v>
      </c>
    </row>
    <row r="20" spans="1:43" ht="13.5" customHeight="1">
      <c r="A20" s="59">
        <f>A8+SUM(Q5:Q906)</f>
        <v>6387508.580000001</v>
      </c>
      <c r="B20" s="97" t="s">
        <v>129</v>
      </c>
      <c r="C20" s="98">
        <v>18230715</v>
      </c>
      <c r="D20" s="61" t="s">
        <v>130</v>
      </c>
      <c r="E20" s="38" t="s">
        <v>1002</v>
      </c>
      <c r="F20" s="39" t="s">
        <v>1003</v>
      </c>
      <c r="G20" s="39">
        <v>15</v>
      </c>
      <c r="H20" s="39"/>
      <c r="I20" s="40" t="s">
        <v>256</v>
      </c>
      <c r="J20" s="41">
        <v>1</v>
      </c>
      <c r="K20" s="41">
        <v>7604</v>
      </c>
      <c r="L20" s="41"/>
      <c r="M20" s="42">
        <v>2281</v>
      </c>
      <c r="N20" s="42">
        <v>2281</v>
      </c>
      <c r="O20" s="43">
        <v>7604</v>
      </c>
      <c r="P20" s="44">
        <v>2281</v>
      </c>
      <c r="Q20" s="44">
        <v>2281</v>
      </c>
      <c r="R20" s="45"/>
      <c r="S20" s="46"/>
      <c r="T20" s="39">
        <f t="shared" si="0"/>
        <v>15</v>
      </c>
      <c r="U20" s="47">
        <f t="shared" si="1"/>
        <v>4.1569953473797206E-3</v>
      </c>
      <c r="V20" s="48">
        <f t="shared" si="2"/>
        <v>0</v>
      </c>
      <c r="W20" s="49">
        <f t="shared" si="3"/>
        <v>2.7713302315864806E-4</v>
      </c>
      <c r="X20" s="44">
        <f t="shared" si="4"/>
        <v>158.0710007253787</v>
      </c>
      <c r="Y20" s="44">
        <f t="shared" si="5"/>
        <v>0</v>
      </c>
      <c r="Z20" s="44">
        <f t="shared" si="6"/>
        <v>1466.8792586188681</v>
      </c>
      <c r="AA20" s="50">
        <f t="shared" si="7"/>
        <v>2439.0710007253788</v>
      </c>
      <c r="AB20" s="51">
        <f t="shared" si="8"/>
        <v>1371.2996715143199</v>
      </c>
      <c r="AC20" s="44">
        <f t="shared" si="8"/>
        <v>2280.1449011174896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1.0293963841416951</v>
      </c>
      <c r="AG20" s="44">
        <f t="shared" si="10"/>
        <v>7827.5301050134494</v>
      </c>
      <c r="AH20" s="52">
        <f>HLOOKUP(I20,ElecAvoidedCostsWOCC!$A$5:$Q$50,T20+1,FALSE)</f>
        <v>1.0293963841416951</v>
      </c>
      <c r="AI20" s="44">
        <f t="shared" si="11"/>
        <v>0</v>
      </c>
      <c r="AJ20" s="44">
        <f t="shared" si="12"/>
        <v>7827.5301050134494</v>
      </c>
      <c r="AK20" s="44">
        <f>HLOOKUP(I20,ElecAvoidedCostsWOCC!$A$5:$Q$50,G20+1,FALSE)*J20*L20</f>
        <v>0</v>
      </c>
      <c r="AL20" s="44">
        <f t="shared" si="13"/>
        <v>7827.5301050134494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7827.5301050134494</v>
      </c>
      <c r="AN20" s="48">
        <f t="shared" si="14"/>
        <v>8610.2831155147942</v>
      </c>
      <c r="AO20" s="47">
        <f t="shared" si="15"/>
        <v>5.7081105374797794</v>
      </c>
      <c r="AP20" s="47">
        <f t="shared" si="16"/>
        <v>3.7761999736485738</v>
      </c>
      <c r="AQ20">
        <v>2021</v>
      </c>
    </row>
    <row r="21" spans="1:43" ht="13.5" customHeight="1">
      <c r="A21" s="58" t="s">
        <v>245</v>
      </c>
      <c r="B21" s="97" t="s">
        <v>129</v>
      </c>
      <c r="C21" s="98">
        <v>18230715</v>
      </c>
      <c r="D21" s="61" t="s">
        <v>130</v>
      </c>
      <c r="E21" s="38" t="s">
        <v>976</v>
      </c>
      <c r="F21" s="39" t="s">
        <v>977</v>
      </c>
      <c r="G21" s="39">
        <v>15</v>
      </c>
      <c r="H21" s="39"/>
      <c r="I21" s="40" t="s">
        <v>257</v>
      </c>
      <c r="J21" s="41">
        <v>1</v>
      </c>
      <c r="K21" s="41">
        <v>1422037</v>
      </c>
      <c r="L21" s="41"/>
      <c r="M21" s="42">
        <v>407348</v>
      </c>
      <c r="N21" s="42">
        <v>440817</v>
      </c>
      <c r="O21" s="43">
        <v>1422037</v>
      </c>
      <c r="P21" s="44">
        <v>407348</v>
      </c>
      <c r="Q21" s="44">
        <v>440817</v>
      </c>
      <c r="R21" s="45"/>
      <c r="S21" s="46"/>
      <c r="T21" s="39">
        <f t="shared" si="0"/>
        <v>15</v>
      </c>
      <c r="U21" s="47">
        <f t="shared" si="1"/>
        <v>0.77740678495552551</v>
      </c>
      <c r="V21" s="48">
        <f t="shared" si="2"/>
        <v>33469</v>
      </c>
      <c r="W21" s="49">
        <f t="shared" si="3"/>
        <v>5.1827118997035036E-2</v>
      </c>
      <c r="X21" s="44">
        <f t="shared" si="4"/>
        <v>29561.127256511751</v>
      </c>
      <c r="Y21" s="44">
        <f t="shared" si="5"/>
        <v>33469</v>
      </c>
      <c r="Z21" s="44">
        <f t="shared" si="6"/>
        <v>274323.59025362961</v>
      </c>
      <c r="AA21" s="50">
        <f t="shared" si="7"/>
        <v>470378.12725651177</v>
      </c>
      <c r="AB21" s="51">
        <f t="shared" ref="AB21:AC24" si="18">Z21/(1+ElecDiscountRate)^1</f>
        <v>256449.08876659771</v>
      </c>
      <c r="AC21" s="44">
        <f t="shared" si="18"/>
        <v>439729.01491681009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1.0545904948077327</v>
      </c>
      <c r="AG21" s="44">
        <f t="shared" si="10"/>
        <v>1499666.7034649039</v>
      </c>
      <c r="AH21" s="52">
        <f>HLOOKUP(I21,ElecAvoidedCostsWOCC!$A$5:$Q$50,T21+1,FALSE)</f>
        <v>1.0545904948077327</v>
      </c>
      <c r="AI21" s="44">
        <f t="shared" si="11"/>
        <v>0</v>
      </c>
      <c r="AJ21" s="44">
        <f t="shared" si="12"/>
        <v>1499666.7034649039</v>
      </c>
      <c r="AK21" s="44">
        <f>HLOOKUP(I21,ElecAvoidedCostsWOCC!$A$5:$Q$50,G21+1,FALSE)*J21*L21</f>
        <v>0</v>
      </c>
      <c r="AL21" s="44">
        <f t="shared" si="13"/>
        <v>1499666.7034649039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1499666.7034649039</v>
      </c>
      <c r="AN21" s="48">
        <f t="shared" si="14"/>
        <v>1649633.3738113944</v>
      </c>
      <c r="AO21" s="47">
        <f t="shared" si="15"/>
        <v>5.8478145142866822</v>
      </c>
      <c r="AP21" s="47">
        <f t="shared" si="16"/>
        <v>3.751477200392336</v>
      </c>
      <c r="AQ21">
        <v>2021</v>
      </c>
    </row>
    <row r="22" spans="1:43" ht="13.5" customHeight="1">
      <c r="A22" s="60">
        <f>(SUM(AM5:AM1000)/(SUM(AB5:AB1000)))</f>
        <v>6.2594849792873521</v>
      </c>
      <c r="B22" s="97" t="s">
        <v>129</v>
      </c>
      <c r="C22" s="98">
        <v>18230715</v>
      </c>
      <c r="D22" s="61" t="s">
        <v>130</v>
      </c>
      <c r="E22" s="38" t="s">
        <v>1012</v>
      </c>
      <c r="F22" s="39" t="s">
        <v>1013</v>
      </c>
      <c r="G22" s="39">
        <v>20</v>
      </c>
      <c r="H22" s="39"/>
      <c r="I22" s="40" t="s">
        <v>260</v>
      </c>
      <c r="J22" s="41">
        <v>1</v>
      </c>
      <c r="K22" s="41">
        <v>112241</v>
      </c>
      <c r="L22" s="41"/>
      <c r="M22" s="42">
        <v>16988</v>
      </c>
      <c r="N22" s="42">
        <v>24268</v>
      </c>
      <c r="O22" s="43">
        <v>112241</v>
      </c>
      <c r="P22" s="44">
        <v>16988</v>
      </c>
      <c r="Q22" s="44">
        <v>24268</v>
      </c>
      <c r="R22" s="45"/>
      <c r="S22" s="46"/>
      <c r="T22" s="39">
        <f t="shared" si="0"/>
        <v>20</v>
      </c>
      <c r="U22" s="47">
        <f t="shared" si="1"/>
        <v>8.1814012762624455E-2</v>
      </c>
      <c r="V22" s="48">
        <f t="shared" si="2"/>
        <v>7280</v>
      </c>
      <c r="W22" s="49">
        <f t="shared" si="3"/>
        <v>4.0907006381312224E-3</v>
      </c>
      <c r="X22" s="44">
        <f t="shared" si="4"/>
        <v>2333.2518664409822</v>
      </c>
      <c r="Y22" s="44">
        <f t="shared" si="5"/>
        <v>7280</v>
      </c>
      <c r="Z22" s="44">
        <f t="shared" si="6"/>
        <v>21652.287594245183</v>
      </c>
      <c r="AA22" s="50">
        <f t="shared" si="7"/>
        <v>26601.251866440984</v>
      </c>
      <c r="AB22" s="51">
        <f t="shared" si="18"/>
        <v>20241.457973492736</v>
      </c>
      <c r="AC22" s="44">
        <f t="shared" si="18"/>
        <v>24867.955376685968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1.2592865625776986</v>
      </c>
      <c r="AG22" s="44">
        <f t="shared" si="10"/>
        <v>141343.58307028346</v>
      </c>
      <c r="AH22" s="52">
        <f>HLOOKUP(I22,ElecAvoidedCostsWOCC!$A$5:$Q$50,T22+1,FALSE)</f>
        <v>1.2592865625776986</v>
      </c>
      <c r="AI22" s="44">
        <f t="shared" si="11"/>
        <v>0</v>
      </c>
      <c r="AJ22" s="44">
        <f t="shared" si="12"/>
        <v>141343.58307028346</v>
      </c>
      <c r="AK22" s="44">
        <f>HLOOKUP(I22,ElecAvoidedCostsWOCC!$A$5:$Q$50,G22+1,FALSE)*J22*L22</f>
        <v>0</v>
      </c>
      <c r="AL22" s="44">
        <f t="shared" si="13"/>
        <v>141343.58307028346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141343.58307028346</v>
      </c>
      <c r="AN22" s="48">
        <f t="shared" si="14"/>
        <v>155477.94137731183</v>
      </c>
      <c r="AO22" s="47">
        <f t="shared" si="15"/>
        <v>6.9828756038908066</v>
      </c>
      <c r="AP22" s="47">
        <f t="shared" si="16"/>
        <v>6.2521401145457425</v>
      </c>
      <c r="AQ22">
        <v>2021</v>
      </c>
    </row>
    <row r="23" spans="1:43" ht="13.5" customHeight="1">
      <c r="A23" s="58" t="s">
        <v>246</v>
      </c>
      <c r="B23" s="97" t="s">
        <v>129</v>
      </c>
      <c r="C23" s="98">
        <v>18230715</v>
      </c>
      <c r="D23" s="61" t="s">
        <v>130</v>
      </c>
      <c r="E23" s="38" t="s">
        <v>1016</v>
      </c>
      <c r="F23" s="39" t="s">
        <v>1017</v>
      </c>
      <c r="G23" s="39">
        <v>10</v>
      </c>
      <c r="H23" s="39"/>
      <c r="I23" s="40" t="s">
        <v>256</v>
      </c>
      <c r="J23" s="41">
        <v>1</v>
      </c>
      <c r="K23" s="41">
        <v>20216</v>
      </c>
      <c r="L23" s="41"/>
      <c r="M23" s="42">
        <v>7076</v>
      </c>
      <c r="N23" s="42">
        <v>12000</v>
      </c>
      <c r="O23" s="43">
        <v>20216</v>
      </c>
      <c r="P23" s="44">
        <v>7076</v>
      </c>
      <c r="Q23" s="44">
        <v>12000</v>
      </c>
      <c r="R23" s="45"/>
      <c r="S23" s="46"/>
      <c r="T23" s="39">
        <f t="shared" si="0"/>
        <v>10</v>
      </c>
      <c r="U23" s="47">
        <f t="shared" si="1"/>
        <v>7.3678605946544302E-3</v>
      </c>
      <c r="V23" s="48">
        <f t="shared" si="2"/>
        <v>4924</v>
      </c>
      <c r="W23" s="49">
        <f t="shared" si="3"/>
        <v>7.36786059465443E-4</v>
      </c>
      <c r="X23" s="44">
        <f t="shared" si="4"/>
        <v>420.24767894059119</v>
      </c>
      <c r="Y23" s="44">
        <f t="shared" si="5"/>
        <v>4924</v>
      </c>
      <c r="Z23" s="44">
        <f t="shared" si="6"/>
        <v>3899.8462772539497</v>
      </c>
      <c r="AA23" s="50">
        <f t="shared" si="7"/>
        <v>12420.247678940592</v>
      </c>
      <c r="AB23" s="51">
        <f t="shared" si="18"/>
        <v>3645.7383165877809</v>
      </c>
      <c r="AC23" s="44">
        <f t="shared" si="18"/>
        <v>11610.96352149256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0.70839718084543712</v>
      </c>
      <c r="AG23" s="44">
        <f t="shared" si="10"/>
        <v>14320.957407971357</v>
      </c>
      <c r="AH23" s="52">
        <f>HLOOKUP(I23,ElecAvoidedCostsWOCC!$A$5:$Q$50,T23+1,FALSE)</f>
        <v>0.70839718084543712</v>
      </c>
      <c r="AI23" s="44">
        <f t="shared" si="11"/>
        <v>0</v>
      </c>
      <c r="AJ23" s="44">
        <f t="shared" si="12"/>
        <v>14320.957407971357</v>
      </c>
      <c r="AK23" s="44">
        <f>HLOOKUP(I23,ElecAvoidedCostsWOCC!$A$5:$Q$50,G23+1,FALSE)*J23*L23</f>
        <v>0</v>
      </c>
      <c r="AL23" s="44">
        <f t="shared" si="13"/>
        <v>14320.957407971357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14320.957407971357</v>
      </c>
      <c r="AN23" s="48">
        <f t="shared" si="14"/>
        <v>15753.053148768493</v>
      </c>
      <c r="AO23" s="47">
        <f t="shared" si="15"/>
        <v>3.9281364059543962</v>
      </c>
      <c r="AP23" s="47">
        <f t="shared" si="16"/>
        <v>1.3567395263630522</v>
      </c>
      <c r="AQ23">
        <v>2021</v>
      </c>
    </row>
    <row r="24" spans="1:43" ht="13.5" customHeight="1">
      <c r="A24" s="60">
        <f>(SUM(AN5:AN1000)/SUM(AC5:AC1000))</f>
        <v>5.7056598706383443</v>
      </c>
      <c r="B24" s="97" t="s">
        <v>129</v>
      </c>
      <c r="C24" s="98">
        <v>18230715</v>
      </c>
      <c r="D24" s="61" t="s">
        <v>130</v>
      </c>
      <c r="E24" s="38" t="s">
        <v>1018</v>
      </c>
      <c r="F24" s="39" t="s">
        <v>1019</v>
      </c>
      <c r="G24" s="39">
        <v>20</v>
      </c>
      <c r="H24" s="39"/>
      <c r="I24" s="40" t="s">
        <v>261</v>
      </c>
      <c r="J24" s="41">
        <v>1</v>
      </c>
      <c r="K24" s="41">
        <v>50058</v>
      </c>
      <c r="L24" s="41"/>
      <c r="M24" s="42">
        <v>12673</v>
      </c>
      <c r="N24" s="42">
        <v>43595</v>
      </c>
      <c r="O24" s="43">
        <v>50058</v>
      </c>
      <c r="P24" s="44">
        <v>12673</v>
      </c>
      <c r="Q24" s="44">
        <v>43595</v>
      </c>
      <c r="R24" s="45"/>
      <c r="S24" s="46"/>
      <c r="T24" s="39">
        <f t="shared" si="0"/>
        <v>20</v>
      </c>
      <c r="U24" s="47">
        <f t="shared" si="1"/>
        <v>3.6487966526237779E-2</v>
      </c>
      <c r="V24" s="48">
        <f t="shared" si="2"/>
        <v>30922</v>
      </c>
      <c r="W24" s="49">
        <f t="shared" si="3"/>
        <v>1.824398326311889E-3</v>
      </c>
      <c r="X24" s="44">
        <f t="shared" si="4"/>
        <v>1040.5994416505796</v>
      </c>
      <c r="Y24" s="44">
        <f t="shared" si="5"/>
        <v>30922</v>
      </c>
      <c r="Z24" s="44">
        <f t="shared" si="6"/>
        <v>9656.6336044112704</v>
      </c>
      <c r="AA24" s="50">
        <f t="shared" si="7"/>
        <v>44635.599441650578</v>
      </c>
      <c r="AB24" s="51">
        <f t="shared" si="18"/>
        <v>9027.4222720494254</v>
      </c>
      <c r="AC24" s="44">
        <f t="shared" si="18"/>
        <v>41727.212715388028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1.7025958820263232</v>
      </c>
      <c r="AG24" s="44">
        <f t="shared" si="10"/>
        <v>85228.54466247368</v>
      </c>
      <c r="AH24" s="52">
        <f>HLOOKUP(I24,ElecAvoidedCostsWOCC!$A$5:$Q$50,T24+1,FALSE)</f>
        <v>1.7025958820263232</v>
      </c>
      <c r="AI24" s="44">
        <f t="shared" si="11"/>
        <v>0</v>
      </c>
      <c r="AJ24" s="44">
        <f t="shared" si="12"/>
        <v>85228.54466247368</v>
      </c>
      <c r="AK24" s="44">
        <f>HLOOKUP(I24,ElecAvoidedCostsWOCC!$A$5:$Q$50,G24+1,FALSE)*J24*L24</f>
        <v>0</v>
      </c>
      <c r="AL24" s="44">
        <f t="shared" si="13"/>
        <v>85228.54466247368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85228.54466247368</v>
      </c>
      <c r="AN24" s="48">
        <f t="shared" si="14"/>
        <v>93751.399128721052</v>
      </c>
      <c r="AO24" s="47">
        <f t="shared" si="15"/>
        <v>9.441072112728909</v>
      </c>
      <c r="AP24" s="47">
        <f t="shared" si="16"/>
        <v>2.2467687877495761</v>
      </c>
      <c r="AQ24">
        <v>2021</v>
      </c>
    </row>
    <row r="25" spans="1:43" ht="13.5" customHeight="1">
      <c r="B25" s="97" t="s">
        <v>129</v>
      </c>
      <c r="C25" s="98">
        <v>18230715</v>
      </c>
      <c r="D25" s="61" t="s">
        <v>130</v>
      </c>
      <c r="E25" s="38" t="s">
        <v>1032</v>
      </c>
      <c r="F25" s="39" t="s">
        <v>1033</v>
      </c>
      <c r="G25" s="39">
        <v>15</v>
      </c>
      <c r="H25" s="39"/>
      <c r="I25" s="40" t="s">
        <v>257</v>
      </c>
      <c r="J25" s="41">
        <v>1</v>
      </c>
      <c r="K25" s="41">
        <v>10639</v>
      </c>
      <c r="L25" s="41"/>
      <c r="M25" s="42">
        <v>1862</v>
      </c>
      <c r="N25" s="42">
        <v>1862</v>
      </c>
      <c r="O25" s="43">
        <v>10639</v>
      </c>
      <c r="P25" s="44">
        <v>1862</v>
      </c>
      <c r="Q25" s="44">
        <v>1862</v>
      </c>
      <c r="R25" s="45"/>
      <c r="S25" s="46"/>
      <c r="T25" s="39">
        <f>G25+H25</f>
        <v>15</v>
      </c>
      <c r="U25" s="47">
        <f>(O25/$A$10)*T25</f>
        <v>5.8161853630684969E-3</v>
      </c>
      <c r="V25" s="48">
        <f>N25-M25</f>
        <v>0</v>
      </c>
      <c r="W25" s="49">
        <f>(O25/A$10)</f>
        <v>3.877456908712331E-4</v>
      </c>
      <c r="X25" s="44">
        <f>W25*A$8</f>
        <v>221.16220104120251</v>
      </c>
      <c r="Y25" s="44">
        <f>Q25-P25</f>
        <v>0</v>
      </c>
      <c r="Z25" s="44">
        <f>X25+(A$6*W25)</f>
        <v>2052.3577633411542</v>
      </c>
      <c r="AA25" s="50">
        <f>Q25+X25</f>
        <v>2083.1622010412025</v>
      </c>
      <c r="AB25" s="51">
        <f t="shared" ref="AB25:AC27" si="19">Z25/(1+ElecDiscountRate)^1</f>
        <v>1918.6293010574498</v>
      </c>
      <c r="AC25" s="44">
        <f t="shared" si="19"/>
        <v>1947.4265691700498</v>
      </c>
      <c r="AD25" s="44">
        <f>-PV(ElecDiscountRate,T25,R25)*J25</f>
        <v>0</v>
      </c>
      <c r="AE25" s="44">
        <f>-PV(ElecDiscountRate,T25,S25)*J25</f>
        <v>0</v>
      </c>
      <c r="AF25" s="52">
        <f>HLOOKUP(I25,ElecAvoidedCostsWOCC!$A$5:$Q$50,G25+1,FALSE)</f>
        <v>1.0545904948077327</v>
      </c>
      <c r="AG25" s="44">
        <f>AF25*J25*K25</f>
        <v>11219.788274259468</v>
      </c>
      <c r="AH25" s="52">
        <f>HLOOKUP(I25,ElecAvoidedCostsWOCC!$A$5:$Q$50,T25+1,FALSE)</f>
        <v>1.0545904948077327</v>
      </c>
      <c r="AI25" s="44">
        <f>AH25*J25*L25</f>
        <v>0</v>
      </c>
      <c r="AJ25" s="44">
        <f>AG25+AI25</f>
        <v>11219.788274259468</v>
      </c>
      <c r="AK25" s="44">
        <f>HLOOKUP(I25,ElecAvoidedCostsWOCC!$A$5:$Q$50,G25+1,FALSE)*J25*L25</f>
        <v>0</v>
      </c>
      <c r="AL25" s="44">
        <f>AG25+AI25-AK25</f>
        <v>11219.788274259468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11219.788274259468</v>
      </c>
      <c r="AN25" s="48">
        <f>AM25*1.1+AD25+AE25</f>
        <v>12341.767101685416</v>
      </c>
      <c r="AO25" s="47">
        <f>IFERROR(AM25/AB25,0)</f>
        <v>5.8478145142866831</v>
      </c>
      <c r="AP25" s="47">
        <f>AN25/AC25</f>
        <v>6.3374749513380655</v>
      </c>
      <c r="AQ25">
        <v>2021</v>
      </c>
    </row>
    <row r="26" spans="1:43" ht="13.5" customHeight="1">
      <c r="B26" s="97" t="s">
        <v>129</v>
      </c>
      <c r="C26" s="61">
        <v>18230715</v>
      </c>
      <c r="D26" s="61" t="s">
        <v>130</v>
      </c>
      <c r="E26" s="38" t="s">
        <v>1054</v>
      </c>
      <c r="F26" s="39" t="s">
        <v>1055</v>
      </c>
      <c r="G26" s="39">
        <v>15</v>
      </c>
      <c r="H26" s="39"/>
      <c r="I26" s="40" t="s">
        <v>255</v>
      </c>
      <c r="J26" s="41">
        <v>1</v>
      </c>
      <c r="K26" s="41"/>
      <c r="L26" s="41"/>
      <c r="M26" s="42"/>
      <c r="N26" s="42"/>
      <c r="O26" s="43">
        <v>0</v>
      </c>
      <c r="P26" s="44">
        <v>0</v>
      </c>
      <c r="Q26" s="44">
        <v>0</v>
      </c>
      <c r="R26" s="45"/>
      <c r="S26" s="46"/>
      <c r="T26" s="39">
        <f>G26+H26</f>
        <v>15</v>
      </c>
      <c r="U26" s="47">
        <f>(O26/$A$10)*T26</f>
        <v>0</v>
      </c>
      <c r="V26" s="48">
        <f>N26-M26</f>
        <v>0</v>
      </c>
      <c r="W26" s="49">
        <f>(O26/A$10)</f>
        <v>0</v>
      </c>
      <c r="X26" s="44">
        <f>W26*A$8</f>
        <v>0</v>
      </c>
      <c r="Y26" s="44">
        <f>Q26-P26</f>
        <v>0</v>
      </c>
      <c r="Z26" s="44">
        <f>X26+(A$6*W26)</f>
        <v>0</v>
      </c>
      <c r="AA26" s="50">
        <f>Q26+X26</f>
        <v>0</v>
      </c>
      <c r="AB26" s="51">
        <f t="shared" si="19"/>
        <v>0</v>
      </c>
      <c r="AC26" s="44">
        <f t="shared" si="19"/>
        <v>0</v>
      </c>
      <c r="AD26" s="44">
        <f>-PV(ElecDiscountRate,T26,R26)*J26</f>
        <v>0</v>
      </c>
      <c r="AE26" s="44">
        <f>-PV(ElecDiscountRate,T26,S26)*J26</f>
        <v>0</v>
      </c>
      <c r="AF26" s="52">
        <f>HLOOKUP(I26,ElecAvoidedCostsWOCC!$A$5:$Q$50,G26+1,FALSE)</f>
        <v>1.0178775471043147</v>
      </c>
      <c r="AG26" s="44">
        <f>AF26*J26*K26</f>
        <v>0</v>
      </c>
      <c r="AH26" s="52">
        <f>HLOOKUP(I26,ElecAvoidedCostsWOCC!$A$5:$Q$50,T26+1,FALSE)</f>
        <v>1.0178775471043147</v>
      </c>
      <c r="AI26" s="44">
        <f>AH26*J26*L26</f>
        <v>0</v>
      </c>
      <c r="AJ26" s="44">
        <f>AG26+AI26</f>
        <v>0</v>
      </c>
      <c r="AK26" s="44">
        <f>HLOOKUP(I26,ElecAvoidedCostsWOCC!$A$5:$Q$50,G26+1,FALSE)*J26*L26</f>
        <v>0</v>
      </c>
      <c r="AL26" s="44">
        <f>AG26+AI26-AK26</f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>AM26*1.1+AD26+AE26</f>
        <v>0</v>
      </c>
      <c r="AO26" s="47">
        <f>IFERROR(AM26/AB26,0)</f>
        <v>0</v>
      </c>
      <c r="AP26" s="47" t="e">
        <f>AN26/AC26</f>
        <v>#DIV/0!</v>
      </c>
      <c r="AQ26">
        <v>2020</v>
      </c>
    </row>
    <row r="27" spans="1:43" ht="13.5" customHeight="1">
      <c r="B27" s="97" t="s">
        <v>129</v>
      </c>
      <c r="C27" s="61">
        <v>18230715</v>
      </c>
      <c r="D27" s="61" t="s">
        <v>130</v>
      </c>
      <c r="E27" s="38" t="s">
        <v>974</v>
      </c>
      <c r="F27" s="39" t="s">
        <v>975</v>
      </c>
      <c r="G27" s="39">
        <v>15</v>
      </c>
      <c r="H27" s="39"/>
      <c r="I27" s="40" t="s">
        <v>261</v>
      </c>
      <c r="J27" s="41">
        <v>1</v>
      </c>
      <c r="K27" s="41">
        <v>873680</v>
      </c>
      <c r="L27" s="41"/>
      <c r="M27" s="42">
        <v>270186</v>
      </c>
      <c r="N27" s="42">
        <v>270186</v>
      </c>
      <c r="O27" s="43">
        <v>873680</v>
      </c>
      <c r="P27" s="44">
        <v>270186</v>
      </c>
      <c r="Q27" s="44">
        <v>270186</v>
      </c>
      <c r="R27" s="45"/>
      <c r="S27" s="46"/>
      <c r="T27" s="39">
        <f>G27+H27</f>
        <v>15</v>
      </c>
      <c r="U27" s="47">
        <f>(O27/$A$10)*T27</f>
        <v>0.47762805038120915</v>
      </c>
      <c r="V27" s="48">
        <f>N27-M27</f>
        <v>0</v>
      </c>
      <c r="W27" s="49">
        <f>(O27/A$10)</f>
        <v>3.1841870025413943E-2</v>
      </c>
      <c r="X27" s="44">
        <f>W27*A$8</f>
        <v>18161.950540998008</v>
      </c>
      <c r="Y27" s="44">
        <f>Q27-P27</f>
        <v>0</v>
      </c>
      <c r="Z27" s="44">
        <f>X27+(A$6*W27)</f>
        <v>168540.64580091171</v>
      </c>
      <c r="AA27" s="50">
        <f>Q27+X27</f>
        <v>288347.95054099802</v>
      </c>
      <c r="AB27" s="51">
        <f t="shared" si="19"/>
        <v>157558.79760765794</v>
      </c>
      <c r="AC27" s="44">
        <f t="shared" si="19"/>
        <v>269559.64339627745</v>
      </c>
      <c r="AD27" s="44">
        <f>-PV(ElecDiscountRate,T27,R27)*J27</f>
        <v>0</v>
      </c>
      <c r="AE27" s="44">
        <f>-PV(ElecDiscountRate,T27,S27)*J27</f>
        <v>0</v>
      </c>
      <c r="AF27" s="52">
        <f>HLOOKUP(I27,ElecAvoidedCostsWOCC!$A$5:$Q$50,G27+1,FALSE)</f>
        <v>1.3787827893853604</v>
      </c>
      <c r="AG27" s="44">
        <f>AF27*J27*K27</f>
        <v>1204614.9474302016</v>
      </c>
      <c r="AH27" s="52">
        <f>HLOOKUP(I27,ElecAvoidedCostsWOCC!$A$5:$Q$50,T27+1,FALSE)</f>
        <v>1.3787827893853604</v>
      </c>
      <c r="AI27" s="44">
        <f>AH27*J27*L27</f>
        <v>0</v>
      </c>
      <c r="AJ27" s="44">
        <f>AG27+AI27</f>
        <v>1204614.9474302016</v>
      </c>
      <c r="AK27" s="44">
        <f>HLOOKUP(I27,ElecAvoidedCostsWOCC!$A$5:$Q$50,G27+1,FALSE)*J27*L27</f>
        <v>0</v>
      </c>
      <c r="AL27" s="44">
        <f>AG27+AI27-AK27</f>
        <v>1204614.9474302016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1204614.9474302016</v>
      </c>
      <c r="AN27" s="48">
        <f>AM27*1.1+AD27+AE27</f>
        <v>1325076.4421732218</v>
      </c>
      <c r="AO27" s="47">
        <f>IFERROR(AM27/AB27,0)</f>
        <v>7.6454946706933544</v>
      </c>
      <c r="AP27" s="47">
        <f>AN27/AC27</f>
        <v>4.9157078020957226</v>
      </c>
      <c r="AQ27">
        <v>2020</v>
      </c>
    </row>
    <row r="28" spans="1:43" ht="13.5" customHeight="1">
      <c r="B28" s="97" t="s">
        <v>129</v>
      </c>
      <c r="C28" s="61">
        <v>18230715</v>
      </c>
      <c r="D28" s="61" t="s">
        <v>130</v>
      </c>
      <c r="E28" s="38" t="s">
        <v>974</v>
      </c>
      <c r="F28" s="39" t="s">
        <v>975</v>
      </c>
      <c r="G28" s="39">
        <v>15</v>
      </c>
      <c r="H28" s="39"/>
      <c r="I28" s="40" t="s">
        <v>261</v>
      </c>
      <c r="J28" s="41">
        <v>1</v>
      </c>
      <c r="K28" s="41">
        <v>577326</v>
      </c>
      <c r="L28" s="41"/>
      <c r="M28" s="42">
        <v>170946</v>
      </c>
      <c r="N28" s="42">
        <v>170946</v>
      </c>
      <c r="O28" s="43">
        <v>577326</v>
      </c>
      <c r="P28" s="44">
        <v>170946</v>
      </c>
      <c r="Q28" s="44">
        <v>170946</v>
      </c>
      <c r="R28" s="45"/>
      <c r="S28" s="46"/>
      <c r="T28" s="39">
        <f t="shared" ref="T28:T57" si="20">G28+H28</f>
        <v>15</v>
      </c>
      <c r="U28" s="47">
        <f t="shared" ref="U28:U57" si="21">(O28/$A$10)*T28</f>
        <v>0.31561566227266502</v>
      </c>
      <c r="V28" s="48">
        <f t="shared" ref="V28:V57" si="22">N28-M28</f>
        <v>0</v>
      </c>
      <c r="W28" s="49">
        <f t="shared" ref="W28:W57" si="23">(O28/A$10)</f>
        <v>2.1041044151511E-2</v>
      </c>
      <c r="X28" s="44">
        <f t="shared" ref="X28:X57" si="24">W28*A$8</f>
        <v>12001.380663437661</v>
      </c>
      <c r="Y28" s="44">
        <f t="shared" ref="Y28:Y57" si="25">Q28-P28</f>
        <v>0</v>
      </c>
      <c r="Z28" s="44">
        <f t="shared" ref="Z28:Z57" si="26">X28+(A$6*W28)</f>
        <v>111371.32231212476</v>
      </c>
      <c r="AA28" s="50">
        <f t="shared" ref="AA28:AA57" si="27">Q28+X28</f>
        <v>182947.38066343765</v>
      </c>
      <c r="AB28" s="51">
        <f t="shared" ref="AB28:AB57" si="28">Z28/(1+ElecDiscountRate)^1</f>
        <v>104114.53894748504</v>
      </c>
      <c r="AC28" s="44">
        <f t="shared" ref="AC28:AC57" si="29">AA28/(1+ElecDiscountRate)^1</f>
        <v>171026.81187570127</v>
      </c>
      <c r="AD28" s="44">
        <f t="shared" ref="AD28:AD57" si="30">-PV(ElecDiscountRate,T28,R28)*J28</f>
        <v>0</v>
      </c>
      <c r="AE28" s="44">
        <f t="shared" ref="AE28:AE57" si="31">-PV(ElecDiscountRate,T28,S28)*J28</f>
        <v>0</v>
      </c>
      <c r="AF28" s="52">
        <f>HLOOKUP(I28,ElecAvoidedCostsWOCC!$A$5:$Q$50,G28+1,FALSE)</f>
        <v>1.3787827893853604</v>
      </c>
      <c r="AG28" s="44">
        <f t="shared" ref="AG28:AG57" si="32">AF28*J28*K28</f>
        <v>796007.15266469261</v>
      </c>
      <c r="AH28" s="52">
        <f>HLOOKUP(I28,ElecAvoidedCostsWOCC!$A$5:$Q$50,T28+1,FALSE)</f>
        <v>1.3787827893853604</v>
      </c>
      <c r="AI28" s="44">
        <f t="shared" ref="AI28:AI57" si="33">AH28*J28*L28</f>
        <v>0</v>
      </c>
      <c r="AJ28" s="44">
        <f t="shared" ref="AJ28:AJ57" si="34">AG28+AI28</f>
        <v>796007.15266469261</v>
      </c>
      <c r="AK28" s="44">
        <f>HLOOKUP(I28,ElecAvoidedCostsWOCC!$A$5:$Q$50,G28+1,FALSE)*J28*L28</f>
        <v>0</v>
      </c>
      <c r="AL28" s="44">
        <f t="shared" ref="AL28:AL57" si="35">AG28+AI28-AK28</f>
        <v>796007.15266469261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796007.15266469261</v>
      </c>
      <c r="AN28" s="48">
        <f t="shared" ref="AN28:AN57" si="36">AM28*1.1+AD28+AE28</f>
        <v>875607.86793116189</v>
      </c>
      <c r="AO28" s="47">
        <f t="shared" ref="AO28:AO57" si="37">IFERROR(AM28/AB28,0)</f>
        <v>7.6454946706933553</v>
      </c>
      <c r="AP28" s="47">
        <f t="shared" ref="AP28:AP57" si="38">AN28/AC28</f>
        <v>5.1197111045228132</v>
      </c>
      <c r="AQ28">
        <v>2020</v>
      </c>
    </row>
    <row r="29" spans="1:43">
      <c r="B29" s="97" t="s">
        <v>129</v>
      </c>
      <c r="C29" s="61">
        <v>18230715</v>
      </c>
      <c r="D29" s="61" t="s">
        <v>130</v>
      </c>
      <c r="E29" s="38" t="s">
        <v>974</v>
      </c>
      <c r="F29" s="39" t="s">
        <v>975</v>
      </c>
      <c r="G29" s="39">
        <v>15</v>
      </c>
      <c r="H29" s="39"/>
      <c r="I29" s="40" t="s">
        <v>261</v>
      </c>
      <c r="J29" s="41">
        <v>1</v>
      </c>
      <c r="K29" s="41">
        <v>98280</v>
      </c>
      <c r="L29" s="41"/>
      <c r="M29" s="42">
        <v>29484</v>
      </c>
      <c r="N29" s="42">
        <v>29524.1</v>
      </c>
      <c r="O29" s="43">
        <v>98280</v>
      </c>
      <c r="P29" s="44">
        <v>29484</v>
      </c>
      <c r="Q29" s="44">
        <v>29524.1</v>
      </c>
      <c r="R29" s="45"/>
      <c r="S29" s="46"/>
      <c r="T29" s="39">
        <f t="shared" si="20"/>
        <v>15</v>
      </c>
      <c r="U29" s="47">
        <f t="shared" si="21"/>
        <v>5.3728235499799964E-2</v>
      </c>
      <c r="V29" s="48">
        <f t="shared" si="22"/>
        <v>40.099999999998545</v>
      </c>
      <c r="W29" s="49">
        <f t="shared" si="23"/>
        <v>3.5818823666533312E-3</v>
      </c>
      <c r="X29" s="44">
        <f t="shared" si="24"/>
        <v>2043.0323449881928</v>
      </c>
      <c r="Y29" s="44">
        <f t="shared" si="25"/>
        <v>40.099999999998545</v>
      </c>
      <c r="Z29" s="44">
        <f t="shared" si="26"/>
        <v>18959.086472522667</v>
      </c>
      <c r="AA29" s="50">
        <f t="shared" si="27"/>
        <v>31567.132344988193</v>
      </c>
      <c r="AB29" s="51">
        <f t="shared" si="28"/>
        <v>17723.741677594342</v>
      </c>
      <c r="AC29" s="44">
        <f t="shared" si="29"/>
        <v>29510.266752349435</v>
      </c>
      <c r="AD29" s="44">
        <f t="shared" si="30"/>
        <v>0</v>
      </c>
      <c r="AE29" s="44">
        <f t="shared" si="31"/>
        <v>0</v>
      </c>
      <c r="AF29" s="52">
        <f>HLOOKUP(I29,ElecAvoidedCostsWOCC!$A$5:$Q$50,G29+1,FALSE)</f>
        <v>1.3787827893853604</v>
      </c>
      <c r="AG29" s="44">
        <f t="shared" si="32"/>
        <v>135506.77254079323</v>
      </c>
      <c r="AH29" s="52">
        <f>HLOOKUP(I29,ElecAvoidedCostsWOCC!$A$5:$Q$50,T29+1,FALSE)</f>
        <v>1.3787827893853604</v>
      </c>
      <c r="AI29" s="44">
        <f t="shared" si="33"/>
        <v>0</v>
      </c>
      <c r="AJ29" s="44">
        <f t="shared" si="34"/>
        <v>135506.77254079323</v>
      </c>
      <c r="AK29" s="44">
        <f>HLOOKUP(I29,ElecAvoidedCostsWOCC!$A$5:$Q$50,G29+1,FALSE)*J29*L29</f>
        <v>0</v>
      </c>
      <c r="AL29" s="44">
        <f t="shared" si="35"/>
        <v>135506.77254079323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135506.77254079323</v>
      </c>
      <c r="AN29" s="48">
        <f t="shared" si="36"/>
        <v>149057.44979487258</v>
      </c>
      <c r="AO29" s="47">
        <f t="shared" si="37"/>
        <v>7.6454946706933544</v>
      </c>
      <c r="AP29" s="47">
        <f t="shared" si="38"/>
        <v>5.051037018599823</v>
      </c>
      <c r="AQ29">
        <v>2020</v>
      </c>
    </row>
    <row r="30" spans="1:43">
      <c r="B30" s="97" t="s">
        <v>129</v>
      </c>
      <c r="C30" s="61">
        <v>18230715</v>
      </c>
      <c r="D30" s="61" t="s">
        <v>130</v>
      </c>
      <c r="E30" s="38" t="s">
        <v>990</v>
      </c>
      <c r="F30" s="39" t="s">
        <v>991</v>
      </c>
      <c r="G30" s="39">
        <v>15</v>
      </c>
      <c r="H30" s="39"/>
      <c r="I30" s="40" t="s">
        <v>256</v>
      </c>
      <c r="J30" s="41">
        <v>1</v>
      </c>
      <c r="K30" s="41">
        <v>741</v>
      </c>
      <c r="L30" s="41"/>
      <c r="M30" s="42">
        <v>592</v>
      </c>
      <c r="N30" s="42">
        <v>17352</v>
      </c>
      <c r="O30" s="43">
        <v>741</v>
      </c>
      <c r="P30" s="44">
        <v>592</v>
      </c>
      <c r="Q30" s="44">
        <v>17352</v>
      </c>
      <c r="R30" s="45"/>
      <c r="S30" s="46"/>
      <c r="T30" s="39">
        <f t="shared" si="20"/>
        <v>15</v>
      </c>
      <c r="U30" s="47">
        <f t="shared" si="21"/>
        <v>4.0509383908579345E-4</v>
      </c>
      <c r="V30" s="48">
        <f t="shared" si="22"/>
        <v>16760</v>
      </c>
      <c r="W30" s="49">
        <f t="shared" si="23"/>
        <v>2.7006255939052895E-5</v>
      </c>
      <c r="X30" s="44">
        <f t="shared" si="24"/>
        <v>15.403815299514152</v>
      </c>
      <c r="Y30" s="44">
        <f t="shared" si="25"/>
        <v>16760</v>
      </c>
      <c r="Z30" s="44">
        <f t="shared" si="26"/>
        <v>142.9454932452106</v>
      </c>
      <c r="AA30" s="50">
        <f t="shared" si="27"/>
        <v>17367.403815299513</v>
      </c>
      <c r="AB30" s="51">
        <f t="shared" si="28"/>
        <v>133.63138566440179</v>
      </c>
      <c r="AC30" s="44">
        <f t="shared" si="29"/>
        <v>16235.770604187634</v>
      </c>
      <c r="AD30" s="44">
        <f t="shared" si="30"/>
        <v>0</v>
      </c>
      <c r="AE30" s="44">
        <f t="shared" si="31"/>
        <v>0</v>
      </c>
      <c r="AF30" s="52">
        <f>HLOOKUP(I30,ElecAvoidedCostsWOCC!$A$5:$Q$50,G30+1,FALSE)</f>
        <v>1.0293963841416951</v>
      </c>
      <c r="AG30" s="44">
        <f t="shared" si="32"/>
        <v>762.78272064899602</v>
      </c>
      <c r="AH30" s="52">
        <f>HLOOKUP(I30,ElecAvoidedCostsWOCC!$A$5:$Q$50,T30+1,FALSE)</f>
        <v>1.0293963841416951</v>
      </c>
      <c r="AI30" s="44">
        <f t="shared" si="33"/>
        <v>0</v>
      </c>
      <c r="AJ30" s="44">
        <f t="shared" si="34"/>
        <v>762.78272064899602</v>
      </c>
      <c r="AK30" s="44">
        <f>HLOOKUP(I30,ElecAvoidedCostsWOCC!$A$5:$Q$50,G30+1,FALSE)*J30*L30</f>
        <v>0</v>
      </c>
      <c r="AL30" s="44">
        <f t="shared" si="35"/>
        <v>762.78272064899602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762.78272064899602</v>
      </c>
      <c r="AN30" s="48">
        <f t="shared" si="36"/>
        <v>839.06099271389564</v>
      </c>
      <c r="AO30" s="47">
        <f t="shared" si="37"/>
        <v>5.7081105374797785</v>
      </c>
      <c r="AP30" s="47">
        <f t="shared" si="38"/>
        <v>5.167977628961324E-2</v>
      </c>
      <c r="AQ30">
        <v>2020</v>
      </c>
    </row>
    <row r="31" spans="1:43">
      <c r="B31" s="97" t="s">
        <v>129</v>
      </c>
      <c r="C31" s="61">
        <v>18230715</v>
      </c>
      <c r="D31" s="61" t="s">
        <v>130</v>
      </c>
      <c r="E31" s="38" t="s">
        <v>990</v>
      </c>
      <c r="F31" s="39" t="s">
        <v>991</v>
      </c>
      <c r="G31" s="39">
        <v>15</v>
      </c>
      <c r="H31" s="39"/>
      <c r="I31" s="40" t="s">
        <v>256</v>
      </c>
      <c r="J31" s="41">
        <v>1</v>
      </c>
      <c r="K31" s="41">
        <v>771</v>
      </c>
      <c r="L31" s="41"/>
      <c r="M31" s="42">
        <v>592.79999999999995</v>
      </c>
      <c r="N31" s="42">
        <v>1492.82</v>
      </c>
      <c r="O31" s="43">
        <v>771</v>
      </c>
      <c r="P31" s="44">
        <v>592.79999999999995</v>
      </c>
      <c r="Q31" s="44">
        <v>1492.82</v>
      </c>
      <c r="R31" s="45"/>
      <c r="S31" s="46"/>
      <c r="T31" s="39">
        <f t="shared" si="20"/>
        <v>15</v>
      </c>
      <c r="U31" s="47">
        <f t="shared" si="21"/>
        <v>4.214943993726676E-4</v>
      </c>
      <c r="V31" s="48">
        <f t="shared" si="22"/>
        <v>900.02</v>
      </c>
      <c r="W31" s="49">
        <f t="shared" si="23"/>
        <v>2.8099626624844508E-5</v>
      </c>
      <c r="X31" s="44">
        <f t="shared" si="24"/>
        <v>16.027451546458046</v>
      </c>
      <c r="Y31" s="44">
        <f t="shared" si="25"/>
        <v>900.02</v>
      </c>
      <c r="Z31" s="44">
        <f t="shared" si="26"/>
        <v>148.73276017821505</v>
      </c>
      <c r="AA31" s="50">
        <f t="shared" si="27"/>
        <v>1508.8474515464579</v>
      </c>
      <c r="AB31" s="51">
        <f t="shared" si="28"/>
        <v>139.04156322166497</v>
      </c>
      <c r="AC31" s="44">
        <f t="shared" si="29"/>
        <v>1410.5332818046722</v>
      </c>
      <c r="AD31" s="44">
        <f t="shared" si="30"/>
        <v>0</v>
      </c>
      <c r="AE31" s="44">
        <f t="shared" si="31"/>
        <v>0</v>
      </c>
      <c r="AF31" s="52">
        <f>HLOOKUP(I31,ElecAvoidedCostsWOCC!$A$5:$Q$50,G31+1,FALSE)</f>
        <v>1.0293963841416951</v>
      </c>
      <c r="AG31" s="44">
        <f t="shared" si="32"/>
        <v>793.66461217324695</v>
      </c>
      <c r="AH31" s="52">
        <f>HLOOKUP(I31,ElecAvoidedCostsWOCC!$A$5:$Q$50,T31+1,FALSE)</f>
        <v>1.0293963841416951</v>
      </c>
      <c r="AI31" s="44">
        <f t="shared" si="33"/>
        <v>0</v>
      </c>
      <c r="AJ31" s="44">
        <f t="shared" si="34"/>
        <v>793.66461217324695</v>
      </c>
      <c r="AK31" s="44">
        <f>HLOOKUP(I31,ElecAvoidedCostsWOCC!$A$5:$Q$50,G31+1,FALSE)*J31*L31</f>
        <v>0</v>
      </c>
      <c r="AL31" s="44">
        <f t="shared" si="35"/>
        <v>793.66461217324695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793.66461217324695</v>
      </c>
      <c r="AN31" s="48">
        <f t="shared" si="36"/>
        <v>873.03107339057169</v>
      </c>
      <c r="AO31" s="47">
        <f t="shared" si="37"/>
        <v>5.7081105374797803</v>
      </c>
      <c r="AP31" s="47">
        <f t="shared" si="38"/>
        <v>0.61893688341305464</v>
      </c>
      <c r="AQ31">
        <v>2020</v>
      </c>
    </row>
    <row r="32" spans="1:43">
      <c r="B32" s="97" t="s">
        <v>129</v>
      </c>
      <c r="C32" s="61">
        <v>18230715</v>
      </c>
      <c r="D32" s="61" t="s">
        <v>130</v>
      </c>
      <c r="E32" s="38" t="s">
        <v>992</v>
      </c>
      <c r="F32" s="39" t="s">
        <v>993</v>
      </c>
      <c r="G32" s="39">
        <v>10</v>
      </c>
      <c r="H32" s="39"/>
      <c r="I32" s="40" t="s">
        <v>261</v>
      </c>
      <c r="J32" s="41">
        <v>1</v>
      </c>
      <c r="K32" s="41">
        <v>24960</v>
      </c>
      <c r="L32" s="41"/>
      <c r="M32" s="42">
        <v>9600</v>
      </c>
      <c r="N32" s="42">
        <v>26442</v>
      </c>
      <c r="O32" s="43">
        <v>24960</v>
      </c>
      <c r="P32" s="44">
        <v>9600</v>
      </c>
      <c r="Q32" s="44">
        <v>26442</v>
      </c>
      <c r="R32" s="45"/>
      <c r="S32" s="46"/>
      <c r="T32" s="39">
        <f t="shared" si="20"/>
        <v>10</v>
      </c>
      <c r="U32" s="47">
        <f t="shared" si="21"/>
        <v>9.0968441057862389E-3</v>
      </c>
      <c r="V32" s="48">
        <f t="shared" si="22"/>
        <v>16842</v>
      </c>
      <c r="W32" s="49">
        <f t="shared" si="23"/>
        <v>9.0968441057862385E-4</v>
      </c>
      <c r="X32" s="44">
        <f t="shared" si="24"/>
        <v>518.86535745731885</v>
      </c>
      <c r="Y32" s="44">
        <f t="shared" si="25"/>
        <v>16842</v>
      </c>
      <c r="Z32" s="44">
        <f t="shared" si="26"/>
        <v>4815.0060882597254</v>
      </c>
      <c r="AA32" s="50">
        <f t="shared" si="27"/>
        <v>26960.865357457318</v>
      </c>
      <c r="AB32" s="51">
        <f t="shared" si="28"/>
        <v>4501.2677276430077</v>
      </c>
      <c r="AC32" s="44">
        <f t="shared" si="29"/>
        <v>25204.137007999736</v>
      </c>
      <c r="AD32" s="44">
        <f t="shared" si="30"/>
        <v>0</v>
      </c>
      <c r="AE32" s="44">
        <f t="shared" si="31"/>
        <v>0</v>
      </c>
      <c r="AF32" s="52">
        <f>HLOOKUP(I32,ElecAvoidedCostsWOCC!$A$5:$Q$50,G32+1,FALSE)</f>
        <v>0.97334887994043018</v>
      </c>
      <c r="AG32" s="44">
        <f t="shared" si="32"/>
        <v>24294.788043313136</v>
      </c>
      <c r="AH32" s="52">
        <f>HLOOKUP(I32,ElecAvoidedCostsWOCC!$A$5:$Q$50,T32+1,FALSE)</f>
        <v>0.97334887994043018</v>
      </c>
      <c r="AI32" s="44">
        <f t="shared" si="33"/>
        <v>0</v>
      </c>
      <c r="AJ32" s="44">
        <f t="shared" si="34"/>
        <v>24294.788043313136</v>
      </c>
      <c r="AK32" s="44">
        <f>HLOOKUP(I32,ElecAvoidedCostsWOCC!$A$5:$Q$50,G32+1,FALSE)*J32*L32</f>
        <v>0</v>
      </c>
      <c r="AL32" s="44">
        <f t="shared" si="35"/>
        <v>24294.788043313136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24294.788043313136</v>
      </c>
      <c r="AN32" s="48">
        <f t="shared" si="36"/>
        <v>26724.266847644452</v>
      </c>
      <c r="AO32" s="47">
        <f t="shared" si="37"/>
        <v>5.3973212688760865</v>
      </c>
      <c r="AP32" s="47">
        <f t="shared" si="38"/>
        <v>1.0603127113283914</v>
      </c>
      <c r="AQ32">
        <v>2020</v>
      </c>
    </row>
    <row r="33" spans="2:43">
      <c r="B33" s="97" t="s">
        <v>129</v>
      </c>
      <c r="C33" s="61">
        <v>18230715</v>
      </c>
      <c r="D33" s="61" t="s">
        <v>130</v>
      </c>
      <c r="E33" s="38" t="s">
        <v>996</v>
      </c>
      <c r="F33" s="39" t="s">
        <v>997</v>
      </c>
      <c r="G33" s="39">
        <v>20</v>
      </c>
      <c r="H33" s="39"/>
      <c r="I33" s="40" t="s">
        <v>257</v>
      </c>
      <c r="J33" s="41">
        <v>1</v>
      </c>
      <c r="K33" s="41">
        <v>5091153</v>
      </c>
      <c r="L33" s="41"/>
      <c r="M33" s="42">
        <v>774494</v>
      </c>
      <c r="N33" s="42">
        <v>892368</v>
      </c>
      <c r="O33" s="43">
        <v>5091153</v>
      </c>
      <c r="P33" s="44">
        <v>774494</v>
      </c>
      <c r="Q33" s="44">
        <v>892368</v>
      </c>
      <c r="R33" s="45"/>
      <c r="S33" s="46"/>
      <c r="T33" s="39">
        <f t="shared" si="20"/>
        <v>20</v>
      </c>
      <c r="U33" s="47">
        <f t="shared" si="21"/>
        <v>3.7110116313866923</v>
      </c>
      <c r="V33" s="48">
        <f t="shared" si="22"/>
        <v>117874</v>
      </c>
      <c r="W33" s="49">
        <f t="shared" si="23"/>
        <v>0.18555058156933463</v>
      </c>
      <c r="X33" s="44">
        <f t="shared" si="24"/>
        <v>105834.25165123802</v>
      </c>
      <c r="Y33" s="44">
        <f t="shared" si="25"/>
        <v>117874</v>
      </c>
      <c r="Z33" s="44">
        <f t="shared" si="26"/>
        <v>982128.71359221812</v>
      </c>
      <c r="AA33" s="50">
        <f t="shared" si="27"/>
        <v>998202.25165123807</v>
      </c>
      <c r="AB33" s="51">
        <f t="shared" si="28"/>
        <v>918134.72337311215</v>
      </c>
      <c r="AC33" s="44">
        <f t="shared" si="29"/>
        <v>933160.93451550708</v>
      </c>
      <c r="AD33" s="44">
        <f t="shared" si="30"/>
        <v>0</v>
      </c>
      <c r="AE33" s="44">
        <f t="shared" si="31"/>
        <v>0</v>
      </c>
      <c r="AF33" s="52">
        <f>HLOOKUP(I33,ElecAvoidedCostsWOCC!$A$5:$Q$50,G33+1,FALSE)</f>
        <v>1.3192527795896587</v>
      </c>
      <c r="AG33" s="44">
        <f t="shared" si="32"/>
        <v>6716517.7465662295</v>
      </c>
      <c r="AH33" s="52">
        <f>HLOOKUP(I33,ElecAvoidedCostsWOCC!$A$5:$Q$50,T33+1,FALSE)</f>
        <v>1.3192527795896587</v>
      </c>
      <c r="AI33" s="44">
        <f t="shared" si="33"/>
        <v>0</v>
      </c>
      <c r="AJ33" s="44">
        <f t="shared" si="34"/>
        <v>6716517.7465662295</v>
      </c>
      <c r="AK33" s="44">
        <f>HLOOKUP(I33,ElecAvoidedCostsWOCC!$A$5:$Q$50,G33+1,FALSE)*J33*L33</f>
        <v>0</v>
      </c>
      <c r="AL33" s="44">
        <f t="shared" si="35"/>
        <v>6716517.7465662295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6716517.7465662295</v>
      </c>
      <c r="AN33" s="48">
        <f t="shared" si="36"/>
        <v>7388169.5212228531</v>
      </c>
      <c r="AO33" s="47">
        <f t="shared" si="37"/>
        <v>7.3153945445942652</v>
      </c>
      <c r="AP33" s="47">
        <f t="shared" si="38"/>
        <v>7.917358354760915</v>
      </c>
      <c r="AQ33">
        <v>2020</v>
      </c>
    </row>
    <row r="34" spans="2:43">
      <c r="B34" s="97" t="s">
        <v>129</v>
      </c>
      <c r="C34" s="61">
        <v>18230715</v>
      </c>
      <c r="D34" s="61" t="s">
        <v>130</v>
      </c>
      <c r="E34" s="38" t="s">
        <v>996</v>
      </c>
      <c r="F34" s="39" t="s">
        <v>997</v>
      </c>
      <c r="G34" s="39">
        <v>20</v>
      </c>
      <c r="H34" s="39"/>
      <c r="I34" s="40" t="s">
        <v>257</v>
      </c>
      <c r="J34" s="41">
        <v>1</v>
      </c>
      <c r="K34" s="41">
        <v>6897442</v>
      </c>
      <c r="L34" s="41"/>
      <c r="M34" s="42">
        <v>845858</v>
      </c>
      <c r="N34" s="42">
        <v>920719</v>
      </c>
      <c r="O34" s="43">
        <v>6897442</v>
      </c>
      <c r="P34" s="44">
        <v>845858</v>
      </c>
      <c r="Q34" s="44">
        <v>920719</v>
      </c>
      <c r="R34" s="45"/>
      <c r="S34" s="46"/>
      <c r="T34" s="39">
        <f t="shared" si="20"/>
        <v>20</v>
      </c>
      <c r="U34" s="47">
        <f t="shared" si="21"/>
        <v>5.0276405931652599</v>
      </c>
      <c r="V34" s="48">
        <f t="shared" si="22"/>
        <v>74861</v>
      </c>
      <c r="W34" s="49">
        <f t="shared" si="23"/>
        <v>0.25138202965826301</v>
      </c>
      <c r="X34" s="44">
        <f t="shared" si="24"/>
        <v>143383.16141310593</v>
      </c>
      <c r="Y34" s="44">
        <f t="shared" si="25"/>
        <v>74861</v>
      </c>
      <c r="Z34" s="44">
        <f t="shared" si="26"/>
        <v>1330577.9336305421</v>
      </c>
      <c r="AA34" s="50">
        <f t="shared" si="27"/>
        <v>1064102.1614131059</v>
      </c>
      <c r="AB34" s="51">
        <f t="shared" si="28"/>
        <v>1243879.53036416</v>
      </c>
      <c r="AC34" s="44">
        <f t="shared" si="29"/>
        <v>994766.90793035971</v>
      </c>
      <c r="AD34" s="44">
        <f t="shared" si="30"/>
        <v>0</v>
      </c>
      <c r="AE34" s="44">
        <f t="shared" si="31"/>
        <v>0</v>
      </c>
      <c r="AF34" s="52">
        <f>HLOOKUP(I34,ElecAvoidedCostsWOCC!$A$5:$Q$50,G34+1,FALSE)</f>
        <v>1.3192527795896587</v>
      </c>
      <c r="AG34" s="44">
        <f t="shared" si="32"/>
        <v>9099469.5305584539</v>
      </c>
      <c r="AH34" s="52">
        <f>HLOOKUP(I34,ElecAvoidedCostsWOCC!$A$5:$Q$50,T34+1,FALSE)</f>
        <v>1.3192527795896587</v>
      </c>
      <c r="AI34" s="44">
        <f t="shared" si="33"/>
        <v>0</v>
      </c>
      <c r="AJ34" s="44">
        <f t="shared" si="34"/>
        <v>9099469.5305584539</v>
      </c>
      <c r="AK34" s="44">
        <f>HLOOKUP(I34,ElecAvoidedCostsWOCC!$A$5:$Q$50,G34+1,FALSE)*J34*L34</f>
        <v>0</v>
      </c>
      <c r="AL34" s="44">
        <f t="shared" si="35"/>
        <v>9099469.5305584539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9099469.5305584539</v>
      </c>
      <c r="AN34" s="48">
        <f t="shared" si="36"/>
        <v>10009416.483614299</v>
      </c>
      <c r="AO34" s="47">
        <f t="shared" si="37"/>
        <v>7.3153945445942661</v>
      </c>
      <c r="AP34" s="47">
        <f t="shared" si="38"/>
        <v>10.06207223402633</v>
      </c>
      <c r="AQ34">
        <v>2020</v>
      </c>
    </row>
    <row r="35" spans="2:43">
      <c r="B35" s="97" t="s">
        <v>129</v>
      </c>
      <c r="C35" s="61">
        <v>18230715</v>
      </c>
      <c r="D35" s="61" t="s">
        <v>130</v>
      </c>
      <c r="E35" s="38" t="s">
        <v>996</v>
      </c>
      <c r="F35" s="39" t="s">
        <v>997</v>
      </c>
      <c r="G35" s="39">
        <v>20</v>
      </c>
      <c r="H35" s="39"/>
      <c r="I35" s="40" t="s">
        <v>257</v>
      </c>
      <c r="J35" s="41">
        <v>1</v>
      </c>
      <c r="K35" s="41">
        <v>45239</v>
      </c>
      <c r="L35" s="41"/>
      <c r="M35" s="42">
        <v>7917</v>
      </c>
      <c r="N35" s="42">
        <v>16926</v>
      </c>
      <c r="O35" s="43">
        <v>45239</v>
      </c>
      <c r="P35" s="44">
        <v>7917</v>
      </c>
      <c r="Q35" s="44">
        <v>16926</v>
      </c>
      <c r="R35" s="45"/>
      <c r="S35" s="46"/>
      <c r="T35" s="39">
        <f t="shared" si="20"/>
        <v>20</v>
      </c>
      <c r="U35" s="47">
        <f t="shared" si="21"/>
        <v>3.2975330969684587E-2</v>
      </c>
      <c r="V35" s="48">
        <f t="shared" si="22"/>
        <v>9009</v>
      </c>
      <c r="W35" s="49">
        <f t="shared" si="23"/>
        <v>1.6487665484842292E-3</v>
      </c>
      <c r="X35" s="44">
        <f t="shared" si="24"/>
        <v>940.42267251649218</v>
      </c>
      <c r="Y35" s="44">
        <f t="shared" si="25"/>
        <v>9009</v>
      </c>
      <c r="Z35" s="44">
        <f t="shared" si="26"/>
        <v>8727.0056260729834</v>
      </c>
      <c r="AA35" s="50">
        <f t="shared" si="27"/>
        <v>17866.422672516492</v>
      </c>
      <c r="AB35" s="51">
        <f t="shared" si="28"/>
        <v>8158.3674171010398</v>
      </c>
      <c r="AC35" s="44">
        <f t="shared" si="29"/>
        <v>16702.274163332233</v>
      </c>
      <c r="AD35" s="44">
        <f t="shared" si="30"/>
        <v>0</v>
      </c>
      <c r="AE35" s="44">
        <f t="shared" si="31"/>
        <v>0</v>
      </c>
      <c r="AF35" s="52">
        <f>HLOOKUP(I35,ElecAvoidedCostsWOCC!$A$5:$Q$50,G35+1,FALSE)</f>
        <v>1.3192527795896587</v>
      </c>
      <c r="AG35" s="44">
        <f t="shared" si="32"/>
        <v>59681.676495856569</v>
      </c>
      <c r="AH35" s="52">
        <f>HLOOKUP(I35,ElecAvoidedCostsWOCC!$A$5:$Q$50,T35+1,FALSE)</f>
        <v>1.3192527795896587</v>
      </c>
      <c r="AI35" s="44">
        <f t="shared" si="33"/>
        <v>0</v>
      </c>
      <c r="AJ35" s="44">
        <f t="shared" si="34"/>
        <v>59681.676495856569</v>
      </c>
      <c r="AK35" s="44">
        <f>HLOOKUP(I35,ElecAvoidedCostsWOCC!$A$5:$Q$50,G35+1,FALSE)*J35*L35</f>
        <v>0</v>
      </c>
      <c r="AL35" s="44">
        <f t="shared" si="35"/>
        <v>59681.676495856569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59681.676495856569</v>
      </c>
      <c r="AN35" s="48">
        <f t="shared" si="36"/>
        <v>65649.844145442228</v>
      </c>
      <c r="AO35" s="47">
        <f t="shared" si="37"/>
        <v>7.315394544594267</v>
      </c>
      <c r="AP35" s="47">
        <f t="shared" si="38"/>
        <v>3.9305931338121787</v>
      </c>
      <c r="AQ35">
        <v>2020</v>
      </c>
    </row>
    <row r="36" spans="2:43">
      <c r="B36" s="97" t="s">
        <v>129</v>
      </c>
      <c r="C36" s="61">
        <v>18230715</v>
      </c>
      <c r="D36" s="61" t="s">
        <v>130</v>
      </c>
      <c r="E36" s="38" t="s">
        <v>996</v>
      </c>
      <c r="F36" s="39" t="s">
        <v>997</v>
      </c>
      <c r="G36" s="39">
        <v>20</v>
      </c>
      <c r="H36" s="39"/>
      <c r="I36" s="40" t="s">
        <v>257</v>
      </c>
      <c r="J36" s="41">
        <v>1</v>
      </c>
      <c r="K36" s="41">
        <v>385520</v>
      </c>
      <c r="L36" s="41"/>
      <c r="M36" s="42">
        <v>67646</v>
      </c>
      <c r="N36" s="42">
        <v>67646</v>
      </c>
      <c r="O36" s="43">
        <v>385520</v>
      </c>
      <c r="P36" s="44">
        <v>67646</v>
      </c>
      <c r="Q36" s="44">
        <v>67646</v>
      </c>
      <c r="R36" s="45"/>
      <c r="S36" s="46"/>
      <c r="T36" s="39">
        <f t="shared" si="20"/>
        <v>20</v>
      </c>
      <c r="U36" s="47">
        <f t="shared" si="21"/>
        <v>0.28101084452425562</v>
      </c>
      <c r="V36" s="48">
        <f t="shared" si="22"/>
        <v>0</v>
      </c>
      <c r="W36" s="49">
        <f t="shared" si="23"/>
        <v>1.4050542226212782E-2</v>
      </c>
      <c r="X36" s="44">
        <f t="shared" si="24"/>
        <v>8014.1415307269845</v>
      </c>
      <c r="Y36" s="44">
        <f t="shared" si="25"/>
        <v>0</v>
      </c>
      <c r="Z36" s="44">
        <f t="shared" si="26"/>
        <v>74370.238267062858</v>
      </c>
      <c r="AA36" s="50">
        <f t="shared" si="27"/>
        <v>75660.141530726978</v>
      </c>
      <c r="AB36" s="51">
        <f t="shared" si="28"/>
        <v>69524.388395870672</v>
      </c>
      <c r="AC36" s="44">
        <f t="shared" si="29"/>
        <v>70730.243554947156</v>
      </c>
      <c r="AD36" s="44">
        <f t="shared" si="30"/>
        <v>0</v>
      </c>
      <c r="AE36" s="44">
        <f t="shared" si="31"/>
        <v>0</v>
      </c>
      <c r="AF36" s="52">
        <f>HLOOKUP(I36,ElecAvoidedCostsWOCC!$A$5:$Q$50,G36+1,FALSE)</f>
        <v>1.3192527795896587</v>
      </c>
      <c r="AG36" s="44">
        <f t="shared" si="32"/>
        <v>508598.33158740524</v>
      </c>
      <c r="AH36" s="52">
        <f>HLOOKUP(I36,ElecAvoidedCostsWOCC!$A$5:$Q$50,T36+1,FALSE)</f>
        <v>1.3192527795896587</v>
      </c>
      <c r="AI36" s="44">
        <f t="shared" si="33"/>
        <v>0</v>
      </c>
      <c r="AJ36" s="44">
        <f t="shared" si="34"/>
        <v>508598.33158740524</v>
      </c>
      <c r="AK36" s="44">
        <f>HLOOKUP(I36,ElecAvoidedCostsWOCC!$A$5:$Q$50,G36+1,FALSE)*J36*L36</f>
        <v>0</v>
      </c>
      <c r="AL36" s="44">
        <f t="shared" si="35"/>
        <v>508598.33158740524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508598.33158740524</v>
      </c>
      <c r="AN36" s="48">
        <f t="shared" si="36"/>
        <v>559458.16474614583</v>
      </c>
      <c r="AO36" s="47">
        <f t="shared" si="37"/>
        <v>7.3153945445942661</v>
      </c>
      <c r="AP36" s="47">
        <f t="shared" si="38"/>
        <v>7.9097446386074983</v>
      </c>
      <c r="AQ36">
        <v>2020</v>
      </c>
    </row>
    <row r="37" spans="2:43">
      <c r="B37" s="97" t="s">
        <v>129</v>
      </c>
      <c r="C37" s="61">
        <v>18230715</v>
      </c>
      <c r="D37" s="61" t="s">
        <v>130</v>
      </c>
      <c r="E37" s="38" t="s">
        <v>996</v>
      </c>
      <c r="F37" s="39" t="s">
        <v>997</v>
      </c>
      <c r="G37" s="39">
        <v>20</v>
      </c>
      <c r="H37" s="39"/>
      <c r="I37" s="40" t="s">
        <v>257</v>
      </c>
      <c r="J37" s="41">
        <v>1</v>
      </c>
      <c r="K37" s="41">
        <v>3963588</v>
      </c>
      <c r="L37" s="41"/>
      <c r="M37" s="42">
        <v>595885</v>
      </c>
      <c r="N37" s="42">
        <v>733321</v>
      </c>
      <c r="O37" s="43">
        <v>3963588</v>
      </c>
      <c r="P37" s="44">
        <v>595885</v>
      </c>
      <c r="Q37" s="44">
        <v>733321</v>
      </c>
      <c r="R37" s="45"/>
      <c r="S37" s="46"/>
      <c r="T37" s="39">
        <f t="shared" si="20"/>
        <v>20</v>
      </c>
      <c r="U37" s="47">
        <f t="shared" si="21"/>
        <v>2.8891139531702774</v>
      </c>
      <c r="V37" s="48">
        <f t="shared" si="22"/>
        <v>137436</v>
      </c>
      <c r="W37" s="49">
        <f t="shared" si="23"/>
        <v>0.14445569765851388</v>
      </c>
      <c r="X37" s="44">
        <f t="shared" si="24"/>
        <v>82394.571491728333</v>
      </c>
      <c r="Y37" s="44">
        <f t="shared" si="25"/>
        <v>137436</v>
      </c>
      <c r="Z37" s="44">
        <f t="shared" si="26"/>
        <v>764611.39228177827</v>
      </c>
      <c r="AA37" s="50">
        <f t="shared" si="27"/>
        <v>815715.5714917283</v>
      </c>
      <c r="AB37" s="51">
        <f t="shared" si="28"/>
        <v>714790.49479459494</v>
      </c>
      <c r="AC37" s="44">
        <f t="shared" si="29"/>
        <v>762564.8046103844</v>
      </c>
      <c r="AD37" s="44">
        <f t="shared" si="30"/>
        <v>0</v>
      </c>
      <c r="AE37" s="44">
        <f t="shared" si="31"/>
        <v>0</v>
      </c>
      <c r="AF37" s="52">
        <f>HLOOKUP(I37,ElecAvoidedCostsWOCC!$A$5:$Q$50,G37+1,FALSE)</f>
        <v>1.3192527795896587</v>
      </c>
      <c r="AG37" s="44">
        <f t="shared" si="32"/>
        <v>5228974.4861482158</v>
      </c>
      <c r="AH37" s="52">
        <f>HLOOKUP(I37,ElecAvoidedCostsWOCC!$A$5:$Q$50,T37+1,FALSE)</f>
        <v>1.3192527795896587</v>
      </c>
      <c r="AI37" s="44">
        <f t="shared" si="33"/>
        <v>0</v>
      </c>
      <c r="AJ37" s="44">
        <f t="shared" si="34"/>
        <v>5228974.4861482158</v>
      </c>
      <c r="AK37" s="44">
        <f>HLOOKUP(I37,ElecAvoidedCostsWOCC!$A$5:$Q$50,G37+1,FALSE)*J37*L37</f>
        <v>0</v>
      </c>
      <c r="AL37" s="44">
        <f t="shared" si="35"/>
        <v>5228974.4861482158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5228974.4861482158</v>
      </c>
      <c r="AN37" s="48">
        <f t="shared" si="36"/>
        <v>5751871.9347630376</v>
      </c>
      <c r="AO37" s="47">
        <f t="shared" si="37"/>
        <v>7.3153945445942661</v>
      </c>
      <c r="AP37" s="47">
        <f t="shared" si="38"/>
        <v>7.5427975432223482</v>
      </c>
      <c r="AQ37">
        <v>2020</v>
      </c>
    </row>
    <row r="38" spans="2:43">
      <c r="B38" s="97" t="s">
        <v>129</v>
      </c>
      <c r="C38" s="61">
        <v>18230715</v>
      </c>
      <c r="D38" s="61" t="s">
        <v>130</v>
      </c>
      <c r="E38" s="38" t="s">
        <v>1002</v>
      </c>
      <c r="F38" s="39" t="s">
        <v>1003</v>
      </c>
      <c r="G38" s="39">
        <v>15</v>
      </c>
      <c r="H38" s="39"/>
      <c r="I38" s="40" t="s">
        <v>256</v>
      </c>
      <c r="J38" s="41">
        <v>1</v>
      </c>
      <c r="K38" s="41">
        <v>40470</v>
      </c>
      <c r="L38" s="41"/>
      <c r="M38" s="42">
        <v>9301</v>
      </c>
      <c r="N38" s="42">
        <v>9301</v>
      </c>
      <c r="O38" s="43">
        <v>40470</v>
      </c>
      <c r="P38" s="44">
        <v>9301</v>
      </c>
      <c r="Q38" s="44">
        <v>9301</v>
      </c>
      <c r="R38" s="45"/>
      <c r="S38" s="46"/>
      <c r="T38" s="39">
        <f t="shared" si="20"/>
        <v>15</v>
      </c>
      <c r="U38" s="47">
        <f t="shared" si="21"/>
        <v>2.212435582699333E-2</v>
      </c>
      <c r="V38" s="48">
        <f t="shared" si="22"/>
        <v>0</v>
      </c>
      <c r="W38" s="49">
        <f t="shared" si="23"/>
        <v>1.4749570551328888E-3</v>
      </c>
      <c r="X38" s="44">
        <f t="shared" si="24"/>
        <v>841.28529712731131</v>
      </c>
      <c r="Y38" s="44">
        <f t="shared" si="25"/>
        <v>0</v>
      </c>
      <c r="Z38" s="44">
        <f t="shared" si="26"/>
        <v>7807.0230926230388</v>
      </c>
      <c r="AA38" s="50">
        <f t="shared" si="27"/>
        <v>10142.285297127311</v>
      </c>
      <c r="AB38" s="51">
        <f t="shared" si="28"/>
        <v>7298.3295247480955</v>
      </c>
      <c r="AC38" s="44">
        <f t="shared" si="29"/>
        <v>9481.4296504882768</v>
      </c>
      <c r="AD38" s="44">
        <f t="shared" si="30"/>
        <v>0</v>
      </c>
      <c r="AE38" s="44">
        <f t="shared" si="31"/>
        <v>0</v>
      </c>
      <c r="AF38" s="52">
        <f>HLOOKUP(I38,ElecAvoidedCostsWOCC!$A$5:$Q$50,G38+1,FALSE)</f>
        <v>1.0293963841416951</v>
      </c>
      <c r="AG38" s="44">
        <f t="shared" si="32"/>
        <v>41659.671666214403</v>
      </c>
      <c r="AH38" s="52">
        <f>HLOOKUP(I38,ElecAvoidedCostsWOCC!$A$5:$Q$50,T38+1,FALSE)</f>
        <v>1.0293963841416951</v>
      </c>
      <c r="AI38" s="44">
        <f t="shared" si="33"/>
        <v>0</v>
      </c>
      <c r="AJ38" s="44">
        <f t="shared" si="34"/>
        <v>41659.671666214403</v>
      </c>
      <c r="AK38" s="44">
        <f>HLOOKUP(I38,ElecAvoidedCostsWOCC!$A$5:$Q$50,G38+1,FALSE)*J38*L38</f>
        <v>0</v>
      </c>
      <c r="AL38" s="44">
        <f t="shared" si="35"/>
        <v>41659.671666214403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41659.671666214403</v>
      </c>
      <c r="AN38" s="48">
        <f t="shared" si="36"/>
        <v>45825.638832835844</v>
      </c>
      <c r="AO38" s="47">
        <f t="shared" si="37"/>
        <v>5.7081105374797803</v>
      </c>
      <c r="AP38" s="47">
        <f t="shared" si="38"/>
        <v>4.8331992665764183</v>
      </c>
      <c r="AQ38">
        <v>2020</v>
      </c>
    </row>
    <row r="39" spans="2:43">
      <c r="B39" s="97" t="s">
        <v>129</v>
      </c>
      <c r="C39" s="61">
        <v>18230715</v>
      </c>
      <c r="D39" s="61" t="s">
        <v>130</v>
      </c>
      <c r="E39" s="38" t="s">
        <v>1006</v>
      </c>
      <c r="F39" s="39" t="s">
        <v>1007</v>
      </c>
      <c r="G39" s="39">
        <v>24</v>
      </c>
      <c r="H39" s="39"/>
      <c r="I39" s="40" t="s">
        <v>255</v>
      </c>
      <c r="J39" s="41">
        <v>1</v>
      </c>
      <c r="K39" s="41"/>
      <c r="L39" s="41"/>
      <c r="M39" s="42"/>
      <c r="N39" s="42"/>
      <c r="O39" s="43">
        <v>0</v>
      </c>
      <c r="P39" s="44">
        <v>0</v>
      </c>
      <c r="Q39" s="44">
        <v>0</v>
      </c>
      <c r="R39" s="45"/>
      <c r="S39" s="46"/>
      <c r="T39" s="39">
        <f t="shared" si="20"/>
        <v>24</v>
      </c>
      <c r="U39" s="47">
        <f t="shared" si="21"/>
        <v>0</v>
      </c>
      <c r="V39" s="48">
        <f t="shared" si="22"/>
        <v>0</v>
      </c>
      <c r="W39" s="49">
        <f t="shared" si="23"/>
        <v>0</v>
      </c>
      <c r="X39" s="44">
        <f t="shared" si="24"/>
        <v>0</v>
      </c>
      <c r="Y39" s="44">
        <f t="shared" si="25"/>
        <v>0</v>
      </c>
      <c r="Z39" s="44">
        <f t="shared" si="26"/>
        <v>0</v>
      </c>
      <c r="AA39" s="50">
        <f t="shared" si="27"/>
        <v>0</v>
      </c>
      <c r="AB39" s="51">
        <f t="shared" si="28"/>
        <v>0</v>
      </c>
      <c r="AC39" s="44">
        <f t="shared" si="29"/>
        <v>0</v>
      </c>
      <c r="AD39" s="44">
        <f t="shared" si="30"/>
        <v>0</v>
      </c>
      <c r="AE39" s="44">
        <f t="shared" si="31"/>
        <v>0</v>
      </c>
      <c r="AF39" s="52">
        <f>HLOOKUP(I39,ElecAvoidedCostsWOCC!$A$5:$Q$50,G39+1,FALSE)</f>
        <v>1.4345808139443847</v>
      </c>
      <c r="AG39" s="44">
        <f t="shared" si="32"/>
        <v>0</v>
      </c>
      <c r="AH39" s="52">
        <f>HLOOKUP(I39,ElecAvoidedCostsWOCC!$A$5:$Q$50,T39+1,FALSE)</f>
        <v>1.4345808139443847</v>
      </c>
      <c r="AI39" s="44">
        <f t="shared" si="33"/>
        <v>0</v>
      </c>
      <c r="AJ39" s="44">
        <f t="shared" si="34"/>
        <v>0</v>
      </c>
      <c r="AK39" s="44">
        <f>HLOOKUP(I39,ElecAvoidedCostsWOCC!$A$5:$Q$50,G39+1,FALSE)*J39*L39</f>
        <v>0</v>
      </c>
      <c r="AL39" s="44">
        <f t="shared" si="35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6"/>
        <v>0</v>
      </c>
      <c r="AO39" s="47">
        <f t="shared" si="37"/>
        <v>0</v>
      </c>
      <c r="AP39" s="47" t="e">
        <f t="shared" si="38"/>
        <v>#DIV/0!</v>
      </c>
      <c r="AQ39">
        <v>2020</v>
      </c>
    </row>
    <row r="40" spans="2:43">
      <c r="B40" s="97" t="s">
        <v>129</v>
      </c>
      <c r="C40" s="61">
        <v>18230715</v>
      </c>
      <c r="D40" s="61" t="s">
        <v>130</v>
      </c>
      <c r="E40" s="38" t="s">
        <v>976</v>
      </c>
      <c r="F40" s="39" t="s">
        <v>977</v>
      </c>
      <c r="G40" s="39">
        <v>15</v>
      </c>
      <c r="H40" s="39"/>
      <c r="I40" s="40" t="s">
        <v>257</v>
      </c>
      <c r="J40" s="41">
        <v>1</v>
      </c>
      <c r="K40" s="41">
        <v>162336</v>
      </c>
      <c r="L40" s="41"/>
      <c r="M40" s="42">
        <v>24966</v>
      </c>
      <c r="N40" s="42">
        <v>24966</v>
      </c>
      <c r="O40" s="43">
        <v>162336</v>
      </c>
      <c r="P40" s="44">
        <v>24966</v>
      </c>
      <c r="Q40" s="44">
        <v>24966</v>
      </c>
      <c r="R40" s="45"/>
      <c r="S40" s="46"/>
      <c r="T40" s="39">
        <f t="shared" si="20"/>
        <v>15</v>
      </c>
      <c r="U40" s="47">
        <f t="shared" si="21"/>
        <v>8.8746711824333815E-2</v>
      </c>
      <c r="V40" s="48">
        <f t="shared" si="22"/>
        <v>0</v>
      </c>
      <c r="W40" s="49">
        <f t="shared" si="23"/>
        <v>5.916447454955588E-3</v>
      </c>
      <c r="X40" s="44">
        <f t="shared" si="24"/>
        <v>3374.620459462793</v>
      </c>
      <c r="Y40" s="44">
        <f t="shared" si="25"/>
        <v>0</v>
      </c>
      <c r="Z40" s="44">
        <f t="shared" si="26"/>
        <v>31316.058827873825</v>
      </c>
      <c r="AA40" s="50">
        <f t="shared" si="27"/>
        <v>28340.620459462792</v>
      </c>
      <c r="AB40" s="51">
        <f t="shared" si="28"/>
        <v>29275.552797862787</v>
      </c>
      <c r="AC40" s="44">
        <f t="shared" si="29"/>
        <v>26493.989398394682</v>
      </c>
      <c r="AD40" s="44">
        <f t="shared" si="30"/>
        <v>0</v>
      </c>
      <c r="AE40" s="44">
        <f t="shared" si="31"/>
        <v>0</v>
      </c>
      <c r="AF40" s="52">
        <f>HLOOKUP(I40,ElecAvoidedCostsWOCC!$A$5:$Q$50,G40+1,FALSE)</f>
        <v>1.0545904948077327</v>
      </c>
      <c r="AG40" s="44">
        <f t="shared" si="32"/>
        <v>171198.00256510809</v>
      </c>
      <c r="AH40" s="52">
        <f>HLOOKUP(I40,ElecAvoidedCostsWOCC!$A$5:$Q$50,T40+1,FALSE)</f>
        <v>1.0545904948077327</v>
      </c>
      <c r="AI40" s="44">
        <f t="shared" si="33"/>
        <v>0</v>
      </c>
      <c r="AJ40" s="44">
        <f t="shared" si="34"/>
        <v>171198.00256510809</v>
      </c>
      <c r="AK40" s="44">
        <f>HLOOKUP(I40,ElecAvoidedCostsWOCC!$A$5:$Q$50,G40+1,FALSE)*J40*L40</f>
        <v>0</v>
      </c>
      <c r="AL40" s="44">
        <f t="shared" si="35"/>
        <v>171198.00256510809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171198.00256510809</v>
      </c>
      <c r="AN40" s="48">
        <f t="shared" si="36"/>
        <v>188317.80282161891</v>
      </c>
      <c r="AO40" s="47">
        <f t="shared" si="37"/>
        <v>5.8478145142866822</v>
      </c>
      <c r="AP40" s="47">
        <f t="shared" si="38"/>
        <v>7.1079443714516399</v>
      </c>
      <c r="AQ40">
        <v>2020</v>
      </c>
    </row>
    <row r="41" spans="2:43">
      <c r="B41" s="97" t="s">
        <v>129</v>
      </c>
      <c r="C41" s="61">
        <v>18230715</v>
      </c>
      <c r="D41" s="61" t="s">
        <v>130</v>
      </c>
      <c r="E41" s="38" t="s">
        <v>976</v>
      </c>
      <c r="F41" s="39" t="s">
        <v>977</v>
      </c>
      <c r="G41" s="39">
        <v>15</v>
      </c>
      <c r="H41" s="39"/>
      <c r="I41" s="40" t="s">
        <v>257</v>
      </c>
      <c r="J41" s="41">
        <v>1</v>
      </c>
      <c r="K41" s="41">
        <v>40979</v>
      </c>
      <c r="L41" s="41"/>
      <c r="M41" s="42">
        <v>6147</v>
      </c>
      <c r="N41" s="42">
        <v>6147</v>
      </c>
      <c r="O41" s="43">
        <v>40979</v>
      </c>
      <c r="P41" s="44">
        <v>6147</v>
      </c>
      <c r="Q41" s="44">
        <v>6147</v>
      </c>
      <c r="R41" s="45"/>
      <c r="S41" s="46"/>
      <c r="T41" s="39">
        <f t="shared" si="20"/>
        <v>15</v>
      </c>
      <c r="U41" s="47">
        <f t="shared" si="21"/>
        <v>2.2402618666527298E-2</v>
      </c>
      <c r="V41" s="48">
        <f t="shared" si="22"/>
        <v>0</v>
      </c>
      <c r="W41" s="49">
        <f t="shared" si="23"/>
        <v>1.4935079111018199E-3</v>
      </c>
      <c r="X41" s="44">
        <f t="shared" si="24"/>
        <v>851.86632545045939</v>
      </c>
      <c r="Y41" s="44">
        <f t="shared" si="25"/>
        <v>0</v>
      </c>
      <c r="Z41" s="44">
        <f t="shared" si="26"/>
        <v>7905.2137215863477</v>
      </c>
      <c r="AA41" s="50">
        <f t="shared" si="27"/>
        <v>6998.866325450459</v>
      </c>
      <c r="AB41" s="51">
        <f t="shared" si="28"/>
        <v>7390.1222039696613</v>
      </c>
      <c r="AC41" s="44">
        <f t="shared" si="29"/>
        <v>6542.8310044409263</v>
      </c>
      <c r="AD41" s="44">
        <f t="shared" si="30"/>
        <v>0</v>
      </c>
      <c r="AE41" s="44">
        <f t="shared" si="31"/>
        <v>0</v>
      </c>
      <c r="AF41" s="52">
        <f>HLOOKUP(I41,ElecAvoidedCostsWOCC!$A$5:$Q$50,G41+1,FALSE)</f>
        <v>1.0545904948077327</v>
      </c>
      <c r="AG41" s="44">
        <f t="shared" si="32"/>
        <v>43216.063886726079</v>
      </c>
      <c r="AH41" s="52">
        <f>HLOOKUP(I41,ElecAvoidedCostsWOCC!$A$5:$Q$50,T41+1,FALSE)</f>
        <v>1.0545904948077327</v>
      </c>
      <c r="AI41" s="44">
        <f t="shared" si="33"/>
        <v>0</v>
      </c>
      <c r="AJ41" s="44">
        <f t="shared" si="34"/>
        <v>43216.063886726079</v>
      </c>
      <c r="AK41" s="44">
        <f>HLOOKUP(I41,ElecAvoidedCostsWOCC!$A$5:$Q$50,G41+1,FALSE)*J41*L41</f>
        <v>0</v>
      </c>
      <c r="AL41" s="44">
        <f t="shared" si="35"/>
        <v>43216.063886726079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43216.063886726079</v>
      </c>
      <c r="AN41" s="48">
        <f t="shared" si="36"/>
        <v>47537.67027539869</v>
      </c>
      <c r="AO41" s="47">
        <f t="shared" si="37"/>
        <v>5.8478145142866831</v>
      </c>
      <c r="AP41" s="47">
        <f t="shared" si="38"/>
        <v>7.2656118189714274</v>
      </c>
      <c r="AQ41">
        <v>2020</v>
      </c>
    </row>
    <row r="42" spans="2:43">
      <c r="B42" s="97" t="s">
        <v>129</v>
      </c>
      <c r="C42" s="61">
        <v>18230715</v>
      </c>
      <c r="D42" s="61" t="s">
        <v>130</v>
      </c>
      <c r="E42" s="38" t="s">
        <v>976</v>
      </c>
      <c r="F42" s="39" t="s">
        <v>977</v>
      </c>
      <c r="G42" s="39">
        <v>15</v>
      </c>
      <c r="H42" s="39"/>
      <c r="I42" s="40" t="s">
        <v>257</v>
      </c>
      <c r="J42" s="41">
        <v>1</v>
      </c>
      <c r="K42" s="41">
        <v>25113</v>
      </c>
      <c r="L42" s="41"/>
      <c r="M42" s="42">
        <v>4395</v>
      </c>
      <c r="N42" s="42">
        <v>17565</v>
      </c>
      <c r="O42" s="43">
        <v>25113</v>
      </c>
      <c r="P42" s="44">
        <v>4395</v>
      </c>
      <c r="Q42" s="44">
        <v>17565</v>
      </c>
      <c r="R42" s="45"/>
      <c r="S42" s="46"/>
      <c r="T42" s="39">
        <f t="shared" si="20"/>
        <v>15</v>
      </c>
      <c r="U42" s="47">
        <f t="shared" si="21"/>
        <v>1.3728909016142416E-2</v>
      </c>
      <c r="V42" s="48">
        <f t="shared" si="22"/>
        <v>13170</v>
      </c>
      <c r="W42" s="49">
        <f t="shared" si="23"/>
        <v>9.1526060107616105E-4</v>
      </c>
      <c r="X42" s="44">
        <f t="shared" si="24"/>
        <v>522.04590231673262</v>
      </c>
      <c r="Y42" s="44">
        <f t="shared" si="25"/>
        <v>13170</v>
      </c>
      <c r="Z42" s="44">
        <f t="shared" si="26"/>
        <v>4844.5211496180473</v>
      </c>
      <c r="AA42" s="50">
        <f t="shared" si="27"/>
        <v>18087.045902316731</v>
      </c>
      <c r="AB42" s="51">
        <f t="shared" si="28"/>
        <v>4528.8596331850486</v>
      </c>
      <c r="AC42" s="44">
        <f t="shared" si="29"/>
        <v>16908.521924199991</v>
      </c>
      <c r="AD42" s="44">
        <f t="shared" si="30"/>
        <v>0</v>
      </c>
      <c r="AE42" s="44">
        <f t="shared" si="31"/>
        <v>0</v>
      </c>
      <c r="AF42" s="52">
        <f>HLOOKUP(I42,ElecAvoidedCostsWOCC!$A$5:$Q$50,G42+1,FALSE)</f>
        <v>1.0545904948077327</v>
      </c>
      <c r="AG42" s="44">
        <f t="shared" si="32"/>
        <v>26483.931096106593</v>
      </c>
      <c r="AH42" s="52">
        <f>HLOOKUP(I42,ElecAvoidedCostsWOCC!$A$5:$Q$50,T42+1,FALSE)</f>
        <v>1.0545904948077327</v>
      </c>
      <c r="AI42" s="44">
        <f t="shared" si="33"/>
        <v>0</v>
      </c>
      <c r="AJ42" s="44">
        <f t="shared" si="34"/>
        <v>26483.931096106593</v>
      </c>
      <c r="AK42" s="44">
        <f>HLOOKUP(I42,ElecAvoidedCostsWOCC!$A$5:$Q$50,G42+1,FALSE)*J42*L42</f>
        <v>0</v>
      </c>
      <c r="AL42" s="44">
        <f t="shared" si="35"/>
        <v>26483.931096106593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26483.931096106593</v>
      </c>
      <c r="AN42" s="48">
        <f t="shared" si="36"/>
        <v>29132.324205717254</v>
      </c>
      <c r="AO42" s="47">
        <f t="shared" si="37"/>
        <v>5.847814514286684</v>
      </c>
      <c r="AP42" s="47">
        <f t="shared" si="38"/>
        <v>1.722937364739267</v>
      </c>
      <c r="AQ42">
        <v>2020</v>
      </c>
    </row>
    <row r="43" spans="2:43">
      <c r="B43" s="97" t="s">
        <v>129</v>
      </c>
      <c r="C43" s="61">
        <v>18230715</v>
      </c>
      <c r="D43" s="61" t="s">
        <v>130</v>
      </c>
      <c r="E43" s="38" t="s">
        <v>1010</v>
      </c>
      <c r="F43" s="39" t="s">
        <v>1011</v>
      </c>
      <c r="G43" s="39">
        <v>15</v>
      </c>
      <c r="H43" s="39"/>
      <c r="I43" s="40" t="s">
        <v>256</v>
      </c>
      <c r="J43" s="41">
        <v>1</v>
      </c>
      <c r="K43" s="41">
        <v>96426</v>
      </c>
      <c r="L43" s="41"/>
      <c r="M43" s="42">
        <v>11839</v>
      </c>
      <c r="N43" s="42">
        <v>46266.32</v>
      </c>
      <c r="O43" s="43">
        <v>96426</v>
      </c>
      <c r="P43" s="44">
        <v>11839</v>
      </c>
      <c r="Q43" s="44">
        <v>46266.32</v>
      </c>
      <c r="R43" s="45"/>
      <c r="S43" s="46"/>
      <c r="T43" s="39">
        <f t="shared" si="20"/>
        <v>15</v>
      </c>
      <c r="U43" s="47">
        <f t="shared" si="21"/>
        <v>5.2714680874071142E-2</v>
      </c>
      <c r="V43" s="48">
        <f t="shared" si="22"/>
        <v>34427.32</v>
      </c>
      <c r="W43" s="49">
        <f t="shared" si="23"/>
        <v>3.5143120582714093E-3</v>
      </c>
      <c r="X43" s="44">
        <f t="shared" si="24"/>
        <v>2004.4916249270602</v>
      </c>
      <c r="Y43" s="44">
        <f t="shared" si="25"/>
        <v>34427.32</v>
      </c>
      <c r="Z43" s="44">
        <f t="shared" si="26"/>
        <v>18601.433376062989</v>
      </c>
      <c r="AA43" s="50">
        <f t="shared" si="27"/>
        <v>48270.811624927061</v>
      </c>
      <c r="AB43" s="51">
        <f t="shared" si="28"/>
        <v>17389.39270455547</v>
      </c>
      <c r="AC43" s="44">
        <f t="shared" si="29"/>
        <v>45125.560086872072</v>
      </c>
      <c r="AD43" s="44">
        <f t="shared" si="30"/>
        <v>0</v>
      </c>
      <c r="AE43" s="44">
        <f t="shared" si="31"/>
        <v>0</v>
      </c>
      <c r="AF43" s="52">
        <f>HLOOKUP(I43,ElecAvoidedCostsWOCC!$A$5:$Q$50,G43+1,FALSE)</f>
        <v>1.0293963841416951</v>
      </c>
      <c r="AG43" s="44">
        <f t="shared" si="32"/>
        <v>99260.575737247098</v>
      </c>
      <c r="AH43" s="52">
        <f>HLOOKUP(I43,ElecAvoidedCostsWOCC!$A$5:$Q$50,T43+1,FALSE)</f>
        <v>1.0293963841416951</v>
      </c>
      <c r="AI43" s="44">
        <f t="shared" si="33"/>
        <v>0</v>
      </c>
      <c r="AJ43" s="44">
        <f t="shared" si="34"/>
        <v>99260.575737247098</v>
      </c>
      <c r="AK43" s="44">
        <f>HLOOKUP(I43,ElecAvoidedCostsWOCC!$A$5:$Q$50,G43+1,FALSE)*J43*L43</f>
        <v>0</v>
      </c>
      <c r="AL43" s="44">
        <f t="shared" si="35"/>
        <v>99260.575737247098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99260.575737247098</v>
      </c>
      <c r="AN43" s="48">
        <f t="shared" si="36"/>
        <v>109186.63331097181</v>
      </c>
      <c r="AO43" s="47">
        <f t="shared" si="37"/>
        <v>5.7081105374797803</v>
      </c>
      <c r="AP43" s="47">
        <f t="shared" si="38"/>
        <v>2.4196183515678156</v>
      </c>
      <c r="AQ43">
        <v>2020</v>
      </c>
    </row>
    <row r="44" spans="2:43">
      <c r="B44" s="97" t="s">
        <v>129</v>
      </c>
      <c r="C44" s="61">
        <v>18230715</v>
      </c>
      <c r="D44" s="61" t="s">
        <v>130</v>
      </c>
      <c r="E44" s="38" t="s">
        <v>2098</v>
      </c>
      <c r="F44" s="39" t="s">
        <v>2099</v>
      </c>
      <c r="G44" s="39">
        <v>7</v>
      </c>
      <c r="H44" s="39"/>
      <c r="I44" s="40" t="s">
        <v>256</v>
      </c>
      <c r="J44" s="41">
        <v>1</v>
      </c>
      <c r="K44" s="41">
        <v>52409</v>
      </c>
      <c r="L44" s="41"/>
      <c r="M44" s="42">
        <v>10440</v>
      </c>
      <c r="N44" s="42">
        <v>10440</v>
      </c>
      <c r="O44" s="43">
        <v>52409</v>
      </c>
      <c r="P44" s="44">
        <v>10440</v>
      </c>
      <c r="Q44" s="44">
        <v>10440</v>
      </c>
      <c r="R44" s="45"/>
      <c r="S44" s="46"/>
      <c r="T44" s="39">
        <f t="shared" si="20"/>
        <v>7</v>
      </c>
      <c r="U44" s="47">
        <f t="shared" si="21"/>
        <v>1.3370574996718978E-2</v>
      </c>
      <c r="V44" s="48">
        <f t="shared" si="22"/>
        <v>0</v>
      </c>
      <c r="W44" s="49">
        <f t="shared" si="23"/>
        <v>1.9100821423884253E-3</v>
      </c>
      <c r="X44" s="44">
        <f t="shared" si="24"/>
        <v>1089.4717355360826</v>
      </c>
      <c r="Y44" s="44">
        <f t="shared" si="25"/>
        <v>0</v>
      </c>
      <c r="Z44" s="44">
        <f t="shared" si="26"/>
        <v>10110.162423061054</v>
      </c>
      <c r="AA44" s="50">
        <f t="shared" si="27"/>
        <v>11529.471735536083</v>
      </c>
      <c r="AB44" s="51">
        <f t="shared" si="28"/>
        <v>9451.3998532869518</v>
      </c>
      <c r="AC44" s="44">
        <f t="shared" si="29"/>
        <v>10778.229162883128</v>
      </c>
      <c r="AD44" s="44">
        <f t="shared" si="30"/>
        <v>0</v>
      </c>
      <c r="AE44" s="44">
        <f t="shared" si="31"/>
        <v>0</v>
      </c>
      <c r="AF44" s="52">
        <f>HLOOKUP(I44,ElecAvoidedCostsWOCC!$A$5:$Q$50,G44+1,FALSE)</f>
        <v>0.49980838947667638</v>
      </c>
      <c r="AG44" s="44">
        <f t="shared" si="32"/>
        <v>26194.457884083131</v>
      </c>
      <c r="AH44" s="52">
        <f>HLOOKUP(I44,ElecAvoidedCostsWOCC!$A$5:$Q$50,T44+1,FALSE)</f>
        <v>0.49980838947667638</v>
      </c>
      <c r="AI44" s="44">
        <f t="shared" si="33"/>
        <v>0</v>
      </c>
      <c r="AJ44" s="44">
        <f t="shared" si="34"/>
        <v>26194.457884083131</v>
      </c>
      <c r="AK44" s="44">
        <f>HLOOKUP(I44,ElecAvoidedCostsWOCC!$A$5:$Q$50,G44+1,FALSE)*J44*L44</f>
        <v>0</v>
      </c>
      <c r="AL44" s="44">
        <f t="shared" si="35"/>
        <v>26194.457884083131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26194.457884083131</v>
      </c>
      <c r="AN44" s="48">
        <f t="shared" si="36"/>
        <v>28813.903672491448</v>
      </c>
      <c r="AO44" s="47">
        <f t="shared" si="37"/>
        <v>2.7714897571467549</v>
      </c>
      <c r="AP44" s="47">
        <f t="shared" si="38"/>
        <v>2.6733430173963622</v>
      </c>
      <c r="AQ44">
        <v>2020</v>
      </c>
    </row>
    <row r="45" spans="2:43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HLOOKUP(I45,ElecAvoidedCostsWOCC!$A$5:$Q$50,G45+1,FALSE)</f>
        <v>#N/A</v>
      </c>
      <c r="AG45" s="44" t="e">
        <f t="shared" si="32"/>
        <v>#N/A</v>
      </c>
      <c r="AH45" s="52" t="e">
        <f>HLOOKUP(I45,ElecAvoidedCostsWOCC!$A$5:$Q$50,T45+1,FALSE)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HLOOKUP(I45,ElecAvoidedCostsWOCC!$A$5:$Q$50,G45+1,FALSE)*J45*L45</f>
        <v>#N/A</v>
      </c>
      <c r="AL45" s="44" t="e">
        <f t="shared" si="35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3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HLOOKUP(I46,ElecAvoidedCostsWOCC!$A$5:$Q$50,G46+1,FALSE)</f>
        <v>#N/A</v>
      </c>
      <c r="AG46" s="44" t="e">
        <f t="shared" si="32"/>
        <v>#N/A</v>
      </c>
      <c r="AH46" s="52" t="e">
        <f>HLOOKUP(I46,ElecAvoidedCostsWOCC!$A$5:$Q$50,T46+1,FALSE)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HLOOKUP(I46,ElecAvoidedCostsWOCC!$A$5:$Q$50,G46+1,FALSE)*J46*L46</f>
        <v>#N/A</v>
      </c>
      <c r="AL46" s="44" t="e">
        <f t="shared" si="35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3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HLOOKUP(I47,ElecAvoidedCostsWOCC!$A$5:$Q$50,G47+1,FALSE)</f>
        <v>#N/A</v>
      </c>
      <c r="AG47" s="44" t="e">
        <f t="shared" si="32"/>
        <v>#N/A</v>
      </c>
      <c r="AH47" s="52" t="e">
        <f>HLOOKUP(I47,ElecAvoidedCostsWOCC!$A$5:$Q$50,T47+1,FALSE)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HLOOKUP(I47,ElecAvoidedCostsWOCC!$A$5:$Q$50,G47+1,FALSE)*J47*L47</f>
        <v>#N/A</v>
      </c>
      <c r="AL47" s="44" t="e">
        <f t="shared" si="35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3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HLOOKUP(I48,ElecAvoidedCostsWOCC!$A$5:$Q$50,G48+1,FALSE)</f>
        <v>#N/A</v>
      </c>
      <c r="AG48" s="44" t="e">
        <f t="shared" si="32"/>
        <v>#N/A</v>
      </c>
      <c r="AH48" s="52" t="e">
        <f>HLOOKUP(I48,ElecAvoidedCostsWOCC!$A$5:$Q$50,T48+1,FALSE)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HLOOKUP(I48,ElecAvoidedCostsWOCC!$A$5:$Q$50,G48+1,FALSE)*J48*L48</f>
        <v>#N/A</v>
      </c>
      <c r="AL48" s="44" t="e">
        <f t="shared" si="35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20"/>
        <v>0</v>
      </c>
      <c r="U49" s="47">
        <f t="shared" si="21"/>
        <v>0</v>
      </c>
      <c r="V49" s="48">
        <f t="shared" si="22"/>
        <v>0</v>
      </c>
      <c r="W49" s="49">
        <f t="shared" si="23"/>
        <v>0</v>
      </c>
      <c r="X49" s="44">
        <f t="shared" si="24"/>
        <v>0</v>
      </c>
      <c r="Y49" s="44">
        <f t="shared" si="25"/>
        <v>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 t="e">
        <f>HLOOKUP(I49,ElecAvoidedCostsWOCC!$A$5:$Q$50,G49+1,FALSE)</f>
        <v>#N/A</v>
      </c>
      <c r="AG49" s="44" t="e">
        <f t="shared" si="32"/>
        <v>#N/A</v>
      </c>
      <c r="AH49" s="52" t="e">
        <f>HLOOKUP(I49,ElecAvoidedCostsWOCC!$A$5:$Q$50,T49+1,FALSE)</f>
        <v>#N/A</v>
      </c>
      <c r="AI49" s="44" t="e">
        <f t="shared" si="33"/>
        <v>#N/A</v>
      </c>
      <c r="AJ49" s="44" t="e">
        <f t="shared" si="34"/>
        <v>#N/A</v>
      </c>
      <c r="AK49" s="44" t="e">
        <f>HLOOKUP(I49,ElecAvoidedCostsWOCC!$A$5:$Q$50,G49+1,FALSE)*J49*L49</f>
        <v>#N/A</v>
      </c>
      <c r="AL49" s="44" t="e">
        <f t="shared" si="35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20"/>
        <v>0</v>
      </c>
      <c r="U50" s="47">
        <f t="shared" si="21"/>
        <v>0</v>
      </c>
      <c r="V50" s="48">
        <f t="shared" si="22"/>
        <v>0</v>
      </c>
      <c r="W50" s="49">
        <f t="shared" si="23"/>
        <v>0</v>
      </c>
      <c r="X50" s="44">
        <f t="shared" si="24"/>
        <v>0</v>
      </c>
      <c r="Y50" s="44">
        <f t="shared" si="25"/>
        <v>0</v>
      </c>
      <c r="Z50" s="44">
        <f t="shared" si="26"/>
        <v>0</v>
      </c>
      <c r="AA50" s="50">
        <f t="shared" si="27"/>
        <v>0</v>
      </c>
      <c r="AB50" s="51">
        <f t="shared" si="28"/>
        <v>0</v>
      </c>
      <c r="AC50" s="44">
        <f t="shared" si="29"/>
        <v>0</v>
      </c>
      <c r="AD50" s="44">
        <f t="shared" si="30"/>
        <v>0</v>
      </c>
      <c r="AE50" s="44">
        <f t="shared" si="31"/>
        <v>0</v>
      </c>
      <c r="AF50" s="52" t="e">
        <f>HLOOKUP(I50,ElecAvoidedCostsWOCC!$A$5:$Q$50,G50+1,FALSE)</f>
        <v>#N/A</v>
      </c>
      <c r="AG50" s="44" t="e">
        <f t="shared" si="32"/>
        <v>#N/A</v>
      </c>
      <c r="AH50" s="52" t="e">
        <f>HLOOKUP(I50,ElecAvoidedCostsWOCC!$A$5:$Q$50,T50+1,FALSE)</f>
        <v>#N/A</v>
      </c>
      <c r="AI50" s="44" t="e">
        <f t="shared" si="33"/>
        <v>#N/A</v>
      </c>
      <c r="AJ50" s="44" t="e">
        <f t="shared" si="34"/>
        <v>#N/A</v>
      </c>
      <c r="AK50" s="44" t="e">
        <f>HLOOKUP(I50,ElecAvoidedCostsWOCC!$A$5:$Q$50,G50+1,FALSE)*J50*L50</f>
        <v>#N/A</v>
      </c>
      <c r="AL50" s="44" t="e">
        <f t="shared" si="35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6"/>
        <v>0</v>
      </c>
      <c r="AO50" s="47">
        <f t="shared" si="37"/>
        <v>0</v>
      </c>
      <c r="AP50" s="47" t="e">
        <f t="shared" si="38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20"/>
        <v>0</v>
      </c>
      <c r="U51" s="47">
        <f t="shared" si="21"/>
        <v>0</v>
      </c>
      <c r="V51" s="48">
        <f t="shared" si="22"/>
        <v>0</v>
      </c>
      <c r="W51" s="49">
        <f t="shared" si="23"/>
        <v>0</v>
      </c>
      <c r="X51" s="44">
        <f t="shared" si="24"/>
        <v>0</v>
      </c>
      <c r="Y51" s="44">
        <f t="shared" si="25"/>
        <v>0</v>
      </c>
      <c r="Z51" s="44">
        <f t="shared" si="26"/>
        <v>0</v>
      </c>
      <c r="AA51" s="50">
        <f t="shared" si="27"/>
        <v>0</v>
      </c>
      <c r="AB51" s="51">
        <f t="shared" si="28"/>
        <v>0</v>
      </c>
      <c r="AC51" s="44">
        <f t="shared" si="29"/>
        <v>0</v>
      </c>
      <c r="AD51" s="44">
        <f t="shared" si="30"/>
        <v>0</v>
      </c>
      <c r="AE51" s="44">
        <f t="shared" si="31"/>
        <v>0</v>
      </c>
      <c r="AF51" s="52" t="e">
        <f>HLOOKUP(I51,ElecAvoidedCostsWOCC!$A$5:$Q$50,G51+1,FALSE)</f>
        <v>#N/A</v>
      </c>
      <c r="AG51" s="44" t="e">
        <f t="shared" si="32"/>
        <v>#N/A</v>
      </c>
      <c r="AH51" s="52" t="e">
        <f>HLOOKUP(I51,ElecAvoidedCostsWOCC!$A$5:$Q$50,T51+1,FALSE)</f>
        <v>#N/A</v>
      </c>
      <c r="AI51" s="44" t="e">
        <f t="shared" si="33"/>
        <v>#N/A</v>
      </c>
      <c r="AJ51" s="44" t="e">
        <f t="shared" si="34"/>
        <v>#N/A</v>
      </c>
      <c r="AK51" s="44" t="e">
        <f>HLOOKUP(I51,ElecAvoidedCostsWOCC!$A$5:$Q$50,G51+1,FALSE)*J51*L51</f>
        <v>#N/A</v>
      </c>
      <c r="AL51" s="44" t="e">
        <f t="shared" si="35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6"/>
        <v>0</v>
      </c>
      <c r="AO51" s="47">
        <f t="shared" si="37"/>
        <v>0</v>
      </c>
      <c r="AP51" s="47" t="e">
        <f t="shared" si="38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20"/>
        <v>0</v>
      </c>
      <c r="U52" s="47">
        <f t="shared" si="21"/>
        <v>0</v>
      </c>
      <c r="V52" s="48">
        <f t="shared" si="22"/>
        <v>0</v>
      </c>
      <c r="W52" s="49">
        <f t="shared" si="23"/>
        <v>0</v>
      </c>
      <c r="X52" s="44">
        <f t="shared" si="24"/>
        <v>0</v>
      </c>
      <c r="Y52" s="44">
        <f t="shared" si="25"/>
        <v>0</v>
      </c>
      <c r="Z52" s="44">
        <f t="shared" si="26"/>
        <v>0</v>
      </c>
      <c r="AA52" s="50">
        <f t="shared" si="27"/>
        <v>0</v>
      </c>
      <c r="AB52" s="51">
        <f t="shared" si="28"/>
        <v>0</v>
      </c>
      <c r="AC52" s="44">
        <f t="shared" si="29"/>
        <v>0</v>
      </c>
      <c r="AD52" s="44">
        <f t="shared" si="30"/>
        <v>0</v>
      </c>
      <c r="AE52" s="44">
        <f t="shared" si="31"/>
        <v>0</v>
      </c>
      <c r="AF52" s="52" t="e">
        <f>HLOOKUP(I52,ElecAvoidedCostsWOCC!$A$5:$Q$50,G52+1,FALSE)</f>
        <v>#N/A</v>
      </c>
      <c r="AG52" s="44" t="e">
        <f t="shared" si="32"/>
        <v>#N/A</v>
      </c>
      <c r="AH52" s="52" t="e">
        <f>HLOOKUP(I52,ElecAvoidedCostsWOCC!$A$5:$Q$50,T52+1,FALSE)</f>
        <v>#N/A</v>
      </c>
      <c r="AI52" s="44" t="e">
        <f t="shared" si="33"/>
        <v>#N/A</v>
      </c>
      <c r="AJ52" s="44" t="e">
        <f t="shared" si="34"/>
        <v>#N/A</v>
      </c>
      <c r="AK52" s="44" t="e">
        <f>HLOOKUP(I52,ElecAvoidedCostsWOCC!$A$5:$Q$50,G52+1,FALSE)*J52*L52</f>
        <v>#N/A</v>
      </c>
      <c r="AL52" s="44" t="e">
        <f t="shared" si="35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6"/>
        <v>0</v>
      </c>
      <c r="AO52" s="47">
        <f t="shared" si="37"/>
        <v>0</v>
      </c>
      <c r="AP52" s="47" t="e">
        <f t="shared" si="38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20"/>
        <v>0</v>
      </c>
      <c r="U53" s="47">
        <f t="shared" si="21"/>
        <v>0</v>
      </c>
      <c r="V53" s="48">
        <f t="shared" si="22"/>
        <v>0</v>
      </c>
      <c r="W53" s="49">
        <f t="shared" si="23"/>
        <v>0</v>
      </c>
      <c r="X53" s="44">
        <f t="shared" si="24"/>
        <v>0</v>
      </c>
      <c r="Y53" s="44">
        <f t="shared" si="25"/>
        <v>0</v>
      </c>
      <c r="Z53" s="44">
        <f t="shared" si="26"/>
        <v>0</v>
      </c>
      <c r="AA53" s="50">
        <f t="shared" si="27"/>
        <v>0</v>
      </c>
      <c r="AB53" s="51">
        <f t="shared" si="28"/>
        <v>0</v>
      </c>
      <c r="AC53" s="44">
        <f t="shared" si="29"/>
        <v>0</v>
      </c>
      <c r="AD53" s="44">
        <f t="shared" si="30"/>
        <v>0</v>
      </c>
      <c r="AE53" s="44">
        <f t="shared" si="31"/>
        <v>0</v>
      </c>
      <c r="AF53" s="52" t="e">
        <f>HLOOKUP(I53,ElecAvoidedCostsWOCC!$A$5:$Q$50,G53+1,FALSE)</f>
        <v>#N/A</v>
      </c>
      <c r="AG53" s="44" t="e">
        <f t="shared" si="32"/>
        <v>#N/A</v>
      </c>
      <c r="AH53" s="52" t="e">
        <f>HLOOKUP(I53,ElecAvoidedCostsWOCC!$A$5:$Q$50,T53+1,FALSE)</f>
        <v>#N/A</v>
      </c>
      <c r="AI53" s="44" t="e">
        <f t="shared" si="33"/>
        <v>#N/A</v>
      </c>
      <c r="AJ53" s="44" t="e">
        <f t="shared" si="34"/>
        <v>#N/A</v>
      </c>
      <c r="AK53" s="44" t="e">
        <f>HLOOKUP(I53,ElecAvoidedCostsWOCC!$A$5:$Q$50,G53+1,FALSE)*J53*L53</f>
        <v>#N/A</v>
      </c>
      <c r="AL53" s="44" t="e">
        <f t="shared" si="35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6"/>
        <v>0</v>
      </c>
      <c r="AO53" s="47">
        <f t="shared" si="37"/>
        <v>0</v>
      </c>
      <c r="AP53" s="47" t="e">
        <f t="shared" si="38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20"/>
        <v>0</v>
      </c>
      <c r="U54" s="47">
        <f t="shared" si="21"/>
        <v>0</v>
      </c>
      <c r="V54" s="48">
        <f t="shared" si="22"/>
        <v>0</v>
      </c>
      <c r="W54" s="49">
        <f t="shared" si="23"/>
        <v>0</v>
      </c>
      <c r="X54" s="44">
        <f t="shared" si="24"/>
        <v>0</v>
      </c>
      <c r="Y54" s="44">
        <f t="shared" si="25"/>
        <v>0</v>
      </c>
      <c r="Z54" s="44">
        <f t="shared" si="26"/>
        <v>0</v>
      </c>
      <c r="AA54" s="50">
        <f t="shared" si="27"/>
        <v>0</v>
      </c>
      <c r="AB54" s="51">
        <f t="shared" si="28"/>
        <v>0</v>
      </c>
      <c r="AC54" s="44">
        <f t="shared" si="29"/>
        <v>0</v>
      </c>
      <c r="AD54" s="44">
        <f t="shared" si="30"/>
        <v>0</v>
      </c>
      <c r="AE54" s="44">
        <f t="shared" si="31"/>
        <v>0</v>
      </c>
      <c r="AF54" s="52" t="e">
        <f>HLOOKUP(I54,ElecAvoidedCostsWOCC!$A$5:$Q$50,G54+1,FALSE)</f>
        <v>#N/A</v>
      </c>
      <c r="AG54" s="44" t="e">
        <f t="shared" si="32"/>
        <v>#N/A</v>
      </c>
      <c r="AH54" s="52" t="e">
        <f>HLOOKUP(I54,ElecAvoidedCostsWOCC!$A$5:$Q$50,T54+1,FALSE)</f>
        <v>#N/A</v>
      </c>
      <c r="AI54" s="44" t="e">
        <f t="shared" si="33"/>
        <v>#N/A</v>
      </c>
      <c r="AJ54" s="44" t="e">
        <f t="shared" si="34"/>
        <v>#N/A</v>
      </c>
      <c r="AK54" s="44" t="e">
        <f>HLOOKUP(I54,ElecAvoidedCostsWOCC!$A$5:$Q$50,G54+1,FALSE)*J54*L54</f>
        <v>#N/A</v>
      </c>
      <c r="AL54" s="44" t="e">
        <f t="shared" si="35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6"/>
        <v>0</v>
      </c>
      <c r="AO54" s="47">
        <f t="shared" si="37"/>
        <v>0</v>
      </c>
      <c r="AP54" s="47" t="e">
        <f t="shared" si="38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20"/>
        <v>0</v>
      </c>
      <c r="U55" s="47">
        <f t="shared" si="21"/>
        <v>0</v>
      </c>
      <c r="V55" s="48">
        <f t="shared" si="22"/>
        <v>0</v>
      </c>
      <c r="W55" s="49">
        <f t="shared" si="23"/>
        <v>0</v>
      </c>
      <c r="X55" s="44">
        <f t="shared" si="24"/>
        <v>0</v>
      </c>
      <c r="Y55" s="44">
        <f t="shared" si="25"/>
        <v>0</v>
      </c>
      <c r="Z55" s="44">
        <f t="shared" si="26"/>
        <v>0</v>
      </c>
      <c r="AA55" s="50">
        <f t="shared" si="27"/>
        <v>0</v>
      </c>
      <c r="AB55" s="51">
        <f t="shared" si="28"/>
        <v>0</v>
      </c>
      <c r="AC55" s="44">
        <f t="shared" si="29"/>
        <v>0</v>
      </c>
      <c r="AD55" s="44">
        <f t="shared" si="30"/>
        <v>0</v>
      </c>
      <c r="AE55" s="44">
        <f t="shared" si="31"/>
        <v>0</v>
      </c>
      <c r="AF55" s="52" t="e">
        <f>HLOOKUP(I55,ElecAvoidedCostsWOCC!$A$5:$Q$50,G55+1,FALSE)</f>
        <v>#N/A</v>
      </c>
      <c r="AG55" s="44" t="e">
        <f t="shared" si="32"/>
        <v>#N/A</v>
      </c>
      <c r="AH55" s="52" t="e">
        <f>HLOOKUP(I55,ElecAvoidedCostsWOCC!$A$5:$Q$50,T55+1,FALSE)</f>
        <v>#N/A</v>
      </c>
      <c r="AI55" s="44" t="e">
        <f t="shared" si="33"/>
        <v>#N/A</v>
      </c>
      <c r="AJ55" s="44" t="e">
        <f t="shared" si="34"/>
        <v>#N/A</v>
      </c>
      <c r="AK55" s="44" t="e">
        <f>HLOOKUP(I55,ElecAvoidedCostsWOCC!$A$5:$Q$50,G55+1,FALSE)*J55*L55</f>
        <v>#N/A</v>
      </c>
      <c r="AL55" s="44" t="e">
        <f t="shared" si="35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6"/>
        <v>0</v>
      </c>
      <c r="AO55" s="47">
        <f t="shared" si="37"/>
        <v>0</v>
      </c>
      <c r="AP55" s="47" t="e">
        <f t="shared" si="38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20"/>
        <v>0</v>
      </c>
      <c r="U56" s="47">
        <f t="shared" si="21"/>
        <v>0</v>
      </c>
      <c r="V56" s="48">
        <f t="shared" si="22"/>
        <v>0</v>
      </c>
      <c r="W56" s="49">
        <f t="shared" si="23"/>
        <v>0</v>
      </c>
      <c r="X56" s="44">
        <f t="shared" si="24"/>
        <v>0</v>
      </c>
      <c r="Y56" s="44">
        <f t="shared" si="25"/>
        <v>0</v>
      </c>
      <c r="Z56" s="44">
        <f t="shared" si="26"/>
        <v>0</v>
      </c>
      <c r="AA56" s="50">
        <f t="shared" si="27"/>
        <v>0</v>
      </c>
      <c r="AB56" s="51">
        <f t="shared" si="28"/>
        <v>0</v>
      </c>
      <c r="AC56" s="44">
        <f t="shared" si="29"/>
        <v>0</v>
      </c>
      <c r="AD56" s="44">
        <f t="shared" si="30"/>
        <v>0</v>
      </c>
      <c r="AE56" s="44">
        <f t="shared" si="31"/>
        <v>0</v>
      </c>
      <c r="AF56" s="52" t="e">
        <f>HLOOKUP(I56,ElecAvoidedCostsWOCC!$A$5:$Q$50,G56+1,FALSE)</f>
        <v>#N/A</v>
      </c>
      <c r="AG56" s="44" t="e">
        <f t="shared" si="32"/>
        <v>#N/A</v>
      </c>
      <c r="AH56" s="52" t="e">
        <f>HLOOKUP(I56,ElecAvoidedCostsWOCC!$A$5:$Q$50,T56+1,FALSE)</f>
        <v>#N/A</v>
      </c>
      <c r="AI56" s="44" t="e">
        <f t="shared" si="33"/>
        <v>#N/A</v>
      </c>
      <c r="AJ56" s="44" t="e">
        <f t="shared" si="34"/>
        <v>#N/A</v>
      </c>
      <c r="AK56" s="44" t="e">
        <f>HLOOKUP(I56,ElecAvoidedCostsWOCC!$A$5:$Q$50,G56+1,FALSE)*J56*L56</f>
        <v>#N/A</v>
      </c>
      <c r="AL56" s="44" t="e">
        <f t="shared" si="35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6"/>
        <v>0</v>
      </c>
      <c r="AO56" s="47">
        <f t="shared" si="37"/>
        <v>0</v>
      </c>
      <c r="AP56" s="47" t="e">
        <f t="shared" si="38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20"/>
        <v>0</v>
      </c>
      <c r="U57" s="47">
        <f t="shared" si="21"/>
        <v>0</v>
      </c>
      <c r="V57" s="48">
        <f t="shared" si="22"/>
        <v>0</v>
      </c>
      <c r="W57" s="49">
        <f t="shared" si="23"/>
        <v>0</v>
      </c>
      <c r="X57" s="44">
        <f t="shared" si="24"/>
        <v>0</v>
      </c>
      <c r="Y57" s="44">
        <f t="shared" si="25"/>
        <v>0</v>
      </c>
      <c r="Z57" s="44">
        <f t="shared" si="26"/>
        <v>0</v>
      </c>
      <c r="AA57" s="50">
        <f t="shared" si="27"/>
        <v>0</v>
      </c>
      <c r="AB57" s="51">
        <f t="shared" si="28"/>
        <v>0</v>
      </c>
      <c r="AC57" s="44">
        <f t="shared" si="29"/>
        <v>0</v>
      </c>
      <c r="AD57" s="44">
        <f t="shared" si="30"/>
        <v>0</v>
      </c>
      <c r="AE57" s="44">
        <f t="shared" si="31"/>
        <v>0</v>
      </c>
      <c r="AF57" s="52" t="e">
        <f>HLOOKUP(I57,ElecAvoidedCostsWOCC!$A$5:$Q$50,G57+1,FALSE)</f>
        <v>#N/A</v>
      </c>
      <c r="AG57" s="44" t="e">
        <f t="shared" si="32"/>
        <v>#N/A</v>
      </c>
      <c r="AH57" s="52" t="e">
        <f>HLOOKUP(I57,ElecAvoidedCostsWOCC!$A$5:$Q$50,T57+1,FALSE)</f>
        <v>#N/A</v>
      </c>
      <c r="AI57" s="44" t="e">
        <f t="shared" si="33"/>
        <v>#N/A</v>
      </c>
      <c r="AJ57" s="44" t="e">
        <f t="shared" si="34"/>
        <v>#N/A</v>
      </c>
      <c r="AK57" s="44" t="e">
        <f>HLOOKUP(I57,ElecAvoidedCostsWOCC!$A$5:$Q$50,G57+1,FALSE)*J57*L57</f>
        <v>#N/A</v>
      </c>
      <c r="AL57" s="44" t="e">
        <f t="shared" si="35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6"/>
        <v>0</v>
      </c>
      <c r="AO57" s="47">
        <f t="shared" si="37"/>
        <v>0</v>
      </c>
      <c r="AP57" s="47" t="e">
        <f t="shared" si="38"/>
        <v>#DIV/0!</v>
      </c>
    </row>
  </sheetData>
  <conditionalFormatting sqref="J5:L57">
    <cfRule type="expression" dxfId="224" priority="4">
      <formula>ISTEXT(J5)</formula>
    </cfRule>
    <cfRule type="notContainsBlanks" dxfId="223" priority="5">
      <formula>LEN(TRIM(J5))&gt;0</formula>
    </cfRule>
  </conditionalFormatting>
  <conditionalFormatting sqref="M5:N57 R5:S57">
    <cfRule type="expression" dxfId="222" priority="2">
      <formula>ISTEXT(M5)</formula>
    </cfRule>
  </conditionalFormatting>
  <conditionalFormatting sqref="M5:N57 R5:S57">
    <cfRule type="notContainsBlanks" dxfId="221" priority="3">
      <formula>LEN(TRIM(M5))&gt;0</formula>
    </cfRule>
  </conditionalFormatting>
  <conditionalFormatting sqref="R5:S57">
    <cfRule type="expression" dxfId="22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64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18230723</v>
      </c>
      <c r="D2" s="20" t="s">
        <v>137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136</v>
      </c>
      <c r="C5" s="98">
        <v>18230723</v>
      </c>
      <c r="D5" s="61" t="s">
        <v>137</v>
      </c>
      <c r="E5" s="38" t="s">
        <v>1056</v>
      </c>
      <c r="F5" s="39" t="s">
        <v>1057</v>
      </c>
      <c r="G5" s="39">
        <v>3</v>
      </c>
      <c r="H5" s="39"/>
      <c r="I5" s="40" t="s">
        <v>256</v>
      </c>
      <c r="J5" s="41">
        <v>1</v>
      </c>
      <c r="K5" s="41">
        <v>2444409</v>
      </c>
      <c r="L5" s="41"/>
      <c r="M5" s="42">
        <v>60628</v>
      </c>
      <c r="N5" s="42">
        <v>97776</v>
      </c>
      <c r="O5" s="43">
        <v>2444409</v>
      </c>
      <c r="P5" s="44">
        <v>60628</v>
      </c>
      <c r="Q5" s="44">
        <v>97776</v>
      </c>
      <c r="R5" s="45"/>
      <c r="S5" s="46"/>
      <c r="T5" s="39">
        <f t="shared" ref="T5:T19" si="0">G5+H5</f>
        <v>3</v>
      </c>
      <c r="U5" s="47">
        <f t="shared" ref="U5:U19" si="1">(O5/$A$10)*T5</f>
        <v>0.36098525396517694</v>
      </c>
      <c r="V5" s="48">
        <f t="shared" ref="V5:V19" si="2">N5-M5</f>
        <v>37148</v>
      </c>
      <c r="W5" s="49">
        <f t="shared" ref="W5:W19" si="3">(O5/A$10)</f>
        <v>0.12032841798839232</v>
      </c>
      <c r="X5" s="44">
        <f t="shared" ref="X5:X19" si="4">W5*A$8</f>
        <v>186825.3082662911</v>
      </c>
      <c r="Y5" s="44">
        <f t="shared" ref="Y5:Y19" si="5">Q5-P5</f>
        <v>37148</v>
      </c>
      <c r="Z5" s="44">
        <f t="shared" ref="Z5:Z19" si="6">X5+(A$6*W5)</f>
        <v>305179.85888600186</v>
      </c>
      <c r="AA5" s="50">
        <f t="shared" ref="AA5:AA19" si="7">Q5+X5</f>
        <v>284601.3082662911</v>
      </c>
      <c r="AB5" s="51">
        <f t="shared" ref="AB5:AC15" si="8">Z5/(1+ElecDiscountRate)^1</f>
        <v>285294.81058801705</v>
      </c>
      <c r="AC5" s="44">
        <f t="shared" si="8"/>
        <v>266057.12654603261</v>
      </c>
      <c r="AD5" s="44">
        <f t="shared" ref="AD5:AD19" si="9">-PV(ElecDiscountRate,T5,R5)*J5</f>
        <v>0</v>
      </c>
      <c r="AE5" s="44">
        <v>0</v>
      </c>
      <c r="AF5" s="52">
        <f>HLOOKUP(I5,ElecAvoidedCostsWOCC!$A$5:$Q$50,G5+1,FALSE)</f>
        <v>0.22068555405687484</v>
      </c>
      <c r="AG5" s="44">
        <f t="shared" ref="AG5:AG19" si="10">AF5*J5*K5</f>
        <v>539445.75450661138</v>
      </c>
      <c r="AH5" s="52">
        <f>HLOOKUP(I5,ElecAvoidedCostsWOCC!$A$5:$Q$50,T5+1,FALSE)</f>
        <v>0.22068555405687484</v>
      </c>
      <c r="AI5" s="44">
        <f t="shared" ref="AI5:AI19" si="11">AH5*J5*L5</f>
        <v>0</v>
      </c>
      <c r="AJ5" s="44">
        <f>AG5+AI5</f>
        <v>539445.75450661138</v>
      </c>
      <c r="AK5" s="44">
        <f>HLOOKUP(I5,ElecAvoidedCostsWOCC!$A$5:$Q$50,G5+1,FALSE)*J5*L5</f>
        <v>0</v>
      </c>
      <c r="AL5" s="44">
        <f>AG5+AI5-AK5</f>
        <v>539445.75450661138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539445.75450661138</v>
      </c>
      <c r="AN5" s="48">
        <f>AM5*1.1+AD5+AE5</f>
        <v>593390.32995727262</v>
      </c>
      <c r="AO5" s="47">
        <f>IFERROR(AM5/AB5,0)</f>
        <v>1.8908361964059825</v>
      </c>
      <c r="AP5" s="47">
        <f>AN5/AC5</f>
        <v>2.2303117291413939</v>
      </c>
      <c r="AQ5">
        <v>2021</v>
      </c>
    </row>
    <row r="6" spans="1:43" ht="13.5" customHeight="1">
      <c r="A6" s="53">
        <f>SUMIF('Program Costs'!D:D,C2,'Program Costs'!L:L)</f>
        <v>983596</v>
      </c>
      <c r="B6" s="97" t="s">
        <v>136</v>
      </c>
      <c r="C6" s="98">
        <v>18230723</v>
      </c>
      <c r="D6" s="61" t="s">
        <v>137</v>
      </c>
      <c r="E6" s="38" t="s">
        <v>1058</v>
      </c>
      <c r="F6" s="39" t="s">
        <v>1059</v>
      </c>
      <c r="G6" s="39">
        <v>3</v>
      </c>
      <c r="H6" s="39"/>
      <c r="I6" s="40" t="s">
        <v>256</v>
      </c>
      <c r="J6" s="41">
        <v>1</v>
      </c>
      <c r="K6" s="41">
        <v>2123958</v>
      </c>
      <c r="L6" s="41"/>
      <c r="M6" s="42">
        <v>51494</v>
      </c>
      <c r="N6" s="42">
        <v>84958</v>
      </c>
      <c r="O6" s="43">
        <v>2123958</v>
      </c>
      <c r="P6" s="44">
        <v>51494</v>
      </c>
      <c r="Q6" s="44">
        <v>84958</v>
      </c>
      <c r="R6" s="45"/>
      <c r="S6" s="46"/>
      <c r="T6" s="39">
        <f t="shared" si="0"/>
        <v>3</v>
      </c>
      <c r="U6" s="47">
        <f t="shared" si="1"/>
        <v>0.31366171456633052</v>
      </c>
      <c r="V6" s="48">
        <f t="shared" si="2"/>
        <v>33464</v>
      </c>
      <c r="W6" s="49">
        <f t="shared" si="3"/>
        <v>0.1045539048554435</v>
      </c>
      <c r="X6" s="44">
        <f t="shared" si="4"/>
        <v>162333.35259960798</v>
      </c>
      <c r="Y6" s="44">
        <f t="shared" si="5"/>
        <v>33464</v>
      </c>
      <c r="Z6" s="44">
        <f t="shared" si="6"/>
        <v>265172.15519980277</v>
      </c>
      <c r="AA6" s="50">
        <f t="shared" si="7"/>
        <v>247291.35259960798</v>
      </c>
      <c r="AB6" s="51">
        <f t="shared" si="8"/>
        <v>247893.94708778418</v>
      </c>
      <c r="AC6" s="44">
        <f t="shared" si="8"/>
        <v>231178.22997065342</v>
      </c>
      <c r="AD6" s="44">
        <f t="shared" si="9"/>
        <v>0</v>
      </c>
      <c r="AE6" s="44">
        <v>0</v>
      </c>
      <c r="AF6" s="52">
        <f>HLOOKUP(I6,ElecAvoidedCostsWOCC!$A$5:$Q$50,G6+1,FALSE)</f>
        <v>0.22068555405687484</v>
      </c>
      <c r="AG6" s="44">
        <f t="shared" si="10"/>
        <v>468726.84802353178</v>
      </c>
      <c r="AH6" s="52">
        <f>HLOOKUP(I6,ElecAvoidedCostsWOCC!$A$5:$Q$50,T6+1,FALSE)</f>
        <v>0.22068555405687484</v>
      </c>
      <c r="AI6" s="44">
        <f t="shared" si="11"/>
        <v>0</v>
      </c>
      <c r="AJ6" s="44">
        <f t="shared" ref="AJ6:AJ19" si="12">AG6+AI6</f>
        <v>468726.84802353178</v>
      </c>
      <c r="AK6" s="44">
        <f>HLOOKUP(I6,ElecAvoidedCostsWOCC!$A$5:$Q$50,G6+1,FALSE)*J6*L6</f>
        <v>0</v>
      </c>
      <c r="AL6" s="44">
        <f t="shared" ref="AL6:AL19" si="13">AG6+AI6-AK6</f>
        <v>468726.84802353178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468726.84802353178</v>
      </c>
      <c r="AN6" s="48">
        <f t="shared" ref="AN6:AN19" si="14">AM6*1.1+AD6+AE6</f>
        <v>515599.53282588499</v>
      </c>
      <c r="AO6" s="47">
        <f t="shared" ref="AO6:AO19" si="15">IFERROR(AM6/AB6,0)</f>
        <v>1.8908361964059828</v>
      </c>
      <c r="AP6" s="47">
        <f t="shared" ref="AP6:AP19" si="16">AN6/AC6</f>
        <v>2.2303117940272186</v>
      </c>
      <c r="AQ6">
        <v>2021</v>
      </c>
    </row>
    <row r="7" spans="1:43" ht="13.5" customHeight="1">
      <c r="A7" s="36" t="s">
        <v>249</v>
      </c>
      <c r="B7" s="97" t="s">
        <v>136</v>
      </c>
      <c r="C7" s="98">
        <v>18230723</v>
      </c>
      <c r="D7" s="61" t="s">
        <v>137</v>
      </c>
      <c r="E7" s="38" t="s">
        <v>1060</v>
      </c>
      <c r="F7" s="39" t="s">
        <v>1061</v>
      </c>
      <c r="G7" s="39">
        <v>3</v>
      </c>
      <c r="H7" s="39"/>
      <c r="I7" s="40" t="s">
        <v>256</v>
      </c>
      <c r="J7" s="41">
        <v>1</v>
      </c>
      <c r="K7" s="41">
        <v>23024</v>
      </c>
      <c r="L7" s="41"/>
      <c r="M7" s="42">
        <v>460</v>
      </c>
      <c r="N7" s="42">
        <v>921</v>
      </c>
      <c r="O7" s="43">
        <v>23024</v>
      </c>
      <c r="P7" s="44">
        <v>460</v>
      </c>
      <c r="Q7" s="44">
        <v>921</v>
      </c>
      <c r="R7" s="45"/>
      <c r="S7" s="46"/>
      <c r="T7" s="39">
        <f t="shared" si="0"/>
        <v>3</v>
      </c>
      <c r="U7" s="47">
        <f t="shared" si="1"/>
        <v>3.4001365922373193E-3</v>
      </c>
      <c r="V7" s="48">
        <f t="shared" si="2"/>
        <v>461</v>
      </c>
      <c r="W7" s="49">
        <f t="shared" si="3"/>
        <v>1.1333788640791064E-3</v>
      </c>
      <c r="X7" s="44">
        <f t="shared" si="4"/>
        <v>1759.7161103248623</v>
      </c>
      <c r="Y7" s="44">
        <f t="shared" si="5"/>
        <v>461</v>
      </c>
      <c r="Z7" s="44">
        <f t="shared" si="6"/>
        <v>2874.503027517615</v>
      </c>
      <c r="AA7" s="50">
        <f t="shared" si="7"/>
        <v>2680.7161103248623</v>
      </c>
      <c r="AB7" s="51">
        <f t="shared" si="8"/>
        <v>2687.2048495069785</v>
      </c>
      <c r="AC7" s="44">
        <f t="shared" si="8"/>
        <v>2506.0447885620847</v>
      </c>
      <c r="AD7" s="44">
        <f t="shared" si="9"/>
        <v>0</v>
      </c>
      <c r="AE7" s="44">
        <v>0</v>
      </c>
      <c r="AF7" s="52">
        <f>HLOOKUP(I7,ElecAvoidedCostsWOCC!$A$5:$Q$50,G7+1,FALSE)</f>
        <v>0.22068555405687484</v>
      </c>
      <c r="AG7" s="44">
        <f t="shared" si="10"/>
        <v>5081.0641966054864</v>
      </c>
      <c r="AH7" s="52">
        <f>HLOOKUP(I7,ElecAvoidedCostsWOCC!$A$5:$Q$50,T7+1,FALSE)</f>
        <v>0.22068555405687484</v>
      </c>
      <c r="AI7" s="44">
        <f t="shared" si="11"/>
        <v>0</v>
      </c>
      <c r="AJ7" s="44">
        <f t="shared" si="12"/>
        <v>5081.0641966054864</v>
      </c>
      <c r="AK7" s="44">
        <f>HLOOKUP(I7,ElecAvoidedCostsWOCC!$A$5:$Q$50,G7+1,FALSE)*J7*L7</f>
        <v>0</v>
      </c>
      <c r="AL7" s="44">
        <f t="shared" si="13"/>
        <v>5081.0641966054864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5081.0641966054864</v>
      </c>
      <c r="AN7" s="48">
        <f t="shared" si="14"/>
        <v>5589.1706162660357</v>
      </c>
      <c r="AO7" s="47">
        <f t="shared" si="15"/>
        <v>1.8908361964059828</v>
      </c>
      <c r="AP7" s="47">
        <f t="shared" si="16"/>
        <v>2.2302756286622407</v>
      </c>
      <c r="AQ7">
        <v>2021</v>
      </c>
    </row>
    <row r="8" spans="1:43" ht="13.5" customHeight="1">
      <c r="A8" s="53">
        <f>SUMIF('Program Costs'!D:D,C2,'Program Costs'!O:O)</f>
        <v>1552628.3099999996</v>
      </c>
      <c r="B8" s="97" t="s">
        <v>136</v>
      </c>
      <c r="C8" s="98">
        <v>18230723</v>
      </c>
      <c r="D8" s="61" t="s">
        <v>137</v>
      </c>
      <c r="E8" s="38" t="s">
        <v>1060</v>
      </c>
      <c r="F8" s="39" t="s">
        <v>1061</v>
      </c>
      <c r="G8" s="39">
        <v>3</v>
      </c>
      <c r="H8" s="39"/>
      <c r="I8" s="40" t="s">
        <v>256</v>
      </c>
      <c r="J8" s="41">
        <v>1</v>
      </c>
      <c r="K8" s="41">
        <v>2004452</v>
      </c>
      <c r="L8" s="41"/>
      <c r="M8" s="42">
        <v>40436</v>
      </c>
      <c r="N8" s="42">
        <v>95620</v>
      </c>
      <c r="O8" s="43">
        <v>2004452</v>
      </c>
      <c r="P8" s="44">
        <v>40436</v>
      </c>
      <c r="Q8" s="44">
        <v>95620</v>
      </c>
      <c r="R8" s="45"/>
      <c r="S8" s="46"/>
      <c r="T8" s="39">
        <f t="shared" si="0"/>
        <v>3</v>
      </c>
      <c r="U8" s="47">
        <f t="shared" si="1"/>
        <v>0.29601331621713345</v>
      </c>
      <c r="V8" s="48">
        <f t="shared" si="2"/>
        <v>55184</v>
      </c>
      <c r="W8" s="49">
        <f t="shared" si="3"/>
        <v>9.867110540571114E-2</v>
      </c>
      <c r="X8" s="44">
        <f t="shared" si="4"/>
        <v>153199.55163190112</v>
      </c>
      <c r="Y8" s="44">
        <f t="shared" si="5"/>
        <v>55184</v>
      </c>
      <c r="Z8" s="44">
        <f t="shared" si="6"/>
        <v>250252.05622453697</v>
      </c>
      <c r="AA8" s="50">
        <f t="shared" si="7"/>
        <v>248819.55163190112</v>
      </c>
      <c r="AB8" s="51">
        <f t="shared" si="8"/>
        <v>233946.01871976905</v>
      </c>
      <c r="AC8" s="44">
        <f t="shared" si="8"/>
        <v>232606.85391408909</v>
      </c>
      <c r="AD8" s="44">
        <f t="shared" si="9"/>
        <v>0</v>
      </c>
      <c r="AE8" s="44">
        <v>0</v>
      </c>
      <c r="AF8" s="52">
        <f>HLOOKUP(I8,ElecAvoidedCostsWOCC!$A$5:$Q$50,G8+1,FALSE)</f>
        <v>0.22068555405687484</v>
      </c>
      <c r="AG8" s="44">
        <f t="shared" si="10"/>
        <v>442353.60020041087</v>
      </c>
      <c r="AH8" s="52">
        <f>HLOOKUP(I8,ElecAvoidedCostsWOCC!$A$5:$Q$50,T8+1,FALSE)</f>
        <v>0.22068555405687484</v>
      </c>
      <c r="AI8" s="44">
        <f t="shared" si="11"/>
        <v>0</v>
      </c>
      <c r="AJ8" s="44">
        <f t="shared" si="12"/>
        <v>442353.60020041087</v>
      </c>
      <c r="AK8" s="44">
        <f>HLOOKUP(I8,ElecAvoidedCostsWOCC!$A$5:$Q$50,G8+1,FALSE)*J8*L8</f>
        <v>0</v>
      </c>
      <c r="AL8" s="44">
        <f t="shared" si="13"/>
        <v>442353.60020041087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442353.60020041087</v>
      </c>
      <c r="AN8" s="48">
        <f t="shared" si="14"/>
        <v>486588.96022045199</v>
      </c>
      <c r="AO8" s="47">
        <f t="shared" si="15"/>
        <v>1.8908361964059823</v>
      </c>
      <c r="AP8" s="47">
        <f t="shared" si="16"/>
        <v>2.0918943360119928</v>
      </c>
      <c r="AQ8">
        <v>2021</v>
      </c>
    </row>
    <row r="9" spans="1:43" ht="13.5" customHeight="1">
      <c r="A9" s="36" t="s">
        <v>250</v>
      </c>
      <c r="B9" s="97" t="s">
        <v>136</v>
      </c>
      <c r="C9" s="98">
        <v>18230723</v>
      </c>
      <c r="D9" s="61" t="s">
        <v>137</v>
      </c>
      <c r="E9" s="38" t="s">
        <v>1062</v>
      </c>
      <c r="F9" s="39" t="s">
        <v>1063</v>
      </c>
      <c r="G9" s="39">
        <v>3</v>
      </c>
      <c r="H9" s="39"/>
      <c r="I9" s="40" t="s">
        <v>256</v>
      </c>
      <c r="J9" s="41">
        <v>1</v>
      </c>
      <c r="K9" s="41"/>
      <c r="L9" s="41"/>
      <c r="M9" s="42">
        <v>76723</v>
      </c>
      <c r="N9" s="42">
        <v>76723</v>
      </c>
      <c r="O9" s="43">
        <v>0</v>
      </c>
      <c r="P9" s="44">
        <v>76723</v>
      </c>
      <c r="Q9" s="44">
        <v>76723</v>
      </c>
      <c r="R9" s="45"/>
      <c r="S9" s="46"/>
      <c r="T9" s="39">
        <f t="shared" si="0"/>
        <v>3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76723</v>
      </c>
      <c r="AB9" s="51">
        <f t="shared" si="8"/>
        <v>0</v>
      </c>
      <c r="AC9" s="44">
        <f t="shared" si="8"/>
        <v>71723.84780779657</v>
      </c>
      <c r="AD9" s="44">
        <f t="shared" si="9"/>
        <v>0</v>
      </c>
      <c r="AE9" s="44">
        <f t="shared" ref="AE9:AE19" si="17">-PV(ElecDiscountRate,T9,S9)*J9</f>
        <v>0</v>
      </c>
      <c r="AF9" s="52">
        <f>HLOOKUP(I9,ElecAvoidedCostsWOCC!$A$5:$Q$50,G9+1,FALSE)</f>
        <v>0.22068555405687484</v>
      </c>
      <c r="AG9" s="44">
        <f t="shared" si="10"/>
        <v>0</v>
      </c>
      <c r="AH9" s="52">
        <f>HLOOKUP(I9,ElecAvoidedCostsWOCC!$A$5:$Q$50,T9+1,FALSE)</f>
        <v>0.22068555405687484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  <c r="AQ9">
        <v>2021</v>
      </c>
    </row>
    <row r="10" spans="1:43" ht="13.5" customHeight="1">
      <c r="A10" s="54">
        <f>SUM(O5:O994)</f>
        <v>20314478</v>
      </c>
      <c r="B10" s="97" t="s">
        <v>136</v>
      </c>
      <c r="C10" s="98">
        <v>18230723</v>
      </c>
      <c r="D10" s="61" t="s">
        <v>137</v>
      </c>
      <c r="E10" s="38" t="s">
        <v>1064</v>
      </c>
      <c r="F10" s="39" t="s">
        <v>1065</v>
      </c>
      <c r="G10" s="39">
        <v>3</v>
      </c>
      <c r="H10" s="39"/>
      <c r="I10" s="40" t="s">
        <v>256</v>
      </c>
      <c r="J10" s="41">
        <v>1</v>
      </c>
      <c r="K10" s="41"/>
      <c r="L10" s="41"/>
      <c r="M10" s="42">
        <v>60000</v>
      </c>
      <c r="N10" s="42">
        <v>60000</v>
      </c>
      <c r="O10" s="43">
        <v>0</v>
      </c>
      <c r="P10" s="44">
        <v>60000</v>
      </c>
      <c r="Q10" s="44">
        <v>60000</v>
      </c>
      <c r="R10" s="45"/>
      <c r="S10" s="46"/>
      <c r="T10" s="39">
        <f t="shared" si="0"/>
        <v>3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60000</v>
      </c>
      <c r="AB10" s="51">
        <f t="shared" si="8"/>
        <v>0</v>
      </c>
      <c r="AC10" s="44">
        <f t="shared" si="8"/>
        <v>56090.492661493874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0.22068555405687484</v>
      </c>
      <c r="AG10" s="44">
        <f t="shared" si="10"/>
        <v>0</v>
      </c>
      <c r="AH10" s="52">
        <f>HLOOKUP(I10,ElecAvoidedCostsWOCC!$A$5:$Q$50,T10+1,FALSE)</f>
        <v>0.22068555405687484</v>
      </c>
      <c r="AI10" s="44">
        <f t="shared" si="11"/>
        <v>0</v>
      </c>
      <c r="AJ10" s="44">
        <f t="shared" si="12"/>
        <v>0</v>
      </c>
      <c r="AK10" s="44">
        <f>HLOOKUP(I10,ElecAvoidedCostsWOCC!$A$5:$Q$50,G10+1,FALSE)*J10*L10</f>
        <v>0</v>
      </c>
      <c r="AL10" s="44">
        <f t="shared" si="13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  <c r="AQ10">
        <v>2021</v>
      </c>
    </row>
    <row r="11" spans="1:43" ht="13.5" customHeight="1">
      <c r="A11" s="36" t="s">
        <v>251</v>
      </c>
      <c r="B11" s="97" t="s">
        <v>136</v>
      </c>
      <c r="C11" s="98">
        <v>18230723</v>
      </c>
      <c r="D11" s="61" t="s">
        <v>137</v>
      </c>
      <c r="E11" s="38" t="s">
        <v>1066</v>
      </c>
      <c r="F11" s="39" t="s">
        <v>1067</v>
      </c>
      <c r="G11" s="39">
        <v>3</v>
      </c>
      <c r="H11" s="39"/>
      <c r="I11" s="40" t="s">
        <v>256</v>
      </c>
      <c r="J11" s="41">
        <v>1</v>
      </c>
      <c r="K11" s="41"/>
      <c r="L11" s="41"/>
      <c r="M11" s="42">
        <v>3400</v>
      </c>
      <c r="N11" s="42">
        <v>3400</v>
      </c>
      <c r="O11" s="43">
        <v>0</v>
      </c>
      <c r="P11" s="44">
        <v>3400</v>
      </c>
      <c r="Q11" s="44">
        <v>3400</v>
      </c>
      <c r="R11" s="45"/>
      <c r="S11" s="46"/>
      <c r="T11" s="39">
        <f t="shared" si="0"/>
        <v>3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3400</v>
      </c>
      <c r="AB11" s="51">
        <f t="shared" si="8"/>
        <v>0</v>
      </c>
      <c r="AC11" s="44">
        <f t="shared" si="8"/>
        <v>3178.4612508179862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0.22068555405687484</v>
      </c>
      <c r="AG11" s="44">
        <f t="shared" si="10"/>
        <v>0</v>
      </c>
      <c r="AH11" s="52">
        <f>HLOOKUP(I11,ElecAvoidedCostsWOCC!$A$5:$Q$50,T11+1,FALSE)</f>
        <v>0.22068555405687484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  <c r="AQ11">
        <v>2021</v>
      </c>
    </row>
    <row r="12" spans="1:43" ht="13.5" customHeight="1">
      <c r="A12" s="55">
        <f>SUM(P5:P995)</f>
        <v>983596</v>
      </c>
      <c r="B12" s="97" t="s">
        <v>136</v>
      </c>
      <c r="C12" s="98">
        <v>18230723</v>
      </c>
      <c r="D12" s="61" t="s">
        <v>137</v>
      </c>
      <c r="E12" s="38" t="s">
        <v>1066</v>
      </c>
      <c r="F12" s="39" t="s">
        <v>1067</v>
      </c>
      <c r="G12" s="39">
        <v>3</v>
      </c>
      <c r="H12" s="39"/>
      <c r="I12" s="40" t="s">
        <v>256</v>
      </c>
      <c r="J12" s="41">
        <v>1</v>
      </c>
      <c r="K12" s="41"/>
      <c r="L12" s="41"/>
      <c r="M12" s="42">
        <v>71690</v>
      </c>
      <c r="N12" s="42">
        <v>71690</v>
      </c>
      <c r="O12" s="43">
        <v>0</v>
      </c>
      <c r="P12" s="44">
        <v>71690</v>
      </c>
      <c r="Q12" s="44">
        <v>71690</v>
      </c>
      <c r="R12" s="45"/>
      <c r="S12" s="46"/>
      <c r="T12" s="39">
        <f t="shared" si="0"/>
        <v>3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71690</v>
      </c>
      <c r="AB12" s="51">
        <f t="shared" si="8"/>
        <v>0</v>
      </c>
      <c r="AC12" s="44">
        <f t="shared" si="8"/>
        <v>67018.790315041595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0.22068555405687484</v>
      </c>
      <c r="AG12" s="44">
        <f t="shared" si="10"/>
        <v>0</v>
      </c>
      <c r="AH12" s="52">
        <f>HLOOKUP(I12,ElecAvoidedCostsWOCC!$A$5:$Q$50,T12+1,FALSE)</f>
        <v>0.22068555405687484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  <c r="AQ12">
        <v>2021</v>
      </c>
    </row>
    <row r="13" spans="1:43" ht="13.5" customHeight="1">
      <c r="A13" s="56" t="s">
        <v>252</v>
      </c>
      <c r="B13" s="97" t="s">
        <v>136</v>
      </c>
      <c r="C13" s="98">
        <v>18230723</v>
      </c>
      <c r="D13" s="61" t="s">
        <v>137</v>
      </c>
      <c r="E13" s="38" t="s">
        <v>1068</v>
      </c>
      <c r="F13" s="39" t="s">
        <v>1069</v>
      </c>
      <c r="G13" s="39">
        <v>3</v>
      </c>
      <c r="H13" s="39"/>
      <c r="I13" s="40" t="s">
        <v>256</v>
      </c>
      <c r="J13" s="41">
        <v>1</v>
      </c>
      <c r="K13" s="41"/>
      <c r="L13" s="41"/>
      <c r="M13" s="42">
        <v>19686</v>
      </c>
      <c r="N13" s="42">
        <v>19686</v>
      </c>
      <c r="O13" s="43">
        <v>0</v>
      </c>
      <c r="P13" s="44">
        <v>19686</v>
      </c>
      <c r="Q13" s="44">
        <v>19686</v>
      </c>
      <c r="R13" s="45"/>
      <c r="S13" s="46"/>
      <c r="T13" s="39">
        <f t="shared" si="0"/>
        <v>3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19686</v>
      </c>
      <c r="AB13" s="51">
        <f t="shared" si="8"/>
        <v>0</v>
      </c>
      <c r="AC13" s="44">
        <f t="shared" si="8"/>
        <v>18403.290642236141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0.22068555405687484</v>
      </c>
      <c r="AG13" s="44">
        <f t="shared" si="10"/>
        <v>0</v>
      </c>
      <c r="AH13" s="52">
        <f>HLOOKUP(I13,ElecAvoidedCostsWOCC!$A$5:$Q$50,T13+1,FALSE)</f>
        <v>0.22068555405687484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  <c r="AQ13">
        <v>2021</v>
      </c>
    </row>
    <row r="14" spans="1:43" ht="13.5" customHeight="1">
      <c r="A14" s="55">
        <f>SUM(Y5:Y995)</f>
        <v>357710.4</v>
      </c>
      <c r="B14" s="97" t="s">
        <v>136</v>
      </c>
      <c r="C14" s="98">
        <v>18230723</v>
      </c>
      <c r="D14" s="61" t="s">
        <v>137</v>
      </c>
      <c r="E14" s="38" t="s">
        <v>1070</v>
      </c>
      <c r="F14" s="39" t="s">
        <v>1071</v>
      </c>
      <c r="G14" s="39">
        <v>3</v>
      </c>
      <c r="H14" s="39"/>
      <c r="I14" s="40" t="s">
        <v>256</v>
      </c>
      <c r="J14" s="41">
        <v>1</v>
      </c>
      <c r="K14" s="41"/>
      <c r="L14" s="41"/>
      <c r="M14" s="42">
        <v>2600</v>
      </c>
      <c r="N14" s="42">
        <v>2600</v>
      </c>
      <c r="O14" s="43">
        <v>0</v>
      </c>
      <c r="P14" s="44">
        <v>2600</v>
      </c>
      <c r="Q14" s="44">
        <v>2600</v>
      </c>
      <c r="R14" s="45"/>
      <c r="S14" s="46"/>
      <c r="T14" s="39">
        <f t="shared" si="0"/>
        <v>3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2600</v>
      </c>
      <c r="AB14" s="51">
        <f t="shared" si="8"/>
        <v>0</v>
      </c>
      <c r="AC14" s="44">
        <f t="shared" si="8"/>
        <v>2430.588015331401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0.22068555405687484</v>
      </c>
      <c r="AG14" s="44">
        <f t="shared" si="10"/>
        <v>0</v>
      </c>
      <c r="AH14" s="52">
        <f>HLOOKUP(I14,ElecAvoidedCostsWOCC!$A$5:$Q$50,T14+1,FALSE)</f>
        <v>0.22068555405687484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  <c r="AQ14">
        <v>2021</v>
      </c>
    </row>
    <row r="15" spans="1:43" ht="13.5" customHeight="1">
      <c r="A15" s="57" t="s">
        <v>253</v>
      </c>
      <c r="B15" s="97" t="s">
        <v>136</v>
      </c>
      <c r="C15" s="98">
        <v>18230723</v>
      </c>
      <c r="D15" s="61" t="s">
        <v>137</v>
      </c>
      <c r="E15" s="38" t="s">
        <v>1072</v>
      </c>
      <c r="F15" s="39" t="s">
        <v>1073</v>
      </c>
      <c r="G15" s="39">
        <v>3</v>
      </c>
      <c r="H15" s="39"/>
      <c r="I15" s="40" t="s">
        <v>256</v>
      </c>
      <c r="J15" s="41">
        <v>1</v>
      </c>
      <c r="K15" s="41"/>
      <c r="L15" s="41"/>
      <c r="M15" s="42">
        <v>340</v>
      </c>
      <c r="N15" s="42">
        <v>340</v>
      </c>
      <c r="O15" s="43">
        <v>0</v>
      </c>
      <c r="P15" s="44">
        <v>340</v>
      </c>
      <c r="Q15" s="44">
        <v>340</v>
      </c>
      <c r="R15" s="45"/>
      <c r="S15" s="46"/>
      <c r="T15" s="39">
        <f t="shared" si="0"/>
        <v>3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340</v>
      </c>
      <c r="AB15" s="51">
        <f t="shared" si="8"/>
        <v>0</v>
      </c>
      <c r="AC15" s="44">
        <f t="shared" si="8"/>
        <v>317.84612508179862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0.22068555405687484</v>
      </c>
      <c r="AG15" s="44">
        <f t="shared" si="10"/>
        <v>0</v>
      </c>
      <c r="AH15" s="52">
        <f>HLOOKUP(I15,ElecAvoidedCostsWOCC!$A$5:$Q$50,T15+1,FALSE)</f>
        <v>0.22068555405687484</v>
      </c>
      <c r="AI15" s="44">
        <f t="shared" si="11"/>
        <v>0</v>
      </c>
      <c r="AJ15" s="44">
        <f t="shared" si="12"/>
        <v>0</v>
      </c>
      <c r="AK15" s="44">
        <f>HLOOKUP(I15,ElecAvoidedCostsWOCC!$A$5:$Q$50,G15+1,FALSE)*J15*L15</f>
        <v>0</v>
      </c>
      <c r="AL15" s="44">
        <f t="shared" si="13"/>
        <v>0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>
        <f t="shared" si="16"/>
        <v>0</v>
      </c>
      <c r="AQ15">
        <v>2021</v>
      </c>
    </row>
    <row r="16" spans="1:43" ht="13.5" customHeight="1">
      <c r="A16" s="54">
        <f>SUM(U5:U994)</f>
        <v>3</v>
      </c>
      <c r="B16" s="97" t="s">
        <v>136</v>
      </c>
      <c r="C16" s="98">
        <v>18230723</v>
      </c>
      <c r="D16" s="61" t="s">
        <v>137</v>
      </c>
      <c r="E16" s="38" t="s">
        <v>1072</v>
      </c>
      <c r="F16" s="39" t="s">
        <v>1073</v>
      </c>
      <c r="G16" s="39">
        <v>3</v>
      </c>
      <c r="H16" s="39"/>
      <c r="I16" s="40" t="s">
        <v>256</v>
      </c>
      <c r="J16" s="41">
        <v>1</v>
      </c>
      <c r="K16" s="41"/>
      <c r="L16" s="41"/>
      <c r="M16" s="42">
        <v>960</v>
      </c>
      <c r="N16" s="42">
        <v>960</v>
      </c>
      <c r="O16" s="43">
        <v>0</v>
      </c>
      <c r="P16" s="44">
        <v>960</v>
      </c>
      <c r="Q16" s="44">
        <v>960</v>
      </c>
      <c r="R16" s="45"/>
      <c r="S16" s="46"/>
      <c r="T16" s="39">
        <f t="shared" si="0"/>
        <v>3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960</v>
      </c>
      <c r="AB16" s="51">
        <f t="shared" ref="AB16:AC19" si="18">Z16/(1+ElecDiscountRate)^1</f>
        <v>0</v>
      </c>
      <c r="AC16" s="44">
        <f t="shared" si="18"/>
        <v>897.4478825839019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0.22068555405687484</v>
      </c>
      <c r="AG16" s="44">
        <f t="shared" si="10"/>
        <v>0</v>
      </c>
      <c r="AH16" s="52">
        <f>HLOOKUP(I16,ElecAvoidedCostsWOCC!$A$5:$Q$50,T16+1,FALSE)</f>
        <v>0.22068555405687484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>
        <f t="shared" si="16"/>
        <v>0</v>
      </c>
      <c r="AQ16">
        <v>2021</v>
      </c>
    </row>
    <row r="17" spans="1:43" ht="13.5" customHeight="1">
      <c r="A17" s="58" t="s">
        <v>254</v>
      </c>
      <c r="B17" s="97" t="s">
        <v>136</v>
      </c>
      <c r="C17" s="100">
        <v>18230723</v>
      </c>
      <c r="D17" s="100" t="s">
        <v>137</v>
      </c>
      <c r="E17" s="38" t="s">
        <v>2100</v>
      </c>
      <c r="F17" s="39" t="s">
        <v>2101</v>
      </c>
      <c r="G17" s="39">
        <v>3</v>
      </c>
      <c r="H17" s="39"/>
      <c r="I17" s="40" t="s">
        <v>261</v>
      </c>
      <c r="J17" s="41">
        <v>1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/>
      <c r="S17" s="46"/>
      <c r="T17" s="39">
        <f t="shared" si="0"/>
        <v>3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18"/>
        <v>0</v>
      </c>
      <c r="AC17" s="44">
        <f t="shared" si="18"/>
        <v>0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0.31684706098619264</v>
      </c>
      <c r="AG17" s="44">
        <f t="shared" si="10"/>
        <v>0</v>
      </c>
      <c r="AH17" s="52">
        <f>HLOOKUP(I17,ElecAvoidedCostsWOCC!$A$5:$Q$50,T17+1,FALSE)</f>
        <v>0.31684706098619264</v>
      </c>
      <c r="AI17" s="44">
        <f t="shared" si="11"/>
        <v>0</v>
      </c>
      <c r="AJ17" s="44">
        <f t="shared" si="12"/>
        <v>0</v>
      </c>
      <c r="AK17" s="44">
        <f>HLOOKUP(I17,ElecAvoidedCostsWOCC!$A$5:$Q$50,G17+1,FALSE)*J17*L17</f>
        <v>0</v>
      </c>
      <c r="AL17" s="44">
        <f t="shared" si="13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  <c r="AQ17">
        <v>2020</v>
      </c>
    </row>
    <row r="18" spans="1:43" ht="13.5" customHeight="1">
      <c r="A18" s="59">
        <f>A6+A8</f>
        <v>2536224.3099999996</v>
      </c>
      <c r="B18" s="97" t="s">
        <v>136</v>
      </c>
      <c r="C18" s="100">
        <v>18230723</v>
      </c>
      <c r="D18" s="100" t="s">
        <v>137</v>
      </c>
      <c r="E18" s="38" t="s">
        <v>2102</v>
      </c>
      <c r="F18" s="39" t="s">
        <v>2103</v>
      </c>
      <c r="G18" s="39">
        <v>3</v>
      </c>
      <c r="H18" s="39"/>
      <c r="I18" s="40" t="s">
        <v>261</v>
      </c>
      <c r="J18" s="41">
        <v>1</v>
      </c>
      <c r="K18" s="41"/>
      <c r="L18" s="41"/>
      <c r="M18" s="42"/>
      <c r="N18" s="42"/>
      <c r="O18" s="43">
        <v>0</v>
      </c>
      <c r="P18" s="44">
        <v>0</v>
      </c>
      <c r="Q18" s="44">
        <v>0</v>
      </c>
      <c r="R18" s="45"/>
      <c r="S18" s="46"/>
      <c r="T18" s="39">
        <f t="shared" si="0"/>
        <v>3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18"/>
        <v>0</v>
      </c>
      <c r="AC18" s="44">
        <f t="shared" si="18"/>
        <v>0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0.31684706098619264</v>
      </c>
      <c r="AG18" s="44">
        <f t="shared" si="10"/>
        <v>0</v>
      </c>
      <c r="AH18" s="52">
        <f>HLOOKUP(I18,ElecAvoidedCostsWOCC!$A$5:$Q$50,T18+1,FALSE)</f>
        <v>0.31684706098619264</v>
      </c>
      <c r="AI18" s="44">
        <f t="shared" si="11"/>
        <v>0</v>
      </c>
      <c r="AJ18" s="44">
        <f t="shared" si="12"/>
        <v>0</v>
      </c>
      <c r="AK18" s="44">
        <f>HLOOKUP(I18,ElecAvoidedCostsWOCC!$A$5:$Q$50,G18+1,FALSE)*J18*L18</f>
        <v>0</v>
      </c>
      <c r="AL18" s="44">
        <f t="shared" si="13"/>
        <v>0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3" ht="13.5" customHeight="1">
      <c r="A19" s="58" t="s">
        <v>231</v>
      </c>
      <c r="B19" s="97" t="s">
        <v>136</v>
      </c>
      <c r="C19" s="101">
        <v>18230723</v>
      </c>
      <c r="D19" s="101" t="s">
        <v>137</v>
      </c>
      <c r="E19" s="38" t="s">
        <v>2104</v>
      </c>
      <c r="F19" s="39" t="s">
        <v>2105</v>
      </c>
      <c r="G19" s="39">
        <v>3</v>
      </c>
      <c r="H19" s="39"/>
      <c r="I19" s="40" t="s">
        <v>261</v>
      </c>
      <c r="J19" s="41">
        <v>1</v>
      </c>
      <c r="K19" s="41"/>
      <c r="L19" s="41"/>
      <c r="M19" s="42"/>
      <c r="N19" s="42"/>
      <c r="O19" s="43">
        <v>0</v>
      </c>
      <c r="P19" s="44">
        <v>0</v>
      </c>
      <c r="Q19" s="44">
        <v>0</v>
      </c>
      <c r="R19" s="45"/>
      <c r="S19" s="46"/>
      <c r="T19" s="39">
        <f t="shared" si="0"/>
        <v>3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18"/>
        <v>0</v>
      </c>
      <c r="AC19" s="44">
        <f t="shared" si="18"/>
        <v>0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0.31684706098619264</v>
      </c>
      <c r="AG19" s="44">
        <f t="shared" si="10"/>
        <v>0</v>
      </c>
      <c r="AH19" s="52">
        <f>HLOOKUP(I19,ElecAvoidedCostsWOCC!$A$5:$Q$50,T19+1,FALSE)</f>
        <v>0.31684706098619264</v>
      </c>
      <c r="AI19" s="44">
        <f t="shared" si="11"/>
        <v>0</v>
      </c>
      <c r="AJ19" s="44">
        <f t="shared" si="12"/>
        <v>0</v>
      </c>
      <c r="AK19" s="44">
        <f>HLOOKUP(I19,ElecAvoidedCostsWOCC!$A$5:$Q$50,G19+1,FALSE)*J19*L19</f>
        <v>0</v>
      </c>
      <c r="AL19" s="44">
        <f t="shared" si="13"/>
        <v>0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3" ht="13.5" customHeight="1">
      <c r="A20" s="59">
        <f>A8+SUM(Q5:Q901)</f>
        <v>2893934.7099999995</v>
      </c>
      <c r="B20" s="97" t="s">
        <v>136</v>
      </c>
      <c r="C20" s="101">
        <v>18230723</v>
      </c>
      <c r="D20" s="101" t="s">
        <v>137</v>
      </c>
      <c r="E20" s="38" t="s">
        <v>2106</v>
      </c>
      <c r="F20" s="39" t="s">
        <v>2107</v>
      </c>
      <c r="G20" s="39">
        <v>3</v>
      </c>
      <c r="H20" s="39"/>
      <c r="I20" s="40" t="s">
        <v>261</v>
      </c>
      <c r="J20" s="41">
        <v>1</v>
      </c>
      <c r="K20" s="41"/>
      <c r="L20" s="41"/>
      <c r="M20" s="42"/>
      <c r="N20" s="42"/>
      <c r="O20" s="43">
        <v>0</v>
      </c>
      <c r="P20" s="44">
        <v>0</v>
      </c>
      <c r="Q20" s="44">
        <v>0</v>
      </c>
      <c r="R20" s="45"/>
      <c r="S20" s="46"/>
      <c r="T20" s="39">
        <f t="shared" ref="T20:T28" si="19">G20+H20</f>
        <v>3</v>
      </c>
      <c r="U20" s="47">
        <f t="shared" ref="U20:U28" si="20">(O20/$A$10)*T20</f>
        <v>0</v>
      </c>
      <c r="V20" s="48">
        <f t="shared" ref="V20:V28" si="21">N20-M20</f>
        <v>0</v>
      </c>
      <c r="W20" s="49">
        <f t="shared" ref="W20:W28" si="22">(O20/A$10)</f>
        <v>0</v>
      </c>
      <c r="X20" s="44">
        <f t="shared" ref="X20:X28" si="23">W20*A$8</f>
        <v>0</v>
      </c>
      <c r="Y20" s="44">
        <f t="shared" ref="Y20:Y28" si="24">Q20-P20</f>
        <v>0</v>
      </c>
      <c r="Z20" s="44">
        <f t="shared" ref="Z20:Z28" si="25">X20+(A$6*W20)</f>
        <v>0</v>
      </c>
      <c r="AA20" s="50">
        <f t="shared" ref="AA20:AA28" si="26">Q20+X20</f>
        <v>0</v>
      </c>
      <c r="AB20" s="51">
        <f t="shared" ref="AB20:AB28" si="27">Z20/(1+ElecDiscountRate)^1</f>
        <v>0</v>
      </c>
      <c r="AC20" s="44">
        <f t="shared" ref="AC20:AC28" si="28">AA20/(1+ElecDiscountRate)^1</f>
        <v>0</v>
      </c>
      <c r="AD20" s="44">
        <f t="shared" ref="AD20:AD28" si="29">-PV(ElecDiscountRate,T20,R20)*J20</f>
        <v>0</v>
      </c>
      <c r="AE20" s="44">
        <f t="shared" ref="AE20:AE28" si="30">-PV(ElecDiscountRate,T20,S20)*J20</f>
        <v>0</v>
      </c>
      <c r="AF20" s="52">
        <f>HLOOKUP(I20,ElecAvoidedCostsWOCC!$A$5:$Q$50,G20+1,FALSE)</f>
        <v>0.31684706098619264</v>
      </c>
      <c r="AG20" s="44">
        <f t="shared" ref="AG20:AG28" si="31">AF20*J20*K20</f>
        <v>0</v>
      </c>
      <c r="AH20" s="52">
        <f>HLOOKUP(I20,ElecAvoidedCostsWOCC!$A$5:$Q$50,T20+1,FALSE)</f>
        <v>0.31684706098619264</v>
      </c>
      <c r="AI20" s="44">
        <f t="shared" ref="AI20:AI28" si="32">AH20*J20*L20</f>
        <v>0</v>
      </c>
      <c r="AJ20" s="44">
        <f t="shared" ref="AJ20:AJ28" si="33">AG20+AI20</f>
        <v>0</v>
      </c>
      <c r="AK20" s="44">
        <f>HLOOKUP(I20,ElecAvoidedCostsWOCC!$A$5:$Q$50,G20+1,FALSE)*J20*L20</f>
        <v>0</v>
      </c>
      <c r="AL20" s="44">
        <f t="shared" ref="AL20:AL28" si="34">AG20+AI20-AK20</f>
        <v>0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ref="AN20:AN28" si="35">AM20*1.1+AD20+AE20</f>
        <v>0</v>
      </c>
      <c r="AO20" s="47">
        <f t="shared" ref="AO20:AO28" si="36">IFERROR(AM20/AB20,0)</f>
        <v>0</v>
      </c>
      <c r="AP20" s="47" t="e">
        <f t="shared" ref="AP20:AP28" si="37">AN20/AC20</f>
        <v>#DIV/0!</v>
      </c>
    </row>
    <row r="21" spans="1:43" ht="13.5" customHeight="1">
      <c r="A21" s="58" t="s">
        <v>245</v>
      </c>
      <c r="B21" s="97" t="s">
        <v>136</v>
      </c>
      <c r="C21" s="101">
        <v>18230723</v>
      </c>
      <c r="D21" s="101" t="s">
        <v>137</v>
      </c>
      <c r="E21" s="38" t="s">
        <v>2106</v>
      </c>
      <c r="F21" s="39" t="s">
        <v>2107</v>
      </c>
      <c r="G21" s="39">
        <v>3</v>
      </c>
      <c r="H21" s="39"/>
      <c r="I21" s="40" t="s">
        <v>261</v>
      </c>
      <c r="J21" s="41">
        <v>1</v>
      </c>
      <c r="K21" s="41"/>
      <c r="L21" s="41"/>
      <c r="M21" s="42"/>
      <c r="N21" s="42">
        <v>900</v>
      </c>
      <c r="O21" s="43">
        <v>0</v>
      </c>
      <c r="P21" s="44">
        <v>0</v>
      </c>
      <c r="Q21" s="44">
        <v>900</v>
      </c>
      <c r="R21" s="45"/>
      <c r="S21" s="46"/>
      <c r="T21" s="39">
        <f t="shared" si="19"/>
        <v>3</v>
      </c>
      <c r="U21" s="47">
        <f t="shared" si="20"/>
        <v>0</v>
      </c>
      <c r="V21" s="48">
        <f t="shared" si="21"/>
        <v>900</v>
      </c>
      <c r="W21" s="49">
        <f t="shared" si="22"/>
        <v>0</v>
      </c>
      <c r="X21" s="44">
        <f t="shared" si="23"/>
        <v>0</v>
      </c>
      <c r="Y21" s="44">
        <f t="shared" si="24"/>
        <v>900</v>
      </c>
      <c r="Z21" s="44">
        <f t="shared" si="25"/>
        <v>0</v>
      </c>
      <c r="AA21" s="50">
        <f t="shared" si="26"/>
        <v>900</v>
      </c>
      <c r="AB21" s="51">
        <f t="shared" si="27"/>
        <v>0</v>
      </c>
      <c r="AC21" s="44">
        <f t="shared" si="28"/>
        <v>841.35738992240806</v>
      </c>
      <c r="AD21" s="44">
        <f t="shared" si="29"/>
        <v>0</v>
      </c>
      <c r="AE21" s="44">
        <f t="shared" si="30"/>
        <v>0</v>
      </c>
      <c r="AF21" s="52">
        <f>HLOOKUP(I21,ElecAvoidedCostsWOCC!$A$5:$Q$50,G21+1,FALSE)</f>
        <v>0.31684706098619264</v>
      </c>
      <c r="AG21" s="44">
        <f t="shared" si="31"/>
        <v>0</v>
      </c>
      <c r="AH21" s="52">
        <f>HLOOKUP(I21,ElecAvoidedCostsWOCC!$A$5:$Q$50,T21+1,FALSE)</f>
        <v>0.31684706098619264</v>
      </c>
      <c r="AI21" s="44">
        <f t="shared" si="32"/>
        <v>0</v>
      </c>
      <c r="AJ21" s="44">
        <f t="shared" si="33"/>
        <v>0</v>
      </c>
      <c r="AK21" s="44">
        <f>HLOOKUP(I21,ElecAvoidedCostsWOCC!$A$5:$Q$50,G21+1,FALSE)*J21*L21</f>
        <v>0</v>
      </c>
      <c r="AL21" s="44">
        <f t="shared" si="34"/>
        <v>0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5"/>
        <v>0</v>
      </c>
      <c r="AO21" s="47">
        <f t="shared" si="36"/>
        <v>0</v>
      </c>
      <c r="AP21" s="47">
        <f t="shared" si="37"/>
        <v>0</v>
      </c>
    </row>
    <row r="22" spans="1:43" ht="13.5" customHeight="1">
      <c r="A22" s="60">
        <f>(SUM(AM5:AM995)/(SUM(AB5:AB995)))</f>
        <v>2.4472353960697646</v>
      </c>
      <c r="B22" s="97" t="s">
        <v>136</v>
      </c>
      <c r="C22" s="101">
        <v>18230723</v>
      </c>
      <c r="D22" s="101" t="s">
        <v>137</v>
      </c>
      <c r="E22" s="38" t="s">
        <v>2108</v>
      </c>
      <c r="F22" s="39" t="s">
        <v>2109</v>
      </c>
      <c r="G22" s="39">
        <v>3</v>
      </c>
      <c r="H22" s="39"/>
      <c r="I22" s="40" t="s">
        <v>261</v>
      </c>
      <c r="J22" s="41">
        <v>1</v>
      </c>
      <c r="K22" s="41"/>
      <c r="L22" s="41"/>
      <c r="M22" s="42"/>
      <c r="N22" s="42"/>
      <c r="O22" s="43">
        <v>0</v>
      </c>
      <c r="P22" s="44">
        <v>0</v>
      </c>
      <c r="Q22" s="44">
        <v>0</v>
      </c>
      <c r="R22" s="45"/>
      <c r="S22" s="46"/>
      <c r="T22" s="39">
        <f t="shared" si="19"/>
        <v>3</v>
      </c>
      <c r="U22" s="47">
        <f t="shared" si="20"/>
        <v>0</v>
      </c>
      <c r="V22" s="48">
        <f t="shared" si="21"/>
        <v>0</v>
      </c>
      <c r="W22" s="49">
        <f t="shared" si="22"/>
        <v>0</v>
      </c>
      <c r="X22" s="44">
        <f t="shared" si="23"/>
        <v>0</v>
      </c>
      <c r="Y22" s="44">
        <f t="shared" si="24"/>
        <v>0</v>
      </c>
      <c r="Z22" s="44">
        <f t="shared" si="25"/>
        <v>0</v>
      </c>
      <c r="AA22" s="50">
        <f t="shared" si="26"/>
        <v>0</v>
      </c>
      <c r="AB22" s="51">
        <f t="shared" si="27"/>
        <v>0</v>
      </c>
      <c r="AC22" s="44">
        <f t="shared" si="28"/>
        <v>0</v>
      </c>
      <c r="AD22" s="44">
        <f t="shared" si="29"/>
        <v>0</v>
      </c>
      <c r="AE22" s="44">
        <f t="shared" si="30"/>
        <v>0</v>
      </c>
      <c r="AF22" s="52">
        <f>HLOOKUP(I22,ElecAvoidedCostsWOCC!$A$5:$Q$50,G22+1,FALSE)</f>
        <v>0.31684706098619264</v>
      </c>
      <c r="AG22" s="44">
        <f t="shared" si="31"/>
        <v>0</v>
      </c>
      <c r="AH22" s="52">
        <f>HLOOKUP(I22,ElecAvoidedCostsWOCC!$A$5:$Q$50,T22+1,FALSE)</f>
        <v>0.31684706098619264</v>
      </c>
      <c r="AI22" s="44">
        <f t="shared" si="32"/>
        <v>0</v>
      </c>
      <c r="AJ22" s="44">
        <f t="shared" si="33"/>
        <v>0</v>
      </c>
      <c r="AK22" s="44">
        <f>HLOOKUP(I22,ElecAvoidedCostsWOCC!$A$5:$Q$50,G22+1,FALSE)*J22*L22</f>
        <v>0</v>
      </c>
      <c r="AL22" s="44">
        <f t="shared" si="34"/>
        <v>0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5"/>
        <v>0</v>
      </c>
      <c r="AO22" s="47">
        <f t="shared" si="36"/>
        <v>0</v>
      </c>
      <c r="AP22" s="47" t="e">
        <f t="shared" si="37"/>
        <v>#DIV/0!</v>
      </c>
    </row>
    <row r="23" spans="1:43" ht="13.5" customHeight="1">
      <c r="A23" s="58" t="s">
        <v>246</v>
      </c>
      <c r="B23" s="97" t="s">
        <v>136</v>
      </c>
      <c r="C23" s="101">
        <v>18230723</v>
      </c>
      <c r="D23" s="101" t="s">
        <v>137</v>
      </c>
      <c r="E23" s="38" t="s">
        <v>2108</v>
      </c>
      <c r="F23" s="39" t="s">
        <v>2109</v>
      </c>
      <c r="G23" s="39">
        <v>3</v>
      </c>
      <c r="H23" s="39"/>
      <c r="I23" s="40" t="s">
        <v>261</v>
      </c>
      <c r="J23" s="41">
        <v>1</v>
      </c>
      <c r="K23" s="41">
        <v>771254</v>
      </c>
      <c r="L23" s="41"/>
      <c r="M23" s="42">
        <v>20309</v>
      </c>
      <c r="N23" s="42">
        <v>30850</v>
      </c>
      <c r="O23" s="43">
        <v>771254</v>
      </c>
      <c r="P23" s="44">
        <v>20309</v>
      </c>
      <c r="Q23" s="44">
        <v>30850</v>
      </c>
      <c r="R23" s="45"/>
      <c r="S23" s="46"/>
      <c r="T23" s="39">
        <f t="shared" si="19"/>
        <v>3</v>
      </c>
      <c r="U23" s="47">
        <f t="shared" si="20"/>
        <v>0.11389719194359807</v>
      </c>
      <c r="V23" s="48">
        <f t="shared" si="21"/>
        <v>10541</v>
      </c>
      <c r="W23" s="49">
        <f t="shared" si="22"/>
        <v>3.7965730647866021E-2</v>
      </c>
      <c r="X23" s="44">
        <f t="shared" si="23"/>
        <v>58946.668213711411</v>
      </c>
      <c r="Y23" s="44">
        <f t="shared" si="24"/>
        <v>10541</v>
      </c>
      <c r="Z23" s="44">
        <f t="shared" si="25"/>
        <v>96289.609016029834</v>
      </c>
      <c r="AA23" s="50">
        <f t="shared" si="26"/>
        <v>89796.668213711411</v>
      </c>
      <c r="AB23" s="51">
        <f t="shared" si="27"/>
        <v>90015.526798195599</v>
      </c>
      <c r="AC23" s="44">
        <f t="shared" si="28"/>
        <v>83945.655991129664</v>
      </c>
      <c r="AD23" s="44">
        <f t="shared" si="29"/>
        <v>0</v>
      </c>
      <c r="AE23" s="44">
        <f t="shared" si="30"/>
        <v>0</v>
      </c>
      <c r="AF23" s="52">
        <f>HLOOKUP(I23,ElecAvoidedCostsWOCC!$A$5:$Q$50,G23+1,FALSE)</f>
        <v>0.31684706098619264</v>
      </c>
      <c r="AG23" s="44">
        <f t="shared" si="31"/>
        <v>244369.56317384503</v>
      </c>
      <c r="AH23" s="52">
        <f>HLOOKUP(I23,ElecAvoidedCostsWOCC!$A$5:$Q$50,T23+1,FALSE)</f>
        <v>0.31684706098619264</v>
      </c>
      <c r="AI23" s="44">
        <f t="shared" si="32"/>
        <v>0</v>
      </c>
      <c r="AJ23" s="44">
        <f t="shared" si="33"/>
        <v>244369.56317384503</v>
      </c>
      <c r="AK23" s="44">
        <f>HLOOKUP(I23,ElecAvoidedCostsWOCC!$A$5:$Q$50,G23+1,FALSE)*J23*L23</f>
        <v>0</v>
      </c>
      <c r="AL23" s="44">
        <f t="shared" si="34"/>
        <v>244369.56317384503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244369.56317384503</v>
      </c>
      <c r="AN23" s="48">
        <f t="shared" si="35"/>
        <v>268806.51949122956</v>
      </c>
      <c r="AO23" s="47">
        <f t="shared" si="36"/>
        <v>2.7147490201517495</v>
      </c>
      <c r="AP23" s="47">
        <f t="shared" si="37"/>
        <v>3.2021492514113379</v>
      </c>
    </row>
    <row r="24" spans="1:43" ht="13.5" customHeight="1">
      <c r="A24" s="60">
        <f>(SUM(AN5:AN995)/SUM(AC5:AC995))</f>
        <v>2.3592141421134825</v>
      </c>
      <c r="B24" s="97" t="s">
        <v>136</v>
      </c>
      <c r="C24" s="101">
        <v>18230723</v>
      </c>
      <c r="D24" s="101" t="s">
        <v>137</v>
      </c>
      <c r="E24" s="38" t="s">
        <v>2110</v>
      </c>
      <c r="F24" s="39" t="s">
        <v>2111</v>
      </c>
      <c r="G24" s="39">
        <v>3</v>
      </c>
      <c r="H24" s="39"/>
      <c r="I24" s="40" t="s">
        <v>261</v>
      </c>
      <c r="J24" s="41">
        <v>1</v>
      </c>
      <c r="K24" s="41"/>
      <c r="L24" s="41"/>
      <c r="M24" s="42"/>
      <c r="N24" s="42"/>
      <c r="O24" s="43">
        <v>0</v>
      </c>
      <c r="P24" s="44">
        <v>0</v>
      </c>
      <c r="Q24" s="44">
        <v>0</v>
      </c>
      <c r="R24" s="45"/>
      <c r="S24" s="46"/>
      <c r="T24" s="39">
        <f t="shared" si="19"/>
        <v>3</v>
      </c>
      <c r="U24" s="47">
        <f t="shared" si="20"/>
        <v>0</v>
      </c>
      <c r="V24" s="48">
        <f t="shared" si="21"/>
        <v>0</v>
      </c>
      <c r="W24" s="49">
        <f t="shared" si="22"/>
        <v>0</v>
      </c>
      <c r="X24" s="44">
        <f t="shared" si="23"/>
        <v>0</v>
      </c>
      <c r="Y24" s="44">
        <f t="shared" si="24"/>
        <v>0</v>
      </c>
      <c r="Z24" s="44">
        <f t="shared" si="25"/>
        <v>0</v>
      </c>
      <c r="AA24" s="50">
        <f t="shared" si="26"/>
        <v>0</v>
      </c>
      <c r="AB24" s="51">
        <f t="shared" si="27"/>
        <v>0</v>
      </c>
      <c r="AC24" s="44">
        <f t="shared" si="28"/>
        <v>0</v>
      </c>
      <c r="AD24" s="44">
        <f t="shared" si="29"/>
        <v>0</v>
      </c>
      <c r="AE24" s="44">
        <f t="shared" si="30"/>
        <v>0</v>
      </c>
      <c r="AF24" s="52">
        <f>HLOOKUP(I24,ElecAvoidedCostsWOCC!$A$5:$Q$50,G24+1,FALSE)</f>
        <v>0.31684706098619264</v>
      </c>
      <c r="AG24" s="44">
        <f t="shared" si="31"/>
        <v>0</v>
      </c>
      <c r="AH24" s="52">
        <f>HLOOKUP(I24,ElecAvoidedCostsWOCC!$A$5:$Q$50,T24+1,FALSE)</f>
        <v>0.31684706098619264</v>
      </c>
      <c r="AI24" s="44">
        <f t="shared" si="32"/>
        <v>0</v>
      </c>
      <c r="AJ24" s="44">
        <f t="shared" si="33"/>
        <v>0</v>
      </c>
      <c r="AK24" s="44">
        <f>HLOOKUP(I24,ElecAvoidedCostsWOCC!$A$5:$Q$50,G24+1,FALSE)*J24*L24</f>
        <v>0</v>
      </c>
      <c r="AL24" s="44">
        <f t="shared" si="34"/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5"/>
        <v>0</v>
      </c>
      <c r="AO24" s="47">
        <f t="shared" si="36"/>
        <v>0</v>
      </c>
      <c r="AP24" s="47" t="e">
        <f t="shared" si="37"/>
        <v>#DIV/0!</v>
      </c>
    </row>
    <row r="25" spans="1:43" ht="13.5" customHeight="1">
      <c r="B25" s="97" t="s">
        <v>136</v>
      </c>
      <c r="C25" s="101">
        <v>18230723</v>
      </c>
      <c r="D25" s="101" t="s">
        <v>137</v>
      </c>
      <c r="E25" s="38" t="s">
        <v>2110</v>
      </c>
      <c r="F25" s="39" t="s">
        <v>2111</v>
      </c>
      <c r="G25" s="39">
        <v>3</v>
      </c>
      <c r="H25" s="39"/>
      <c r="I25" s="40" t="s">
        <v>261</v>
      </c>
      <c r="J25" s="41">
        <v>1</v>
      </c>
      <c r="K25" s="41"/>
      <c r="L25" s="41"/>
      <c r="M25" s="42">
        <v>9000</v>
      </c>
      <c r="N25" s="42">
        <v>9000</v>
      </c>
      <c r="O25" s="43">
        <v>0</v>
      </c>
      <c r="P25" s="44">
        <v>9000</v>
      </c>
      <c r="Q25" s="44">
        <v>9000</v>
      </c>
      <c r="R25" s="45"/>
      <c r="S25" s="46"/>
      <c r="T25" s="39">
        <f t="shared" si="19"/>
        <v>3</v>
      </c>
      <c r="U25" s="47">
        <f t="shared" si="20"/>
        <v>0</v>
      </c>
      <c r="V25" s="48">
        <f t="shared" si="21"/>
        <v>0</v>
      </c>
      <c r="W25" s="49">
        <f t="shared" si="22"/>
        <v>0</v>
      </c>
      <c r="X25" s="44">
        <f t="shared" si="23"/>
        <v>0</v>
      </c>
      <c r="Y25" s="44">
        <f t="shared" si="24"/>
        <v>0</v>
      </c>
      <c r="Z25" s="44">
        <f t="shared" si="25"/>
        <v>0</v>
      </c>
      <c r="AA25" s="50">
        <f t="shared" si="26"/>
        <v>9000</v>
      </c>
      <c r="AB25" s="51">
        <f t="shared" si="27"/>
        <v>0</v>
      </c>
      <c r="AC25" s="44">
        <f t="shared" si="28"/>
        <v>8413.5738992240804</v>
      </c>
      <c r="AD25" s="44">
        <f t="shared" si="29"/>
        <v>0</v>
      </c>
      <c r="AE25" s="44">
        <f t="shared" si="30"/>
        <v>0</v>
      </c>
      <c r="AF25" s="52">
        <f>HLOOKUP(I25,ElecAvoidedCostsWOCC!$A$5:$Q$50,G25+1,FALSE)</f>
        <v>0.31684706098619264</v>
      </c>
      <c r="AG25" s="44">
        <f t="shared" si="31"/>
        <v>0</v>
      </c>
      <c r="AH25" s="52">
        <f>HLOOKUP(I25,ElecAvoidedCostsWOCC!$A$5:$Q$50,T25+1,FALSE)</f>
        <v>0.31684706098619264</v>
      </c>
      <c r="AI25" s="44">
        <f t="shared" si="32"/>
        <v>0</v>
      </c>
      <c r="AJ25" s="44">
        <f t="shared" si="33"/>
        <v>0</v>
      </c>
      <c r="AK25" s="44">
        <f>HLOOKUP(I25,ElecAvoidedCostsWOCC!$A$5:$Q$50,G25+1,FALSE)*J25*L25</f>
        <v>0</v>
      </c>
      <c r="AL25" s="44">
        <f t="shared" si="34"/>
        <v>0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>
        <f t="shared" si="37"/>
        <v>0</v>
      </c>
    </row>
    <row r="26" spans="1:43" ht="13.5" customHeight="1">
      <c r="B26" s="97" t="s">
        <v>136</v>
      </c>
      <c r="C26" s="101">
        <v>18230723</v>
      </c>
      <c r="D26" s="101" t="s">
        <v>137</v>
      </c>
      <c r="E26" s="38" t="s">
        <v>2112</v>
      </c>
      <c r="F26" s="39" t="s">
        <v>2113</v>
      </c>
      <c r="G26" s="39">
        <v>3</v>
      </c>
      <c r="H26" s="39"/>
      <c r="I26" s="40" t="s">
        <v>261</v>
      </c>
      <c r="J26" s="41">
        <v>1</v>
      </c>
      <c r="K26" s="41"/>
      <c r="L26" s="41"/>
      <c r="M26" s="42"/>
      <c r="N26" s="42"/>
      <c r="O26" s="43">
        <v>0</v>
      </c>
      <c r="P26" s="44">
        <v>0</v>
      </c>
      <c r="Q26" s="44">
        <v>0</v>
      </c>
      <c r="R26" s="45"/>
      <c r="S26" s="46"/>
      <c r="T26" s="39">
        <f t="shared" si="19"/>
        <v>3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0.31684706098619264</v>
      </c>
      <c r="AG26" s="44">
        <f t="shared" si="31"/>
        <v>0</v>
      </c>
      <c r="AH26" s="52">
        <f>HLOOKUP(I26,ElecAvoidedCostsWOCC!$A$5:$Q$50,T26+1,FALSE)</f>
        <v>0.31684706098619264</v>
      </c>
      <c r="AI26" s="44">
        <f t="shared" si="32"/>
        <v>0</v>
      </c>
      <c r="AJ26" s="44">
        <f t="shared" si="33"/>
        <v>0</v>
      </c>
      <c r="AK26" s="44">
        <f>HLOOKUP(I26,ElecAvoidedCostsWOCC!$A$5:$Q$50,G26+1,FALSE)*J26*L26</f>
        <v>0</v>
      </c>
      <c r="AL26" s="44">
        <f t="shared" si="34"/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97" t="s">
        <v>136</v>
      </c>
      <c r="C27" s="101">
        <v>18230723</v>
      </c>
      <c r="D27" s="101" t="s">
        <v>137</v>
      </c>
      <c r="E27" s="38" t="s">
        <v>2112</v>
      </c>
      <c r="F27" s="39" t="s">
        <v>2113</v>
      </c>
      <c r="G27" s="39">
        <v>3</v>
      </c>
      <c r="H27" s="39"/>
      <c r="I27" s="40" t="s">
        <v>261</v>
      </c>
      <c r="J27" s="41">
        <v>1</v>
      </c>
      <c r="K27" s="41"/>
      <c r="L27" s="41"/>
      <c r="M27" s="42"/>
      <c r="N27" s="42">
        <v>900</v>
      </c>
      <c r="O27" s="43">
        <v>0</v>
      </c>
      <c r="P27" s="44">
        <v>0</v>
      </c>
      <c r="Q27" s="44">
        <v>900</v>
      </c>
      <c r="R27" s="45"/>
      <c r="S27" s="46"/>
      <c r="T27" s="39">
        <f t="shared" si="19"/>
        <v>3</v>
      </c>
      <c r="U27" s="47">
        <f t="shared" si="20"/>
        <v>0</v>
      </c>
      <c r="V27" s="48">
        <f t="shared" si="21"/>
        <v>900</v>
      </c>
      <c r="W27" s="49">
        <f t="shared" si="22"/>
        <v>0</v>
      </c>
      <c r="X27" s="44">
        <f t="shared" si="23"/>
        <v>0</v>
      </c>
      <c r="Y27" s="44">
        <f t="shared" si="24"/>
        <v>900</v>
      </c>
      <c r="Z27" s="44">
        <f t="shared" si="25"/>
        <v>0</v>
      </c>
      <c r="AA27" s="50">
        <f t="shared" si="26"/>
        <v>900</v>
      </c>
      <c r="AB27" s="51">
        <f t="shared" si="27"/>
        <v>0</v>
      </c>
      <c r="AC27" s="44">
        <f t="shared" si="28"/>
        <v>841.35738992240806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0.31684706098619264</v>
      </c>
      <c r="AG27" s="44">
        <f t="shared" si="31"/>
        <v>0</v>
      </c>
      <c r="AH27" s="52">
        <f>HLOOKUP(I27,ElecAvoidedCostsWOCC!$A$5:$Q$50,T27+1,FALSE)</f>
        <v>0.31684706098619264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>
        <f t="shared" si="37"/>
        <v>0</v>
      </c>
    </row>
    <row r="28" spans="1:43" ht="13.5" customHeight="1">
      <c r="B28" s="97" t="s">
        <v>136</v>
      </c>
      <c r="C28" s="101">
        <v>18230723</v>
      </c>
      <c r="D28" s="101" t="s">
        <v>137</v>
      </c>
      <c r="E28" s="38" t="s">
        <v>1056</v>
      </c>
      <c r="F28" s="39" t="s">
        <v>1057</v>
      </c>
      <c r="G28" s="39">
        <v>3</v>
      </c>
      <c r="H28" s="39"/>
      <c r="I28" s="40" t="s">
        <v>261</v>
      </c>
      <c r="J28" s="41">
        <v>1</v>
      </c>
      <c r="K28" s="41">
        <v>2398507</v>
      </c>
      <c r="L28" s="41"/>
      <c r="M28" s="42">
        <v>51958</v>
      </c>
      <c r="N28" s="42">
        <v>95214</v>
      </c>
      <c r="O28" s="43">
        <v>2398507</v>
      </c>
      <c r="P28" s="44">
        <v>51958</v>
      </c>
      <c r="Q28" s="44">
        <v>95214</v>
      </c>
      <c r="R28" s="45"/>
      <c r="S28" s="46"/>
      <c r="T28" s="39">
        <f t="shared" si="19"/>
        <v>3</v>
      </c>
      <c r="U28" s="47">
        <f t="shared" si="20"/>
        <v>0.35420654175805061</v>
      </c>
      <c r="V28" s="48">
        <f t="shared" si="21"/>
        <v>43256</v>
      </c>
      <c r="W28" s="49">
        <f t="shared" si="22"/>
        <v>0.11806884725268353</v>
      </c>
      <c r="X28" s="44">
        <f t="shared" si="23"/>
        <v>183317.03477358213</v>
      </c>
      <c r="Y28" s="44">
        <f t="shared" si="24"/>
        <v>43256</v>
      </c>
      <c r="Z28" s="44">
        <f t="shared" si="25"/>
        <v>299449.08065593266</v>
      </c>
      <c r="AA28" s="50">
        <f t="shared" si="26"/>
        <v>278531.03477358213</v>
      </c>
      <c r="AB28" s="51">
        <f t="shared" si="27"/>
        <v>279937.44101704465</v>
      </c>
      <c r="AC28" s="44">
        <f t="shared" si="28"/>
        <v>260382.38269943171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0.31684706098619264</v>
      </c>
      <c r="AG28" s="44">
        <f t="shared" si="31"/>
        <v>759959.89370480995</v>
      </c>
      <c r="AH28" s="52">
        <f>HLOOKUP(I28,ElecAvoidedCostsWOCC!$A$5:$Q$50,T28+1,FALSE)</f>
        <v>0.31684706098619264</v>
      </c>
      <c r="AI28" s="44">
        <f t="shared" si="32"/>
        <v>0</v>
      </c>
      <c r="AJ28" s="44">
        <f t="shared" si="33"/>
        <v>759959.89370480995</v>
      </c>
      <c r="AK28" s="44">
        <f>HLOOKUP(I28,ElecAvoidedCostsWOCC!$A$5:$Q$50,G28+1,FALSE)*J28*L28</f>
        <v>0</v>
      </c>
      <c r="AL28" s="44">
        <f t="shared" si="34"/>
        <v>759959.89370480995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759959.89370480995</v>
      </c>
      <c r="AN28" s="48">
        <f t="shared" si="35"/>
        <v>835955.88307529106</v>
      </c>
      <c r="AO28" s="47">
        <f t="shared" si="36"/>
        <v>2.714749020151749</v>
      </c>
      <c r="AP28" s="47">
        <f t="shared" si="37"/>
        <v>3.2104932538399247</v>
      </c>
    </row>
    <row r="29" spans="1:43">
      <c r="B29" s="97" t="s">
        <v>136</v>
      </c>
      <c r="C29" s="101">
        <v>18230723</v>
      </c>
      <c r="D29" s="101" t="s">
        <v>137</v>
      </c>
      <c r="E29" s="38" t="s">
        <v>1058</v>
      </c>
      <c r="F29" s="39" t="s">
        <v>1059</v>
      </c>
      <c r="G29" s="39">
        <v>3</v>
      </c>
      <c r="H29" s="39"/>
      <c r="I29" s="40" t="s">
        <v>261</v>
      </c>
      <c r="J29" s="41">
        <v>1</v>
      </c>
      <c r="K29" s="41">
        <v>416681</v>
      </c>
      <c r="L29" s="41"/>
      <c r="M29" s="42">
        <v>8334</v>
      </c>
      <c r="N29" s="42">
        <v>16667</v>
      </c>
      <c r="O29" s="43">
        <v>416681</v>
      </c>
      <c r="P29" s="44">
        <v>8334</v>
      </c>
      <c r="Q29" s="44">
        <v>16667</v>
      </c>
      <c r="R29" s="45"/>
      <c r="S29" s="46"/>
      <c r="T29" s="39">
        <f t="shared" ref="T29:T64" si="38">G29+H29</f>
        <v>3</v>
      </c>
      <c r="U29" s="47">
        <f t="shared" ref="U29:U64" si="39">(O29/$A$10)*T29</f>
        <v>6.1534586318191392E-2</v>
      </c>
      <c r="V29" s="48">
        <f t="shared" ref="V29:V64" si="40">N29-M29</f>
        <v>8333</v>
      </c>
      <c r="W29" s="49">
        <f t="shared" ref="W29:W64" si="41">(O29/A$10)</f>
        <v>2.0511528772730464E-2</v>
      </c>
      <c r="X29" s="44">
        <f t="shared" ref="X29:X64" si="42">W29*A$8</f>
        <v>31846.780253920868</v>
      </c>
      <c r="Y29" s="44">
        <f t="shared" ref="Y29:Y64" si="43">Q29-P29</f>
        <v>8333</v>
      </c>
      <c r="Z29" s="44">
        <f t="shared" ref="Z29:Z64" si="44">X29+(A$6*W29)</f>
        <v>52021.83790866346</v>
      </c>
      <c r="AA29" s="50">
        <f t="shared" ref="AA29:AA64" si="45">Q29+X29</f>
        <v>48513.780253920864</v>
      </c>
      <c r="AB29" s="51">
        <f t="shared" ref="AB29:AB64" si="46">Z29/(1+ElecDiscountRate)^1</f>
        <v>48632.175290888525</v>
      </c>
      <c r="AC29" s="44">
        <f t="shared" ref="AC29:AC64" si="47">AA29/(1+ElecDiscountRate)^1</f>
        <v>45352.697255231244</v>
      </c>
      <c r="AD29" s="44">
        <f t="shared" ref="AD29:AD64" si="48">-PV(ElecDiscountRate,T29,R29)*J29</f>
        <v>0</v>
      </c>
      <c r="AE29" s="44">
        <f t="shared" ref="AE29:AE64" si="49">-PV(ElecDiscountRate,T29,S29)*J29</f>
        <v>0</v>
      </c>
      <c r="AF29" s="52">
        <f>HLOOKUP(I29,ElecAvoidedCostsWOCC!$A$5:$Q$50,G29+1,FALSE)</f>
        <v>0.31684706098619264</v>
      </c>
      <c r="AG29" s="44">
        <f t="shared" ref="AG29:AG64" si="50">AF29*J29*K29</f>
        <v>132024.15021878775</v>
      </c>
      <c r="AH29" s="52">
        <f>HLOOKUP(I29,ElecAvoidedCostsWOCC!$A$5:$Q$50,T29+1,FALSE)</f>
        <v>0.31684706098619264</v>
      </c>
      <c r="AI29" s="44">
        <f t="shared" ref="AI29:AI64" si="51">AH29*J29*L29</f>
        <v>0</v>
      </c>
      <c r="AJ29" s="44">
        <f t="shared" ref="AJ29:AJ64" si="52">AG29+AI29</f>
        <v>132024.15021878775</v>
      </c>
      <c r="AK29" s="44">
        <f>HLOOKUP(I29,ElecAvoidedCostsWOCC!$A$5:$Q$50,G29+1,FALSE)*J29*L29</f>
        <v>0</v>
      </c>
      <c r="AL29" s="44">
        <f t="shared" ref="AL29:AL64" si="53">AG29+AI29-AK29</f>
        <v>132024.15021878775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132024.15021878775</v>
      </c>
      <c r="AN29" s="48">
        <f t="shared" ref="AN29:AN64" si="54">AM29*1.1+AD29+AE29</f>
        <v>145226.56524066653</v>
      </c>
      <c r="AO29" s="47">
        <f t="shared" ref="AO29:AO64" si="55">IFERROR(AM29/AB29,0)</f>
        <v>2.7147490201517495</v>
      </c>
      <c r="AP29" s="47">
        <f t="shared" ref="AP29:AP64" si="56">AN29/AC29</f>
        <v>3.2021593869792442</v>
      </c>
    </row>
    <row r="30" spans="1:43">
      <c r="B30" s="97" t="s">
        <v>136</v>
      </c>
      <c r="C30" s="101">
        <v>18230723</v>
      </c>
      <c r="D30" s="101" t="s">
        <v>137</v>
      </c>
      <c r="E30" s="38" t="s">
        <v>1058</v>
      </c>
      <c r="F30" s="39" t="s">
        <v>1059</v>
      </c>
      <c r="G30" s="39">
        <v>3</v>
      </c>
      <c r="H30" s="39"/>
      <c r="I30" s="40" t="s">
        <v>261</v>
      </c>
      <c r="J30" s="41">
        <v>1</v>
      </c>
      <c r="K30" s="41">
        <v>2964068</v>
      </c>
      <c r="L30" s="41"/>
      <c r="M30" s="42">
        <v>61204</v>
      </c>
      <c r="N30" s="42">
        <v>117559</v>
      </c>
      <c r="O30" s="43">
        <v>2964068</v>
      </c>
      <c r="P30" s="44">
        <v>61204</v>
      </c>
      <c r="Q30" s="44">
        <v>117559</v>
      </c>
      <c r="R30" s="45"/>
      <c r="S30" s="46"/>
      <c r="T30" s="39">
        <f t="shared" si="38"/>
        <v>3</v>
      </c>
      <c r="U30" s="47">
        <f t="shared" si="39"/>
        <v>0.43772741785439917</v>
      </c>
      <c r="V30" s="48">
        <f t="shared" si="40"/>
        <v>56355</v>
      </c>
      <c r="W30" s="49">
        <f t="shared" si="41"/>
        <v>0.14590913928479973</v>
      </c>
      <c r="X30" s="44">
        <f t="shared" si="42"/>
        <v>226542.66034131317</v>
      </c>
      <c r="Y30" s="44">
        <f t="shared" si="43"/>
        <v>56355</v>
      </c>
      <c r="Z30" s="44">
        <f t="shared" si="44"/>
        <v>370058.30610528507</v>
      </c>
      <c r="AA30" s="50">
        <f t="shared" si="45"/>
        <v>344101.66034131317</v>
      </c>
      <c r="AB30" s="51">
        <f t="shared" si="46"/>
        <v>345945.87838205573</v>
      </c>
      <c r="AC30" s="44">
        <f t="shared" si="47"/>
        <v>321680.52756970469</v>
      </c>
      <c r="AD30" s="44">
        <f t="shared" si="48"/>
        <v>0</v>
      </c>
      <c r="AE30" s="44">
        <f t="shared" si="49"/>
        <v>0</v>
      </c>
      <c r="AF30" s="52">
        <f>HLOOKUP(I30,ElecAvoidedCostsWOCC!$A$5:$Q$50,G30+1,FALSE)</f>
        <v>0.31684706098619264</v>
      </c>
      <c r="AG30" s="44">
        <f t="shared" si="50"/>
        <v>939156.23436322203</v>
      </c>
      <c r="AH30" s="52">
        <f>HLOOKUP(I30,ElecAvoidedCostsWOCC!$A$5:$Q$50,T30+1,FALSE)</f>
        <v>0.31684706098619264</v>
      </c>
      <c r="AI30" s="44">
        <f t="shared" si="51"/>
        <v>0</v>
      </c>
      <c r="AJ30" s="44">
        <f t="shared" si="52"/>
        <v>939156.23436322203</v>
      </c>
      <c r="AK30" s="44">
        <f>HLOOKUP(I30,ElecAvoidedCostsWOCC!$A$5:$Q$50,G30+1,FALSE)*J30*L30</f>
        <v>0</v>
      </c>
      <c r="AL30" s="44">
        <f t="shared" si="53"/>
        <v>939156.23436322203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939156.23436322203</v>
      </c>
      <c r="AN30" s="48">
        <f t="shared" si="54"/>
        <v>1033071.8577995443</v>
      </c>
      <c r="AO30" s="47">
        <f t="shared" si="55"/>
        <v>2.7147490201517495</v>
      </c>
      <c r="AP30" s="47">
        <f t="shared" si="56"/>
        <v>3.2114839701501325</v>
      </c>
    </row>
    <row r="31" spans="1:43">
      <c r="B31" s="97" t="s">
        <v>136</v>
      </c>
      <c r="C31" s="101">
        <v>18230723</v>
      </c>
      <c r="D31" s="101" t="s">
        <v>137</v>
      </c>
      <c r="E31" s="38" t="s">
        <v>1058</v>
      </c>
      <c r="F31" s="39" t="s">
        <v>1059</v>
      </c>
      <c r="G31" s="39">
        <v>3</v>
      </c>
      <c r="H31" s="39"/>
      <c r="I31" s="40" t="s">
        <v>261</v>
      </c>
      <c r="J31" s="41">
        <v>1</v>
      </c>
      <c r="K31" s="41">
        <v>88654</v>
      </c>
      <c r="L31" s="41"/>
      <c r="M31" s="42">
        <v>1773</v>
      </c>
      <c r="N31" s="42">
        <v>3546</v>
      </c>
      <c r="O31" s="43">
        <v>88654</v>
      </c>
      <c r="P31" s="44">
        <v>1773</v>
      </c>
      <c r="Q31" s="44">
        <v>3546</v>
      </c>
      <c r="R31" s="45"/>
      <c r="S31" s="46"/>
      <c r="T31" s="39">
        <f t="shared" si="38"/>
        <v>3</v>
      </c>
      <c r="U31" s="47">
        <f t="shared" si="39"/>
        <v>1.3092238944067379E-2</v>
      </c>
      <c r="V31" s="48">
        <f t="shared" si="40"/>
        <v>1773</v>
      </c>
      <c r="W31" s="49">
        <f t="shared" si="41"/>
        <v>4.3640796480224594E-3</v>
      </c>
      <c r="X31" s="44">
        <f t="shared" si="42"/>
        <v>6775.7936086145037</v>
      </c>
      <c r="Y31" s="44">
        <f t="shared" si="43"/>
        <v>1773</v>
      </c>
      <c r="Z31" s="44">
        <f t="shared" si="44"/>
        <v>11068.284894090802</v>
      </c>
      <c r="AA31" s="50">
        <f t="shared" si="45"/>
        <v>10321.793608614504</v>
      </c>
      <c r="AB31" s="51">
        <f t="shared" si="46"/>
        <v>10347.092543788727</v>
      </c>
      <c r="AC31" s="44">
        <f t="shared" si="47"/>
        <v>9649.2414776241021</v>
      </c>
      <c r="AD31" s="44">
        <f t="shared" si="48"/>
        <v>0</v>
      </c>
      <c r="AE31" s="44">
        <f t="shared" si="49"/>
        <v>0</v>
      </c>
      <c r="AF31" s="52">
        <f>HLOOKUP(I31,ElecAvoidedCostsWOCC!$A$5:$Q$50,G31+1,FALSE)</f>
        <v>0.31684706098619264</v>
      </c>
      <c r="AG31" s="44">
        <f t="shared" si="50"/>
        <v>28089.759344669921</v>
      </c>
      <c r="AH31" s="52">
        <f>HLOOKUP(I31,ElecAvoidedCostsWOCC!$A$5:$Q$50,T31+1,FALSE)</f>
        <v>0.31684706098619264</v>
      </c>
      <c r="AI31" s="44">
        <f t="shared" si="51"/>
        <v>0</v>
      </c>
      <c r="AJ31" s="44">
        <f t="shared" si="52"/>
        <v>28089.759344669921</v>
      </c>
      <c r="AK31" s="44">
        <f>HLOOKUP(I31,ElecAvoidedCostsWOCC!$A$5:$Q$50,G31+1,FALSE)*J31*L31</f>
        <v>0</v>
      </c>
      <c r="AL31" s="44">
        <f t="shared" si="53"/>
        <v>28089.759344669921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28089.759344669921</v>
      </c>
      <c r="AN31" s="48">
        <f t="shared" si="54"/>
        <v>30898.735279136916</v>
      </c>
      <c r="AO31" s="47">
        <f t="shared" si="55"/>
        <v>2.7147490201517495</v>
      </c>
      <c r="AP31" s="47">
        <f t="shared" si="56"/>
        <v>3.2021931828308849</v>
      </c>
    </row>
    <row r="32" spans="1:43">
      <c r="B32" s="97" t="s">
        <v>136</v>
      </c>
      <c r="C32" s="101">
        <v>18230723</v>
      </c>
      <c r="D32" s="101" t="s">
        <v>137</v>
      </c>
      <c r="E32" s="38" t="s">
        <v>1060</v>
      </c>
      <c r="F32" s="39" t="s">
        <v>1061</v>
      </c>
      <c r="G32" s="39">
        <v>3</v>
      </c>
      <c r="H32" s="39"/>
      <c r="I32" s="40" t="s">
        <v>261</v>
      </c>
      <c r="J32" s="41">
        <v>1</v>
      </c>
      <c r="K32" s="41">
        <v>1229415</v>
      </c>
      <c r="L32" s="41"/>
      <c r="M32" s="42">
        <v>27089</v>
      </c>
      <c r="N32" s="42">
        <v>49177</v>
      </c>
      <c r="O32" s="43">
        <v>1229415</v>
      </c>
      <c r="P32" s="44">
        <v>27089</v>
      </c>
      <c r="Q32" s="44">
        <v>49177</v>
      </c>
      <c r="R32" s="45"/>
      <c r="S32" s="46"/>
      <c r="T32" s="39">
        <f t="shared" si="38"/>
        <v>3</v>
      </c>
      <c r="U32" s="47">
        <f t="shared" si="39"/>
        <v>0.1815574586755318</v>
      </c>
      <c r="V32" s="48">
        <f t="shared" si="40"/>
        <v>22088</v>
      </c>
      <c r="W32" s="49">
        <f t="shared" si="41"/>
        <v>6.0519152891843932E-2</v>
      </c>
      <c r="X32" s="44">
        <f t="shared" si="42"/>
        <v>93963.750077095232</v>
      </c>
      <c r="Y32" s="44">
        <f t="shared" si="43"/>
        <v>22088</v>
      </c>
      <c r="Z32" s="44">
        <f t="shared" si="44"/>
        <v>153490.14678490136</v>
      </c>
      <c r="AA32" s="50">
        <f t="shared" si="45"/>
        <v>143140.75007709523</v>
      </c>
      <c r="AB32" s="51">
        <f t="shared" si="46"/>
        <v>143488.96586416877</v>
      </c>
      <c r="AC32" s="44">
        <f t="shared" si="47"/>
        <v>133813.9198626673</v>
      </c>
      <c r="AD32" s="44">
        <f t="shared" si="48"/>
        <v>0</v>
      </c>
      <c r="AE32" s="44">
        <f t="shared" si="49"/>
        <v>0</v>
      </c>
      <c r="AF32" s="52">
        <f>HLOOKUP(I32,ElecAvoidedCostsWOCC!$A$5:$Q$50,G32+1,FALSE)</f>
        <v>0.31684706098619264</v>
      </c>
      <c r="AG32" s="44">
        <f t="shared" si="50"/>
        <v>389536.52948234003</v>
      </c>
      <c r="AH32" s="52">
        <f>HLOOKUP(I32,ElecAvoidedCostsWOCC!$A$5:$Q$50,T32+1,FALSE)</f>
        <v>0.31684706098619264</v>
      </c>
      <c r="AI32" s="44">
        <f t="shared" si="51"/>
        <v>0</v>
      </c>
      <c r="AJ32" s="44">
        <f t="shared" si="52"/>
        <v>389536.52948234003</v>
      </c>
      <c r="AK32" s="44">
        <f>HLOOKUP(I32,ElecAvoidedCostsWOCC!$A$5:$Q$50,G32+1,FALSE)*J32*L32</f>
        <v>0</v>
      </c>
      <c r="AL32" s="44">
        <f t="shared" si="53"/>
        <v>389536.52948234003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389536.52948234003</v>
      </c>
      <c r="AN32" s="48">
        <f t="shared" si="54"/>
        <v>428490.18243057409</v>
      </c>
      <c r="AO32" s="47">
        <f t="shared" si="55"/>
        <v>2.7147490201517499</v>
      </c>
      <c r="AP32" s="47">
        <f t="shared" si="56"/>
        <v>3.2021345975839575</v>
      </c>
    </row>
    <row r="33" spans="2:42">
      <c r="B33" s="97" t="s">
        <v>136</v>
      </c>
      <c r="C33" s="101">
        <v>18230723</v>
      </c>
      <c r="D33" s="101" t="s">
        <v>137</v>
      </c>
      <c r="E33" s="38" t="s">
        <v>1060</v>
      </c>
      <c r="F33" s="39" t="s">
        <v>1061</v>
      </c>
      <c r="G33" s="39">
        <v>3</v>
      </c>
      <c r="H33" s="39"/>
      <c r="I33" s="40" t="s">
        <v>261</v>
      </c>
      <c r="J33" s="41">
        <v>1</v>
      </c>
      <c r="K33" s="41">
        <v>1663735</v>
      </c>
      <c r="L33" s="41"/>
      <c r="M33" s="42">
        <v>46981</v>
      </c>
      <c r="N33" s="42">
        <v>66549</v>
      </c>
      <c r="O33" s="43">
        <v>1663735</v>
      </c>
      <c r="P33" s="44">
        <v>46981</v>
      </c>
      <c r="Q33" s="44">
        <v>66549</v>
      </c>
      <c r="R33" s="45"/>
      <c r="S33" s="46"/>
      <c r="T33" s="39">
        <f t="shared" si="38"/>
        <v>3</v>
      </c>
      <c r="U33" s="47">
        <f t="shared" si="39"/>
        <v>0.24569693594883413</v>
      </c>
      <c r="V33" s="48">
        <f t="shared" si="40"/>
        <v>19568</v>
      </c>
      <c r="W33" s="49">
        <f t="shared" si="41"/>
        <v>8.1898978649611376E-2</v>
      </c>
      <c r="X33" s="44">
        <f t="shared" si="42"/>
        <v>127158.67281147216</v>
      </c>
      <c r="Y33" s="44">
        <f t="shared" si="43"/>
        <v>19568</v>
      </c>
      <c r="Z33" s="44">
        <f t="shared" si="44"/>
        <v>207714.18061531533</v>
      </c>
      <c r="AA33" s="50">
        <f t="shared" si="45"/>
        <v>193707.67281147215</v>
      </c>
      <c r="AB33" s="51">
        <f t="shared" si="46"/>
        <v>194179.84539152595</v>
      </c>
      <c r="AC33" s="44">
        <f t="shared" si="47"/>
        <v>181085.98000511556</v>
      </c>
      <c r="AD33" s="44">
        <f t="shared" si="48"/>
        <v>0</v>
      </c>
      <c r="AE33" s="44">
        <f t="shared" si="49"/>
        <v>0</v>
      </c>
      <c r="AF33" s="52">
        <f>HLOOKUP(I33,ElecAvoidedCostsWOCC!$A$5:$Q$50,G33+1,FALSE)</f>
        <v>0.31684706098619264</v>
      </c>
      <c r="AG33" s="44">
        <f t="shared" si="50"/>
        <v>527149.54500986321</v>
      </c>
      <c r="AH33" s="52">
        <f>HLOOKUP(I33,ElecAvoidedCostsWOCC!$A$5:$Q$50,T33+1,FALSE)</f>
        <v>0.31684706098619264</v>
      </c>
      <c r="AI33" s="44">
        <f t="shared" si="51"/>
        <v>0</v>
      </c>
      <c r="AJ33" s="44">
        <f t="shared" si="52"/>
        <v>527149.54500986321</v>
      </c>
      <c r="AK33" s="44">
        <f>HLOOKUP(I33,ElecAvoidedCostsWOCC!$A$5:$Q$50,G33+1,FALSE)*J33*L33</f>
        <v>0</v>
      </c>
      <c r="AL33" s="44">
        <f t="shared" si="53"/>
        <v>527149.54500986321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527149.54500986321</v>
      </c>
      <c r="AN33" s="48">
        <f t="shared" si="54"/>
        <v>579864.49951084959</v>
      </c>
      <c r="AO33" s="47">
        <f t="shared" si="55"/>
        <v>2.714749020151749</v>
      </c>
      <c r="AP33" s="47">
        <f t="shared" si="56"/>
        <v>3.2021501581429375</v>
      </c>
    </row>
    <row r="34" spans="2:42">
      <c r="B34" s="97" t="s">
        <v>136</v>
      </c>
      <c r="C34" s="101">
        <v>18230723</v>
      </c>
      <c r="D34" s="101" t="s">
        <v>137</v>
      </c>
      <c r="E34" s="38" t="s">
        <v>1060</v>
      </c>
      <c r="F34" s="39" t="s">
        <v>1061</v>
      </c>
      <c r="G34" s="39">
        <v>3</v>
      </c>
      <c r="H34" s="39"/>
      <c r="I34" s="40" t="s">
        <v>261</v>
      </c>
      <c r="J34" s="41">
        <v>1</v>
      </c>
      <c r="K34" s="41">
        <v>4186321</v>
      </c>
      <c r="L34" s="41"/>
      <c r="M34" s="42">
        <v>102229</v>
      </c>
      <c r="N34" s="42">
        <v>167453</v>
      </c>
      <c r="O34" s="43">
        <v>4186321</v>
      </c>
      <c r="P34" s="44">
        <v>102229</v>
      </c>
      <c r="Q34" s="44">
        <v>167453</v>
      </c>
      <c r="R34" s="45"/>
      <c r="S34" s="46"/>
      <c r="T34" s="39">
        <f t="shared" si="38"/>
        <v>3</v>
      </c>
      <c r="U34" s="47">
        <f t="shared" si="39"/>
        <v>0.6182272072164493</v>
      </c>
      <c r="V34" s="48">
        <f t="shared" si="40"/>
        <v>65224</v>
      </c>
      <c r="W34" s="49">
        <f t="shared" si="41"/>
        <v>0.20607573573881643</v>
      </c>
      <c r="X34" s="44">
        <f t="shared" si="42"/>
        <v>319959.02131216507</v>
      </c>
      <c r="Y34" s="44">
        <f t="shared" si="43"/>
        <v>65224</v>
      </c>
      <c r="Z34" s="44">
        <f t="shared" si="44"/>
        <v>522654.29068192199</v>
      </c>
      <c r="AA34" s="50">
        <f t="shared" si="45"/>
        <v>487412.02131216507</v>
      </c>
      <c r="AB34" s="51">
        <f t="shared" si="46"/>
        <v>488598.94426654384</v>
      </c>
      <c r="AC34" s="44">
        <f t="shared" si="47"/>
        <v>455653.00674223149</v>
      </c>
      <c r="AD34" s="44">
        <f t="shared" si="48"/>
        <v>0</v>
      </c>
      <c r="AE34" s="44">
        <f t="shared" si="49"/>
        <v>0</v>
      </c>
      <c r="AF34" s="52">
        <f>HLOOKUP(I34,ElecAvoidedCostsWOCC!$A$5:$Q$50,G34+1,FALSE)</f>
        <v>0.31684706098619264</v>
      </c>
      <c r="AG34" s="44">
        <f t="shared" si="50"/>
        <v>1326423.505194779</v>
      </c>
      <c r="AH34" s="52">
        <f>HLOOKUP(I34,ElecAvoidedCostsWOCC!$A$5:$Q$50,T34+1,FALSE)</f>
        <v>0.31684706098619264</v>
      </c>
      <c r="AI34" s="44">
        <f t="shared" si="51"/>
        <v>0</v>
      </c>
      <c r="AJ34" s="44">
        <f t="shared" si="52"/>
        <v>1326423.505194779</v>
      </c>
      <c r="AK34" s="44">
        <f>HLOOKUP(I34,ElecAvoidedCostsWOCC!$A$5:$Q$50,G34+1,FALSE)*J34*L34</f>
        <v>0</v>
      </c>
      <c r="AL34" s="44">
        <f t="shared" si="53"/>
        <v>1326423.505194779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1326423.505194779</v>
      </c>
      <c r="AN34" s="48">
        <f t="shared" si="54"/>
        <v>1459065.8557142571</v>
      </c>
      <c r="AO34" s="47">
        <f t="shared" si="55"/>
        <v>2.714749020151749</v>
      </c>
      <c r="AP34" s="47">
        <f t="shared" si="56"/>
        <v>3.2021424946717594</v>
      </c>
    </row>
    <row r="35" spans="2:42">
      <c r="B35" s="97" t="s">
        <v>136</v>
      </c>
      <c r="C35" s="101">
        <v>18230723</v>
      </c>
      <c r="D35" s="101" t="s">
        <v>137</v>
      </c>
      <c r="E35" s="38" t="s">
        <v>1062</v>
      </c>
      <c r="F35" s="39" t="s">
        <v>1063</v>
      </c>
      <c r="G35" s="39">
        <v>3</v>
      </c>
      <c r="H35" s="39"/>
      <c r="I35" s="40" t="s">
        <v>261</v>
      </c>
      <c r="J35" s="41">
        <v>1</v>
      </c>
      <c r="K35" s="41"/>
      <c r="L35" s="41"/>
      <c r="M35" s="42">
        <v>37200</v>
      </c>
      <c r="N35" s="42">
        <v>37200</v>
      </c>
      <c r="O35" s="43">
        <v>0</v>
      </c>
      <c r="P35" s="44">
        <v>37200</v>
      </c>
      <c r="Q35" s="44">
        <v>37200</v>
      </c>
      <c r="R35" s="45"/>
      <c r="S35" s="46"/>
      <c r="T35" s="39">
        <f t="shared" si="38"/>
        <v>3</v>
      </c>
      <c r="U35" s="47">
        <f t="shared" si="39"/>
        <v>0</v>
      </c>
      <c r="V35" s="48">
        <f t="shared" si="40"/>
        <v>0</v>
      </c>
      <c r="W35" s="49">
        <f t="shared" si="41"/>
        <v>0</v>
      </c>
      <c r="X35" s="44">
        <f t="shared" si="42"/>
        <v>0</v>
      </c>
      <c r="Y35" s="44">
        <f t="shared" si="43"/>
        <v>0</v>
      </c>
      <c r="Z35" s="44">
        <f t="shared" si="44"/>
        <v>0</v>
      </c>
      <c r="AA35" s="50">
        <f t="shared" si="45"/>
        <v>37200</v>
      </c>
      <c r="AB35" s="51">
        <f t="shared" si="46"/>
        <v>0</v>
      </c>
      <c r="AC35" s="44">
        <f t="shared" si="47"/>
        <v>34776.105450126197</v>
      </c>
      <c r="AD35" s="44">
        <f t="shared" si="48"/>
        <v>0</v>
      </c>
      <c r="AE35" s="44">
        <f t="shared" si="49"/>
        <v>0</v>
      </c>
      <c r="AF35" s="52">
        <f>HLOOKUP(I35,ElecAvoidedCostsWOCC!$A$5:$Q$50,G35+1,FALSE)</f>
        <v>0.31684706098619264</v>
      </c>
      <c r="AG35" s="44">
        <f t="shared" si="50"/>
        <v>0</v>
      </c>
      <c r="AH35" s="52">
        <f>HLOOKUP(I35,ElecAvoidedCostsWOCC!$A$5:$Q$50,T35+1,FALSE)</f>
        <v>0.31684706098619264</v>
      </c>
      <c r="AI35" s="44">
        <f t="shared" si="51"/>
        <v>0</v>
      </c>
      <c r="AJ35" s="44">
        <f t="shared" si="52"/>
        <v>0</v>
      </c>
      <c r="AK35" s="44">
        <f>HLOOKUP(I35,ElecAvoidedCostsWOCC!$A$5:$Q$50,G35+1,FALSE)*J35*L35</f>
        <v>0</v>
      </c>
      <c r="AL35" s="44">
        <f t="shared" si="53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54"/>
        <v>0</v>
      </c>
      <c r="AO35" s="47">
        <f t="shared" si="55"/>
        <v>0</v>
      </c>
      <c r="AP35" s="47">
        <f t="shared" si="56"/>
        <v>0</v>
      </c>
    </row>
    <row r="36" spans="2:42">
      <c r="B36" s="97" t="s">
        <v>136</v>
      </c>
      <c r="C36" s="101">
        <v>18230723</v>
      </c>
      <c r="D36" s="101" t="s">
        <v>137</v>
      </c>
      <c r="E36" s="38" t="s">
        <v>1064</v>
      </c>
      <c r="F36" s="39" t="s">
        <v>1065</v>
      </c>
      <c r="G36" s="39">
        <v>3</v>
      </c>
      <c r="H36" s="39"/>
      <c r="I36" s="40" t="s">
        <v>261</v>
      </c>
      <c r="J36" s="41">
        <v>1</v>
      </c>
      <c r="K36" s="41"/>
      <c r="L36" s="41"/>
      <c r="M36" s="42"/>
      <c r="N36" s="42"/>
      <c r="O36" s="43">
        <v>0</v>
      </c>
      <c r="P36" s="44">
        <v>0</v>
      </c>
      <c r="Q36" s="44">
        <v>0</v>
      </c>
      <c r="R36" s="45"/>
      <c r="S36" s="46"/>
      <c r="T36" s="39">
        <f t="shared" si="38"/>
        <v>3</v>
      </c>
      <c r="U36" s="47">
        <f t="shared" si="39"/>
        <v>0</v>
      </c>
      <c r="V36" s="48">
        <f t="shared" si="40"/>
        <v>0</v>
      </c>
      <c r="W36" s="49">
        <f t="shared" si="41"/>
        <v>0</v>
      </c>
      <c r="X36" s="44">
        <f t="shared" si="42"/>
        <v>0</v>
      </c>
      <c r="Y36" s="44">
        <f t="shared" si="43"/>
        <v>0</v>
      </c>
      <c r="Z36" s="44">
        <f t="shared" si="44"/>
        <v>0</v>
      </c>
      <c r="AA36" s="50">
        <f t="shared" si="45"/>
        <v>0</v>
      </c>
      <c r="AB36" s="51">
        <f t="shared" si="46"/>
        <v>0</v>
      </c>
      <c r="AC36" s="44">
        <f t="shared" si="47"/>
        <v>0</v>
      </c>
      <c r="AD36" s="44">
        <f t="shared" si="48"/>
        <v>0</v>
      </c>
      <c r="AE36" s="44">
        <f t="shared" si="49"/>
        <v>0</v>
      </c>
      <c r="AF36" s="52">
        <f>HLOOKUP(I36,ElecAvoidedCostsWOCC!$A$5:$Q$50,G36+1,FALSE)</f>
        <v>0.31684706098619264</v>
      </c>
      <c r="AG36" s="44">
        <f t="shared" si="50"/>
        <v>0</v>
      </c>
      <c r="AH36" s="52">
        <f>HLOOKUP(I36,ElecAvoidedCostsWOCC!$A$5:$Q$50,T36+1,FALSE)</f>
        <v>0.31684706098619264</v>
      </c>
      <c r="AI36" s="44">
        <f t="shared" si="51"/>
        <v>0</v>
      </c>
      <c r="AJ36" s="44">
        <f t="shared" si="52"/>
        <v>0</v>
      </c>
      <c r="AK36" s="44">
        <f>HLOOKUP(I36,ElecAvoidedCostsWOCC!$A$5:$Q$50,G36+1,FALSE)*J36*L36</f>
        <v>0</v>
      </c>
      <c r="AL36" s="44">
        <f t="shared" si="53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54"/>
        <v>0</v>
      </c>
      <c r="AO36" s="47">
        <f t="shared" si="55"/>
        <v>0</v>
      </c>
      <c r="AP36" s="47" t="e">
        <f t="shared" si="56"/>
        <v>#DIV/0!</v>
      </c>
    </row>
    <row r="37" spans="2:42">
      <c r="B37" s="97" t="s">
        <v>136</v>
      </c>
      <c r="C37" s="101">
        <v>18230723</v>
      </c>
      <c r="D37" s="101" t="s">
        <v>137</v>
      </c>
      <c r="E37" s="38" t="s">
        <v>1064</v>
      </c>
      <c r="F37" s="39" t="s">
        <v>1065</v>
      </c>
      <c r="G37" s="39">
        <v>3</v>
      </c>
      <c r="H37" s="39"/>
      <c r="I37" s="40" t="s">
        <v>261</v>
      </c>
      <c r="J37" s="41">
        <v>1</v>
      </c>
      <c r="K37" s="41"/>
      <c r="L37" s="41"/>
      <c r="M37" s="42">
        <v>61090</v>
      </c>
      <c r="N37" s="42">
        <v>61090</v>
      </c>
      <c r="O37" s="43">
        <v>0</v>
      </c>
      <c r="P37" s="44">
        <v>61090</v>
      </c>
      <c r="Q37" s="44">
        <v>61090</v>
      </c>
      <c r="R37" s="45"/>
      <c r="S37" s="46"/>
      <c r="T37" s="39">
        <f t="shared" si="38"/>
        <v>3</v>
      </c>
      <c r="U37" s="47">
        <f t="shared" si="39"/>
        <v>0</v>
      </c>
      <c r="V37" s="48">
        <f t="shared" si="40"/>
        <v>0</v>
      </c>
      <c r="W37" s="49">
        <f t="shared" si="41"/>
        <v>0</v>
      </c>
      <c r="X37" s="44">
        <f t="shared" si="42"/>
        <v>0</v>
      </c>
      <c r="Y37" s="44">
        <f t="shared" si="43"/>
        <v>0</v>
      </c>
      <c r="Z37" s="44">
        <f t="shared" si="44"/>
        <v>0</v>
      </c>
      <c r="AA37" s="50">
        <f t="shared" si="45"/>
        <v>61090</v>
      </c>
      <c r="AB37" s="51">
        <f t="shared" si="46"/>
        <v>0</v>
      </c>
      <c r="AC37" s="44">
        <f t="shared" si="47"/>
        <v>57109.469944844343</v>
      </c>
      <c r="AD37" s="44">
        <f t="shared" si="48"/>
        <v>0</v>
      </c>
      <c r="AE37" s="44">
        <f t="shared" si="49"/>
        <v>0</v>
      </c>
      <c r="AF37" s="52">
        <f>HLOOKUP(I37,ElecAvoidedCostsWOCC!$A$5:$Q$50,G37+1,FALSE)</f>
        <v>0.31684706098619264</v>
      </c>
      <c r="AG37" s="44">
        <f t="shared" si="50"/>
        <v>0</v>
      </c>
      <c r="AH37" s="52">
        <f>HLOOKUP(I37,ElecAvoidedCostsWOCC!$A$5:$Q$50,T37+1,FALSE)</f>
        <v>0.31684706098619264</v>
      </c>
      <c r="AI37" s="44">
        <f t="shared" si="51"/>
        <v>0</v>
      </c>
      <c r="AJ37" s="44">
        <f t="shared" si="52"/>
        <v>0</v>
      </c>
      <c r="AK37" s="44">
        <f>HLOOKUP(I37,ElecAvoidedCostsWOCC!$A$5:$Q$50,G37+1,FALSE)*J37*L37</f>
        <v>0</v>
      </c>
      <c r="AL37" s="44">
        <f t="shared" si="53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54"/>
        <v>0</v>
      </c>
      <c r="AO37" s="47">
        <f t="shared" si="55"/>
        <v>0</v>
      </c>
      <c r="AP37" s="47">
        <f t="shared" si="56"/>
        <v>0</v>
      </c>
    </row>
    <row r="38" spans="2:42">
      <c r="B38" s="97" t="s">
        <v>136</v>
      </c>
      <c r="C38" s="101">
        <v>18230723</v>
      </c>
      <c r="D38" s="101" t="s">
        <v>137</v>
      </c>
      <c r="E38" s="38" t="s">
        <v>1064</v>
      </c>
      <c r="F38" s="39" t="s">
        <v>1065</v>
      </c>
      <c r="G38" s="39">
        <v>3</v>
      </c>
      <c r="H38" s="39"/>
      <c r="I38" s="40" t="s">
        <v>261</v>
      </c>
      <c r="J38" s="41">
        <v>1</v>
      </c>
      <c r="K38" s="41"/>
      <c r="L38" s="41"/>
      <c r="M38" s="42">
        <v>3400</v>
      </c>
      <c r="N38" s="42">
        <v>3400</v>
      </c>
      <c r="O38" s="43">
        <v>0</v>
      </c>
      <c r="P38" s="44">
        <v>3400</v>
      </c>
      <c r="Q38" s="44">
        <v>3400</v>
      </c>
      <c r="R38" s="45"/>
      <c r="S38" s="46"/>
      <c r="T38" s="39">
        <f t="shared" si="38"/>
        <v>3</v>
      </c>
      <c r="U38" s="47">
        <f t="shared" si="39"/>
        <v>0</v>
      </c>
      <c r="V38" s="48">
        <f t="shared" si="40"/>
        <v>0</v>
      </c>
      <c r="W38" s="49">
        <f t="shared" si="41"/>
        <v>0</v>
      </c>
      <c r="X38" s="44">
        <f t="shared" si="42"/>
        <v>0</v>
      </c>
      <c r="Y38" s="44">
        <f t="shared" si="43"/>
        <v>0</v>
      </c>
      <c r="Z38" s="44">
        <f t="shared" si="44"/>
        <v>0</v>
      </c>
      <c r="AA38" s="50">
        <f t="shared" si="45"/>
        <v>3400</v>
      </c>
      <c r="AB38" s="51">
        <f t="shared" si="46"/>
        <v>0</v>
      </c>
      <c r="AC38" s="44">
        <f t="shared" si="47"/>
        <v>3178.4612508179862</v>
      </c>
      <c r="AD38" s="44">
        <f t="shared" si="48"/>
        <v>0</v>
      </c>
      <c r="AE38" s="44">
        <f t="shared" si="49"/>
        <v>0</v>
      </c>
      <c r="AF38" s="52">
        <f>HLOOKUP(I38,ElecAvoidedCostsWOCC!$A$5:$Q$50,G38+1,FALSE)</f>
        <v>0.31684706098619264</v>
      </c>
      <c r="AG38" s="44">
        <f t="shared" si="50"/>
        <v>0</v>
      </c>
      <c r="AH38" s="52">
        <f>HLOOKUP(I38,ElecAvoidedCostsWOCC!$A$5:$Q$50,T38+1,FALSE)</f>
        <v>0.31684706098619264</v>
      </c>
      <c r="AI38" s="44">
        <f t="shared" si="51"/>
        <v>0</v>
      </c>
      <c r="AJ38" s="44">
        <f t="shared" si="52"/>
        <v>0</v>
      </c>
      <c r="AK38" s="44">
        <f>HLOOKUP(I38,ElecAvoidedCostsWOCC!$A$5:$Q$50,G38+1,FALSE)*J38*L38</f>
        <v>0</v>
      </c>
      <c r="AL38" s="44">
        <f t="shared" si="53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54"/>
        <v>0</v>
      </c>
      <c r="AO38" s="47">
        <f t="shared" si="55"/>
        <v>0</v>
      </c>
      <c r="AP38" s="47">
        <f t="shared" si="56"/>
        <v>0</v>
      </c>
    </row>
    <row r="39" spans="2:42">
      <c r="B39" s="97" t="s">
        <v>136</v>
      </c>
      <c r="C39" s="101">
        <v>18230723</v>
      </c>
      <c r="D39" s="101" t="s">
        <v>137</v>
      </c>
      <c r="E39" s="38" t="s">
        <v>1066</v>
      </c>
      <c r="F39" s="39" t="s">
        <v>1067</v>
      </c>
      <c r="G39" s="39">
        <v>3</v>
      </c>
      <c r="H39" s="39"/>
      <c r="I39" s="40" t="s">
        <v>261</v>
      </c>
      <c r="J39" s="41">
        <v>1</v>
      </c>
      <c r="K39" s="41"/>
      <c r="L39" s="41"/>
      <c r="M39" s="42">
        <v>30235</v>
      </c>
      <c r="N39" s="42">
        <v>30235</v>
      </c>
      <c r="O39" s="43">
        <v>0</v>
      </c>
      <c r="P39" s="44">
        <v>30235</v>
      </c>
      <c r="Q39" s="44">
        <v>30235</v>
      </c>
      <c r="R39" s="45"/>
      <c r="S39" s="46"/>
      <c r="T39" s="39">
        <f t="shared" si="38"/>
        <v>3</v>
      </c>
      <c r="U39" s="47">
        <f t="shared" si="39"/>
        <v>0</v>
      </c>
      <c r="V39" s="48">
        <f t="shared" si="40"/>
        <v>0</v>
      </c>
      <c r="W39" s="49">
        <f t="shared" si="41"/>
        <v>0</v>
      </c>
      <c r="X39" s="44">
        <f t="shared" si="42"/>
        <v>0</v>
      </c>
      <c r="Y39" s="44">
        <f t="shared" si="43"/>
        <v>0</v>
      </c>
      <c r="Z39" s="44">
        <f t="shared" si="44"/>
        <v>0</v>
      </c>
      <c r="AA39" s="50">
        <f t="shared" si="45"/>
        <v>30235</v>
      </c>
      <c r="AB39" s="51">
        <f t="shared" si="46"/>
        <v>0</v>
      </c>
      <c r="AC39" s="44">
        <f t="shared" si="47"/>
        <v>28264.93409367112</v>
      </c>
      <c r="AD39" s="44">
        <f t="shared" si="48"/>
        <v>0</v>
      </c>
      <c r="AE39" s="44">
        <f t="shared" si="49"/>
        <v>0</v>
      </c>
      <c r="AF39" s="52">
        <f>HLOOKUP(I39,ElecAvoidedCostsWOCC!$A$5:$Q$50,G39+1,FALSE)</f>
        <v>0.31684706098619264</v>
      </c>
      <c r="AG39" s="44">
        <f t="shared" si="50"/>
        <v>0</v>
      </c>
      <c r="AH39" s="52">
        <f>HLOOKUP(I39,ElecAvoidedCostsWOCC!$A$5:$Q$50,T39+1,FALSE)</f>
        <v>0.31684706098619264</v>
      </c>
      <c r="AI39" s="44">
        <f t="shared" si="51"/>
        <v>0</v>
      </c>
      <c r="AJ39" s="44">
        <f t="shared" si="52"/>
        <v>0</v>
      </c>
      <c r="AK39" s="44">
        <f>HLOOKUP(I39,ElecAvoidedCostsWOCC!$A$5:$Q$50,G39+1,FALSE)*J39*L39</f>
        <v>0</v>
      </c>
      <c r="AL39" s="44">
        <f t="shared" si="53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54"/>
        <v>0</v>
      </c>
      <c r="AO39" s="47">
        <f t="shared" si="55"/>
        <v>0</v>
      </c>
      <c r="AP39" s="47">
        <f t="shared" si="56"/>
        <v>0</v>
      </c>
    </row>
    <row r="40" spans="2:42">
      <c r="B40" s="97" t="s">
        <v>136</v>
      </c>
      <c r="C40" s="101">
        <v>18230723</v>
      </c>
      <c r="D40" s="101" t="s">
        <v>137</v>
      </c>
      <c r="E40" s="38" t="s">
        <v>1066</v>
      </c>
      <c r="F40" s="39" t="s">
        <v>1067</v>
      </c>
      <c r="G40" s="39">
        <v>3</v>
      </c>
      <c r="H40" s="39"/>
      <c r="I40" s="40" t="s">
        <v>261</v>
      </c>
      <c r="J40" s="41">
        <v>1</v>
      </c>
      <c r="K40" s="41"/>
      <c r="L40" s="41"/>
      <c r="M40" s="42">
        <v>20000</v>
      </c>
      <c r="N40" s="42">
        <v>20000</v>
      </c>
      <c r="O40" s="43">
        <v>0</v>
      </c>
      <c r="P40" s="44">
        <v>20000</v>
      </c>
      <c r="Q40" s="44">
        <v>20000</v>
      </c>
      <c r="R40" s="45"/>
      <c r="S40" s="46"/>
      <c r="T40" s="39">
        <f t="shared" si="38"/>
        <v>3</v>
      </c>
      <c r="U40" s="47">
        <f t="shared" si="39"/>
        <v>0</v>
      </c>
      <c r="V40" s="48">
        <f t="shared" si="40"/>
        <v>0</v>
      </c>
      <c r="W40" s="49">
        <f t="shared" si="41"/>
        <v>0</v>
      </c>
      <c r="X40" s="44">
        <f t="shared" si="42"/>
        <v>0</v>
      </c>
      <c r="Y40" s="44">
        <f t="shared" si="43"/>
        <v>0</v>
      </c>
      <c r="Z40" s="44">
        <f t="shared" si="44"/>
        <v>0</v>
      </c>
      <c r="AA40" s="50">
        <f t="shared" si="45"/>
        <v>20000</v>
      </c>
      <c r="AB40" s="51">
        <f t="shared" si="46"/>
        <v>0</v>
      </c>
      <c r="AC40" s="44">
        <f t="shared" si="47"/>
        <v>18696.830887164622</v>
      </c>
      <c r="AD40" s="44">
        <f t="shared" si="48"/>
        <v>0</v>
      </c>
      <c r="AE40" s="44">
        <f t="shared" si="49"/>
        <v>0</v>
      </c>
      <c r="AF40" s="52">
        <f>HLOOKUP(I40,ElecAvoidedCostsWOCC!$A$5:$Q$50,G40+1,FALSE)</f>
        <v>0.31684706098619264</v>
      </c>
      <c r="AG40" s="44">
        <f t="shared" si="50"/>
        <v>0</v>
      </c>
      <c r="AH40" s="52">
        <f>HLOOKUP(I40,ElecAvoidedCostsWOCC!$A$5:$Q$50,T40+1,FALSE)</f>
        <v>0.31684706098619264</v>
      </c>
      <c r="AI40" s="44">
        <f t="shared" si="51"/>
        <v>0</v>
      </c>
      <c r="AJ40" s="44">
        <f t="shared" si="52"/>
        <v>0</v>
      </c>
      <c r="AK40" s="44">
        <f>HLOOKUP(I40,ElecAvoidedCostsWOCC!$A$5:$Q$50,G40+1,FALSE)*J40*L40</f>
        <v>0</v>
      </c>
      <c r="AL40" s="44">
        <f t="shared" si="53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54"/>
        <v>0</v>
      </c>
      <c r="AO40" s="47">
        <f t="shared" si="55"/>
        <v>0</v>
      </c>
      <c r="AP40" s="47">
        <f t="shared" si="56"/>
        <v>0</v>
      </c>
    </row>
    <row r="41" spans="2:42">
      <c r="B41" s="97" t="s">
        <v>136</v>
      </c>
      <c r="C41" s="101">
        <v>18230723</v>
      </c>
      <c r="D41" s="101" t="s">
        <v>137</v>
      </c>
      <c r="E41" s="38" t="s">
        <v>1066</v>
      </c>
      <c r="F41" s="39" t="s">
        <v>1067</v>
      </c>
      <c r="G41" s="39">
        <v>3</v>
      </c>
      <c r="H41" s="39"/>
      <c r="I41" s="40" t="s">
        <v>261</v>
      </c>
      <c r="J41" s="41">
        <v>1</v>
      </c>
      <c r="K41" s="41"/>
      <c r="L41" s="41"/>
      <c r="M41" s="42">
        <v>84599</v>
      </c>
      <c r="N41" s="42">
        <v>84599</v>
      </c>
      <c r="O41" s="43">
        <v>0</v>
      </c>
      <c r="P41" s="44">
        <v>84599</v>
      </c>
      <c r="Q41" s="44">
        <v>84599</v>
      </c>
      <c r="R41" s="45"/>
      <c r="S41" s="46"/>
      <c r="T41" s="39">
        <f t="shared" si="38"/>
        <v>3</v>
      </c>
      <c r="U41" s="47">
        <f t="shared" si="39"/>
        <v>0</v>
      </c>
      <c r="V41" s="48">
        <f t="shared" si="40"/>
        <v>0</v>
      </c>
      <c r="W41" s="49">
        <f t="shared" si="41"/>
        <v>0</v>
      </c>
      <c r="X41" s="44">
        <f t="shared" si="42"/>
        <v>0</v>
      </c>
      <c r="Y41" s="44">
        <f t="shared" si="43"/>
        <v>0</v>
      </c>
      <c r="Z41" s="44">
        <f t="shared" si="44"/>
        <v>0</v>
      </c>
      <c r="AA41" s="50">
        <f t="shared" si="45"/>
        <v>84599</v>
      </c>
      <c r="AB41" s="51">
        <f t="shared" si="46"/>
        <v>0</v>
      </c>
      <c r="AC41" s="44">
        <f t="shared" si="47"/>
        <v>79086.659811161997</v>
      </c>
      <c r="AD41" s="44">
        <f t="shared" si="48"/>
        <v>0</v>
      </c>
      <c r="AE41" s="44">
        <f t="shared" si="49"/>
        <v>0</v>
      </c>
      <c r="AF41" s="52">
        <f>HLOOKUP(I41,ElecAvoidedCostsWOCC!$A$5:$Q$50,G41+1,FALSE)</f>
        <v>0.31684706098619264</v>
      </c>
      <c r="AG41" s="44">
        <f t="shared" si="50"/>
        <v>0</v>
      </c>
      <c r="AH41" s="52">
        <f>HLOOKUP(I41,ElecAvoidedCostsWOCC!$A$5:$Q$50,T41+1,FALSE)</f>
        <v>0.31684706098619264</v>
      </c>
      <c r="AI41" s="44">
        <f t="shared" si="51"/>
        <v>0</v>
      </c>
      <c r="AJ41" s="44">
        <f t="shared" si="52"/>
        <v>0</v>
      </c>
      <c r="AK41" s="44">
        <f>HLOOKUP(I41,ElecAvoidedCostsWOCC!$A$5:$Q$50,G41+1,FALSE)*J41*L41</f>
        <v>0</v>
      </c>
      <c r="AL41" s="44">
        <f t="shared" si="53"/>
        <v>0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54"/>
        <v>0</v>
      </c>
      <c r="AO41" s="47">
        <f t="shared" si="55"/>
        <v>0</v>
      </c>
      <c r="AP41" s="47">
        <f t="shared" si="56"/>
        <v>0</v>
      </c>
    </row>
    <row r="42" spans="2:42">
      <c r="B42" s="97" t="s">
        <v>136</v>
      </c>
      <c r="C42" s="101">
        <v>18230723</v>
      </c>
      <c r="D42" s="101" t="s">
        <v>137</v>
      </c>
      <c r="E42" s="38" t="s">
        <v>1068</v>
      </c>
      <c r="F42" s="39" t="s">
        <v>1069</v>
      </c>
      <c r="G42" s="39">
        <v>3</v>
      </c>
      <c r="H42" s="39"/>
      <c r="I42" s="40" t="s">
        <v>261</v>
      </c>
      <c r="J42" s="41">
        <v>1</v>
      </c>
      <c r="K42" s="41"/>
      <c r="L42" s="41"/>
      <c r="M42" s="42">
        <v>13577</v>
      </c>
      <c r="N42" s="42">
        <v>13577</v>
      </c>
      <c r="O42" s="43">
        <v>0</v>
      </c>
      <c r="P42" s="44">
        <v>13577</v>
      </c>
      <c r="Q42" s="44">
        <v>13577</v>
      </c>
      <c r="R42" s="45"/>
      <c r="S42" s="46"/>
      <c r="T42" s="39">
        <f t="shared" si="38"/>
        <v>3</v>
      </c>
      <c r="U42" s="47">
        <f t="shared" si="39"/>
        <v>0</v>
      </c>
      <c r="V42" s="48">
        <f t="shared" si="40"/>
        <v>0</v>
      </c>
      <c r="W42" s="49">
        <f t="shared" si="41"/>
        <v>0</v>
      </c>
      <c r="X42" s="44">
        <f t="shared" si="42"/>
        <v>0</v>
      </c>
      <c r="Y42" s="44">
        <f t="shared" si="43"/>
        <v>0</v>
      </c>
      <c r="Z42" s="44">
        <f t="shared" si="44"/>
        <v>0</v>
      </c>
      <c r="AA42" s="50">
        <f t="shared" si="45"/>
        <v>13577</v>
      </c>
      <c r="AB42" s="51">
        <f t="shared" si="46"/>
        <v>0</v>
      </c>
      <c r="AC42" s="44">
        <f t="shared" si="47"/>
        <v>12692.343647751704</v>
      </c>
      <c r="AD42" s="44">
        <f t="shared" si="48"/>
        <v>0</v>
      </c>
      <c r="AE42" s="44">
        <f t="shared" si="49"/>
        <v>0</v>
      </c>
      <c r="AF42" s="52">
        <f>HLOOKUP(I42,ElecAvoidedCostsWOCC!$A$5:$Q$50,G42+1,FALSE)</f>
        <v>0.31684706098619264</v>
      </c>
      <c r="AG42" s="44">
        <f t="shared" si="50"/>
        <v>0</v>
      </c>
      <c r="AH42" s="52">
        <f>HLOOKUP(I42,ElecAvoidedCostsWOCC!$A$5:$Q$50,T42+1,FALSE)</f>
        <v>0.31684706098619264</v>
      </c>
      <c r="AI42" s="44">
        <f t="shared" si="51"/>
        <v>0</v>
      </c>
      <c r="AJ42" s="44">
        <f t="shared" si="52"/>
        <v>0</v>
      </c>
      <c r="AK42" s="44">
        <f>HLOOKUP(I42,ElecAvoidedCostsWOCC!$A$5:$Q$50,G42+1,FALSE)*J42*L42</f>
        <v>0</v>
      </c>
      <c r="AL42" s="44">
        <f t="shared" si="53"/>
        <v>0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54"/>
        <v>0</v>
      </c>
      <c r="AO42" s="47">
        <f t="shared" si="55"/>
        <v>0</v>
      </c>
      <c r="AP42" s="47">
        <f t="shared" si="56"/>
        <v>0</v>
      </c>
    </row>
    <row r="43" spans="2:42">
      <c r="B43" s="97" t="s">
        <v>136</v>
      </c>
      <c r="C43" s="101">
        <v>18230723</v>
      </c>
      <c r="D43" s="101" t="s">
        <v>137</v>
      </c>
      <c r="E43" s="38" t="s">
        <v>2114</v>
      </c>
      <c r="F43" s="39" t="s">
        <v>2115</v>
      </c>
      <c r="G43" s="39">
        <v>3</v>
      </c>
      <c r="H43" s="39"/>
      <c r="I43" s="40" t="s">
        <v>261</v>
      </c>
      <c r="J43" s="41">
        <v>1</v>
      </c>
      <c r="K43" s="41"/>
      <c r="L43" s="41"/>
      <c r="M43" s="42"/>
      <c r="N43" s="42"/>
      <c r="O43" s="43">
        <v>0</v>
      </c>
      <c r="P43" s="44">
        <v>0</v>
      </c>
      <c r="Q43" s="44">
        <v>0</v>
      </c>
      <c r="R43" s="45"/>
      <c r="S43" s="46"/>
      <c r="T43" s="39">
        <f t="shared" si="38"/>
        <v>3</v>
      </c>
      <c r="U43" s="47">
        <f t="shared" si="39"/>
        <v>0</v>
      </c>
      <c r="V43" s="48">
        <f t="shared" si="40"/>
        <v>0</v>
      </c>
      <c r="W43" s="49">
        <f t="shared" si="41"/>
        <v>0</v>
      </c>
      <c r="X43" s="44">
        <f t="shared" si="42"/>
        <v>0</v>
      </c>
      <c r="Y43" s="44">
        <f t="shared" si="43"/>
        <v>0</v>
      </c>
      <c r="Z43" s="44">
        <f t="shared" si="44"/>
        <v>0</v>
      </c>
      <c r="AA43" s="50">
        <f t="shared" si="45"/>
        <v>0</v>
      </c>
      <c r="AB43" s="51">
        <f t="shared" si="46"/>
        <v>0</v>
      </c>
      <c r="AC43" s="44">
        <f t="shared" si="47"/>
        <v>0</v>
      </c>
      <c r="AD43" s="44">
        <f t="shared" si="48"/>
        <v>0</v>
      </c>
      <c r="AE43" s="44">
        <f t="shared" si="49"/>
        <v>0</v>
      </c>
      <c r="AF43" s="52">
        <f>HLOOKUP(I43,ElecAvoidedCostsWOCC!$A$5:$Q$50,G43+1,FALSE)</f>
        <v>0.31684706098619264</v>
      </c>
      <c r="AG43" s="44">
        <f t="shared" si="50"/>
        <v>0</v>
      </c>
      <c r="AH43" s="52">
        <f>HLOOKUP(I43,ElecAvoidedCostsWOCC!$A$5:$Q$50,T43+1,FALSE)</f>
        <v>0.31684706098619264</v>
      </c>
      <c r="AI43" s="44">
        <f t="shared" si="51"/>
        <v>0</v>
      </c>
      <c r="AJ43" s="44">
        <f t="shared" si="52"/>
        <v>0</v>
      </c>
      <c r="AK43" s="44">
        <f>HLOOKUP(I43,ElecAvoidedCostsWOCC!$A$5:$Q$50,G43+1,FALSE)*J43*L43</f>
        <v>0</v>
      </c>
      <c r="AL43" s="44">
        <f t="shared" si="53"/>
        <v>0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54"/>
        <v>0</v>
      </c>
      <c r="AO43" s="47">
        <f t="shared" si="55"/>
        <v>0</v>
      </c>
      <c r="AP43" s="47" t="e">
        <f t="shared" si="56"/>
        <v>#DIV/0!</v>
      </c>
    </row>
    <row r="44" spans="2:42">
      <c r="B44" s="97" t="s">
        <v>136</v>
      </c>
      <c r="C44" s="101">
        <v>18230723</v>
      </c>
      <c r="D44" s="101" t="s">
        <v>137</v>
      </c>
      <c r="E44" s="38" t="s">
        <v>2114</v>
      </c>
      <c r="F44" s="39" t="s">
        <v>2115</v>
      </c>
      <c r="G44" s="39">
        <v>3</v>
      </c>
      <c r="H44" s="39"/>
      <c r="I44" s="40" t="s">
        <v>261</v>
      </c>
      <c r="J44" s="41">
        <v>1</v>
      </c>
      <c r="K44" s="41"/>
      <c r="L44" s="41"/>
      <c r="M44" s="42">
        <v>6170</v>
      </c>
      <c r="N44" s="42">
        <v>6170</v>
      </c>
      <c r="O44" s="43">
        <v>0</v>
      </c>
      <c r="P44" s="44">
        <v>6170</v>
      </c>
      <c r="Q44" s="44">
        <v>6170</v>
      </c>
      <c r="R44" s="45"/>
      <c r="S44" s="46"/>
      <c r="T44" s="39">
        <f t="shared" si="38"/>
        <v>3</v>
      </c>
      <c r="U44" s="47">
        <f t="shared" si="39"/>
        <v>0</v>
      </c>
      <c r="V44" s="48">
        <f t="shared" si="40"/>
        <v>0</v>
      </c>
      <c r="W44" s="49">
        <f t="shared" si="41"/>
        <v>0</v>
      </c>
      <c r="X44" s="44">
        <f t="shared" si="42"/>
        <v>0</v>
      </c>
      <c r="Y44" s="44">
        <f t="shared" si="43"/>
        <v>0</v>
      </c>
      <c r="Z44" s="44">
        <f t="shared" si="44"/>
        <v>0</v>
      </c>
      <c r="AA44" s="50">
        <f t="shared" si="45"/>
        <v>6170</v>
      </c>
      <c r="AB44" s="51">
        <f t="shared" si="46"/>
        <v>0</v>
      </c>
      <c r="AC44" s="44">
        <f t="shared" si="47"/>
        <v>5767.9723286902863</v>
      </c>
      <c r="AD44" s="44">
        <f t="shared" si="48"/>
        <v>0</v>
      </c>
      <c r="AE44" s="44">
        <f t="shared" si="49"/>
        <v>0</v>
      </c>
      <c r="AF44" s="52">
        <f>HLOOKUP(I44,ElecAvoidedCostsWOCC!$A$5:$Q$50,G44+1,FALSE)</f>
        <v>0.31684706098619264</v>
      </c>
      <c r="AG44" s="44">
        <f t="shared" si="50"/>
        <v>0</v>
      </c>
      <c r="AH44" s="52">
        <f>HLOOKUP(I44,ElecAvoidedCostsWOCC!$A$5:$Q$50,T44+1,FALSE)</f>
        <v>0.31684706098619264</v>
      </c>
      <c r="AI44" s="44">
        <f t="shared" si="51"/>
        <v>0</v>
      </c>
      <c r="AJ44" s="44">
        <f t="shared" si="52"/>
        <v>0</v>
      </c>
      <c r="AK44" s="44">
        <f>HLOOKUP(I44,ElecAvoidedCostsWOCC!$A$5:$Q$50,G44+1,FALSE)*J44*L44</f>
        <v>0</v>
      </c>
      <c r="AL44" s="44">
        <f t="shared" si="53"/>
        <v>0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54"/>
        <v>0</v>
      </c>
      <c r="AO44" s="47">
        <f t="shared" si="55"/>
        <v>0</v>
      </c>
      <c r="AP44" s="47">
        <f t="shared" si="56"/>
        <v>0</v>
      </c>
    </row>
    <row r="45" spans="2:42">
      <c r="B45" s="97" t="s">
        <v>136</v>
      </c>
      <c r="C45" s="101">
        <v>18230723</v>
      </c>
      <c r="D45" s="101" t="s">
        <v>137</v>
      </c>
      <c r="E45" s="38" t="s">
        <v>1070</v>
      </c>
      <c r="F45" s="39" t="s">
        <v>1071</v>
      </c>
      <c r="G45" s="39">
        <v>3</v>
      </c>
      <c r="H45" s="39"/>
      <c r="I45" s="40" t="s">
        <v>261</v>
      </c>
      <c r="J45" s="41">
        <v>1</v>
      </c>
      <c r="K45" s="41"/>
      <c r="L45" s="41"/>
      <c r="M45" s="42"/>
      <c r="N45" s="42"/>
      <c r="O45" s="43">
        <v>0</v>
      </c>
      <c r="P45" s="44">
        <v>0</v>
      </c>
      <c r="Q45" s="44">
        <v>0</v>
      </c>
      <c r="R45" s="45"/>
      <c r="S45" s="46"/>
      <c r="T45" s="39">
        <f t="shared" si="38"/>
        <v>3</v>
      </c>
      <c r="U45" s="47">
        <f t="shared" si="39"/>
        <v>0</v>
      </c>
      <c r="V45" s="48">
        <f t="shared" si="40"/>
        <v>0</v>
      </c>
      <c r="W45" s="49">
        <f t="shared" si="41"/>
        <v>0</v>
      </c>
      <c r="X45" s="44">
        <f t="shared" si="42"/>
        <v>0</v>
      </c>
      <c r="Y45" s="44">
        <f t="shared" si="43"/>
        <v>0</v>
      </c>
      <c r="Z45" s="44">
        <f t="shared" si="44"/>
        <v>0</v>
      </c>
      <c r="AA45" s="50">
        <f t="shared" si="45"/>
        <v>0</v>
      </c>
      <c r="AB45" s="51">
        <f t="shared" si="46"/>
        <v>0</v>
      </c>
      <c r="AC45" s="44">
        <f t="shared" si="47"/>
        <v>0</v>
      </c>
      <c r="AD45" s="44">
        <f t="shared" si="48"/>
        <v>0</v>
      </c>
      <c r="AE45" s="44">
        <f t="shared" si="49"/>
        <v>0</v>
      </c>
      <c r="AF45" s="52">
        <f>HLOOKUP(I45,ElecAvoidedCostsWOCC!$A$5:$Q$50,G45+1,FALSE)</f>
        <v>0.31684706098619264</v>
      </c>
      <c r="AG45" s="44">
        <f t="shared" si="50"/>
        <v>0</v>
      </c>
      <c r="AH45" s="52">
        <f>HLOOKUP(I45,ElecAvoidedCostsWOCC!$A$5:$Q$50,T45+1,FALSE)</f>
        <v>0.31684706098619264</v>
      </c>
      <c r="AI45" s="44">
        <f t="shared" si="51"/>
        <v>0</v>
      </c>
      <c r="AJ45" s="44">
        <f t="shared" si="52"/>
        <v>0</v>
      </c>
      <c r="AK45" s="44">
        <f>HLOOKUP(I45,ElecAvoidedCostsWOCC!$A$5:$Q$50,G45+1,FALSE)*J45*L45</f>
        <v>0</v>
      </c>
      <c r="AL45" s="44">
        <f t="shared" si="53"/>
        <v>0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54"/>
        <v>0</v>
      </c>
      <c r="AO45" s="47">
        <f t="shared" si="55"/>
        <v>0</v>
      </c>
      <c r="AP45" s="47" t="e">
        <f t="shared" si="56"/>
        <v>#DIV/0!</v>
      </c>
    </row>
    <row r="46" spans="2:42">
      <c r="B46" s="97" t="s">
        <v>136</v>
      </c>
      <c r="C46" s="101">
        <v>18230723</v>
      </c>
      <c r="D46" s="101" t="s">
        <v>137</v>
      </c>
      <c r="E46" s="38" t="s">
        <v>1070</v>
      </c>
      <c r="F46" s="39" t="s">
        <v>1071</v>
      </c>
      <c r="G46" s="39">
        <v>3</v>
      </c>
      <c r="H46" s="39"/>
      <c r="I46" s="40" t="s">
        <v>261</v>
      </c>
      <c r="J46" s="41">
        <v>1</v>
      </c>
      <c r="K46" s="41"/>
      <c r="L46" s="41"/>
      <c r="M46" s="42">
        <v>2344</v>
      </c>
      <c r="N46" s="42">
        <v>3601.4</v>
      </c>
      <c r="O46" s="43">
        <v>0</v>
      </c>
      <c r="P46" s="44">
        <v>2344</v>
      </c>
      <c r="Q46" s="44">
        <v>3601.4</v>
      </c>
      <c r="R46" s="45"/>
      <c r="S46" s="46"/>
      <c r="T46" s="39">
        <f t="shared" si="38"/>
        <v>3</v>
      </c>
      <c r="U46" s="47">
        <f t="shared" si="39"/>
        <v>0</v>
      </c>
      <c r="V46" s="48">
        <f t="shared" si="40"/>
        <v>1257.4000000000001</v>
      </c>
      <c r="W46" s="49">
        <f t="shared" si="41"/>
        <v>0</v>
      </c>
      <c r="X46" s="44">
        <f t="shared" si="42"/>
        <v>0</v>
      </c>
      <c r="Y46" s="44">
        <f t="shared" si="43"/>
        <v>1257.4000000000001</v>
      </c>
      <c r="Z46" s="44">
        <f t="shared" si="44"/>
        <v>0</v>
      </c>
      <c r="AA46" s="50">
        <f t="shared" si="45"/>
        <v>3601.4</v>
      </c>
      <c r="AB46" s="51">
        <f t="shared" si="46"/>
        <v>0</v>
      </c>
      <c r="AC46" s="44">
        <f t="shared" si="47"/>
        <v>3366.7383378517338</v>
      </c>
      <c r="AD46" s="44">
        <f t="shared" si="48"/>
        <v>0</v>
      </c>
      <c r="AE46" s="44">
        <f t="shared" si="49"/>
        <v>0</v>
      </c>
      <c r="AF46" s="52">
        <f>HLOOKUP(I46,ElecAvoidedCostsWOCC!$A$5:$Q$50,G46+1,FALSE)</f>
        <v>0.31684706098619264</v>
      </c>
      <c r="AG46" s="44">
        <f t="shared" si="50"/>
        <v>0</v>
      </c>
      <c r="AH46" s="52">
        <f>HLOOKUP(I46,ElecAvoidedCostsWOCC!$A$5:$Q$50,T46+1,FALSE)</f>
        <v>0.31684706098619264</v>
      </c>
      <c r="AI46" s="44">
        <f t="shared" si="51"/>
        <v>0</v>
      </c>
      <c r="AJ46" s="44">
        <f t="shared" si="52"/>
        <v>0</v>
      </c>
      <c r="AK46" s="44">
        <f>HLOOKUP(I46,ElecAvoidedCostsWOCC!$A$5:$Q$50,G46+1,FALSE)*J46*L46</f>
        <v>0</v>
      </c>
      <c r="AL46" s="44">
        <f t="shared" si="53"/>
        <v>0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54"/>
        <v>0</v>
      </c>
      <c r="AO46" s="47">
        <f t="shared" si="55"/>
        <v>0</v>
      </c>
      <c r="AP46" s="47">
        <f t="shared" si="56"/>
        <v>0</v>
      </c>
    </row>
    <row r="47" spans="2:42">
      <c r="B47" s="97" t="s">
        <v>136</v>
      </c>
      <c r="C47" s="101">
        <v>18230723</v>
      </c>
      <c r="D47" s="101" t="s">
        <v>137</v>
      </c>
      <c r="E47" s="38" t="s">
        <v>1070</v>
      </c>
      <c r="F47" s="39" t="s">
        <v>1071</v>
      </c>
      <c r="G47" s="39">
        <v>3</v>
      </c>
      <c r="H47" s="39"/>
      <c r="I47" s="40" t="s">
        <v>261</v>
      </c>
      <c r="J47" s="41">
        <v>1</v>
      </c>
      <c r="K47" s="41"/>
      <c r="L47" s="41"/>
      <c r="M47" s="42">
        <v>340</v>
      </c>
      <c r="N47" s="42">
        <v>1598</v>
      </c>
      <c r="O47" s="43">
        <v>0</v>
      </c>
      <c r="P47" s="44">
        <v>340</v>
      </c>
      <c r="Q47" s="44">
        <v>1598</v>
      </c>
      <c r="R47" s="45"/>
      <c r="S47" s="46"/>
      <c r="T47" s="39">
        <f t="shared" si="38"/>
        <v>3</v>
      </c>
      <c r="U47" s="47">
        <f t="shared" si="39"/>
        <v>0</v>
      </c>
      <c r="V47" s="48">
        <f t="shared" si="40"/>
        <v>1258</v>
      </c>
      <c r="W47" s="49">
        <f t="shared" si="41"/>
        <v>0</v>
      </c>
      <c r="X47" s="44">
        <f t="shared" si="42"/>
        <v>0</v>
      </c>
      <c r="Y47" s="44">
        <f t="shared" si="43"/>
        <v>1258</v>
      </c>
      <c r="Z47" s="44">
        <f t="shared" si="44"/>
        <v>0</v>
      </c>
      <c r="AA47" s="50">
        <f t="shared" si="45"/>
        <v>1598</v>
      </c>
      <c r="AB47" s="51">
        <f t="shared" si="46"/>
        <v>0</v>
      </c>
      <c r="AC47" s="44">
        <f t="shared" si="47"/>
        <v>1493.8767878844535</v>
      </c>
      <c r="AD47" s="44">
        <f t="shared" si="48"/>
        <v>0</v>
      </c>
      <c r="AE47" s="44">
        <f t="shared" si="49"/>
        <v>0</v>
      </c>
      <c r="AF47" s="52">
        <f>HLOOKUP(I47,ElecAvoidedCostsWOCC!$A$5:$Q$50,G47+1,FALSE)</f>
        <v>0.31684706098619264</v>
      </c>
      <c r="AG47" s="44">
        <f t="shared" si="50"/>
        <v>0</v>
      </c>
      <c r="AH47" s="52">
        <f>HLOOKUP(I47,ElecAvoidedCostsWOCC!$A$5:$Q$50,T47+1,FALSE)</f>
        <v>0.31684706098619264</v>
      </c>
      <c r="AI47" s="44">
        <f t="shared" si="51"/>
        <v>0</v>
      </c>
      <c r="AJ47" s="44">
        <f t="shared" si="52"/>
        <v>0</v>
      </c>
      <c r="AK47" s="44">
        <f>HLOOKUP(I47,ElecAvoidedCostsWOCC!$A$5:$Q$50,G47+1,FALSE)*J47*L47</f>
        <v>0</v>
      </c>
      <c r="AL47" s="44">
        <f t="shared" si="53"/>
        <v>0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54"/>
        <v>0</v>
      </c>
      <c r="AO47" s="47">
        <f t="shared" si="55"/>
        <v>0</v>
      </c>
      <c r="AP47" s="47">
        <f t="shared" si="56"/>
        <v>0</v>
      </c>
    </row>
    <row r="48" spans="2:42">
      <c r="B48" s="97" t="s">
        <v>136</v>
      </c>
      <c r="C48" s="101">
        <v>18230723</v>
      </c>
      <c r="D48" s="101" t="s">
        <v>137</v>
      </c>
      <c r="E48" s="38" t="s">
        <v>1072</v>
      </c>
      <c r="F48" s="39" t="s">
        <v>1073</v>
      </c>
      <c r="G48" s="39">
        <v>3</v>
      </c>
      <c r="H48" s="39"/>
      <c r="I48" s="40" t="s">
        <v>261</v>
      </c>
      <c r="J48" s="41">
        <v>1</v>
      </c>
      <c r="K48" s="41"/>
      <c r="L48" s="41"/>
      <c r="M48" s="42">
        <v>1443</v>
      </c>
      <c r="N48" s="42">
        <v>1443</v>
      </c>
      <c r="O48" s="43">
        <v>0</v>
      </c>
      <c r="P48" s="44">
        <v>1443</v>
      </c>
      <c r="Q48" s="44">
        <v>1443</v>
      </c>
      <c r="R48" s="45"/>
      <c r="S48" s="46"/>
      <c r="T48" s="39">
        <f t="shared" si="38"/>
        <v>3</v>
      </c>
      <c r="U48" s="47">
        <f t="shared" si="39"/>
        <v>0</v>
      </c>
      <c r="V48" s="48">
        <f t="shared" si="40"/>
        <v>0</v>
      </c>
      <c r="W48" s="49">
        <f t="shared" si="41"/>
        <v>0</v>
      </c>
      <c r="X48" s="44">
        <f t="shared" si="42"/>
        <v>0</v>
      </c>
      <c r="Y48" s="44">
        <f t="shared" si="43"/>
        <v>0</v>
      </c>
      <c r="Z48" s="44">
        <f t="shared" si="44"/>
        <v>0</v>
      </c>
      <c r="AA48" s="50">
        <f t="shared" si="45"/>
        <v>1443</v>
      </c>
      <c r="AB48" s="51">
        <f t="shared" si="46"/>
        <v>0</v>
      </c>
      <c r="AC48" s="44">
        <f t="shared" si="47"/>
        <v>1348.9763485089277</v>
      </c>
      <c r="AD48" s="44">
        <f t="shared" si="48"/>
        <v>0</v>
      </c>
      <c r="AE48" s="44">
        <f t="shared" si="49"/>
        <v>0</v>
      </c>
      <c r="AF48" s="52">
        <f>HLOOKUP(I48,ElecAvoidedCostsWOCC!$A$5:$Q$50,G48+1,FALSE)</f>
        <v>0.31684706098619264</v>
      </c>
      <c r="AG48" s="44">
        <f t="shared" si="50"/>
        <v>0</v>
      </c>
      <c r="AH48" s="52">
        <f>HLOOKUP(I48,ElecAvoidedCostsWOCC!$A$5:$Q$50,T48+1,FALSE)</f>
        <v>0.31684706098619264</v>
      </c>
      <c r="AI48" s="44">
        <f t="shared" si="51"/>
        <v>0</v>
      </c>
      <c r="AJ48" s="44">
        <f t="shared" si="52"/>
        <v>0</v>
      </c>
      <c r="AK48" s="44">
        <f>HLOOKUP(I48,ElecAvoidedCostsWOCC!$A$5:$Q$50,G48+1,FALSE)*J48*L48</f>
        <v>0</v>
      </c>
      <c r="AL48" s="44">
        <f t="shared" si="53"/>
        <v>0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54"/>
        <v>0</v>
      </c>
      <c r="AO48" s="47">
        <f t="shared" si="55"/>
        <v>0</v>
      </c>
      <c r="AP48" s="47">
        <f t="shared" si="56"/>
        <v>0</v>
      </c>
    </row>
    <row r="49" spans="2:42">
      <c r="B49" s="97" t="s">
        <v>136</v>
      </c>
      <c r="C49" s="101">
        <v>18230723</v>
      </c>
      <c r="D49" s="101" t="s">
        <v>137</v>
      </c>
      <c r="E49" s="38" t="s">
        <v>1072</v>
      </c>
      <c r="F49" s="39" t="s">
        <v>1073</v>
      </c>
      <c r="G49" s="39">
        <v>3</v>
      </c>
      <c r="H49" s="39"/>
      <c r="I49" s="40" t="s">
        <v>261</v>
      </c>
      <c r="J49" s="41">
        <v>1</v>
      </c>
      <c r="K49" s="41"/>
      <c r="L49" s="41"/>
      <c r="M49" s="42">
        <v>2000</v>
      </c>
      <c r="N49" s="42">
        <v>2000</v>
      </c>
      <c r="O49" s="43">
        <v>0</v>
      </c>
      <c r="P49" s="44">
        <v>2000</v>
      </c>
      <c r="Q49" s="44">
        <v>2000</v>
      </c>
      <c r="R49" s="45"/>
      <c r="S49" s="46"/>
      <c r="T49" s="39">
        <f t="shared" si="38"/>
        <v>3</v>
      </c>
      <c r="U49" s="47">
        <f t="shared" si="39"/>
        <v>0</v>
      </c>
      <c r="V49" s="48">
        <f t="shared" si="40"/>
        <v>0</v>
      </c>
      <c r="W49" s="49">
        <f t="shared" si="41"/>
        <v>0</v>
      </c>
      <c r="X49" s="44">
        <f t="shared" si="42"/>
        <v>0</v>
      </c>
      <c r="Y49" s="44">
        <f t="shared" si="43"/>
        <v>0</v>
      </c>
      <c r="Z49" s="44">
        <f t="shared" si="44"/>
        <v>0</v>
      </c>
      <c r="AA49" s="50">
        <f t="shared" si="45"/>
        <v>2000</v>
      </c>
      <c r="AB49" s="51">
        <f t="shared" si="46"/>
        <v>0</v>
      </c>
      <c r="AC49" s="44">
        <f t="shared" si="47"/>
        <v>1869.6830887164624</v>
      </c>
      <c r="AD49" s="44">
        <f t="shared" si="48"/>
        <v>0</v>
      </c>
      <c r="AE49" s="44">
        <f t="shared" si="49"/>
        <v>0</v>
      </c>
      <c r="AF49" s="52">
        <f>HLOOKUP(I49,ElecAvoidedCostsWOCC!$A$5:$Q$50,G49+1,FALSE)</f>
        <v>0.31684706098619264</v>
      </c>
      <c r="AG49" s="44">
        <f t="shared" si="50"/>
        <v>0</v>
      </c>
      <c r="AH49" s="52">
        <f>HLOOKUP(I49,ElecAvoidedCostsWOCC!$A$5:$Q$50,T49+1,FALSE)</f>
        <v>0.31684706098619264</v>
      </c>
      <c r="AI49" s="44">
        <f t="shared" si="51"/>
        <v>0</v>
      </c>
      <c r="AJ49" s="44">
        <f t="shared" si="52"/>
        <v>0</v>
      </c>
      <c r="AK49" s="44">
        <f>HLOOKUP(I49,ElecAvoidedCostsWOCC!$A$5:$Q$50,G49+1,FALSE)*J49*L49</f>
        <v>0</v>
      </c>
      <c r="AL49" s="44">
        <f t="shared" si="53"/>
        <v>0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54"/>
        <v>0</v>
      </c>
      <c r="AO49" s="47">
        <f t="shared" si="55"/>
        <v>0</v>
      </c>
      <c r="AP49" s="47">
        <f t="shared" si="56"/>
        <v>0</v>
      </c>
    </row>
    <row r="50" spans="2:42">
      <c r="B50" s="97" t="s">
        <v>136</v>
      </c>
      <c r="C50" s="101">
        <v>18230723</v>
      </c>
      <c r="D50" s="101" t="s">
        <v>137</v>
      </c>
      <c r="E50" s="38" t="s">
        <v>1072</v>
      </c>
      <c r="F50" s="39" t="s">
        <v>1073</v>
      </c>
      <c r="G50" s="39">
        <v>3</v>
      </c>
      <c r="H50" s="39"/>
      <c r="I50" s="40" t="s">
        <v>261</v>
      </c>
      <c r="J50" s="41">
        <v>1</v>
      </c>
      <c r="K50" s="41"/>
      <c r="L50" s="41"/>
      <c r="M50" s="42">
        <v>3904</v>
      </c>
      <c r="N50" s="42">
        <v>3904</v>
      </c>
      <c r="O50" s="43">
        <v>0</v>
      </c>
      <c r="P50" s="44">
        <v>3904</v>
      </c>
      <c r="Q50" s="44">
        <v>3904</v>
      </c>
      <c r="R50" s="45"/>
      <c r="S50" s="46"/>
      <c r="T50" s="39">
        <f t="shared" si="38"/>
        <v>3</v>
      </c>
      <c r="U50" s="47">
        <f t="shared" si="39"/>
        <v>0</v>
      </c>
      <c r="V50" s="48">
        <f t="shared" si="40"/>
        <v>0</v>
      </c>
      <c r="W50" s="49">
        <f t="shared" si="41"/>
        <v>0</v>
      </c>
      <c r="X50" s="44">
        <f t="shared" si="42"/>
        <v>0</v>
      </c>
      <c r="Y50" s="44">
        <f t="shared" si="43"/>
        <v>0</v>
      </c>
      <c r="Z50" s="44">
        <f t="shared" si="44"/>
        <v>0</v>
      </c>
      <c r="AA50" s="50">
        <f t="shared" si="45"/>
        <v>3904</v>
      </c>
      <c r="AB50" s="51">
        <f t="shared" si="46"/>
        <v>0</v>
      </c>
      <c r="AC50" s="44">
        <f t="shared" si="47"/>
        <v>3649.6213891745347</v>
      </c>
      <c r="AD50" s="44">
        <f t="shared" si="48"/>
        <v>0</v>
      </c>
      <c r="AE50" s="44">
        <f t="shared" si="49"/>
        <v>0</v>
      </c>
      <c r="AF50" s="52">
        <f>HLOOKUP(I50,ElecAvoidedCostsWOCC!$A$5:$Q$50,G50+1,FALSE)</f>
        <v>0.31684706098619264</v>
      </c>
      <c r="AG50" s="44">
        <f t="shared" si="50"/>
        <v>0</v>
      </c>
      <c r="AH50" s="52">
        <f>HLOOKUP(I50,ElecAvoidedCostsWOCC!$A$5:$Q$50,T50+1,FALSE)</f>
        <v>0.31684706098619264</v>
      </c>
      <c r="AI50" s="44">
        <f t="shared" si="51"/>
        <v>0</v>
      </c>
      <c r="AJ50" s="44">
        <f t="shared" si="52"/>
        <v>0</v>
      </c>
      <c r="AK50" s="44">
        <f>HLOOKUP(I50,ElecAvoidedCostsWOCC!$A$5:$Q$50,G50+1,FALSE)*J50*L50</f>
        <v>0</v>
      </c>
      <c r="AL50" s="44">
        <f t="shared" si="53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54"/>
        <v>0</v>
      </c>
      <c r="AO50" s="47">
        <f t="shared" si="55"/>
        <v>0</v>
      </c>
      <c r="AP50" s="47">
        <f t="shared" si="56"/>
        <v>0</v>
      </c>
    </row>
    <row r="51" spans="2:42">
      <c r="B51" s="37"/>
      <c r="C51" s="101"/>
      <c r="D51" s="10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38"/>
        <v>0</v>
      </c>
      <c r="U51" s="47">
        <f t="shared" si="39"/>
        <v>0</v>
      </c>
      <c r="V51" s="48">
        <f t="shared" si="40"/>
        <v>0</v>
      </c>
      <c r="W51" s="49">
        <f t="shared" si="41"/>
        <v>0</v>
      </c>
      <c r="X51" s="44">
        <f t="shared" si="42"/>
        <v>0</v>
      </c>
      <c r="Y51" s="44">
        <f t="shared" si="43"/>
        <v>0</v>
      </c>
      <c r="Z51" s="44">
        <f t="shared" si="44"/>
        <v>0</v>
      </c>
      <c r="AA51" s="50">
        <f t="shared" si="45"/>
        <v>0</v>
      </c>
      <c r="AB51" s="51">
        <f t="shared" si="46"/>
        <v>0</v>
      </c>
      <c r="AC51" s="44">
        <f t="shared" si="47"/>
        <v>0</v>
      </c>
      <c r="AD51" s="44">
        <f t="shared" si="48"/>
        <v>0</v>
      </c>
      <c r="AE51" s="44">
        <f t="shared" si="49"/>
        <v>0</v>
      </c>
      <c r="AF51" s="52" t="e">
        <f>HLOOKUP(I51,ElecAvoidedCostsWOCC!$A$5:$Q$50,G51+1,FALSE)</f>
        <v>#N/A</v>
      </c>
      <c r="AG51" s="44" t="e">
        <f t="shared" si="50"/>
        <v>#N/A</v>
      </c>
      <c r="AH51" s="52" t="e">
        <f>HLOOKUP(I51,ElecAvoidedCostsWOCC!$A$5:$Q$50,T51+1,FALSE)</f>
        <v>#N/A</v>
      </c>
      <c r="AI51" s="44" t="e">
        <f t="shared" si="51"/>
        <v>#N/A</v>
      </c>
      <c r="AJ51" s="44" t="e">
        <f t="shared" si="52"/>
        <v>#N/A</v>
      </c>
      <c r="AK51" s="44" t="e">
        <f>HLOOKUP(I51,ElecAvoidedCostsWOCC!$A$5:$Q$50,G51+1,FALSE)*J51*L51</f>
        <v>#N/A</v>
      </c>
      <c r="AL51" s="44" t="e">
        <f t="shared" si="53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54"/>
        <v>0</v>
      </c>
      <c r="AO51" s="47">
        <f t="shared" si="55"/>
        <v>0</v>
      </c>
      <c r="AP51" s="47" t="e">
        <f t="shared" si="56"/>
        <v>#DIV/0!</v>
      </c>
    </row>
    <row r="52" spans="2:42">
      <c r="B52" s="37"/>
      <c r="C52" s="101"/>
      <c r="D52" s="10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38"/>
        <v>0</v>
      </c>
      <c r="U52" s="47">
        <f t="shared" si="39"/>
        <v>0</v>
      </c>
      <c r="V52" s="48">
        <f t="shared" si="40"/>
        <v>0</v>
      </c>
      <c r="W52" s="49">
        <f t="shared" si="41"/>
        <v>0</v>
      </c>
      <c r="X52" s="44">
        <f t="shared" si="42"/>
        <v>0</v>
      </c>
      <c r="Y52" s="44">
        <f t="shared" si="43"/>
        <v>0</v>
      </c>
      <c r="Z52" s="44">
        <f t="shared" si="44"/>
        <v>0</v>
      </c>
      <c r="AA52" s="50">
        <f t="shared" si="45"/>
        <v>0</v>
      </c>
      <c r="AB52" s="51">
        <f t="shared" si="46"/>
        <v>0</v>
      </c>
      <c r="AC52" s="44">
        <f t="shared" si="47"/>
        <v>0</v>
      </c>
      <c r="AD52" s="44">
        <f t="shared" si="48"/>
        <v>0</v>
      </c>
      <c r="AE52" s="44">
        <f t="shared" si="49"/>
        <v>0</v>
      </c>
      <c r="AF52" s="52" t="e">
        <f>HLOOKUP(I52,ElecAvoidedCostsWOCC!$A$5:$Q$50,G52+1,FALSE)</f>
        <v>#N/A</v>
      </c>
      <c r="AG52" s="44" t="e">
        <f t="shared" si="50"/>
        <v>#N/A</v>
      </c>
      <c r="AH52" s="52" t="e">
        <f>HLOOKUP(I52,ElecAvoidedCostsWOCC!$A$5:$Q$50,T52+1,FALSE)</f>
        <v>#N/A</v>
      </c>
      <c r="AI52" s="44" t="e">
        <f t="shared" si="51"/>
        <v>#N/A</v>
      </c>
      <c r="AJ52" s="44" t="e">
        <f t="shared" si="52"/>
        <v>#N/A</v>
      </c>
      <c r="AK52" s="44" t="e">
        <f>HLOOKUP(I52,ElecAvoidedCostsWOCC!$A$5:$Q$50,G52+1,FALSE)*J52*L52</f>
        <v>#N/A</v>
      </c>
      <c r="AL52" s="44" t="e">
        <f t="shared" si="53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54"/>
        <v>0</v>
      </c>
      <c r="AO52" s="47">
        <f t="shared" si="55"/>
        <v>0</v>
      </c>
      <c r="AP52" s="47" t="e">
        <f t="shared" si="56"/>
        <v>#DIV/0!</v>
      </c>
    </row>
    <row r="53" spans="2:42">
      <c r="B53" s="37"/>
      <c r="C53" s="101"/>
      <c r="D53" s="10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38"/>
        <v>0</v>
      </c>
      <c r="U53" s="47">
        <f t="shared" si="39"/>
        <v>0</v>
      </c>
      <c r="V53" s="48">
        <f t="shared" si="40"/>
        <v>0</v>
      </c>
      <c r="W53" s="49">
        <f t="shared" si="41"/>
        <v>0</v>
      </c>
      <c r="X53" s="44">
        <f t="shared" si="42"/>
        <v>0</v>
      </c>
      <c r="Y53" s="44">
        <f t="shared" si="43"/>
        <v>0</v>
      </c>
      <c r="Z53" s="44">
        <f t="shared" si="44"/>
        <v>0</v>
      </c>
      <c r="AA53" s="50">
        <f t="shared" si="45"/>
        <v>0</v>
      </c>
      <c r="AB53" s="51">
        <f t="shared" si="46"/>
        <v>0</v>
      </c>
      <c r="AC53" s="44">
        <f t="shared" si="47"/>
        <v>0</v>
      </c>
      <c r="AD53" s="44">
        <f t="shared" si="48"/>
        <v>0</v>
      </c>
      <c r="AE53" s="44">
        <f t="shared" si="49"/>
        <v>0</v>
      </c>
      <c r="AF53" s="52" t="e">
        <f>HLOOKUP(I53,ElecAvoidedCostsWOCC!$A$5:$Q$50,G53+1,FALSE)</f>
        <v>#N/A</v>
      </c>
      <c r="AG53" s="44" t="e">
        <f t="shared" si="50"/>
        <v>#N/A</v>
      </c>
      <c r="AH53" s="52" t="e">
        <f>HLOOKUP(I53,ElecAvoidedCostsWOCC!$A$5:$Q$50,T53+1,FALSE)</f>
        <v>#N/A</v>
      </c>
      <c r="AI53" s="44" t="e">
        <f t="shared" si="51"/>
        <v>#N/A</v>
      </c>
      <c r="AJ53" s="44" t="e">
        <f t="shared" si="52"/>
        <v>#N/A</v>
      </c>
      <c r="AK53" s="44" t="e">
        <f>HLOOKUP(I53,ElecAvoidedCostsWOCC!$A$5:$Q$50,G53+1,FALSE)*J53*L53</f>
        <v>#N/A</v>
      </c>
      <c r="AL53" s="44" t="e">
        <f t="shared" si="53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54"/>
        <v>0</v>
      </c>
      <c r="AO53" s="47">
        <f t="shared" si="55"/>
        <v>0</v>
      </c>
      <c r="AP53" s="47" t="e">
        <f t="shared" si="56"/>
        <v>#DIV/0!</v>
      </c>
    </row>
    <row r="54" spans="2:42">
      <c r="B54" s="37"/>
      <c r="C54" s="101"/>
      <c r="D54" s="10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38"/>
        <v>0</v>
      </c>
      <c r="U54" s="47">
        <f t="shared" si="39"/>
        <v>0</v>
      </c>
      <c r="V54" s="48">
        <f t="shared" si="40"/>
        <v>0</v>
      </c>
      <c r="W54" s="49">
        <f t="shared" si="41"/>
        <v>0</v>
      </c>
      <c r="X54" s="44">
        <f t="shared" si="42"/>
        <v>0</v>
      </c>
      <c r="Y54" s="44">
        <f t="shared" si="43"/>
        <v>0</v>
      </c>
      <c r="Z54" s="44">
        <f t="shared" si="44"/>
        <v>0</v>
      </c>
      <c r="AA54" s="50">
        <f t="shared" si="45"/>
        <v>0</v>
      </c>
      <c r="AB54" s="51">
        <f t="shared" si="46"/>
        <v>0</v>
      </c>
      <c r="AC54" s="44">
        <f t="shared" si="47"/>
        <v>0</v>
      </c>
      <c r="AD54" s="44">
        <f t="shared" si="48"/>
        <v>0</v>
      </c>
      <c r="AE54" s="44">
        <f t="shared" si="49"/>
        <v>0</v>
      </c>
      <c r="AF54" s="52" t="e">
        <f>HLOOKUP(I54,ElecAvoidedCostsWOCC!$A$5:$Q$50,G54+1,FALSE)</f>
        <v>#N/A</v>
      </c>
      <c r="AG54" s="44" t="e">
        <f t="shared" si="50"/>
        <v>#N/A</v>
      </c>
      <c r="AH54" s="52" t="e">
        <f>HLOOKUP(I54,ElecAvoidedCostsWOCC!$A$5:$Q$50,T54+1,FALSE)</f>
        <v>#N/A</v>
      </c>
      <c r="AI54" s="44" t="e">
        <f t="shared" si="51"/>
        <v>#N/A</v>
      </c>
      <c r="AJ54" s="44" t="e">
        <f t="shared" si="52"/>
        <v>#N/A</v>
      </c>
      <c r="AK54" s="44" t="e">
        <f>HLOOKUP(I54,ElecAvoidedCostsWOCC!$A$5:$Q$50,G54+1,FALSE)*J54*L54</f>
        <v>#N/A</v>
      </c>
      <c r="AL54" s="44" t="e">
        <f t="shared" si="53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54"/>
        <v>0</v>
      </c>
      <c r="AO54" s="47">
        <f t="shared" si="55"/>
        <v>0</v>
      </c>
      <c r="AP54" s="47" t="e">
        <f t="shared" si="56"/>
        <v>#DIV/0!</v>
      </c>
    </row>
    <row r="55" spans="2:42">
      <c r="B55" s="37"/>
      <c r="C55" s="101"/>
      <c r="D55" s="10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38"/>
        <v>0</v>
      </c>
      <c r="U55" s="47">
        <f t="shared" si="39"/>
        <v>0</v>
      </c>
      <c r="V55" s="48">
        <f t="shared" si="40"/>
        <v>0</v>
      </c>
      <c r="W55" s="49">
        <f t="shared" si="41"/>
        <v>0</v>
      </c>
      <c r="X55" s="44">
        <f t="shared" si="42"/>
        <v>0</v>
      </c>
      <c r="Y55" s="44">
        <f t="shared" si="43"/>
        <v>0</v>
      </c>
      <c r="Z55" s="44">
        <f t="shared" si="44"/>
        <v>0</v>
      </c>
      <c r="AA55" s="50">
        <f t="shared" si="45"/>
        <v>0</v>
      </c>
      <c r="AB55" s="51">
        <f t="shared" si="46"/>
        <v>0</v>
      </c>
      <c r="AC55" s="44">
        <f t="shared" si="47"/>
        <v>0</v>
      </c>
      <c r="AD55" s="44">
        <f t="shared" si="48"/>
        <v>0</v>
      </c>
      <c r="AE55" s="44">
        <f t="shared" si="49"/>
        <v>0</v>
      </c>
      <c r="AF55" s="52" t="e">
        <f>HLOOKUP(I55,ElecAvoidedCostsWOCC!$A$5:$Q$50,G55+1,FALSE)</f>
        <v>#N/A</v>
      </c>
      <c r="AG55" s="44" t="e">
        <f t="shared" si="50"/>
        <v>#N/A</v>
      </c>
      <c r="AH55" s="52" t="e">
        <f>HLOOKUP(I55,ElecAvoidedCostsWOCC!$A$5:$Q$50,T55+1,FALSE)</f>
        <v>#N/A</v>
      </c>
      <c r="AI55" s="44" t="e">
        <f t="shared" si="51"/>
        <v>#N/A</v>
      </c>
      <c r="AJ55" s="44" t="e">
        <f t="shared" si="52"/>
        <v>#N/A</v>
      </c>
      <c r="AK55" s="44" t="e">
        <f>HLOOKUP(I55,ElecAvoidedCostsWOCC!$A$5:$Q$50,G55+1,FALSE)*J55*L55</f>
        <v>#N/A</v>
      </c>
      <c r="AL55" s="44" t="e">
        <f t="shared" si="53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54"/>
        <v>0</v>
      </c>
      <c r="AO55" s="47">
        <f t="shared" si="55"/>
        <v>0</v>
      </c>
      <c r="AP55" s="47" t="e">
        <f t="shared" si="56"/>
        <v>#DIV/0!</v>
      </c>
    </row>
    <row r="56" spans="2:42">
      <c r="B56" s="37"/>
      <c r="C56" s="101"/>
      <c r="D56" s="10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38"/>
        <v>0</v>
      </c>
      <c r="U56" s="47">
        <f t="shared" si="39"/>
        <v>0</v>
      </c>
      <c r="V56" s="48">
        <f t="shared" si="40"/>
        <v>0</v>
      </c>
      <c r="W56" s="49">
        <f t="shared" si="41"/>
        <v>0</v>
      </c>
      <c r="X56" s="44">
        <f t="shared" si="42"/>
        <v>0</v>
      </c>
      <c r="Y56" s="44">
        <f t="shared" si="43"/>
        <v>0</v>
      </c>
      <c r="Z56" s="44">
        <f t="shared" si="44"/>
        <v>0</v>
      </c>
      <c r="AA56" s="50">
        <f t="shared" si="45"/>
        <v>0</v>
      </c>
      <c r="AB56" s="51">
        <f t="shared" si="46"/>
        <v>0</v>
      </c>
      <c r="AC56" s="44">
        <f t="shared" si="47"/>
        <v>0</v>
      </c>
      <c r="AD56" s="44">
        <f t="shared" si="48"/>
        <v>0</v>
      </c>
      <c r="AE56" s="44">
        <f t="shared" si="49"/>
        <v>0</v>
      </c>
      <c r="AF56" s="52" t="e">
        <f>HLOOKUP(I56,ElecAvoidedCostsWOCC!$A$5:$Q$50,G56+1,FALSE)</f>
        <v>#N/A</v>
      </c>
      <c r="AG56" s="44" t="e">
        <f t="shared" si="50"/>
        <v>#N/A</v>
      </c>
      <c r="AH56" s="52" t="e">
        <f>HLOOKUP(I56,ElecAvoidedCostsWOCC!$A$5:$Q$50,T56+1,FALSE)</f>
        <v>#N/A</v>
      </c>
      <c r="AI56" s="44" t="e">
        <f t="shared" si="51"/>
        <v>#N/A</v>
      </c>
      <c r="AJ56" s="44" t="e">
        <f t="shared" si="52"/>
        <v>#N/A</v>
      </c>
      <c r="AK56" s="44" t="e">
        <f>HLOOKUP(I56,ElecAvoidedCostsWOCC!$A$5:$Q$50,G56+1,FALSE)*J56*L56</f>
        <v>#N/A</v>
      </c>
      <c r="AL56" s="44" t="e">
        <f t="shared" si="53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54"/>
        <v>0</v>
      </c>
      <c r="AO56" s="47">
        <f t="shared" si="55"/>
        <v>0</v>
      </c>
      <c r="AP56" s="47" t="e">
        <f t="shared" si="56"/>
        <v>#DIV/0!</v>
      </c>
    </row>
    <row r="57" spans="2:42">
      <c r="B57" s="37"/>
      <c r="C57" s="101"/>
      <c r="D57" s="10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38"/>
        <v>0</v>
      </c>
      <c r="U57" s="47">
        <f t="shared" si="39"/>
        <v>0</v>
      </c>
      <c r="V57" s="48">
        <f t="shared" si="40"/>
        <v>0</v>
      </c>
      <c r="W57" s="49">
        <f t="shared" si="41"/>
        <v>0</v>
      </c>
      <c r="X57" s="44">
        <f t="shared" si="42"/>
        <v>0</v>
      </c>
      <c r="Y57" s="44">
        <f t="shared" si="43"/>
        <v>0</v>
      </c>
      <c r="Z57" s="44">
        <f t="shared" si="44"/>
        <v>0</v>
      </c>
      <c r="AA57" s="50">
        <f t="shared" si="45"/>
        <v>0</v>
      </c>
      <c r="AB57" s="51">
        <f t="shared" si="46"/>
        <v>0</v>
      </c>
      <c r="AC57" s="44">
        <f t="shared" si="47"/>
        <v>0</v>
      </c>
      <c r="AD57" s="44">
        <f t="shared" si="48"/>
        <v>0</v>
      </c>
      <c r="AE57" s="44">
        <f t="shared" si="49"/>
        <v>0</v>
      </c>
      <c r="AF57" s="52" t="e">
        <f>HLOOKUP(I57,ElecAvoidedCostsWOCC!$A$5:$Q$50,G57+1,FALSE)</f>
        <v>#N/A</v>
      </c>
      <c r="AG57" s="44" t="e">
        <f t="shared" si="50"/>
        <v>#N/A</v>
      </c>
      <c r="AH57" s="52" t="e">
        <f>HLOOKUP(I57,ElecAvoidedCostsWOCC!$A$5:$Q$50,T57+1,FALSE)</f>
        <v>#N/A</v>
      </c>
      <c r="AI57" s="44" t="e">
        <f t="shared" si="51"/>
        <v>#N/A</v>
      </c>
      <c r="AJ57" s="44" t="e">
        <f t="shared" si="52"/>
        <v>#N/A</v>
      </c>
      <c r="AK57" s="44" t="e">
        <f>HLOOKUP(I57,ElecAvoidedCostsWOCC!$A$5:$Q$50,G57+1,FALSE)*J57*L57</f>
        <v>#N/A</v>
      </c>
      <c r="AL57" s="44" t="e">
        <f t="shared" si="5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54"/>
        <v>0</v>
      </c>
      <c r="AO57" s="47">
        <f t="shared" si="55"/>
        <v>0</v>
      </c>
      <c r="AP57" s="47" t="e">
        <f t="shared" si="56"/>
        <v>#DIV/0!</v>
      </c>
    </row>
    <row r="58" spans="2:42">
      <c r="B58" s="37"/>
      <c r="C58" s="101"/>
      <c r="D58" s="10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38"/>
        <v>0</v>
      </c>
      <c r="U58" s="47">
        <f t="shared" si="39"/>
        <v>0</v>
      </c>
      <c r="V58" s="48">
        <f t="shared" si="40"/>
        <v>0</v>
      </c>
      <c r="W58" s="49">
        <f t="shared" si="41"/>
        <v>0</v>
      </c>
      <c r="X58" s="44">
        <f t="shared" si="42"/>
        <v>0</v>
      </c>
      <c r="Y58" s="44">
        <f t="shared" si="43"/>
        <v>0</v>
      </c>
      <c r="Z58" s="44">
        <f t="shared" si="44"/>
        <v>0</v>
      </c>
      <c r="AA58" s="50">
        <f t="shared" si="45"/>
        <v>0</v>
      </c>
      <c r="AB58" s="51">
        <f t="shared" si="46"/>
        <v>0</v>
      </c>
      <c r="AC58" s="44">
        <f t="shared" si="47"/>
        <v>0</v>
      </c>
      <c r="AD58" s="44">
        <f t="shared" si="48"/>
        <v>0</v>
      </c>
      <c r="AE58" s="44">
        <f t="shared" si="49"/>
        <v>0</v>
      </c>
      <c r="AF58" s="52" t="e">
        <f>HLOOKUP(I58,ElecAvoidedCostsWOCC!$A$5:$Q$50,G58+1,FALSE)</f>
        <v>#N/A</v>
      </c>
      <c r="AG58" s="44" t="e">
        <f t="shared" si="50"/>
        <v>#N/A</v>
      </c>
      <c r="AH58" s="52" t="e">
        <f>HLOOKUP(I58,ElecAvoidedCostsWOCC!$A$5:$Q$50,T58+1,FALSE)</f>
        <v>#N/A</v>
      </c>
      <c r="AI58" s="44" t="e">
        <f t="shared" si="51"/>
        <v>#N/A</v>
      </c>
      <c r="AJ58" s="44" t="e">
        <f t="shared" si="52"/>
        <v>#N/A</v>
      </c>
      <c r="AK58" s="44" t="e">
        <f>HLOOKUP(I58,ElecAvoidedCostsWOCC!$A$5:$Q$50,G58+1,FALSE)*J58*L58</f>
        <v>#N/A</v>
      </c>
      <c r="AL58" s="44" t="e">
        <f t="shared" si="53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54"/>
        <v>0</v>
      </c>
      <c r="AO58" s="47">
        <f t="shared" si="55"/>
        <v>0</v>
      </c>
      <c r="AP58" s="47" t="e">
        <f t="shared" si="56"/>
        <v>#DIV/0!</v>
      </c>
    </row>
    <row r="59" spans="2:42">
      <c r="B59" s="37"/>
      <c r="C59" s="101"/>
      <c r="D59" s="10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38"/>
        <v>0</v>
      </c>
      <c r="U59" s="47">
        <f t="shared" si="39"/>
        <v>0</v>
      </c>
      <c r="V59" s="48">
        <f t="shared" si="40"/>
        <v>0</v>
      </c>
      <c r="W59" s="49">
        <f t="shared" si="41"/>
        <v>0</v>
      </c>
      <c r="X59" s="44">
        <f t="shared" si="42"/>
        <v>0</v>
      </c>
      <c r="Y59" s="44">
        <f t="shared" si="43"/>
        <v>0</v>
      </c>
      <c r="Z59" s="44">
        <f t="shared" si="44"/>
        <v>0</v>
      </c>
      <c r="AA59" s="50">
        <f t="shared" si="45"/>
        <v>0</v>
      </c>
      <c r="AB59" s="51">
        <f t="shared" si="46"/>
        <v>0</v>
      </c>
      <c r="AC59" s="44">
        <f t="shared" si="47"/>
        <v>0</v>
      </c>
      <c r="AD59" s="44">
        <f t="shared" si="48"/>
        <v>0</v>
      </c>
      <c r="AE59" s="44">
        <f t="shared" si="49"/>
        <v>0</v>
      </c>
      <c r="AF59" s="52" t="e">
        <f>HLOOKUP(I59,ElecAvoidedCostsWOCC!$A$5:$Q$50,G59+1,FALSE)</f>
        <v>#N/A</v>
      </c>
      <c r="AG59" s="44" t="e">
        <f t="shared" si="50"/>
        <v>#N/A</v>
      </c>
      <c r="AH59" s="52" t="e">
        <f>HLOOKUP(I59,ElecAvoidedCostsWOCC!$A$5:$Q$50,T59+1,FALSE)</f>
        <v>#N/A</v>
      </c>
      <c r="AI59" s="44" t="e">
        <f t="shared" si="51"/>
        <v>#N/A</v>
      </c>
      <c r="AJ59" s="44" t="e">
        <f t="shared" si="52"/>
        <v>#N/A</v>
      </c>
      <c r="AK59" s="44" t="e">
        <f>HLOOKUP(I59,ElecAvoidedCostsWOCC!$A$5:$Q$50,G59+1,FALSE)*J59*L59</f>
        <v>#N/A</v>
      </c>
      <c r="AL59" s="44" t="e">
        <f t="shared" si="53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54"/>
        <v>0</v>
      </c>
      <c r="AO59" s="47">
        <f t="shared" si="55"/>
        <v>0</v>
      </c>
      <c r="AP59" s="47" t="e">
        <f t="shared" si="56"/>
        <v>#DIV/0!</v>
      </c>
    </row>
    <row r="60" spans="2:42">
      <c r="B60" s="37"/>
      <c r="C60" s="101"/>
      <c r="D60" s="10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38"/>
        <v>0</v>
      </c>
      <c r="U60" s="47">
        <f t="shared" si="39"/>
        <v>0</v>
      </c>
      <c r="V60" s="48">
        <f t="shared" si="40"/>
        <v>0</v>
      </c>
      <c r="W60" s="49">
        <f t="shared" si="41"/>
        <v>0</v>
      </c>
      <c r="X60" s="44">
        <f t="shared" si="42"/>
        <v>0</v>
      </c>
      <c r="Y60" s="44">
        <f t="shared" si="43"/>
        <v>0</v>
      </c>
      <c r="Z60" s="44">
        <f t="shared" si="44"/>
        <v>0</v>
      </c>
      <c r="AA60" s="50">
        <f t="shared" si="45"/>
        <v>0</v>
      </c>
      <c r="AB60" s="51">
        <f t="shared" si="46"/>
        <v>0</v>
      </c>
      <c r="AC60" s="44">
        <f t="shared" si="47"/>
        <v>0</v>
      </c>
      <c r="AD60" s="44">
        <f t="shared" si="48"/>
        <v>0</v>
      </c>
      <c r="AE60" s="44">
        <f t="shared" si="49"/>
        <v>0</v>
      </c>
      <c r="AF60" s="52" t="e">
        <f>HLOOKUP(I60,ElecAvoidedCostsWOCC!$A$5:$Q$50,G60+1,FALSE)</f>
        <v>#N/A</v>
      </c>
      <c r="AG60" s="44" t="e">
        <f t="shared" si="50"/>
        <v>#N/A</v>
      </c>
      <c r="AH60" s="52" t="e">
        <f>HLOOKUP(I60,ElecAvoidedCostsWOCC!$A$5:$Q$50,T60+1,FALSE)</f>
        <v>#N/A</v>
      </c>
      <c r="AI60" s="44" t="e">
        <f t="shared" si="51"/>
        <v>#N/A</v>
      </c>
      <c r="AJ60" s="44" t="e">
        <f t="shared" si="52"/>
        <v>#N/A</v>
      </c>
      <c r="AK60" s="44" t="e">
        <f>HLOOKUP(I60,ElecAvoidedCostsWOCC!$A$5:$Q$50,G60+1,FALSE)*J60*L60</f>
        <v>#N/A</v>
      </c>
      <c r="AL60" s="44" t="e">
        <f t="shared" si="53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54"/>
        <v>0</v>
      </c>
      <c r="AO60" s="47">
        <f t="shared" si="55"/>
        <v>0</v>
      </c>
      <c r="AP60" s="47" t="e">
        <f t="shared" si="56"/>
        <v>#DIV/0!</v>
      </c>
    </row>
    <row r="61" spans="2:42">
      <c r="B61" s="37"/>
      <c r="C61" s="101"/>
      <c r="D61" s="10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38"/>
        <v>0</v>
      </c>
      <c r="U61" s="47">
        <f t="shared" si="39"/>
        <v>0</v>
      </c>
      <c r="V61" s="48">
        <f t="shared" si="40"/>
        <v>0</v>
      </c>
      <c r="W61" s="49">
        <f t="shared" si="41"/>
        <v>0</v>
      </c>
      <c r="X61" s="44">
        <f t="shared" si="42"/>
        <v>0</v>
      </c>
      <c r="Y61" s="44">
        <f t="shared" si="43"/>
        <v>0</v>
      </c>
      <c r="Z61" s="44">
        <f t="shared" si="44"/>
        <v>0</v>
      </c>
      <c r="AA61" s="50">
        <f t="shared" si="45"/>
        <v>0</v>
      </c>
      <c r="AB61" s="51">
        <f t="shared" si="46"/>
        <v>0</v>
      </c>
      <c r="AC61" s="44">
        <f t="shared" si="47"/>
        <v>0</v>
      </c>
      <c r="AD61" s="44">
        <f t="shared" si="48"/>
        <v>0</v>
      </c>
      <c r="AE61" s="44">
        <f t="shared" si="49"/>
        <v>0</v>
      </c>
      <c r="AF61" s="52" t="e">
        <f>HLOOKUP(I61,ElecAvoidedCostsWOCC!$A$5:$Q$50,G61+1,FALSE)</f>
        <v>#N/A</v>
      </c>
      <c r="AG61" s="44" t="e">
        <f t="shared" si="50"/>
        <v>#N/A</v>
      </c>
      <c r="AH61" s="52" t="e">
        <f>HLOOKUP(I61,ElecAvoidedCostsWOCC!$A$5:$Q$50,T61+1,FALSE)</f>
        <v>#N/A</v>
      </c>
      <c r="AI61" s="44" t="e">
        <f t="shared" si="51"/>
        <v>#N/A</v>
      </c>
      <c r="AJ61" s="44" t="e">
        <f t="shared" si="52"/>
        <v>#N/A</v>
      </c>
      <c r="AK61" s="44" t="e">
        <f>HLOOKUP(I61,ElecAvoidedCostsWOCC!$A$5:$Q$50,G61+1,FALSE)*J61*L61</f>
        <v>#N/A</v>
      </c>
      <c r="AL61" s="44" t="e">
        <f t="shared" si="53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54"/>
        <v>0</v>
      </c>
      <c r="AO61" s="47">
        <f t="shared" si="55"/>
        <v>0</v>
      </c>
      <c r="AP61" s="47" t="e">
        <f t="shared" si="56"/>
        <v>#DIV/0!</v>
      </c>
    </row>
    <row r="62" spans="2:42">
      <c r="B62" s="37"/>
      <c r="C62" s="101"/>
      <c r="D62" s="10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8"/>
        <v>0</v>
      </c>
      <c r="U62" s="47">
        <f t="shared" si="39"/>
        <v>0</v>
      </c>
      <c r="V62" s="48">
        <f t="shared" si="40"/>
        <v>0</v>
      </c>
      <c r="W62" s="49">
        <f t="shared" si="41"/>
        <v>0</v>
      </c>
      <c r="X62" s="44">
        <f t="shared" si="42"/>
        <v>0</v>
      </c>
      <c r="Y62" s="44">
        <f t="shared" si="43"/>
        <v>0</v>
      </c>
      <c r="Z62" s="44">
        <f t="shared" si="44"/>
        <v>0</v>
      </c>
      <c r="AA62" s="50">
        <f t="shared" si="45"/>
        <v>0</v>
      </c>
      <c r="AB62" s="51">
        <f t="shared" si="46"/>
        <v>0</v>
      </c>
      <c r="AC62" s="44">
        <f t="shared" si="47"/>
        <v>0</v>
      </c>
      <c r="AD62" s="44">
        <f t="shared" si="48"/>
        <v>0</v>
      </c>
      <c r="AE62" s="44">
        <f t="shared" si="49"/>
        <v>0</v>
      </c>
      <c r="AF62" s="52" t="e">
        <f>HLOOKUP(I62,ElecAvoidedCostsWOCC!$A$5:$Q$50,G62+1,FALSE)</f>
        <v>#N/A</v>
      </c>
      <c r="AG62" s="44" t="e">
        <f t="shared" si="50"/>
        <v>#N/A</v>
      </c>
      <c r="AH62" s="52" t="e">
        <f>HLOOKUP(I62,ElecAvoidedCostsWOCC!$A$5:$Q$50,T62+1,FALSE)</f>
        <v>#N/A</v>
      </c>
      <c r="AI62" s="44" t="e">
        <f t="shared" si="51"/>
        <v>#N/A</v>
      </c>
      <c r="AJ62" s="44" t="e">
        <f t="shared" si="52"/>
        <v>#N/A</v>
      </c>
      <c r="AK62" s="44" t="e">
        <f>HLOOKUP(I62,ElecAvoidedCostsWOCC!$A$5:$Q$50,G62+1,FALSE)*J62*L62</f>
        <v>#N/A</v>
      </c>
      <c r="AL62" s="44" t="e">
        <f t="shared" si="53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4"/>
        <v>0</v>
      </c>
      <c r="AO62" s="47">
        <f t="shared" si="55"/>
        <v>0</v>
      </c>
      <c r="AP62" s="47" t="e">
        <f t="shared" si="56"/>
        <v>#DIV/0!</v>
      </c>
    </row>
    <row r="63" spans="2:42">
      <c r="B63" s="37"/>
      <c r="C63" s="101"/>
      <c r="D63" s="10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8"/>
        <v>0</v>
      </c>
      <c r="U63" s="47">
        <f t="shared" si="39"/>
        <v>0</v>
      </c>
      <c r="V63" s="48">
        <f t="shared" si="40"/>
        <v>0</v>
      </c>
      <c r="W63" s="49">
        <f t="shared" si="41"/>
        <v>0</v>
      </c>
      <c r="X63" s="44">
        <f t="shared" si="42"/>
        <v>0</v>
      </c>
      <c r="Y63" s="44">
        <f t="shared" si="43"/>
        <v>0</v>
      </c>
      <c r="Z63" s="44">
        <f t="shared" si="44"/>
        <v>0</v>
      </c>
      <c r="AA63" s="50">
        <f t="shared" si="45"/>
        <v>0</v>
      </c>
      <c r="AB63" s="51">
        <f t="shared" si="46"/>
        <v>0</v>
      </c>
      <c r="AC63" s="44">
        <f t="shared" si="47"/>
        <v>0</v>
      </c>
      <c r="AD63" s="44">
        <f t="shared" si="48"/>
        <v>0</v>
      </c>
      <c r="AE63" s="44">
        <f t="shared" si="49"/>
        <v>0</v>
      </c>
      <c r="AF63" s="52" t="e">
        <f>HLOOKUP(I63,ElecAvoidedCostsWOCC!$A$5:$Q$50,G63+1,FALSE)</f>
        <v>#N/A</v>
      </c>
      <c r="AG63" s="44" t="e">
        <f t="shared" si="50"/>
        <v>#N/A</v>
      </c>
      <c r="AH63" s="52" t="e">
        <f>HLOOKUP(I63,ElecAvoidedCostsWOCC!$A$5:$Q$50,T63+1,FALSE)</f>
        <v>#N/A</v>
      </c>
      <c r="AI63" s="44" t="e">
        <f t="shared" si="51"/>
        <v>#N/A</v>
      </c>
      <c r="AJ63" s="44" t="e">
        <f t="shared" si="52"/>
        <v>#N/A</v>
      </c>
      <c r="AK63" s="44" t="e">
        <f>HLOOKUP(I63,ElecAvoidedCostsWOCC!$A$5:$Q$50,G63+1,FALSE)*J63*L63</f>
        <v>#N/A</v>
      </c>
      <c r="AL63" s="44" t="e">
        <f t="shared" si="53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54"/>
        <v>0</v>
      </c>
      <c r="AO63" s="47">
        <f t="shared" si="55"/>
        <v>0</v>
      </c>
      <c r="AP63" s="47" t="e">
        <f t="shared" si="56"/>
        <v>#DIV/0!</v>
      </c>
    </row>
    <row r="64" spans="2:42">
      <c r="B64" s="37"/>
      <c r="C64" s="101"/>
      <c r="D64" s="10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8"/>
        <v>0</v>
      </c>
      <c r="U64" s="47">
        <f t="shared" si="39"/>
        <v>0</v>
      </c>
      <c r="V64" s="48">
        <f t="shared" si="40"/>
        <v>0</v>
      </c>
      <c r="W64" s="49">
        <f t="shared" si="41"/>
        <v>0</v>
      </c>
      <c r="X64" s="44">
        <f t="shared" si="42"/>
        <v>0</v>
      </c>
      <c r="Y64" s="44">
        <f t="shared" si="43"/>
        <v>0</v>
      </c>
      <c r="Z64" s="44">
        <f t="shared" si="44"/>
        <v>0</v>
      </c>
      <c r="AA64" s="50">
        <f t="shared" si="45"/>
        <v>0</v>
      </c>
      <c r="AB64" s="51">
        <f t="shared" si="46"/>
        <v>0</v>
      </c>
      <c r="AC64" s="44">
        <f t="shared" si="47"/>
        <v>0</v>
      </c>
      <c r="AD64" s="44">
        <f t="shared" si="48"/>
        <v>0</v>
      </c>
      <c r="AE64" s="44">
        <f t="shared" si="49"/>
        <v>0</v>
      </c>
      <c r="AF64" s="52" t="e">
        <f>HLOOKUP(I64,ElecAvoidedCostsWOCC!$A$5:$Q$50,G64+1,FALSE)</f>
        <v>#N/A</v>
      </c>
      <c r="AG64" s="44" t="e">
        <f t="shared" si="50"/>
        <v>#N/A</v>
      </c>
      <c r="AH64" s="52" t="e">
        <f>HLOOKUP(I64,ElecAvoidedCostsWOCC!$A$5:$Q$50,T64+1,FALSE)</f>
        <v>#N/A</v>
      </c>
      <c r="AI64" s="44" t="e">
        <f t="shared" si="51"/>
        <v>#N/A</v>
      </c>
      <c r="AJ64" s="44" t="e">
        <f t="shared" si="52"/>
        <v>#N/A</v>
      </c>
      <c r="AK64" s="44" t="e">
        <f>HLOOKUP(I64,ElecAvoidedCostsWOCC!$A$5:$Q$50,G64+1,FALSE)*J64*L64</f>
        <v>#N/A</v>
      </c>
      <c r="AL64" s="44" t="e">
        <f t="shared" si="53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54"/>
        <v>0</v>
      </c>
      <c r="AO64" s="47">
        <f t="shared" si="55"/>
        <v>0</v>
      </c>
      <c r="AP64" s="47" t="e">
        <f t="shared" si="56"/>
        <v>#DIV/0!</v>
      </c>
    </row>
  </sheetData>
  <conditionalFormatting sqref="J5:L64">
    <cfRule type="expression" dxfId="219" priority="4">
      <formula>ISTEXT(J5)</formula>
    </cfRule>
    <cfRule type="notContainsBlanks" dxfId="218" priority="5">
      <formula>LEN(TRIM(J5))&gt;0</formula>
    </cfRule>
  </conditionalFormatting>
  <conditionalFormatting sqref="R5:S64 M5:N64">
    <cfRule type="expression" dxfId="217" priority="2">
      <formula>ISTEXT(M5)</formula>
    </cfRule>
  </conditionalFormatting>
  <conditionalFormatting sqref="R5:S64 M5:N64">
    <cfRule type="notContainsBlanks" dxfId="216" priority="3">
      <formula>LEN(TRIM(M5))&gt;0</formula>
    </cfRule>
  </conditionalFormatting>
  <conditionalFormatting sqref="R5:S64">
    <cfRule type="expression" dxfId="21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B5" sqref="B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18236102</v>
      </c>
      <c r="D2" s="20" t="s">
        <v>509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/>
      <c r="C5" s="98">
        <v>18236102</v>
      </c>
      <c r="D5" s="61" t="s">
        <v>509</v>
      </c>
      <c r="E5" s="38" t="s">
        <v>1074</v>
      </c>
      <c r="F5" s="39" t="s">
        <v>1075</v>
      </c>
      <c r="G5" s="39">
        <v>14</v>
      </c>
      <c r="H5" s="39"/>
      <c r="I5" s="40" t="s">
        <v>256</v>
      </c>
      <c r="J5" s="41">
        <v>1</v>
      </c>
      <c r="K5" s="41">
        <v>80136</v>
      </c>
      <c r="L5" s="41"/>
      <c r="M5" s="42">
        <v>28048</v>
      </c>
      <c r="N5" s="42">
        <v>64510</v>
      </c>
      <c r="O5" s="43">
        <v>80136</v>
      </c>
      <c r="P5" s="44">
        <v>28048</v>
      </c>
      <c r="Q5" s="44">
        <v>64510</v>
      </c>
      <c r="R5" s="45"/>
      <c r="S5" s="46"/>
      <c r="T5" s="39">
        <f t="shared" ref="T5:T24" si="0">G5+H5</f>
        <v>14</v>
      </c>
      <c r="U5" s="47">
        <f t="shared" ref="U5:U24" si="1">(O5/$A$10)*T5</f>
        <v>14</v>
      </c>
      <c r="V5" s="48">
        <f t="shared" ref="V5:V24" si="2">N5-M5</f>
        <v>36462</v>
      </c>
      <c r="W5" s="49">
        <f t="shared" ref="W5:W24" si="3">(O5/A$10)</f>
        <v>1</v>
      </c>
      <c r="X5" s="44">
        <f t="shared" ref="X5:X24" si="4">W5*A$8</f>
        <v>9575.2799999999988</v>
      </c>
      <c r="Y5" s="44">
        <f t="shared" ref="Y5:Y24" si="5">Q5-P5</f>
        <v>36462</v>
      </c>
      <c r="Z5" s="44">
        <f t="shared" ref="Z5:Z24" si="6">X5+(A$6*W5)</f>
        <v>37623.279999999999</v>
      </c>
      <c r="AA5" s="50">
        <f t="shared" ref="AA5:AA24" si="7">Q5+X5</f>
        <v>74085.279999999999</v>
      </c>
      <c r="AB5" s="51">
        <f t="shared" ref="AB5:AC20" si="8">Z5/(1+ElecDiscountRate)^1</f>
        <v>35171.805179022151</v>
      </c>
      <c r="AC5" s="44">
        <f t="shared" si="8"/>
        <v>69257.997569411978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0.97006802319197261</v>
      </c>
      <c r="AG5" s="44">
        <f t="shared" ref="AG5:AG24" si="10">AF5*J5*K5</f>
        <v>77737.371106511913</v>
      </c>
      <c r="AH5" s="52">
        <f>HLOOKUP(I5,ElecAvoidedCostsWOCC!$A$5:$Q$50,T5+1,FALSE)</f>
        <v>0.97006802319197261</v>
      </c>
      <c r="AI5" s="44">
        <f t="shared" ref="AI5:AI24" si="11">AH5*J5*L5</f>
        <v>0</v>
      </c>
      <c r="AJ5" s="44">
        <f>AG5+AI5</f>
        <v>77737.371106511913</v>
      </c>
      <c r="AK5" s="44">
        <f>HLOOKUP(I5,ElecAvoidedCostsWOCC!$A$5:$Q$50,G5+1,FALSE)*J5*L5</f>
        <v>0</v>
      </c>
      <c r="AL5" s="44">
        <f>AG5+AI5-AK5</f>
        <v>77737.371106511913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77737.371106511913</v>
      </c>
      <c r="AN5" s="48">
        <f>AM5*1.1+AD5+AE5</f>
        <v>85511.108217163113</v>
      </c>
      <c r="AO5" s="47">
        <f>IFERROR(AM5/AB5,0)</f>
        <v>2.210218403941278</v>
      </c>
      <c r="AP5" s="47">
        <f>AN5/AC5</f>
        <v>1.2346748565963359</v>
      </c>
      <c r="AQ5">
        <v>2021</v>
      </c>
    </row>
    <row r="6" spans="1:43" ht="13.5" customHeight="1">
      <c r="A6" s="53">
        <f>SUMIF('Program Costs'!D:D,C2,'Program Costs'!L:L)</f>
        <v>28048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 t="s">
        <v>298</v>
      </c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9575.2799999999988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80136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28048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36462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14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37623.279999999999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74085.279999999999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(SUM(AM5:AM110)/(SUM(AB5:AB110)))</f>
        <v>2.210218403941278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(SUM(AN5:AN110)/SUM(AC5:AC110))</f>
        <v>1.2346748565963359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14" priority="4">
      <formula>ISTEXT(J5)</formula>
    </cfRule>
    <cfRule type="notContainsBlanks" dxfId="213" priority="5">
      <formula>LEN(TRIM(J5))&gt;0</formula>
    </cfRule>
  </conditionalFormatting>
  <conditionalFormatting sqref="M5:N24 R5:S24">
    <cfRule type="expression" dxfId="212" priority="2">
      <formula>ISTEXT(M5)</formula>
    </cfRule>
  </conditionalFormatting>
  <conditionalFormatting sqref="M5:N24 R5:S24">
    <cfRule type="notContainsBlanks" dxfId="211" priority="3">
      <formula>LEN(TRIM(M5))&gt;0</formula>
    </cfRule>
  </conditionalFormatting>
  <conditionalFormatting sqref="R5:S24">
    <cfRule type="expression" dxfId="2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C24" sqref="C2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18230720</v>
      </c>
      <c r="D2" s="20" t="s">
        <v>134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133</v>
      </c>
      <c r="C5" s="98">
        <v>18230720</v>
      </c>
      <c r="D5" s="61" t="s">
        <v>134</v>
      </c>
      <c r="E5" s="38" t="s">
        <v>992</v>
      </c>
      <c r="F5" s="39" t="s">
        <v>993</v>
      </c>
      <c r="G5" s="39">
        <v>7</v>
      </c>
      <c r="H5" s="39"/>
      <c r="I5" s="40" t="s">
        <v>256</v>
      </c>
      <c r="J5" s="41">
        <v>1</v>
      </c>
      <c r="K5" s="41">
        <v>112783</v>
      </c>
      <c r="L5" s="41"/>
      <c r="M5" s="42">
        <v>14112</v>
      </c>
      <c r="N5" s="42">
        <v>14112</v>
      </c>
      <c r="O5" s="43">
        <v>112783</v>
      </c>
      <c r="P5" s="44">
        <v>14112</v>
      </c>
      <c r="Q5" s="44">
        <v>14112</v>
      </c>
      <c r="R5" s="45"/>
      <c r="S5" s="46"/>
      <c r="T5" s="39">
        <f t="shared" ref="T5:T24" si="0">G5+H5</f>
        <v>7</v>
      </c>
      <c r="U5" s="47">
        <f t="shared" ref="U5:U24" si="1">(O5/$A$10)*T5</f>
        <v>7.0238704352529019E-2</v>
      </c>
      <c r="V5" s="48">
        <f t="shared" ref="V5:V24" si="2">N5-M5</f>
        <v>0</v>
      </c>
      <c r="W5" s="49">
        <f t="shared" ref="W5:W24" si="3">(O5/A$10)</f>
        <v>1.003410062178986E-2</v>
      </c>
      <c r="X5" s="44">
        <f t="shared" ref="X5:X24" si="4">W5*A$8</f>
        <v>4705.8851243557519</v>
      </c>
      <c r="Y5" s="44">
        <f t="shared" ref="Y5:Y24" si="5">Q5-P5</f>
        <v>0</v>
      </c>
      <c r="Z5" s="44">
        <f t="shared" ref="Z5:Z24" si="6">X5+(A$6*W5)</f>
        <v>50401.695409781751</v>
      </c>
      <c r="AA5" s="50">
        <f t="shared" ref="AA5:AA24" si="7">Q5+X5</f>
        <v>18817.885124355751</v>
      </c>
      <c r="AB5" s="51">
        <f t="shared" ref="AB5:AC20" si="8">Z5/(1+ElecDiscountRate)^1</f>
        <v>47117.598775153543</v>
      </c>
      <c r="AC5" s="44">
        <f t="shared" si="8"/>
        <v>17591.740791208515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0.49980838947667638</v>
      </c>
      <c r="AG5" s="44">
        <f t="shared" ref="AG5:AG24" si="10">AF5*J5*K5</f>
        <v>56369.889590347993</v>
      </c>
      <c r="AH5" s="52">
        <f>HLOOKUP(I5,ElecAvoidedCostsWOCC!$A$5:$Q$50,T5+1,FALSE)</f>
        <v>0.49980838947667638</v>
      </c>
      <c r="AI5" s="44">
        <f t="shared" ref="AI5:AI24" si="11">AH5*J5*L5</f>
        <v>0</v>
      </c>
      <c r="AJ5" s="44">
        <f>AG5+AI5</f>
        <v>56369.889590347993</v>
      </c>
      <c r="AK5" s="44">
        <f>HLOOKUP(I5,ElecAvoidedCostsWOCC!$A$5:$Q$50,G5+1,FALSE)*J5*L5</f>
        <v>0</v>
      </c>
      <c r="AL5" s="44">
        <f>AG5+AI5-AK5</f>
        <v>56369.889590347993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56369.889590347993</v>
      </c>
      <c r="AN5" s="48">
        <f>AM5*1.1+AD5+AE5</f>
        <v>62006.878549382796</v>
      </c>
      <c r="AO5" s="47">
        <f>IFERROR(AM5/AB5,0)</f>
        <v>1.1963659238949471</v>
      </c>
      <c r="AP5" s="47">
        <f>AN5/AC5</f>
        <v>3.5247721806116412</v>
      </c>
      <c r="AQ5">
        <v>2021</v>
      </c>
    </row>
    <row r="6" spans="1:43" ht="13.5" customHeight="1">
      <c r="A6" s="53">
        <f>SUMIF('Program Costs'!C:C,D2,'Program Costs'!L:L)</f>
        <v>4554051.43</v>
      </c>
      <c r="B6" s="97" t="s">
        <v>133</v>
      </c>
      <c r="C6" s="98">
        <v>18230720</v>
      </c>
      <c r="D6" s="61" t="s">
        <v>134</v>
      </c>
      <c r="E6" s="38" t="s">
        <v>992</v>
      </c>
      <c r="F6" s="39" t="s">
        <v>993</v>
      </c>
      <c r="G6" s="39">
        <v>10</v>
      </c>
      <c r="H6" s="39"/>
      <c r="I6" s="40" t="s">
        <v>256</v>
      </c>
      <c r="J6" s="41">
        <v>1</v>
      </c>
      <c r="K6" s="41">
        <v>236140</v>
      </c>
      <c r="L6" s="41"/>
      <c r="M6" s="42">
        <v>102726</v>
      </c>
      <c r="N6" s="42">
        <v>102726</v>
      </c>
      <c r="O6" s="43">
        <v>236140</v>
      </c>
      <c r="P6" s="44">
        <v>102726</v>
      </c>
      <c r="Q6" s="44">
        <v>102726</v>
      </c>
      <c r="R6" s="45"/>
      <c r="S6" s="46"/>
      <c r="T6" s="39">
        <f t="shared" si="0"/>
        <v>10</v>
      </c>
      <c r="U6" s="47">
        <f t="shared" si="1"/>
        <v>0.2100895100174191</v>
      </c>
      <c r="V6" s="48">
        <f t="shared" si="2"/>
        <v>0</v>
      </c>
      <c r="W6" s="49">
        <f t="shared" si="3"/>
        <v>2.100895100174191E-2</v>
      </c>
      <c r="X6" s="44">
        <f t="shared" si="4"/>
        <v>9852.9717534146766</v>
      </c>
      <c r="Y6" s="44">
        <f t="shared" si="5"/>
        <v>0</v>
      </c>
      <c r="Z6" s="44">
        <f t="shared" si="6"/>
        <v>105528.81510569734</v>
      </c>
      <c r="AA6" s="50">
        <f t="shared" si="7"/>
        <v>112578.97175341468</v>
      </c>
      <c r="AB6" s="51">
        <f t="shared" si="8"/>
        <v>98652.72048770434</v>
      </c>
      <c r="AC6" s="44">
        <f t="shared" si="8"/>
        <v>105243.49981622386</v>
      </c>
      <c r="AD6" s="44">
        <f t="shared" si="9"/>
        <v>0</v>
      </c>
      <c r="AE6" s="44">
        <v>0</v>
      </c>
      <c r="AF6" s="52">
        <f>HLOOKUP(I6,ElecAvoidedCostsWOCC!$A$5:$Q$50,G6+1,FALSE)</f>
        <v>0.70839718084543712</v>
      </c>
      <c r="AG6" s="44">
        <f t="shared" si="10"/>
        <v>167280.91028484152</v>
      </c>
      <c r="AH6" s="52">
        <f>HLOOKUP(I6,ElecAvoidedCostsWOCC!$A$5:$Q$50,T6+1,FALSE)</f>
        <v>0.70839718084543712</v>
      </c>
      <c r="AI6" s="44">
        <f t="shared" si="11"/>
        <v>0</v>
      </c>
      <c r="AJ6" s="44">
        <f t="shared" ref="AJ6:AJ24" si="12">AG6+AI6</f>
        <v>167280.91028484152</v>
      </c>
      <c r="AK6" s="44">
        <f>HLOOKUP(I6,ElecAvoidedCostsWOCC!$A$5:$Q$50,G6+1,FALSE)*J6*L6</f>
        <v>0</v>
      </c>
      <c r="AL6" s="44">
        <f t="shared" ref="AL6:AL24" si="13">AG6+AI6-AK6</f>
        <v>167280.91028484152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167280.91028484152</v>
      </c>
      <c r="AN6" s="48">
        <f t="shared" ref="AN6:AN24" si="14">AM6*1.1+AD6+AE6</f>
        <v>184009.00131332569</v>
      </c>
      <c r="AO6" s="47">
        <f t="shared" ref="AO6:AO24" si="15">IFERROR(AM6/AB6,0)</f>
        <v>1.6956543059113176</v>
      </c>
      <c r="AP6" s="47">
        <f t="shared" ref="AP6:AP24" si="16">AN6/AC6</f>
        <v>1.7484120314759781</v>
      </c>
      <c r="AQ6">
        <v>2021</v>
      </c>
    </row>
    <row r="7" spans="1:43" ht="13.5" customHeight="1">
      <c r="A7" s="36" t="s">
        <v>249</v>
      </c>
      <c r="B7" s="97" t="s">
        <v>133</v>
      </c>
      <c r="C7" s="98">
        <v>18230720</v>
      </c>
      <c r="D7" s="61" t="s">
        <v>134</v>
      </c>
      <c r="E7" s="38" t="s">
        <v>994</v>
      </c>
      <c r="F7" s="39" t="s">
        <v>995</v>
      </c>
      <c r="G7" s="39">
        <v>15</v>
      </c>
      <c r="H7" s="39"/>
      <c r="I7" s="40" t="s">
        <v>256</v>
      </c>
      <c r="J7" s="41">
        <v>1</v>
      </c>
      <c r="K7" s="41">
        <v>84093</v>
      </c>
      <c r="L7" s="41"/>
      <c r="M7" s="42">
        <v>42047</v>
      </c>
      <c r="N7" s="42">
        <v>67833.740000000005</v>
      </c>
      <c r="O7" s="43">
        <v>84093</v>
      </c>
      <c r="P7" s="44">
        <v>42047</v>
      </c>
      <c r="Q7" s="44">
        <v>67833.740000000005</v>
      </c>
      <c r="R7" s="45"/>
      <c r="S7" s="46"/>
      <c r="T7" s="39">
        <f t="shared" si="0"/>
        <v>15</v>
      </c>
      <c r="U7" s="47">
        <f t="shared" si="1"/>
        <v>0.11222404399441956</v>
      </c>
      <c r="V7" s="48">
        <f t="shared" si="2"/>
        <v>25786.740000000005</v>
      </c>
      <c r="W7" s="49">
        <f t="shared" si="3"/>
        <v>7.4816029329613041E-3</v>
      </c>
      <c r="X7" s="44">
        <f t="shared" si="4"/>
        <v>3508.7911986952668</v>
      </c>
      <c r="Y7" s="44">
        <f t="shared" si="5"/>
        <v>25786.740000000005</v>
      </c>
      <c r="Z7" s="44">
        <f t="shared" si="6"/>
        <v>37580.395734239886</v>
      </c>
      <c r="AA7" s="50">
        <f t="shared" si="7"/>
        <v>71342.531198695273</v>
      </c>
      <c r="AB7" s="51">
        <f t="shared" si="8"/>
        <v>35131.715185790301</v>
      </c>
      <c r="AC7" s="44">
        <f t="shared" si="8"/>
        <v>66693.962044213578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86565.030131627573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86565.030131627573</v>
      </c>
      <c r="AK7" s="44">
        <f>HLOOKUP(I7,ElecAvoidedCostsWOCC!$A$5:$Q$50,G7+1,FALSE)*J7*L7</f>
        <v>0</v>
      </c>
      <c r="AL7" s="44">
        <f t="shared" si="13"/>
        <v>86565.030131627573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86565.030131627573</v>
      </c>
      <c r="AN7" s="48">
        <f t="shared" si="14"/>
        <v>95221.533144790345</v>
      </c>
      <c r="AO7" s="47">
        <f t="shared" si="15"/>
        <v>2.4640137742731238</v>
      </c>
      <c r="AP7" s="47">
        <f t="shared" si="16"/>
        <v>1.4277384372765995</v>
      </c>
      <c r="AQ7">
        <v>2021</v>
      </c>
    </row>
    <row r="8" spans="1:43" ht="13.5" customHeight="1">
      <c r="A8" s="53">
        <f>SUMIF('Program Costs'!C:C,D2,'Program Costs'!O:O)</f>
        <v>468989.23000000045</v>
      </c>
      <c r="B8" s="97" t="s">
        <v>133</v>
      </c>
      <c r="C8" s="98">
        <v>18230720</v>
      </c>
      <c r="D8" s="61" t="s">
        <v>134</v>
      </c>
      <c r="E8" s="38" t="s">
        <v>994</v>
      </c>
      <c r="F8" s="39" t="s">
        <v>995</v>
      </c>
      <c r="G8" s="39">
        <v>15</v>
      </c>
      <c r="H8" s="39"/>
      <c r="I8" s="40" t="s">
        <v>256</v>
      </c>
      <c r="J8" s="41">
        <v>1</v>
      </c>
      <c r="K8" s="41">
        <v>35224</v>
      </c>
      <c r="L8" s="41"/>
      <c r="M8" s="42">
        <v>11687</v>
      </c>
      <c r="N8" s="42">
        <v>11687</v>
      </c>
      <c r="O8" s="43">
        <v>35224</v>
      </c>
      <c r="P8" s="44">
        <v>11687</v>
      </c>
      <c r="Q8" s="44">
        <v>11687</v>
      </c>
      <c r="R8" s="45"/>
      <c r="S8" s="46"/>
      <c r="T8" s="39">
        <f t="shared" si="0"/>
        <v>15</v>
      </c>
      <c r="U8" s="47">
        <f t="shared" si="1"/>
        <v>4.7007238719744028E-2</v>
      </c>
      <c r="V8" s="48">
        <f t="shared" si="2"/>
        <v>0</v>
      </c>
      <c r="W8" s="49">
        <f t="shared" si="3"/>
        <v>3.133815914649602E-3</v>
      </c>
      <c r="X8" s="44">
        <f t="shared" si="4"/>
        <v>1469.7259127732639</v>
      </c>
      <c r="Y8" s="44">
        <f t="shared" si="5"/>
        <v>0</v>
      </c>
      <c r="Z8" s="44">
        <f t="shared" si="6"/>
        <v>15741.28476024004</v>
      </c>
      <c r="AA8" s="50">
        <f t="shared" si="7"/>
        <v>13156.725912773263</v>
      </c>
      <c r="AB8" s="51">
        <f t="shared" si="8"/>
        <v>14715.606955445488</v>
      </c>
      <c r="AC8" s="44">
        <f t="shared" si="8"/>
        <v>12299.453970994917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36259.45823500707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36259.45823500707</v>
      </c>
      <c r="AK8" s="44">
        <f>HLOOKUP(I8,ElecAvoidedCostsWOCC!$A$5:$Q$50,G8+1,FALSE)*J8*L8</f>
        <v>0</v>
      </c>
      <c r="AL8" s="44">
        <f t="shared" si="13"/>
        <v>36259.45823500707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36259.45823500707</v>
      </c>
      <c r="AN8" s="48">
        <f t="shared" si="14"/>
        <v>39885.404058507782</v>
      </c>
      <c r="AO8" s="47">
        <f t="shared" si="15"/>
        <v>2.4640137742731238</v>
      </c>
      <c r="AP8" s="47">
        <f t="shared" si="16"/>
        <v>3.2428597360961877</v>
      </c>
      <c r="AQ8">
        <v>2021</v>
      </c>
    </row>
    <row r="9" spans="1:43" ht="13.5" customHeight="1">
      <c r="A9" s="36" t="s">
        <v>250</v>
      </c>
      <c r="B9" s="97" t="s">
        <v>133</v>
      </c>
      <c r="C9" s="98">
        <v>18230720</v>
      </c>
      <c r="D9" s="61" t="s">
        <v>134</v>
      </c>
      <c r="E9" s="38" t="s">
        <v>996</v>
      </c>
      <c r="F9" s="39" t="s">
        <v>997</v>
      </c>
      <c r="G9" s="39">
        <v>20</v>
      </c>
      <c r="H9" s="39"/>
      <c r="I9" s="40" t="s">
        <v>257</v>
      </c>
      <c r="J9" s="41">
        <v>1</v>
      </c>
      <c r="K9" s="41">
        <v>1237183</v>
      </c>
      <c r="L9" s="41"/>
      <c r="M9" s="42">
        <v>618592</v>
      </c>
      <c r="N9" s="42">
        <v>1226165</v>
      </c>
      <c r="O9" s="43">
        <v>1237183</v>
      </c>
      <c r="P9" s="44">
        <v>618592</v>
      </c>
      <c r="Q9" s="44">
        <v>1226165</v>
      </c>
      <c r="R9" s="45"/>
      <c r="S9" s="46"/>
      <c r="T9" s="39">
        <f t="shared" si="0"/>
        <v>20</v>
      </c>
      <c r="U9" s="47">
        <f t="shared" si="1"/>
        <v>2.2013989182000557</v>
      </c>
      <c r="V9" s="48">
        <f t="shared" si="2"/>
        <v>607573</v>
      </c>
      <c r="W9" s="49">
        <f t="shared" si="3"/>
        <v>0.1100699459100028</v>
      </c>
      <c r="X9" s="44">
        <f t="shared" si="4"/>
        <v>51621.619178473913</v>
      </c>
      <c r="Y9" s="44">
        <f t="shared" si="5"/>
        <v>607573</v>
      </c>
      <c r="Z9" s="44">
        <f t="shared" si="6"/>
        <v>552885.81374994479</v>
      </c>
      <c r="AA9" s="50">
        <f t="shared" si="7"/>
        <v>1277786.6191784739</v>
      </c>
      <c r="AB9" s="51">
        <f t="shared" si="8"/>
        <v>516860.62797975575</v>
      </c>
      <c r="AC9" s="44">
        <f t="shared" si="8"/>
        <v>1194528.0164330876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1.3192527795896587</v>
      </c>
      <c r="AG9" s="44">
        <f t="shared" si="10"/>
        <v>1632157.1116110727</v>
      </c>
      <c r="AH9" s="52">
        <f>HLOOKUP(I9,ElecAvoidedCostsWOCC!$A$5:$Q$50,T9+1,FALSE)</f>
        <v>1.3192527795896587</v>
      </c>
      <c r="AI9" s="44">
        <f t="shared" si="11"/>
        <v>0</v>
      </c>
      <c r="AJ9" s="44">
        <f t="shared" si="12"/>
        <v>1632157.1116110727</v>
      </c>
      <c r="AK9" s="44">
        <f>HLOOKUP(I9,ElecAvoidedCostsWOCC!$A$5:$Q$50,G9+1,FALSE)*J9*L9</f>
        <v>0</v>
      </c>
      <c r="AL9" s="44">
        <f t="shared" si="13"/>
        <v>1632157.1116110727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1632157.1116110727</v>
      </c>
      <c r="AN9" s="48">
        <f t="shared" si="14"/>
        <v>1795372.8227721802</v>
      </c>
      <c r="AO9" s="47">
        <f t="shared" si="15"/>
        <v>3.1578282872708976</v>
      </c>
      <c r="AP9" s="47">
        <f t="shared" si="16"/>
        <v>1.5029976677593893</v>
      </c>
      <c r="AQ9">
        <v>2021</v>
      </c>
    </row>
    <row r="10" spans="1:43" ht="13.5" customHeight="1">
      <c r="A10" s="54">
        <f>SUM(O5:O999)</f>
        <v>11239971</v>
      </c>
      <c r="B10" s="97" t="s">
        <v>133</v>
      </c>
      <c r="C10" s="98">
        <v>18230720</v>
      </c>
      <c r="D10" s="61" t="s">
        <v>134</v>
      </c>
      <c r="E10" s="38" t="s">
        <v>996</v>
      </c>
      <c r="F10" s="39" t="s">
        <v>997</v>
      </c>
      <c r="G10" s="39">
        <v>20</v>
      </c>
      <c r="H10" s="39"/>
      <c r="I10" s="40" t="s">
        <v>257</v>
      </c>
      <c r="J10" s="41">
        <v>1</v>
      </c>
      <c r="K10" s="41">
        <v>2848543</v>
      </c>
      <c r="L10" s="41"/>
      <c r="M10" s="42">
        <v>1407892.26</v>
      </c>
      <c r="N10" s="42">
        <v>3632675.76</v>
      </c>
      <c r="O10" s="43">
        <v>2848543</v>
      </c>
      <c r="P10" s="44">
        <v>1407892.26</v>
      </c>
      <c r="Q10" s="44">
        <v>3632675.76</v>
      </c>
      <c r="R10" s="45"/>
      <c r="S10" s="46"/>
      <c r="T10" s="39">
        <f t="shared" si="0"/>
        <v>20</v>
      </c>
      <c r="U10" s="47">
        <f t="shared" si="1"/>
        <v>5.0685949278694755</v>
      </c>
      <c r="V10" s="48">
        <f t="shared" si="2"/>
        <v>2224783.5</v>
      </c>
      <c r="W10" s="49">
        <f t="shared" si="3"/>
        <v>0.25342974639347376</v>
      </c>
      <c r="X10" s="44">
        <f t="shared" si="4"/>
        <v>118855.82162017065</v>
      </c>
      <c r="Y10" s="44">
        <f t="shared" si="5"/>
        <v>2224783.5</v>
      </c>
      <c r="Z10" s="44">
        <f t="shared" si="6"/>
        <v>1272987.9205879071</v>
      </c>
      <c r="AA10" s="50">
        <f t="shared" si="7"/>
        <v>3751531.5816201703</v>
      </c>
      <c r="AB10" s="51">
        <f t="shared" si="8"/>
        <v>1190041.9936317725</v>
      </c>
      <c r="AC10" s="44">
        <f t="shared" si="8"/>
        <v>3507087.5774704777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1.3192527795896587</v>
      </c>
      <c r="AG10" s="44">
        <f t="shared" si="10"/>
        <v>3757948.2705306653</v>
      </c>
      <c r="AH10" s="52">
        <f>HLOOKUP(I10,ElecAvoidedCostsWOCC!$A$5:$Q$50,T10+1,FALSE)</f>
        <v>1.3192527795896587</v>
      </c>
      <c r="AI10" s="44">
        <f t="shared" si="11"/>
        <v>0</v>
      </c>
      <c r="AJ10" s="44">
        <f t="shared" si="12"/>
        <v>3757948.2705306653</v>
      </c>
      <c r="AK10" s="44">
        <f>HLOOKUP(I10,ElecAvoidedCostsWOCC!$A$5:$Q$50,G10+1,FALSE)*J10*L10</f>
        <v>0</v>
      </c>
      <c r="AL10" s="44">
        <f t="shared" si="13"/>
        <v>3757948.2705306653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3757948.2705306653</v>
      </c>
      <c r="AN10" s="48">
        <f t="shared" si="14"/>
        <v>4133743.0975837321</v>
      </c>
      <c r="AO10" s="47">
        <f t="shared" si="15"/>
        <v>3.1578282872708985</v>
      </c>
      <c r="AP10" s="47">
        <f t="shared" si="16"/>
        <v>1.1786825981018803</v>
      </c>
      <c r="AQ10">
        <v>2021</v>
      </c>
    </row>
    <row r="11" spans="1:43" ht="13.5" customHeight="1">
      <c r="A11" s="36" t="s">
        <v>251</v>
      </c>
      <c r="B11" s="97" t="s">
        <v>133</v>
      </c>
      <c r="C11" s="98">
        <v>18230720</v>
      </c>
      <c r="D11" s="61" t="s">
        <v>134</v>
      </c>
      <c r="E11" s="38" t="s">
        <v>1076</v>
      </c>
      <c r="F11" s="39" t="s">
        <v>1077</v>
      </c>
      <c r="G11" s="39">
        <v>15</v>
      </c>
      <c r="H11" s="39"/>
      <c r="I11" s="40" t="s">
        <v>256</v>
      </c>
      <c r="J11" s="41">
        <v>1</v>
      </c>
      <c r="K11" s="41">
        <v>720343</v>
      </c>
      <c r="L11" s="41"/>
      <c r="M11" s="42">
        <v>356151</v>
      </c>
      <c r="N11" s="42">
        <v>1000998</v>
      </c>
      <c r="O11" s="43">
        <v>720343</v>
      </c>
      <c r="P11" s="44">
        <v>356151</v>
      </c>
      <c r="Q11" s="44">
        <v>1000998</v>
      </c>
      <c r="R11" s="45"/>
      <c r="S11" s="46"/>
      <c r="T11" s="39">
        <f t="shared" si="0"/>
        <v>15</v>
      </c>
      <c r="U11" s="47">
        <f t="shared" si="1"/>
        <v>0.96131431299956205</v>
      </c>
      <c r="V11" s="48">
        <f t="shared" si="2"/>
        <v>644847</v>
      </c>
      <c r="W11" s="49">
        <f t="shared" si="3"/>
        <v>6.4087620866637468E-2</v>
      </c>
      <c r="X11" s="44">
        <f t="shared" si="4"/>
        <v>30056.403962776269</v>
      </c>
      <c r="Y11" s="44">
        <f t="shared" si="5"/>
        <v>644847</v>
      </c>
      <c r="Z11" s="44">
        <f t="shared" si="6"/>
        <v>321914.7254157844</v>
      </c>
      <c r="AA11" s="50">
        <f t="shared" si="7"/>
        <v>1031054.4039627763</v>
      </c>
      <c r="AB11" s="51">
        <f t="shared" si="8"/>
        <v>300939.25905934785</v>
      </c>
      <c r="AC11" s="44">
        <f t="shared" si="8"/>
        <v>963872.49131791736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741518.47954178113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741518.47954178113</v>
      </c>
      <c r="AK11" s="44">
        <f>HLOOKUP(I11,ElecAvoidedCostsWOCC!$A$5:$Q$50,G11+1,FALSE)*J11*L11</f>
        <v>0</v>
      </c>
      <c r="AL11" s="44">
        <f t="shared" si="13"/>
        <v>741518.47954178113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741518.47954178113</v>
      </c>
      <c r="AN11" s="48">
        <f t="shared" si="14"/>
        <v>815670.32749595935</v>
      </c>
      <c r="AO11" s="47">
        <f t="shared" si="15"/>
        <v>2.4640137742731238</v>
      </c>
      <c r="AP11" s="47">
        <f t="shared" si="16"/>
        <v>0.84624297803196047</v>
      </c>
      <c r="AQ11">
        <v>2021</v>
      </c>
    </row>
    <row r="12" spans="1:43" ht="13.5" customHeight="1">
      <c r="A12" s="55">
        <f>SUM(P5:P1000)</f>
        <v>3928732.4499999997</v>
      </c>
      <c r="B12" s="97" t="s">
        <v>133</v>
      </c>
      <c r="C12" s="98">
        <v>18230720</v>
      </c>
      <c r="D12" s="61" t="s">
        <v>134</v>
      </c>
      <c r="E12" s="38" t="s">
        <v>1078</v>
      </c>
      <c r="F12" s="39" t="s">
        <v>1079</v>
      </c>
      <c r="G12" s="39">
        <v>5</v>
      </c>
      <c r="H12" s="39"/>
      <c r="I12" s="40" t="s">
        <v>256</v>
      </c>
      <c r="J12" s="41">
        <v>1</v>
      </c>
      <c r="K12" s="41"/>
      <c r="L12" s="41"/>
      <c r="M12" s="42">
        <v>63052.19</v>
      </c>
      <c r="N12" s="42">
        <v>63052.19</v>
      </c>
      <c r="O12" s="43">
        <v>0</v>
      </c>
      <c r="P12" s="44">
        <v>63052.19</v>
      </c>
      <c r="Q12" s="44">
        <v>63052.19</v>
      </c>
      <c r="R12" s="45"/>
      <c r="S12" s="46"/>
      <c r="T12" s="39">
        <f t="shared" si="0"/>
        <v>5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63052.19</v>
      </c>
      <c r="AB12" s="51">
        <f t="shared" si="8"/>
        <v>0</v>
      </c>
      <c r="AC12" s="44">
        <f t="shared" si="8"/>
        <v>58943.806674768624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0.35807218478063102</v>
      </c>
      <c r="AG12" s="44">
        <f t="shared" si="10"/>
        <v>0</v>
      </c>
      <c r="AH12" s="52">
        <f>HLOOKUP(I12,ElecAvoidedCostsWOCC!$A$5:$Q$50,T12+1,FALSE)</f>
        <v>0.35807218478063102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  <c r="AQ12">
        <v>2021</v>
      </c>
    </row>
    <row r="13" spans="1:43" ht="13.5" customHeight="1">
      <c r="A13" s="56" t="s">
        <v>252</v>
      </c>
      <c r="B13" s="97" t="s">
        <v>133</v>
      </c>
      <c r="C13" s="98">
        <v>18230720</v>
      </c>
      <c r="D13" s="61" t="s">
        <v>134</v>
      </c>
      <c r="E13" s="38" t="s">
        <v>1080</v>
      </c>
      <c r="F13" s="39" t="s">
        <v>1081</v>
      </c>
      <c r="G13" s="39">
        <v>4</v>
      </c>
      <c r="H13" s="39"/>
      <c r="I13" s="40" t="s">
        <v>256</v>
      </c>
      <c r="J13" s="41">
        <v>1</v>
      </c>
      <c r="K13" s="41">
        <v>2201116</v>
      </c>
      <c r="L13" s="41"/>
      <c r="M13" s="42">
        <v>357382</v>
      </c>
      <c r="N13" s="42">
        <v>708723</v>
      </c>
      <c r="O13" s="43">
        <v>2201116</v>
      </c>
      <c r="P13" s="44">
        <v>357382</v>
      </c>
      <c r="Q13" s="44">
        <v>708723</v>
      </c>
      <c r="R13" s="45"/>
      <c r="S13" s="46"/>
      <c r="T13" s="39">
        <f t="shared" si="0"/>
        <v>4</v>
      </c>
      <c r="U13" s="47">
        <f t="shared" si="1"/>
        <v>0.78331732350554995</v>
      </c>
      <c r="V13" s="48">
        <f t="shared" si="2"/>
        <v>351341</v>
      </c>
      <c r="W13" s="49">
        <f t="shared" si="3"/>
        <v>0.19582933087638749</v>
      </c>
      <c r="X13" s="44">
        <f t="shared" si="4"/>
        <v>91841.847099132283</v>
      </c>
      <c r="Y13" s="44">
        <f t="shared" si="5"/>
        <v>351341</v>
      </c>
      <c r="Z13" s="44">
        <f t="shared" si="6"/>
        <v>983658.69141268777</v>
      </c>
      <c r="AA13" s="50">
        <f t="shared" si="7"/>
        <v>800564.84709913225</v>
      </c>
      <c r="AB13" s="51">
        <f t="shared" si="8"/>
        <v>919565.01020163379</v>
      </c>
      <c r="AC13" s="44">
        <f t="shared" si="8"/>
        <v>748401.278021064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0.28454679420867346</v>
      </c>
      <c r="AG13" s="44">
        <f t="shared" si="10"/>
        <v>626320.5014814185</v>
      </c>
      <c r="AH13" s="52">
        <f>HLOOKUP(I13,ElecAvoidedCostsWOCC!$A$5:$Q$50,T13+1,FALSE)</f>
        <v>0.28454679420867346</v>
      </c>
      <c r="AI13" s="44">
        <f t="shared" si="11"/>
        <v>0</v>
      </c>
      <c r="AJ13" s="44">
        <f t="shared" si="12"/>
        <v>626320.5014814185</v>
      </c>
      <c r="AK13" s="44">
        <f>HLOOKUP(I13,ElecAvoidedCostsWOCC!$A$5:$Q$50,G13+1,FALSE)*J13*L13</f>
        <v>0</v>
      </c>
      <c r="AL13" s="44">
        <f t="shared" si="13"/>
        <v>626320.5014814185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626320.5014814185</v>
      </c>
      <c r="AN13" s="48">
        <f t="shared" si="14"/>
        <v>688952.55162956042</v>
      </c>
      <c r="AO13" s="47">
        <f t="shared" si="15"/>
        <v>0.68110519053360319</v>
      </c>
      <c r="AP13" s="47">
        <f t="shared" si="16"/>
        <v>0.92056570701121865</v>
      </c>
      <c r="AQ13">
        <v>2021</v>
      </c>
    </row>
    <row r="14" spans="1:43" ht="13.5" customHeight="1">
      <c r="A14" s="55">
        <f>SUM(Y5:Y1000)</f>
        <v>5196956.3000000007</v>
      </c>
      <c r="B14" s="97" t="s">
        <v>133</v>
      </c>
      <c r="C14" s="100">
        <v>18230720</v>
      </c>
      <c r="D14" s="100" t="s">
        <v>134</v>
      </c>
      <c r="E14" s="38" t="s">
        <v>996</v>
      </c>
      <c r="F14" s="39" t="s">
        <v>997</v>
      </c>
      <c r="G14" s="39">
        <v>20</v>
      </c>
      <c r="H14" s="39"/>
      <c r="I14" s="40" t="s">
        <v>257</v>
      </c>
      <c r="J14" s="41">
        <v>1</v>
      </c>
      <c r="K14" s="41">
        <v>11563</v>
      </c>
      <c r="L14" s="41"/>
      <c r="M14" s="42">
        <v>3000</v>
      </c>
      <c r="N14" s="42">
        <v>5306.64</v>
      </c>
      <c r="O14" s="43">
        <v>11563</v>
      </c>
      <c r="P14" s="44">
        <v>3000</v>
      </c>
      <c r="Q14" s="44">
        <v>5306.64</v>
      </c>
      <c r="R14" s="45"/>
      <c r="S14" s="46"/>
      <c r="T14" s="39">
        <f t="shared" si="0"/>
        <v>20</v>
      </c>
      <c r="U14" s="47">
        <f t="shared" si="1"/>
        <v>2.0574786180498149E-2</v>
      </c>
      <c r="V14" s="48">
        <f t="shared" si="2"/>
        <v>2306.6400000000003</v>
      </c>
      <c r="W14" s="49">
        <f t="shared" si="3"/>
        <v>1.0287393090249075E-3</v>
      </c>
      <c r="X14" s="44">
        <f t="shared" si="4"/>
        <v>482.46765641032391</v>
      </c>
      <c r="Y14" s="44">
        <f t="shared" si="5"/>
        <v>2306.6400000000003</v>
      </c>
      <c r="Z14" s="44">
        <f t="shared" si="6"/>
        <v>5167.3993777724154</v>
      </c>
      <c r="AA14" s="50">
        <f t="shared" si="7"/>
        <v>5789.1076564103241</v>
      </c>
      <c r="AB14" s="51">
        <f t="shared" si="8"/>
        <v>4830.6996146325273</v>
      </c>
      <c r="AC14" s="44">
        <f t="shared" si="8"/>
        <v>5411.8983419746883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1.3192527795896587</v>
      </c>
      <c r="AG14" s="44">
        <f t="shared" si="10"/>
        <v>15254.519890395224</v>
      </c>
      <c r="AH14" s="52">
        <f>HLOOKUP(I14,ElecAvoidedCostsWOCC!$A$5:$Q$50,T14+1,FALSE)</f>
        <v>1.3192527795896587</v>
      </c>
      <c r="AI14" s="44">
        <f t="shared" si="11"/>
        <v>0</v>
      </c>
      <c r="AJ14" s="44">
        <f t="shared" si="12"/>
        <v>15254.519890395224</v>
      </c>
      <c r="AK14" s="44">
        <f>HLOOKUP(I14,ElecAvoidedCostsWOCC!$A$5:$Q$50,G14+1,FALSE)*J14*L14</f>
        <v>0</v>
      </c>
      <c r="AL14" s="44">
        <f t="shared" si="13"/>
        <v>15254.519890395224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15254.519890395224</v>
      </c>
      <c r="AN14" s="48">
        <f t="shared" si="14"/>
        <v>16779.971879434746</v>
      </c>
      <c r="AO14" s="47">
        <f t="shared" si="15"/>
        <v>3.1578282872708989</v>
      </c>
      <c r="AP14" s="47">
        <f t="shared" si="16"/>
        <v>3.1005704133962144</v>
      </c>
      <c r="AQ14">
        <v>2020</v>
      </c>
    </row>
    <row r="15" spans="1:43" ht="13.5" customHeight="1">
      <c r="A15" s="57" t="s">
        <v>253</v>
      </c>
      <c r="B15" s="97" t="s">
        <v>133</v>
      </c>
      <c r="C15" s="100">
        <v>18230720</v>
      </c>
      <c r="D15" s="100" t="s">
        <v>134</v>
      </c>
      <c r="E15" s="38" t="s">
        <v>996</v>
      </c>
      <c r="F15" s="39" t="s">
        <v>997</v>
      </c>
      <c r="G15" s="39">
        <v>20</v>
      </c>
      <c r="H15" s="39"/>
      <c r="I15" s="40" t="s">
        <v>257</v>
      </c>
      <c r="J15" s="41">
        <v>1</v>
      </c>
      <c r="K15" s="41">
        <v>1426823</v>
      </c>
      <c r="L15" s="41"/>
      <c r="M15" s="42">
        <v>603167</v>
      </c>
      <c r="N15" s="42">
        <v>1583686.42</v>
      </c>
      <c r="O15" s="43">
        <v>1426823</v>
      </c>
      <c r="P15" s="44">
        <v>603167</v>
      </c>
      <c r="Q15" s="44">
        <v>1583686.42</v>
      </c>
      <c r="R15" s="45"/>
      <c r="S15" s="46"/>
      <c r="T15" s="39">
        <f t="shared" si="0"/>
        <v>20</v>
      </c>
      <c r="U15" s="47">
        <f t="shared" si="1"/>
        <v>2.5388375112355717</v>
      </c>
      <c r="V15" s="48">
        <f t="shared" si="2"/>
        <v>980519.41999999993</v>
      </c>
      <c r="W15" s="49">
        <f t="shared" si="3"/>
        <v>0.12694187556177858</v>
      </c>
      <c r="X15" s="44">
        <f t="shared" si="4"/>
        <v>59534.37247447441</v>
      </c>
      <c r="Y15" s="44">
        <f t="shared" si="5"/>
        <v>980519.41999999993</v>
      </c>
      <c r="Z15" s="44">
        <f t="shared" si="6"/>
        <v>637634.20240347413</v>
      </c>
      <c r="AA15" s="50">
        <f t="shared" si="7"/>
        <v>1643220.7924744743</v>
      </c>
      <c r="AB15" s="51">
        <f t="shared" si="8"/>
        <v>596086.94251049275</v>
      </c>
      <c r="AC15" s="44">
        <f t="shared" si="8"/>
        <v>1536151.063358394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1.3192527795896587</v>
      </c>
      <c r="AG15" s="44">
        <f t="shared" si="10"/>
        <v>1882340.2087324555</v>
      </c>
      <c r="AH15" s="52">
        <f>HLOOKUP(I15,ElecAvoidedCostsWOCC!$A$5:$Q$50,T15+1,FALSE)</f>
        <v>1.3192527795896587</v>
      </c>
      <c r="AI15" s="44">
        <f t="shared" si="11"/>
        <v>0</v>
      </c>
      <c r="AJ15" s="44">
        <f t="shared" si="12"/>
        <v>1882340.2087324555</v>
      </c>
      <c r="AK15" s="44">
        <f>HLOOKUP(I15,ElecAvoidedCostsWOCC!$A$5:$Q$50,G15+1,FALSE)*J15*L15</f>
        <v>0</v>
      </c>
      <c r="AL15" s="44">
        <f t="shared" si="13"/>
        <v>1882340.2087324555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1882340.2087324555</v>
      </c>
      <c r="AN15" s="48">
        <f t="shared" si="14"/>
        <v>2070574.2296057013</v>
      </c>
      <c r="AO15" s="47">
        <f t="shared" si="15"/>
        <v>3.157828287270898</v>
      </c>
      <c r="AP15" s="47">
        <f t="shared" si="16"/>
        <v>1.3478975336442045</v>
      </c>
      <c r="AQ15">
        <v>2020</v>
      </c>
    </row>
    <row r="16" spans="1:43" ht="13.5" customHeight="1">
      <c r="A16" s="54">
        <f>SUM(U5:U999)</f>
        <v>12.841414359521035</v>
      </c>
      <c r="B16" s="97" t="s">
        <v>133</v>
      </c>
      <c r="C16" s="100">
        <v>18230720</v>
      </c>
      <c r="D16" s="100" t="s">
        <v>134</v>
      </c>
      <c r="E16" s="38" t="s">
        <v>2116</v>
      </c>
      <c r="F16" s="39" t="s">
        <v>2117</v>
      </c>
      <c r="G16" s="39">
        <v>4</v>
      </c>
      <c r="H16" s="39"/>
      <c r="I16" s="40" t="s">
        <v>256</v>
      </c>
      <c r="J16" s="41">
        <v>1</v>
      </c>
      <c r="K16" s="41">
        <v>2326160</v>
      </c>
      <c r="L16" s="41"/>
      <c r="M16" s="42">
        <v>348924</v>
      </c>
      <c r="N16" s="42">
        <v>708723</v>
      </c>
      <c r="O16" s="43">
        <v>2326160</v>
      </c>
      <c r="P16" s="44">
        <v>348924</v>
      </c>
      <c r="Q16" s="44">
        <v>708723</v>
      </c>
      <c r="R16" s="45"/>
      <c r="S16" s="46"/>
      <c r="T16" s="39">
        <f t="shared" si="0"/>
        <v>4</v>
      </c>
      <c r="U16" s="47">
        <f t="shared" si="1"/>
        <v>0.82781708244620911</v>
      </c>
      <c r="V16" s="48">
        <f t="shared" si="2"/>
        <v>359799</v>
      </c>
      <c r="W16" s="49">
        <f t="shared" si="3"/>
        <v>0.20695427061155228</v>
      </c>
      <c r="X16" s="44">
        <f t="shared" si="4"/>
        <v>97059.324019323627</v>
      </c>
      <c r="Y16" s="44">
        <f t="shared" si="5"/>
        <v>359799</v>
      </c>
      <c r="Z16" s="44">
        <f t="shared" si="6"/>
        <v>1039539.7160424702</v>
      </c>
      <c r="AA16" s="50">
        <f t="shared" si="7"/>
        <v>805782.32401932357</v>
      </c>
      <c r="AB16" s="51">
        <f t="shared" si="8"/>
        <v>971804.9135668599</v>
      </c>
      <c r="AC16" s="44">
        <f t="shared" si="8"/>
        <v>753278.7922027891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0.28454679420867346</v>
      </c>
      <c r="AG16" s="44">
        <f t="shared" si="10"/>
        <v>661901.37081644789</v>
      </c>
      <c r="AH16" s="52">
        <f>HLOOKUP(I16,ElecAvoidedCostsWOCC!$A$5:$Q$50,T16+1,FALSE)</f>
        <v>0.28454679420867346</v>
      </c>
      <c r="AI16" s="44">
        <f t="shared" si="11"/>
        <v>0</v>
      </c>
      <c r="AJ16" s="44">
        <f t="shared" si="12"/>
        <v>661901.37081644789</v>
      </c>
      <c r="AK16" s="44">
        <f>HLOOKUP(I16,ElecAvoidedCostsWOCC!$A$5:$Q$50,G16+1,FALSE)*J16*L16</f>
        <v>0</v>
      </c>
      <c r="AL16" s="44">
        <f t="shared" si="13"/>
        <v>661901.37081644789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661901.37081644789</v>
      </c>
      <c r="AN16" s="48">
        <f t="shared" si="14"/>
        <v>728091.50789809274</v>
      </c>
      <c r="AO16" s="47">
        <f t="shared" si="15"/>
        <v>0.68110519053360319</v>
      </c>
      <c r="AP16" s="47">
        <f t="shared" si="16"/>
        <v>0.96656313098760949</v>
      </c>
      <c r="AQ16">
        <v>2020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5023040.66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9594677.9800000004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2.0580145331095201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1.1851611664561601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09" priority="4">
      <formula>ISTEXT(J5)</formula>
    </cfRule>
    <cfRule type="notContainsBlanks" dxfId="208" priority="5">
      <formula>LEN(TRIM(J5))&gt;0</formula>
    </cfRule>
  </conditionalFormatting>
  <conditionalFormatting sqref="M5:N24 R5:S24">
    <cfRule type="expression" dxfId="207" priority="2">
      <formula>ISTEXT(M5)</formula>
    </cfRule>
  </conditionalFormatting>
  <conditionalFormatting sqref="M5:N24 R5:S24">
    <cfRule type="notContainsBlanks" dxfId="206" priority="3">
      <formula>LEN(TRIM(M5))&gt;0</formula>
    </cfRule>
  </conditionalFormatting>
  <conditionalFormatting sqref="R5:S24">
    <cfRule type="expression" dxfId="2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AIF90"/>
  <sheetViews>
    <sheetView zoomScale="70" zoomScaleNormal="70" workbookViewId="0">
      <selection activeCell="H15" sqref="H15"/>
    </sheetView>
  </sheetViews>
  <sheetFormatPr defaultColWidth="9.140625" defaultRowHeight="15"/>
  <cols>
    <col min="1" max="1" width="16.42578125" style="102" customWidth="1"/>
    <col min="2" max="2" width="14.5703125" style="248" customWidth="1"/>
    <col min="3" max="3" width="41.42578125" style="248" customWidth="1"/>
    <col min="4" max="4" width="41.42578125" style="248" hidden="1" customWidth="1"/>
    <col min="5" max="5" width="14.42578125" style="248" hidden="1" customWidth="1"/>
    <col min="6" max="6" width="13.5703125" style="248" customWidth="1"/>
    <col min="7" max="7" width="20.140625" style="248" customWidth="1"/>
    <col min="8" max="8" width="16.42578125" style="248" customWidth="1"/>
    <col min="9" max="9" width="20.140625" style="248" customWidth="1"/>
    <col min="10" max="10" width="15.42578125" style="248" customWidth="1"/>
    <col min="11" max="11" width="14.5703125" style="248" customWidth="1"/>
    <col min="12" max="12" width="16.42578125" style="248" customWidth="1"/>
    <col min="13" max="13" width="15" style="248" hidden="1" customWidth="1"/>
    <col min="14" max="14" width="16.5703125" style="248" customWidth="1"/>
    <col min="15" max="15" width="16.42578125" style="248" customWidth="1"/>
    <col min="16" max="16" width="17.140625" style="248" hidden="1" customWidth="1"/>
    <col min="17" max="17" width="20" style="248" customWidth="1"/>
    <col min="18" max="18" width="20.5703125" style="248" customWidth="1"/>
    <col min="19" max="19" width="17.42578125" style="248" customWidth="1"/>
    <col min="20" max="20" width="19.5703125" style="389" customWidth="1"/>
    <col min="21" max="21" width="16.140625" style="248" customWidth="1"/>
    <col min="22" max="22" width="23.42578125" style="248" customWidth="1"/>
    <col min="23" max="23" width="4.140625" style="102" customWidth="1"/>
    <col min="24" max="27" width="16.7109375" style="106" customWidth="1"/>
    <col min="28" max="916" width="9.140625" style="106"/>
    <col min="917" max="16384" width="9.140625" style="248"/>
  </cols>
  <sheetData>
    <row r="1" spans="1:916" s="277" customFormat="1">
      <c r="A1" s="106"/>
      <c r="B1" s="103" t="s">
        <v>2454</v>
      </c>
      <c r="C1" s="106"/>
      <c r="D1" s="106"/>
      <c r="E1" s="106"/>
      <c r="F1" s="270"/>
      <c r="G1" s="270"/>
      <c r="H1" s="270"/>
      <c r="I1" s="271"/>
      <c r="J1" s="107"/>
      <c r="K1" s="107"/>
      <c r="L1" s="107"/>
      <c r="M1" s="107"/>
      <c r="N1" s="272"/>
      <c r="O1" s="107"/>
      <c r="P1" s="273"/>
      <c r="Q1" s="274"/>
      <c r="R1" s="271"/>
      <c r="S1" s="271"/>
      <c r="T1" s="275"/>
      <c r="U1" s="276"/>
      <c r="V1" s="27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  <c r="HT1" s="106"/>
      <c r="HU1" s="106"/>
      <c r="HV1" s="106"/>
      <c r="HW1" s="106"/>
      <c r="HX1" s="106"/>
      <c r="HY1" s="106"/>
      <c r="HZ1" s="106"/>
      <c r="IA1" s="106"/>
      <c r="IB1" s="106"/>
      <c r="IC1" s="106"/>
      <c r="ID1" s="106"/>
      <c r="IE1" s="106"/>
      <c r="IF1" s="106"/>
      <c r="IG1" s="106"/>
      <c r="IH1" s="106"/>
      <c r="II1" s="106"/>
      <c r="IJ1" s="106"/>
      <c r="IK1" s="106"/>
      <c r="IL1" s="106"/>
      <c r="IM1" s="106"/>
      <c r="IN1" s="106"/>
      <c r="IO1" s="106"/>
      <c r="IP1" s="106"/>
      <c r="IQ1" s="106"/>
      <c r="IR1" s="106"/>
      <c r="IS1" s="106"/>
      <c r="IT1" s="106"/>
      <c r="IU1" s="106"/>
      <c r="IV1" s="106"/>
      <c r="IW1" s="106"/>
      <c r="IX1" s="106"/>
      <c r="IY1" s="106"/>
      <c r="IZ1" s="106"/>
      <c r="JA1" s="106"/>
      <c r="JB1" s="106"/>
      <c r="JC1" s="106"/>
      <c r="JD1" s="106"/>
      <c r="JE1" s="106"/>
      <c r="JF1" s="106"/>
      <c r="JG1" s="106"/>
      <c r="JH1" s="106"/>
      <c r="JI1" s="106"/>
      <c r="JJ1" s="106"/>
      <c r="JK1" s="106"/>
      <c r="JL1" s="106"/>
      <c r="JM1" s="106"/>
      <c r="JN1" s="106"/>
      <c r="JO1" s="106"/>
      <c r="JP1" s="106"/>
      <c r="JQ1" s="106"/>
      <c r="JR1" s="106"/>
      <c r="JS1" s="106"/>
      <c r="JT1" s="106"/>
      <c r="JU1" s="106"/>
      <c r="JV1" s="106"/>
      <c r="JW1" s="106"/>
      <c r="JX1" s="106"/>
      <c r="JY1" s="106"/>
      <c r="JZ1" s="106"/>
      <c r="KA1" s="106"/>
      <c r="KB1" s="106"/>
      <c r="KC1" s="106"/>
      <c r="KD1" s="106"/>
      <c r="KE1" s="106"/>
      <c r="KF1" s="106"/>
      <c r="KG1" s="106"/>
      <c r="KH1" s="106"/>
      <c r="KI1" s="106"/>
      <c r="KJ1" s="106"/>
      <c r="KK1" s="106"/>
      <c r="KL1" s="106"/>
      <c r="KM1" s="106"/>
      <c r="KN1" s="106"/>
      <c r="KO1" s="106"/>
      <c r="KP1" s="106"/>
      <c r="KQ1" s="106"/>
      <c r="KR1" s="106"/>
      <c r="KS1" s="106"/>
      <c r="KT1" s="106"/>
      <c r="KU1" s="106"/>
      <c r="KV1" s="106"/>
      <c r="KW1" s="106"/>
      <c r="KX1" s="106"/>
      <c r="KY1" s="106"/>
      <c r="KZ1" s="106"/>
      <c r="LA1" s="106"/>
      <c r="LB1" s="106"/>
      <c r="LC1" s="106"/>
      <c r="LD1" s="106"/>
      <c r="LE1" s="106"/>
      <c r="LF1" s="106"/>
      <c r="LG1" s="106"/>
      <c r="LH1" s="106"/>
      <c r="LI1" s="106"/>
      <c r="LJ1" s="106"/>
      <c r="LK1" s="106"/>
      <c r="LL1" s="106"/>
      <c r="LM1" s="106"/>
      <c r="LN1" s="106"/>
      <c r="LO1" s="106"/>
      <c r="LP1" s="106"/>
      <c r="LQ1" s="106"/>
      <c r="LR1" s="106"/>
      <c r="LS1" s="106"/>
      <c r="LT1" s="106"/>
      <c r="LU1" s="106"/>
      <c r="LV1" s="106"/>
      <c r="LW1" s="106"/>
      <c r="LX1" s="106"/>
      <c r="LY1" s="106"/>
      <c r="LZ1" s="106"/>
      <c r="MA1" s="106"/>
      <c r="MB1" s="106"/>
      <c r="MC1" s="106"/>
      <c r="MD1" s="106"/>
      <c r="ME1" s="106"/>
      <c r="MF1" s="106"/>
      <c r="MG1" s="106"/>
      <c r="MH1" s="106"/>
      <c r="MI1" s="106"/>
      <c r="MJ1" s="106"/>
      <c r="MK1" s="106"/>
      <c r="ML1" s="106"/>
      <c r="MM1" s="106"/>
      <c r="MN1" s="106"/>
      <c r="MO1" s="106"/>
      <c r="MP1" s="106"/>
      <c r="MQ1" s="106"/>
      <c r="MR1" s="106"/>
      <c r="MS1" s="106"/>
      <c r="MT1" s="106"/>
      <c r="MU1" s="106"/>
      <c r="MV1" s="106"/>
      <c r="MW1" s="106"/>
      <c r="MX1" s="106"/>
      <c r="MY1" s="106"/>
      <c r="MZ1" s="106"/>
      <c r="NA1" s="106"/>
      <c r="NB1" s="106"/>
      <c r="NC1" s="106"/>
      <c r="ND1" s="106"/>
      <c r="NE1" s="106"/>
      <c r="NF1" s="106"/>
      <c r="NG1" s="106"/>
      <c r="NH1" s="106"/>
      <c r="NI1" s="106"/>
      <c r="NJ1" s="106"/>
      <c r="NK1" s="106"/>
      <c r="NL1" s="106"/>
      <c r="NM1" s="106"/>
      <c r="NN1" s="106"/>
      <c r="NO1" s="106"/>
      <c r="NP1" s="106"/>
      <c r="NQ1" s="106"/>
      <c r="NR1" s="106"/>
      <c r="NS1" s="106"/>
      <c r="NT1" s="106"/>
      <c r="NU1" s="106"/>
      <c r="NV1" s="106"/>
      <c r="NW1" s="106"/>
      <c r="NX1" s="106"/>
      <c r="NY1" s="106"/>
      <c r="NZ1" s="106"/>
      <c r="OA1" s="106"/>
      <c r="OB1" s="106"/>
      <c r="OC1" s="106"/>
      <c r="OD1" s="106"/>
      <c r="OE1" s="106"/>
      <c r="OF1" s="106"/>
      <c r="OG1" s="106"/>
      <c r="OH1" s="106"/>
      <c r="OI1" s="106"/>
      <c r="OJ1" s="106"/>
      <c r="OK1" s="106"/>
      <c r="OL1" s="106"/>
      <c r="OM1" s="106"/>
      <c r="ON1" s="106"/>
      <c r="OO1" s="106"/>
      <c r="OP1" s="106"/>
      <c r="OQ1" s="106"/>
      <c r="OR1" s="106"/>
      <c r="OS1" s="106"/>
      <c r="OT1" s="106"/>
      <c r="OU1" s="106"/>
      <c r="OV1" s="106"/>
      <c r="OW1" s="106"/>
      <c r="OX1" s="106"/>
      <c r="OY1" s="106"/>
      <c r="OZ1" s="106"/>
      <c r="PA1" s="106"/>
      <c r="PB1" s="106"/>
      <c r="PC1" s="106"/>
      <c r="PD1" s="106"/>
      <c r="PE1" s="106"/>
      <c r="PF1" s="106"/>
      <c r="PG1" s="106"/>
      <c r="PH1" s="106"/>
      <c r="PI1" s="106"/>
      <c r="PJ1" s="106"/>
      <c r="PK1" s="106"/>
      <c r="PL1" s="106"/>
      <c r="PM1" s="106"/>
      <c r="PN1" s="106"/>
      <c r="PO1" s="106"/>
      <c r="PP1" s="106"/>
      <c r="PQ1" s="106"/>
      <c r="PR1" s="106"/>
      <c r="PS1" s="106"/>
      <c r="PT1" s="106"/>
      <c r="PU1" s="106"/>
      <c r="PV1" s="106"/>
      <c r="PW1" s="106"/>
      <c r="PX1" s="106"/>
      <c r="PY1" s="106"/>
      <c r="PZ1" s="106"/>
      <c r="QA1" s="106"/>
      <c r="QB1" s="106"/>
      <c r="QC1" s="106"/>
      <c r="QD1" s="106"/>
      <c r="QE1" s="106"/>
      <c r="QF1" s="106"/>
      <c r="QG1" s="106"/>
      <c r="QH1" s="106"/>
      <c r="QI1" s="106"/>
      <c r="QJ1" s="106"/>
      <c r="QK1" s="106"/>
      <c r="QL1" s="106"/>
      <c r="QM1" s="106"/>
      <c r="QN1" s="106"/>
      <c r="QO1" s="106"/>
      <c r="QP1" s="106"/>
      <c r="QQ1" s="106"/>
      <c r="QR1" s="106"/>
      <c r="QS1" s="106"/>
      <c r="QT1" s="106"/>
      <c r="QU1" s="106"/>
      <c r="QV1" s="106"/>
      <c r="QW1" s="106"/>
      <c r="QX1" s="106"/>
      <c r="QY1" s="106"/>
      <c r="QZ1" s="106"/>
      <c r="RA1" s="106"/>
      <c r="RB1" s="106"/>
      <c r="RC1" s="106"/>
      <c r="RD1" s="106"/>
      <c r="RE1" s="106"/>
      <c r="RF1" s="106"/>
      <c r="RG1" s="106"/>
      <c r="RH1" s="106"/>
      <c r="RI1" s="106"/>
      <c r="RJ1" s="106"/>
      <c r="RK1" s="106"/>
      <c r="RL1" s="106"/>
      <c r="RM1" s="106"/>
      <c r="RN1" s="106"/>
      <c r="RO1" s="106"/>
      <c r="RP1" s="106"/>
      <c r="RQ1" s="106"/>
      <c r="RR1" s="106"/>
      <c r="RS1" s="106"/>
      <c r="RT1" s="106"/>
      <c r="RU1" s="106"/>
      <c r="RV1" s="106"/>
      <c r="RW1" s="106"/>
      <c r="RX1" s="106"/>
      <c r="RY1" s="106"/>
      <c r="RZ1" s="106"/>
      <c r="SA1" s="106"/>
      <c r="SB1" s="106"/>
      <c r="SC1" s="106"/>
      <c r="SD1" s="106"/>
      <c r="SE1" s="106"/>
      <c r="SF1" s="106"/>
      <c r="SG1" s="106"/>
      <c r="SH1" s="106"/>
      <c r="SI1" s="106"/>
      <c r="SJ1" s="106"/>
      <c r="SK1" s="106"/>
      <c r="SL1" s="106"/>
      <c r="SM1" s="106"/>
      <c r="SN1" s="106"/>
      <c r="SO1" s="106"/>
      <c r="SP1" s="106"/>
      <c r="SQ1" s="106"/>
      <c r="SR1" s="106"/>
      <c r="SS1" s="106"/>
      <c r="ST1" s="106"/>
      <c r="SU1" s="106"/>
      <c r="SV1" s="106"/>
      <c r="SW1" s="106"/>
      <c r="SX1" s="106"/>
      <c r="SY1" s="106"/>
      <c r="SZ1" s="106"/>
      <c r="TA1" s="106"/>
      <c r="TB1" s="106"/>
      <c r="TC1" s="106"/>
      <c r="TD1" s="106"/>
      <c r="TE1" s="106"/>
      <c r="TF1" s="106"/>
      <c r="TG1" s="106"/>
      <c r="TH1" s="106"/>
      <c r="TI1" s="106"/>
      <c r="TJ1" s="106"/>
      <c r="TK1" s="106"/>
      <c r="TL1" s="106"/>
      <c r="TM1" s="106"/>
      <c r="TN1" s="106"/>
      <c r="TO1" s="106"/>
      <c r="TP1" s="106"/>
      <c r="TQ1" s="106"/>
      <c r="TR1" s="106"/>
      <c r="TS1" s="106"/>
      <c r="TT1" s="106"/>
      <c r="TU1" s="106"/>
      <c r="TV1" s="106"/>
      <c r="TW1" s="106"/>
      <c r="TX1" s="106"/>
      <c r="TY1" s="106"/>
      <c r="TZ1" s="106"/>
      <c r="UA1" s="106"/>
      <c r="UB1" s="106"/>
      <c r="UC1" s="106"/>
      <c r="UD1" s="106"/>
      <c r="UE1" s="106"/>
      <c r="UF1" s="106"/>
      <c r="UG1" s="106"/>
      <c r="UH1" s="106"/>
      <c r="UI1" s="106"/>
      <c r="UJ1" s="106"/>
      <c r="UK1" s="106"/>
      <c r="UL1" s="106"/>
      <c r="UM1" s="106"/>
      <c r="UN1" s="106"/>
      <c r="UO1" s="106"/>
      <c r="UP1" s="106"/>
      <c r="UQ1" s="106"/>
      <c r="UR1" s="106"/>
      <c r="US1" s="106"/>
      <c r="UT1" s="106"/>
      <c r="UU1" s="106"/>
      <c r="UV1" s="106"/>
      <c r="UW1" s="106"/>
      <c r="UX1" s="106"/>
      <c r="UY1" s="106"/>
      <c r="UZ1" s="106"/>
      <c r="VA1" s="106"/>
      <c r="VB1" s="106"/>
      <c r="VC1" s="106"/>
      <c r="VD1" s="106"/>
      <c r="VE1" s="106"/>
      <c r="VF1" s="106"/>
      <c r="VG1" s="106"/>
      <c r="VH1" s="106"/>
      <c r="VI1" s="106"/>
      <c r="VJ1" s="106"/>
      <c r="VK1" s="106"/>
      <c r="VL1" s="106"/>
      <c r="VM1" s="106"/>
      <c r="VN1" s="106"/>
      <c r="VO1" s="106"/>
      <c r="VP1" s="106"/>
      <c r="VQ1" s="106"/>
      <c r="VR1" s="106"/>
      <c r="VS1" s="106"/>
      <c r="VT1" s="106"/>
      <c r="VU1" s="106"/>
      <c r="VV1" s="106"/>
      <c r="VW1" s="106"/>
      <c r="VX1" s="106"/>
      <c r="VY1" s="106"/>
      <c r="VZ1" s="106"/>
      <c r="WA1" s="106"/>
      <c r="WB1" s="106"/>
      <c r="WC1" s="106"/>
      <c r="WD1" s="106"/>
      <c r="WE1" s="106"/>
      <c r="WF1" s="106"/>
      <c r="WG1" s="106"/>
      <c r="WH1" s="106"/>
      <c r="WI1" s="106"/>
      <c r="WJ1" s="106"/>
      <c r="WK1" s="106"/>
      <c r="WL1" s="106"/>
      <c r="WM1" s="106"/>
      <c r="WN1" s="106"/>
      <c r="WO1" s="106"/>
      <c r="WP1" s="106"/>
      <c r="WQ1" s="106"/>
      <c r="WR1" s="106"/>
      <c r="WS1" s="106"/>
      <c r="WT1" s="106"/>
      <c r="WU1" s="106"/>
      <c r="WV1" s="106"/>
      <c r="WW1" s="106"/>
      <c r="WX1" s="106"/>
      <c r="WY1" s="106"/>
      <c r="WZ1" s="106"/>
      <c r="XA1" s="106"/>
      <c r="XB1" s="106"/>
      <c r="XC1" s="106"/>
      <c r="XD1" s="106"/>
      <c r="XE1" s="106"/>
      <c r="XF1" s="106"/>
      <c r="XG1" s="106"/>
      <c r="XH1" s="106"/>
      <c r="XI1" s="106"/>
      <c r="XJ1" s="106"/>
      <c r="XK1" s="106"/>
      <c r="XL1" s="106"/>
      <c r="XM1" s="106"/>
      <c r="XN1" s="106"/>
      <c r="XO1" s="106"/>
      <c r="XP1" s="106"/>
      <c r="XQ1" s="106"/>
      <c r="XR1" s="106"/>
      <c r="XS1" s="106"/>
      <c r="XT1" s="106"/>
      <c r="XU1" s="106"/>
      <c r="XV1" s="106"/>
      <c r="XW1" s="106"/>
      <c r="XX1" s="106"/>
      <c r="XY1" s="106"/>
      <c r="XZ1" s="106"/>
      <c r="YA1" s="106"/>
      <c r="YB1" s="106"/>
      <c r="YC1" s="106"/>
      <c r="YD1" s="106"/>
      <c r="YE1" s="106"/>
      <c r="YF1" s="106"/>
      <c r="YG1" s="106"/>
      <c r="YH1" s="106"/>
      <c r="YI1" s="106"/>
      <c r="YJ1" s="106"/>
      <c r="YK1" s="106"/>
      <c r="YL1" s="106"/>
      <c r="YM1" s="106"/>
      <c r="YN1" s="106"/>
      <c r="YO1" s="106"/>
      <c r="YP1" s="106"/>
      <c r="YQ1" s="106"/>
      <c r="YR1" s="106"/>
      <c r="YS1" s="106"/>
      <c r="YT1" s="106"/>
      <c r="YU1" s="106"/>
      <c r="YV1" s="106"/>
      <c r="YW1" s="106"/>
      <c r="YX1" s="106"/>
      <c r="YY1" s="106"/>
      <c r="YZ1" s="106"/>
      <c r="ZA1" s="106"/>
      <c r="ZB1" s="106"/>
      <c r="ZC1" s="106"/>
      <c r="ZD1" s="106"/>
      <c r="ZE1" s="106"/>
      <c r="ZF1" s="106"/>
      <c r="ZG1" s="106"/>
      <c r="ZH1" s="106"/>
      <c r="ZI1" s="106"/>
      <c r="ZJ1" s="106"/>
      <c r="ZK1" s="106"/>
      <c r="ZL1" s="106"/>
      <c r="ZM1" s="106"/>
      <c r="ZN1" s="106"/>
      <c r="ZO1" s="106"/>
      <c r="ZP1" s="106"/>
      <c r="ZQ1" s="106"/>
      <c r="ZR1" s="106"/>
      <c r="ZS1" s="106"/>
      <c r="ZT1" s="106"/>
      <c r="ZU1" s="106"/>
      <c r="ZV1" s="106"/>
      <c r="ZW1" s="106"/>
      <c r="ZX1" s="106"/>
      <c r="ZY1" s="106"/>
      <c r="ZZ1" s="106"/>
      <c r="AAA1" s="106"/>
      <c r="AAB1" s="106"/>
      <c r="AAC1" s="106"/>
      <c r="AAD1" s="106"/>
      <c r="AAE1" s="106"/>
      <c r="AAF1" s="106"/>
      <c r="AAG1" s="106"/>
      <c r="AAH1" s="106"/>
      <c r="AAI1" s="106"/>
      <c r="AAJ1" s="106"/>
      <c r="AAK1" s="106"/>
      <c r="AAL1" s="106"/>
      <c r="AAM1" s="106"/>
      <c r="AAN1" s="106"/>
      <c r="AAO1" s="106"/>
      <c r="AAP1" s="106"/>
      <c r="AAQ1" s="106"/>
      <c r="AAR1" s="106"/>
      <c r="AAS1" s="106"/>
      <c r="AAT1" s="106"/>
      <c r="AAU1" s="106"/>
      <c r="AAV1" s="106"/>
      <c r="AAW1" s="106"/>
      <c r="AAX1" s="106"/>
      <c r="AAY1" s="106"/>
      <c r="AAZ1" s="106"/>
      <c r="ABA1" s="106"/>
      <c r="ABB1" s="106"/>
      <c r="ABC1" s="106"/>
      <c r="ABD1" s="106"/>
      <c r="ABE1" s="106"/>
      <c r="ABF1" s="106"/>
      <c r="ABG1" s="106"/>
      <c r="ABH1" s="106"/>
      <c r="ABI1" s="106"/>
      <c r="ABJ1" s="106"/>
      <c r="ABK1" s="106"/>
      <c r="ABL1" s="106"/>
      <c r="ABM1" s="106"/>
      <c r="ABN1" s="106"/>
      <c r="ABO1" s="106"/>
      <c r="ABP1" s="106"/>
      <c r="ABQ1" s="106"/>
      <c r="ABR1" s="106"/>
      <c r="ABS1" s="106"/>
      <c r="ABT1" s="106"/>
      <c r="ABU1" s="106"/>
      <c r="ABV1" s="106"/>
      <c r="ABW1" s="106"/>
      <c r="ABX1" s="106"/>
      <c r="ABY1" s="106"/>
      <c r="ABZ1" s="106"/>
      <c r="ACA1" s="106"/>
      <c r="ACB1" s="106"/>
      <c r="ACC1" s="106"/>
      <c r="ACD1" s="106"/>
      <c r="ACE1" s="106"/>
      <c r="ACF1" s="106"/>
      <c r="ACG1" s="106"/>
      <c r="ACH1" s="106"/>
      <c r="ACI1" s="106"/>
      <c r="ACJ1" s="106"/>
      <c r="ACK1" s="106"/>
      <c r="ACL1" s="106"/>
      <c r="ACM1" s="106"/>
      <c r="ACN1" s="106"/>
      <c r="ACO1" s="106"/>
      <c r="ACP1" s="106"/>
      <c r="ACQ1" s="106"/>
      <c r="ACR1" s="106"/>
      <c r="ACS1" s="106"/>
      <c r="ACT1" s="106"/>
      <c r="ACU1" s="106"/>
      <c r="ACV1" s="106"/>
      <c r="ACW1" s="106"/>
      <c r="ACX1" s="106"/>
      <c r="ACY1" s="106"/>
      <c r="ACZ1" s="106"/>
      <c r="ADA1" s="106"/>
      <c r="ADB1" s="106"/>
      <c r="ADC1" s="106"/>
      <c r="ADD1" s="106"/>
      <c r="ADE1" s="106"/>
      <c r="ADF1" s="106"/>
      <c r="ADG1" s="106"/>
      <c r="ADH1" s="106"/>
      <c r="ADI1" s="106"/>
      <c r="ADJ1" s="106"/>
      <c r="ADK1" s="106"/>
      <c r="ADL1" s="106"/>
      <c r="ADM1" s="106"/>
      <c r="ADN1" s="106"/>
      <c r="ADO1" s="106"/>
      <c r="ADP1" s="106"/>
      <c r="ADQ1" s="106"/>
      <c r="ADR1" s="106"/>
      <c r="ADS1" s="106"/>
      <c r="ADT1" s="106"/>
      <c r="ADU1" s="106"/>
      <c r="ADV1" s="106"/>
      <c r="ADW1" s="106"/>
      <c r="ADX1" s="106"/>
      <c r="ADY1" s="106"/>
      <c r="ADZ1" s="106"/>
      <c r="AEA1" s="106"/>
      <c r="AEB1" s="106"/>
      <c r="AEC1" s="106"/>
      <c r="AED1" s="106"/>
      <c r="AEE1" s="106"/>
      <c r="AEF1" s="106"/>
      <c r="AEG1" s="106"/>
      <c r="AEH1" s="106"/>
      <c r="AEI1" s="106"/>
      <c r="AEJ1" s="106"/>
      <c r="AEK1" s="106"/>
      <c r="AEL1" s="106"/>
      <c r="AEM1" s="106"/>
      <c r="AEN1" s="106"/>
      <c r="AEO1" s="106"/>
      <c r="AEP1" s="106"/>
      <c r="AEQ1" s="106"/>
      <c r="AER1" s="106"/>
      <c r="AES1" s="106"/>
      <c r="AET1" s="106"/>
      <c r="AEU1" s="106"/>
      <c r="AEV1" s="106"/>
      <c r="AEW1" s="106"/>
      <c r="AEX1" s="106"/>
      <c r="AEY1" s="106"/>
      <c r="AEZ1" s="106"/>
      <c r="AFA1" s="106"/>
      <c r="AFB1" s="106"/>
      <c r="AFC1" s="106"/>
      <c r="AFD1" s="106"/>
      <c r="AFE1" s="106"/>
      <c r="AFF1" s="106"/>
      <c r="AFG1" s="106"/>
      <c r="AFH1" s="106"/>
      <c r="AFI1" s="106"/>
      <c r="AFJ1" s="106"/>
      <c r="AFK1" s="106"/>
      <c r="AFL1" s="106"/>
      <c r="AFM1" s="106"/>
      <c r="AFN1" s="106"/>
      <c r="AFO1" s="106"/>
      <c r="AFP1" s="106"/>
      <c r="AFQ1" s="106"/>
      <c r="AFR1" s="106"/>
      <c r="AFS1" s="106"/>
      <c r="AFT1" s="106"/>
      <c r="AFU1" s="106"/>
      <c r="AFV1" s="106"/>
      <c r="AFW1" s="106"/>
      <c r="AFX1" s="106"/>
      <c r="AFY1" s="106"/>
      <c r="AFZ1" s="106"/>
      <c r="AGA1" s="106"/>
      <c r="AGB1" s="106"/>
      <c r="AGC1" s="106"/>
      <c r="AGD1" s="106"/>
      <c r="AGE1" s="106"/>
      <c r="AGF1" s="106"/>
      <c r="AGG1" s="106"/>
      <c r="AGH1" s="106"/>
      <c r="AGI1" s="106"/>
      <c r="AGJ1" s="106"/>
      <c r="AGK1" s="106"/>
      <c r="AGL1" s="106"/>
      <c r="AGM1" s="106"/>
      <c r="AGN1" s="106"/>
      <c r="AGO1" s="106"/>
      <c r="AGP1" s="106"/>
      <c r="AGQ1" s="106"/>
      <c r="AGR1" s="106"/>
      <c r="AGS1" s="106"/>
      <c r="AGT1" s="106"/>
      <c r="AGU1" s="106"/>
      <c r="AGV1" s="106"/>
      <c r="AGW1" s="106"/>
      <c r="AGX1" s="106"/>
      <c r="AGY1" s="106"/>
      <c r="AGZ1" s="106"/>
      <c r="AHA1" s="106"/>
      <c r="AHB1" s="106"/>
      <c r="AHC1" s="106"/>
      <c r="AHD1" s="106"/>
      <c r="AHE1" s="106"/>
      <c r="AHF1" s="106"/>
      <c r="AHG1" s="106"/>
      <c r="AHH1" s="106"/>
      <c r="AHI1" s="106"/>
      <c r="AHJ1" s="106"/>
      <c r="AHK1" s="106"/>
      <c r="AHL1" s="106"/>
      <c r="AHM1" s="106"/>
      <c r="AHN1" s="106"/>
      <c r="AHO1" s="106"/>
      <c r="AHP1" s="106"/>
      <c r="AHQ1" s="106"/>
      <c r="AHR1" s="106"/>
      <c r="AHS1" s="106"/>
      <c r="AHT1" s="106"/>
      <c r="AHU1" s="106"/>
      <c r="AHV1" s="106"/>
      <c r="AHW1" s="106"/>
      <c r="AHX1" s="106"/>
      <c r="AHY1" s="106"/>
      <c r="AHZ1" s="106"/>
      <c r="AIA1" s="106"/>
      <c r="AIB1" s="106"/>
      <c r="AIC1" s="106"/>
      <c r="AID1" s="106"/>
      <c r="AIE1" s="106"/>
      <c r="AIF1" s="106"/>
    </row>
    <row r="2" spans="1:916" s="12" customFormat="1">
      <c r="A2" s="17"/>
      <c r="B2" s="278" t="s">
        <v>329</v>
      </c>
      <c r="C2" s="279">
        <f>GasDiscountRate</f>
        <v>6.9699999999999998E-2</v>
      </c>
      <c r="D2" s="279"/>
      <c r="E2" s="280"/>
      <c r="F2" s="112" t="s">
        <v>330</v>
      </c>
      <c r="G2" s="113" t="s">
        <v>331</v>
      </c>
      <c r="H2" s="113" t="s">
        <v>330</v>
      </c>
      <c r="I2" s="113" t="s">
        <v>330</v>
      </c>
      <c r="J2" s="113" t="s">
        <v>330</v>
      </c>
      <c r="K2" s="113" t="s">
        <v>330</v>
      </c>
      <c r="L2" s="113" t="s">
        <v>330</v>
      </c>
      <c r="M2" s="113" t="s">
        <v>330</v>
      </c>
      <c r="N2" s="113" t="s">
        <v>330</v>
      </c>
      <c r="O2" s="113" t="s">
        <v>330</v>
      </c>
      <c r="P2" s="114" t="s">
        <v>330</v>
      </c>
      <c r="Q2" s="115" t="s">
        <v>332</v>
      </c>
      <c r="R2" s="115" t="s">
        <v>332</v>
      </c>
      <c r="S2" s="113" t="s">
        <v>330</v>
      </c>
      <c r="T2" s="113" t="s">
        <v>333</v>
      </c>
      <c r="U2" s="115" t="s">
        <v>332</v>
      </c>
      <c r="V2" s="115" t="s">
        <v>332</v>
      </c>
      <c r="W2" s="281"/>
      <c r="X2" s="282"/>
      <c r="Y2" s="282"/>
      <c r="Z2" s="282"/>
      <c r="AA2" s="282"/>
      <c r="AB2" s="282"/>
      <c r="AC2" s="282"/>
      <c r="AD2" s="282"/>
      <c r="AE2" s="282"/>
      <c r="AF2" s="282"/>
      <c r="AG2" s="282"/>
      <c r="AH2" s="282"/>
      <c r="AI2" s="282"/>
      <c r="AJ2" s="282"/>
      <c r="AK2" s="282"/>
      <c r="AL2" s="282"/>
      <c r="AM2" s="282"/>
      <c r="AN2" s="282"/>
      <c r="AO2" s="282"/>
      <c r="AP2" s="282"/>
      <c r="AQ2" s="282"/>
      <c r="AR2" s="282"/>
      <c r="AS2" s="282"/>
      <c r="AT2" s="282"/>
      <c r="AU2" s="282"/>
      <c r="AV2" s="282"/>
      <c r="AW2" s="282"/>
      <c r="AX2" s="282"/>
      <c r="AY2" s="282"/>
      <c r="AZ2" s="282"/>
      <c r="BA2" s="282"/>
      <c r="BB2" s="282"/>
      <c r="BC2" s="282"/>
      <c r="BD2" s="282"/>
      <c r="BE2" s="282"/>
      <c r="BF2" s="282"/>
      <c r="BG2" s="282"/>
      <c r="BH2" s="282"/>
      <c r="BI2" s="282"/>
      <c r="BJ2" s="282"/>
      <c r="BK2" s="282"/>
      <c r="BL2" s="282"/>
      <c r="BM2" s="282"/>
      <c r="BN2" s="282"/>
      <c r="BO2" s="282"/>
      <c r="BP2" s="282"/>
      <c r="BQ2" s="282"/>
      <c r="BR2" s="282"/>
      <c r="BS2" s="282"/>
      <c r="BT2" s="282"/>
      <c r="BU2" s="282"/>
      <c r="BV2" s="282"/>
      <c r="BW2" s="282"/>
      <c r="BX2" s="282"/>
      <c r="BY2" s="282"/>
      <c r="BZ2" s="282"/>
      <c r="CA2" s="282"/>
      <c r="CB2" s="282"/>
      <c r="CC2" s="282"/>
      <c r="CD2" s="282"/>
      <c r="CE2" s="282"/>
      <c r="CF2" s="282"/>
      <c r="CG2" s="282"/>
      <c r="CH2" s="282"/>
      <c r="CI2" s="282"/>
      <c r="CJ2" s="282"/>
      <c r="CK2" s="282"/>
      <c r="CL2" s="282"/>
      <c r="CM2" s="282"/>
      <c r="CN2" s="282"/>
      <c r="CO2" s="282"/>
      <c r="CP2" s="282"/>
      <c r="CQ2" s="282"/>
      <c r="CR2" s="282"/>
      <c r="CS2" s="282"/>
      <c r="CT2" s="282"/>
      <c r="CU2" s="282"/>
      <c r="CV2" s="282"/>
      <c r="CW2" s="282"/>
      <c r="CX2" s="282"/>
      <c r="CY2" s="282"/>
      <c r="CZ2" s="282"/>
      <c r="DA2" s="282"/>
      <c r="DB2" s="282"/>
      <c r="DC2" s="282"/>
      <c r="DD2" s="282"/>
      <c r="DE2" s="282"/>
      <c r="DF2" s="282"/>
      <c r="DG2" s="282"/>
      <c r="DH2" s="282"/>
      <c r="DI2" s="282"/>
      <c r="DJ2" s="282"/>
      <c r="DK2" s="282"/>
      <c r="DL2" s="282"/>
      <c r="DM2" s="282"/>
      <c r="DN2" s="282"/>
      <c r="DO2" s="282"/>
      <c r="DP2" s="282"/>
      <c r="DQ2" s="282"/>
      <c r="DR2" s="282"/>
      <c r="DS2" s="282"/>
      <c r="DT2" s="282"/>
      <c r="DU2" s="282"/>
      <c r="DV2" s="282"/>
      <c r="DW2" s="282"/>
      <c r="DX2" s="282"/>
      <c r="DY2" s="282"/>
      <c r="DZ2" s="282"/>
      <c r="EA2" s="282"/>
      <c r="EB2" s="282"/>
      <c r="EC2" s="282"/>
      <c r="ED2" s="282"/>
      <c r="EE2" s="282"/>
      <c r="EF2" s="282"/>
      <c r="EG2" s="282"/>
      <c r="EH2" s="282"/>
      <c r="EI2" s="282"/>
      <c r="EJ2" s="282"/>
      <c r="EK2" s="282"/>
      <c r="EL2" s="282"/>
      <c r="EM2" s="282"/>
      <c r="EN2" s="282"/>
      <c r="EO2" s="282"/>
      <c r="EP2" s="282"/>
      <c r="EQ2" s="282"/>
      <c r="ER2" s="282"/>
      <c r="ES2" s="282"/>
      <c r="ET2" s="282"/>
      <c r="EU2" s="282"/>
      <c r="EV2" s="282"/>
      <c r="EW2" s="282"/>
      <c r="EX2" s="282"/>
      <c r="EY2" s="282"/>
      <c r="EZ2" s="282"/>
      <c r="FA2" s="282"/>
      <c r="FB2" s="282"/>
      <c r="FC2" s="282"/>
      <c r="FD2" s="282"/>
      <c r="FE2" s="282"/>
      <c r="FF2" s="282"/>
      <c r="FG2" s="282"/>
      <c r="FH2" s="282"/>
      <c r="FI2" s="282"/>
      <c r="FJ2" s="282"/>
      <c r="FK2" s="282"/>
      <c r="FL2" s="282"/>
      <c r="FM2" s="282"/>
      <c r="FN2" s="282"/>
      <c r="FO2" s="282"/>
      <c r="FP2" s="282"/>
      <c r="FQ2" s="282"/>
      <c r="FR2" s="282"/>
      <c r="FS2" s="282"/>
      <c r="FT2" s="282"/>
      <c r="FU2" s="282"/>
      <c r="FV2" s="282"/>
      <c r="FW2" s="282"/>
      <c r="FX2" s="282"/>
      <c r="FY2" s="282"/>
      <c r="FZ2" s="282"/>
      <c r="GA2" s="282"/>
      <c r="GB2" s="282"/>
      <c r="GC2" s="282"/>
      <c r="GD2" s="282"/>
      <c r="GE2" s="282"/>
      <c r="GF2" s="282"/>
      <c r="GG2" s="282"/>
      <c r="GH2" s="282"/>
      <c r="GI2" s="282"/>
      <c r="GJ2" s="282"/>
      <c r="GK2" s="282"/>
      <c r="GL2" s="282"/>
      <c r="GM2" s="282"/>
      <c r="GN2" s="282"/>
      <c r="GO2" s="282"/>
      <c r="GP2" s="282"/>
      <c r="GQ2" s="282"/>
      <c r="GR2" s="282"/>
      <c r="GS2" s="282"/>
      <c r="GT2" s="282"/>
      <c r="GU2" s="282"/>
      <c r="GV2" s="282"/>
      <c r="GW2" s="282"/>
      <c r="GX2" s="282"/>
      <c r="GY2" s="282"/>
      <c r="GZ2" s="282"/>
      <c r="HA2" s="282"/>
      <c r="HB2" s="282"/>
      <c r="HC2" s="282"/>
      <c r="HD2" s="282"/>
      <c r="HE2" s="282"/>
      <c r="HF2" s="282"/>
      <c r="HG2" s="282"/>
      <c r="HH2" s="282"/>
      <c r="HI2" s="282"/>
      <c r="HJ2" s="282"/>
      <c r="HK2" s="282"/>
      <c r="HL2" s="282"/>
      <c r="HM2" s="282"/>
      <c r="HN2" s="282"/>
      <c r="HO2" s="282"/>
      <c r="HP2" s="282"/>
      <c r="HQ2" s="282"/>
      <c r="HR2" s="282"/>
      <c r="HS2" s="282"/>
      <c r="HT2" s="282"/>
      <c r="HU2" s="282"/>
      <c r="HV2" s="282"/>
      <c r="HW2" s="282"/>
      <c r="HX2" s="282"/>
      <c r="HY2" s="282"/>
      <c r="HZ2" s="282"/>
      <c r="IA2" s="282"/>
      <c r="IB2" s="282"/>
      <c r="IC2" s="282"/>
      <c r="ID2" s="282"/>
      <c r="IE2" s="282"/>
      <c r="IF2" s="282"/>
      <c r="IG2" s="282"/>
      <c r="IH2" s="282"/>
      <c r="II2" s="282"/>
      <c r="IJ2" s="282"/>
      <c r="IK2" s="282"/>
      <c r="IL2" s="282"/>
      <c r="IM2" s="282"/>
      <c r="IN2" s="282"/>
      <c r="IO2" s="282"/>
      <c r="IP2" s="282"/>
      <c r="IQ2" s="282"/>
      <c r="IR2" s="282"/>
      <c r="IS2" s="282"/>
      <c r="IT2" s="282"/>
      <c r="IU2" s="282"/>
      <c r="IV2" s="282"/>
      <c r="IW2" s="282"/>
      <c r="IX2" s="282"/>
      <c r="IY2" s="282"/>
      <c r="IZ2" s="282"/>
      <c r="JA2" s="282"/>
      <c r="JB2" s="282"/>
      <c r="JC2" s="282"/>
      <c r="JD2" s="282"/>
      <c r="JE2" s="282"/>
      <c r="JF2" s="282"/>
      <c r="JG2" s="282"/>
      <c r="JH2" s="282"/>
      <c r="JI2" s="282"/>
      <c r="JJ2" s="282"/>
      <c r="JK2" s="282"/>
      <c r="JL2" s="282"/>
      <c r="JM2" s="282"/>
      <c r="JN2" s="282"/>
      <c r="JO2" s="282"/>
      <c r="JP2" s="282"/>
      <c r="JQ2" s="282"/>
      <c r="JR2" s="282"/>
      <c r="JS2" s="282"/>
      <c r="JT2" s="282"/>
      <c r="JU2" s="282"/>
      <c r="JV2" s="282"/>
      <c r="JW2" s="282"/>
      <c r="JX2" s="282"/>
      <c r="JY2" s="282"/>
      <c r="JZ2" s="282"/>
      <c r="KA2" s="282"/>
      <c r="KB2" s="282"/>
      <c r="KC2" s="282"/>
      <c r="KD2" s="282"/>
      <c r="KE2" s="282"/>
      <c r="KF2" s="282"/>
      <c r="KG2" s="282"/>
      <c r="KH2" s="282"/>
      <c r="KI2" s="282"/>
      <c r="KJ2" s="282"/>
      <c r="KK2" s="282"/>
      <c r="KL2" s="282"/>
      <c r="KM2" s="282"/>
      <c r="KN2" s="282"/>
      <c r="KO2" s="282"/>
      <c r="KP2" s="282"/>
      <c r="KQ2" s="282"/>
      <c r="KR2" s="282"/>
      <c r="KS2" s="282"/>
      <c r="KT2" s="282"/>
      <c r="KU2" s="282"/>
      <c r="KV2" s="282"/>
      <c r="KW2" s="282"/>
      <c r="KX2" s="282"/>
      <c r="KY2" s="282"/>
      <c r="KZ2" s="282"/>
      <c r="LA2" s="282"/>
      <c r="LB2" s="282"/>
      <c r="LC2" s="282"/>
      <c r="LD2" s="282"/>
      <c r="LE2" s="282"/>
      <c r="LF2" s="282"/>
      <c r="LG2" s="282"/>
      <c r="LH2" s="282"/>
      <c r="LI2" s="282"/>
      <c r="LJ2" s="282"/>
      <c r="LK2" s="282"/>
      <c r="LL2" s="282"/>
      <c r="LM2" s="282"/>
      <c r="LN2" s="282"/>
      <c r="LO2" s="282"/>
      <c r="LP2" s="282"/>
      <c r="LQ2" s="282"/>
      <c r="LR2" s="282"/>
      <c r="LS2" s="282"/>
      <c r="LT2" s="282"/>
      <c r="LU2" s="282"/>
      <c r="LV2" s="282"/>
      <c r="LW2" s="282"/>
      <c r="LX2" s="282"/>
      <c r="LY2" s="282"/>
      <c r="LZ2" s="282"/>
      <c r="MA2" s="282"/>
      <c r="MB2" s="282"/>
      <c r="MC2" s="282"/>
      <c r="MD2" s="282"/>
      <c r="ME2" s="282"/>
      <c r="MF2" s="282"/>
      <c r="MG2" s="282"/>
      <c r="MH2" s="282"/>
      <c r="MI2" s="282"/>
      <c r="MJ2" s="282"/>
      <c r="MK2" s="282"/>
      <c r="ML2" s="282"/>
      <c r="MM2" s="282"/>
      <c r="MN2" s="282"/>
      <c r="MO2" s="282"/>
      <c r="MP2" s="282"/>
      <c r="MQ2" s="282"/>
      <c r="MR2" s="282"/>
      <c r="MS2" s="282"/>
      <c r="MT2" s="282"/>
      <c r="MU2" s="282"/>
      <c r="MV2" s="282"/>
      <c r="MW2" s="282"/>
      <c r="MX2" s="282"/>
      <c r="MY2" s="282"/>
      <c r="MZ2" s="282"/>
      <c r="NA2" s="282"/>
      <c r="NB2" s="282"/>
      <c r="NC2" s="282"/>
      <c r="ND2" s="282"/>
      <c r="NE2" s="282"/>
      <c r="NF2" s="282"/>
      <c r="NG2" s="282"/>
      <c r="NH2" s="282"/>
      <c r="NI2" s="282"/>
      <c r="NJ2" s="282"/>
      <c r="NK2" s="282"/>
      <c r="NL2" s="282"/>
      <c r="NM2" s="282"/>
      <c r="NN2" s="282"/>
      <c r="NO2" s="282"/>
      <c r="NP2" s="282"/>
      <c r="NQ2" s="282"/>
      <c r="NR2" s="282"/>
      <c r="NS2" s="282"/>
      <c r="NT2" s="282"/>
      <c r="NU2" s="282"/>
      <c r="NV2" s="282"/>
      <c r="NW2" s="282"/>
      <c r="NX2" s="282"/>
      <c r="NY2" s="282"/>
      <c r="NZ2" s="282"/>
      <c r="OA2" s="282"/>
      <c r="OB2" s="282"/>
      <c r="OC2" s="282"/>
      <c r="OD2" s="282"/>
      <c r="OE2" s="282"/>
      <c r="OF2" s="282"/>
      <c r="OG2" s="282"/>
      <c r="OH2" s="282"/>
      <c r="OI2" s="282"/>
      <c r="OJ2" s="282"/>
      <c r="OK2" s="282"/>
      <c r="OL2" s="282"/>
      <c r="OM2" s="282"/>
      <c r="ON2" s="282"/>
      <c r="OO2" s="282"/>
      <c r="OP2" s="282"/>
      <c r="OQ2" s="282"/>
      <c r="OR2" s="282"/>
      <c r="OS2" s="282"/>
      <c r="OT2" s="282"/>
      <c r="OU2" s="282"/>
      <c r="OV2" s="282"/>
      <c r="OW2" s="282"/>
      <c r="OX2" s="282"/>
      <c r="OY2" s="282"/>
      <c r="OZ2" s="282"/>
      <c r="PA2" s="282"/>
      <c r="PB2" s="282"/>
      <c r="PC2" s="282"/>
      <c r="PD2" s="282"/>
      <c r="PE2" s="282"/>
      <c r="PF2" s="282"/>
      <c r="PG2" s="282"/>
      <c r="PH2" s="282"/>
      <c r="PI2" s="282"/>
      <c r="PJ2" s="282"/>
      <c r="PK2" s="282"/>
      <c r="PL2" s="282"/>
      <c r="PM2" s="282"/>
      <c r="PN2" s="282"/>
      <c r="PO2" s="282"/>
      <c r="PP2" s="282"/>
      <c r="PQ2" s="282"/>
      <c r="PR2" s="282"/>
      <c r="PS2" s="282"/>
      <c r="PT2" s="282"/>
      <c r="PU2" s="282"/>
      <c r="PV2" s="282"/>
      <c r="PW2" s="282"/>
      <c r="PX2" s="282"/>
      <c r="PY2" s="282"/>
      <c r="PZ2" s="282"/>
      <c r="QA2" s="282"/>
      <c r="QB2" s="282"/>
      <c r="QC2" s="282"/>
      <c r="QD2" s="282"/>
      <c r="QE2" s="282"/>
      <c r="QF2" s="282"/>
      <c r="QG2" s="282"/>
      <c r="QH2" s="282"/>
      <c r="QI2" s="282"/>
      <c r="QJ2" s="282"/>
      <c r="QK2" s="282"/>
      <c r="QL2" s="282"/>
      <c r="QM2" s="282"/>
      <c r="QN2" s="282"/>
      <c r="QO2" s="282"/>
      <c r="QP2" s="282"/>
      <c r="QQ2" s="282"/>
      <c r="QR2" s="282"/>
      <c r="QS2" s="282"/>
      <c r="QT2" s="282"/>
      <c r="QU2" s="282"/>
      <c r="QV2" s="282"/>
      <c r="QW2" s="282"/>
      <c r="QX2" s="282"/>
      <c r="QY2" s="282"/>
      <c r="QZ2" s="282"/>
      <c r="RA2" s="282"/>
      <c r="RB2" s="282"/>
      <c r="RC2" s="282"/>
      <c r="RD2" s="282"/>
      <c r="RE2" s="282"/>
      <c r="RF2" s="282"/>
      <c r="RG2" s="282"/>
      <c r="RH2" s="282"/>
      <c r="RI2" s="282"/>
      <c r="RJ2" s="282"/>
      <c r="RK2" s="282"/>
      <c r="RL2" s="282"/>
      <c r="RM2" s="282"/>
      <c r="RN2" s="282"/>
      <c r="RO2" s="282"/>
      <c r="RP2" s="282"/>
      <c r="RQ2" s="282"/>
      <c r="RR2" s="282"/>
      <c r="RS2" s="282"/>
      <c r="RT2" s="282"/>
      <c r="RU2" s="282"/>
      <c r="RV2" s="282"/>
      <c r="RW2" s="282"/>
      <c r="RX2" s="282"/>
      <c r="RY2" s="282"/>
      <c r="RZ2" s="282"/>
      <c r="SA2" s="282"/>
      <c r="SB2" s="282"/>
      <c r="SC2" s="282"/>
      <c r="SD2" s="282"/>
      <c r="SE2" s="282"/>
      <c r="SF2" s="282"/>
      <c r="SG2" s="282"/>
      <c r="SH2" s="282"/>
      <c r="SI2" s="282"/>
      <c r="SJ2" s="282"/>
      <c r="SK2" s="282"/>
      <c r="SL2" s="282"/>
      <c r="SM2" s="282"/>
      <c r="SN2" s="282"/>
      <c r="SO2" s="282"/>
      <c r="SP2" s="282"/>
      <c r="SQ2" s="282"/>
      <c r="SR2" s="282"/>
      <c r="SS2" s="282"/>
      <c r="ST2" s="282"/>
      <c r="SU2" s="282"/>
      <c r="SV2" s="282"/>
      <c r="SW2" s="282"/>
      <c r="SX2" s="282"/>
      <c r="SY2" s="282"/>
      <c r="SZ2" s="282"/>
      <c r="TA2" s="282"/>
      <c r="TB2" s="282"/>
      <c r="TC2" s="282"/>
      <c r="TD2" s="282"/>
      <c r="TE2" s="282"/>
      <c r="TF2" s="282"/>
      <c r="TG2" s="282"/>
      <c r="TH2" s="282"/>
      <c r="TI2" s="282"/>
      <c r="TJ2" s="282"/>
      <c r="TK2" s="282"/>
      <c r="TL2" s="282"/>
      <c r="TM2" s="282"/>
      <c r="TN2" s="282"/>
      <c r="TO2" s="282"/>
      <c r="TP2" s="282"/>
      <c r="TQ2" s="282"/>
      <c r="TR2" s="282"/>
      <c r="TS2" s="282"/>
      <c r="TT2" s="282"/>
      <c r="TU2" s="282"/>
      <c r="TV2" s="282"/>
      <c r="TW2" s="282"/>
      <c r="TX2" s="282"/>
      <c r="TY2" s="282"/>
      <c r="TZ2" s="282"/>
      <c r="UA2" s="282"/>
      <c r="UB2" s="282"/>
      <c r="UC2" s="282"/>
      <c r="UD2" s="282"/>
      <c r="UE2" s="282"/>
      <c r="UF2" s="282"/>
      <c r="UG2" s="282"/>
      <c r="UH2" s="282"/>
      <c r="UI2" s="282"/>
      <c r="UJ2" s="282"/>
      <c r="UK2" s="282"/>
      <c r="UL2" s="282"/>
      <c r="UM2" s="282"/>
      <c r="UN2" s="282"/>
      <c r="UO2" s="282"/>
      <c r="UP2" s="282"/>
      <c r="UQ2" s="282"/>
      <c r="UR2" s="282"/>
      <c r="US2" s="282"/>
      <c r="UT2" s="282"/>
      <c r="UU2" s="282"/>
      <c r="UV2" s="282"/>
      <c r="UW2" s="282"/>
      <c r="UX2" s="282"/>
      <c r="UY2" s="282"/>
      <c r="UZ2" s="282"/>
      <c r="VA2" s="282"/>
      <c r="VB2" s="282"/>
      <c r="VC2" s="282"/>
      <c r="VD2" s="282"/>
      <c r="VE2" s="282"/>
      <c r="VF2" s="282"/>
      <c r="VG2" s="282"/>
      <c r="VH2" s="282"/>
      <c r="VI2" s="282"/>
      <c r="VJ2" s="282"/>
      <c r="VK2" s="282"/>
      <c r="VL2" s="282"/>
      <c r="VM2" s="282"/>
      <c r="VN2" s="282"/>
      <c r="VO2" s="282"/>
      <c r="VP2" s="282"/>
      <c r="VQ2" s="282"/>
      <c r="VR2" s="282"/>
      <c r="VS2" s="282"/>
      <c r="VT2" s="282"/>
      <c r="VU2" s="282"/>
      <c r="VV2" s="282"/>
      <c r="VW2" s="282"/>
      <c r="VX2" s="282"/>
      <c r="VY2" s="282"/>
      <c r="VZ2" s="282"/>
      <c r="WA2" s="282"/>
      <c r="WB2" s="282"/>
      <c r="WC2" s="282"/>
      <c r="WD2" s="282"/>
      <c r="WE2" s="282"/>
      <c r="WF2" s="282"/>
      <c r="WG2" s="282"/>
      <c r="WH2" s="282"/>
      <c r="WI2" s="282"/>
      <c r="WJ2" s="282"/>
      <c r="WK2" s="282"/>
      <c r="WL2" s="282"/>
      <c r="WM2" s="282"/>
      <c r="WN2" s="282"/>
      <c r="WO2" s="282"/>
      <c r="WP2" s="282"/>
      <c r="WQ2" s="282"/>
      <c r="WR2" s="282"/>
      <c r="WS2" s="282"/>
      <c r="WT2" s="282"/>
      <c r="WU2" s="282"/>
      <c r="WV2" s="282"/>
      <c r="WW2" s="282"/>
      <c r="WX2" s="282"/>
      <c r="WY2" s="282"/>
      <c r="WZ2" s="282"/>
      <c r="XA2" s="282"/>
      <c r="XB2" s="282"/>
      <c r="XC2" s="282"/>
      <c r="XD2" s="282"/>
      <c r="XE2" s="282"/>
      <c r="XF2" s="282"/>
      <c r="XG2" s="282"/>
      <c r="XH2" s="282"/>
      <c r="XI2" s="282"/>
      <c r="XJ2" s="282"/>
      <c r="XK2" s="282"/>
      <c r="XL2" s="282"/>
      <c r="XM2" s="282"/>
      <c r="XN2" s="282"/>
      <c r="XO2" s="282"/>
      <c r="XP2" s="282"/>
      <c r="XQ2" s="282"/>
      <c r="XR2" s="282"/>
      <c r="XS2" s="282"/>
      <c r="XT2" s="282"/>
      <c r="XU2" s="282"/>
      <c r="XV2" s="282"/>
      <c r="XW2" s="282"/>
      <c r="XX2" s="282"/>
      <c r="XY2" s="282"/>
      <c r="XZ2" s="282"/>
      <c r="YA2" s="282"/>
      <c r="YB2" s="282"/>
      <c r="YC2" s="282"/>
      <c r="YD2" s="282"/>
      <c r="YE2" s="282"/>
      <c r="YF2" s="282"/>
      <c r="YG2" s="282"/>
      <c r="YH2" s="282"/>
      <c r="YI2" s="282"/>
      <c r="YJ2" s="282"/>
      <c r="YK2" s="282"/>
      <c r="YL2" s="282"/>
      <c r="YM2" s="282"/>
      <c r="YN2" s="282"/>
      <c r="YO2" s="282"/>
      <c r="YP2" s="282"/>
      <c r="YQ2" s="282"/>
      <c r="YR2" s="282"/>
      <c r="YS2" s="282"/>
      <c r="YT2" s="282"/>
      <c r="YU2" s="282"/>
      <c r="YV2" s="282"/>
      <c r="YW2" s="282"/>
      <c r="YX2" s="282"/>
      <c r="YY2" s="282"/>
      <c r="YZ2" s="282"/>
      <c r="ZA2" s="282"/>
      <c r="ZB2" s="282"/>
      <c r="ZC2" s="282"/>
      <c r="ZD2" s="282"/>
      <c r="ZE2" s="282"/>
      <c r="ZF2" s="282"/>
      <c r="ZG2" s="282"/>
      <c r="ZH2" s="282"/>
      <c r="ZI2" s="282"/>
      <c r="ZJ2" s="282"/>
      <c r="ZK2" s="282"/>
      <c r="ZL2" s="282"/>
      <c r="ZM2" s="282"/>
      <c r="ZN2" s="282"/>
      <c r="ZO2" s="282"/>
      <c r="ZP2" s="282"/>
      <c r="ZQ2" s="282"/>
      <c r="ZR2" s="282"/>
      <c r="ZS2" s="282"/>
      <c r="ZT2" s="282"/>
      <c r="ZU2" s="282"/>
      <c r="ZV2" s="282"/>
      <c r="ZW2" s="282"/>
      <c r="ZX2" s="282"/>
      <c r="ZY2" s="282"/>
      <c r="ZZ2" s="282"/>
      <c r="AAA2" s="282"/>
      <c r="AAB2" s="282"/>
      <c r="AAC2" s="282"/>
      <c r="AAD2" s="282"/>
      <c r="AAE2" s="282"/>
      <c r="AAF2" s="282"/>
      <c r="AAG2" s="282"/>
      <c r="AAH2" s="282"/>
      <c r="AAI2" s="282"/>
      <c r="AAJ2" s="282"/>
      <c r="AAK2" s="282"/>
      <c r="AAL2" s="282"/>
      <c r="AAM2" s="282"/>
      <c r="AAN2" s="282"/>
      <c r="AAO2" s="282"/>
      <c r="AAP2" s="282"/>
      <c r="AAQ2" s="282"/>
      <c r="AAR2" s="282"/>
      <c r="AAS2" s="282"/>
      <c r="AAT2" s="282"/>
      <c r="AAU2" s="282"/>
      <c r="AAV2" s="282"/>
      <c r="AAW2" s="282"/>
      <c r="AAX2" s="282"/>
      <c r="AAY2" s="282"/>
      <c r="AAZ2" s="282"/>
      <c r="ABA2" s="282"/>
      <c r="ABB2" s="282"/>
      <c r="ABC2" s="282"/>
      <c r="ABD2" s="282"/>
      <c r="ABE2" s="282"/>
      <c r="ABF2" s="282"/>
      <c r="ABG2" s="282"/>
      <c r="ABH2" s="282"/>
      <c r="ABI2" s="282"/>
      <c r="ABJ2" s="282"/>
      <c r="ABK2" s="282"/>
      <c r="ABL2" s="282"/>
      <c r="ABM2" s="282"/>
      <c r="ABN2" s="282"/>
      <c r="ABO2" s="282"/>
      <c r="ABP2" s="282"/>
      <c r="ABQ2" s="282"/>
      <c r="ABR2" s="282"/>
      <c r="ABS2" s="282"/>
      <c r="ABT2" s="282"/>
      <c r="ABU2" s="282"/>
      <c r="ABV2" s="282"/>
      <c r="ABW2" s="282"/>
      <c r="ABX2" s="282"/>
      <c r="ABY2" s="282"/>
      <c r="ABZ2" s="282"/>
      <c r="ACA2" s="282"/>
      <c r="ACB2" s="282"/>
      <c r="ACC2" s="282"/>
      <c r="ACD2" s="282"/>
      <c r="ACE2" s="282"/>
      <c r="ACF2" s="282"/>
      <c r="ACG2" s="282"/>
      <c r="ACH2" s="282"/>
      <c r="ACI2" s="282"/>
      <c r="ACJ2" s="282"/>
      <c r="ACK2" s="282"/>
      <c r="ACL2" s="282"/>
      <c r="ACM2" s="282"/>
      <c r="ACN2" s="282"/>
      <c r="ACO2" s="282"/>
      <c r="ACP2" s="282"/>
      <c r="ACQ2" s="282"/>
      <c r="ACR2" s="282"/>
      <c r="ACS2" s="282"/>
      <c r="ACT2" s="282"/>
      <c r="ACU2" s="282"/>
      <c r="ACV2" s="282"/>
      <c r="ACW2" s="282"/>
      <c r="ACX2" s="282"/>
      <c r="ACY2" s="282"/>
      <c r="ACZ2" s="282"/>
      <c r="ADA2" s="282"/>
      <c r="ADB2" s="282"/>
      <c r="ADC2" s="282"/>
      <c r="ADD2" s="282"/>
      <c r="ADE2" s="282"/>
      <c r="ADF2" s="282"/>
      <c r="ADG2" s="282"/>
      <c r="ADH2" s="282"/>
      <c r="ADI2" s="282"/>
      <c r="ADJ2" s="282"/>
      <c r="ADK2" s="282"/>
      <c r="ADL2" s="282"/>
      <c r="ADM2" s="282"/>
      <c r="ADN2" s="282"/>
      <c r="ADO2" s="282"/>
      <c r="ADP2" s="282"/>
      <c r="ADQ2" s="282"/>
      <c r="ADR2" s="282"/>
      <c r="ADS2" s="282"/>
      <c r="ADT2" s="282"/>
      <c r="ADU2" s="282"/>
      <c r="ADV2" s="282"/>
      <c r="ADW2" s="282"/>
      <c r="ADX2" s="282"/>
      <c r="ADY2" s="282"/>
      <c r="ADZ2" s="282"/>
      <c r="AEA2" s="282"/>
      <c r="AEB2" s="282"/>
      <c r="AEC2" s="282"/>
      <c r="AED2" s="282"/>
      <c r="AEE2" s="282"/>
      <c r="AEF2" s="282"/>
      <c r="AEG2" s="282"/>
      <c r="AEH2" s="282"/>
      <c r="AEI2" s="282"/>
      <c r="AEJ2" s="282"/>
      <c r="AEK2" s="282"/>
      <c r="AEL2" s="282"/>
      <c r="AEM2" s="282"/>
      <c r="AEN2" s="282"/>
      <c r="AEO2" s="282"/>
      <c r="AEP2" s="282"/>
      <c r="AEQ2" s="282"/>
      <c r="AER2" s="282"/>
      <c r="AES2" s="282"/>
      <c r="AET2" s="282"/>
      <c r="AEU2" s="282"/>
      <c r="AEV2" s="282"/>
      <c r="AEW2" s="282"/>
      <c r="AEX2" s="282"/>
      <c r="AEY2" s="282"/>
      <c r="AEZ2" s="282"/>
      <c r="AFA2" s="282"/>
      <c r="AFB2" s="282"/>
      <c r="AFC2" s="282"/>
      <c r="AFD2" s="282"/>
      <c r="AFE2" s="282"/>
      <c r="AFF2" s="282"/>
      <c r="AFG2" s="282"/>
      <c r="AFH2" s="282"/>
      <c r="AFI2" s="282"/>
      <c r="AFJ2" s="282"/>
      <c r="AFK2" s="282"/>
      <c r="AFL2" s="282"/>
      <c r="AFM2" s="282"/>
      <c r="AFN2" s="282"/>
      <c r="AFO2" s="282"/>
      <c r="AFP2" s="282"/>
      <c r="AFQ2" s="282"/>
      <c r="AFR2" s="282"/>
      <c r="AFS2" s="282"/>
      <c r="AFT2" s="282"/>
      <c r="AFU2" s="282"/>
      <c r="AFV2" s="282"/>
      <c r="AFW2" s="282"/>
      <c r="AFX2" s="282"/>
      <c r="AFY2" s="282"/>
      <c r="AFZ2" s="282"/>
      <c r="AGA2" s="282"/>
      <c r="AGB2" s="282"/>
      <c r="AGC2" s="282"/>
      <c r="AGD2" s="282"/>
      <c r="AGE2" s="282"/>
      <c r="AGF2" s="282"/>
      <c r="AGG2" s="282"/>
      <c r="AGH2" s="282"/>
      <c r="AGI2" s="282"/>
      <c r="AGJ2" s="282"/>
      <c r="AGK2" s="282"/>
      <c r="AGL2" s="282"/>
      <c r="AGM2" s="282"/>
      <c r="AGN2" s="282"/>
      <c r="AGO2" s="282"/>
      <c r="AGP2" s="282"/>
      <c r="AGQ2" s="282"/>
      <c r="AGR2" s="282"/>
      <c r="AGS2" s="282"/>
      <c r="AGT2" s="282"/>
      <c r="AGU2" s="282"/>
      <c r="AGV2" s="282"/>
      <c r="AGW2" s="282"/>
      <c r="AGX2" s="282"/>
      <c r="AGY2" s="282"/>
      <c r="AGZ2" s="282"/>
      <c r="AHA2" s="282"/>
      <c r="AHB2" s="282"/>
      <c r="AHC2" s="282"/>
      <c r="AHD2" s="282"/>
      <c r="AHE2" s="282"/>
      <c r="AHF2" s="282"/>
      <c r="AHG2" s="282"/>
      <c r="AHH2" s="282"/>
      <c r="AHI2" s="282"/>
      <c r="AHJ2" s="282"/>
      <c r="AHK2" s="282"/>
      <c r="AHL2" s="282"/>
      <c r="AHM2" s="282"/>
      <c r="AHN2" s="282"/>
      <c r="AHO2" s="282"/>
      <c r="AHP2" s="282"/>
      <c r="AHQ2" s="282"/>
      <c r="AHR2" s="282"/>
      <c r="AHS2" s="282"/>
      <c r="AHT2" s="282"/>
      <c r="AHU2" s="282"/>
      <c r="AHV2" s="282"/>
      <c r="AHW2" s="282"/>
      <c r="AHX2" s="282"/>
      <c r="AHY2" s="282"/>
      <c r="AHZ2" s="282"/>
      <c r="AIA2" s="282"/>
      <c r="AIB2" s="282"/>
      <c r="AIC2" s="282"/>
      <c r="AID2" s="282"/>
      <c r="AIE2" s="282"/>
      <c r="AIF2" s="282"/>
    </row>
    <row r="3" spans="1:916" s="286" customFormat="1" ht="74.25" customHeight="1">
      <c r="A3" s="230"/>
      <c r="B3" s="283" t="s">
        <v>433</v>
      </c>
      <c r="C3" s="283" t="s">
        <v>335</v>
      </c>
      <c r="D3" s="283" t="s">
        <v>336</v>
      </c>
      <c r="E3" s="283" t="s">
        <v>434</v>
      </c>
      <c r="F3" s="283" t="s">
        <v>337</v>
      </c>
      <c r="G3" s="283" t="s">
        <v>338</v>
      </c>
      <c r="H3" s="283" t="s">
        <v>435</v>
      </c>
      <c r="I3" s="283" t="s">
        <v>340</v>
      </c>
      <c r="J3" s="283" t="s">
        <v>436</v>
      </c>
      <c r="K3" s="283" t="s">
        <v>437</v>
      </c>
      <c r="L3" s="283" t="s">
        <v>438</v>
      </c>
      <c r="M3" s="283" t="s">
        <v>344</v>
      </c>
      <c r="N3" s="283" t="s">
        <v>439</v>
      </c>
      <c r="O3" s="283" t="s">
        <v>440</v>
      </c>
      <c r="P3" s="283" t="s">
        <v>1816</v>
      </c>
      <c r="Q3" s="283" t="s">
        <v>441</v>
      </c>
      <c r="R3" s="283" t="s">
        <v>442</v>
      </c>
      <c r="S3" s="283" t="s">
        <v>443</v>
      </c>
      <c r="T3" s="284" t="s">
        <v>1815</v>
      </c>
      <c r="U3" s="283" t="s">
        <v>350</v>
      </c>
      <c r="V3" s="283" t="s">
        <v>351</v>
      </c>
      <c r="W3" s="285"/>
      <c r="X3" s="239"/>
      <c r="Y3" s="239"/>
      <c r="Z3" s="239"/>
      <c r="AA3" s="239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  <c r="BP3" s="239"/>
      <c r="BQ3" s="239"/>
      <c r="BR3" s="239"/>
      <c r="BS3" s="239"/>
      <c r="BT3" s="239"/>
      <c r="BU3" s="239"/>
      <c r="BV3" s="239"/>
      <c r="BW3" s="239"/>
      <c r="BX3" s="239"/>
      <c r="BY3" s="239"/>
      <c r="BZ3" s="239"/>
      <c r="CA3" s="239"/>
      <c r="CB3" s="239"/>
      <c r="CC3" s="239"/>
      <c r="CD3" s="239"/>
      <c r="CE3" s="239"/>
      <c r="CF3" s="239"/>
      <c r="CG3" s="239"/>
      <c r="CH3" s="239"/>
      <c r="CI3" s="239"/>
      <c r="CJ3" s="239"/>
      <c r="CK3" s="239"/>
      <c r="CL3" s="239"/>
      <c r="CM3" s="239"/>
      <c r="CN3" s="239"/>
      <c r="CO3" s="239"/>
      <c r="CP3" s="239"/>
      <c r="CQ3" s="239"/>
      <c r="CR3" s="239"/>
      <c r="CS3" s="239"/>
      <c r="CT3" s="239"/>
      <c r="CU3" s="239"/>
      <c r="CV3" s="239"/>
      <c r="CW3" s="239"/>
      <c r="CX3" s="239"/>
      <c r="CY3" s="239"/>
      <c r="CZ3" s="239"/>
      <c r="DA3" s="239"/>
      <c r="DB3" s="239"/>
      <c r="DC3" s="239"/>
      <c r="DD3" s="239"/>
      <c r="DE3" s="239"/>
      <c r="DF3" s="239"/>
      <c r="DG3" s="239"/>
      <c r="DH3" s="239"/>
      <c r="DI3" s="239"/>
      <c r="DJ3" s="239"/>
      <c r="DK3" s="239"/>
      <c r="DL3" s="239"/>
      <c r="DM3" s="239"/>
      <c r="DN3" s="239"/>
      <c r="DO3" s="239"/>
      <c r="DP3" s="239"/>
      <c r="DQ3" s="239"/>
      <c r="DR3" s="239"/>
      <c r="DS3" s="239"/>
      <c r="DT3" s="239"/>
      <c r="DU3" s="239"/>
      <c r="DV3" s="239"/>
      <c r="DW3" s="239"/>
      <c r="DX3" s="239"/>
      <c r="DY3" s="239"/>
      <c r="DZ3" s="239"/>
      <c r="EA3" s="239"/>
      <c r="EB3" s="239"/>
      <c r="EC3" s="239"/>
      <c r="ED3" s="239"/>
      <c r="EE3" s="239"/>
      <c r="EF3" s="239"/>
      <c r="EG3" s="239"/>
      <c r="EH3" s="239"/>
      <c r="EI3" s="239"/>
      <c r="EJ3" s="239"/>
      <c r="EK3" s="239"/>
      <c r="EL3" s="239"/>
      <c r="EM3" s="239"/>
      <c r="EN3" s="239"/>
      <c r="EO3" s="239"/>
      <c r="EP3" s="239"/>
      <c r="EQ3" s="239"/>
      <c r="ER3" s="239"/>
      <c r="ES3" s="239"/>
      <c r="ET3" s="239"/>
      <c r="EU3" s="239"/>
      <c r="EV3" s="239"/>
      <c r="EW3" s="239"/>
      <c r="EX3" s="239"/>
      <c r="EY3" s="239"/>
      <c r="EZ3" s="239"/>
      <c r="FA3" s="239"/>
      <c r="FB3" s="239"/>
      <c r="FC3" s="239"/>
      <c r="FD3" s="239"/>
      <c r="FE3" s="239"/>
      <c r="FF3" s="239"/>
      <c r="FG3" s="239"/>
      <c r="FH3" s="239"/>
      <c r="FI3" s="239"/>
      <c r="FJ3" s="239"/>
      <c r="FK3" s="239"/>
      <c r="FL3" s="239"/>
      <c r="FM3" s="239"/>
      <c r="FN3" s="239"/>
      <c r="FO3" s="239"/>
      <c r="FP3" s="239"/>
      <c r="FQ3" s="239"/>
      <c r="FR3" s="239"/>
      <c r="FS3" s="239"/>
      <c r="FT3" s="239"/>
      <c r="FU3" s="239"/>
      <c r="FV3" s="239"/>
      <c r="FW3" s="239"/>
      <c r="FX3" s="239"/>
      <c r="FY3" s="239"/>
      <c r="FZ3" s="239"/>
      <c r="GA3" s="239"/>
      <c r="GB3" s="239"/>
      <c r="GC3" s="239"/>
      <c r="GD3" s="239"/>
      <c r="GE3" s="239"/>
      <c r="GF3" s="239"/>
      <c r="GG3" s="239"/>
      <c r="GH3" s="239"/>
      <c r="GI3" s="239"/>
      <c r="GJ3" s="239"/>
      <c r="GK3" s="239"/>
      <c r="GL3" s="239"/>
      <c r="GM3" s="239"/>
      <c r="GN3" s="239"/>
      <c r="GO3" s="239"/>
      <c r="GP3" s="239"/>
      <c r="GQ3" s="239"/>
      <c r="GR3" s="239"/>
      <c r="GS3" s="239"/>
      <c r="GT3" s="239"/>
      <c r="GU3" s="239"/>
      <c r="GV3" s="239"/>
      <c r="GW3" s="239"/>
      <c r="GX3" s="239"/>
      <c r="GY3" s="239"/>
      <c r="GZ3" s="239"/>
      <c r="HA3" s="239"/>
      <c r="HB3" s="239"/>
      <c r="HC3" s="239"/>
      <c r="HD3" s="239"/>
      <c r="HE3" s="239"/>
      <c r="HF3" s="239"/>
      <c r="HG3" s="239"/>
      <c r="HH3" s="239"/>
      <c r="HI3" s="239"/>
      <c r="HJ3" s="239"/>
      <c r="HK3" s="239"/>
      <c r="HL3" s="239"/>
      <c r="HM3" s="239"/>
      <c r="HN3" s="239"/>
      <c r="HO3" s="239"/>
      <c r="HP3" s="239"/>
      <c r="HQ3" s="239"/>
      <c r="HR3" s="239"/>
      <c r="HS3" s="239"/>
      <c r="HT3" s="239"/>
      <c r="HU3" s="239"/>
      <c r="HV3" s="239"/>
      <c r="HW3" s="239"/>
      <c r="HX3" s="239"/>
      <c r="HY3" s="239"/>
      <c r="HZ3" s="239"/>
      <c r="IA3" s="239"/>
      <c r="IB3" s="239"/>
      <c r="IC3" s="239"/>
      <c r="ID3" s="239"/>
      <c r="IE3" s="239"/>
      <c r="IF3" s="239"/>
      <c r="IG3" s="239"/>
      <c r="IH3" s="239"/>
      <c r="II3" s="239"/>
      <c r="IJ3" s="239"/>
      <c r="IK3" s="239"/>
      <c r="IL3" s="239"/>
      <c r="IM3" s="239"/>
      <c r="IN3" s="239"/>
      <c r="IO3" s="239"/>
      <c r="IP3" s="239"/>
      <c r="IQ3" s="239"/>
      <c r="IR3" s="239"/>
      <c r="IS3" s="239"/>
      <c r="IT3" s="239"/>
      <c r="IU3" s="239"/>
      <c r="IV3" s="239"/>
      <c r="IW3" s="239"/>
      <c r="IX3" s="239"/>
      <c r="IY3" s="239"/>
      <c r="IZ3" s="239"/>
      <c r="JA3" s="239"/>
      <c r="JB3" s="239"/>
      <c r="JC3" s="239"/>
      <c r="JD3" s="239"/>
      <c r="JE3" s="239"/>
      <c r="JF3" s="239"/>
      <c r="JG3" s="239"/>
      <c r="JH3" s="239"/>
      <c r="JI3" s="239"/>
      <c r="JJ3" s="239"/>
      <c r="JK3" s="239"/>
      <c r="JL3" s="239"/>
      <c r="JM3" s="239"/>
      <c r="JN3" s="239"/>
      <c r="JO3" s="239"/>
      <c r="JP3" s="239"/>
      <c r="JQ3" s="239"/>
      <c r="JR3" s="239"/>
      <c r="JS3" s="239"/>
      <c r="JT3" s="239"/>
      <c r="JU3" s="239"/>
      <c r="JV3" s="239"/>
      <c r="JW3" s="239"/>
      <c r="JX3" s="239"/>
      <c r="JY3" s="239"/>
      <c r="JZ3" s="239"/>
      <c r="KA3" s="239"/>
      <c r="KB3" s="239"/>
      <c r="KC3" s="239"/>
      <c r="KD3" s="239"/>
      <c r="KE3" s="239"/>
      <c r="KF3" s="239"/>
      <c r="KG3" s="239"/>
      <c r="KH3" s="239"/>
      <c r="KI3" s="239"/>
      <c r="KJ3" s="239"/>
      <c r="KK3" s="239"/>
      <c r="KL3" s="239"/>
      <c r="KM3" s="239"/>
      <c r="KN3" s="239"/>
      <c r="KO3" s="239"/>
      <c r="KP3" s="239"/>
      <c r="KQ3" s="239"/>
      <c r="KR3" s="239"/>
      <c r="KS3" s="239"/>
      <c r="KT3" s="239"/>
      <c r="KU3" s="239"/>
      <c r="KV3" s="239"/>
      <c r="KW3" s="239"/>
      <c r="KX3" s="239"/>
      <c r="KY3" s="239"/>
      <c r="KZ3" s="239"/>
      <c r="LA3" s="239"/>
      <c r="LB3" s="239"/>
      <c r="LC3" s="239"/>
      <c r="LD3" s="239"/>
      <c r="LE3" s="239"/>
      <c r="LF3" s="239"/>
      <c r="LG3" s="239"/>
      <c r="LH3" s="239"/>
      <c r="LI3" s="239"/>
      <c r="LJ3" s="239"/>
      <c r="LK3" s="239"/>
      <c r="LL3" s="239"/>
      <c r="LM3" s="239"/>
      <c r="LN3" s="239"/>
      <c r="LO3" s="239"/>
      <c r="LP3" s="239"/>
      <c r="LQ3" s="239"/>
      <c r="LR3" s="239"/>
      <c r="LS3" s="239"/>
      <c r="LT3" s="239"/>
      <c r="LU3" s="239"/>
      <c r="LV3" s="239"/>
      <c r="LW3" s="239"/>
      <c r="LX3" s="239"/>
      <c r="LY3" s="239"/>
      <c r="LZ3" s="239"/>
      <c r="MA3" s="239"/>
      <c r="MB3" s="239"/>
      <c r="MC3" s="239"/>
      <c r="MD3" s="239"/>
      <c r="ME3" s="239"/>
      <c r="MF3" s="239"/>
      <c r="MG3" s="239"/>
      <c r="MH3" s="239"/>
      <c r="MI3" s="239"/>
      <c r="MJ3" s="239"/>
      <c r="MK3" s="239"/>
      <c r="ML3" s="239"/>
      <c r="MM3" s="239"/>
      <c r="MN3" s="239"/>
      <c r="MO3" s="239"/>
      <c r="MP3" s="239"/>
      <c r="MQ3" s="239"/>
      <c r="MR3" s="239"/>
      <c r="MS3" s="239"/>
      <c r="MT3" s="239"/>
      <c r="MU3" s="239"/>
      <c r="MV3" s="239"/>
      <c r="MW3" s="239"/>
      <c r="MX3" s="239"/>
      <c r="MY3" s="239"/>
      <c r="MZ3" s="239"/>
      <c r="NA3" s="239"/>
      <c r="NB3" s="239"/>
      <c r="NC3" s="239"/>
      <c r="ND3" s="239"/>
      <c r="NE3" s="239"/>
      <c r="NF3" s="239"/>
      <c r="NG3" s="239"/>
      <c r="NH3" s="239"/>
      <c r="NI3" s="239"/>
      <c r="NJ3" s="239"/>
      <c r="NK3" s="239"/>
      <c r="NL3" s="239"/>
      <c r="NM3" s="239"/>
      <c r="NN3" s="239"/>
      <c r="NO3" s="239"/>
      <c r="NP3" s="239"/>
      <c r="NQ3" s="239"/>
      <c r="NR3" s="239"/>
      <c r="NS3" s="239"/>
      <c r="NT3" s="239"/>
      <c r="NU3" s="239"/>
      <c r="NV3" s="239"/>
      <c r="NW3" s="239"/>
      <c r="NX3" s="239"/>
      <c r="NY3" s="239"/>
      <c r="NZ3" s="239"/>
      <c r="OA3" s="239"/>
      <c r="OB3" s="239"/>
      <c r="OC3" s="239"/>
      <c r="OD3" s="239"/>
      <c r="OE3" s="239"/>
      <c r="OF3" s="239"/>
      <c r="OG3" s="239"/>
      <c r="OH3" s="239"/>
      <c r="OI3" s="239"/>
      <c r="OJ3" s="239"/>
      <c r="OK3" s="239"/>
      <c r="OL3" s="239"/>
      <c r="OM3" s="239"/>
      <c r="ON3" s="239"/>
      <c r="OO3" s="239"/>
      <c r="OP3" s="239"/>
      <c r="OQ3" s="239"/>
      <c r="OR3" s="239"/>
      <c r="OS3" s="239"/>
      <c r="OT3" s="239"/>
      <c r="OU3" s="239"/>
      <c r="OV3" s="239"/>
      <c r="OW3" s="239"/>
      <c r="OX3" s="239"/>
      <c r="OY3" s="239"/>
      <c r="OZ3" s="239"/>
      <c r="PA3" s="239"/>
      <c r="PB3" s="239"/>
      <c r="PC3" s="239"/>
      <c r="PD3" s="239"/>
      <c r="PE3" s="239"/>
      <c r="PF3" s="239"/>
      <c r="PG3" s="239"/>
      <c r="PH3" s="239"/>
      <c r="PI3" s="239"/>
      <c r="PJ3" s="239"/>
      <c r="PK3" s="239"/>
      <c r="PL3" s="239"/>
      <c r="PM3" s="239"/>
      <c r="PN3" s="239"/>
      <c r="PO3" s="239"/>
      <c r="PP3" s="239"/>
      <c r="PQ3" s="239"/>
      <c r="PR3" s="239"/>
      <c r="PS3" s="239"/>
      <c r="PT3" s="239"/>
      <c r="PU3" s="239"/>
      <c r="PV3" s="239"/>
      <c r="PW3" s="239"/>
      <c r="PX3" s="239"/>
      <c r="PY3" s="239"/>
      <c r="PZ3" s="239"/>
      <c r="QA3" s="239"/>
      <c r="QB3" s="239"/>
      <c r="QC3" s="239"/>
      <c r="QD3" s="239"/>
      <c r="QE3" s="239"/>
      <c r="QF3" s="239"/>
      <c r="QG3" s="239"/>
      <c r="QH3" s="239"/>
      <c r="QI3" s="239"/>
      <c r="QJ3" s="239"/>
      <c r="QK3" s="239"/>
      <c r="QL3" s="239"/>
      <c r="QM3" s="239"/>
      <c r="QN3" s="239"/>
      <c r="QO3" s="239"/>
      <c r="QP3" s="239"/>
      <c r="QQ3" s="239"/>
      <c r="QR3" s="239"/>
      <c r="QS3" s="239"/>
      <c r="QT3" s="239"/>
      <c r="QU3" s="239"/>
      <c r="QV3" s="239"/>
      <c r="QW3" s="239"/>
      <c r="QX3" s="239"/>
      <c r="QY3" s="239"/>
      <c r="QZ3" s="239"/>
      <c r="RA3" s="239"/>
      <c r="RB3" s="239"/>
      <c r="RC3" s="239"/>
      <c r="RD3" s="239"/>
      <c r="RE3" s="239"/>
      <c r="RF3" s="239"/>
      <c r="RG3" s="239"/>
      <c r="RH3" s="239"/>
      <c r="RI3" s="239"/>
      <c r="RJ3" s="239"/>
      <c r="RK3" s="239"/>
      <c r="RL3" s="239"/>
      <c r="RM3" s="239"/>
      <c r="RN3" s="239"/>
      <c r="RO3" s="239"/>
      <c r="RP3" s="239"/>
      <c r="RQ3" s="239"/>
      <c r="RR3" s="239"/>
      <c r="RS3" s="239"/>
      <c r="RT3" s="239"/>
      <c r="RU3" s="239"/>
      <c r="RV3" s="239"/>
      <c r="RW3" s="239"/>
      <c r="RX3" s="239"/>
      <c r="RY3" s="239"/>
      <c r="RZ3" s="239"/>
      <c r="SA3" s="239"/>
      <c r="SB3" s="239"/>
      <c r="SC3" s="239"/>
      <c r="SD3" s="239"/>
      <c r="SE3" s="239"/>
      <c r="SF3" s="239"/>
      <c r="SG3" s="239"/>
      <c r="SH3" s="239"/>
      <c r="SI3" s="239"/>
      <c r="SJ3" s="239"/>
      <c r="SK3" s="239"/>
      <c r="SL3" s="239"/>
      <c r="SM3" s="239"/>
      <c r="SN3" s="239"/>
      <c r="SO3" s="239"/>
      <c r="SP3" s="239"/>
      <c r="SQ3" s="239"/>
      <c r="SR3" s="239"/>
      <c r="SS3" s="239"/>
      <c r="ST3" s="239"/>
      <c r="SU3" s="239"/>
      <c r="SV3" s="239"/>
      <c r="SW3" s="239"/>
      <c r="SX3" s="239"/>
      <c r="SY3" s="239"/>
      <c r="SZ3" s="239"/>
      <c r="TA3" s="239"/>
      <c r="TB3" s="239"/>
      <c r="TC3" s="239"/>
      <c r="TD3" s="239"/>
      <c r="TE3" s="239"/>
      <c r="TF3" s="239"/>
      <c r="TG3" s="239"/>
      <c r="TH3" s="239"/>
      <c r="TI3" s="239"/>
      <c r="TJ3" s="239"/>
      <c r="TK3" s="239"/>
      <c r="TL3" s="239"/>
      <c r="TM3" s="239"/>
      <c r="TN3" s="239"/>
      <c r="TO3" s="239"/>
      <c r="TP3" s="239"/>
      <c r="TQ3" s="239"/>
      <c r="TR3" s="239"/>
      <c r="TS3" s="239"/>
      <c r="TT3" s="239"/>
      <c r="TU3" s="239"/>
      <c r="TV3" s="239"/>
      <c r="TW3" s="239"/>
      <c r="TX3" s="239"/>
      <c r="TY3" s="239"/>
      <c r="TZ3" s="239"/>
      <c r="UA3" s="239"/>
      <c r="UB3" s="239"/>
      <c r="UC3" s="239"/>
      <c r="UD3" s="239"/>
      <c r="UE3" s="239"/>
      <c r="UF3" s="239"/>
      <c r="UG3" s="239"/>
      <c r="UH3" s="239"/>
      <c r="UI3" s="239"/>
      <c r="UJ3" s="239"/>
      <c r="UK3" s="239"/>
      <c r="UL3" s="239"/>
      <c r="UM3" s="239"/>
      <c r="UN3" s="239"/>
      <c r="UO3" s="239"/>
      <c r="UP3" s="239"/>
      <c r="UQ3" s="239"/>
      <c r="UR3" s="239"/>
      <c r="US3" s="239"/>
      <c r="UT3" s="239"/>
      <c r="UU3" s="239"/>
      <c r="UV3" s="239"/>
      <c r="UW3" s="239"/>
      <c r="UX3" s="239"/>
      <c r="UY3" s="239"/>
      <c r="UZ3" s="239"/>
      <c r="VA3" s="239"/>
      <c r="VB3" s="239"/>
      <c r="VC3" s="239"/>
      <c r="VD3" s="239"/>
      <c r="VE3" s="239"/>
      <c r="VF3" s="239"/>
      <c r="VG3" s="239"/>
      <c r="VH3" s="239"/>
      <c r="VI3" s="239"/>
      <c r="VJ3" s="239"/>
      <c r="VK3" s="239"/>
      <c r="VL3" s="239"/>
      <c r="VM3" s="239"/>
      <c r="VN3" s="239"/>
      <c r="VO3" s="239"/>
      <c r="VP3" s="239"/>
      <c r="VQ3" s="239"/>
      <c r="VR3" s="239"/>
      <c r="VS3" s="239"/>
      <c r="VT3" s="239"/>
      <c r="VU3" s="239"/>
      <c r="VV3" s="239"/>
      <c r="VW3" s="239"/>
      <c r="VX3" s="239"/>
      <c r="VY3" s="239"/>
      <c r="VZ3" s="239"/>
      <c r="WA3" s="239"/>
      <c r="WB3" s="239"/>
      <c r="WC3" s="239"/>
      <c r="WD3" s="239"/>
      <c r="WE3" s="239"/>
      <c r="WF3" s="239"/>
      <c r="WG3" s="239"/>
      <c r="WH3" s="239"/>
      <c r="WI3" s="239"/>
      <c r="WJ3" s="239"/>
      <c r="WK3" s="239"/>
      <c r="WL3" s="239"/>
      <c r="WM3" s="239"/>
      <c r="WN3" s="239"/>
      <c r="WO3" s="239"/>
      <c r="WP3" s="239"/>
      <c r="WQ3" s="239"/>
      <c r="WR3" s="239"/>
      <c r="WS3" s="239"/>
      <c r="WT3" s="239"/>
      <c r="WU3" s="239"/>
      <c r="WV3" s="239"/>
      <c r="WW3" s="239"/>
      <c r="WX3" s="239"/>
      <c r="WY3" s="239"/>
      <c r="WZ3" s="239"/>
      <c r="XA3" s="239"/>
      <c r="XB3" s="239"/>
      <c r="XC3" s="239"/>
      <c r="XD3" s="239"/>
      <c r="XE3" s="239"/>
      <c r="XF3" s="239"/>
      <c r="XG3" s="239"/>
      <c r="XH3" s="239"/>
      <c r="XI3" s="239"/>
      <c r="XJ3" s="239"/>
      <c r="XK3" s="239"/>
      <c r="XL3" s="239"/>
      <c r="XM3" s="239"/>
      <c r="XN3" s="239"/>
      <c r="XO3" s="239"/>
      <c r="XP3" s="239"/>
      <c r="XQ3" s="239"/>
      <c r="XR3" s="239"/>
      <c r="XS3" s="239"/>
      <c r="XT3" s="239"/>
      <c r="XU3" s="239"/>
      <c r="XV3" s="239"/>
      <c r="XW3" s="239"/>
      <c r="XX3" s="239"/>
      <c r="XY3" s="239"/>
      <c r="XZ3" s="239"/>
      <c r="YA3" s="239"/>
      <c r="YB3" s="239"/>
      <c r="YC3" s="239"/>
      <c r="YD3" s="239"/>
      <c r="YE3" s="239"/>
      <c r="YF3" s="239"/>
      <c r="YG3" s="239"/>
      <c r="YH3" s="239"/>
      <c r="YI3" s="239"/>
      <c r="YJ3" s="239"/>
      <c r="YK3" s="239"/>
      <c r="YL3" s="239"/>
      <c r="YM3" s="239"/>
      <c r="YN3" s="239"/>
      <c r="YO3" s="239"/>
      <c r="YP3" s="239"/>
      <c r="YQ3" s="239"/>
      <c r="YR3" s="239"/>
      <c r="YS3" s="239"/>
      <c r="YT3" s="239"/>
      <c r="YU3" s="239"/>
      <c r="YV3" s="239"/>
      <c r="YW3" s="239"/>
      <c r="YX3" s="239"/>
      <c r="YY3" s="239"/>
      <c r="YZ3" s="239"/>
      <c r="ZA3" s="239"/>
      <c r="ZB3" s="239"/>
      <c r="ZC3" s="239"/>
      <c r="ZD3" s="239"/>
      <c r="ZE3" s="239"/>
      <c r="ZF3" s="239"/>
      <c r="ZG3" s="239"/>
      <c r="ZH3" s="239"/>
      <c r="ZI3" s="239"/>
      <c r="ZJ3" s="239"/>
      <c r="ZK3" s="239"/>
      <c r="ZL3" s="239"/>
      <c r="ZM3" s="239"/>
      <c r="ZN3" s="239"/>
      <c r="ZO3" s="239"/>
      <c r="ZP3" s="239"/>
      <c r="ZQ3" s="239"/>
      <c r="ZR3" s="239"/>
      <c r="ZS3" s="239"/>
      <c r="ZT3" s="239"/>
      <c r="ZU3" s="239"/>
      <c r="ZV3" s="239"/>
      <c r="ZW3" s="239"/>
      <c r="ZX3" s="239"/>
      <c r="ZY3" s="239"/>
      <c r="ZZ3" s="239"/>
      <c r="AAA3" s="239"/>
      <c r="AAB3" s="239"/>
      <c r="AAC3" s="239"/>
      <c r="AAD3" s="239"/>
      <c r="AAE3" s="239"/>
      <c r="AAF3" s="239"/>
      <c r="AAG3" s="239"/>
      <c r="AAH3" s="239"/>
      <c r="AAI3" s="239"/>
      <c r="AAJ3" s="239"/>
      <c r="AAK3" s="239"/>
      <c r="AAL3" s="239"/>
      <c r="AAM3" s="239"/>
      <c r="AAN3" s="239"/>
      <c r="AAO3" s="239"/>
      <c r="AAP3" s="239"/>
      <c r="AAQ3" s="239"/>
      <c r="AAR3" s="239"/>
      <c r="AAS3" s="239"/>
      <c r="AAT3" s="239"/>
      <c r="AAU3" s="239"/>
      <c r="AAV3" s="239"/>
      <c r="AAW3" s="239"/>
      <c r="AAX3" s="239"/>
      <c r="AAY3" s="239"/>
      <c r="AAZ3" s="239"/>
      <c r="ABA3" s="239"/>
      <c r="ABB3" s="239"/>
      <c r="ABC3" s="239"/>
      <c r="ABD3" s="239"/>
      <c r="ABE3" s="239"/>
      <c r="ABF3" s="239"/>
      <c r="ABG3" s="239"/>
      <c r="ABH3" s="239"/>
      <c r="ABI3" s="239"/>
      <c r="ABJ3" s="239"/>
      <c r="ABK3" s="239"/>
      <c r="ABL3" s="239"/>
      <c r="ABM3" s="239"/>
      <c r="ABN3" s="239"/>
      <c r="ABO3" s="239"/>
      <c r="ABP3" s="239"/>
      <c r="ABQ3" s="239"/>
      <c r="ABR3" s="239"/>
      <c r="ABS3" s="239"/>
      <c r="ABT3" s="239"/>
      <c r="ABU3" s="239"/>
      <c r="ABV3" s="239"/>
      <c r="ABW3" s="239"/>
      <c r="ABX3" s="239"/>
      <c r="ABY3" s="239"/>
      <c r="ABZ3" s="239"/>
      <c r="ACA3" s="239"/>
      <c r="ACB3" s="239"/>
      <c r="ACC3" s="239"/>
      <c r="ACD3" s="239"/>
      <c r="ACE3" s="239"/>
      <c r="ACF3" s="239"/>
      <c r="ACG3" s="239"/>
      <c r="ACH3" s="239"/>
      <c r="ACI3" s="239"/>
      <c r="ACJ3" s="239"/>
      <c r="ACK3" s="239"/>
      <c r="ACL3" s="239"/>
      <c r="ACM3" s="239"/>
      <c r="ACN3" s="239"/>
      <c r="ACO3" s="239"/>
      <c r="ACP3" s="239"/>
      <c r="ACQ3" s="239"/>
      <c r="ACR3" s="239"/>
      <c r="ACS3" s="239"/>
      <c r="ACT3" s="239"/>
      <c r="ACU3" s="239"/>
      <c r="ACV3" s="239"/>
      <c r="ACW3" s="239"/>
      <c r="ACX3" s="239"/>
      <c r="ACY3" s="239"/>
      <c r="ACZ3" s="239"/>
      <c r="ADA3" s="239"/>
      <c r="ADB3" s="239"/>
      <c r="ADC3" s="239"/>
      <c r="ADD3" s="239"/>
      <c r="ADE3" s="239"/>
      <c r="ADF3" s="239"/>
      <c r="ADG3" s="239"/>
      <c r="ADH3" s="239"/>
      <c r="ADI3" s="239"/>
      <c r="ADJ3" s="239"/>
      <c r="ADK3" s="239"/>
      <c r="ADL3" s="239"/>
      <c r="ADM3" s="239"/>
      <c r="ADN3" s="239"/>
      <c r="ADO3" s="239"/>
      <c r="ADP3" s="239"/>
      <c r="ADQ3" s="239"/>
      <c r="ADR3" s="239"/>
      <c r="ADS3" s="239"/>
      <c r="ADT3" s="239"/>
      <c r="ADU3" s="239"/>
      <c r="ADV3" s="239"/>
      <c r="ADW3" s="239"/>
      <c r="ADX3" s="239"/>
      <c r="ADY3" s="239"/>
      <c r="ADZ3" s="239"/>
      <c r="AEA3" s="239"/>
      <c r="AEB3" s="239"/>
      <c r="AEC3" s="239"/>
      <c r="AED3" s="239"/>
      <c r="AEE3" s="239"/>
      <c r="AEF3" s="239"/>
      <c r="AEG3" s="239"/>
      <c r="AEH3" s="239"/>
      <c r="AEI3" s="239"/>
      <c r="AEJ3" s="239"/>
      <c r="AEK3" s="239"/>
      <c r="AEL3" s="239"/>
      <c r="AEM3" s="239"/>
      <c r="AEN3" s="239"/>
      <c r="AEO3" s="239"/>
      <c r="AEP3" s="239"/>
      <c r="AEQ3" s="239"/>
      <c r="AER3" s="239"/>
      <c r="AES3" s="239"/>
      <c r="AET3" s="239"/>
      <c r="AEU3" s="239"/>
      <c r="AEV3" s="239"/>
      <c r="AEW3" s="239"/>
      <c r="AEX3" s="239"/>
      <c r="AEY3" s="239"/>
      <c r="AEZ3" s="239"/>
      <c r="AFA3" s="239"/>
      <c r="AFB3" s="239"/>
      <c r="AFC3" s="239"/>
      <c r="AFD3" s="239"/>
      <c r="AFE3" s="239"/>
      <c r="AFF3" s="239"/>
      <c r="AFG3" s="239"/>
      <c r="AFH3" s="239"/>
      <c r="AFI3" s="239"/>
      <c r="AFJ3" s="239"/>
      <c r="AFK3" s="239"/>
      <c r="AFL3" s="239"/>
      <c r="AFM3" s="239"/>
      <c r="AFN3" s="239"/>
      <c r="AFO3" s="239"/>
      <c r="AFP3" s="239"/>
      <c r="AFQ3" s="239"/>
      <c r="AFR3" s="239"/>
      <c r="AFS3" s="239"/>
      <c r="AFT3" s="239"/>
      <c r="AFU3" s="239"/>
      <c r="AFV3" s="239"/>
      <c r="AFW3" s="239"/>
      <c r="AFX3" s="239"/>
      <c r="AFY3" s="239"/>
      <c r="AFZ3" s="239"/>
      <c r="AGA3" s="239"/>
      <c r="AGB3" s="239"/>
      <c r="AGC3" s="239"/>
      <c r="AGD3" s="239"/>
      <c r="AGE3" s="239"/>
      <c r="AGF3" s="239"/>
      <c r="AGG3" s="239"/>
      <c r="AGH3" s="239"/>
      <c r="AGI3" s="239"/>
      <c r="AGJ3" s="239"/>
      <c r="AGK3" s="239"/>
      <c r="AGL3" s="239"/>
      <c r="AGM3" s="239"/>
      <c r="AGN3" s="239"/>
      <c r="AGO3" s="239"/>
      <c r="AGP3" s="239"/>
      <c r="AGQ3" s="239"/>
      <c r="AGR3" s="239"/>
      <c r="AGS3" s="239"/>
      <c r="AGT3" s="239"/>
      <c r="AGU3" s="239"/>
      <c r="AGV3" s="239"/>
      <c r="AGW3" s="239"/>
      <c r="AGX3" s="239"/>
      <c r="AGY3" s="239"/>
      <c r="AGZ3" s="239"/>
      <c r="AHA3" s="239"/>
      <c r="AHB3" s="239"/>
      <c r="AHC3" s="239"/>
      <c r="AHD3" s="239"/>
      <c r="AHE3" s="239"/>
      <c r="AHF3" s="239"/>
      <c r="AHG3" s="239"/>
      <c r="AHH3" s="239"/>
      <c r="AHI3" s="239"/>
      <c r="AHJ3" s="239"/>
      <c r="AHK3" s="239"/>
      <c r="AHL3" s="239"/>
      <c r="AHM3" s="239"/>
      <c r="AHN3" s="239"/>
      <c r="AHO3" s="239"/>
      <c r="AHP3" s="239"/>
      <c r="AHQ3" s="239"/>
      <c r="AHR3" s="239"/>
      <c r="AHS3" s="239"/>
      <c r="AHT3" s="239"/>
      <c r="AHU3" s="239"/>
      <c r="AHV3" s="239"/>
      <c r="AHW3" s="239"/>
      <c r="AHX3" s="239"/>
      <c r="AHY3" s="239"/>
      <c r="AHZ3" s="239"/>
      <c r="AIA3" s="239"/>
      <c r="AIB3" s="239"/>
      <c r="AIC3" s="239"/>
      <c r="AID3" s="239"/>
      <c r="AIE3" s="239"/>
      <c r="AIF3" s="239"/>
    </row>
    <row r="4" spans="1:916" s="290" customFormat="1" ht="8.25" customHeight="1">
      <c r="A4" s="287"/>
      <c r="B4" s="120"/>
      <c r="C4" s="121"/>
      <c r="D4" s="122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288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89"/>
      <c r="CB4" s="289"/>
      <c r="CC4" s="289"/>
      <c r="CD4" s="289"/>
      <c r="CE4" s="289"/>
      <c r="CF4" s="289"/>
      <c r="CG4" s="289"/>
      <c r="CH4" s="289"/>
      <c r="CI4" s="289"/>
      <c r="CJ4" s="289"/>
      <c r="CK4" s="289"/>
      <c r="CL4" s="289"/>
      <c r="CM4" s="289"/>
      <c r="CN4" s="289"/>
      <c r="CO4" s="289"/>
      <c r="CP4" s="289"/>
      <c r="CQ4" s="289"/>
      <c r="CR4" s="289"/>
      <c r="CS4" s="289"/>
      <c r="CT4" s="289"/>
      <c r="CU4" s="289"/>
      <c r="CV4" s="289"/>
      <c r="CW4" s="289"/>
      <c r="CX4" s="289"/>
      <c r="CY4" s="289"/>
      <c r="CZ4" s="289"/>
      <c r="DA4" s="289"/>
      <c r="DB4" s="289"/>
      <c r="DC4" s="289"/>
      <c r="DD4" s="289"/>
      <c r="DE4" s="289"/>
      <c r="DF4" s="289"/>
      <c r="DG4" s="289"/>
      <c r="DH4" s="289"/>
      <c r="DI4" s="289"/>
      <c r="DJ4" s="289"/>
      <c r="DK4" s="289"/>
      <c r="DL4" s="289"/>
      <c r="DM4" s="289"/>
      <c r="DN4" s="289"/>
      <c r="DO4" s="289"/>
      <c r="DP4" s="289"/>
      <c r="DQ4" s="289"/>
      <c r="DR4" s="289"/>
      <c r="DS4" s="289"/>
      <c r="DT4" s="289"/>
      <c r="DU4" s="289"/>
      <c r="DV4" s="289"/>
      <c r="DW4" s="289"/>
      <c r="DX4" s="289"/>
      <c r="DY4" s="289"/>
      <c r="DZ4" s="289"/>
      <c r="EA4" s="289"/>
      <c r="EB4" s="289"/>
      <c r="EC4" s="289"/>
      <c r="ED4" s="289"/>
      <c r="EE4" s="289"/>
      <c r="EF4" s="289"/>
      <c r="EG4" s="289"/>
      <c r="EH4" s="289"/>
      <c r="EI4" s="289"/>
      <c r="EJ4" s="289"/>
      <c r="EK4" s="289"/>
      <c r="EL4" s="289"/>
      <c r="EM4" s="289"/>
      <c r="EN4" s="289"/>
      <c r="EO4" s="289"/>
      <c r="EP4" s="289"/>
      <c r="EQ4" s="289"/>
      <c r="ER4" s="289"/>
      <c r="ES4" s="289"/>
      <c r="ET4" s="289"/>
      <c r="EU4" s="289"/>
      <c r="EV4" s="289"/>
      <c r="EW4" s="289"/>
      <c r="EX4" s="289"/>
      <c r="EY4" s="289"/>
      <c r="EZ4" s="289"/>
      <c r="FA4" s="289"/>
      <c r="FB4" s="289"/>
      <c r="FC4" s="289"/>
      <c r="FD4" s="289"/>
      <c r="FE4" s="289"/>
      <c r="FF4" s="289"/>
      <c r="FG4" s="289"/>
      <c r="FH4" s="289"/>
      <c r="FI4" s="289"/>
      <c r="FJ4" s="289"/>
      <c r="FK4" s="289"/>
      <c r="FL4" s="289"/>
      <c r="FM4" s="289"/>
      <c r="FN4" s="289"/>
      <c r="FO4" s="289"/>
      <c r="FP4" s="289"/>
      <c r="FQ4" s="289"/>
      <c r="FR4" s="289"/>
      <c r="FS4" s="289"/>
      <c r="FT4" s="289"/>
      <c r="FU4" s="289"/>
      <c r="FV4" s="289"/>
      <c r="FW4" s="289"/>
      <c r="FX4" s="289"/>
      <c r="FY4" s="289"/>
      <c r="FZ4" s="289"/>
      <c r="GA4" s="289"/>
      <c r="GB4" s="289"/>
      <c r="GC4" s="289"/>
      <c r="GD4" s="289"/>
      <c r="GE4" s="289"/>
      <c r="GF4" s="289"/>
      <c r="GG4" s="289"/>
      <c r="GH4" s="289"/>
      <c r="GI4" s="289"/>
      <c r="GJ4" s="289"/>
      <c r="GK4" s="289"/>
      <c r="GL4" s="289"/>
      <c r="GM4" s="289"/>
      <c r="GN4" s="289"/>
      <c r="GO4" s="289"/>
      <c r="GP4" s="289"/>
      <c r="GQ4" s="289"/>
      <c r="GR4" s="289"/>
      <c r="GS4" s="289"/>
      <c r="GT4" s="289"/>
      <c r="GU4" s="289"/>
      <c r="GV4" s="289"/>
      <c r="GW4" s="289"/>
      <c r="GX4" s="289"/>
      <c r="GY4" s="289"/>
      <c r="GZ4" s="289"/>
      <c r="HA4" s="289"/>
      <c r="HB4" s="289"/>
      <c r="HC4" s="289"/>
      <c r="HD4" s="289"/>
      <c r="HE4" s="289"/>
      <c r="HF4" s="289"/>
      <c r="HG4" s="289"/>
      <c r="HH4" s="289"/>
      <c r="HI4" s="289"/>
      <c r="HJ4" s="289"/>
      <c r="HK4" s="289"/>
      <c r="HL4" s="289"/>
      <c r="HM4" s="289"/>
      <c r="HN4" s="289"/>
      <c r="HO4" s="289"/>
      <c r="HP4" s="289"/>
      <c r="HQ4" s="289"/>
      <c r="HR4" s="289"/>
      <c r="HS4" s="289"/>
      <c r="HT4" s="289"/>
      <c r="HU4" s="289"/>
      <c r="HV4" s="289"/>
      <c r="HW4" s="289"/>
      <c r="HX4" s="289"/>
      <c r="HY4" s="289"/>
      <c r="HZ4" s="289"/>
      <c r="IA4" s="289"/>
      <c r="IB4" s="289"/>
      <c r="IC4" s="289"/>
      <c r="ID4" s="289"/>
      <c r="IE4" s="289"/>
      <c r="IF4" s="289"/>
      <c r="IG4" s="289"/>
      <c r="IH4" s="289"/>
      <c r="II4" s="289"/>
      <c r="IJ4" s="289"/>
      <c r="IK4" s="289"/>
      <c r="IL4" s="289"/>
      <c r="IM4" s="289"/>
      <c r="IN4" s="289"/>
      <c r="IO4" s="289"/>
      <c r="IP4" s="289"/>
      <c r="IQ4" s="289"/>
      <c r="IR4" s="289"/>
      <c r="IS4" s="289"/>
      <c r="IT4" s="289"/>
      <c r="IU4" s="289"/>
      <c r="IV4" s="289"/>
      <c r="IW4" s="289"/>
      <c r="IX4" s="289"/>
      <c r="IY4" s="289"/>
      <c r="IZ4" s="289"/>
      <c r="JA4" s="289"/>
      <c r="JB4" s="289"/>
      <c r="JC4" s="289"/>
      <c r="JD4" s="289"/>
      <c r="JE4" s="289"/>
      <c r="JF4" s="289"/>
      <c r="JG4" s="289"/>
      <c r="JH4" s="289"/>
      <c r="JI4" s="289"/>
      <c r="JJ4" s="289"/>
      <c r="JK4" s="289"/>
      <c r="JL4" s="289"/>
      <c r="JM4" s="289"/>
      <c r="JN4" s="289"/>
      <c r="JO4" s="289"/>
      <c r="JP4" s="289"/>
      <c r="JQ4" s="289"/>
      <c r="JR4" s="289"/>
      <c r="JS4" s="289"/>
      <c r="JT4" s="289"/>
      <c r="JU4" s="289"/>
      <c r="JV4" s="289"/>
      <c r="JW4" s="289"/>
      <c r="JX4" s="289"/>
      <c r="JY4" s="289"/>
      <c r="JZ4" s="289"/>
      <c r="KA4" s="289"/>
      <c r="KB4" s="289"/>
      <c r="KC4" s="289"/>
      <c r="KD4" s="289"/>
      <c r="KE4" s="289"/>
      <c r="KF4" s="289"/>
      <c r="KG4" s="289"/>
      <c r="KH4" s="289"/>
      <c r="KI4" s="289"/>
      <c r="KJ4" s="289"/>
      <c r="KK4" s="289"/>
      <c r="KL4" s="289"/>
      <c r="KM4" s="289"/>
      <c r="KN4" s="289"/>
      <c r="KO4" s="289"/>
      <c r="KP4" s="289"/>
      <c r="KQ4" s="289"/>
      <c r="KR4" s="289"/>
      <c r="KS4" s="289"/>
      <c r="KT4" s="289"/>
      <c r="KU4" s="289"/>
      <c r="KV4" s="289"/>
      <c r="KW4" s="289"/>
      <c r="KX4" s="289"/>
      <c r="KY4" s="289"/>
      <c r="KZ4" s="289"/>
      <c r="LA4" s="289"/>
      <c r="LB4" s="289"/>
      <c r="LC4" s="289"/>
      <c r="LD4" s="289"/>
      <c r="LE4" s="289"/>
      <c r="LF4" s="289"/>
      <c r="LG4" s="289"/>
      <c r="LH4" s="289"/>
      <c r="LI4" s="289"/>
      <c r="LJ4" s="289"/>
      <c r="LK4" s="289"/>
      <c r="LL4" s="289"/>
      <c r="LM4" s="289"/>
      <c r="LN4" s="289"/>
      <c r="LO4" s="289"/>
      <c r="LP4" s="289"/>
      <c r="LQ4" s="289"/>
      <c r="LR4" s="289"/>
      <c r="LS4" s="289"/>
      <c r="LT4" s="289"/>
      <c r="LU4" s="289"/>
      <c r="LV4" s="289"/>
      <c r="LW4" s="289"/>
      <c r="LX4" s="289"/>
      <c r="LY4" s="289"/>
      <c r="LZ4" s="289"/>
      <c r="MA4" s="289"/>
      <c r="MB4" s="289"/>
      <c r="MC4" s="289"/>
      <c r="MD4" s="289"/>
      <c r="ME4" s="289"/>
      <c r="MF4" s="289"/>
      <c r="MG4" s="289"/>
      <c r="MH4" s="289"/>
      <c r="MI4" s="289"/>
      <c r="MJ4" s="289"/>
      <c r="MK4" s="289"/>
      <c r="ML4" s="289"/>
      <c r="MM4" s="289"/>
      <c r="MN4" s="289"/>
      <c r="MO4" s="289"/>
      <c r="MP4" s="289"/>
      <c r="MQ4" s="289"/>
      <c r="MR4" s="289"/>
      <c r="MS4" s="289"/>
      <c r="MT4" s="289"/>
      <c r="MU4" s="289"/>
      <c r="MV4" s="289"/>
      <c r="MW4" s="289"/>
      <c r="MX4" s="289"/>
      <c r="MY4" s="289"/>
      <c r="MZ4" s="289"/>
      <c r="NA4" s="289"/>
      <c r="NB4" s="289"/>
      <c r="NC4" s="289"/>
      <c r="ND4" s="289"/>
      <c r="NE4" s="289"/>
      <c r="NF4" s="289"/>
      <c r="NG4" s="289"/>
      <c r="NH4" s="289"/>
      <c r="NI4" s="289"/>
      <c r="NJ4" s="289"/>
      <c r="NK4" s="289"/>
      <c r="NL4" s="289"/>
      <c r="NM4" s="289"/>
      <c r="NN4" s="289"/>
      <c r="NO4" s="289"/>
      <c r="NP4" s="289"/>
      <c r="NQ4" s="289"/>
      <c r="NR4" s="289"/>
      <c r="NS4" s="289"/>
      <c r="NT4" s="289"/>
      <c r="NU4" s="289"/>
      <c r="NV4" s="289"/>
      <c r="NW4" s="289"/>
      <c r="NX4" s="289"/>
      <c r="NY4" s="289"/>
      <c r="NZ4" s="289"/>
      <c r="OA4" s="289"/>
      <c r="OB4" s="289"/>
      <c r="OC4" s="289"/>
      <c r="OD4" s="289"/>
      <c r="OE4" s="289"/>
      <c r="OF4" s="289"/>
      <c r="OG4" s="289"/>
      <c r="OH4" s="289"/>
      <c r="OI4" s="289"/>
      <c r="OJ4" s="289"/>
      <c r="OK4" s="289"/>
      <c r="OL4" s="289"/>
      <c r="OM4" s="289"/>
      <c r="ON4" s="289"/>
      <c r="OO4" s="289"/>
      <c r="OP4" s="289"/>
      <c r="OQ4" s="289"/>
      <c r="OR4" s="289"/>
      <c r="OS4" s="289"/>
      <c r="OT4" s="289"/>
      <c r="OU4" s="289"/>
      <c r="OV4" s="289"/>
      <c r="OW4" s="289"/>
      <c r="OX4" s="289"/>
      <c r="OY4" s="289"/>
      <c r="OZ4" s="289"/>
      <c r="PA4" s="289"/>
      <c r="PB4" s="289"/>
      <c r="PC4" s="289"/>
      <c r="PD4" s="289"/>
      <c r="PE4" s="289"/>
      <c r="PF4" s="289"/>
      <c r="PG4" s="289"/>
      <c r="PH4" s="289"/>
      <c r="PI4" s="289"/>
      <c r="PJ4" s="289"/>
      <c r="PK4" s="289"/>
      <c r="PL4" s="289"/>
      <c r="PM4" s="289"/>
      <c r="PN4" s="289"/>
      <c r="PO4" s="289"/>
      <c r="PP4" s="289"/>
      <c r="PQ4" s="289"/>
      <c r="PR4" s="289"/>
      <c r="PS4" s="289"/>
      <c r="PT4" s="289"/>
      <c r="PU4" s="289"/>
      <c r="PV4" s="289"/>
      <c r="PW4" s="289"/>
      <c r="PX4" s="289"/>
      <c r="PY4" s="289"/>
      <c r="PZ4" s="289"/>
      <c r="QA4" s="289"/>
      <c r="QB4" s="289"/>
      <c r="QC4" s="289"/>
      <c r="QD4" s="289"/>
      <c r="QE4" s="289"/>
      <c r="QF4" s="289"/>
      <c r="QG4" s="289"/>
      <c r="QH4" s="289"/>
      <c r="QI4" s="289"/>
      <c r="QJ4" s="289"/>
      <c r="QK4" s="289"/>
      <c r="QL4" s="289"/>
      <c r="QM4" s="289"/>
      <c r="QN4" s="289"/>
      <c r="QO4" s="289"/>
      <c r="QP4" s="289"/>
      <c r="QQ4" s="289"/>
      <c r="QR4" s="289"/>
      <c r="QS4" s="289"/>
      <c r="QT4" s="289"/>
      <c r="QU4" s="289"/>
      <c r="QV4" s="289"/>
      <c r="QW4" s="289"/>
      <c r="QX4" s="289"/>
      <c r="QY4" s="289"/>
      <c r="QZ4" s="289"/>
      <c r="RA4" s="289"/>
      <c r="RB4" s="289"/>
      <c r="RC4" s="289"/>
      <c r="RD4" s="289"/>
      <c r="RE4" s="289"/>
      <c r="RF4" s="289"/>
      <c r="RG4" s="289"/>
      <c r="RH4" s="289"/>
      <c r="RI4" s="289"/>
      <c r="RJ4" s="289"/>
      <c r="RK4" s="289"/>
      <c r="RL4" s="289"/>
      <c r="RM4" s="289"/>
      <c r="RN4" s="289"/>
      <c r="RO4" s="289"/>
      <c r="RP4" s="289"/>
      <c r="RQ4" s="289"/>
      <c r="RR4" s="289"/>
      <c r="RS4" s="289"/>
      <c r="RT4" s="289"/>
      <c r="RU4" s="289"/>
      <c r="RV4" s="289"/>
      <c r="RW4" s="289"/>
      <c r="RX4" s="289"/>
      <c r="RY4" s="289"/>
      <c r="RZ4" s="289"/>
      <c r="SA4" s="289"/>
      <c r="SB4" s="289"/>
      <c r="SC4" s="289"/>
      <c r="SD4" s="289"/>
      <c r="SE4" s="289"/>
      <c r="SF4" s="289"/>
      <c r="SG4" s="289"/>
      <c r="SH4" s="289"/>
      <c r="SI4" s="289"/>
      <c r="SJ4" s="289"/>
      <c r="SK4" s="289"/>
      <c r="SL4" s="289"/>
      <c r="SM4" s="289"/>
      <c r="SN4" s="289"/>
      <c r="SO4" s="289"/>
      <c r="SP4" s="289"/>
      <c r="SQ4" s="289"/>
      <c r="SR4" s="289"/>
      <c r="SS4" s="289"/>
      <c r="ST4" s="289"/>
      <c r="SU4" s="289"/>
      <c r="SV4" s="289"/>
      <c r="SW4" s="289"/>
      <c r="SX4" s="289"/>
      <c r="SY4" s="289"/>
      <c r="SZ4" s="289"/>
      <c r="TA4" s="289"/>
      <c r="TB4" s="289"/>
      <c r="TC4" s="289"/>
      <c r="TD4" s="289"/>
      <c r="TE4" s="289"/>
      <c r="TF4" s="289"/>
      <c r="TG4" s="289"/>
      <c r="TH4" s="289"/>
      <c r="TI4" s="289"/>
      <c r="TJ4" s="289"/>
      <c r="TK4" s="289"/>
      <c r="TL4" s="289"/>
      <c r="TM4" s="289"/>
      <c r="TN4" s="289"/>
      <c r="TO4" s="289"/>
      <c r="TP4" s="289"/>
      <c r="TQ4" s="289"/>
      <c r="TR4" s="289"/>
      <c r="TS4" s="289"/>
      <c r="TT4" s="289"/>
      <c r="TU4" s="289"/>
      <c r="TV4" s="289"/>
      <c r="TW4" s="289"/>
      <c r="TX4" s="289"/>
      <c r="TY4" s="289"/>
      <c r="TZ4" s="289"/>
      <c r="UA4" s="289"/>
      <c r="UB4" s="289"/>
      <c r="UC4" s="289"/>
      <c r="UD4" s="289"/>
      <c r="UE4" s="289"/>
      <c r="UF4" s="289"/>
      <c r="UG4" s="289"/>
      <c r="UH4" s="289"/>
      <c r="UI4" s="289"/>
      <c r="UJ4" s="289"/>
      <c r="UK4" s="289"/>
      <c r="UL4" s="289"/>
      <c r="UM4" s="289"/>
      <c r="UN4" s="289"/>
      <c r="UO4" s="289"/>
      <c r="UP4" s="289"/>
      <c r="UQ4" s="289"/>
      <c r="UR4" s="289"/>
      <c r="US4" s="289"/>
      <c r="UT4" s="289"/>
      <c r="UU4" s="289"/>
      <c r="UV4" s="289"/>
      <c r="UW4" s="289"/>
      <c r="UX4" s="289"/>
      <c r="UY4" s="289"/>
      <c r="UZ4" s="289"/>
      <c r="VA4" s="289"/>
      <c r="VB4" s="289"/>
      <c r="VC4" s="289"/>
      <c r="VD4" s="289"/>
      <c r="VE4" s="289"/>
      <c r="VF4" s="289"/>
      <c r="VG4" s="289"/>
      <c r="VH4" s="289"/>
      <c r="VI4" s="289"/>
      <c r="VJ4" s="289"/>
      <c r="VK4" s="289"/>
      <c r="VL4" s="289"/>
      <c r="VM4" s="289"/>
      <c r="VN4" s="289"/>
      <c r="VO4" s="289"/>
      <c r="VP4" s="289"/>
      <c r="VQ4" s="289"/>
      <c r="VR4" s="289"/>
      <c r="VS4" s="289"/>
      <c r="VT4" s="289"/>
      <c r="VU4" s="289"/>
      <c r="VV4" s="289"/>
      <c r="VW4" s="289"/>
      <c r="VX4" s="289"/>
      <c r="VY4" s="289"/>
      <c r="VZ4" s="289"/>
      <c r="WA4" s="289"/>
      <c r="WB4" s="289"/>
      <c r="WC4" s="289"/>
      <c r="WD4" s="289"/>
      <c r="WE4" s="289"/>
      <c r="WF4" s="289"/>
      <c r="WG4" s="289"/>
      <c r="WH4" s="289"/>
      <c r="WI4" s="289"/>
      <c r="WJ4" s="289"/>
      <c r="WK4" s="289"/>
      <c r="WL4" s="289"/>
      <c r="WM4" s="289"/>
      <c r="WN4" s="289"/>
      <c r="WO4" s="289"/>
      <c r="WP4" s="289"/>
      <c r="WQ4" s="289"/>
      <c r="WR4" s="289"/>
      <c r="WS4" s="289"/>
      <c r="WT4" s="289"/>
      <c r="WU4" s="289"/>
      <c r="WV4" s="289"/>
      <c r="WW4" s="289"/>
      <c r="WX4" s="289"/>
      <c r="WY4" s="289"/>
      <c r="WZ4" s="289"/>
      <c r="XA4" s="289"/>
      <c r="XB4" s="289"/>
      <c r="XC4" s="289"/>
      <c r="XD4" s="289"/>
      <c r="XE4" s="289"/>
      <c r="XF4" s="289"/>
      <c r="XG4" s="289"/>
      <c r="XH4" s="289"/>
      <c r="XI4" s="289"/>
      <c r="XJ4" s="289"/>
      <c r="XK4" s="289"/>
      <c r="XL4" s="289"/>
      <c r="XM4" s="289"/>
      <c r="XN4" s="289"/>
      <c r="XO4" s="289"/>
      <c r="XP4" s="289"/>
      <c r="XQ4" s="289"/>
      <c r="XR4" s="289"/>
      <c r="XS4" s="289"/>
      <c r="XT4" s="289"/>
      <c r="XU4" s="289"/>
      <c r="XV4" s="289"/>
      <c r="XW4" s="289"/>
      <c r="XX4" s="289"/>
      <c r="XY4" s="289"/>
      <c r="XZ4" s="289"/>
      <c r="YA4" s="289"/>
      <c r="YB4" s="289"/>
      <c r="YC4" s="289"/>
      <c r="YD4" s="289"/>
      <c r="YE4" s="289"/>
      <c r="YF4" s="289"/>
      <c r="YG4" s="289"/>
      <c r="YH4" s="289"/>
      <c r="YI4" s="289"/>
      <c r="YJ4" s="289"/>
      <c r="YK4" s="289"/>
      <c r="YL4" s="289"/>
      <c r="YM4" s="289"/>
      <c r="YN4" s="289"/>
      <c r="YO4" s="289"/>
      <c r="YP4" s="289"/>
      <c r="YQ4" s="289"/>
      <c r="YR4" s="289"/>
      <c r="YS4" s="289"/>
      <c r="YT4" s="289"/>
      <c r="YU4" s="289"/>
      <c r="YV4" s="289"/>
      <c r="YW4" s="289"/>
      <c r="YX4" s="289"/>
      <c r="YY4" s="289"/>
      <c r="YZ4" s="289"/>
      <c r="ZA4" s="289"/>
      <c r="ZB4" s="289"/>
      <c r="ZC4" s="289"/>
      <c r="ZD4" s="289"/>
      <c r="ZE4" s="289"/>
      <c r="ZF4" s="289"/>
      <c r="ZG4" s="289"/>
      <c r="ZH4" s="289"/>
      <c r="ZI4" s="289"/>
      <c r="ZJ4" s="289"/>
      <c r="ZK4" s="289"/>
      <c r="ZL4" s="289"/>
      <c r="ZM4" s="289"/>
      <c r="ZN4" s="289"/>
      <c r="ZO4" s="289"/>
      <c r="ZP4" s="289"/>
      <c r="ZQ4" s="289"/>
      <c r="ZR4" s="289"/>
      <c r="ZS4" s="289"/>
      <c r="ZT4" s="289"/>
      <c r="ZU4" s="289"/>
      <c r="ZV4" s="289"/>
      <c r="ZW4" s="289"/>
      <c r="ZX4" s="289"/>
      <c r="ZY4" s="289"/>
      <c r="ZZ4" s="289"/>
      <c r="AAA4" s="289"/>
      <c r="AAB4" s="289"/>
      <c r="AAC4" s="289"/>
      <c r="AAD4" s="289"/>
      <c r="AAE4" s="289"/>
      <c r="AAF4" s="289"/>
      <c r="AAG4" s="289"/>
      <c r="AAH4" s="289"/>
      <c r="AAI4" s="289"/>
      <c r="AAJ4" s="289"/>
      <c r="AAK4" s="289"/>
      <c r="AAL4" s="289"/>
      <c r="AAM4" s="289"/>
      <c r="AAN4" s="289"/>
      <c r="AAO4" s="289"/>
      <c r="AAP4" s="289"/>
      <c r="AAQ4" s="289"/>
      <c r="AAR4" s="289"/>
      <c r="AAS4" s="289"/>
      <c r="AAT4" s="289"/>
      <c r="AAU4" s="289"/>
      <c r="AAV4" s="289"/>
      <c r="AAW4" s="289"/>
      <c r="AAX4" s="289"/>
      <c r="AAY4" s="289"/>
      <c r="AAZ4" s="289"/>
      <c r="ABA4" s="289"/>
      <c r="ABB4" s="289"/>
      <c r="ABC4" s="289"/>
      <c r="ABD4" s="289"/>
      <c r="ABE4" s="289"/>
      <c r="ABF4" s="289"/>
      <c r="ABG4" s="289"/>
      <c r="ABH4" s="289"/>
      <c r="ABI4" s="289"/>
      <c r="ABJ4" s="289"/>
      <c r="ABK4" s="289"/>
      <c r="ABL4" s="289"/>
      <c r="ABM4" s="289"/>
      <c r="ABN4" s="289"/>
      <c r="ABO4" s="289"/>
      <c r="ABP4" s="289"/>
      <c r="ABQ4" s="289"/>
      <c r="ABR4" s="289"/>
      <c r="ABS4" s="289"/>
      <c r="ABT4" s="289"/>
      <c r="ABU4" s="289"/>
      <c r="ABV4" s="289"/>
      <c r="ABW4" s="289"/>
      <c r="ABX4" s="289"/>
      <c r="ABY4" s="289"/>
      <c r="ABZ4" s="289"/>
      <c r="ACA4" s="289"/>
      <c r="ACB4" s="289"/>
      <c r="ACC4" s="289"/>
      <c r="ACD4" s="289"/>
      <c r="ACE4" s="289"/>
      <c r="ACF4" s="289"/>
      <c r="ACG4" s="289"/>
      <c r="ACH4" s="289"/>
      <c r="ACI4" s="289"/>
      <c r="ACJ4" s="289"/>
      <c r="ACK4" s="289"/>
      <c r="ACL4" s="289"/>
      <c r="ACM4" s="289"/>
      <c r="ACN4" s="289"/>
      <c r="ACO4" s="289"/>
      <c r="ACP4" s="289"/>
      <c r="ACQ4" s="289"/>
      <c r="ACR4" s="289"/>
      <c r="ACS4" s="289"/>
      <c r="ACT4" s="289"/>
      <c r="ACU4" s="289"/>
      <c r="ACV4" s="289"/>
      <c r="ACW4" s="289"/>
      <c r="ACX4" s="289"/>
      <c r="ACY4" s="289"/>
      <c r="ACZ4" s="289"/>
      <c r="ADA4" s="289"/>
      <c r="ADB4" s="289"/>
      <c r="ADC4" s="289"/>
      <c r="ADD4" s="289"/>
      <c r="ADE4" s="289"/>
      <c r="ADF4" s="289"/>
      <c r="ADG4" s="289"/>
      <c r="ADH4" s="289"/>
      <c r="ADI4" s="289"/>
      <c r="ADJ4" s="289"/>
      <c r="ADK4" s="289"/>
      <c r="ADL4" s="289"/>
      <c r="ADM4" s="289"/>
      <c r="ADN4" s="289"/>
      <c r="ADO4" s="289"/>
      <c r="ADP4" s="289"/>
      <c r="ADQ4" s="289"/>
      <c r="ADR4" s="289"/>
      <c r="ADS4" s="289"/>
      <c r="ADT4" s="289"/>
      <c r="ADU4" s="289"/>
      <c r="ADV4" s="289"/>
      <c r="ADW4" s="289"/>
      <c r="ADX4" s="289"/>
      <c r="ADY4" s="289"/>
      <c r="ADZ4" s="289"/>
      <c r="AEA4" s="289"/>
      <c r="AEB4" s="289"/>
      <c r="AEC4" s="289"/>
      <c r="AED4" s="289"/>
      <c r="AEE4" s="289"/>
      <c r="AEF4" s="289"/>
      <c r="AEG4" s="289"/>
      <c r="AEH4" s="289"/>
      <c r="AEI4" s="289"/>
      <c r="AEJ4" s="289"/>
      <c r="AEK4" s="289"/>
      <c r="AEL4" s="289"/>
      <c r="AEM4" s="289"/>
      <c r="AEN4" s="289"/>
      <c r="AEO4" s="289"/>
      <c r="AEP4" s="289"/>
      <c r="AEQ4" s="289"/>
      <c r="AER4" s="289"/>
      <c r="AES4" s="289"/>
      <c r="AET4" s="289"/>
      <c r="AEU4" s="289"/>
      <c r="AEV4" s="289"/>
      <c r="AEW4" s="289"/>
      <c r="AEX4" s="289"/>
      <c r="AEY4" s="289"/>
      <c r="AEZ4" s="289"/>
      <c r="AFA4" s="289"/>
      <c r="AFB4" s="289"/>
      <c r="AFC4" s="289"/>
      <c r="AFD4" s="289"/>
      <c r="AFE4" s="289"/>
      <c r="AFF4" s="289"/>
      <c r="AFG4" s="289"/>
      <c r="AFH4" s="289"/>
      <c r="AFI4" s="289"/>
      <c r="AFJ4" s="289"/>
      <c r="AFK4" s="289"/>
      <c r="AFL4" s="289"/>
      <c r="AFM4" s="289"/>
      <c r="AFN4" s="289"/>
      <c r="AFO4" s="289"/>
      <c r="AFP4" s="289"/>
      <c r="AFQ4" s="289"/>
      <c r="AFR4" s="289"/>
      <c r="AFS4" s="289"/>
      <c r="AFT4" s="289"/>
      <c r="AFU4" s="289"/>
      <c r="AFV4" s="289"/>
      <c r="AFW4" s="289"/>
      <c r="AFX4" s="289"/>
      <c r="AFY4" s="289"/>
      <c r="AFZ4" s="289"/>
      <c r="AGA4" s="289"/>
      <c r="AGB4" s="289"/>
      <c r="AGC4" s="289"/>
      <c r="AGD4" s="289"/>
      <c r="AGE4" s="289"/>
      <c r="AGF4" s="289"/>
      <c r="AGG4" s="289"/>
      <c r="AGH4" s="289"/>
      <c r="AGI4" s="289"/>
      <c r="AGJ4" s="289"/>
      <c r="AGK4" s="289"/>
      <c r="AGL4" s="289"/>
      <c r="AGM4" s="289"/>
      <c r="AGN4" s="289"/>
      <c r="AGO4" s="289"/>
      <c r="AGP4" s="289"/>
      <c r="AGQ4" s="289"/>
      <c r="AGR4" s="289"/>
      <c r="AGS4" s="289"/>
      <c r="AGT4" s="289"/>
      <c r="AGU4" s="289"/>
      <c r="AGV4" s="289"/>
      <c r="AGW4" s="289"/>
      <c r="AGX4" s="289"/>
      <c r="AGY4" s="289"/>
      <c r="AGZ4" s="289"/>
      <c r="AHA4" s="289"/>
      <c r="AHB4" s="289"/>
      <c r="AHC4" s="289"/>
      <c r="AHD4" s="289"/>
      <c r="AHE4" s="289"/>
      <c r="AHF4" s="289"/>
      <c r="AHG4" s="289"/>
      <c r="AHH4" s="289"/>
      <c r="AHI4" s="289"/>
      <c r="AHJ4" s="289"/>
      <c r="AHK4" s="289"/>
      <c r="AHL4" s="289"/>
      <c r="AHM4" s="289"/>
      <c r="AHN4" s="289"/>
      <c r="AHO4" s="289"/>
      <c r="AHP4" s="289"/>
      <c r="AHQ4" s="289"/>
      <c r="AHR4" s="289"/>
      <c r="AHS4" s="289"/>
      <c r="AHT4" s="289"/>
      <c r="AHU4" s="289"/>
      <c r="AHV4" s="289"/>
      <c r="AHW4" s="289"/>
      <c r="AHX4" s="289"/>
      <c r="AHY4" s="289"/>
      <c r="AHZ4" s="289"/>
      <c r="AIA4" s="289"/>
      <c r="AIB4" s="289"/>
      <c r="AIC4" s="289"/>
      <c r="AID4" s="289"/>
      <c r="AIE4" s="289"/>
      <c r="AIF4" s="289"/>
    </row>
    <row r="5" spans="1:916" s="301" customFormat="1" ht="28.7" customHeight="1">
      <c r="A5" s="525" t="s">
        <v>354</v>
      </c>
      <c r="B5" s="291" t="s">
        <v>444</v>
      </c>
      <c r="C5" s="292" t="s">
        <v>356</v>
      </c>
      <c r="D5" s="293"/>
      <c r="E5" s="294"/>
      <c r="F5" s="295"/>
      <c r="G5" s="295"/>
      <c r="H5" s="295"/>
      <c r="I5" s="296"/>
      <c r="J5" s="297"/>
      <c r="K5" s="297"/>
      <c r="L5" s="296"/>
      <c r="M5" s="296"/>
      <c r="N5" s="298"/>
      <c r="O5" s="296"/>
      <c r="P5" s="296"/>
      <c r="Q5" s="296"/>
      <c r="R5" s="296"/>
      <c r="S5" s="296"/>
      <c r="T5" s="299" t="s">
        <v>363</v>
      </c>
      <c r="U5" s="300"/>
      <c r="V5" s="300"/>
      <c r="W5" s="230"/>
      <c r="X5" s="239" t="s">
        <v>189</v>
      </c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239"/>
      <c r="FJ5" s="239"/>
      <c r="FK5" s="239"/>
      <c r="FL5" s="239"/>
      <c r="FM5" s="239"/>
      <c r="FN5" s="239"/>
      <c r="FO5" s="239"/>
      <c r="FP5" s="239"/>
      <c r="FQ5" s="239"/>
      <c r="FR5" s="239"/>
      <c r="FS5" s="239"/>
      <c r="FT5" s="239"/>
      <c r="FU5" s="239"/>
      <c r="FV5" s="239"/>
      <c r="FW5" s="239"/>
      <c r="FX5" s="239"/>
      <c r="FY5" s="239"/>
      <c r="FZ5" s="239"/>
      <c r="GA5" s="239"/>
      <c r="GB5" s="239"/>
      <c r="GC5" s="239"/>
      <c r="GD5" s="239"/>
      <c r="GE5" s="239"/>
      <c r="GF5" s="239"/>
      <c r="GG5" s="239"/>
      <c r="GH5" s="239"/>
      <c r="GI5" s="239"/>
      <c r="GJ5" s="239"/>
      <c r="GK5" s="239"/>
      <c r="GL5" s="239"/>
      <c r="GM5" s="239"/>
      <c r="GN5" s="239"/>
      <c r="GO5" s="239"/>
      <c r="GP5" s="239"/>
      <c r="GQ5" s="239"/>
      <c r="GR5" s="239"/>
      <c r="GS5" s="239"/>
      <c r="GT5" s="239"/>
      <c r="GU5" s="239"/>
      <c r="GV5" s="239"/>
      <c r="GW5" s="239"/>
      <c r="GX5" s="239"/>
      <c r="GY5" s="239"/>
      <c r="GZ5" s="239"/>
      <c r="HA5" s="239"/>
      <c r="HB5" s="239"/>
      <c r="HC5" s="239"/>
      <c r="HD5" s="239"/>
      <c r="HE5" s="239"/>
      <c r="HF5" s="239"/>
      <c r="HG5" s="239"/>
      <c r="HH5" s="239"/>
      <c r="HI5" s="239"/>
      <c r="HJ5" s="239"/>
      <c r="HK5" s="239"/>
      <c r="HL5" s="239"/>
      <c r="HM5" s="239"/>
      <c r="HN5" s="239"/>
      <c r="HO5" s="239"/>
      <c r="HP5" s="239"/>
      <c r="HQ5" s="239"/>
      <c r="HR5" s="239"/>
      <c r="HS5" s="239"/>
      <c r="HT5" s="239"/>
      <c r="HU5" s="239"/>
      <c r="HV5" s="239"/>
      <c r="HW5" s="239"/>
      <c r="HX5" s="239"/>
      <c r="HY5" s="239"/>
      <c r="HZ5" s="239"/>
      <c r="IA5" s="239"/>
      <c r="IB5" s="239"/>
      <c r="IC5" s="239"/>
      <c r="ID5" s="239"/>
      <c r="IE5" s="239"/>
      <c r="IF5" s="239"/>
      <c r="IG5" s="239"/>
      <c r="IH5" s="239"/>
      <c r="II5" s="239"/>
      <c r="IJ5" s="239"/>
      <c r="IK5" s="239"/>
      <c r="IL5" s="239"/>
      <c r="IM5" s="239"/>
      <c r="IN5" s="239"/>
      <c r="IO5" s="239"/>
      <c r="IP5" s="239"/>
      <c r="IQ5" s="239"/>
      <c r="IR5" s="239"/>
      <c r="IS5" s="239"/>
      <c r="IT5" s="239"/>
      <c r="IU5" s="239"/>
      <c r="IV5" s="239"/>
      <c r="IW5" s="239"/>
      <c r="IX5" s="239"/>
      <c r="IY5" s="239"/>
      <c r="IZ5" s="239"/>
      <c r="JA5" s="239"/>
      <c r="JB5" s="239"/>
      <c r="JC5" s="239"/>
      <c r="JD5" s="239"/>
      <c r="JE5" s="239"/>
      <c r="JF5" s="239"/>
      <c r="JG5" s="239"/>
      <c r="JH5" s="239"/>
      <c r="JI5" s="239"/>
      <c r="JJ5" s="239"/>
      <c r="JK5" s="239"/>
      <c r="JL5" s="239"/>
      <c r="JM5" s="239"/>
      <c r="JN5" s="239"/>
      <c r="JO5" s="239"/>
      <c r="JP5" s="239"/>
      <c r="JQ5" s="239"/>
      <c r="JR5" s="239"/>
      <c r="JS5" s="239"/>
      <c r="JT5" s="239"/>
      <c r="JU5" s="239"/>
      <c r="JV5" s="239"/>
      <c r="JW5" s="239"/>
      <c r="JX5" s="239"/>
      <c r="JY5" s="239"/>
      <c r="JZ5" s="239"/>
      <c r="KA5" s="239"/>
      <c r="KB5" s="239"/>
      <c r="KC5" s="239"/>
      <c r="KD5" s="239"/>
      <c r="KE5" s="239"/>
      <c r="KF5" s="239"/>
      <c r="KG5" s="239"/>
      <c r="KH5" s="239"/>
      <c r="KI5" s="239"/>
      <c r="KJ5" s="239"/>
      <c r="KK5" s="239"/>
      <c r="KL5" s="239"/>
      <c r="KM5" s="239"/>
      <c r="KN5" s="239"/>
      <c r="KO5" s="239"/>
      <c r="KP5" s="239"/>
      <c r="KQ5" s="239"/>
      <c r="KR5" s="239"/>
      <c r="KS5" s="239"/>
      <c r="KT5" s="239"/>
      <c r="KU5" s="239"/>
      <c r="KV5" s="239"/>
      <c r="KW5" s="239"/>
      <c r="KX5" s="239"/>
      <c r="KY5" s="239"/>
      <c r="KZ5" s="239"/>
      <c r="LA5" s="239"/>
      <c r="LB5" s="239"/>
      <c r="LC5" s="239"/>
      <c r="LD5" s="239"/>
      <c r="LE5" s="239"/>
      <c r="LF5" s="239"/>
      <c r="LG5" s="239"/>
      <c r="LH5" s="239"/>
      <c r="LI5" s="239"/>
      <c r="LJ5" s="239"/>
      <c r="LK5" s="239"/>
      <c r="LL5" s="239"/>
      <c r="LM5" s="239"/>
      <c r="LN5" s="239"/>
      <c r="LO5" s="239"/>
      <c r="LP5" s="239"/>
      <c r="LQ5" s="239"/>
      <c r="LR5" s="239"/>
      <c r="LS5" s="239"/>
      <c r="LT5" s="239"/>
      <c r="LU5" s="239"/>
      <c r="LV5" s="239"/>
      <c r="LW5" s="239"/>
      <c r="LX5" s="239"/>
      <c r="LY5" s="239"/>
      <c r="LZ5" s="239"/>
      <c r="MA5" s="239"/>
      <c r="MB5" s="239"/>
      <c r="MC5" s="239"/>
      <c r="MD5" s="239"/>
      <c r="ME5" s="239"/>
      <c r="MF5" s="239"/>
      <c r="MG5" s="239"/>
      <c r="MH5" s="239"/>
      <c r="MI5" s="239"/>
      <c r="MJ5" s="239"/>
      <c r="MK5" s="239"/>
      <c r="ML5" s="239"/>
      <c r="MM5" s="239"/>
      <c r="MN5" s="239"/>
      <c r="MO5" s="239"/>
      <c r="MP5" s="239"/>
      <c r="MQ5" s="239"/>
      <c r="MR5" s="239"/>
      <c r="MS5" s="239"/>
      <c r="MT5" s="239"/>
      <c r="MU5" s="239"/>
      <c r="MV5" s="239"/>
      <c r="MW5" s="239"/>
      <c r="MX5" s="239"/>
      <c r="MY5" s="239"/>
      <c r="MZ5" s="239"/>
      <c r="NA5" s="239"/>
      <c r="NB5" s="239"/>
      <c r="NC5" s="239"/>
      <c r="ND5" s="239"/>
      <c r="NE5" s="239"/>
      <c r="NF5" s="239"/>
      <c r="NG5" s="239"/>
      <c r="NH5" s="239"/>
      <c r="NI5" s="239"/>
      <c r="NJ5" s="239"/>
      <c r="NK5" s="239"/>
      <c r="NL5" s="239"/>
      <c r="NM5" s="239"/>
      <c r="NN5" s="239"/>
      <c r="NO5" s="239"/>
      <c r="NP5" s="239"/>
      <c r="NQ5" s="239"/>
      <c r="NR5" s="239"/>
      <c r="NS5" s="239"/>
      <c r="NT5" s="239"/>
      <c r="NU5" s="239"/>
      <c r="NV5" s="239"/>
      <c r="NW5" s="239"/>
      <c r="NX5" s="239"/>
      <c r="NY5" s="239"/>
      <c r="NZ5" s="239"/>
      <c r="OA5" s="239"/>
      <c r="OB5" s="239"/>
      <c r="OC5" s="239"/>
      <c r="OD5" s="239"/>
      <c r="OE5" s="239"/>
      <c r="OF5" s="239"/>
      <c r="OG5" s="239"/>
      <c r="OH5" s="239"/>
      <c r="OI5" s="239"/>
      <c r="OJ5" s="239"/>
      <c r="OK5" s="239"/>
      <c r="OL5" s="239"/>
      <c r="OM5" s="239"/>
      <c r="ON5" s="239"/>
      <c r="OO5" s="239"/>
      <c r="OP5" s="239"/>
      <c r="OQ5" s="239"/>
      <c r="OR5" s="239"/>
      <c r="OS5" s="239"/>
      <c r="OT5" s="239"/>
      <c r="OU5" s="239"/>
      <c r="OV5" s="239"/>
      <c r="OW5" s="239"/>
      <c r="OX5" s="239"/>
      <c r="OY5" s="239"/>
      <c r="OZ5" s="239"/>
      <c r="PA5" s="239"/>
      <c r="PB5" s="239"/>
      <c r="PC5" s="239"/>
      <c r="PD5" s="239"/>
      <c r="PE5" s="239"/>
      <c r="PF5" s="239"/>
      <c r="PG5" s="239"/>
      <c r="PH5" s="239"/>
      <c r="PI5" s="239"/>
      <c r="PJ5" s="239"/>
      <c r="PK5" s="239"/>
      <c r="PL5" s="239"/>
      <c r="PM5" s="239"/>
      <c r="PN5" s="239"/>
      <c r="PO5" s="239"/>
      <c r="PP5" s="239"/>
      <c r="PQ5" s="239"/>
      <c r="PR5" s="239"/>
      <c r="PS5" s="239"/>
      <c r="PT5" s="239"/>
      <c r="PU5" s="239"/>
      <c r="PV5" s="239"/>
      <c r="PW5" s="239"/>
      <c r="PX5" s="239"/>
      <c r="PY5" s="239"/>
      <c r="PZ5" s="239"/>
      <c r="QA5" s="239"/>
      <c r="QB5" s="239"/>
      <c r="QC5" s="239"/>
      <c r="QD5" s="239"/>
      <c r="QE5" s="239"/>
      <c r="QF5" s="239"/>
      <c r="QG5" s="239"/>
      <c r="QH5" s="239"/>
      <c r="QI5" s="239"/>
      <c r="QJ5" s="239"/>
      <c r="QK5" s="239"/>
      <c r="QL5" s="239"/>
      <c r="QM5" s="239"/>
      <c r="QN5" s="239"/>
      <c r="QO5" s="239"/>
      <c r="QP5" s="239"/>
      <c r="QQ5" s="239"/>
      <c r="QR5" s="239"/>
      <c r="QS5" s="239"/>
      <c r="QT5" s="239"/>
      <c r="QU5" s="239"/>
      <c r="QV5" s="239"/>
      <c r="QW5" s="239"/>
      <c r="QX5" s="239"/>
      <c r="QY5" s="239"/>
      <c r="QZ5" s="239"/>
      <c r="RA5" s="239"/>
      <c r="RB5" s="239"/>
      <c r="RC5" s="239"/>
      <c r="RD5" s="239"/>
      <c r="RE5" s="239"/>
      <c r="RF5" s="239"/>
      <c r="RG5" s="239"/>
      <c r="RH5" s="239"/>
      <c r="RI5" s="239"/>
      <c r="RJ5" s="239"/>
      <c r="RK5" s="239"/>
      <c r="RL5" s="239"/>
      <c r="RM5" s="239"/>
      <c r="RN5" s="239"/>
      <c r="RO5" s="239"/>
      <c r="RP5" s="239"/>
      <c r="RQ5" s="239"/>
      <c r="RR5" s="239"/>
      <c r="RS5" s="239"/>
      <c r="RT5" s="239"/>
      <c r="RU5" s="239"/>
      <c r="RV5" s="239"/>
      <c r="RW5" s="239"/>
      <c r="RX5" s="239"/>
      <c r="RY5" s="239"/>
      <c r="RZ5" s="239"/>
      <c r="SA5" s="239"/>
      <c r="SB5" s="239"/>
      <c r="SC5" s="239"/>
      <c r="SD5" s="239"/>
      <c r="SE5" s="239"/>
      <c r="SF5" s="239"/>
      <c r="SG5" s="239"/>
      <c r="SH5" s="239"/>
      <c r="SI5" s="239"/>
      <c r="SJ5" s="239"/>
      <c r="SK5" s="239"/>
      <c r="SL5" s="239"/>
      <c r="SM5" s="239"/>
      <c r="SN5" s="239"/>
      <c r="SO5" s="239"/>
      <c r="SP5" s="239"/>
      <c r="SQ5" s="239"/>
      <c r="SR5" s="239"/>
      <c r="SS5" s="239"/>
      <c r="ST5" s="239"/>
      <c r="SU5" s="239"/>
      <c r="SV5" s="239"/>
      <c r="SW5" s="239"/>
      <c r="SX5" s="239"/>
      <c r="SY5" s="239"/>
      <c r="SZ5" s="239"/>
      <c r="TA5" s="239"/>
      <c r="TB5" s="239"/>
      <c r="TC5" s="239"/>
      <c r="TD5" s="239"/>
      <c r="TE5" s="239"/>
      <c r="TF5" s="239"/>
      <c r="TG5" s="239"/>
      <c r="TH5" s="239"/>
      <c r="TI5" s="239"/>
      <c r="TJ5" s="239"/>
      <c r="TK5" s="239"/>
      <c r="TL5" s="239"/>
      <c r="TM5" s="239"/>
      <c r="TN5" s="239"/>
      <c r="TO5" s="239"/>
      <c r="TP5" s="239"/>
      <c r="TQ5" s="239"/>
      <c r="TR5" s="239"/>
      <c r="TS5" s="239"/>
      <c r="TT5" s="239"/>
      <c r="TU5" s="239"/>
      <c r="TV5" s="239"/>
      <c r="TW5" s="239"/>
      <c r="TX5" s="239"/>
      <c r="TY5" s="239"/>
      <c r="TZ5" s="239"/>
      <c r="UA5" s="239"/>
      <c r="UB5" s="239"/>
      <c r="UC5" s="239"/>
      <c r="UD5" s="239"/>
      <c r="UE5" s="239"/>
      <c r="UF5" s="239"/>
      <c r="UG5" s="239"/>
      <c r="UH5" s="239"/>
      <c r="UI5" s="239"/>
      <c r="UJ5" s="239"/>
      <c r="UK5" s="239"/>
      <c r="UL5" s="239"/>
      <c r="UM5" s="239"/>
      <c r="UN5" s="239"/>
      <c r="UO5" s="239"/>
      <c r="UP5" s="239"/>
      <c r="UQ5" s="239"/>
      <c r="UR5" s="239"/>
      <c r="US5" s="239"/>
      <c r="UT5" s="239"/>
      <c r="UU5" s="239"/>
      <c r="UV5" s="239"/>
      <c r="UW5" s="239"/>
      <c r="UX5" s="239"/>
      <c r="UY5" s="239"/>
      <c r="UZ5" s="239"/>
      <c r="VA5" s="239"/>
      <c r="VB5" s="239"/>
      <c r="VC5" s="239"/>
      <c r="VD5" s="239"/>
      <c r="VE5" s="239"/>
      <c r="VF5" s="239"/>
      <c r="VG5" s="239"/>
      <c r="VH5" s="239"/>
      <c r="VI5" s="239"/>
      <c r="VJ5" s="239"/>
      <c r="VK5" s="239"/>
      <c r="VL5" s="239"/>
      <c r="VM5" s="239"/>
      <c r="VN5" s="239"/>
      <c r="VO5" s="239"/>
      <c r="VP5" s="239"/>
      <c r="VQ5" s="239"/>
      <c r="VR5" s="239"/>
      <c r="VS5" s="239"/>
      <c r="VT5" s="239"/>
      <c r="VU5" s="239"/>
      <c r="VV5" s="239"/>
      <c r="VW5" s="239"/>
      <c r="VX5" s="239"/>
      <c r="VY5" s="239"/>
      <c r="VZ5" s="239"/>
      <c r="WA5" s="239"/>
      <c r="WB5" s="239"/>
      <c r="WC5" s="239"/>
      <c r="WD5" s="239"/>
      <c r="WE5" s="239"/>
      <c r="WF5" s="239"/>
      <c r="WG5" s="239"/>
      <c r="WH5" s="239"/>
      <c r="WI5" s="239"/>
      <c r="WJ5" s="239"/>
      <c r="WK5" s="239"/>
      <c r="WL5" s="239"/>
      <c r="WM5" s="239"/>
      <c r="WN5" s="239"/>
      <c r="WO5" s="239"/>
      <c r="WP5" s="239"/>
      <c r="WQ5" s="239"/>
      <c r="WR5" s="239"/>
      <c r="WS5" s="239"/>
      <c r="WT5" s="239"/>
      <c r="WU5" s="239"/>
      <c r="WV5" s="239"/>
      <c r="WW5" s="239"/>
      <c r="WX5" s="239"/>
      <c r="WY5" s="239"/>
      <c r="WZ5" s="239"/>
      <c r="XA5" s="239"/>
      <c r="XB5" s="239"/>
      <c r="XC5" s="239"/>
      <c r="XD5" s="239"/>
      <c r="XE5" s="239"/>
      <c r="XF5" s="239"/>
      <c r="XG5" s="239"/>
      <c r="XH5" s="239"/>
      <c r="XI5" s="239"/>
      <c r="XJ5" s="239"/>
      <c r="XK5" s="239"/>
      <c r="XL5" s="239"/>
      <c r="XM5" s="239"/>
      <c r="XN5" s="239"/>
      <c r="XO5" s="239"/>
      <c r="XP5" s="239"/>
      <c r="XQ5" s="239"/>
      <c r="XR5" s="239"/>
      <c r="XS5" s="239"/>
      <c r="XT5" s="239"/>
      <c r="XU5" s="239"/>
      <c r="XV5" s="239"/>
      <c r="XW5" s="239"/>
      <c r="XX5" s="239"/>
      <c r="XY5" s="239"/>
      <c r="XZ5" s="239"/>
      <c r="YA5" s="239"/>
      <c r="YB5" s="239"/>
      <c r="YC5" s="239"/>
      <c r="YD5" s="239"/>
      <c r="YE5" s="239"/>
      <c r="YF5" s="239"/>
      <c r="YG5" s="239"/>
      <c r="YH5" s="239"/>
      <c r="YI5" s="239"/>
      <c r="YJ5" s="239"/>
      <c r="YK5" s="239"/>
      <c r="YL5" s="239"/>
      <c r="YM5" s="239"/>
      <c r="YN5" s="239"/>
      <c r="YO5" s="239"/>
      <c r="YP5" s="239"/>
      <c r="YQ5" s="239"/>
      <c r="YR5" s="239"/>
      <c r="YS5" s="239"/>
      <c r="YT5" s="239"/>
      <c r="YU5" s="239"/>
      <c r="YV5" s="239"/>
      <c r="YW5" s="239"/>
      <c r="YX5" s="239"/>
      <c r="YY5" s="239"/>
      <c r="YZ5" s="239"/>
      <c r="ZA5" s="239"/>
      <c r="ZB5" s="239"/>
      <c r="ZC5" s="239"/>
      <c r="ZD5" s="239"/>
      <c r="ZE5" s="239"/>
      <c r="ZF5" s="239"/>
      <c r="ZG5" s="239"/>
      <c r="ZH5" s="239"/>
      <c r="ZI5" s="239"/>
      <c r="ZJ5" s="239"/>
      <c r="ZK5" s="239"/>
      <c r="ZL5" s="239"/>
      <c r="ZM5" s="239"/>
      <c r="ZN5" s="239"/>
      <c r="ZO5" s="239"/>
      <c r="ZP5" s="239"/>
      <c r="ZQ5" s="239"/>
      <c r="ZR5" s="239"/>
      <c r="ZS5" s="239"/>
      <c r="ZT5" s="239"/>
      <c r="ZU5" s="239"/>
      <c r="ZV5" s="239"/>
      <c r="ZW5" s="239"/>
      <c r="ZX5" s="239"/>
      <c r="ZY5" s="239"/>
      <c r="ZZ5" s="239"/>
      <c r="AAA5" s="239"/>
      <c r="AAB5" s="239"/>
      <c r="AAC5" s="239"/>
      <c r="AAD5" s="239"/>
      <c r="AAE5" s="239"/>
      <c r="AAF5" s="239"/>
      <c r="AAG5" s="239"/>
      <c r="AAH5" s="239"/>
      <c r="AAI5" s="239"/>
      <c r="AAJ5" s="239"/>
      <c r="AAK5" s="239"/>
      <c r="AAL5" s="239"/>
      <c r="AAM5" s="239"/>
      <c r="AAN5" s="239"/>
      <c r="AAO5" s="239"/>
      <c r="AAP5" s="239"/>
      <c r="AAQ5" s="239"/>
      <c r="AAR5" s="239"/>
      <c r="AAS5" s="239"/>
      <c r="AAT5" s="239"/>
      <c r="AAU5" s="239"/>
      <c r="AAV5" s="239"/>
      <c r="AAW5" s="239"/>
      <c r="AAX5" s="239"/>
      <c r="AAY5" s="239"/>
      <c r="AAZ5" s="239"/>
      <c r="ABA5" s="239"/>
      <c r="ABB5" s="239"/>
      <c r="ABC5" s="239"/>
      <c r="ABD5" s="239"/>
      <c r="ABE5" s="239"/>
      <c r="ABF5" s="239"/>
      <c r="ABG5" s="239"/>
      <c r="ABH5" s="239"/>
      <c r="ABI5" s="239"/>
      <c r="ABJ5" s="239"/>
      <c r="ABK5" s="239"/>
      <c r="ABL5" s="239"/>
      <c r="ABM5" s="239"/>
      <c r="ABN5" s="239"/>
      <c r="ABO5" s="239"/>
      <c r="ABP5" s="239"/>
      <c r="ABQ5" s="239"/>
      <c r="ABR5" s="239"/>
      <c r="ABS5" s="239"/>
      <c r="ABT5" s="239"/>
      <c r="ABU5" s="239"/>
      <c r="ABV5" s="239"/>
      <c r="ABW5" s="239"/>
      <c r="ABX5" s="239"/>
      <c r="ABY5" s="239"/>
      <c r="ABZ5" s="239"/>
      <c r="ACA5" s="239"/>
      <c r="ACB5" s="239"/>
      <c r="ACC5" s="239"/>
      <c r="ACD5" s="239"/>
      <c r="ACE5" s="239"/>
      <c r="ACF5" s="239"/>
      <c r="ACG5" s="239"/>
      <c r="ACH5" s="239"/>
      <c r="ACI5" s="239"/>
      <c r="ACJ5" s="239"/>
      <c r="ACK5" s="239"/>
      <c r="ACL5" s="239"/>
      <c r="ACM5" s="239"/>
      <c r="ACN5" s="239"/>
      <c r="ACO5" s="239"/>
      <c r="ACP5" s="239"/>
      <c r="ACQ5" s="239"/>
      <c r="ACR5" s="239"/>
      <c r="ACS5" s="239"/>
      <c r="ACT5" s="239"/>
      <c r="ACU5" s="239"/>
      <c r="ACV5" s="239"/>
      <c r="ACW5" s="239"/>
      <c r="ACX5" s="239"/>
      <c r="ACY5" s="239"/>
      <c r="ACZ5" s="239"/>
      <c r="ADA5" s="239"/>
      <c r="ADB5" s="239"/>
      <c r="ADC5" s="239"/>
      <c r="ADD5" s="239"/>
      <c r="ADE5" s="239"/>
      <c r="ADF5" s="239"/>
      <c r="ADG5" s="239"/>
      <c r="ADH5" s="239"/>
      <c r="ADI5" s="239"/>
      <c r="ADJ5" s="239"/>
      <c r="ADK5" s="239"/>
      <c r="ADL5" s="239"/>
      <c r="ADM5" s="239"/>
      <c r="ADN5" s="239"/>
      <c r="ADO5" s="239"/>
      <c r="ADP5" s="239"/>
      <c r="ADQ5" s="239"/>
      <c r="ADR5" s="239"/>
      <c r="ADS5" s="239"/>
      <c r="ADT5" s="239"/>
      <c r="ADU5" s="239"/>
      <c r="ADV5" s="239"/>
      <c r="ADW5" s="239"/>
      <c r="ADX5" s="239"/>
      <c r="ADY5" s="239"/>
      <c r="ADZ5" s="239"/>
      <c r="AEA5" s="239"/>
      <c r="AEB5" s="239"/>
      <c r="AEC5" s="239"/>
      <c r="AED5" s="239"/>
      <c r="AEE5" s="239"/>
      <c r="AEF5" s="239"/>
      <c r="AEG5" s="239"/>
      <c r="AEH5" s="239"/>
      <c r="AEI5" s="239"/>
      <c r="AEJ5" s="239"/>
      <c r="AEK5" s="239"/>
      <c r="AEL5" s="239"/>
      <c r="AEM5" s="239"/>
      <c r="AEN5" s="239"/>
      <c r="AEO5" s="239"/>
      <c r="AEP5" s="239"/>
      <c r="AEQ5" s="239"/>
      <c r="AER5" s="239"/>
      <c r="AES5" s="239"/>
      <c r="AET5" s="239"/>
      <c r="AEU5" s="239"/>
      <c r="AEV5" s="239"/>
      <c r="AEW5" s="239"/>
      <c r="AEX5" s="239"/>
      <c r="AEY5" s="239"/>
      <c r="AEZ5" s="239"/>
      <c r="AFA5" s="239"/>
      <c r="AFB5" s="239"/>
      <c r="AFC5" s="239"/>
      <c r="AFD5" s="239"/>
      <c r="AFE5" s="239"/>
      <c r="AFF5" s="239"/>
      <c r="AFG5" s="239"/>
      <c r="AFH5" s="239"/>
      <c r="AFI5" s="239"/>
      <c r="AFJ5" s="239"/>
      <c r="AFK5" s="239"/>
      <c r="AFL5" s="239"/>
      <c r="AFM5" s="239"/>
      <c r="AFN5" s="239"/>
      <c r="AFO5" s="239"/>
      <c r="AFP5" s="239"/>
      <c r="AFQ5" s="239"/>
      <c r="AFR5" s="239"/>
      <c r="AFS5" s="239"/>
      <c r="AFT5" s="239"/>
      <c r="AFU5" s="239"/>
      <c r="AFV5" s="239"/>
      <c r="AFW5" s="239"/>
      <c r="AFX5" s="239"/>
      <c r="AFY5" s="239"/>
      <c r="AFZ5" s="239"/>
      <c r="AGA5" s="239"/>
      <c r="AGB5" s="239"/>
      <c r="AGC5" s="239"/>
      <c r="AGD5" s="239"/>
      <c r="AGE5" s="239"/>
      <c r="AGF5" s="239"/>
      <c r="AGG5" s="239"/>
      <c r="AGH5" s="239"/>
      <c r="AGI5" s="239"/>
      <c r="AGJ5" s="239"/>
      <c r="AGK5" s="239"/>
      <c r="AGL5" s="239"/>
      <c r="AGM5" s="239"/>
      <c r="AGN5" s="239"/>
      <c r="AGO5" s="239"/>
      <c r="AGP5" s="239"/>
      <c r="AGQ5" s="239"/>
      <c r="AGR5" s="239"/>
      <c r="AGS5" s="239"/>
      <c r="AGT5" s="239"/>
      <c r="AGU5" s="239"/>
      <c r="AGV5" s="239"/>
      <c r="AGW5" s="239"/>
      <c r="AGX5" s="239"/>
      <c r="AGY5" s="239"/>
      <c r="AGZ5" s="239"/>
      <c r="AHA5" s="239"/>
      <c r="AHB5" s="239"/>
      <c r="AHC5" s="239"/>
      <c r="AHD5" s="239"/>
      <c r="AHE5" s="239"/>
      <c r="AHF5" s="239"/>
      <c r="AHG5" s="239"/>
      <c r="AHH5" s="239"/>
      <c r="AHI5" s="239"/>
      <c r="AHJ5" s="239"/>
      <c r="AHK5" s="239"/>
      <c r="AHL5" s="239"/>
      <c r="AHM5" s="239"/>
      <c r="AHN5" s="239"/>
      <c r="AHO5" s="239"/>
      <c r="AHP5" s="239"/>
      <c r="AHQ5" s="239"/>
      <c r="AHR5" s="239"/>
      <c r="AHS5" s="239"/>
      <c r="AHT5" s="239"/>
      <c r="AHU5" s="239"/>
      <c r="AHV5" s="239"/>
      <c r="AHW5" s="239"/>
      <c r="AHX5" s="239"/>
      <c r="AHY5" s="239"/>
      <c r="AHZ5" s="239"/>
      <c r="AIA5" s="239"/>
      <c r="AIB5" s="239"/>
      <c r="AIC5" s="239"/>
      <c r="AID5" s="239"/>
      <c r="AIE5" s="239"/>
      <c r="AIF5" s="239"/>
    </row>
    <row r="6" spans="1:916" s="21" customFormat="1" ht="12.75">
      <c r="A6" s="525"/>
      <c r="B6" s="302" t="s">
        <v>445</v>
      </c>
      <c r="C6" s="131" t="s">
        <v>465</v>
      </c>
      <c r="D6" s="131"/>
      <c r="E6" s="303"/>
      <c r="F6" s="144">
        <f>'G201 LIW {G}'!A16</f>
        <v>25.30328240820371</v>
      </c>
      <c r="G6" s="304" t="s">
        <v>365</v>
      </c>
      <c r="H6" s="258">
        <f>'G201 LIW {G}'!A$10</f>
        <v>31511.619999999992</v>
      </c>
      <c r="I6" s="259">
        <f>'G201 LIW {G}'!A$8</f>
        <v>148048.47999999998</v>
      </c>
      <c r="J6" s="259">
        <f>'G201 LIW {G}'!A$12</f>
        <v>1131730.1000000003</v>
      </c>
      <c r="K6" s="259">
        <f>'G201 LIW {G}'!A$14</f>
        <v>85379.56</v>
      </c>
      <c r="L6" s="259">
        <f>SUM('G201 LIW {G}'!Q$6:Q$998)</f>
        <v>1217109.6599999999</v>
      </c>
      <c r="M6" s="259"/>
      <c r="N6" s="260">
        <f>'G201 LIW {G}'!A$18</f>
        <v>1254182.27</v>
      </c>
      <c r="O6" s="259">
        <f>'G201 LIW {G}'!A$20</f>
        <v>1365158.14</v>
      </c>
      <c r="P6" s="259">
        <f>SUM('G201 LIW {G}'!R$6:R$998)</f>
        <v>41.57</v>
      </c>
      <c r="Q6" s="266">
        <f t="shared" ref="Q6:Q19" si="0">N6/(1+ElecDiscountRate)^1</f>
        <v>1172461.690193512</v>
      </c>
      <c r="R6" s="266">
        <f>O6/(1+ElecDiscountRate)^1</f>
        <v>1276206.5438908103</v>
      </c>
      <c r="S6" s="259">
        <f>SUM('G201 LIW {G}'!AM$6:AM$998)</f>
        <v>522625.20654943452</v>
      </c>
      <c r="T6" s="259">
        <f>SUM('G201 LIW {G}'!AD$6:AD$998)</f>
        <v>4087.9044343295677</v>
      </c>
      <c r="U6" s="133">
        <f>IFERROR(S6/Q6,0)</f>
        <v>0.44575034811003206</v>
      </c>
      <c r="V6" s="133">
        <f>IFERROR(((S6*1.1)+(T6))/R6,0)</f>
        <v>0.45366922337944349</v>
      </c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1"/>
      <c r="HO6" s="161"/>
      <c r="HP6" s="161"/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1"/>
      <c r="IB6" s="161"/>
      <c r="IC6" s="161"/>
      <c r="ID6" s="161"/>
      <c r="IE6" s="161"/>
      <c r="IF6" s="161"/>
      <c r="IG6" s="161"/>
      <c r="IH6" s="161"/>
      <c r="II6" s="161"/>
      <c r="IJ6" s="161"/>
      <c r="IK6" s="161"/>
      <c r="IL6" s="161"/>
      <c r="IM6" s="161"/>
      <c r="IN6" s="161"/>
      <c r="IO6" s="161"/>
      <c r="IP6" s="161"/>
      <c r="IQ6" s="161"/>
      <c r="IR6" s="161"/>
      <c r="IS6" s="161"/>
      <c r="IT6" s="161"/>
      <c r="IU6" s="161"/>
      <c r="IV6" s="161"/>
      <c r="IW6" s="161"/>
      <c r="IX6" s="161"/>
      <c r="IY6" s="161"/>
      <c r="IZ6" s="161"/>
      <c r="JA6" s="161"/>
      <c r="JB6" s="161"/>
      <c r="JC6" s="161"/>
      <c r="JD6" s="161"/>
      <c r="JE6" s="161"/>
      <c r="JF6" s="161"/>
      <c r="JG6" s="161"/>
      <c r="JH6" s="161"/>
      <c r="JI6" s="161"/>
      <c r="JJ6" s="161"/>
      <c r="JK6" s="161"/>
      <c r="JL6" s="161"/>
      <c r="JM6" s="161"/>
      <c r="JN6" s="161"/>
      <c r="JO6" s="161"/>
      <c r="JP6" s="161"/>
      <c r="JQ6" s="161"/>
      <c r="JR6" s="161"/>
      <c r="JS6" s="161"/>
      <c r="JT6" s="161"/>
      <c r="JU6" s="161"/>
      <c r="JV6" s="161"/>
      <c r="JW6" s="161"/>
      <c r="JX6" s="161"/>
      <c r="JY6" s="161"/>
      <c r="JZ6" s="161"/>
      <c r="KA6" s="161"/>
      <c r="KB6" s="161"/>
      <c r="KC6" s="161"/>
      <c r="KD6" s="161"/>
      <c r="KE6" s="161"/>
      <c r="KF6" s="161"/>
      <c r="KG6" s="161"/>
      <c r="KH6" s="161"/>
      <c r="KI6" s="161"/>
      <c r="KJ6" s="161"/>
      <c r="KK6" s="161"/>
      <c r="KL6" s="161"/>
      <c r="KM6" s="161"/>
      <c r="KN6" s="161"/>
      <c r="KO6" s="161"/>
      <c r="KP6" s="161"/>
      <c r="KQ6" s="161"/>
      <c r="KR6" s="161"/>
      <c r="KS6" s="161"/>
      <c r="KT6" s="161"/>
      <c r="KU6" s="161"/>
      <c r="KV6" s="161"/>
      <c r="KW6" s="161"/>
      <c r="KX6" s="161"/>
      <c r="KY6" s="161"/>
      <c r="KZ6" s="161"/>
      <c r="LA6" s="161"/>
      <c r="LB6" s="161"/>
      <c r="LC6" s="161"/>
      <c r="LD6" s="161"/>
      <c r="LE6" s="161"/>
      <c r="LF6" s="161"/>
      <c r="LG6" s="161"/>
      <c r="LH6" s="161"/>
      <c r="LI6" s="161"/>
      <c r="LJ6" s="161"/>
      <c r="LK6" s="161"/>
      <c r="LL6" s="161"/>
      <c r="LM6" s="161"/>
      <c r="LN6" s="161"/>
      <c r="LO6" s="161"/>
      <c r="LP6" s="161"/>
      <c r="LQ6" s="161"/>
      <c r="LR6" s="161"/>
      <c r="LS6" s="161"/>
      <c r="LT6" s="161"/>
      <c r="LU6" s="161"/>
      <c r="LV6" s="161"/>
      <c r="LW6" s="161"/>
      <c r="LX6" s="161"/>
      <c r="LY6" s="161"/>
      <c r="LZ6" s="161"/>
      <c r="MA6" s="161"/>
      <c r="MB6" s="161"/>
      <c r="MC6" s="161"/>
      <c r="MD6" s="161"/>
      <c r="ME6" s="161"/>
      <c r="MF6" s="161"/>
      <c r="MG6" s="161"/>
      <c r="MH6" s="161"/>
      <c r="MI6" s="161"/>
      <c r="MJ6" s="161"/>
      <c r="MK6" s="161"/>
      <c r="ML6" s="161"/>
      <c r="MM6" s="161"/>
      <c r="MN6" s="161"/>
      <c r="MO6" s="161"/>
      <c r="MP6" s="161"/>
      <c r="MQ6" s="161"/>
      <c r="MR6" s="161"/>
      <c r="MS6" s="161"/>
      <c r="MT6" s="161"/>
      <c r="MU6" s="161"/>
      <c r="MV6" s="161"/>
      <c r="MW6" s="161"/>
      <c r="MX6" s="161"/>
      <c r="MY6" s="161"/>
      <c r="MZ6" s="161"/>
      <c r="NA6" s="161"/>
      <c r="NB6" s="161"/>
      <c r="NC6" s="161"/>
      <c r="ND6" s="161"/>
      <c r="NE6" s="161"/>
      <c r="NF6" s="161"/>
      <c r="NG6" s="161"/>
      <c r="NH6" s="161"/>
      <c r="NI6" s="161"/>
      <c r="NJ6" s="161"/>
      <c r="NK6" s="161"/>
      <c r="NL6" s="161"/>
      <c r="NM6" s="161"/>
      <c r="NN6" s="161"/>
      <c r="NO6" s="161"/>
      <c r="NP6" s="161"/>
      <c r="NQ6" s="161"/>
      <c r="NR6" s="161"/>
      <c r="NS6" s="161"/>
      <c r="NT6" s="161"/>
      <c r="NU6" s="161"/>
      <c r="NV6" s="161"/>
      <c r="NW6" s="161"/>
      <c r="NX6" s="161"/>
      <c r="NY6" s="161"/>
      <c r="NZ6" s="161"/>
      <c r="OA6" s="161"/>
      <c r="OB6" s="161"/>
      <c r="OC6" s="161"/>
      <c r="OD6" s="161"/>
      <c r="OE6" s="161"/>
      <c r="OF6" s="161"/>
      <c r="OG6" s="161"/>
      <c r="OH6" s="161"/>
      <c r="OI6" s="161"/>
      <c r="OJ6" s="161"/>
      <c r="OK6" s="161"/>
      <c r="OL6" s="161"/>
      <c r="OM6" s="161"/>
      <c r="ON6" s="161"/>
      <c r="OO6" s="161"/>
      <c r="OP6" s="161"/>
      <c r="OQ6" s="161"/>
      <c r="OR6" s="161"/>
      <c r="OS6" s="161"/>
      <c r="OT6" s="161"/>
      <c r="OU6" s="161"/>
      <c r="OV6" s="161"/>
      <c r="OW6" s="161"/>
      <c r="OX6" s="161"/>
      <c r="OY6" s="161"/>
      <c r="OZ6" s="161"/>
      <c r="PA6" s="161"/>
      <c r="PB6" s="161"/>
      <c r="PC6" s="161"/>
      <c r="PD6" s="161"/>
      <c r="PE6" s="161"/>
      <c r="PF6" s="161"/>
      <c r="PG6" s="161"/>
      <c r="PH6" s="161"/>
      <c r="PI6" s="161"/>
      <c r="PJ6" s="161"/>
      <c r="PK6" s="161"/>
      <c r="PL6" s="161"/>
      <c r="PM6" s="161"/>
      <c r="PN6" s="161"/>
      <c r="PO6" s="161"/>
      <c r="PP6" s="161"/>
      <c r="PQ6" s="161"/>
      <c r="PR6" s="161"/>
      <c r="PS6" s="161"/>
      <c r="PT6" s="161"/>
      <c r="PU6" s="161"/>
      <c r="PV6" s="161"/>
      <c r="PW6" s="161"/>
      <c r="PX6" s="161"/>
      <c r="PY6" s="161"/>
      <c r="PZ6" s="161"/>
      <c r="QA6" s="161"/>
      <c r="QB6" s="161"/>
      <c r="QC6" s="161"/>
      <c r="QD6" s="161"/>
      <c r="QE6" s="161"/>
      <c r="QF6" s="161"/>
      <c r="QG6" s="161"/>
      <c r="QH6" s="161"/>
      <c r="QI6" s="161"/>
      <c r="QJ6" s="161"/>
      <c r="QK6" s="161"/>
      <c r="QL6" s="161"/>
      <c r="QM6" s="161"/>
      <c r="QN6" s="161"/>
      <c r="QO6" s="161"/>
      <c r="QP6" s="161"/>
      <c r="QQ6" s="161"/>
      <c r="QR6" s="161"/>
      <c r="QS6" s="161"/>
      <c r="QT6" s="161"/>
      <c r="QU6" s="161"/>
      <c r="QV6" s="161"/>
      <c r="QW6" s="161"/>
      <c r="QX6" s="161"/>
      <c r="QY6" s="161"/>
      <c r="QZ6" s="161"/>
      <c r="RA6" s="161"/>
      <c r="RB6" s="161"/>
      <c r="RC6" s="161"/>
      <c r="RD6" s="161"/>
      <c r="RE6" s="161"/>
      <c r="RF6" s="161"/>
      <c r="RG6" s="161"/>
      <c r="RH6" s="161"/>
      <c r="RI6" s="161"/>
      <c r="RJ6" s="161"/>
      <c r="RK6" s="161"/>
      <c r="RL6" s="161"/>
      <c r="RM6" s="161"/>
      <c r="RN6" s="161"/>
      <c r="RO6" s="161"/>
      <c r="RP6" s="161"/>
      <c r="RQ6" s="161"/>
      <c r="RR6" s="161"/>
      <c r="RS6" s="161"/>
      <c r="RT6" s="161"/>
      <c r="RU6" s="161"/>
      <c r="RV6" s="161"/>
      <c r="RW6" s="161"/>
      <c r="RX6" s="161"/>
      <c r="RY6" s="161"/>
      <c r="RZ6" s="161"/>
      <c r="SA6" s="161"/>
      <c r="SB6" s="161"/>
      <c r="SC6" s="161"/>
      <c r="SD6" s="161"/>
      <c r="SE6" s="161"/>
      <c r="SF6" s="161"/>
      <c r="SG6" s="161"/>
      <c r="SH6" s="161"/>
      <c r="SI6" s="161"/>
      <c r="SJ6" s="161"/>
      <c r="SK6" s="161"/>
      <c r="SL6" s="161"/>
      <c r="SM6" s="161"/>
      <c r="SN6" s="161"/>
      <c r="SO6" s="161"/>
      <c r="SP6" s="161"/>
      <c r="SQ6" s="161"/>
      <c r="SR6" s="161"/>
      <c r="SS6" s="161"/>
      <c r="ST6" s="161"/>
      <c r="SU6" s="161"/>
      <c r="SV6" s="161"/>
      <c r="SW6" s="161"/>
      <c r="SX6" s="161"/>
      <c r="SY6" s="161"/>
      <c r="SZ6" s="161"/>
      <c r="TA6" s="161"/>
      <c r="TB6" s="161"/>
      <c r="TC6" s="161"/>
      <c r="TD6" s="161"/>
      <c r="TE6" s="161"/>
      <c r="TF6" s="161"/>
      <c r="TG6" s="161"/>
      <c r="TH6" s="161"/>
      <c r="TI6" s="161"/>
      <c r="TJ6" s="161"/>
      <c r="TK6" s="161"/>
      <c r="TL6" s="161"/>
      <c r="TM6" s="161"/>
      <c r="TN6" s="161"/>
      <c r="TO6" s="161"/>
      <c r="TP6" s="161"/>
      <c r="TQ6" s="161"/>
      <c r="TR6" s="161"/>
      <c r="TS6" s="161"/>
      <c r="TT6" s="161"/>
      <c r="TU6" s="161"/>
      <c r="TV6" s="161"/>
      <c r="TW6" s="161"/>
      <c r="TX6" s="161"/>
      <c r="TY6" s="161"/>
      <c r="TZ6" s="161"/>
      <c r="UA6" s="161"/>
      <c r="UB6" s="161"/>
      <c r="UC6" s="161"/>
      <c r="UD6" s="161"/>
      <c r="UE6" s="161"/>
      <c r="UF6" s="161"/>
      <c r="UG6" s="161"/>
      <c r="UH6" s="161"/>
      <c r="UI6" s="161"/>
      <c r="UJ6" s="161"/>
      <c r="UK6" s="161"/>
      <c r="UL6" s="161"/>
      <c r="UM6" s="161"/>
      <c r="UN6" s="161"/>
      <c r="UO6" s="161"/>
      <c r="UP6" s="161"/>
      <c r="UQ6" s="161"/>
      <c r="UR6" s="161"/>
      <c r="US6" s="161"/>
      <c r="UT6" s="161"/>
      <c r="UU6" s="161"/>
      <c r="UV6" s="161"/>
      <c r="UW6" s="161"/>
      <c r="UX6" s="161"/>
      <c r="UY6" s="161"/>
      <c r="UZ6" s="161"/>
      <c r="VA6" s="161"/>
      <c r="VB6" s="161"/>
      <c r="VC6" s="161"/>
      <c r="VD6" s="161"/>
      <c r="VE6" s="161"/>
      <c r="VF6" s="161"/>
      <c r="VG6" s="161"/>
      <c r="VH6" s="161"/>
      <c r="VI6" s="161"/>
      <c r="VJ6" s="161"/>
      <c r="VK6" s="161"/>
      <c r="VL6" s="161"/>
      <c r="VM6" s="161"/>
      <c r="VN6" s="161"/>
      <c r="VO6" s="161"/>
      <c r="VP6" s="161"/>
      <c r="VQ6" s="161"/>
      <c r="VR6" s="161"/>
      <c r="VS6" s="161"/>
      <c r="VT6" s="161"/>
      <c r="VU6" s="161"/>
      <c r="VV6" s="161"/>
      <c r="VW6" s="161"/>
      <c r="VX6" s="161"/>
      <c r="VY6" s="161"/>
      <c r="VZ6" s="161"/>
      <c r="WA6" s="161"/>
      <c r="WB6" s="161"/>
      <c r="WC6" s="161"/>
      <c r="WD6" s="161"/>
      <c r="WE6" s="161"/>
      <c r="WF6" s="161"/>
      <c r="WG6" s="161"/>
      <c r="WH6" s="161"/>
      <c r="WI6" s="161"/>
      <c r="WJ6" s="161"/>
      <c r="WK6" s="161"/>
      <c r="WL6" s="161"/>
      <c r="WM6" s="161"/>
      <c r="WN6" s="161"/>
      <c r="WO6" s="161"/>
      <c r="WP6" s="161"/>
      <c r="WQ6" s="161"/>
      <c r="WR6" s="161"/>
      <c r="WS6" s="161"/>
      <c r="WT6" s="161"/>
      <c r="WU6" s="161"/>
      <c r="WV6" s="161"/>
      <c r="WW6" s="161"/>
      <c r="WX6" s="161"/>
      <c r="WY6" s="161"/>
      <c r="WZ6" s="161"/>
      <c r="XA6" s="161"/>
      <c r="XB6" s="161"/>
      <c r="XC6" s="161"/>
      <c r="XD6" s="161"/>
      <c r="XE6" s="161"/>
      <c r="XF6" s="161"/>
      <c r="XG6" s="161"/>
      <c r="XH6" s="161"/>
      <c r="XI6" s="161"/>
      <c r="XJ6" s="161"/>
      <c r="XK6" s="161"/>
      <c r="XL6" s="161"/>
      <c r="XM6" s="161"/>
      <c r="XN6" s="161"/>
      <c r="XO6" s="161"/>
      <c r="XP6" s="161"/>
      <c r="XQ6" s="161"/>
      <c r="XR6" s="161"/>
      <c r="XS6" s="161"/>
      <c r="XT6" s="161"/>
      <c r="XU6" s="161"/>
      <c r="XV6" s="161"/>
      <c r="XW6" s="161"/>
      <c r="XX6" s="161"/>
      <c r="XY6" s="161"/>
      <c r="XZ6" s="161"/>
      <c r="YA6" s="161"/>
      <c r="YB6" s="161"/>
      <c r="YC6" s="161"/>
      <c r="YD6" s="161"/>
      <c r="YE6" s="161"/>
      <c r="YF6" s="161"/>
      <c r="YG6" s="161"/>
      <c r="YH6" s="161"/>
      <c r="YI6" s="161"/>
      <c r="YJ6" s="161"/>
      <c r="YK6" s="161"/>
      <c r="YL6" s="161"/>
      <c r="YM6" s="161"/>
      <c r="YN6" s="161"/>
      <c r="YO6" s="161"/>
      <c r="YP6" s="161"/>
      <c r="YQ6" s="161"/>
      <c r="YR6" s="161"/>
      <c r="YS6" s="161"/>
      <c r="YT6" s="161"/>
      <c r="YU6" s="161"/>
      <c r="YV6" s="161"/>
      <c r="YW6" s="161"/>
      <c r="YX6" s="161"/>
      <c r="YY6" s="161"/>
      <c r="YZ6" s="161"/>
      <c r="ZA6" s="161"/>
      <c r="ZB6" s="161"/>
      <c r="ZC6" s="161"/>
      <c r="ZD6" s="161"/>
      <c r="ZE6" s="161"/>
      <c r="ZF6" s="161"/>
      <c r="ZG6" s="161"/>
      <c r="ZH6" s="161"/>
      <c r="ZI6" s="161"/>
      <c r="ZJ6" s="161"/>
      <c r="ZK6" s="161"/>
      <c r="ZL6" s="161"/>
      <c r="ZM6" s="161"/>
      <c r="ZN6" s="161"/>
      <c r="ZO6" s="161"/>
      <c r="ZP6" s="161"/>
      <c r="ZQ6" s="161"/>
      <c r="ZR6" s="161"/>
      <c r="ZS6" s="161"/>
      <c r="ZT6" s="161"/>
      <c r="ZU6" s="161"/>
      <c r="ZV6" s="161"/>
      <c r="ZW6" s="161"/>
      <c r="ZX6" s="161"/>
      <c r="ZY6" s="161"/>
      <c r="ZZ6" s="161"/>
      <c r="AAA6" s="161"/>
      <c r="AAB6" s="161"/>
      <c r="AAC6" s="161"/>
      <c r="AAD6" s="161"/>
      <c r="AAE6" s="161"/>
      <c r="AAF6" s="161"/>
      <c r="AAG6" s="161"/>
      <c r="AAH6" s="161"/>
      <c r="AAI6" s="161"/>
      <c r="AAJ6" s="161"/>
      <c r="AAK6" s="161"/>
      <c r="AAL6" s="161"/>
      <c r="AAM6" s="161"/>
      <c r="AAN6" s="161"/>
      <c r="AAO6" s="161"/>
      <c r="AAP6" s="161"/>
      <c r="AAQ6" s="161"/>
      <c r="AAR6" s="161"/>
      <c r="AAS6" s="161"/>
      <c r="AAT6" s="161"/>
      <c r="AAU6" s="161"/>
      <c r="AAV6" s="161"/>
      <c r="AAW6" s="161"/>
      <c r="AAX6" s="161"/>
      <c r="AAY6" s="161"/>
      <c r="AAZ6" s="161"/>
      <c r="ABA6" s="161"/>
      <c r="ABB6" s="161"/>
      <c r="ABC6" s="161"/>
      <c r="ABD6" s="161"/>
      <c r="ABE6" s="161"/>
      <c r="ABF6" s="161"/>
      <c r="ABG6" s="161"/>
      <c r="ABH6" s="161"/>
      <c r="ABI6" s="161"/>
      <c r="ABJ6" s="161"/>
      <c r="ABK6" s="161"/>
      <c r="ABL6" s="161"/>
      <c r="ABM6" s="161"/>
      <c r="ABN6" s="161"/>
      <c r="ABO6" s="161"/>
      <c r="ABP6" s="161"/>
      <c r="ABQ6" s="161"/>
      <c r="ABR6" s="161"/>
      <c r="ABS6" s="161"/>
      <c r="ABT6" s="161"/>
      <c r="ABU6" s="161"/>
      <c r="ABV6" s="161"/>
      <c r="ABW6" s="161"/>
      <c r="ABX6" s="161"/>
      <c r="ABY6" s="161"/>
      <c r="ABZ6" s="161"/>
      <c r="ACA6" s="161"/>
      <c r="ACB6" s="161"/>
      <c r="ACC6" s="161"/>
      <c r="ACD6" s="161"/>
      <c r="ACE6" s="161"/>
      <c r="ACF6" s="161"/>
      <c r="ACG6" s="161"/>
      <c r="ACH6" s="161"/>
      <c r="ACI6" s="161"/>
      <c r="ACJ6" s="161"/>
      <c r="ACK6" s="161"/>
      <c r="ACL6" s="161"/>
      <c r="ACM6" s="161"/>
      <c r="ACN6" s="161"/>
      <c r="ACO6" s="161"/>
      <c r="ACP6" s="161"/>
      <c r="ACQ6" s="161"/>
      <c r="ACR6" s="161"/>
      <c r="ACS6" s="161"/>
      <c r="ACT6" s="161"/>
      <c r="ACU6" s="161"/>
      <c r="ACV6" s="161"/>
      <c r="ACW6" s="161"/>
      <c r="ACX6" s="161"/>
      <c r="ACY6" s="161"/>
      <c r="ACZ6" s="161"/>
      <c r="ADA6" s="161"/>
      <c r="ADB6" s="161"/>
      <c r="ADC6" s="161"/>
      <c r="ADD6" s="161"/>
      <c r="ADE6" s="161"/>
      <c r="ADF6" s="161"/>
      <c r="ADG6" s="161"/>
      <c r="ADH6" s="161"/>
      <c r="ADI6" s="161"/>
      <c r="ADJ6" s="161"/>
      <c r="ADK6" s="161"/>
      <c r="ADL6" s="161"/>
      <c r="ADM6" s="161"/>
      <c r="ADN6" s="161"/>
      <c r="ADO6" s="161"/>
      <c r="ADP6" s="161"/>
      <c r="ADQ6" s="161"/>
      <c r="ADR6" s="161"/>
      <c r="ADS6" s="161"/>
      <c r="ADT6" s="161"/>
      <c r="ADU6" s="161"/>
      <c r="ADV6" s="161"/>
      <c r="ADW6" s="161"/>
      <c r="ADX6" s="161"/>
      <c r="ADY6" s="161"/>
      <c r="ADZ6" s="161"/>
      <c r="AEA6" s="161"/>
      <c r="AEB6" s="161"/>
      <c r="AEC6" s="161"/>
      <c r="AED6" s="161"/>
      <c r="AEE6" s="161"/>
      <c r="AEF6" s="161"/>
      <c r="AEG6" s="161"/>
      <c r="AEH6" s="161"/>
      <c r="AEI6" s="161"/>
      <c r="AEJ6" s="161"/>
      <c r="AEK6" s="161"/>
      <c r="AEL6" s="161"/>
      <c r="AEM6" s="161"/>
      <c r="AEN6" s="161"/>
      <c r="AEO6" s="161"/>
      <c r="AEP6" s="161"/>
      <c r="AEQ6" s="161"/>
      <c r="AER6" s="161"/>
      <c r="AES6" s="161"/>
      <c r="AET6" s="161"/>
      <c r="AEU6" s="161"/>
      <c r="AEV6" s="161"/>
      <c r="AEW6" s="161"/>
      <c r="AEX6" s="161"/>
      <c r="AEY6" s="161"/>
      <c r="AEZ6" s="161"/>
      <c r="AFA6" s="161"/>
      <c r="AFB6" s="161"/>
      <c r="AFC6" s="161"/>
      <c r="AFD6" s="161"/>
      <c r="AFE6" s="161"/>
      <c r="AFF6" s="161"/>
      <c r="AFG6" s="161"/>
      <c r="AFH6" s="161"/>
      <c r="AFI6" s="161"/>
      <c r="AFJ6" s="161"/>
      <c r="AFK6" s="161"/>
      <c r="AFL6" s="161"/>
      <c r="AFM6" s="161"/>
      <c r="AFN6" s="161"/>
      <c r="AFO6" s="161"/>
      <c r="AFP6" s="161"/>
      <c r="AFQ6" s="161"/>
      <c r="AFR6" s="161"/>
      <c r="AFS6" s="161"/>
      <c r="AFT6" s="161"/>
      <c r="AFU6" s="161"/>
      <c r="AFV6" s="161"/>
      <c r="AFW6" s="161"/>
      <c r="AFX6" s="161"/>
      <c r="AFY6" s="161"/>
      <c r="AFZ6" s="161"/>
      <c r="AGA6" s="161"/>
      <c r="AGB6" s="161"/>
      <c r="AGC6" s="161"/>
      <c r="AGD6" s="161"/>
      <c r="AGE6" s="161"/>
      <c r="AGF6" s="161"/>
      <c r="AGG6" s="161"/>
      <c r="AGH6" s="161"/>
      <c r="AGI6" s="161"/>
      <c r="AGJ6" s="161"/>
      <c r="AGK6" s="161"/>
      <c r="AGL6" s="161"/>
      <c r="AGM6" s="161"/>
      <c r="AGN6" s="161"/>
      <c r="AGO6" s="161"/>
      <c r="AGP6" s="161"/>
      <c r="AGQ6" s="161"/>
      <c r="AGR6" s="161"/>
      <c r="AGS6" s="161"/>
      <c r="AGT6" s="161"/>
      <c r="AGU6" s="161"/>
      <c r="AGV6" s="161"/>
      <c r="AGW6" s="161"/>
      <c r="AGX6" s="161"/>
      <c r="AGY6" s="161"/>
      <c r="AGZ6" s="161"/>
      <c r="AHA6" s="161"/>
      <c r="AHB6" s="161"/>
      <c r="AHC6" s="161"/>
      <c r="AHD6" s="161"/>
      <c r="AHE6" s="161"/>
      <c r="AHF6" s="161"/>
      <c r="AHG6" s="161"/>
      <c r="AHH6" s="161"/>
      <c r="AHI6" s="161"/>
      <c r="AHJ6" s="161"/>
      <c r="AHK6" s="161"/>
      <c r="AHL6" s="161"/>
      <c r="AHM6" s="161"/>
      <c r="AHN6" s="161"/>
      <c r="AHO6" s="161"/>
      <c r="AHP6" s="161"/>
      <c r="AHQ6" s="161"/>
      <c r="AHR6" s="161"/>
      <c r="AHS6" s="161"/>
      <c r="AHT6" s="161"/>
      <c r="AHU6" s="161"/>
      <c r="AHV6" s="161"/>
      <c r="AHW6" s="161"/>
      <c r="AHX6" s="161"/>
      <c r="AHY6" s="161"/>
      <c r="AHZ6" s="161"/>
      <c r="AIA6" s="161"/>
      <c r="AIB6" s="161"/>
      <c r="AIC6" s="161"/>
      <c r="AID6" s="161"/>
      <c r="AIE6" s="161"/>
      <c r="AIF6" s="161"/>
    </row>
    <row r="7" spans="1:916" s="21" customFormat="1">
      <c r="A7" s="285"/>
      <c r="B7" s="305" t="s">
        <v>33</v>
      </c>
      <c r="C7" s="503" t="s">
        <v>366</v>
      </c>
      <c r="D7" s="306"/>
      <c r="E7" s="307"/>
      <c r="F7" s="306"/>
      <c r="G7" s="306"/>
      <c r="H7" s="262">
        <f t="shared" ref="H7:P7" si="1">SUM(H8:H16)</f>
        <v>3622618.3000000012</v>
      </c>
      <c r="I7" s="262">
        <f t="shared" si="1"/>
        <v>2319516.85</v>
      </c>
      <c r="J7" s="262">
        <f t="shared" si="1"/>
        <v>10113946.679999998</v>
      </c>
      <c r="K7" s="262">
        <f t="shared" si="1"/>
        <v>16824624.569999978</v>
      </c>
      <c r="L7" s="262">
        <f t="shared" si="1"/>
        <v>26938571.24999997</v>
      </c>
      <c r="M7" s="262">
        <f t="shared" si="1"/>
        <v>0</v>
      </c>
      <c r="N7" s="262">
        <f t="shared" si="1"/>
        <v>12837404.540000001</v>
      </c>
      <c r="O7" s="262">
        <f t="shared" si="1"/>
        <v>29258088.099999972</v>
      </c>
      <c r="P7" s="262">
        <f t="shared" si="1"/>
        <v>596.8900000000001</v>
      </c>
      <c r="Q7" s="263">
        <f t="shared" si="0"/>
        <v>12000939.08572497</v>
      </c>
      <c r="R7" s="263">
        <f>O7/(1+ElecDiscountRate)^1</f>
        <v>27351676.264373161</v>
      </c>
      <c r="S7" s="262">
        <f>SUM(S8:S16)</f>
        <v>35368505.854797177</v>
      </c>
      <c r="T7" s="262">
        <f>SUM(T8:T16)</f>
        <v>2606614.3345346386</v>
      </c>
      <c r="U7" s="142">
        <f>S7/Q7</f>
        <v>2.9471448527613773</v>
      </c>
      <c r="V7" s="142">
        <f>((S7*1.1)+(T7))/R7</f>
        <v>1.517712127533581</v>
      </c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1"/>
      <c r="HJ7" s="161"/>
      <c r="HK7" s="161"/>
      <c r="HL7" s="161"/>
      <c r="HM7" s="161"/>
      <c r="HN7" s="161"/>
      <c r="HO7" s="161"/>
      <c r="HP7" s="161"/>
      <c r="HQ7" s="161"/>
      <c r="HR7" s="161"/>
      <c r="HS7" s="161"/>
      <c r="HT7" s="161"/>
      <c r="HU7" s="161"/>
      <c r="HV7" s="161"/>
      <c r="HW7" s="161"/>
      <c r="HX7" s="161"/>
      <c r="HY7" s="161"/>
      <c r="HZ7" s="161"/>
      <c r="IA7" s="161"/>
      <c r="IB7" s="161"/>
      <c r="IC7" s="161"/>
      <c r="ID7" s="161"/>
      <c r="IE7" s="161"/>
      <c r="IF7" s="161"/>
      <c r="IG7" s="161"/>
      <c r="IH7" s="161"/>
      <c r="II7" s="161"/>
      <c r="IJ7" s="161"/>
      <c r="IK7" s="161"/>
      <c r="IL7" s="161"/>
      <c r="IM7" s="161"/>
      <c r="IN7" s="161"/>
      <c r="IO7" s="161"/>
      <c r="IP7" s="161"/>
      <c r="IQ7" s="161"/>
      <c r="IR7" s="161"/>
      <c r="IS7" s="161"/>
      <c r="IT7" s="161"/>
      <c r="IU7" s="161"/>
      <c r="IV7" s="161"/>
      <c r="IW7" s="161"/>
      <c r="IX7" s="161"/>
      <c r="IY7" s="161"/>
      <c r="IZ7" s="161"/>
      <c r="JA7" s="161"/>
      <c r="JB7" s="161"/>
      <c r="JC7" s="161"/>
      <c r="JD7" s="161"/>
      <c r="JE7" s="161"/>
      <c r="JF7" s="161"/>
      <c r="JG7" s="161"/>
      <c r="JH7" s="161"/>
      <c r="JI7" s="161"/>
      <c r="JJ7" s="161"/>
      <c r="JK7" s="161"/>
      <c r="JL7" s="161"/>
      <c r="JM7" s="161"/>
      <c r="JN7" s="161"/>
      <c r="JO7" s="161"/>
      <c r="JP7" s="161"/>
      <c r="JQ7" s="161"/>
      <c r="JR7" s="161"/>
      <c r="JS7" s="161"/>
      <c r="JT7" s="161"/>
      <c r="JU7" s="161"/>
      <c r="JV7" s="161"/>
      <c r="JW7" s="161"/>
      <c r="JX7" s="161"/>
      <c r="JY7" s="161"/>
      <c r="JZ7" s="161"/>
      <c r="KA7" s="161"/>
      <c r="KB7" s="161"/>
      <c r="KC7" s="161"/>
      <c r="KD7" s="161"/>
      <c r="KE7" s="161"/>
      <c r="KF7" s="161"/>
      <c r="KG7" s="161"/>
      <c r="KH7" s="161"/>
      <c r="KI7" s="161"/>
      <c r="KJ7" s="161"/>
      <c r="KK7" s="161"/>
      <c r="KL7" s="161"/>
      <c r="KM7" s="161"/>
      <c r="KN7" s="161"/>
      <c r="KO7" s="161"/>
      <c r="KP7" s="161"/>
      <c r="KQ7" s="161"/>
      <c r="KR7" s="161"/>
      <c r="KS7" s="161"/>
      <c r="KT7" s="161"/>
      <c r="KU7" s="161"/>
      <c r="KV7" s="161"/>
      <c r="KW7" s="161"/>
      <c r="KX7" s="161"/>
      <c r="KY7" s="161"/>
      <c r="KZ7" s="161"/>
      <c r="LA7" s="161"/>
      <c r="LB7" s="161"/>
      <c r="LC7" s="161"/>
      <c r="LD7" s="161"/>
      <c r="LE7" s="161"/>
      <c r="LF7" s="161"/>
      <c r="LG7" s="161"/>
      <c r="LH7" s="161"/>
      <c r="LI7" s="161"/>
      <c r="LJ7" s="161"/>
      <c r="LK7" s="161"/>
      <c r="LL7" s="161"/>
      <c r="LM7" s="161"/>
      <c r="LN7" s="161"/>
      <c r="LO7" s="161"/>
      <c r="LP7" s="161"/>
      <c r="LQ7" s="161"/>
      <c r="LR7" s="161"/>
      <c r="LS7" s="161"/>
      <c r="LT7" s="161"/>
      <c r="LU7" s="161"/>
      <c r="LV7" s="161"/>
      <c r="LW7" s="161"/>
      <c r="LX7" s="161"/>
      <c r="LY7" s="161"/>
      <c r="LZ7" s="161"/>
      <c r="MA7" s="161"/>
      <c r="MB7" s="161"/>
      <c r="MC7" s="161"/>
      <c r="MD7" s="161"/>
      <c r="ME7" s="161"/>
      <c r="MF7" s="161"/>
      <c r="MG7" s="161"/>
      <c r="MH7" s="161"/>
      <c r="MI7" s="161"/>
      <c r="MJ7" s="161"/>
      <c r="MK7" s="161"/>
      <c r="ML7" s="161"/>
      <c r="MM7" s="161"/>
      <c r="MN7" s="161"/>
      <c r="MO7" s="161"/>
      <c r="MP7" s="161"/>
      <c r="MQ7" s="161"/>
      <c r="MR7" s="161"/>
      <c r="MS7" s="161"/>
      <c r="MT7" s="161"/>
      <c r="MU7" s="161"/>
      <c r="MV7" s="161"/>
      <c r="MW7" s="161"/>
      <c r="MX7" s="161"/>
      <c r="MY7" s="161"/>
      <c r="MZ7" s="161"/>
      <c r="NA7" s="161"/>
      <c r="NB7" s="161"/>
      <c r="NC7" s="161"/>
      <c r="ND7" s="161"/>
      <c r="NE7" s="161"/>
      <c r="NF7" s="161"/>
      <c r="NG7" s="161"/>
      <c r="NH7" s="161"/>
      <c r="NI7" s="161"/>
      <c r="NJ7" s="161"/>
      <c r="NK7" s="161"/>
      <c r="NL7" s="161"/>
      <c r="NM7" s="161"/>
      <c r="NN7" s="161"/>
      <c r="NO7" s="161"/>
      <c r="NP7" s="161"/>
      <c r="NQ7" s="161"/>
      <c r="NR7" s="161"/>
      <c r="NS7" s="161"/>
      <c r="NT7" s="161"/>
      <c r="NU7" s="161"/>
      <c r="NV7" s="161"/>
      <c r="NW7" s="161"/>
      <c r="NX7" s="161"/>
      <c r="NY7" s="161"/>
      <c r="NZ7" s="161"/>
      <c r="OA7" s="161"/>
      <c r="OB7" s="161"/>
      <c r="OC7" s="161"/>
      <c r="OD7" s="161"/>
      <c r="OE7" s="161"/>
      <c r="OF7" s="161"/>
      <c r="OG7" s="161"/>
      <c r="OH7" s="161"/>
      <c r="OI7" s="161"/>
      <c r="OJ7" s="161"/>
      <c r="OK7" s="161"/>
      <c r="OL7" s="161"/>
      <c r="OM7" s="161"/>
      <c r="ON7" s="161"/>
      <c r="OO7" s="161"/>
      <c r="OP7" s="161"/>
      <c r="OQ7" s="161"/>
      <c r="OR7" s="161"/>
      <c r="OS7" s="161"/>
      <c r="OT7" s="161"/>
      <c r="OU7" s="161"/>
      <c r="OV7" s="161"/>
      <c r="OW7" s="161"/>
      <c r="OX7" s="161"/>
      <c r="OY7" s="161"/>
      <c r="OZ7" s="161"/>
      <c r="PA7" s="161"/>
      <c r="PB7" s="161"/>
      <c r="PC7" s="161"/>
      <c r="PD7" s="161"/>
      <c r="PE7" s="161"/>
      <c r="PF7" s="161"/>
      <c r="PG7" s="161"/>
      <c r="PH7" s="161"/>
      <c r="PI7" s="161"/>
      <c r="PJ7" s="161"/>
      <c r="PK7" s="161"/>
      <c r="PL7" s="161"/>
      <c r="PM7" s="161"/>
      <c r="PN7" s="161"/>
      <c r="PO7" s="161"/>
      <c r="PP7" s="161"/>
      <c r="PQ7" s="161"/>
      <c r="PR7" s="161"/>
      <c r="PS7" s="161"/>
      <c r="PT7" s="161"/>
      <c r="PU7" s="161"/>
      <c r="PV7" s="161"/>
      <c r="PW7" s="161"/>
      <c r="PX7" s="161"/>
      <c r="PY7" s="161"/>
      <c r="PZ7" s="161"/>
      <c r="QA7" s="161"/>
      <c r="QB7" s="161"/>
      <c r="QC7" s="161"/>
      <c r="QD7" s="161"/>
      <c r="QE7" s="161"/>
      <c r="QF7" s="161"/>
      <c r="QG7" s="161"/>
      <c r="QH7" s="161"/>
      <c r="QI7" s="161"/>
      <c r="QJ7" s="161"/>
      <c r="QK7" s="161"/>
      <c r="QL7" s="161"/>
      <c r="QM7" s="161"/>
      <c r="QN7" s="161"/>
      <c r="QO7" s="161"/>
      <c r="QP7" s="161"/>
      <c r="QQ7" s="161"/>
      <c r="QR7" s="161"/>
      <c r="QS7" s="161"/>
      <c r="QT7" s="161"/>
      <c r="QU7" s="161"/>
      <c r="QV7" s="161"/>
      <c r="QW7" s="161"/>
      <c r="QX7" s="161"/>
      <c r="QY7" s="161"/>
      <c r="QZ7" s="161"/>
      <c r="RA7" s="161"/>
      <c r="RB7" s="161"/>
      <c r="RC7" s="161"/>
      <c r="RD7" s="161"/>
      <c r="RE7" s="161"/>
      <c r="RF7" s="161"/>
      <c r="RG7" s="161"/>
      <c r="RH7" s="161"/>
      <c r="RI7" s="161"/>
      <c r="RJ7" s="161"/>
      <c r="RK7" s="161"/>
      <c r="RL7" s="161"/>
      <c r="RM7" s="161"/>
      <c r="RN7" s="161"/>
      <c r="RO7" s="161"/>
      <c r="RP7" s="161"/>
      <c r="RQ7" s="161"/>
      <c r="RR7" s="161"/>
      <c r="RS7" s="161"/>
      <c r="RT7" s="161"/>
      <c r="RU7" s="161"/>
      <c r="RV7" s="161"/>
      <c r="RW7" s="161"/>
      <c r="RX7" s="161"/>
      <c r="RY7" s="161"/>
      <c r="RZ7" s="161"/>
      <c r="SA7" s="161"/>
      <c r="SB7" s="161"/>
      <c r="SC7" s="161"/>
      <c r="SD7" s="161"/>
      <c r="SE7" s="161"/>
      <c r="SF7" s="161"/>
      <c r="SG7" s="161"/>
      <c r="SH7" s="161"/>
      <c r="SI7" s="161"/>
      <c r="SJ7" s="161"/>
      <c r="SK7" s="161"/>
      <c r="SL7" s="161"/>
      <c r="SM7" s="161"/>
      <c r="SN7" s="161"/>
      <c r="SO7" s="161"/>
      <c r="SP7" s="161"/>
      <c r="SQ7" s="161"/>
      <c r="SR7" s="161"/>
      <c r="SS7" s="161"/>
      <c r="ST7" s="161"/>
      <c r="SU7" s="161"/>
      <c r="SV7" s="161"/>
      <c r="SW7" s="161"/>
      <c r="SX7" s="161"/>
      <c r="SY7" s="161"/>
      <c r="SZ7" s="161"/>
      <c r="TA7" s="161"/>
      <c r="TB7" s="161"/>
      <c r="TC7" s="161"/>
      <c r="TD7" s="161"/>
      <c r="TE7" s="161"/>
      <c r="TF7" s="161"/>
      <c r="TG7" s="161"/>
      <c r="TH7" s="161"/>
      <c r="TI7" s="161"/>
      <c r="TJ7" s="161"/>
      <c r="TK7" s="161"/>
      <c r="TL7" s="161"/>
      <c r="TM7" s="161"/>
      <c r="TN7" s="161"/>
      <c r="TO7" s="161"/>
      <c r="TP7" s="161"/>
      <c r="TQ7" s="161"/>
      <c r="TR7" s="161"/>
      <c r="TS7" s="161"/>
      <c r="TT7" s="161"/>
      <c r="TU7" s="161"/>
      <c r="TV7" s="161"/>
      <c r="TW7" s="161"/>
      <c r="TX7" s="161"/>
      <c r="TY7" s="161"/>
      <c r="TZ7" s="161"/>
      <c r="UA7" s="161"/>
      <c r="UB7" s="161"/>
      <c r="UC7" s="161"/>
      <c r="UD7" s="161"/>
      <c r="UE7" s="161"/>
      <c r="UF7" s="161"/>
      <c r="UG7" s="161"/>
      <c r="UH7" s="161"/>
      <c r="UI7" s="161"/>
      <c r="UJ7" s="161"/>
      <c r="UK7" s="161"/>
      <c r="UL7" s="161"/>
      <c r="UM7" s="161"/>
      <c r="UN7" s="161"/>
      <c r="UO7" s="161"/>
      <c r="UP7" s="161"/>
      <c r="UQ7" s="161"/>
      <c r="UR7" s="161"/>
      <c r="US7" s="161"/>
      <c r="UT7" s="161"/>
      <c r="UU7" s="161"/>
      <c r="UV7" s="161"/>
      <c r="UW7" s="161"/>
      <c r="UX7" s="161"/>
      <c r="UY7" s="161"/>
      <c r="UZ7" s="161"/>
      <c r="VA7" s="161"/>
      <c r="VB7" s="161"/>
      <c r="VC7" s="161"/>
      <c r="VD7" s="161"/>
      <c r="VE7" s="161"/>
      <c r="VF7" s="161"/>
      <c r="VG7" s="161"/>
      <c r="VH7" s="161"/>
      <c r="VI7" s="161"/>
      <c r="VJ7" s="161"/>
      <c r="VK7" s="161"/>
      <c r="VL7" s="161"/>
      <c r="VM7" s="161"/>
      <c r="VN7" s="161"/>
      <c r="VO7" s="161"/>
      <c r="VP7" s="161"/>
      <c r="VQ7" s="161"/>
      <c r="VR7" s="161"/>
      <c r="VS7" s="161"/>
      <c r="VT7" s="161"/>
      <c r="VU7" s="161"/>
      <c r="VV7" s="161"/>
      <c r="VW7" s="161"/>
      <c r="VX7" s="161"/>
      <c r="VY7" s="161"/>
      <c r="VZ7" s="161"/>
      <c r="WA7" s="161"/>
      <c r="WB7" s="161"/>
      <c r="WC7" s="161"/>
      <c r="WD7" s="161"/>
      <c r="WE7" s="161"/>
      <c r="WF7" s="161"/>
      <c r="WG7" s="161"/>
      <c r="WH7" s="161"/>
      <c r="WI7" s="161"/>
      <c r="WJ7" s="161"/>
      <c r="WK7" s="161"/>
      <c r="WL7" s="161"/>
      <c r="WM7" s="161"/>
      <c r="WN7" s="161"/>
      <c r="WO7" s="161"/>
      <c r="WP7" s="161"/>
      <c r="WQ7" s="161"/>
      <c r="WR7" s="161"/>
      <c r="WS7" s="161"/>
      <c r="WT7" s="161"/>
      <c r="WU7" s="161"/>
      <c r="WV7" s="161"/>
      <c r="WW7" s="161"/>
      <c r="WX7" s="161"/>
      <c r="WY7" s="161"/>
      <c r="WZ7" s="161"/>
      <c r="XA7" s="161"/>
      <c r="XB7" s="161"/>
      <c r="XC7" s="161"/>
      <c r="XD7" s="161"/>
      <c r="XE7" s="161"/>
      <c r="XF7" s="161"/>
      <c r="XG7" s="161"/>
      <c r="XH7" s="161"/>
      <c r="XI7" s="161"/>
      <c r="XJ7" s="161"/>
      <c r="XK7" s="161"/>
      <c r="XL7" s="161"/>
      <c r="XM7" s="161"/>
      <c r="XN7" s="161"/>
      <c r="XO7" s="161"/>
      <c r="XP7" s="161"/>
      <c r="XQ7" s="161"/>
      <c r="XR7" s="161"/>
      <c r="XS7" s="161"/>
      <c r="XT7" s="161"/>
      <c r="XU7" s="161"/>
      <c r="XV7" s="161"/>
      <c r="XW7" s="161"/>
      <c r="XX7" s="161"/>
      <c r="XY7" s="161"/>
      <c r="XZ7" s="161"/>
      <c r="YA7" s="161"/>
      <c r="YB7" s="161"/>
      <c r="YC7" s="161"/>
      <c r="YD7" s="161"/>
      <c r="YE7" s="161"/>
      <c r="YF7" s="161"/>
      <c r="YG7" s="161"/>
      <c r="YH7" s="161"/>
      <c r="YI7" s="161"/>
      <c r="YJ7" s="161"/>
      <c r="YK7" s="161"/>
      <c r="YL7" s="161"/>
      <c r="YM7" s="161"/>
      <c r="YN7" s="161"/>
      <c r="YO7" s="161"/>
      <c r="YP7" s="161"/>
      <c r="YQ7" s="161"/>
      <c r="YR7" s="161"/>
      <c r="YS7" s="161"/>
      <c r="YT7" s="161"/>
      <c r="YU7" s="161"/>
      <c r="YV7" s="161"/>
      <c r="YW7" s="161"/>
      <c r="YX7" s="161"/>
      <c r="YY7" s="161"/>
      <c r="YZ7" s="161"/>
      <c r="ZA7" s="161"/>
      <c r="ZB7" s="161"/>
      <c r="ZC7" s="161"/>
      <c r="ZD7" s="161"/>
      <c r="ZE7" s="161"/>
      <c r="ZF7" s="161"/>
      <c r="ZG7" s="161"/>
      <c r="ZH7" s="161"/>
      <c r="ZI7" s="161"/>
      <c r="ZJ7" s="161"/>
      <c r="ZK7" s="161"/>
      <c r="ZL7" s="161"/>
      <c r="ZM7" s="161"/>
      <c r="ZN7" s="161"/>
      <c r="ZO7" s="161"/>
      <c r="ZP7" s="161"/>
      <c r="ZQ7" s="161"/>
      <c r="ZR7" s="161"/>
      <c r="ZS7" s="161"/>
      <c r="ZT7" s="161"/>
      <c r="ZU7" s="161"/>
      <c r="ZV7" s="161"/>
      <c r="ZW7" s="161"/>
      <c r="ZX7" s="161"/>
      <c r="ZY7" s="161"/>
      <c r="ZZ7" s="161"/>
      <c r="AAA7" s="161"/>
      <c r="AAB7" s="161"/>
      <c r="AAC7" s="161"/>
      <c r="AAD7" s="161"/>
      <c r="AAE7" s="161"/>
      <c r="AAF7" s="161"/>
      <c r="AAG7" s="161"/>
      <c r="AAH7" s="161"/>
      <c r="AAI7" s="161"/>
      <c r="AAJ7" s="161"/>
      <c r="AAK7" s="161"/>
      <c r="AAL7" s="161"/>
      <c r="AAM7" s="161"/>
      <c r="AAN7" s="161"/>
      <c r="AAO7" s="161"/>
      <c r="AAP7" s="161"/>
      <c r="AAQ7" s="161"/>
      <c r="AAR7" s="161"/>
      <c r="AAS7" s="161"/>
      <c r="AAT7" s="161"/>
      <c r="AAU7" s="161"/>
      <c r="AAV7" s="161"/>
      <c r="AAW7" s="161"/>
      <c r="AAX7" s="161"/>
      <c r="AAY7" s="161"/>
      <c r="AAZ7" s="161"/>
      <c r="ABA7" s="161"/>
      <c r="ABB7" s="161"/>
      <c r="ABC7" s="161"/>
      <c r="ABD7" s="161"/>
      <c r="ABE7" s="161"/>
      <c r="ABF7" s="161"/>
      <c r="ABG7" s="161"/>
      <c r="ABH7" s="161"/>
      <c r="ABI7" s="161"/>
      <c r="ABJ7" s="161"/>
      <c r="ABK7" s="161"/>
      <c r="ABL7" s="161"/>
      <c r="ABM7" s="161"/>
      <c r="ABN7" s="161"/>
      <c r="ABO7" s="161"/>
      <c r="ABP7" s="161"/>
      <c r="ABQ7" s="161"/>
      <c r="ABR7" s="161"/>
      <c r="ABS7" s="161"/>
      <c r="ABT7" s="161"/>
      <c r="ABU7" s="161"/>
      <c r="ABV7" s="161"/>
      <c r="ABW7" s="161"/>
      <c r="ABX7" s="161"/>
      <c r="ABY7" s="161"/>
      <c r="ABZ7" s="161"/>
      <c r="ACA7" s="161"/>
      <c r="ACB7" s="161"/>
      <c r="ACC7" s="161"/>
      <c r="ACD7" s="161"/>
      <c r="ACE7" s="161"/>
      <c r="ACF7" s="161"/>
      <c r="ACG7" s="161"/>
      <c r="ACH7" s="161"/>
      <c r="ACI7" s="161"/>
      <c r="ACJ7" s="161"/>
      <c r="ACK7" s="161"/>
      <c r="ACL7" s="161"/>
      <c r="ACM7" s="161"/>
      <c r="ACN7" s="161"/>
      <c r="ACO7" s="161"/>
      <c r="ACP7" s="161"/>
      <c r="ACQ7" s="161"/>
      <c r="ACR7" s="161"/>
      <c r="ACS7" s="161"/>
      <c r="ACT7" s="161"/>
      <c r="ACU7" s="161"/>
      <c r="ACV7" s="161"/>
      <c r="ACW7" s="161"/>
      <c r="ACX7" s="161"/>
      <c r="ACY7" s="161"/>
      <c r="ACZ7" s="161"/>
      <c r="ADA7" s="161"/>
      <c r="ADB7" s="161"/>
      <c r="ADC7" s="161"/>
      <c r="ADD7" s="161"/>
      <c r="ADE7" s="161"/>
      <c r="ADF7" s="161"/>
      <c r="ADG7" s="161"/>
      <c r="ADH7" s="161"/>
      <c r="ADI7" s="161"/>
      <c r="ADJ7" s="161"/>
      <c r="ADK7" s="161"/>
      <c r="ADL7" s="161"/>
      <c r="ADM7" s="161"/>
      <c r="ADN7" s="161"/>
      <c r="ADO7" s="161"/>
      <c r="ADP7" s="161"/>
      <c r="ADQ7" s="161"/>
      <c r="ADR7" s="161"/>
      <c r="ADS7" s="161"/>
      <c r="ADT7" s="161"/>
      <c r="ADU7" s="161"/>
      <c r="ADV7" s="161"/>
      <c r="ADW7" s="161"/>
      <c r="ADX7" s="161"/>
      <c r="ADY7" s="161"/>
      <c r="ADZ7" s="161"/>
      <c r="AEA7" s="161"/>
      <c r="AEB7" s="161"/>
      <c r="AEC7" s="161"/>
      <c r="AED7" s="161"/>
      <c r="AEE7" s="161"/>
      <c r="AEF7" s="161"/>
      <c r="AEG7" s="161"/>
      <c r="AEH7" s="161"/>
      <c r="AEI7" s="161"/>
      <c r="AEJ7" s="161"/>
      <c r="AEK7" s="161"/>
      <c r="AEL7" s="161"/>
      <c r="AEM7" s="161"/>
      <c r="AEN7" s="161"/>
      <c r="AEO7" s="161"/>
      <c r="AEP7" s="161"/>
      <c r="AEQ7" s="161"/>
      <c r="AER7" s="161"/>
      <c r="AES7" s="161"/>
      <c r="AET7" s="161"/>
      <c r="AEU7" s="161"/>
      <c r="AEV7" s="161"/>
      <c r="AEW7" s="161"/>
      <c r="AEX7" s="161"/>
      <c r="AEY7" s="161"/>
      <c r="AEZ7" s="161"/>
      <c r="AFA7" s="161"/>
      <c r="AFB7" s="161"/>
      <c r="AFC7" s="161"/>
      <c r="AFD7" s="161"/>
      <c r="AFE7" s="161"/>
      <c r="AFF7" s="161"/>
      <c r="AFG7" s="161"/>
      <c r="AFH7" s="161"/>
      <c r="AFI7" s="161"/>
      <c r="AFJ7" s="161"/>
      <c r="AFK7" s="161"/>
      <c r="AFL7" s="161"/>
      <c r="AFM7" s="161"/>
      <c r="AFN7" s="161"/>
      <c r="AFO7" s="161"/>
      <c r="AFP7" s="161"/>
      <c r="AFQ7" s="161"/>
      <c r="AFR7" s="161"/>
      <c r="AFS7" s="161"/>
      <c r="AFT7" s="161"/>
      <c r="AFU7" s="161"/>
      <c r="AFV7" s="161"/>
      <c r="AFW7" s="161"/>
      <c r="AFX7" s="161"/>
      <c r="AFY7" s="161"/>
      <c r="AFZ7" s="161"/>
      <c r="AGA7" s="161"/>
      <c r="AGB7" s="161"/>
      <c r="AGC7" s="161"/>
      <c r="AGD7" s="161"/>
      <c r="AGE7" s="161"/>
      <c r="AGF7" s="161"/>
      <c r="AGG7" s="161"/>
      <c r="AGH7" s="161"/>
      <c r="AGI7" s="161"/>
      <c r="AGJ7" s="161"/>
      <c r="AGK7" s="161"/>
      <c r="AGL7" s="161"/>
      <c r="AGM7" s="161"/>
      <c r="AGN7" s="161"/>
      <c r="AGO7" s="161"/>
      <c r="AGP7" s="161"/>
      <c r="AGQ7" s="161"/>
      <c r="AGR7" s="161"/>
      <c r="AGS7" s="161"/>
      <c r="AGT7" s="161"/>
      <c r="AGU7" s="161"/>
      <c r="AGV7" s="161"/>
      <c r="AGW7" s="161"/>
      <c r="AGX7" s="161"/>
      <c r="AGY7" s="161"/>
      <c r="AGZ7" s="161"/>
      <c r="AHA7" s="161"/>
      <c r="AHB7" s="161"/>
      <c r="AHC7" s="161"/>
      <c r="AHD7" s="161"/>
      <c r="AHE7" s="161"/>
      <c r="AHF7" s="161"/>
      <c r="AHG7" s="161"/>
      <c r="AHH7" s="161"/>
      <c r="AHI7" s="161"/>
      <c r="AHJ7" s="161"/>
      <c r="AHK7" s="161"/>
      <c r="AHL7" s="161"/>
      <c r="AHM7" s="161"/>
      <c r="AHN7" s="161"/>
      <c r="AHO7" s="161"/>
      <c r="AHP7" s="161"/>
      <c r="AHQ7" s="161"/>
      <c r="AHR7" s="161"/>
      <c r="AHS7" s="161"/>
      <c r="AHT7" s="161"/>
      <c r="AHU7" s="161"/>
      <c r="AHV7" s="161"/>
      <c r="AHW7" s="161"/>
      <c r="AHX7" s="161"/>
      <c r="AHY7" s="161"/>
      <c r="AHZ7" s="161"/>
      <c r="AIA7" s="161"/>
      <c r="AIB7" s="161"/>
      <c r="AIC7" s="161"/>
      <c r="AID7" s="161"/>
      <c r="AIE7" s="161"/>
      <c r="AIF7" s="161"/>
    </row>
    <row r="8" spans="1:916" s="21" customFormat="1" ht="14.25">
      <c r="A8" s="308"/>
      <c r="B8" s="309" t="s">
        <v>33</v>
      </c>
      <c r="C8" s="146" t="s">
        <v>369</v>
      </c>
      <c r="D8" s="174"/>
      <c r="E8" s="310"/>
      <c r="F8" s="144">
        <f>'SF Existing Space Heat {G}'!A$16</f>
        <v>19.903915925152326</v>
      </c>
      <c r="G8" s="145" t="s">
        <v>365</v>
      </c>
      <c r="H8" s="258">
        <f>'SF Existing Space Heat {G}'!A$10</f>
        <v>1052890.3999999999</v>
      </c>
      <c r="I8" s="259">
        <f>'SF Existing Space Heat {G}'!A$8</f>
        <v>258949.83999999985</v>
      </c>
      <c r="J8" s="259">
        <f>'SF Existing Space Heat {G}'!A$12</f>
        <v>3382248.2199999997</v>
      </c>
      <c r="K8" s="259">
        <f>'SF Existing Space Heat {G}'!A$14</f>
        <v>2451632.13</v>
      </c>
      <c r="L8" s="259">
        <f>SUM('SF Existing Space Heat {G}'!Q$5:Q$1000)</f>
        <v>5833880.3499999996</v>
      </c>
      <c r="M8" s="259"/>
      <c r="N8" s="260">
        <f>'SF Existing Space Heat {G}'!A$18</f>
        <v>3641889.33</v>
      </c>
      <c r="O8" s="259">
        <f>'SF Existing Space Heat {G}'!A$20</f>
        <v>6092830.1899999995</v>
      </c>
      <c r="P8" s="259">
        <f>SUM('SF Existing Space Heat {G}'!R$5:R$1000)</f>
        <v>23.590000000000003</v>
      </c>
      <c r="Q8" s="261">
        <f t="shared" si="0"/>
        <v>3404589.445638964</v>
      </c>
      <c r="R8" s="261">
        <f>O8/(1+ElecDiscountRate)^1</f>
        <v>5695830.7843320547</v>
      </c>
      <c r="S8" s="259">
        <f>SUM('SF Existing Space Heat {G}'!AM$5:AM$1000)</f>
        <v>14430012.943431279</v>
      </c>
      <c r="T8" s="259">
        <f>SUM('SF Existing Space Heat {G}'!AD$5:AD$1000)</f>
        <v>129838.0487398048</v>
      </c>
      <c r="U8" s="133">
        <f t="shared" ref="U8:U19" si="2">IFERROR(S8/Q8,0)</f>
        <v>4.2384003045991623</v>
      </c>
      <c r="V8" s="133">
        <f t="shared" ref="V8:V19" si="3">IFERROR(((S8*1.1)+(T8))/R8,0)</f>
        <v>2.8095729828446534</v>
      </c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  <c r="BF8" s="161"/>
      <c r="BG8" s="161"/>
      <c r="BH8" s="161"/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  <c r="BV8" s="161"/>
      <c r="BW8" s="161"/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  <c r="CP8" s="161"/>
      <c r="CQ8" s="161"/>
      <c r="CR8" s="161"/>
      <c r="CS8" s="161"/>
      <c r="CT8" s="161"/>
      <c r="CU8" s="161"/>
      <c r="CV8" s="161"/>
      <c r="CW8" s="161"/>
      <c r="CX8" s="161"/>
      <c r="CY8" s="161"/>
      <c r="CZ8" s="161"/>
      <c r="DA8" s="161"/>
      <c r="DB8" s="161"/>
      <c r="DC8" s="161"/>
      <c r="DD8" s="161"/>
      <c r="DE8" s="161"/>
      <c r="DF8" s="161"/>
      <c r="DG8" s="161"/>
      <c r="DH8" s="161"/>
      <c r="DI8" s="161"/>
      <c r="DJ8" s="161"/>
      <c r="DK8" s="161"/>
      <c r="DL8" s="161"/>
      <c r="DM8" s="161"/>
      <c r="DN8" s="161"/>
      <c r="DO8" s="161"/>
      <c r="DP8" s="161"/>
      <c r="DQ8" s="161"/>
      <c r="DR8" s="161"/>
      <c r="DS8" s="161"/>
      <c r="DT8" s="161"/>
      <c r="DU8" s="161"/>
      <c r="DV8" s="161"/>
      <c r="DW8" s="161"/>
      <c r="DX8" s="161"/>
      <c r="DY8" s="161"/>
      <c r="DZ8" s="161"/>
      <c r="EA8" s="161"/>
      <c r="EB8" s="161"/>
      <c r="EC8" s="161"/>
      <c r="ED8" s="161"/>
      <c r="EE8" s="161"/>
      <c r="EF8" s="161"/>
      <c r="EG8" s="161"/>
      <c r="EH8" s="161"/>
      <c r="EI8" s="161"/>
      <c r="EJ8" s="161"/>
      <c r="EK8" s="161"/>
      <c r="EL8" s="161"/>
      <c r="EM8" s="161"/>
      <c r="EN8" s="161"/>
      <c r="EO8" s="161"/>
      <c r="EP8" s="161"/>
      <c r="EQ8" s="161"/>
      <c r="ER8" s="161"/>
      <c r="ES8" s="161"/>
      <c r="ET8" s="161"/>
      <c r="EU8" s="161"/>
      <c r="EV8" s="161"/>
      <c r="EW8" s="161"/>
      <c r="EX8" s="161"/>
      <c r="EY8" s="161"/>
      <c r="EZ8" s="161"/>
      <c r="FA8" s="161"/>
      <c r="FB8" s="161"/>
      <c r="FC8" s="161"/>
      <c r="FD8" s="161"/>
      <c r="FE8" s="161"/>
      <c r="FF8" s="161"/>
      <c r="FG8" s="161"/>
      <c r="FH8" s="161"/>
      <c r="FI8" s="161"/>
      <c r="FJ8" s="161"/>
      <c r="FK8" s="161"/>
      <c r="FL8" s="161"/>
      <c r="FM8" s="161"/>
      <c r="FN8" s="161"/>
      <c r="FO8" s="161"/>
      <c r="FP8" s="161"/>
      <c r="FQ8" s="161"/>
      <c r="FR8" s="161"/>
      <c r="FS8" s="161"/>
      <c r="FT8" s="161"/>
      <c r="FU8" s="161"/>
      <c r="FV8" s="161"/>
      <c r="FW8" s="161"/>
      <c r="FX8" s="161"/>
      <c r="FY8" s="161"/>
      <c r="FZ8" s="161"/>
      <c r="GA8" s="161"/>
      <c r="GB8" s="161"/>
      <c r="GC8" s="161"/>
      <c r="GD8" s="161"/>
      <c r="GE8" s="161"/>
      <c r="GF8" s="161"/>
      <c r="GG8" s="161"/>
      <c r="GH8" s="161"/>
      <c r="GI8" s="161"/>
      <c r="GJ8" s="161"/>
      <c r="GK8" s="161"/>
      <c r="GL8" s="161"/>
      <c r="GM8" s="161"/>
      <c r="GN8" s="161"/>
      <c r="GO8" s="161"/>
      <c r="GP8" s="161"/>
      <c r="GQ8" s="161"/>
      <c r="GR8" s="161"/>
      <c r="GS8" s="161"/>
      <c r="GT8" s="161"/>
      <c r="GU8" s="161"/>
      <c r="GV8" s="161"/>
      <c r="GW8" s="161"/>
      <c r="GX8" s="161"/>
      <c r="GY8" s="161"/>
      <c r="GZ8" s="161"/>
      <c r="HA8" s="161"/>
      <c r="HB8" s="161"/>
      <c r="HC8" s="161"/>
      <c r="HD8" s="161"/>
      <c r="HE8" s="161"/>
      <c r="HF8" s="161"/>
      <c r="HG8" s="161"/>
      <c r="HH8" s="161"/>
      <c r="HI8" s="161"/>
      <c r="HJ8" s="161"/>
      <c r="HK8" s="161"/>
      <c r="HL8" s="161"/>
      <c r="HM8" s="161"/>
      <c r="HN8" s="161"/>
      <c r="HO8" s="161"/>
      <c r="HP8" s="161"/>
      <c r="HQ8" s="161"/>
      <c r="HR8" s="161"/>
      <c r="HS8" s="161"/>
      <c r="HT8" s="161"/>
      <c r="HU8" s="161"/>
      <c r="HV8" s="161"/>
      <c r="HW8" s="161"/>
      <c r="HX8" s="161"/>
      <c r="HY8" s="161"/>
      <c r="HZ8" s="161"/>
      <c r="IA8" s="161"/>
      <c r="IB8" s="161"/>
      <c r="IC8" s="161"/>
      <c r="ID8" s="161"/>
      <c r="IE8" s="161"/>
      <c r="IF8" s="161"/>
      <c r="IG8" s="161"/>
      <c r="IH8" s="161"/>
      <c r="II8" s="161"/>
      <c r="IJ8" s="161"/>
      <c r="IK8" s="161"/>
      <c r="IL8" s="161"/>
      <c r="IM8" s="161"/>
      <c r="IN8" s="161"/>
      <c r="IO8" s="161"/>
      <c r="IP8" s="161"/>
      <c r="IQ8" s="161"/>
      <c r="IR8" s="161"/>
      <c r="IS8" s="161"/>
      <c r="IT8" s="161"/>
      <c r="IU8" s="161"/>
      <c r="IV8" s="161"/>
      <c r="IW8" s="161"/>
      <c r="IX8" s="161"/>
      <c r="IY8" s="161"/>
      <c r="IZ8" s="161"/>
      <c r="JA8" s="161"/>
      <c r="JB8" s="161"/>
      <c r="JC8" s="161"/>
      <c r="JD8" s="161"/>
      <c r="JE8" s="161"/>
      <c r="JF8" s="161"/>
      <c r="JG8" s="161"/>
      <c r="JH8" s="161"/>
      <c r="JI8" s="161"/>
      <c r="JJ8" s="161"/>
      <c r="JK8" s="161"/>
      <c r="JL8" s="161"/>
      <c r="JM8" s="161"/>
      <c r="JN8" s="161"/>
      <c r="JO8" s="161"/>
      <c r="JP8" s="161"/>
      <c r="JQ8" s="161"/>
      <c r="JR8" s="161"/>
      <c r="JS8" s="161"/>
      <c r="JT8" s="161"/>
      <c r="JU8" s="161"/>
      <c r="JV8" s="161"/>
      <c r="JW8" s="161"/>
      <c r="JX8" s="161"/>
      <c r="JY8" s="161"/>
      <c r="JZ8" s="161"/>
      <c r="KA8" s="161"/>
      <c r="KB8" s="161"/>
      <c r="KC8" s="161"/>
      <c r="KD8" s="161"/>
      <c r="KE8" s="161"/>
      <c r="KF8" s="161"/>
      <c r="KG8" s="161"/>
      <c r="KH8" s="161"/>
      <c r="KI8" s="161"/>
      <c r="KJ8" s="161"/>
      <c r="KK8" s="161"/>
      <c r="KL8" s="161"/>
      <c r="KM8" s="161"/>
      <c r="KN8" s="161"/>
      <c r="KO8" s="161"/>
      <c r="KP8" s="161"/>
      <c r="KQ8" s="161"/>
      <c r="KR8" s="161"/>
      <c r="KS8" s="161"/>
      <c r="KT8" s="161"/>
      <c r="KU8" s="161"/>
      <c r="KV8" s="161"/>
      <c r="KW8" s="161"/>
      <c r="KX8" s="161"/>
      <c r="KY8" s="161"/>
      <c r="KZ8" s="161"/>
      <c r="LA8" s="161"/>
      <c r="LB8" s="161"/>
      <c r="LC8" s="161"/>
      <c r="LD8" s="161"/>
      <c r="LE8" s="161"/>
      <c r="LF8" s="161"/>
      <c r="LG8" s="161"/>
      <c r="LH8" s="161"/>
      <c r="LI8" s="161"/>
      <c r="LJ8" s="161"/>
      <c r="LK8" s="161"/>
      <c r="LL8" s="161"/>
      <c r="LM8" s="161"/>
      <c r="LN8" s="161"/>
      <c r="LO8" s="161"/>
      <c r="LP8" s="161"/>
      <c r="LQ8" s="161"/>
      <c r="LR8" s="161"/>
      <c r="LS8" s="161"/>
      <c r="LT8" s="161"/>
      <c r="LU8" s="161"/>
      <c r="LV8" s="161"/>
      <c r="LW8" s="161"/>
      <c r="LX8" s="161"/>
      <c r="LY8" s="161"/>
      <c r="LZ8" s="161"/>
      <c r="MA8" s="161"/>
      <c r="MB8" s="161"/>
      <c r="MC8" s="161"/>
      <c r="MD8" s="161"/>
      <c r="ME8" s="161"/>
      <c r="MF8" s="161"/>
      <c r="MG8" s="161"/>
      <c r="MH8" s="161"/>
      <c r="MI8" s="161"/>
      <c r="MJ8" s="161"/>
      <c r="MK8" s="161"/>
      <c r="ML8" s="161"/>
      <c r="MM8" s="161"/>
      <c r="MN8" s="161"/>
      <c r="MO8" s="161"/>
      <c r="MP8" s="161"/>
      <c r="MQ8" s="161"/>
      <c r="MR8" s="161"/>
      <c r="MS8" s="161"/>
      <c r="MT8" s="161"/>
      <c r="MU8" s="161"/>
      <c r="MV8" s="161"/>
      <c r="MW8" s="161"/>
      <c r="MX8" s="161"/>
      <c r="MY8" s="161"/>
      <c r="MZ8" s="161"/>
      <c r="NA8" s="161"/>
      <c r="NB8" s="161"/>
      <c r="NC8" s="161"/>
      <c r="ND8" s="161"/>
      <c r="NE8" s="161"/>
      <c r="NF8" s="161"/>
      <c r="NG8" s="161"/>
      <c r="NH8" s="161"/>
      <c r="NI8" s="161"/>
      <c r="NJ8" s="161"/>
      <c r="NK8" s="161"/>
      <c r="NL8" s="161"/>
      <c r="NM8" s="161"/>
      <c r="NN8" s="161"/>
      <c r="NO8" s="161"/>
      <c r="NP8" s="161"/>
      <c r="NQ8" s="161"/>
      <c r="NR8" s="161"/>
      <c r="NS8" s="161"/>
      <c r="NT8" s="161"/>
      <c r="NU8" s="161"/>
      <c r="NV8" s="161"/>
      <c r="NW8" s="161"/>
      <c r="NX8" s="161"/>
      <c r="NY8" s="161"/>
      <c r="NZ8" s="161"/>
      <c r="OA8" s="161"/>
      <c r="OB8" s="161"/>
      <c r="OC8" s="161"/>
      <c r="OD8" s="161"/>
      <c r="OE8" s="161"/>
      <c r="OF8" s="161"/>
      <c r="OG8" s="161"/>
      <c r="OH8" s="161"/>
      <c r="OI8" s="161"/>
      <c r="OJ8" s="161"/>
      <c r="OK8" s="161"/>
      <c r="OL8" s="161"/>
      <c r="OM8" s="161"/>
      <c r="ON8" s="161"/>
      <c r="OO8" s="161"/>
      <c r="OP8" s="161"/>
      <c r="OQ8" s="161"/>
      <c r="OR8" s="161"/>
      <c r="OS8" s="161"/>
      <c r="OT8" s="161"/>
      <c r="OU8" s="161"/>
      <c r="OV8" s="161"/>
      <c r="OW8" s="161"/>
      <c r="OX8" s="161"/>
      <c r="OY8" s="161"/>
      <c r="OZ8" s="161"/>
      <c r="PA8" s="161"/>
      <c r="PB8" s="161"/>
      <c r="PC8" s="161"/>
      <c r="PD8" s="161"/>
      <c r="PE8" s="161"/>
      <c r="PF8" s="161"/>
      <c r="PG8" s="161"/>
      <c r="PH8" s="161"/>
      <c r="PI8" s="161"/>
      <c r="PJ8" s="161"/>
      <c r="PK8" s="161"/>
      <c r="PL8" s="161"/>
      <c r="PM8" s="161"/>
      <c r="PN8" s="161"/>
      <c r="PO8" s="161"/>
      <c r="PP8" s="161"/>
      <c r="PQ8" s="161"/>
      <c r="PR8" s="161"/>
      <c r="PS8" s="161"/>
      <c r="PT8" s="161"/>
      <c r="PU8" s="161"/>
      <c r="PV8" s="161"/>
      <c r="PW8" s="161"/>
      <c r="PX8" s="161"/>
      <c r="PY8" s="161"/>
      <c r="PZ8" s="161"/>
      <c r="QA8" s="161"/>
      <c r="QB8" s="161"/>
      <c r="QC8" s="161"/>
      <c r="QD8" s="161"/>
      <c r="QE8" s="161"/>
      <c r="QF8" s="161"/>
      <c r="QG8" s="161"/>
      <c r="QH8" s="161"/>
      <c r="QI8" s="161"/>
      <c r="QJ8" s="161"/>
      <c r="QK8" s="161"/>
      <c r="QL8" s="161"/>
      <c r="QM8" s="161"/>
      <c r="QN8" s="161"/>
      <c r="QO8" s="161"/>
      <c r="QP8" s="161"/>
      <c r="QQ8" s="161"/>
      <c r="QR8" s="161"/>
      <c r="QS8" s="161"/>
      <c r="QT8" s="161"/>
      <c r="QU8" s="161"/>
      <c r="QV8" s="161"/>
      <c r="QW8" s="161"/>
      <c r="QX8" s="161"/>
      <c r="QY8" s="161"/>
      <c r="QZ8" s="161"/>
      <c r="RA8" s="161"/>
      <c r="RB8" s="161"/>
      <c r="RC8" s="161"/>
      <c r="RD8" s="161"/>
      <c r="RE8" s="161"/>
      <c r="RF8" s="161"/>
      <c r="RG8" s="161"/>
      <c r="RH8" s="161"/>
      <c r="RI8" s="161"/>
      <c r="RJ8" s="161"/>
      <c r="RK8" s="161"/>
      <c r="RL8" s="161"/>
      <c r="RM8" s="161"/>
      <c r="RN8" s="161"/>
      <c r="RO8" s="161"/>
      <c r="RP8" s="161"/>
      <c r="RQ8" s="161"/>
      <c r="RR8" s="161"/>
      <c r="RS8" s="161"/>
      <c r="RT8" s="161"/>
      <c r="RU8" s="161"/>
      <c r="RV8" s="161"/>
      <c r="RW8" s="161"/>
      <c r="RX8" s="161"/>
      <c r="RY8" s="161"/>
      <c r="RZ8" s="161"/>
      <c r="SA8" s="161"/>
      <c r="SB8" s="161"/>
      <c r="SC8" s="161"/>
      <c r="SD8" s="161"/>
      <c r="SE8" s="161"/>
      <c r="SF8" s="161"/>
      <c r="SG8" s="161"/>
      <c r="SH8" s="161"/>
      <c r="SI8" s="161"/>
      <c r="SJ8" s="161"/>
      <c r="SK8" s="161"/>
      <c r="SL8" s="161"/>
      <c r="SM8" s="161"/>
      <c r="SN8" s="161"/>
      <c r="SO8" s="161"/>
      <c r="SP8" s="161"/>
      <c r="SQ8" s="161"/>
      <c r="SR8" s="161"/>
      <c r="SS8" s="161"/>
      <c r="ST8" s="161"/>
      <c r="SU8" s="161"/>
      <c r="SV8" s="161"/>
      <c r="SW8" s="161"/>
      <c r="SX8" s="161"/>
      <c r="SY8" s="161"/>
      <c r="SZ8" s="161"/>
      <c r="TA8" s="161"/>
      <c r="TB8" s="161"/>
      <c r="TC8" s="161"/>
      <c r="TD8" s="161"/>
      <c r="TE8" s="161"/>
      <c r="TF8" s="161"/>
      <c r="TG8" s="161"/>
      <c r="TH8" s="161"/>
      <c r="TI8" s="161"/>
      <c r="TJ8" s="161"/>
      <c r="TK8" s="161"/>
      <c r="TL8" s="161"/>
      <c r="TM8" s="161"/>
      <c r="TN8" s="161"/>
      <c r="TO8" s="161"/>
      <c r="TP8" s="161"/>
      <c r="TQ8" s="161"/>
      <c r="TR8" s="161"/>
      <c r="TS8" s="161"/>
      <c r="TT8" s="161"/>
      <c r="TU8" s="161"/>
      <c r="TV8" s="161"/>
      <c r="TW8" s="161"/>
      <c r="TX8" s="161"/>
      <c r="TY8" s="161"/>
      <c r="TZ8" s="161"/>
      <c r="UA8" s="161"/>
      <c r="UB8" s="161"/>
      <c r="UC8" s="161"/>
      <c r="UD8" s="161"/>
      <c r="UE8" s="161"/>
      <c r="UF8" s="161"/>
      <c r="UG8" s="161"/>
      <c r="UH8" s="161"/>
      <c r="UI8" s="161"/>
      <c r="UJ8" s="161"/>
      <c r="UK8" s="161"/>
      <c r="UL8" s="161"/>
      <c r="UM8" s="161"/>
      <c r="UN8" s="161"/>
      <c r="UO8" s="161"/>
      <c r="UP8" s="161"/>
      <c r="UQ8" s="161"/>
      <c r="UR8" s="161"/>
      <c r="US8" s="161"/>
      <c r="UT8" s="161"/>
      <c r="UU8" s="161"/>
      <c r="UV8" s="161"/>
      <c r="UW8" s="161"/>
      <c r="UX8" s="161"/>
      <c r="UY8" s="161"/>
      <c r="UZ8" s="161"/>
      <c r="VA8" s="161"/>
      <c r="VB8" s="161"/>
      <c r="VC8" s="161"/>
      <c r="VD8" s="161"/>
      <c r="VE8" s="161"/>
      <c r="VF8" s="161"/>
      <c r="VG8" s="161"/>
      <c r="VH8" s="161"/>
      <c r="VI8" s="161"/>
      <c r="VJ8" s="161"/>
      <c r="VK8" s="161"/>
      <c r="VL8" s="161"/>
      <c r="VM8" s="161"/>
      <c r="VN8" s="161"/>
      <c r="VO8" s="161"/>
      <c r="VP8" s="161"/>
      <c r="VQ8" s="161"/>
      <c r="VR8" s="161"/>
      <c r="VS8" s="161"/>
      <c r="VT8" s="161"/>
      <c r="VU8" s="161"/>
      <c r="VV8" s="161"/>
      <c r="VW8" s="161"/>
      <c r="VX8" s="161"/>
      <c r="VY8" s="161"/>
      <c r="VZ8" s="161"/>
      <c r="WA8" s="161"/>
      <c r="WB8" s="161"/>
      <c r="WC8" s="161"/>
      <c r="WD8" s="161"/>
      <c r="WE8" s="161"/>
      <c r="WF8" s="161"/>
      <c r="WG8" s="161"/>
      <c r="WH8" s="161"/>
      <c r="WI8" s="161"/>
      <c r="WJ8" s="161"/>
      <c r="WK8" s="161"/>
      <c r="WL8" s="161"/>
      <c r="WM8" s="161"/>
      <c r="WN8" s="161"/>
      <c r="WO8" s="161"/>
      <c r="WP8" s="161"/>
      <c r="WQ8" s="161"/>
      <c r="WR8" s="161"/>
      <c r="WS8" s="161"/>
      <c r="WT8" s="161"/>
      <c r="WU8" s="161"/>
      <c r="WV8" s="161"/>
      <c r="WW8" s="161"/>
      <c r="WX8" s="161"/>
      <c r="WY8" s="161"/>
      <c r="WZ8" s="161"/>
      <c r="XA8" s="161"/>
      <c r="XB8" s="161"/>
      <c r="XC8" s="161"/>
      <c r="XD8" s="161"/>
      <c r="XE8" s="161"/>
      <c r="XF8" s="161"/>
      <c r="XG8" s="161"/>
      <c r="XH8" s="161"/>
      <c r="XI8" s="161"/>
      <c r="XJ8" s="161"/>
      <c r="XK8" s="161"/>
      <c r="XL8" s="161"/>
      <c r="XM8" s="161"/>
      <c r="XN8" s="161"/>
      <c r="XO8" s="161"/>
      <c r="XP8" s="161"/>
      <c r="XQ8" s="161"/>
      <c r="XR8" s="161"/>
      <c r="XS8" s="161"/>
      <c r="XT8" s="161"/>
      <c r="XU8" s="161"/>
      <c r="XV8" s="161"/>
      <c r="XW8" s="161"/>
      <c r="XX8" s="161"/>
      <c r="XY8" s="161"/>
      <c r="XZ8" s="161"/>
      <c r="YA8" s="161"/>
      <c r="YB8" s="161"/>
      <c r="YC8" s="161"/>
      <c r="YD8" s="161"/>
      <c r="YE8" s="161"/>
      <c r="YF8" s="161"/>
      <c r="YG8" s="161"/>
      <c r="YH8" s="161"/>
      <c r="YI8" s="161"/>
      <c r="YJ8" s="161"/>
      <c r="YK8" s="161"/>
      <c r="YL8" s="161"/>
      <c r="YM8" s="161"/>
      <c r="YN8" s="161"/>
      <c r="YO8" s="161"/>
      <c r="YP8" s="161"/>
      <c r="YQ8" s="161"/>
      <c r="YR8" s="161"/>
      <c r="YS8" s="161"/>
      <c r="YT8" s="161"/>
      <c r="YU8" s="161"/>
      <c r="YV8" s="161"/>
      <c r="YW8" s="161"/>
      <c r="YX8" s="161"/>
      <c r="YY8" s="161"/>
      <c r="YZ8" s="161"/>
      <c r="ZA8" s="161"/>
      <c r="ZB8" s="161"/>
      <c r="ZC8" s="161"/>
      <c r="ZD8" s="161"/>
      <c r="ZE8" s="161"/>
      <c r="ZF8" s="161"/>
      <c r="ZG8" s="161"/>
      <c r="ZH8" s="161"/>
      <c r="ZI8" s="161"/>
      <c r="ZJ8" s="161"/>
      <c r="ZK8" s="161"/>
      <c r="ZL8" s="161"/>
      <c r="ZM8" s="161"/>
      <c r="ZN8" s="161"/>
      <c r="ZO8" s="161"/>
      <c r="ZP8" s="161"/>
      <c r="ZQ8" s="161"/>
      <c r="ZR8" s="161"/>
      <c r="ZS8" s="161"/>
      <c r="ZT8" s="161"/>
      <c r="ZU8" s="161"/>
      <c r="ZV8" s="161"/>
      <c r="ZW8" s="161"/>
      <c r="ZX8" s="161"/>
      <c r="ZY8" s="161"/>
      <c r="ZZ8" s="161"/>
      <c r="AAA8" s="161"/>
      <c r="AAB8" s="161"/>
      <c r="AAC8" s="161"/>
      <c r="AAD8" s="161"/>
      <c r="AAE8" s="161"/>
      <c r="AAF8" s="161"/>
      <c r="AAG8" s="161"/>
      <c r="AAH8" s="161"/>
      <c r="AAI8" s="161"/>
      <c r="AAJ8" s="161"/>
      <c r="AAK8" s="161"/>
      <c r="AAL8" s="161"/>
      <c r="AAM8" s="161"/>
      <c r="AAN8" s="161"/>
      <c r="AAO8" s="161"/>
      <c r="AAP8" s="161"/>
      <c r="AAQ8" s="161"/>
      <c r="AAR8" s="161"/>
      <c r="AAS8" s="161"/>
      <c r="AAT8" s="161"/>
      <c r="AAU8" s="161"/>
      <c r="AAV8" s="161"/>
      <c r="AAW8" s="161"/>
      <c r="AAX8" s="161"/>
      <c r="AAY8" s="161"/>
      <c r="AAZ8" s="161"/>
      <c r="ABA8" s="161"/>
      <c r="ABB8" s="161"/>
      <c r="ABC8" s="161"/>
      <c r="ABD8" s="161"/>
      <c r="ABE8" s="161"/>
      <c r="ABF8" s="161"/>
      <c r="ABG8" s="161"/>
      <c r="ABH8" s="161"/>
      <c r="ABI8" s="161"/>
      <c r="ABJ8" s="161"/>
      <c r="ABK8" s="161"/>
      <c r="ABL8" s="161"/>
      <c r="ABM8" s="161"/>
      <c r="ABN8" s="161"/>
      <c r="ABO8" s="161"/>
      <c r="ABP8" s="161"/>
      <c r="ABQ8" s="161"/>
      <c r="ABR8" s="161"/>
      <c r="ABS8" s="161"/>
      <c r="ABT8" s="161"/>
      <c r="ABU8" s="161"/>
      <c r="ABV8" s="161"/>
      <c r="ABW8" s="161"/>
      <c r="ABX8" s="161"/>
      <c r="ABY8" s="161"/>
      <c r="ABZ8" s="161"/>
      <c r="ACA8" s="161"/>
      <c r="ACB8" s="161"/>
      <c r="ACC8" s="161"/>
      <c r="ACD8" s="161"/>
      <c r="ACE8" s="161"/>
      <c r="ACF8" s="161"/>
      <c r="ACG8" s="161"/>
      <c r="ACH8" s="161"/>
      <c r="ACI8" s="161"/>
      <c r="ACJ8" s="161"/>
      <c r="ACK8" s="161"/>
      <c r="ACL8" s="161"/>
      <c r="ACM8" s="161"/>
      <c r="ACN8" s="161"/>
      <c r="ACO8" s="161"/>
      <c r="ACP8" s="161"/>
      <c r="ACQ8" s="161"/>
      <c r="ACR8" s="161"/>
      <c r="ACS8" s="161"/>
      <c r="ACT8" s="161"/>
      <c r="ACU8" s="161"/>
      <c r="ACV8" s="161"/>
      <c r="ACW8" s="161"/>
      <c r="ACX8" s="161"/>
      <c r="ACY8" s="161"/>
      <c r="ACZ8" s="161"/>
      <c r="ADA8" s="161"/>
      <c r="ADB8" s="161"/>
      <c r="ADC8" s="161"/>
      <c r="ADD8" s="161"/>
      <c r="ADE8" s="161"/>
      <c r="ADF8" s="161"/>
      <c r="ADG8" s="161"/>
      <c r="ADH8" s="161"/>
      <c r="ADI8" s="161"/>
      <c r="ADJ8" s="161"/>
      <c r="ADK8" s="161"/>
      <c r="ADL8" s="161"/>
      <c r="ADM8" s="161"/>
      <c r="ADN8" s="161"/>
      <c r="ADO8" s="161"/>
      <c r="ADP8" s="161"/>
      <c r="ADQ8" s="161"/>
      <c r="ADR8" s="161"/>
      <c r="ADS8" s="161"/>
      <c r="ADT8" s="161"/>
      <c r="ADU8" s="161"/>
      <c r="ADV8" s="161"/>
      <c r="ADW8" s="161"/>
      <c r="ADX8" s="161"/>
      <c r="ADY8" s="161"/>
      <c r="ADZ8" s="161"/>
      <c r="AEA8" s="161"/>
      <c r="AEB8" s="161"/>
      <c r="AEC8" s="161"/>
      <c r="AED8" s="161"/>
      <c r="AEE8" s="161"/>
      <c r="AEF8" s="161"/>
      <c r="AEG8" s="161"/>
      <c r="AEH8" s="161"/>
      <c r="AEI8" s="161"/>
      <c r="AEJ8" s="161"/>
      <c r="AEK8" s="161"/>
      <c r="AEL8" s="161"/>
      <c r="AEM8" s="161"/>
      <c r="AEN8" s="161"/>
      <c r="AEO8" s="161"/>
      <c r="AEP8" s="161"/>
      <c r="AEQ8" s="161"/>
      <c r="AER8" s="161"/>
      <c r="AES8" s="161"/>
      <c r="AET8" s="161"/>
      <c r="AEU8" s="161"/>
      <c r="AEV8" s="161"/>
      <c r="AEW8" s="161"/>
      <c r="AEX8" s="161"/>
      <c r="AEY8" s="161"/>
      <c r="AEZ8" s="161"/>
      <c r="AFA8" s="161"/>
      <c r="AFB8" s="161"/>
      <c r="AFC8" s="161"/>
      <c r="AFD8" s="161"/>
      <c r="AFE8" s="161"/>
      <c r="AFF8" s="161"/>
      <c r="AFG8" s="161"/>
      <c r="AFH8" s="161"/>
      <c r="AFI8" s="161"/>
      <c r="AFJ8" s="161"/>
      <c r="AFK8" s="161"/>
      <c r="AFL8" s="161"/>
      <c r="AFM8" s="161"/>
      <c r="AFN8" s="161"/>
      <c r="AFO8" s="161"/>
      <c r="AFP8" s="161"/>
      <c r="AFQ8" s="161"/>
      <c r="AFR8" s="161"/>
      <c r="AFS8" s="161"/>
      <c r="AFT8" s="161"/>
      <c r="AFU8" s="161"/>
      <c r="AFV8" s="161"/>
      <c r="AFW8" s="161"/>
      <c r="AFX8" s="161"/>
      <c r="AFY8" s="161"/>
      <c r="AFZ8" s="161"/>
      <c r="AGA8" s="161"/>
      <c r="AGB8" s="161"/>
      <c r="AGC8" s="161"/>
      <c r="AGD8" s="161"/>
      <c r="AGE8" s="161"/>
      <c r="AGF8" s="161"/>
      <c r="AGG8" s="161"/>
      <c r="AGH8" s="161"/>
      <c r="AGI8" s="161"/>
      <c r="AGJ8" s="161"/>
      <c r="AGK8" s="161"/>
      <c r="AGL8" s="161"/>
      <c r="AGM8" s="161"/>
      <c r="AGN8" s="161"/>
      <c r="AGO8" s="161"/>
      <c r="AGP8" s="161"/>
      <c r="AGQ8" s="161"/>
      <c r="AGR8" s="161"/>
      <c r="AGS8" s="161"/>
      <c r="AGT8" s="161"/>
      <c r="AGU8" s="161"/>
      <c r="AGV8" s="161"/>
      <c r="AGW8" s="161"/>
      <c r="AGX8" s="161"/>
      <c r="AGY8" s="161"/>
      <c r="AGZ8" s="161"/>
      <c r="AHA8" s="161"/>
      <c r="AHB8" s="161"/>
      <c r="AHC8" s="161"/>
      <c r="AHD8" s="161"/>
      <c r="AHE8" s="161"/>
      <c r="AHF8" s="161"/>
      <c r="AHG8" s="161"/>
      <c r="AHH8" s="161"/>
      <c r="AHI8" s="161"/>
      <c r="AHJ8" s="161"/>
      <c r="AHK8" s="161"/>
      <c r="AHL8" s="161"/>
      <c r="AHM8" s="161"/>
      <c r="AHN8" s="161"/>
      <c r="AHO8" s="161"/>
      <c r="AHP8" s="161"/>
      <c r="AHQ8" s="161"/>
      <c r="AHR8" s="161"/>
      <c r="AHS8" s="161"/>
      <c r="AHT8" s="161"/>
      <c r="AHU8" s="161"/>
      <c r="AHV8" s="161"/>
      <c r="AHW8" s="161"/>
      <c r="AHX8" s="161"/>
      <c r="AHY8" s="161"/>
      <c r="AHZ8" s="161"/>
      <c r="AIA8" s="161"/>
      <c r="AIB8" s="161"/>
      <c r="AIC8" s="161"/>
      <c r="AID8" s="161"/>
      <c r="AIE8" s="161"/>
      <c r="AIF8" s="161"/>
    </row>
    <row r="9" spans="1:916" s="21" customFormat="1">
      <c r="B9" s="309" t="s">
        <v>33</v>
      </c>
      <c r="C9" s="511" t="s">
        <v>370</v>
      </c>
      <c r="D9" s="131"/>
      <c r="E9" s="311"/>
      <c r="F9" s="144">
        <f>'SF Existing Water Heat {G}'!A$16</f>
        <v>19.202786054970538</v>
      </c>
      <c r="G9" s="312" t="s">
        <v>265</v>
      </c>
      <c r="H9" s="258">
        <f>'SF Existing Water Heat {G}'!A$10</f>
        <v>124706.8</v>
      </c>
      <c r="I9" s="259">
        <f>'SF Existing Water Heat {G}'!A$8</f>
        <v>126263.42000000004</v>
      </c>
      <c r="J9" s="259">
        <f>'SF Existing Water Heat {G}'!A$12</f>
        <v>642665.56000000006</v>
      </c>
      <c r="K9" s="259">
        <f>'SF Existing Water Heat {G}'!A$14</f>
        <v>1559641.3899999638</v>
      </c>
      <c r="L9" s="259">
        <f>SUM('SF Existing Water Heat {G}'!Q$5:Q$1000)</f>
        <v>2202306.9499999643</v>
      </c>
      <c r="M9" s="259"/>
      <c r="N9" s="260">
        <f>'SF Existing Water Heat {G}'!A$18</f>
        <v>769092.9800000001</v>
      </c>
      <c r="O9" s="259">
        <f>'SF Existing Water Heat {G}'!A$20</f>
        <v>2328570.3699999643</v>
      </c>
      <c r="P9" s="259">
        <f>SUM('SF Existing Water Heat {G}'!R$5:R$1000)</f>
        <v>99.69</v>
      </c>
      <c r="Q9" s="261">
        <f t="shared" si="0"/>
        <v>718980.06917827437</v>
      </c>
      <c r="R9" s="261">
        <f t="shared" ref="R9:R19" si="4">O9/(1+ElecDiscountRate)^1</f>
        <v>2176844.3208375843</v>
      </c>
      <c r="S9" s="259">
        <f>SUM('SF Existing Water Heat {G}'!AM$5:AM$1000)</f>
        <v>1577206.8468760736</v>
      </c>
      <c r="T9" s="259">
        <f>SUM('SF Existing Water Heat {G}'!AD$5:AD$1000)</f>
        <v>363693.10992247512</v>
      </c>
      <c r="U9" s="133">
        <f t="shared" si="2"/>
        <v>2.1936725571248039</v>
      </c>
      <c r="V9" s="133">
        <f t="shared" si="3"/>
        <v>0.96406556104970798</v>
      </c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C9" s="161"/>
      <c r="HD9" s="161"/>
      <c r="HE9" s="161"/>
      <c r="HF9" s="161"/>
      <c r="HG9" s="161"/>
      <c r="HH9" s="161"/>
      <c r="HI9" s="161"/>
      <c r="HJ9" s="161"/>
      <c r="HK9" s="161"/>
      <c r="HL9" s="161"/>
      <c r="HM9" s="161"/>
      <c r="HN9" s="161"/>
      <c r="HO9" s="161"/>
      <c r="HP9" s="161"/>
      <c r="HQ9" s="161"/>
      <c r="HR9" s="161"/>
      <c r="HS9" s="161"/>
      <c r="HT9" s="161"/>
      <c r="HU9" s="161"/>
      <c r="HV9" s="161"/>
      <c r="HW9" s="161"/>
      <c r="HX9" s="161"/>
      <c r="HY9" s="161"/>
      <c r="HZ9" s="161"/>
      <c r="IA9" s="161"/>
      <c r="IB9" s="161"/>
      <c r="IC9" s="161"/>
      <c r="ID9" s="161"/>
      <c r="IE9" s="161"/>
      <c r="IF9" s="161"/>
      <c r="IG9" s="161"/>
      <c r="IH9" s="161"/>
      <c r="II9" s="161"/>
      <c r="IJ9" s="161"/>
      <c r="IK9" s="161"/>
      <c r="IL9" s="161"/>
      <c r="IM9" s="161"/>
      <c r="IN9" s="161"/>
      <c r="IO9" s="161"/>
      <c r="IP9" s="161"/>
      <c r="IQ9" s="161"/>
      <c r="IR9" s="161"/>
      <c r="IS9" s="161"/>
      <c r="IT9" s="161"/>
      <c r="IU9" s="161"/>
      <c r="IV9" s="161"/>
      <c r="IW9" s="161"/>
      <c r="IX9" s="161"/>
      <c r="IY9" s="161"/>
      <c r="IZ9" s="161"/>
      <c r="JA9" s="161"/>
      <c r="JB9" s="161"/>
      <c r="JC9" s="161"/>
      <c r="JD9" s="161"/>
      <c r="JE9" s="161"/>
      <c r="JF9" s="161"/>
      <c r="JG9" s="161"/>
      <c r="JH9" s="161"/>
      <c r="JI9" s="161"/>
      <c r="JJ9" s="161"/>
      <c r="JK9" s="161"/>
      <c r="JL9" s="161"/>
      <c r="JM9" s="161"/>
      <c r="JN9" s="161"/>
      <c r="JO9" s="161"/>
      <c r="JP9" s="161"/>
      <c r="JQ9" s="161"/>
      <c r="JR9" s="161"/>
      <c r="JS9" s="161"/>
      <c r="JT9" s="161"/>
      <c r="JU9" s="161"/>
      <c r="JV9" s="161"/>
      <c r="JW9" s="161"/>
      <c r="JX9" s="161"/>
      <c r="JY9" s="161"/>
      <c r="JZ9" s="161"/>
      <c r="KA9" s="161"/>
      <c r="KB9" s="161"/>
      <c r="KC9" s="161"/>
      <c r="KD9" s="161"/>
      <c r="KE9" s="161"/>
      <c r="KF9" s="161"/>
      <c r="KG9" s="161"/>
      <c r="KH9" s="161"/>
      <c r="KI9" s="161"/>
      <c r="KJ9" s="161"/>
      <c r="KK9" s="161"/>
      <c r="KL9" s="161"/>
      <c r="KM9" s="161"/>
      <c r="KN9" s="161"/>
      <c r="KO9" s="161"/>
      <c r="KP9" s="161"/>
      <c r="KQ9" s="161"/>
      <c r="KR9" s="161"/>
      <c r="KS9" s="161"/>
      <c r="KT9" s="161"/>
      <c r="KU9" s="161"/>
      <c r="KV9" s="161"/>
      <c r="KW9" s="161"/>
      <c r="KX9" s="161"/>
      <c r="KY9" s="161"/>
      <c r="KZ9" s="161"/>
      <c r="LA9" s="161"/>
      <c r="LB9" s="161"/>
      <c r="LC9" s="161"/>
      <c r="LD9" s="161"/>
      <c r="LE9" s="161"/>
      <c r="LF9" s="161"/>
      <c r="LG9" s="161"/>
      <c r="LH9" s="161"/>
      <c r="LI9" s="161"/>
      <c r="LJ9" s="161"/>
      <c r="LK9" s="161"/>
      <c r="LL9" s="161"/>
      <c r="LM9" s="161"/>
      <c r="LN9" s="161"/>
      <c r="LO9" s="161"/>
      <c r="LP9" s="161"/>
      <c r="LQ9" s="161"/>
      <c r="LR9" s="161"/>
      <c r="LS9" s="161"/>
      <c r="LT9" s="161"/>
      <c r="LU9" s="161"/>
      <c r="LV9" s="161"/>
      <c r="LW9" s="161"/>
      <c r="LX9" s="161"/>
      <c r="LY9" s="161"/>
      <c r="LZ9" s="161"/>
      <c r="MA9" s="161"/>
      <c r="MB9" s="161"/>
      <c r="MC9" s="161"/>
      <c r="MD9" s="161"/>
      <c r="ME9" s="161"/>
      <c r="MF9" s="161"/>
      <c r="MG9" s="161"/>
      <c r="MH9" s="161"/>
      <c r="MI9" s="161"/>
      <c r="MJ9" s="161"/>
      <c r="MK9" s="161"/>
      <c r="ML9" s="161"/>
      <c r="MM9" s="161"/>
      <c r="MN9" s="161"/>
      <c r="MO9" s="161"/>
      <c r="MP9" s="161"/>
      <c r="MQ9" s="161"/>
      <c r="MR9" s="161"/>
      <c r="MS9" s="161"/>
      <c r="MT9" s="161"/>
      <c r="MU9" s="161"/>
      <c r="MV9" s="161"/>
      <c r="MW9" s="161"/>
      <c r="MX9" s="161"/>
      <c r="MY9" s="161"/>
      <c r="MZ9" s="161"/>
      <c r="NA9" s="161"/>
      <c r="NB9" s="161"/>
      <c r="NC9" s="161"/>
      <c r="ND9" s="161"/>
      <c r="NE9" s="161"/>
      <c r="NF9" s="161"/>
      <c r="NG9" s="161"/>
      <c r="NH9" s="161"/>
      <c r="NI9" s="161"/>
      <c r="NJ9" s="161"/>
      <c r="NK9" s="161"/>
      <c r="NL9" s="161"/>
      <c r="NM9" s="161"/>
      <c r="NN9" s="161"/>
      <c r="NO9" s="161"/>
      <c r="NP9" s="161"/>
      <c r="NQ9" s="161"/>
      <c r="NR9" s="161"/>
      <c r="NS9" s="161"/>
      <c r="NT9" s="161"/>
      <c r="NU9" s="161"/>
      <c r="NV9" s="161"/>
      <c r="NW9" s="161"/>
      <c r="NX9" s="161"/>
      <c r="NY9" s="161"/>
      <c r="NZ9" s="161"/>
      <c r="OA9" s="161"/>
      <c r="OB9" s="161"/>
      <c r="OC9" s="161"/>
      <c r="OD9" s="161"/>
      <c r="OE9" s="161"/>
      <c r="OF9" s="161"/>
      <c r="OG9" s="161"/>
      <c r="OH9" s="161"/>
      <c r="OI9" s="161"/>
      <c r="OJ9" s="161"/>
      <c r="OK9" s="161"/>
      <c r="OL9" s="161"/>
      <c r="OM9" s="161"/>
      <c r="ON9" s="161"/>
      <c r="OO9" s="161"/>
      <c r="OP9" s="161"/>
      <c r="OQ9" s="161"/>
      <c r="OR9" s="161"/>
      <c r="OS9" s="161"/>
      <c r="OT9" s="161"/>
      <c r="OU9" s="161"/>
      <c r="OV9" s="161"/>
      <c r="OW9" s="161"/>
      <c r="OX9" s="161"/>
      <c r="OY9" s="161"/>
      <c r="OZ9" s="161"/>
      <c r="PA9" s="161"/>
      <c r="PB9" s="161"/>
      <c r="PC9" s="161"/>
      <c r="PD9" s="161"/>
      <c r="PE9" s="161"/>
      <c r="PF9" s="161"/>
      <c r="PG9" s="161"/>
      <c r="PH9" s="161"/>
      <c r="PI9" s="161"/>
      <c r="PJ9" s="161"/>
      <c r="PK9" s="161"/>
      <c r="PL9" s="161"/>
      <c r="PM9" s="161"/>
      <c r="PN9" s="161"/>
      <c r="PO9" s="161"/>
      <c r="PP9" s="161"/>
      <c r="PQ9" s="161"/>
      <c r="PR9" s="161"/>
      <c r="PS9" s="161"/>
      <c r="PT9" s="161"/>
      <c r="PU9" s="161"/>
      <c r="PV9" s="161"/>
      <c r="PW9" s="161"/>
      <c r="PX9" s="161"/>
      <c r="PY9" s="161"/>
      <c r="PZ9" s="161"/>
      <c r="QA9" s="161"/>
      <c r="QB9" s="161"/>
      <c r="QC9" s="161"/>
      <c r="QD9" s="161"/>
      <c r="QE9" s="161"/>
      <c r="QF9" s="161"/>
      <c r="QG9" s="161"/>
      <c r="QH9" s="161"/>
      <c r="QI9" s="161"/>
      <c r="QJ9" s="161"/>
      <c r="QK9" s="161"/>
      <c r="QL9" s="161"/>
      <c r="QM9" s="161"/>
      <c r="QN9" s="161"/>
      <c r="QO9" s="161"/>
      <c r="QP9" s="161"/>
      <c r="QQ9" s="161"/>
      <c r="QR9" s="161"/>
      <c r="QS9" s="161"/>
      <c r="QT9" s="161"/>
      <c r="QU9" s="161"/>
      <c r="QV9" s="161"/>
      <c r="QW9" s="161"/>
      <c r="QX9" s="161"/>
      <c r="QY9" s="161"/>
      <c r="QZ9" s="161"/>
      <c r="RA9" s="161"/>
      <c r="RB9" s="161"/>
      <c r="RC9" s="161"/>
      <c r="RD9" s="161"/>
      <c r="RE9" s="161"/>
      <c r="RF9" s="161"/>
      <c r="RG9" s="161"/>
      <c r="RH9" s="161"/>
      <c r="RI9" s="161"/>
      <c r="RJ9" s="161"/>
      <c r="RK9" s="161"/>
      <c r="RL9" s="161"/>
      <c r="RM9" s="161"/>
      <c r="RN9" s="161"/>
      <c r="RO9" s="161"/>
      <c r="RP9" s="161"/>
      <c r="RQ9" s="161"/>
      <c r="RR9" s="161"/>
      <c r="RS9" s="161"/>
      <c r="RT9" s="161"/>
      <c r="RU9" s="161"/>
      <c r="RV9" s="161"/>
      <c r="RW9" s="161"/>
      <c r="RX9" s="161"/>
      <c r="RY9" s="161"/>
      <c r="RZ9" s="161"/>
      <c r="SA9" s="161"/>
      <c r="SB9" s="161"/>
      <c r="SC9" s="161"/>
      <c r="SD9" s="161"/>
      <c r="SE9" s="161"/>
      <c r="SF9" s="161"/>
      <c r="SG9" s="161"/>
      <c r="SH9" s="161"/>
      <c r="SI9" s="161"/>
      <c r="SJ9" s="161"/>
      <c r="SK9" s="161"/>
      <c r="SL9" s="161"/>
      <c r="SM9" s="161"/>
      <c r="SN9" s="161"/>
      <c r="SO9" s="161"/>
      <c r="SP9" s="161"/>
      <c r="SQ9" s="161"/>
      <c r="SR9" s="161"/>
      <c r="SS9" s="161"/>
      <c r="ST9" s="161"/>
      <c r="SU9" s="161"/>
      <c r="SV9" s="161"/>
      <c r="SW9" s="161"/>
      <c r="SX9" s="161"/>
      <c r="SY9" s="161"/>
      <c r="SZ9" s="161"/>
      <c r="TA9" s="161"/>
      <c r="TB9" s="161"/>
      <c r="TC9" s="161"/>
      <c r="TD9" s="161"/>
      <c r="TE9" s="161"/>
      <c r="TF9" s="161"/>
      <c r="TG9" s="161"/>
      <c r="TH9" s="161"/>
      <c r="TI9" s="161"/>
      <c r="TJ9" s="161"/>
      <c r="TK9" s="161"/>
      <c r="TL9" s="161"/>
      <c r="TM9" s="161"/>
      <c r="TN9" s="161"/>
      <c r="TO9" s="161"/>
      <c r="TP9" s="161"/>
      <c r="TQ9" s="161"/>
      <c r="TR9" s="161"/>
      <c r="TS9" s="161"/>
      <c r="TT9" s="161"/>
      <c r="TU9" s="161"/>
      <c r="TV9" s="161"/>
      <c r="TW9" s="161"/>
      <c r="TX9" s="161"/>
      <c r="TY9" s="161"/>
      <c r="TZ9" s="161"/>
      <c r="UA9" s="161"/>
      <c r="UB9" s="161"/>
      <c r="UC9" s="161"/>
      <c r="UD9" s="161"/>
      <c r="UE9" s="161"/>
      <c r="UF9" s="161"/>
      <c r="UG9" s="161"/>
      <c r="UH9" s="161"/>
      <c r="UI9" s="161"/>
      <c r="UJ9" s="161"/>
      <c r="UK9" s="161"/>
      <c r="UL9" s="161"/>
      <c r="UM9" s="161"/>
      <c r="UN9" s="161"/>
      <c r="UO9" s="161"/>
      <c r="UP9" s="161"/>
      <c r="UQ9" s="161"/>
      <c r="UR9" s="161"/>
      <c r="US9" s="161"/>
      <c r="UT9" s="161"/>
      <c r="UU9" s="161"/>
      <c r="UV9" s="161"/>
      <c r="UW9" s="161"/>
      <c r="UX9" s="161"/>
      <c r="UY9" s="161"/>
      <c r="UZ9" s="161"/>
      <c r="VA9" s="161"/>
      <c r="VB9" s="161"/>
      <c r="VC9" s="161"/>
      <c r="VD9" s="161"/>
      <c r="VE9" s="161"/>
      <c r="VF9" s="161"/>
      <c r="VG9" s="161"/>
      <c r="VH9" s="161"/>
      <c r="VI9" s="161"/>
      <c r="VJ9" s="161"/>
      <c r="VK9" s="161"/>
      <c r="VL9" s="161"/>
      <c r="VM9" s="161"/>
      <c r="VN9" s="161"/>
      <c r="VO9" s="161"/>
      <c r="VP9" s="161"/>
      <c r="VQ9" s="161"/>
      <c r="VR9" s="161"/>
      <c r="VS9" s="161"/>
      <c r="VT9" s="161"/>
      <c r="VU9" s="161"/>
      <c r="VV9" s="161"/>
      <c r="VW9" s="161"/>
      <c r="VX9" s="161"/>
      <c r="VY9" s="161"/>
      <c r="VZ9" s="161"/>
      <c r="WA9" s="161"/>
      <c r="WB9" s="161"/>
      <c r="WC9" s="161"/>
      <c r="WD9" s="161"/>
      <c r="WE9" s="161"/>
      <c r="WF9" s="161"/>
      <c r="WG9" s="161"/>
      <c r="WH9" s="161"/>
      <c r="WI9" s="161"/>
      <c r="WJ9" s="161"/>
      <c r="WK9" s="161"/>
      <c r="WL9" s="161"/>
      <c r="WM9" s="161"/>
      <c r="WN9" s="161"/>
      <c r="WO9" s="161"/>
      <c r="WP9" s="161"/>
      <c r="WQ9" s="161"/>
      <c r="WR9" s="161"/>
      <c r="WS9" s="161"/>
      <c r="WT9" s="161"/>
      <c r="WU9" s="161"/>
      <c r="WV9" s="161"/>
      <c r="WW9" s="161"/>
      <c r="WX9" s="161"/>
      <c r="WY9" s="161"/>
      <c r="WZ9" s="161"/>
      <c r="XA9" s="161"/>
      <c r="XB9" s="161"/>
      <c r="XC9" s="161"/>
      <c r="XD9" s="161"/>
      <c r="XE9" s="161"/>
      <c r="XF9" s="161"/>
      <c r="XG9" s="161"/>
      <c r="XH9" s="161"/>
      <c r="XI9" s="161"/>
      <c r="XJ9" s="161"/>
      <c r="XK9" s="161"/>
      <c r="XL9" s="161"/>
      <c r="XM9" s="161"/>
      <c r="XN9" s="161"/>
      <c r="XO9" s="161"/>
      <c r="XP9" s="161"/>
      <c r="XQ9" s="161"/>
      <c r="XR9" s="161"/>
      <c r="XS9" s="161"/>
      <c r="XT9" s="161"/>
      <c r="XU9" s="161"/>
      <c r="XV9" s="161"/>
      <c r="XW9" s="161"/>
      <c r="XX9" s="161"/>
      <c r="XY9" s="161"/>
      <c r="XZ9" s="161"/>
      <c r="YA9" s="161"/>
      <c r="YB9" s="161"/>
      <c r="YC9" s="161"/>
      <c r="YD9" s="161"/>
      <c r="YE9" s="161"/>
      <c r="YF9" s="161"/>
      <c r="YG9" s="161"/>
      <c r="YH9" s="161"/>
      <c r="YI9" s="161"/>
      <c r="YJ9" s="161"/>
      <c r="YK9" s="161"/>
      <c r="YL9" s="161"/>
      <c r="YM9" s="161"/>
      <c r="YN9" s="161"/>
      <c r="YO9" s="161"/>
      <c r="YP9" s="161"/>
      <c r="YQ9" s="161"/>
      <c r="YR9" s="161"/>
      <c r="YS9" s="161"/>
      <c r="YT9" s="161"/>
      <c r="YU9" s="161"/>
      <c r="YV9" s="161"/>
      <c r="YW9" s="161"/>
      <c r="YX9" s="161"/>
      <c r="YY9" s="161"/>
      <c r="YZ9" s="161"/>
      <c r="ZA9" s="161"/>
      <c r="ZB9" s="161"/>
      <c r="ZC9" s="161"/>
      <c r="ZD9" s="161"/>
      <c r="ZE9" s="161"/>
      <c r="ZF9" s="161"/>
      <c r="ZG9" s="161"/>
      <c r="ZH9" s="161"/>
      <c r="ZI9" s="161"/>
      <c r="ZJ9" s="161"/>
      <c r="ZK9" s="161"/>
      <c r="ZL9" s="161"/>
      <c r="ZM9" s="161"/>
      <c r="ZN9" s="161"/>
      <c r="ZO9" s="161"/>
      <c r="ZP9" s="161"/>
      <c r="ZQ9" s="161"/>
      <c r="ZR9" s="161"/>
      <c r="ZS9" s="161"/>
      <c r="ZT9" s="161"/>
      <c r="ZU9" s="161"/>
      <c r="ZV9" s="161"/>
      <c r="ZW9" s="161"/>
      <c r="ZX9" s="161"/>
      <c r="ZY9" s="161"/>
      <c r="ZZ9" s="161"/>
      <c r="AAA9" s="161"/>
      <c r="AAB9" s="161"/>
      <c r="AAC9" s="161"/>
      <c r="AAD9" s="161"/>
      <c r="AAE9" s="161"/>
      <c r="AAF9" s="161"/>
      <c r="AAG9" s="161"/>
      <c r="AAH9" s="161"/>
      <c r="AAI9" s="161"/>
      <c r="AAJ9" s="161"/>
      <c r="AAK9" s="161"/>
      <c r="AAL9" s="161"/>
      <c r="AAM9" s="161"/>
      <c r="AAN9" s="161"/>
      <c r="AAO9" s="161"/>
      <c r="AAP9" s="161"/>
      <c r="AAQ9" s="161"/>
      <c r="AAR9" s="161"/>
      <c r="AAS9" s="161"/>
      <c r="AAT9" s="161"/>
      <c r="AAU9" s="161"/>
      <c r="AAV9" s="161"/>
      <c r="AAW9" s="161"/>
      <c r="AAX9" s="161"/>
      <c r="AAY9" s="161"/>
      <c r="AAZ9" s="161"/>
      <c r="ABA9" s="161"/>
      <c r="ABB9" s="161"/>
      <c r="ABC9" s="161"/>
      <c r="ABD9" s="161"/>
      <c r="ABE9" s="161"/>
      <c r="ABF9" s="161"/>
      <c r="ABG9" s="161"/>
      <c r="ABH9" s="161"/>
      <c r="ABI9" s="161"/>
      <c r="ABJ9" s="161"/>
      <c r="ABK9" s="161"/>
      <c r="ABL9" s="161"/>
      <c r="ABM9" s="161"/>
      <c r="ABN9" s="161"/>
      <c r="ABO9" s="161"/>
      <c r="ABP9" s="161"/>
      <c r="ABQ9" s="161"/>
      <c r="ABR9" s="161"/>
      <c r="ABS9" s="161"/>
      <c r="ABT9" s="161"/>
      <c r="ABU9" s="161"/>
      <c r="ABV9" s="161"/>
      <c r="ABW9" s="161"/>
      <c r="ABX9" s="161"/>
      <c r="ABY9" s="161"/>
      <c r="ABZ9" s="161"/>
      <c r="ACA9" s="161"/>
      <c r="ACB9" s="161"/>
      <c r="ACC9" s="161"/>
      <c r="ACD9" s="161"/>
      <c r="ACE9" s="161"/>
      <c r="ACF9" s="161"/>
      <c r="ACG9" s="161"/>
      <c r="ACH9" s="161"/>
      <c r="ACI9" s="161"/>
      <c r="ACJ9" s="161"/>
      <c r="ACK9" s="161"/>
      <c r="ACL9" s="161"/>
      <c r="ACM9" s="161"/>
      <c r="ACN9" s="161"/>
      <c r="ACO9" s="161"/>
      <c r="ACP9" s="161"/>
      <c r="ACQ9" s="161"/>
      <c r="ACR9" s="161"/>
      <c r="ACS9" s="161"/>
      <c r="ACT9" s="161"/>
      <c r="ACU9" s="161"/>
      <c r="ACV9" s="161"/>
      <c r="ACW9" s="161"/>
      <c r="ACX9" s="161"/>
      <c r="ACY9" s="161"/>
      <c r="ACZ9" s="161"/>
      <c r="ADA9" s="161"/>
      <c r="ADB9" s="161"/>
      <c r="ADC9" s="161"/>
      <c r="ADD9" s="161"/>
      <c r="ADE9" s="161"/>
      <c r="ADF9" s="161"/>
      <c r="ADG9" s="161"/>
      <c r="ADH9" s="161"/>
      <c r="ADI9" s="161"/>
      <c r="ADJ9" s="161"/>
      <c r="ADK9" s="161"/>
      <c r="ADL9" s="161"/>
      <c r="ADM9" s="161"/>
      <c r="ADN9" s="161"/>
      <c r="ADO9" s="161"/>
      <c r="ADP9" s="161"/>
      <c r="ADQ9" s="161"/>
      <c r="ADR9" s="161"/>
      <c r="ADS9" s="161"/>
      <c r="ADT9" s="161"/>
      <c r="ADU9" s="161"/>
      <c r="ADV9" s="161"/>
      <c r="ADW9" s="161"/>
      <c r="ADX9" s="161"/>
      <c r="ADY9" s="161"/>
      <c r="ADZ9" s="161"/>
      <c r="AEA9" s="161"/>
      <c r="AEB9" s="161"/>
      <c r="AEC9" s="161"/>
      <c r="AED9" s="161"/>
      <c r="AEE9" s="161"/>
      <c r="AEF9" s="161"/>
      <c r="AEG9" s="161"/>
      <c r="AEH9" s="161"/>
      <c r="AEI9" s="161"/>
      <c r="AEJ9" s="161"/>
      <c r="AEK9" s="161"/>
      <c r="AEL9" s="161"/>
      <c r="AEM9" s="161"/>
      <c r="AEN9" s="161"/>
      <c r="AEO9" s="161"/>
      <c r="AEP9" s="161"/>
      <c r="AEQ9" s="161"/>
      <c r="AER9" s="161"/>
      <c r="AES9" s="161"/>
      <c r="AET9" s="161"/>
      <c r="AEU9" s="161"/>
      <c r="AEV9" s="161"/>
      <c r="AEW9" s="161"/>
      <c r="AEX9" s="161"/>
      <c r="AEY9" s="161"/>
      <c r="AEZ9" s="161"/>
      <c r="AFA9" s="161"/>
      <c r="AFB9" s="161"/>
      <c r="AFC9" s="161"/>
      <c r="AFD9" s="161"/>
      <c r="AFE9" s="161"/>
      <c r="AFF9" s="161"/>
      <c r="AFG9" s="161"/>
      <c r="AFH9" s="161"/>
      <c r="AFI9" s="161"/>
      <c r="AFJ9" s="161"/>
      <c r="AFK9" s="161"/>
      <c r="AFL9" s="161"/>
      <c r="AFM9" s="161"/>
      <c r="AFN9" s="161"/>
      <c r="AFO9" s="161"/>
      <c r="AFP9" s="161"/>
      <c r="AFQ9" s="161"/>
      <c r="AFR9" s="161"/>
      <c r="AFS9" s="161"/>
      <c r="AFT9" s="161"/>
      <c r="AFU9" s="161"/>
      <c r="AFV9" s="161"/>
      <c r="AFW9" s="161"/>
      <c r="AFX9" s="161"/>
      <c r="AFY9" s="161"/>
      <c r="AFZ9" s="161"/>
      <c r="AGA9" s="161"/>
      <c r="AGB9" s="161"/>
      <c r="AGC9" s="161"/>
      <c r="AGD9" s="161"/>
      <c r="AGE9" s="161"/>
      <c r="AGF9" s="161"/>
      <c r="AGG9" s="161"/>
      <c r="AGH9" s="161"/>
      <c r="AGI9" s="161"/>
      <c r="AGJ9" s="161"/>
      <c r="AGK9" s="161"/>
      <c r="AGL9" s="161"/>
      <c r="AGM9" s="161"/>
      <c r="AGN9" s="161"/>
      <c r="AGO9" s="161"/>
      <c r="AGP9" s="161"/>
      <c r="AGQ9" s="161"/>
      <c r="AGR9" s="161"/>
      <c r="AGS9" s="161"/>
      <c r="AGT9" s="161"/>
      <c r="AGU9" s="161"/>
      <c r="AGV9" s="161"/>
      <c r="AGW9" s="161"/>
      <c r="AGX9" s="161"/>
      <c r="AGY9" s="161"/>
      <c r="AGZ9" s="161"/>
      <c r="AHA9" s="161"/>
      <c r="AHB9" s="161"/>
      <c r="AHC9" s="161"/>
      <c r="AHD9" s="161"/>
      <c r="AHE9" s="161"/>
      <c r="AHF9" s="161"/>
      <c r="AHG9" s="161"/>
      <c r="AHH9" s="161"/>
      <c r="AHI9" s="161"/>
      <c r="AHJ9" s="161"/>
      <c r="AHK9" s="161"/>
      <c r="AHL9" s="161"/>
      <c r="AHM9" s="161"/>
      <c r="AHN9" s="161"/>
      <c r="AHO9" s="161"/>
      <c r="AHP9" s="161"/>
      <c r="AHQ9" s="161"/>
      <c r="AHR9" s="161"/>
      <c r="AHS9" s="161"/>
      <c r="AHT9" s="161"/>
      <c r="AHU9" s="161"/>
      <c r="AHV9" s="161"/>
      <c r="AHW9" s="161"/>
      <c r="AHX9" s="161"/>
      <c r="AHY9" s="161"/>
      <c r="AHZ9" s="161"/>
      <c r="AIA9" s="161"/>
      <c r="AIB9" s="161"/>
      <c r="AIC9" s="161"/>
      <c r="AID9" s="161"/>
      <c r="AIE9" s="161"/>
      <c r="AIF9" s="161"/>
    </row>
    <row r="10" spans="1:916" s="21" customFormat="1" ht="12.75">
      <c r="B10" s="309" t="s">
        <v>33</v>
      </c>
      <c r="C10" s="146" t="s">
        <v>371</v>
      </c>
      <c r="D10" s="174"/>
      <c r="E10" s="311"/>
      <c r="F10" s="144">
        <v>0</v>
      </c>
      <c r="G10" s="304" t="s">
        <v>365</v>
      </c>
      <c r="H10" s="258"/>
      <c r="I10" s="259">
        <v>0</v>
      </c>
      <c r="J10" s="259">
        <v>0</v>
      </c>
      <c r="K10" s="259">
        <v>0</v>
      </c>
      <c r="L10" s="259">
        <v>0</v>
      </c>
      <c r="M10" s="259"/>
      <c r="N10" s="260">
        <v>0</v>
      </c>
      <c r="O10" s="259">
        <v>0</v>
      </c>
      <c r="P10" s="259">
        <v>0</v>
      </c>
      <c r="Q10" s="261">
        <f t="shared" si="0"/>
        <v>0</v>
      </c>
      <c r="R10" s="261">
        <f t="shared" si="4"/>
        <v>0</v>
      </c>
      <c r="S10" s="259">
        <v>0</v>
      </c>
      <c r="T10" s="259">
        <v>0</v>
      </c>
      <c r="U10" s="133">
        <f t="shared" si="2"/>
        <v>0</v>
      </c>
      <c r="V10" s="133">
        <f t="shared" si="3"/>
        <v>0</v>
      </c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1"/>
      <c r="BY10" s="161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1"/>
      <c r="DB10" s="161"/>
      <c r="DC10" s="161"/>
      <c r="DD10" s="161"/>
      <c r="DE10" s="161"/>
      <c r="DF10" s="161"/>
      <c r="DG10" s="161"/>
      <c r="DH10" s="161"/>
      <c r="DI10" s="161"/>
      <c r="DJ10" s="161"/>
      <c r="DK10" s="161"/>
      <c r="DL10" s="161"/>
      <c r="DM10" s="161"/>
      <c r="DN10" s="161"/>
      <c r="DO10" s="161"/>
      <c r="DP10" s="161"/>
      <c r="DQ10" s="161"/>
      <c r="DR10" s="161"/>
      <c r="DS10" s="161"/>
      <c r="DT10" s="161"/>
      <c r="DU10" s="161"/>
      <c r="DV10" s="161"/>
      <c r="DW10" s="161"/>
      <c r="DX10" s="161"/>
      <c r="DY10" s="161"/>
      <c r="DZ10" s="161"/>
      <c r="EA10" s="161"/>
      <c r="EB10" s="161"/>
      <c r="EC10" s="161"/>
      <c r="ED10" s="161"/>
      <c r="EE10" s="161"/>
      <c r="EF10" s="161"/>
      <c r="EG10" s="161"/>
      <c r="EH10" s="161"/>
      <c r="EI10" s="161"/>
      <c r="EJ10" s="161"/>
      <c r="EK10" s="161"/>
      <c r="EL10" s="161"/>
      <c r="EM10" s="161"/>
      <c r="EN10" s="161"/>
      <c r="EO10" s="161"/>
      <c r="EP10" s="161"/>
      <c r="EQ10" s="161"/>
      <c r="ER10" s="161"/>
      <c r="ES10" s="161"/>
      <c r="ET10" s="161"/>
      <c r="EU10" s="161"/>
      <c r="EV10" s="161"/>
      <c r="EW10" s="161"/>
      <c r="EX10" s="161"/>
      <c r="EY10" s="161"/>
      <c r="EZ10" s="161"/>
      <c r="FA10" s="161"/>
      <c r="FB10" s="161"/>
      <c r="FC10" s="161"/>
      <c r="FD10" s="161"/>
      <c r="FE10" s="161"/>
      <c r="FF10" s="161"/>
      <c r="FG10" s="161"/>
      <c r="FH10" s="161"/>
      <c r="FI10" s="161"/>
      <c r="FJ10" s="161"/>
      <c r="FK10" s="161"/>
      <c r="FL10" s="161"/>
      <c r="FM10" s="161"/>
      <c r="FN10" s="161"/>
      <c r="FO10" s="161"/>
      <c r="FP10" s="161"/>
      <c r="FQ10" s="161"/>
      <c r="FR10" s="161"/>
      <c r="FS10" s="161"/>
      <c r="FT10" s="161"/>
      <c r="FU10" s="161"/>
      <c r="FV10" s="161"/>
      <c r="FW10" s="161"/>
      <c r="FX10" s="161"/>
      <c r="FY10" s="161"/>
      <c r="FZ10" s="161"/>
      <c r="GA10" s="161"/>
      <c r="GB10" s="161"/>
      <c r="GC10" s="161"/>
      <c r="GD10" s="161"/>
      <c r="GE10" s="161"/>
      <c r="GF10" s="161"/>
      <c r="GG10" s="161"/>
      <c r="GH10" s="161"/>
      <c r="GI10" s="161"/>
      <c r="GJ10" s="161"/>
      <c r="GK10" s="161"/>
      <c r="GL10" s="161"/>
      <c r="GM10" s="161"/>
      <c r="GN10" s="161"/>
      <c r="GO10" s="161"/>
      <c r="GP10" s="161"/>
      <c r="GQ10" s="161"/>
      <c r="GR10" s="161"/>
      <c r="GS10" s="161"/>
      <c r="GT10" s="161"/>
      <c r="GU10" s="161"/>
      <c r="GV10" s="161"/>
      <c r="GW10" s="161"/>
      <c r="GX10" s="161"/>
      <c r="GY10" s="161"/>
      <c r="GZ10" s="161"/>
      <c r="HA10" s="161"/>
      <c r="HB10" s="161"/>
      <c r="HC10" s="161"/>
      <c r="HD10" s="161"/>
      <c r="HE10" s="161"/>
      <c r="HF10" s="161"/>
      <c r="HG10" s="161"/>
      <c r="HH10" s="161"/>
      <c r="HI10" s="161"/>
      <c r="HJ10" s="161"/>
      <c r="HK10" s="161"/>
      <c r="HL10" s="161"/>
      <c r="HM10" s="161"/>
      <c r="HN10" s="161"/>
      <c r="HO10" s="161"/>
      <c r="HP10" s="161"/>
      <c r="HQ10" s="161"/>
      <c r="HR10" s="161"/>
      <c r="HS10" s="161"/>
      <c r="HT10" s="161"/>
      <c r="HU10" s="161"/>
      <c r="HV10" s="161"/>
      <c r="HW10" s="161"/>
      <c r="HX10" s="161"/>
      <c r="HY10" s="161"/>
      <c r="HZ10" s="161"/>
      <c r="IA10" s="161"/>
      <c r="IB10" s="161"/>
      <c r="IC10" s="161"/>
      <c r="ID10" s="161"/>
      <c r="IE10" s="161"/>
      <c r="IF10" s="161"/>
      <c r="IG10" s="161"/>
      <c r="IH10" s="161"/>
      <c r="II10" s="161"/>
      <c r="IJ10" s="161"/>
      <c r="IK10" s="161"/>
      <c r="IL10" s="161"/>
      <c r="IM10" s="161"/>
      <c r="IN10" s="161"/>
      <c r="IO10" s="161"/>
      <c r="IP10" s="161"/>
      <c r="IQ10" s="161"/>
      <c r="IR10" s="161"/>
      <c r="IS10" s="161"/>
      <c r="IT10" s="161"/>
      <c r="IU10" s="161"/>
      <c r="IV10" s="161"/>
      <c r="IW10" s="161"/>
      <c r="IX10" s="161"/>
      <c r="IY10" s="161"/>
      <c r="IZ10" s="161"/>
      <c r="JA10" s="161"/>
      <c r="JB10" s="161"/>
      <c r="JC10" s="161"/>
      <c r="JD10" s="161"/>
      <c r="JE10" s="161"/>
      <c r="JF10" s="161"/>
      <c r="JG10" s="161"/>
      <c r="JH10" s="161"/>
      <c r="JI10" s="161"/>
      <c r="JJ10" s="161"/>
      <c r="JK10" s="161"/>
      <c r="JL10" s="161"/>
      <c r="JM10" s="161"/>
      <c r="JN10" s="161"/>
      <c r="JO10" s="161"/>
      <c r="JP10" s="161"/>
      <c r="JQ10" s="161"/>
      <c r="JR10" s="161"/>
      <c r="JS10" s="161"/>
      <c r="JT10" s="161"/>
      <c r="JU10" s="161"/>
      <c r="JV10" s="161"/>
      <c r="JW10" s="161"/>
      <c r="JX10" s="161"/>
      <c r="JY10" s="161"/>
      <c r="JZ10" s="161"/>
      <c r="KA10" s="161"/>
      <c r="KB10" s="161"/>
      <c r="KC10" s="161"/>
      <c r="KD10" s="161"/>
      <c r="KE10" s="161"/>
      <c r="KF10" s="161"/>
      <c r="KG10" s="161"/>
      <c r="KH10" s="161"/>
      <c r="KI10" s="161"/>
      <c r="KJ10" s="161"/>
      <c r="KK10" s="161"/>
      <c r="KL10" s="161"/>
      <c r="KM10" s="161"/>
      <c r="KN10" s="161"/>
      <c r="KO10" s="161"/>
      <c r="KP10" s="161"/>
      <c r="KQ10" s="161"/>
      <c r="KR10" s="161"/>
      <c r="KS10" s="161"/>
      <c r="KT10" s="161"/>
      <c r="KU10" s="161"/>
      <c r="KV10" s="161"/>
      <c r="KW10" s="161"/>
      <c r="KX10" s="161"/>
      <c r="KY10" s="161"/>
      <c r="KZ10" s="161"/>
      <c r="LA10" s="161"/>
      <c r="LB10" s="161"/>
      <c r="LC10" s="161"/>
      <c r="LD10" s="161"/>
      <c r="LE10" s="161"/>
      <c r="LF10" s="161"/>
      <c r="LG10" s="161"/>
      <c r="LH10" s="161"/>
      <c r="LI10" s="161"/>
      <c r="LJ10" s="161"/>
      <c r="LK10" s="161"/>
      <c r="LL10" s="161"/>
      <c r="LM10" s="161"/>
      <c r="LN10" s="161"/>
      <c r="LO10" s="161"/>
      <c r="LP10" s="161"/>
      <c r="LQ10" s="161"/>
      <c r="LR10" s="161"/>
      <c r="LS10" s="161"/>
      <c r="LT10" s="161"/>
      <c r="LU10" s="161"/>
      <c r="LV10" s="161"/>
      <c r="LW10" s="161"/>
      <c r="LX10" s="161"/>
      <c r="LY10" s="161"/>
      <c r="LZ10" s="161"/>
      <c r="MA10" s="161"/>
      <c r="MB10" s="161"/>
      <c r="MC10" s="161"/>
      <c r="MD10" s="161"/>
      <c r="ME10" s="161"/>
      <c r="MF10" s="161"/>
      <c r="MG10" s="161"/>
      <c r="MH10" s="161"/>
      <c r="MI10" s="161"/>
      <c r="MJ10" s="161"/>
      <c r="MK10" s="161"/>
      <c r="ML10" s="161"/>
      <c r="MM10" s="161"/>
      <c r="MN10" s="161"/>
      <c r="MO10" s="161"/>
      <c r="MP10" s="161"/>
      <c r="MQ10" s="161"/>
      <c r="MR10" s="161"/>
      <c r="MS10" s="161"/>
      <c r="MT10" s="161"/>
      <c r="MU10" s="161"/>
      <c r="MV10" s="161"/>
      <c r="MW10" s="161"/>
      <c r="MX10" s="161"/>
      <c r="MY10" s="161"/>
      <c r="MZ10" s="161"/>
      <c r="NA10" s="161"/>
      <c r="NB10" s="161"/>
      <c r="NC10" s="161"/>
      <c r="ND10" s="161"/>
      <c r="NE10" s="161"/>
      <c r="NF10" s="161"/>
      <c r="NG10" s="161"/>
      <c r="NH10" s="161"/>
      <c r="NI10" s="161"/>
      <c r="NJ10" s="161"/>
      <c r="NK10" s="161"/>
      <c r="NL10" s="161"/>
      <c r="NM10" s="161"/>
      <c r="NN10" s="161"/>
      <c r="NO10" s="161"/>
      <c r="NP10" s="161"/>
      <c r="NQ10" s="161"/>
      <c r="NR10" s="161"/>
      <c r="NS10" s="161"/>
      <c r="NT10" s="161"/>
      <c r="NU10" s="161"/>
      <c r="NV10" s="161"/>
      <c r="NW10" s="161"/>
      <c r="NX10" s="161"/>
      <c r="NY10" s="161"/>
      <c r="NZ10" s="161"/>
      <c r="OA10" s="161"/>
      <c r="OB10" s="161"/>
      <c r="OC10" s="161"/>
      <c r="OD10" s="161"/>
      <c r="OE10" s="161"/>
      <c r="OF10" s="161"/>
      <c r="OG10" s="161"/>
      <c r="OH10" s="161"/>
      <c r="OI10" s="161"/>
      <c r="OJ10" s="161"/>
      <c r="OK10" s="161"/>
      <c r="OL10" s="161"/>
      <c r="OM10" s="161"/>
      <c r="ON10" s="161"/>
      <c r="OO10" s="161"/>
      <c r="OP10" s="161"/>
      <c r="OQ10" s="161"/>
      <c r="OR10" s="161"/>
      <c r="OS10" s="161"/>
      <c r="OT10" s="161"/>
      <c r="OU10" s="161"/>
      <c r="OV10" s="161"/>
      <c r="OW10" s="161"/>
      <c r="OX10" s="161"/>
      <c r="OY10" s="161"/>
      <c r="OZ10" s="161"/>
      <c r="PA10" s="161"/>
      <c r="PB10" s="161"/>
      <c r="PC10" s="161"/>
      <c r="PD10" s="161"/>
      <c r="PE10" s="161"/>
      <c r="PF10" s="161"/>
      <c r="PG10" s="161"/>
      <c r="PH10" s="161"/>
      <c r="PI10" s="161"/>
      <c r="PJ10" s="161"/>
      <c r="PK10" s="161"/>
      <c r="PL10" s="161"/>
      <c r="PM10" s="161"/>
      <c r="PN10" s="161"/>
      <c r="PO10" s="161"/>
      <c r="PP10" s="161"/>
      <c r="PQ10" s="161"/>
      <c r="PR10" s="161"/>
      <c r="PS10" s="161"/>
      <c r="PT10" s="161"/>
      <c r="PU10" s="161"/>
      <c r="PV10" s="161"/>
      <c r="PW10" s="161"/>
      <c r="PX10" s="161"/>
      <c r="PY10" s="161"/>
      <c r="PZ10" s="161"/>
      <c r="QA10" s="161"/>
      <c r="QB10" s="161"/>
      <c r="QC10" s="161"/>
      <c r="QD10" s="161"/>
      <c r="QE10" s="161"/>
      <c r="QF10" s="161"/>
      <c r="QG10" s="161"/>
      <c r="QH10" s="161"/>
      <c r="QI10" s="161"/>
      <c r="QJ10" s="161"/>
      <c r="QK10" s="161"/>
      <c r="QL10" s="161"/>
      <c r="QM10" s="161"/>
      <c r="QN10" s="161"/>
      <c r="QO10" s="161"/>
      <c r="QP10" s="161"/>
      <c r="QQ10" s="161"/>
      <c r="QR10" s="161"/>
      <c r="QS10" s="161"/>
      <c r="QT10" s="161"/>
      <c r="QU10" s="161"/>
      <c r="QV10" s="161"/>
      <c r="QW10" s="161"/>
      <c r="QX10" s="161"/>
      <c r="QY10" s="161"/>
      <c r="QZ10" s="161"/>
      <c r="RA10" s="161"/>
      <c r="RB10" s="161"/>
      <c r="RC10" s="161"/>
      <c r="RD10" s="161"/>
      <c r="RE10" s="161"/>
      <c r="RF10" s="161"/>
      <c r="RG10" s="161"/>
      <c r="RH10" s="161"/>
      <c r="RI10" s="161"/>
      <c r="RJ10" s="161"/>
      <c r="RK10" s="161"/>
      <c r="RL10" s="161"/>
      <c r="RM10" s="161"/>
      <c r="RN10" s="161"/>
      <c r="RO10" s="161"/>
      <c r="RP10" s="161"/>
      <c r="RQ10" s="161"/>
      <c r="RR10" s="161"/>
      <c r="RS10" s="161"/>
      <c r="RT10" s="161"/>
      <c r="RU10" s="161"/>
      <c r="RV10" s="161"/>
      <c r="RW10" s="161"/>
      <c r="RX10" s="161"/>
      <c r="RY10" s="161"/>
      <c r="RZ10" s="161"/>
      <c r="SA10" s="161"/>
      <c r="SB10" s="161"/>
      <c r="SC10" s="161"/>
      <c r="SD10" s="161"/>
      <c r="SE10" s="161"/>
      <c r="SF10" s="161"/>
      <c r="SG10" s="161"/>
      <c r="SH10" s="161"/>
      <c r="SI10" s="161"/>
      <c r="SJ10" s="161"/>
      <c r="SK10" s="161"/>
      <c r="SL10" s="161"/>
      <c r="SM10" s="161"/>
      <c r="SN10" s="161"/>
      <c r="SO10" s="161"/>
      <c r="SP10" s="161"/>
      <c r="SQ10" s="161"/>
      <c r="SR10" s="161"/>
      <c r="SS10" s="161"/>
      <c r="ST10" s="161"/>
      <c r="SU10" s="161"/>
      <c r="SV10" s="161"/>
      <c r="SW10" s="161"/>
      <c r="SX10" s="161"/>
      <c r="SY10" s="161"/>
      <c r="SZ10" s="161"/>
      <c r="TA10" s="161"/>
      <c r="TB10" s="161"/>
      <c r="TC10" s="161"/>
      <c r="TD10" s="161"/>
      <c r="TE10" s="161"/>
      <c r="TF10" s="161"/>
      <c r="TG10" s="161"/>
      <c r="TH10" s="161"/>
      <c r="TI10" s="161"/>
      <c r="TJ10" s="161"/>
      <c r="TK10" s="161"/>
      <c r="TL10" s="161"/>
      <c r="TM10" s="161"/>
      <c r="TN10" s="161"/>
      <c r="TO10" s="161"/>
      <c r="TP10" s="161"/>
      <c r="TQ10" s="161"/>
      <c r="TR10" s="161"/>
      <c r="TS10" s="161"/>
      <c r="TT10" s="161"/>
      <c r="TU10" s="161"/>
      <c r="TV10" s="161"/>
      <c r="TW10" s="161"/>
      <c r="TX10" s="161"/>
      <c r="TY10" s="161"/>
      <c r="TZ10" s="161"/>
      <c r="UA10" s="161"/>
      <c r="UB10" s="161"/>
      <c r="UC10" s="161"/>
      <c r="UD10" s="161"/>
      <c r="UE10" s="161"/>
      <c r="UF10" s="161"/>
      <c r="UG10" s="161"/>
      <c r="UH10" s="161"/>
      <c r="UI10" s="161"/>
      <c r="UJ10" s="161"/>
      <c r="UK10" s="161"/>
      <c r="UL10" s="161"/>
      <c r="UM10" s="161"/>
      <c r="UN10" s="161"/>
      <c r="UO10" s="161"/>
      <c r="UP10" s="161"/>
      <c r="UQ10" s="161"/>
      <c r="UR10" s="161"/>
      <c r="US10" s="161"/>
      <c r="UT10" s="161"/>
      <c r="UU10" s="161"/>
      <c r="UV10" s="161"/>
      <c r="UW10" s="161"/>
      <c r="UX10" s="161"/>
      <c r="UY10" s="161"/>
      <c r="UZ10" s="161"/>
      <c r="VA10" s="161"/>
      <c r="VB10" s="161"/>
      <c r="VC10" s="161"/>
      <c r="VD10" s="161"/>
      <c r="VE10" s="161"/>
      <c r="VF10" s="161"/>
      <c r="VG10" s="161"/>
      <c r="VH10" s="161"/>
      <c r="VI10" s="161"/>
      <c r="VJ10" s="161"/>
      <c r="VK10" s="161"/>
      <c r="VL10" s="161"/>
      <c r="VM10" s="161"/>
      <c r="VN10" s="161"/>
      <c r="VO10" s="161"/>
      <c r="VP10" s="161"/>
      <c r="VQ10" s="161"/>
      <c r="VR10" s="161"/>
      <c r="VS10" s="161"/>
      <c r="VT10" s="161"/>
      <c r="VU10" s="161"/>
      <c r="VV10" s="161"/>
      <c r="VW10" s="161"/>
      <c r="VX10" s="161"/>
      <c r="VY10" s="161"/>
      <c r="VZ10" s="161"/>
      <c r="WA10" s="161"/>
      <c r="WB10" s="161"/>
      <c r="WC10" s="161"/>
      <c r="WD10" s="161"/>
      <c r="WE10" s="161"/>
      <c r="WF10" s="161"/>
      <c r="WG10" s="161"/>
      <c r="WH10" s="161"/>
      <c r="WI10" s="161"/>
      <c r="WJ10" s="161"/>
      <c r="WK10" s="161"/>
      <c r="WL10" s="161"/>
      <c r="WM10" s="161"/>
      <c r="WN10" s="161"/>
      <c r="WO10" s="161"/>
      <c r="WP10" s="161"/>
      <c r="WQ10" s="161"/>
      <c r="WR10" s="161"/>
      <c r="WS10" s="161"/>
      <c r="WT10" s="161"/>
      <c r="WU10" s="161"/>
      <c r="WV10" s="161"/>
      <c r="WW10" s="161"/>
      <c r="WX10" s="161"/>
      <c r="WY10" s="161"/>
      <c r="WZ10" s="161"/>
      <c r="XA10" s="161"/>
      <c r="XB10" s="161"/>
      <c r="XC10" s="161"/>
      <c r="XD10" s="161"/>
      <c r="XE10" s="161"/>
      <c r="XF10" s="161"/>
      <c r="XG10" s="161"/>
      <c r="XH10" s="161"/>
      <c r="XI10" s="161"/>
      <c r="XJ10" s="161"/>
      <c r="XK10" s="161"/>
      <c r="XL10" s="161"/>
      <c r="XM10" s="161"/>
      <c r="XN10" s="161"/>
      <c r="XO10" s="161"/>
      <c r="XP10" s="161"/>
      <c r="XQ10" s="161"/>
      <c r="XR10" s="161"/>
      <c r="XS10" s="161"/>
      <c r="XT10" s="161"/>
      <c r="XU10" s="161"/>
      <c r="XV10" s="161"/>
      <c r="XW10" s="161"/>
      <c r="XX10" s="161"/>
      <c r="XY10" s="161"/>
      <c r="XZ10" s="161"/>
      <c r="YA10" s="161"/>
      <c r="YB10" s="161"/>
      <c r="YC10" s="161"/>
      <c r="YD10" s="161"/>
      <c r="YE10" s="161"/>
      <c r="YF10" s="161"/>
      <c r="YG10" s="161"/>
      <c r="YH10" s="161"/>
      <c r="YI10" s="161"/>
      <c r="YJ10" s="161"/>
      <c r="YK10" s="161"/>
      <c r="YL10" s="161"/>
      <c r="YM10" s="161"/>
      <c r="YN10" s="161"/>
      <c r="YO10" s="161"/>
      <c r="YP10" s="161"/>
      <c r="YQ10" s="161"/>
      <c r="YR10" s="161"/>
      <c r="YS10" s="161"/>
      <c r="YT10" s="161"/>
      <c r="YU10" s="161"/>
      <c r="YV10" s="161"/>
      <c r="YW10" s="161"/>
      <c r="YX10" s="161"/>
      <c r="YY10" s="161"/>
      <c r="YZ10" s="161"/>
      <c r="ZA10" s="161"/>
      <c r="ZB10" s="161"/>
      <c r="ZC10" s="161"/>
      <c r="ZD10" s="161"/>
      <c r="ZE10" s="161"/>
      <c r="ZF10" s="161"/>
      <c r="ZG10" s="161"/>
      <c r="ZH10" s="161"/>
      <c r="ZI10" s="161"/>
      <c r="ZJ10" s="161"/>
      <c r="ZK10" s="161"/>
      <c r="ZL10" s="161"/>
      <c r="ZM10" s="161"/>
      <c r="ZN10" s="161"/>
      <c r="ZO10" s="161"/>
      <c r="ZP10" s="161"/>
      <c r="ZQ10" s="161"/>
      <c r="ZR10" s="161"/>
      <c r="ZS10" s="161"/>
      <c r="ZT10" s="161"/>
      <c r="ZU10" s="161"/>
      <c r="ZV10" s="161"/>
      <c r="ZW10" s="161"/>
      <c r="ZX10" s="161"/>
      <c r="ZY10" s="161"/>
      <c r="ZZ10" s="161"/>
      <c r="AAA10" s="161"/>
      <c r="AAB10" s="161"/>
      <c r="AAC10" s="161"/>
      <c r="AAD10" s="161"/>
      <c r="AAE10" s="161"/>
      <c r="AAF10" s="161"/>
      <c r="AAG10" s="161"/>
      <c r="AAH10" s="161"/>
      <c r="AAI10" s="161"/>
      <c r="AAJ10" s="161"/>
      <c r="AAK10" s="161"/>
      <c r="AAL10" s="161"/>
      <c r="AAM10" s="161"/>
      <c r="AAN10" s="161"/>
      <c r="AAO10" s="161"/>
      <c r="AAP10" s="161"/>
      <c r="AAQ10" s="161"/>
      <c r="AAR10" s="161"/>
      <c r="AAS10" s="161"/>
      <c r="AAT10" s="161"/>
      <c r="AAU10" s="161"/>
      <c r="AAV10" s="161"/>
      <c r="AAW10" s="161"/>
      <c r="AAX10" s="161"/>
      <c r="AAY10" s="161"/>
      <c r="AAZ10" s="161"/>
      <c r="ABA10" s="161"/>
      <c r="ABB10" s="161"/>
      <c r="ABC10" s="161"/>
      <c r="ABD10" s="161"/>
      <c r="ABE10" s="161"/>
      <c r="ABF10" s="161"/>
      <c r="ABG10" s="161"/>
      <c r="ABH10" s="161"/>
      <c r="ABI10" s="161"/>
      <c r="ABJ10" s="161"/>
      <c r="ABK10" s="161"/>
      <c r="ABL10" s="161"/>
      <c r="ABM10" s="161"/>
      <c r="ABN10" s="161"/>
      <c r="ABO10" s="161"/>
      <c r="ABP10" s="161"/>
      <c r="ABQ10" s="161"/>
      <c r="ABR10" s="161"/>
      <c r="ABS10" s="161"/>
      <c r="ABT10" s="161"/>
      <c r="ABU10" s="161"/>
      <c r="ABV10" s="161"/>
      <c r="ABW10" s="161"/>
      <c r="ABX10" s="161"/>
      <c r="ABY10" s="161"/>
      <c r="ABZ10" s="161"/>
      <c r="ACA10" s="161"/>
      <c r="ACB10" s="161"/>
      <c r="ACC10" s="161"/>
      <c r="ACD10" s="161"/>
      <c r="ACE10" s="161"/>
      <c r="ACF10" s="161"/>
      <c r="ACG10" s="161"/>
      <c r="ACH10" s="161"/>
      <c r="ACI10" s="161"/>
      <c r="ACJ10" s="161"/>
      <c r="ACK10" s="161"/>
      <c r="ACL10" s="161"/>
      <c r="ACM10" s="161"/>
      <c r="ACN10" s="161"/>
      <c r="ACO10" s="161"/>
      <c r="ACP10" s="161"/>
      <c r="ACQ10" s="161"/>
      <c r="ACR10" s="161"/>
      <c r="ACS10" s="161"/>
      <c r="ACT10" s="161"/>
      <c r="ACU10" s="161"/>
      <c r="ACV10" s="161"/>
      <c r="ACW10" s="161"/>
      <c r="ACX10" s="161"/>
      <c r="ACY10" s="161"/>
      <c r="ACZ10" s="161"/>
      <c r="ADA10" s="161"/>
      <c r="ADB10" s="161"/>
      <c r="ADC10" s="161"/>
      <c r="ADD10" s="161"/>
      <c r="ADE10" s="161"/>
      <c r="ADF10" s="161"/>
      <c r="ADG10" s="161"/>
      <c r="ADH10" s="161"/>
      <c r="ADI10" s="161"/>
      <c r="ADJ10" s="161"/>
      <c r="ADK10" s="161"/>
      <c r="ADL10" s="161"/>
      <c r="ADM10" s="161"/>
      <c r="ADN10" s="161"/>
      <c r="ADO10" s="161"/>
      <c r="ADP10" s="161"/>
      <c r="ADQ10" s="161"/>
      <c r="ADR10" s="161"/>
      <c r="ADS10" s="161"/>
      <c r="ADT10" s="161"/>
      <c r="ADU10" s="161"/>
      <c r="ADV10" s="161"/>
      <c r="ADW10" s="161"/>
      <c r="ADX10" s="161"/>
      <c r="ADY10" s="161"/>
      <c r="ADZ10" s="161"/>
      <c r="AEA10" s="161"/>
      <c r="AEB10" s="161"/>
      <c r="AEC10" s="161"/>
      <c r="AED10" s="161"/>
      <c r="AEE10" s="161"/>
      <c r="AEF10" s="161"/>
      <c r="AEG10" s="161"/>
      <c r="AEH10" s="161"/>
      <c r="AEI10" s="161"/>
      <c r="AEJ10" s="161"/>
      <c r="AEK10" s="161"/>
      <c r="AEL10" s="161"/>
      <c r="AEM10" s="161"/>
      <c r="AEN10" s="161"/>
      <c r="AEO10" s="161"/>
      <c r="AEP10" s="161"/>
      <c r="AEQ10" s="161"/>
      <c r="AER10" s="161"/>
      <c r="AES10" s="161"/>
      <c r="AET10" s="161"/>
      <c r="AEU10" s="161"/>
      <c r="AEV10" s="161"/>
      <c r="AEW10" s="161"/>
      <c r="AEX10" s="161"/>
      <c r="AEY10" s="161"/>
      <c r="AEZ10" s="161"/>
      <c r="AFA10" s="161"/>
      <c r="AFB10" s="161"/>
      <c r="AFC10" s="161"/>
      <c r="AFD10" s="161"/>
      <c r="AFE10" s="161"/>
      <c r="AFF10" s="161"/>
      <c r="AFG10" s="161"/>
      <c r="AFH10" s="161"/>
      <c r="AFI10" s="161"/>
      <c r="AFJ10" s="161"/>
      <c r="AFK10" s="161"/>
      <c r="AFL10" s="161"/>
      <c r="AFM10" s="161"/>
      <c r="AFN10" s="161"/>
      <c r="AFO10" s="161"/>
      <c r="AFP10" s="161"/>
      <c r="AFQ10" s="161"/>
      <c r="AFR10" s="161"/>
      <c r="AFS10" s="161"/>
      <c r="AFT10" s="161"/>
      <c r="AFU10" s="161"/>
      <c r="AFV10" s="161"/>
      <c r="AFW10" s="161"/>
      <c r="AFX10" s="161"/>
      <c r="AFY10" s="161"/>
      <c r="AFZ10" s="161"/>
      <c r="AGA10" s="161"/>
      <c r="AGB10" s="161"/>
      <c r="AGC10" s="161"/>
      <c r="AGD10" s="161"/>
      <c r="AGE10" s="161"/>
      <c r="AGF10" s="161"/>
      <c r="AGG10" s="161"/>
      <c r="AGH10" s="161"/>
      <c r="AGI10" s="161"/>
      <c r="AGJ10" s="161"/>
      <c r="AGK10" s="161"/>
      <c r="AGL10" s="161"/>
      <c r="AGM10" s="161"/>
      <c r="AGN10" s="161"/>
      <c r="AGO10" s="161"/>
      <c r="AGP10" s="161"/>
      <c r="AGQ10" s="161"/>
      <c r="AGR10" s="161"/>
      <c r="AGS10" s="161"/>
      <c r="AGT10" s="161"/>
      <c r="AGU10" s="161"/>
      <c r="AGV10" s="161"/>
      <c r="AGW10" s="161"/>
      <c r="AGX10" s="161"/>
      <c r="AGY10" s="161"/>
      <c r="AGZ10" s="161"/>
      <c r="AHA10" s="161"/>
      <c r="AHB10" s="161"/>
      <c r="AHC10" s="161"/>
      <c r="AHD10" s="161"/>
      <c r="AHE10" s="161"/>
      <c r="AHF10" s="161"/>
      <c r="AHG10" s="161"/>
      <c r="AHH10" s="161"/>
      <c r="AHI10" s="161"/>
      <c r="AHJ10" s="161"/>
      <c r="AHK10" s="161"/>
      <c r="AHL10" s="161"/>
      <c r="AHM10" s="161"/>
      <c r="AHN10" s="161"/>
      <c r="AHO10" s="161"/>
      <c r="AHP10" s="161"/>
      <c r="AHQ10" s="161"/>
      <c r="AHR10" s="161"/>
      <c r="AHS10" s="161"/>
      <c r="AHT10" s="161"/>
      <c r="AHU10" s="161"/>
      <c r="AHV10" s="161"/>
      <c r="AHW10" s="161"/>
      <c r="AHX10" s="161"/>
      <c r="AHY10" s="161"/>
      <c r="AHZ10" s="161"/>
      <c r="AIA10" s="161"/>
      <c r="AIB10" s="161"/>
      <c r="AIC10" s="161"/>
      <c r="AID10" s="161"/>
      <c r="AIE10" s="161"/>
      <c r="AIF10" s="161"/>
    </row>
    <row r="11" spans="1:916" s="21" customFormat="1" ht="12.75">
      <c r="B11" s="309" t="s">
        <v>33</v>
      </c>
      <c r="C11" s="146" t="s">
        <v>372</v>
      </c>
      <c r="D11" s="174"/>
      <c r="E11" s="310"/>
      <c r="F11" s="144">
        <f>'Home Appliances {G}'!A$16</f>
        <v>13.537125662702394</v>
      </c>
      <c r="G11" s="304" t="s">
        <v>365</v>
      </c>
      <c r="H11" s="258">
        <f>'Home Appliances {G}'!A$10</f>
        <v>13958.000000000029</v>
      </c>
      <c r="I11" s="259">
        <f>'Home Appliances {G}'!A$8</f>
        <v>0</v>
      </c>
      <c r="J11" s="259">
        <f>'Home Appliances {G}'!A$12</f>
        <v>0</v>
      </c>
      <c r="K11" s="259">
        <f>'Home Appliances {G}'!A$14</f>
        <v>1922.0600000000011</v>
      </c>
      <c r="L11" s="259">
        <f>SUM('Home Appliances {G}'!Q$5:Q$1000)</f>
        <v>1922.0600000000011</v>
      </c>
      <c r="M11" s="259"/>
      <c r="N11" s="260">
        <f>'Home Appliances {G}'!A$18</f>
        <v>0</v>
      </c>
      <c r="O11" s="259">
        <f>'Home Appliances {G}'!A$20</f>
        <v>1922.0600000000011</v>
      </c>
      <c r="P11" s="259">
        <f>SUM('Home Appliances {G}'!R$5:R$1000)</f>
        <v>134.4</v>
      </c>
      <c r="Q11" s="261">
        <f t="shared" si="0"/>
        <v>0</v>
      </c>
      <c r="R11" s="261">
        <f t="shared" si="4"/>
        <v>1796.8215387491828</v>
      </c>
      <c r="S11" s="259">
        <f>SUM('Home Appliances {G}'!AM$5:AM$1000)</f>
        <v>130096.64617219009</v>
      </c>
      <c r="T11" s="259">
        <f>SUM('Home Appliances {G}'!AD$5:AD$1000)</f>
        <v>1047044.712097623</v>
      </c>
      <c r="U11" s="133">
        <f t="shared" si="2"/>
        <v>0</v>
      </c>
      <c r="V11" s="133">
        <f t="shared" si="3"/>
        <v>662.36462398793878</v>
      </c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1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1"/>
      <c r="CJ11" s="161"/>
      <c r="CK11" s="161"/>
      <c r="CL11" s="161"/>
      <c r="CM11" s="161"/>
      <c r="CN11" s="161"/>
      <c r="CO11" s="161"/>
      <c r="CP11" s="161"/>
      <c r="CQ11" s="161"/>
      <c r="CR11" s="161"/>
      <c r="CS11" s="161"/>
      <c r="CT11" s="161"/>
      <c r="CU11" s="161"/>
      <c r="CV11" s="161"/>
      <c r="CW11" s="161"/>
      <c r="CX11" s="161"/>
      <c r="CY11" s="161"/>
      <c r="CZ11" s="161"/>
      <c r="DA11" s="161"/>
      <c r="DB11" s="161"/>
      <c r="DC11" s="161"/>
      <c r="DD11" s="161"/>
      <c r="DE11" s="161"/>
      <c r="DF11" s="161"/>
      <c r="DG11" s="161"/>
      <c r="DH11" s="161"/>
      <c r="DI11" s="161"/>
      <c r="DJ11" s="161"/>
      <c r="DK11" s="161"/>
      <c r="DL11" s="161"/>
      <c r="DM11" s="161"/>
      <c r="DN11" s="161"/>
      <c r="DO11" s="161"/>
      <c r="DP11" s="161"/>
      <c r="DQ11" s="161"/>
      <c r="DR11" s="161"/>
      <c r="DS11" s="161"/>
      <c r="DT11" s="161"/>
      <c r="DU11" s="161"/>
      <c r="DV11" s="161"/>
      <c r="DW11" s="161"/>
      <c r="DX11" s="161"/>
      <c r="DY11" s="161"/>
      <c r="DZ11" s="161"/>
      <c r="EA11" s="161"/>
      <c r="EB11" s="161"/>
      <c r="EC11" s="161"/>
      <c r="ED11" s="161"/>
      <c r="EE11" s="161"/>
      <c r="EF11" s="161"/>
      <c r="EG11" s="161"/>
      <c r="EH11" s="161"/>
      <c r="EI11" s="161"/>
      <c r="EJ11" s="161"/>
      <c r="EK11" s="161"/>
      <c r="EL11" s="161"/>
      <c r="EM11" s="161"/>
      <c r="EN11" s="161"/>
      <c r="EO11" s="161"/>
      <c r="EP11" s="161"/>
      <c r="EQ11" s="161"/>
      <c r="ER11" s="161"/>
      <c r="ES11" s="161"/>
      <c r="ET11" s="161"/>
      <c r="EU11" s="161"/>
      <c r="EV11" s="161"/>
      <c r="EW11" s="161"/>
      <c r="EX11" s="161"/>
      <c r="EY11" s="161"/>
      <c r="EZ11" s="161"/>
      <c r="FA11" s="161"/>
      <c r="FB11" s="161"/>
      <c r="FC11" s="161"/>
      <c r="FD11" s="161"/>
      <c r="FE11" s="161"/>
      <c r="FF11" s="161"/>
      <c r="FG11" s="161"/>
      <c r="FH11" s="161"/>
      <c r="FI11" s="161"/>
      <c r="FJ11" s="161"/>
      <c r="FK11" s="161"/>
      <c r="FL11" s="161"/>
      <c r="FM11" s="161"/>
      <c r="FN11" s="161"/>
      <c r="FO11" s="161"/>
      <c r="FP11" s="161"/>
      <c r="FQ11" s="161"/>
      <c r="FR11" s="161"/>
      <c r="FS11" s="161"/>
      <c r="FT11" s="161"/>
      <c r="FU11" s="161"/>
      <c r="FV11" s="161"/>
      <c r="FW11" s="161"/>
      <c r="FX11" s="161"/>
      <c r="FY11" s="161"/>
      <c r="FZ11" s="161"/>
      <c r="GA11" s="161"/>
      <c r="GB11" s="161"/>
      <c r="GC11" s="161"/>
      <c r="GD11" s="161"/>
      <c r="GE11" s="161"/>
      <c r="GF11" s="161"/>
      <c r="GG11" s="161"/>
      <c r="GH11" s="161"/>
      <c r="GI11" s="161"/>
      <c r="GJ11" s="161"/>
      <c r="GK11" s="161"/>
      <c r="GL11" s="161"/>
      <c r="GM11" s="161"/>
      <c r="GN11" s="161"/>
      <c r="GO11" s="161"/>
      <c r="GP11" s="161"/>
      <c r="GQ11" s="161"/>
      <c r="GR11" s="161"/>
      <c r="GS11" s="161"/>
      <c r="GT11" s="161"/>
      <c r="GU11" s="161"/>
      <c r="GV11" s="161"/>
      <c r="GW11" s="161"/>
      <c r="GX11" s="161"/>
      <c r="GY11" s="161"/>
      <c r="GZ11" s="161"/>
      <c r="HA11" s="161"/>
      <c r="HB11" s="161"/>
      <c r="HC11" s="161"/>
      <c r="HD11" s="161"/>
      <c r="HE11" s="161"/>
      <c r="HF11" s="161"/>
      <c r="HG11" s="161"/>
      <c r="HH11" s="161"/>
      <c r="HI11" s="161"/>
      <c r="HJ11" s="161"/>
      <c r="HK11" s="161"/>
      <c r="HL11" s="161"/>
      <c r="HM11" s="161"/>
      <c r="HN11" s="161"/>
      <c r="HO11" s="161"/>
      <c r="HP11" s="161"/>
      <c r="HQ11" s="161"/>
      <c r="HR11" s="161"/>
      <c r="HS11" s="161"/>
      <c r="HT11" s="161"/>
      <c r="HU11" s="161"/>
      <c r="HV11" s="161"/>
      <c r="HW11" s="161"/>
      <c r="HX11" s="161"/>
      <c r="HY11" s="161"/>
      <c r="HZ11" s="161"/>
      <c r="IA11" s="161"/>
      <c r="IB11" s="161"/>
      <c r="IC11" s="161"/>
      <c r="ID11" s="161"/>
      <c r="IE11" s="161"/>
      <c r="IF11" s="161"/>
      <c r="IG11" s="161"/>
      <c r="IH11" s="161"/>
      <c r="II11" s="161"/>
      <c r="IJ11" s="161"/>
      <c r="IK11" s="161"/>
      <c r="IL11" s="161"/>
      <c r="IM11" s="161"/>
      <c r="IN11" s="161"/>
      <c r="IO11" s="161"/>
      <c r="IP11" s="161"/>
      <c r="IQ11" s="161"/>
      <c r="IR11" s="161"/>
      <c r="IS11" s="161"/>
      <c r="IT11" s="161"/>
      <c r="IU11" s="161"/>
      <c r="IV11" s="161"/>
      <c r="IW11" s="161"/>
      <c r="IX11" s="161"/>
      <c r="IY11" s="161"/>
      <c r="IZ11" s="161"/>
      <c r="JA11" s="161"/>
      <c r="JB11" s="161"/>
      <c r="JC11" s="161"/>
      <c r="JD11" s="161"/>
      <c r="JE11" s="161"/>
      <c r="JF11" s="161"/>
      <c r="JG11" s="161"/>
      <c r="JH11" s="161"/>
      <c r="JI11" s="161"/>
      <c r="JJ11" s="161"/>
      <c r="JK11" s="161"/>
      <c r="JL11" s="161"/>
      <c r="JM11" s="161"/>
      <c r="JN11" s="161"/>
      <c r="JO11" s="161"/>
      <c r="JP11" s="161"/>
      <c r="JQ11" s="161"/>
      <c r="JR11" s="161"/>
      <c r="JS11" s="161"/>
      <c r="JT11" s="161"/>
      <c r="JU11" s="161"/>
      <c r="JV11" s="161"/>
      <c r="JW11" s="161"/>
      <c r="JX11" s="161"/>
      <c r="JY11" s="161"/>
      <c r="JZ11" s="161"/>
      <c r="KA11" s="161"/>
      <c r="KB11" s="161"/>
      <c r="KC11" s="161"/>
      <c r="KD11" s="161"/>
      <c r="KE11" s="161"/>
      <c r="KF11" s="161"/>
      <c r="KG11" s="161"/>
      <c r="KH11" s="161"/>
      <c r="KI11" s="161"/>
      <c r="KJ11" s="161"/>
      <c r="KK11" s="161"/>
      <c r="KL11" s="161"/>
      <c r="KM11" s="161"/>
      <c r="KN11" s="161"/>
      <c r="KO11" s="161"/>
      <c r="KP11" s="161"/>
      <c r="KQ11" s="161"/>
      <c r="KR11" s="161"/>
      <c r="KS11" s="161"/>
      <c r="KT11" s="161"/>
      <c r="KU11" s="161"/>
      <c r="KV11" s="161"/>
      <c r="KW11" s="161"/>
      <c r="KX11" s="161"/>
      <c r="KY11" s="161"/>
      <c r="KZ11" s="161"/>
      <c r="LA11" s="161"/>
      <c r="LB11" s="161"/>
      <c r="LC11" s="161"/>
      <c r="LD11" s="161"/>
      <c r="LE11" s="161"/>
      <c r="LF11" s="161"/>
      <c r="LG11" s="161"/>
      <c r="LH11" s="161"/>
      <c r="LI11" s="161"/>
      <c r="LJ11" s="161"/>
      <c r="LK11" s="161"/>
      <c r="LL11" s="161"/>
      <c r="LM11" s="161"/>
      <c r="LN11" s="161"/>
      <c r="LO11" s="161"/>
      <c r="LP11" s="161"/>
      <c r="LQ11" s="161"/>
      <c r="LR11" s="161"/>
      <c r="LS11" s="161"/>
      <c r="LT11" s="161"/>
      <c r="LU11" s="161"/>
      <c r="LV11" s="161"/>
      <c r="LW11" s="161"/>
      <c r="LX11" s="161"/>
      <c r="LY11" s="161"/>
      <c r="LZ11" s="161"/>
      <c r="MA11" s="161"/>
      <c r="MB11" s="161"/>
      <c r="MC11" s="161"/>
      <c r="MD11" s="161"/>
      <c r="ME11" s="161"/>
      <c r="MF11" s="161"/>
      <c r="MG11" s="161"/>
      <c r="MH11" s="161"/>
      <c r="MI11" s="161"/>
      <c r="MJ11" s="161"/>
      <c r="MK11" s="161"/>
      <c r="ML11" s="161"/>
      <c r="MM11" s="161"/>
      <c r="MN11" s="161"/>
      <c r="MO11" s="161"/>
      <c r="MP11" s="161"/>
      <c r="MQ11" s="161"/>
      <c r="MR11" s="161"/>
      <c r="MS11" s="161"/>
      <c r="MT11" s="161"/>
      <c r="MU11" s="161"/>
      <c r="MV11" s="161"/>
      <c r="MW11" s="161"/>
      <c r="MX11" s="161"/>
      <c r="MY11" s="161"/>
      <c r="MZ11" s="161"/>
      <c r="NA11" s="161"/>
      <c r="NB11" s="161"/>
      <c r="NC11" s="161"/>
      <c r="ND11" s="161"/>
      <c r="NE11" s="161"/>
      <c r="NF11" s="161"/>
      <c r="NG11" s="161"/>
      <c r="NH11" s="161"/>
      <c r="NI11" s="161"/>
      <c r="NJ11" s="161"/>
      <c r="NK11" s="161"/>
      <c r="NL11" s="161"/>
      <c r="NM11" s="161"/>
      <c r="NN11" s="161"/>
      <c r="NO11" s="161"/>
      <c r="NP11" s="161"/>
      <c r="NQ11" s="161"/>
      <c r="NR11" s="161"/>
      <c r="NS11" s="161"/>
      <c r="NT11" s="161"/>
      <c r="NU11" s="161"/>
      <c r="NV11" s="161"/>
      <c r="NW11" s="161"/>
      <c r="NX11" s="161"/>
      <c r="NY11" s="161"/>
      <c r="NZ11" s="161"/>
      <c r="OA11" s="161"/>
      <c r="OB11" s="161"/>
      <c r="OC11" s="161"/>
      <c r="OD11" s="161"/>
      <c r="OE11" s="161"/>
      <c r="OF11" s="161"/>
      <c r="OG11" s="161"/>
      <c r="OH11" s="161"/>
      <c r="OI11" s="161"/>
      <c r="OJ11" s="161"/>
      <c r="OK11" s="161"/>
      <c r="OL11" s="161"/>
      <c r="OM11" s="161"/>
      <c r="ON11" s="161"/>
      <c r="OO11" s="161"/>
      <c r="OP11" s="161"/>
      <c r="OQ11" s="161"/>
      <c r="OR11" s="161"/>
      <c r="OS11" s="161"/>
      <c r="OT11" s="161"/>
      <c r="OU11" s="161"/>
      <c r="OV11" s="161"/>
      <c r="OW11" s="161"/>
      <c r="OX11" s="161"/>
      <c r="OY11" s="161"/>
      <c r="OZ11" s="161"/>
      <c r="PA11" s="161"/>
      <c r="PB11" s="161"/>
      <c r="PC11" s="161"/>
      <c r="PD11" s="161"/>
      <c r="PE11" s="161"/>
      <c r="PF11" s="161"/>
      <c r="PG11" s="161"/>
      <c r="PH11" s="161"/>
      <c r="PI11" s="161"/>
      <c r="PJ11" s="161"/>
      <c r="PK11" s="161"/>
      <c r="PL11" s="161"/>
      <c r="PM11" s="161"/>
      <c r="PN11" s="161"/>
      <c r="PO11" s="161"/>
      <c r="PP11" s="161"/>
      <c r="PQ11" s="161"/>
      <c r="PR11" s="161"/>
      <c r="PS11" s="161"/>
      <c r="PT11" s="161"/>
      <c r="PU11" s="161"/>
      <c r="PV11" s="161"/>
      <c r="PW11" s="161"/>
      <c r="PX11" s="161"/>
      <c r="PY11" s="161"/>
      <c r="PZ11" s="161"/>
      <c r="QA11" s="161"/>
      <c r="QB11" s="161"/>
      <c r="QC11" s="161"/>
      <c r="QD11" s="161"/>
      <c r="QE11" s="161"/>
      <c r="QF11" s="161"/>
      <c r="QG11" s="161"/>
      <c r="QH11" s="161"/>
      <c r="QI11" s="161"/>
      <c r="QJ11" s="161"/>
      <c r="QK11" s="161"/>
      <c r="QL11" s="161"/>
      <c r="QM11" s="161"/>
      <c r="QN11" s="161"/>
      <c r="QO11" s="161"/>
      <c r="QP11" s="161"/>
      <c r="QQ11" s="161"/>
      <c r="QR11" s="161"/>
      <c r="QS11" s="161"/>
      <c r="QT11" s="161"/>
      <c r="QU11" s="161"/>
      <c r="QV11" s="161"/>
      <c r="QW11" s="161"/>
      <c r="QX11" s="161"/>
      <c r="QY11" s="161"/>
      <c r="QZ11" s="161"/>
      <c r="RA11" s="161"/>
      <c r="RB11" s="161"/>
      <c r="RC11" s="161"/>
      <c r="RD11" s="161"/>
      <c r="RE11" s="161"/>
      <c r="RF11" s="161"/>
      <c r="RG11" s="161"/>
      <c r="RH11" s="161"/>
      <c r="RI11" s="161"/>
      <c r="RJ11" s="161"/>
      <c r="RK11" s="161"/>
      <c r="RL11" s="161"/>
      <c r="RM11" s="161"/>
      <c r="RN11" s="161"/>
      <c r="RO11" s="161"/>
      <c r="RP11" s="161"/>
      <c r="RQ11" s="161"/>
      <c r="RR11" s="161"/>
      <c r="RS11" s="161"/>
      <c r="RT11" s="161"/>
      <c r="RU11" s="161"/>
      <c r="RV11" s="161"/>
      <c r="RW11" s="161"/>
      <c r="RX11" s="161"/>
      <c r="RY11" s="161"/>
      <c r="RZ11" s="161"/>
      <c r="SA11" s="161"/>
      <c r="SB11" s="161"/>
      <c r="SC11" s="161"/>
      <c r="SD11" s="161"/>
      <c r="SE11" s="161"/>
      <c r="SF11" s="161"/>
      <c r="SG11" s="161"/>
      <c r="SH11" s="161"/>
      <c r="SI11" s="161"/>
      <c r="SJ11" s="161"/>
      <c r="SK11" s="161"/>
      <c r="SL11" s="161"/>
      <c r="SM11" s="161"/>
      <c r="SN11" s="161"/>
      <c r="SO11" s="161"/>
      <c r="SP11" s="161"/>
      <c r="SQ11" s="161"/>
      <c r="SR11" s="161"/>
      <c r="SS11" s="161"/>
      <c r="ST11" s="161"/>
      <c r="SU11" s="161"/>
      <c r="SV11" s="161"/>
      <c r="SW11" s="161"/>
      <c r="SX11" s="161"/>
      <c r="SY11" s="161"/>
      <c r="SZ11" s="161"/>
      <c r="TA11" s="161"/>
      <c r="TB11" s="161"/>
      <c r="TC11" s="161"/>
      <c r="TD11" s="161"/>
      <c r="TE11" s="161"/>
      <c r="TF11" s="161"/>
      <c r="TG11" s="161"/>
      <c r="TH11" s="161"/>
      <c r="TI11" s="161"/>
      <c r="TJ11" s="161"/>
      <c r="TK11" s="161"/>
      <c r="TL11" s="161"/>
      <c r="TM11" s="161"/>
      <c r="TN11" s="161"/>
      <c r="TO11" s="161"/>
      <c r="TP11" s="161"/>
      <c r="TQ11" s="161"/>
      <c r="TR11" s="161"/>
      <c r="TS11" s="161"/>
      <c r="TT11" s="161"/>
      <c r="TU11" s="161"/>
      <c r="TV11" s="161"/>
      <c r="TW11" s="161"/>
      <c r="TX11" s="161"/>
      <c r="TY11" s="161"/>
      <c r="TZ11" s="161"/>
      <c r="UA11" s="161"/>
      <c r="UB11" s="161"/>
      <c r="UC11" s="161"/>
      <c r="UD11" s="161"/>
      <c r="UE11" s="161"/>
      <c r="UF11" s="161"/>
      <c r="UG11" s="161"/>
      <c r="UH11" s="161"/>
      <c r="UI11" s="161"/>
      <c r="UJ11" s="161"/>
      <c r="UK11" s="161"/>
      <c r="UL11" s="161"/>
      <c r="UM11" s="161"/>
      <c r="UN11" s="161"/>
      <c r="UO11" s="161"/>
      <c r="UP11" s="161"/>
      <c r="UQ11" s="161"/>
      <c r="UR11" s="161"/>
      <c r="US11" s="161"/>
      <c r="UT11" s="161"/>
      <c r="UU11" s="161"/>
      <c r="UV11" s="161"/>
      <c r="UW11" s="161"/>
      <c r="UX11" s="161"/>
      <c r="UY11" s="161"/>
      <c r="UZ11" s="161"/>
      <c r="VA11" s="161"/>
      <c r="VB11" s="161"/>
      <c r="VC11" s="161"/>
      <c r="VD11" s="161"/>
      <c r="VE11" s="161"/>
      <c r="VF11" s="161"/>
      <c r="VG11" s="161"/>
      <c r="VH11" s="161"/>
      <c r="VI11" s="161"/>
      <c r="VJ11" s="161"/>
      <c r="VK11" s="161"/>
      <c r="VL11" s="161"/>
      <c r="VM11" s="161"/>
      <c r="VN11" s="161"/>
      <c r="VO11" s="161"/>
      <c r="VP11" s="161"/>
      <c r="VQ11" s="161"/>
      <c r="VR11" s="161"/>
      <c r="VS11" s="161"/>
      <c r="VT11" s="161"/>
      <c r="VU11" s="161"/>
      <c r="VV11" s="161"/>
      <c r="VW11" s="161"/>
      <c r="VX11" s="161"/>
      <c r="VY11" s="161"/>
      <c r="VZ11" s="161"/>
      <c r="WA11" s="161"/>
      <c r="WB11" s="161"/>
      <c r="WC11" s="161"/>
      <c r="WD11" s="161"/>
      <c r="WE11" s="161"/>
      <c r="WF11" s="161"/>
      <c r="WG11" s="161"/>
      <c r="WH11" s="161"/>
      <c r="WI11" s="161"/>
      <c r="WJ11" s="161"/>
      <c r="WK11" s="161"/>
      <c r="WL11" s="161"/>
      <c r="WM11" s="161"/>
      <c r="WN11" s="161"/>
      <c r="WO11" s="161"/>
      <c r="WP11" s="161"/>
      <c r="WQ11" s="161"/>
      <c r="WR11" s="161"/>
      <c r="WS11" s="161"/>
      <c r="WT11" s="161"/>
      <c r="WU11" s="161"/>
      <c r="WV11" s="161"/>
      <c r="WW11" s="161"/>
      <c r="WX11" s="161"/>
      <c r="WY11" s="161"/>
      <c r="WZ11" s="161"/>
      <c r="XA11" s="161"/>
      <c r="XB11" s="161"/>
      <c r="XC11" s="161"/>
      <c r="XD11" s="161"/>
      <c r="XE11" s="161"/>
      <c r="XF11" s="161"/>
      <c r="XG11" s="161"/>
      <c r="XH11" s="161"/>
      <c r="XI11" s="161"/>
      <c r="XJ11" s="161"/>
      <c r="XK11" s="161"/>
      <c r="XL11" s="161"/>
      <c r="XM11" s="161"/>
      <c r="XN11" s="161"/>
      <c r="XO11" s="161"/>
      <c r="XP11" s="161"/>
      <c r="XQ11" s="161"/>
      <c r="XR11" s="161"/>
      <c r="XS11" s="161"/>
      <c r="XT11" s="161"/>
      <c r="XU11" s="161"/>
      <c r="XV11" s="161"/>
      <c r="XW11" s="161"/>
      <c r="XX11" s="161"/>
      <c r="XY11" s="161"/>
      <c r="XZ11" s="161"/>
      <c r="YA11" s="161"/>
      <c r="YB11" s="161"/>
      <c r="YC11" s="161"/>
      <c r="YD11" s="161"/>
      <c r="YE11" s="161"/>
      <c r="YF11" s="161"/>
      <c r="YG11" s="161"/>
      <c r="YH11" s="161"/>
      <c r="YI11" s="161"/>
      <c r="YJ11" s="161"/>
      <c r="YK11" s="161"/>
      <c r="YL11" s="161"/>
      <c r="YM11" s="161"/>
      <c r="YN11" s="161"/>
      <c r="YO11" s="161"/>
      <c r="YP11" s="161"/>
      <c r="YQ11" s="161"/>
      <c r="YR11" s="161"/>
      <c r="YS11" s="161"/>
      <c r="YT11" s="161"/>
      <c r="YU11" s="161"/>
      <c r="YV11" s="161"/>
      <c r="YW11" s="161"/>
      <c r="YX11" s="161"/>
      <c r="YY11" s="161"/>
      <c r="YZ11" s="161"/>
      <c r="ZA11" s="161"/>
      <c r="ZB11" s="161"/>
      <c r="ZC11" s="161"/>
      <c r="ZD11" s="161"/>
      <c r="ZE11" s="161"/>
      <c r="ZF11" s="161"/>
      <c r="ZG11" s="161"/>
      <c r="ZH11" s="161"/>
      <c r="ZI11" s="161"/>
      <c r="ZJ11" s="161"/>
      <c r="ZK11" s="161"/>
      <c r="ZL11" s="161"/>
      <c r="ZM11" s="161"/>
      <c r="ZN11" s="161"/>
      <c r="ZO11" s="161"/>
      <c r="ZP11" s="161"/>
      <c r="ZQ11" s="161"/>
      <c r="ZR11" s="161"/>
      <c r="ZS11" s="161"/>
      <c r="ZT11" s="161"/>
      <c r="ZU11" s="161"/>
      <c r="ZV11" s="161"/>
      <c r="ZW11" s="161"/>
      <c r="ZX11" s="161"/>
      <c r="ZY11" s="161"/>
      <c r="ZZ11" s="161"/>
      <c r="AAA11" s="161"/>
      <c r="AAB11" s="161"/>
      <c r="AAC11" s="161"/>
      <c r="AAD11" s="161"/>
      <c r="AAE11" s="161"/>
      <c r="AAF11" s="161"/>
      <c r="AAG11" s="161"/>
      <c r="AAH11" s="161"/>
      <c r="AAI11" s="161"/>
      <c r="AAJ11" s="161"/>
      <c r="AAK11" s="161"/>
      <c r="AAL11" s="161"/>
      <c r="AAM11" s="161"/>
      <c r="AAN11" s="161"/>
      <c r="AAO11" s="161"/>
      <c r="AAP11" s="161"/>
      <c r="AAQ11" s="161"/>
      <c r="AAR11" s="161"/>
      <c r="AAS11" s="161"/>
      <c r="AAT11" s="161"/>
      <c r="AAU11" s="161"/>
      <c r="AAV11" s="161"/>
      <c r="AAW11" s="161"/>
      <c r="AAX11" s="161"/>
      <c r="AAY11" s="161"/>
      <c r="AAZ11" s="161"/>
      <c r="ABA11" s="161"/>
      <c r="ABB11" s="161"/>
      <c r="ABC11" s="161"/>
      <c r="ABD11" s="161"/>
      <c r="ABE11" s="161"/>
      <c r="ABF11" s="161"/>
      <c r="ABG11" s="161"/>
      <c r="ABH11" s="161"/>
      <c r="ABI11" s="161"/>
      <c r="ABJ11" s="161"/>
      <c r="ABK11" s="161"/>
      <c r="ABL11" s="161"/>
      <c r="ABM11" s="161"/>
      <c r="ABN11" s="161"/>
      <c r="ABO11" s="161"/>
      <c r="ABP11" s="161"/>
      <c r="ABQ11" s="161"/>
      <c r="ABR11" s="161"/>
      <c r="ABS11" s="161"/>
      <c r="ABT11" s="161"/>
      <c r="ABU11" s="161"/>
      <c r="ABV11" s="161"/>
      <c r="ABW11" s="161"/>
      <c r="ABX11" s="161"/>
      <c r="ABY11" s="161"/>
      <c r="ABZ11" s="161"/>
      <c r="ACA11" s="161"/>
      <c r="ACB11" s="161"/>
      <c r="ACC11" s="161"/>
      <c r="ACD11" s="161"/>
      <c r="ACE11" s="161"/>
      <c r="ACF11" s="161"/>
      <c r="ACG11" s="161"/>
      <c r="ACH11" s="161"/>
      <c r="ACI11" s="161"/>
      <c r="ACJ11" s="161"/>
      <c r="ACK11" s="161"/>
      <c r="ACL11" s="161"/>
      <c r="ACM11" s="161"/>
      <c r="ACN11" s="161"/>
      <c r="ACO11" s="161"/>
      <c r="ACP11" s="161"/>
      <c r="ACQ11" s="161"/>
      <c r="ACR11" s="161"/>
      <c r="ACS11" s="161"/>
      <c r="ACT11" s="161"/>
      <c r="ACU11" s="161"/>
      <c r="ACV11" s="161"/>
      <c r="ACW11" s="161"/>
      <c r="ACX11" s="161"/>
      <c r="ACY11" s="161"/>
      <c r="ACZ11" s="161"/>
      <c r="ADA11" s="161"/>
      <c r="ADB11" s="161"/>
      <c r="ADC11" s="161"/>
      <c r="ADD11" s="161"/>
      <c r="ADE11" s="161"/>
      <c r="ADF11" s="161"/>
      <c r="ADG11" s="161"/>
      <c r="ADH11" s="161"/>
      <c r="ADI11" s="161"/>
      <c r="ADJ11" s="161"/>
      <c r="ADK11" s="161"/>
      <c r="ADL11" s="161"/>
      <c r="ADM11" s="161"/>
      <c r="ADN11" s="161"/>
      <c r="ADO11" s="161"/>
      <c r="ADP11" s="161"/>
      <c r="ADQ11" s="161"/>
      <c r="ADR11" s="161"/>
      <c r="ADS11" s="161"/>
      <c r="ADT11" s="161"/>
      <c r="ADU11" s="161"/>
      <c r="ADV11" s="161"/>
      <c r="ADW11" s="161"/>
      <c r="ADX11" s="161"/>
      <c r="ADY11" s="161"/>
      <c r="ADZ11" s="161"/>
      <c r="AEA11" s="161"/>
      <c r="AEB11" s="161"/>
      <c r="AEC11" s="161"/>
      <c r="AED11" s="161"/>
      <c r="AEE11" s="161"/>
      <c r="AEF11" s="161"/>
      <c r="AEG11" s="161"/>
      <c r="AEH11" s="161"/>
      <c r="AEI11" s="161"/>
      <c r="AEJ11" s="161"/>
      <c r="AEK11" s="161"/>
      <c r="AEL11" s="161"/>
      <c r="AEM11" s="161"/>
      <c r="AEN11" s="161"/>
      <c r="AEO11" s="161"/>
      <c r="AEP11" s="161"/>
      <c r="AEQ11" s="161"/>
      <c r="AER11" s="161"/>
      <c r="AES11" s="161"/>
      <c r="AET11" s="161"/>
      <c r="AEU11" s="161"/>
      <c r="AEV11" s="161"/>
      <c r="AEW11" s="161"/>
      <c r="AEX11" s="161"/>
      <c r="AEY11" s="161"/>
      <c r="AEZ11" s="161"/>
      <c r="AFA11" s="161"/>
      <c r="AFB11" s="161"/>
      <c r="AFC11" s="161"/>
      <c r="AFD11" s="161"/>
      <c r="AFE11" s="161"/>
      <c r="AFF11" s="161"/>
      <c r="AFG11" s="161"/>
      <c r="AFH11" s="161"/>
      <c r="AFI11" s="161"/>
      <c r="AFJ11" s="161"/>
      <c r="AFK11" s="161"/>
      <c r="AFL11" s="161"/>
      <c r="AFM11" s="161"/>
      <c r="AFN11" s="161"/>
      <c r="AFO11" s="161"/>
      <c r="AFP11" s="161"/>
      <c r="AFQ11" s="161"/>
      <c r="AFR11" s="161"/>
      <c r="AFS11" s="161"/>
      <c r="AFT11" s="161"/>
      <c r="AFU11" s="161"/>
      <c r="AFV11" s="161"/>
      <c r="AFW11" s="161"/>
      <c r="AFX11" s="161"/>
      <c r="AFY11" s="161"/>
      <c r="AFZ11" s="161"/>
      <c r="AGA11" s="161"/>
      <c r="AGB11" s="161"/>
      <c r="AGC11" s="161"/>
      <c r="AGD11" s="161"/>
      <c r="AGE11" s="161"/>
      <c r="AGF11" s="161"/>
      <c r="AGG11" s="161"/>
      <c r="AGH11" s="161"/>
      <c r="AGI11" s="161"/>
      <c r="AGJ11" s="161"/>
      <c r="AGK11" s="161"/>
      <c r="AGL11" s="161"/>
      <c r="AGM11" s="161"/>
      <c r="AGN11" s="161"/>
      <c r="AGO11" s="161"/>
      <c r="AGP11" s="161"/>
      <c r="AGQ11" s="161"/>
      <c r="AGR11" s="161"/>
      <c r="AGS11" s="161"/>
      <c r="AGT11" s="161"/>
      <c r="AGU11" s="161"/>
      <c r="AGV11" s="161"/>
      <c r="AGW11" s="161"/>
      <c r="AGX11" s="161"/>
      <c r="AGY11" s="161"/>
      <c r="AGZ11" s="161"/>
      <c r="AHA11" s="161"/>
      <c r="AHB11" s="161"/>
      <c r="AHC11" s="161"/>
      <c r="AHD11" s="161"/>
      <c r="AHE11" s="161"/>
      <c r="AHF11" s="161"/>
      <c r="AHG11" s="161"/>
      <c r="AHH11" s="161"/>
      <c r="AHI11" s="161"/>
      <c r="AHJ11" s="161"/>
      <c r="AHK11" s="161"/>
      <c r="AHL11" s="161"/>
      <c r="AHM11" s="161"/>
      <c r="AHN11" s="161"/>
      <c r="AHO11" s="161"/>
      <c r="AHP11" s="161"/>
      <c r="AHQ11" s="161"/>
      <c r="AHR11" s="161"/>
      <c r="AHS11" s="161"/>
      <c r="AHT11" s="161"/>
      <c r="AHU11" s="161"/>
      <c r="AHV11" s="161"/>
      <c r="AHW11" s="161"/>
      <c r="AHX11" s="161"/>
      <c r="AHY11" s="161"/>
      <c r="AHZ11" s="161"/>
      <c r="AIA11" s="161"/>
      <c r="AIB11" s="161"/>
      <c r="AIC11" s="161"/>
      <c r="AID11" s="161"/>
      <c r="AIE11" s="161"/>
      <c r="AIF11" s="161"/>
    </row>
    <row r="12" spans="1:916" s="21" customFormat="1" ht="12.75">
      <c r="B12" s="309" t="s">
        <v>33</v>
      </c>
      <c r="C12" s="146" t="s">
        <v>446</v>
      </c>
      <c r="D12" s="174"/>
      <c r="E12" s="310"/>
      <c r="F12" s="144">
        <f>'Web Enabled Thermostats {G}'!A$16</f>
        <v>11.021243523834992</v>
      </c>
      <c r="G12" s="304" t="s">
        <v>365</v>
      </c>
      <c r="H12" s="258">
        <f>'Web Enabled Thermostats {G}'!A$10</f>
        <v>599081.4</v>
      </c>
      <c r="I12" s="259">
        <f>'Web Enabled Thermostats {G}'!A$8</f>
        <v>447141.90999999992</v>
      </c>
      <c r="J12" s="259">
        <f>'Web Enabled Thermostats {G}'!A$12</f>
        <v>1353667.0499999991</v>
      </c>
      <c r="K12" s="259">
        <f>'Web Enabled Thermostats {G}'!A$14</f>
        <v>1880691.1300000115</v>
      </c>
      <c r="L12" s="259">
        <f>SUM('Web Enabled Thermostats {G}'!Q$5:Q$1000)</f>
        <v>3234358.1800000104</v>
      </c>
      <c r="M12" s="259"/>
      <c r="N12" s="260">
        <f>'Web Enabled Thermostats {G}'!A$18</f>
        <v>1975650.5499999998</v>
      </c>
      <c r="O12" s="259">
        <f>'Web Enabled Thermostats {G}'!A$20</f>
        <v>3681500.0900000101</v>
      </c>
      <c r="P12" s="259">
        <f>SUM('Web Enabled Thermostats {G}'!R$5:R$1000)</f>
        <v>20.85</v>
      </c>
      <c r="Q12" s="261">
        <f t="shared" si="0"/>
        <v>1846920.2112741887</v>
      </c>
      <c r="R12" s="261">
        <f t="shared" si="4"/>
        <v>3441619.2296905764</v>
      </c>
      <c r="S12" s="259">
        <f>SUM('Web Enabled Thermostats {G}'!AM$5:AM$1000)</f>
        <v>4947208.293842244</v>
      </c>
      <c r="T12" s="259">
        <f>SUM('Web Enabled Thermostats {G}'!AD$5:AD$1000)</f>
        <v>77151.078603646936</v>
      </c>
      <c r="U12" s="133">
        <f t="shared" si="2"/>
        <v>2.6786258895446107</v>
      </c>
      <c r="V12" s="133">
        <f t="shared" si="3"/>
        <v>1.6036289413475633</v>
      </c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  <c r="CF12" s="161"/>
      <c r="CG12" s="161"/>
      <c r="CH12" s="161"/>
      <c r="CI12" s="161"/>
      <c r="CJ12" s="161"/>
      <c r="CK12" s="161"/>
      <c r="CL12" s="161"/>
      <c r="CM12" s="161"/>
      <c r="CN12" s="161"/>
      <c r="CO12" s="161"/>
      <c r="CP12" s="161"/>
      <c r="CQ12" s="161"/>
      <c r="CR12" s="161"/>
      <c r="CS12" s="161"/>
      <c r="CT12" s="161"/>
      <c r="CU12" s="161"/>
      <c r="CV12" s="161"/>
      <c r="CW12" s="161"/>
      <c r="CX12" s="161"/>
      <c r="CY12" s="161"/>
      <c r="CZ12" s="161"/>
      <c r="DA12" s="161"/>
      <c r="DB12" s="161"/>
      <c r="DC12" s="161"/>
      <c r="DD12" s="161"/>
      <c r="DE12" s="161"/>
      <c r="DF12" s="161"/>
      <c r="DG12" s="161"/>
      <c r="DH12" s="161"/>
      <c r="DI12" s="161"/>
      <c r="DJ12" s="161"/>
      <c r="DK12" s="161"/>
      <c r="DL12" s="161"/>
      <c r="DM12" s="161"/>
      <c r="DN12" s="161"/>
      <c r="DO12" s="161"/>
      <c r="DP12" s="161"/>
      <c r="DQ12" s="161"/>
      <c r="DR12" s="161"/>
      <c r="DS12" s="161"/>
      <c r="DT12" s="161"/>
      <c r="DU12" s="161"/>
      <c r="DV12" s="161"/>
      <c r="DW12" s="161"/>
      <c r="DX12" s="161"/>
      <c r="DY12" s="161"/>
      <c r="DZ12" s="161"/>
      <c r="EA12" s="161"/>
      <c r="EB12" s="161"/>
      <c r="EC12" s="161"/>
      <c r="ED12" s="161"/>
      <c r="EE12" s="161"/>
      <c r="EF12" s="161"/>
      <c r="EG12" s="161"/>
      <c r="EH12" s="161"/>
      <c r="EI12" s="161"/>
      <c r="EJ12" s="161"/>
      <c r="EK12" s="161"/>
      <c r="EL12" s="161"/>
      <c r="EM12" s="161"/>
      <c r="EN12" s="161"/>
      <c r="EO12" s="161"/>
      <c r="EP12" s="161"/>
      <c r="EQ12" s="161"/>
      <c r="ER12" s="161"/>
      <c r="ES12" s="161"/>
      <c r="ET12" s="161"/>
      <c r="EU12" s="161"/>
      <c r="EV12" s="161"/>
      <c r="EW12" s="161"/>
      <c r="EX12" s="161"/>
      <c r="EY12" s="161"/>
      <c r="EZ12" s="161"/>
      <c r="FA12" s="161"/>
      <c r="FB12" s="161"/>
      <c r="FC12" s="161"/>
      <c r="FD12" s="161"/>
      <c r="FE12" s="161"/>
      <c r="FF12" s="161"/>
      <c r="FG12" s="161"/>
      <c r="FH12" s="161"/>
      <c r="FI12" s="161"/>
      <c r="FJ12" s="161"/>
      <c r="FK12" s="161"/>
      <c r="FL12" s="161"/>
      <c r="FM12" s="161"/>
      <c r="FN12" s="161"/>
      <c r="FO12" s="161"/>
      <c r="FP12" s="161"/>
      <c r="FQ12" s="161"/>
      <c r="FR12" s="161"/>
      <c r="FS12" s="161"/>
      <c r="FT12" s="161"/>
      <c r="FU12" s="161"/>
      <c r="FV12" s="161"/>
      <c r="FW12" s="161"/>
      <c r="FX12" s="161"/>
      <c r="FY12" s="161"/>
      <c r="FZ12" s="161"/>
      <c r="GA12" s="161"/>
      <c r="GB12" s="161"/>
      <c r="GC12" s="161"/>
      <c r="GD12" s="161"/>
      <c r="GE12" s="161"/>
      <c r="GF12" s="161"/>
      <c r="GG12" s="161"/>
      <c r="GH12" s="161"/>
      <c r="GI12" s="161"/>
      <c r="GJ12" s="161"/>
      <c r="GK12" s="161"/>
      <c r="GL12" s="161"/>
      <c r="GM12" s="161"/>
      <c r="GN12" s="161"/>
      <c r="GO12" s="161"/>
      <c r="GP12" s="161"/>
      <c r="GQ12" s="161"/>
      <c r="GR12" s="161"/>
      <c r="GS12" s="161"/>
      <c r="GT12" s="161"/>
      <c r="GU12" s="161"/>
      <c r="GV12" s="161"/>
      <c r="GW12" s="161"/>
      <c r="GX12" s="161"/>
      <c r="GY12" s="161"/>
      <c r="GZ12" s="161"/>
      <c r="HA12" s="161"/>
      <c r="HB12" s="161"/>
      <c r="HC12" s="161"/>
      <c r="HD12" s="161"/>
      <c r="HE12" s="161"/>
      <c r="HF12" s="161"/>
      <c r="HG12" s="161"/>
      <c r="HH12" s="161"/>
      <c r="HI12" s="161"/>
      <c r="HJ12" s="161"/>
      <c r="HK12" s="161"/>
      <c r="HL12" s="161"/>
      <c r="HM12" s="161"/>
      <c r="HN12" s="161"/>
      <c r="HO12" s="161"/>
      <c r="HP12" s="161"/>
      <c r="HQ12" s="161"/>
      <c r="HR12" s="161"/>
      <c r="HS12" s="161"/>
      <c r="HT12" s="161"/>
      <c r="HU12" s="161"/>
      <c r="HV12" s="161"/>
      <c r="HW12" s="161"/>
      <c r="HX12" s="161"/>
      <c r="HY12" s="161"/>
      <c r="HZ12" s="161"/>
      <c r="IA12" s="161"/>
      <c r="IB12" s="161"/>
      <c r="IC12" s="161"/>
      <c r="ID12" s="161"/>
      <c r="IE12" s="161"/>
      <c r="IF12" s="161"/>
      <c r="IG12" s="161"/>
      <c r="IH12" s="161"/>
      <c r="II12" s="161"/>
      <c r="IJ12" s="161"/>
      <c r="IK12" s="161"/>
      <c r="IL12" s="161"/>
      <c r="IM12" s="161"/>
      <c r="IN12" s="161"/>
      <c r="IO12" s="161"/>
      <c r="IP12" s="161"/>
      <c r="IQ12" s="161"/>
      <c r="IR12" s="161"/>
      <c r="IS12" s="161"/>
      <c r="IT12" s="161"/>
      <c r="IU12" s="161"/>
      <c r="IV12" s="161"/>
      <c r="IW12" s="161"/>
      <c r="IX12" s="161"/>
      <c r="IY12" s="161"/>
      <c r="IZ12" s="161"/>
      <c r="JA12" s="161"/>
      <c r="JB12" s="161"/>
      <c r="JC12" s="161"/>
      <c r="JD12" s="161"/>
      <c r="JE12" s="161"/>
      <c r="JF12" s="161"/>
      <c r="JG12" s="161"/>
      <c r="JH12" s="161"/>
      <c r="JI12" s="161"/>
      <c r="JJ12" s="161"/>
      <c r="JK12" s="161"/>
      <c r="JL12" s="161"/>
      <c r="JM12" s="161"/>
      <c r="JN12" s="161"/>
      <c r="JO12" s="161"/>
      <c r="JP12" s="161"/>
      <c r="JQ12" s="161"/>
      <c r="JR12" s="161"/>
      <c r="JS12" s="161"/>
      <c r="JT12" s="161"/>
      <c r="JU12" s="161"/>
      <c r="JV12" s="161"/>
      <c r="JW12" s="161"/>
      <c r="JX12" s="161"/>
      <c r="JY12" s="161"/>
      <c r="JZ12" s="161"/>
      <c r="KA12" s="161"/>
      <c r="KB12" s="161"/>
      <c r="KC12" s="161"/>
      <c r="KD12" s="161"/>
      <c r="KE12" s="161"/>
      <c r="KF12" s="161"/>
      <c r="KG12" s="161"/>
      <c r="KH12" s="161"/>
      <c r="KI12" s="161"/>
      <c r="KJ12" s="161"/>
      <c r="KK12" s="161"/>
      <c r="KL12" s="161"/>
      <c r="KM12" s="161"/>
      <c r="KN12" s="161"/>
      <c r="KO12" s="161"/>
      <c r="KP12" s="161"/>
      <c r="KQ12" s="161"/>
      <c r="KR12" s="161"/>
      <c r="KS12" s="161"/>
      <c r="KT12" s="161"/>
      <c r="KU12" s="161"/>
      <c r="KV12" s="161"/>
      <c r="KW12" s="161"/>
      <c r="KX12" s="161"/>
      <c r="KY12" s="161"/>
      <c r="KZ12" s="161"/>
      <c r="LA12" s="161"/>
      <c r="LB12" s="161"/>
      <c r="LC12" s="161"/>
      <c r="LD12" s="161"/>
      <c r="LE12" s="161"/>
      <c r="LF12" s="161"/>
      <c r="LG12" s="161"/>
      <c r="LH12" s="161"/>
      <c r="LI12" s="161"/>
      <c r="LJ12" s="161"/>
      <c r="LK12" s="161"/>
      <c r="LL12" s="161"/>
      <c r="LM12" s="161"/>
      <c r="LN12" s="161"/>
      <c r="LO12" s="161"/>
      <c r="LP12" s="161"/>
      <c r="LQ12" s="161"/>
      <c r="LR12" s="161"/>
      <c r="LS12" s="161"/>
      <c r="LT12" s="161"/>
      <c r="LU12" s="161"/>
      <c r="LV12" s="161"/>
      <c r="LW12" s="161"/>
      <c r="LX12" s="161"/>
      <c r="LY12" s="161"/>
      <c r="LZ12" s="161"/>
      <c r="MA12" s="161"/>
      <c r="MB12" s="161"/>
      <c r="MC12" s="161"/>
      <c r="MD12" s="161"/>
      <c r="ME12" s="161"/>
      <c r="MF12" s="161"/>
      <c r="MG12" s="161"/>
      <c r="MH12" s="161"/>
      <c r="MI12" s="161"/>
      <c r="MJ12" s="161"/>
      <c r="MK12" s="161"/>
      <c r="ML12" s="161"/>
      <c r="MM12" s="161"/>
      <c r="MN12" s="161"/>
      <c r="MO12" s="161"/>
      <c r="MP12" s="161"/>
      <c r="MQ12" s="161"/>
      <c r="MR12" s="161"/>
      <c r="MS12" s="161"/>
      <c r="MT12" s="161"/>
      <c r="MU12" s="161"/>
      <c r="MV12" s="161"/>
      <c r="MW12" s="161"/>
      <c r="MX12" s="161"/>
      <c r="MY12" s="161"/>
      <c r="MZ12" s="161"/>
      <c r="NA12" s="161"/>
      <c r="NB12" s="161"/>
      <c r="NC12" s="161"/>
      <c r="ND12" s="161"/>
      <c r="NE12" s="161"/>
      <c r="NF12" s="161"/>
      <c r="NG12" s="161"/>
      <c r="NH12" s="161"/>
      <c r="NI12" s="161"/>
      <c r="NJ12" s="161"/>
      <c r="NK12" s="161"/>
      <c r="NL12" s="161"/>
      <c r="NM12" s="161"/>
      <c r="NN12" s="161"/>
      <c r="NO12" s="161"/>
      <c r="NP12" s="161"/>
      <c r="NQ12" s="161"/>
      <c r="NR12" s="161"/>
      <c r="NS12" s="161"/>
      <c r="NT12" s="161"/>
      <c r="NU12" s="161"/>
      <c r="NV12" s="161"/>
      <c r="NW12" s="161"/>
      <c r="NX12" s="161"/>
      <c r="NY12" s="161"/>
      <c r="NZ12" s="161"/>
      <c r="OA12" s="161"/>
      <c r="OB12" s="161"/>
      <c r="OC12" s="161"/>
      <c r="OD12" s="161"/>
      <c r="OE12" s="161"/>
      <c r="OF12" s="161"/>
      <c r="OG12" s="161"/>
      <c r="OH12" s="161"/>
      <c r="OI12" s="161"/>
      <c r="OJ12" s="161"/>
      <c r="OK12" s="161"/>
      <c r="OL12" s="161"/>
      <c r="OM12" s="161"/>
      <c r="ON12" s="161"/>
      <c r="OO12" s="161"/>
      <c r="OP12" s="161"/>
      <c r="OQ12" s="161"/>
      <c r="OR12" s="161"/>
      <c r="OS12" s="161"/>
      <c r="OT12" s="161"/>
      <c r="OU12" s="161"/>
      <c r="OV12" s="161"/>
      <c r="OW12" s="161"/>
      <c r="OX12" s="161"/>
      <c r="OY12" s="161"/>
      <c r="OZ12" s="161"/>
      <c r="PA12" s="161"/>
      <c r="PB12" s="161"/>
      <c r="PC12" s="161"/>
      <c r="PD12" s="161"/>
      <c r="PE12" s="161"/>
      <c r="PF12" s="161"/>
      <c r="PG12" s="161"/>
      <c r="PH12" s="161"/>
      <c r="PI12" s="161"/>
      <c r="PJ12" s="161"/>
      <c r="PK12" s="161"/>
      <c r="PL12" s="161"/>
      <c r="PM12" s="161"/>
      <c r="PN12" s="161"/>
      <c r="PO12" s="161"/>
      <c r="PP12" s="161"/>
      <c r="PQ12" s="161"/>
      <c r="PR12" s="161"/>
      <c r="PS12" s="161"/>
      <c r="PT12" s="161"/>
      <c r="PU12" s="161"/>
      <c r="PV12" s="161"/>
      <c r="PW12" s="161"/>
      <c r="PX12" s="161"/>
      <c r="PY12" s="161"/>
      <c r="PZ12" s="161"/>
      <c r="QA12" s="161"/>
      <c r="QB12" s="161"/>
      <c r="QC12" s="161"/>
      <c r="QD12" s="161"/>
      <c r="QE12" s="161"/>
      <c r="QF12" s="161"/>
      <c r="QG12" s="161"/>
      <c r="QH12" s="161"/>
      <c r="QI12" s="161"/>
      <c r="QJ12" s="161"/>
      <c r="QK12" s="161"/>
      <c r="QL12" s="161"/>
      <c r="QM12" s="161"/>
      <c r="QN12" s="161"/>
      <c r="QO12" s="161"/>
      <c r="QP12" s="161"/>
      <c r="QQ12" s="161"/>
      <c r="QR12" s="161"/>
      <c r="QS12" s="161"/>
      <c r="QT12" s="161"/>
      <c r="QU12" s="161"/>
      <c r="QV12" s="161"/>
      <c r="QW12" s="161"/>
      <c r="QX12" s="161"/>
      <c r="QY12" s="161"/>
      <c r="QZ12" s="161"/>
      <c r="RA12" s="161"/>
      <c r="RB12" s="161"/>
      <c r="RC12" s="161"/>
      <c r="RD12" s="161"/>
      <c r="RE12" s="161"/>
      <c r="RF12" s="161"/>
      <c r="RG12" s="161"/>
      <c r="RH12" s="161"/>
      <c r="RI12" s="161"/>
      <c r="RJ12" s="161"/>
      <c r="RK12" s="161"/>
      <c r="RL12" s="161"/>
      <c r="RM12" s="161"/>
      <c r="RN12" s="161"/>
      <c r="RO12" s="161"/>
      <c r="RP12" s="161"/>
      <c r="RQ12" s="161"/>
      <c r="RR12" s="161"/>
      <c r="RS12" s="161"/>
      <c r="RT12" s="161"/>
      <c r="RU12" s="161"/>
      <c r="RV12" s="161"/>
      <c r="RW12" s="161"/>
      <c r="RX12" s="161"/>
      <c r="RY12" s="161"/>
      <c r="RZ12" s="161"/>
      <c r="SA12" s="161"/>
      <c r="SB12" s="161"/>
      <c r="SC12" s="161"/>
      <c r="SD12" s="161"/>
      <c r="SE12" s="161"/>
      <c r="SF12" s="161"/>
      <c r="SG12" s="161"/>
      <c r="SH12" s="161"/>
      <c r="SI12" s="161"/>
      <c r="SJ12" s="161"/>
      <c r="SK12" s="161"/>
      <c r="SL12" s="161"/>
      <c r="SM12" s="161"/>
      <c r="SN12" s="161"/>
      <c r="SO12" s="161"/>
      <c r="SP12" s="161"/>
      <c r="SQ12" s="161"/>
      <c r="SR12" s="161"/>
      <c r="SS12" s="161"/>
      <c r="ST12" s="161"/>
      <c r="SU12" s="161"/>
      <c r="SV12" s="161"/>
      <c r="SW12" s="161"/>
      <c r="SX12" s="161"/>
      <c r="SY12" s="161"/>
      <c r="SZ12" s="161"/>
      <c r="TA12" s="161"/>
      <c r="TB12" s="161"/>
      <c r="TC12" s="161"/>
      <c r="TD12" s="161"/>
      <c r="TE12" s="161"/>
      <c r="TF12" s="161"/>
      <c r="TG12" s="161"/>
      <c r="TH12" s="161"/>
      <c r="TI12" s="161"/>
      <c r="TJ12" s="161"/>
      <c r="TK12" s="161"/>
      <c r="TL12" s="161"/>
      <c r="TM12" s="161"/>
      <c r="TN12" s="161"/>
      <c r="TO12" s="161"/>
      <c r="TP12" s="161"/>
      <c r="TQ12" s="161"/>
      <c r="TR12" s="161"/>
      <c r="TS12" s="161"/>
      <c r="TT12" s="161"/>
      <c r="TU12" s="161"/>
      <c r="TV12" s="161"/>
      <c r="TW12" s="161"/>
      <c r="TX12" s="161"/>
      <c r="TY12" s="161"/>
      <c r="TZ12" s="161"/>
      <c r="UA12" s="161"/>
      <c r="UB12" s="161"/>
      <c r="UC12" s="161"/>
      <c r="UD12" s="161"/>
      <c r="UE12" s="161"/>
      <c r="UF12" s="161"/>
      <c r="UG12" s="161"/>
      <c r="UH12" s="161"/>
      <c r="UI12" s="161"/>
      <c r="UJ12" s="161"/>
      <c r="UK12" s="161"/>
      <c r="UL12" s="161"/>
      <c r="UM12" s="161"/>
      <c r="UN12" s="161"/>
      <c r="UO12" s="161"/>
      <c r="UP12" s="161"/>
      <c r="UQ12" s="161"/>
      <c r="UR12" s="161"/>
      <c r="US12" s="161"/>
      <c r="UT12" s="161"/>
      <c r="UU12" s="161"/>
      <c r="UV12" s="161"/>
      <c r="UW12" s="161"/>
      <c r="UX12" s="161"/>
      <c r="UY12" s="161"/>
      <c r="UZ12" s="161"/>
      <c r="VA12" s="161"/>
      <c r="VB12" s="161"/>
      <c r="VC12" s="161"/>
      <c r="VD12" s="161"/>
      <c r="VE12" s="161"/>
      <c r="VF12" s="161"/>
      <c r="VG12" s="161"/>
      <c r="VH12" s="161"/>
      <c r="VI12" s="161"/>
      <c r="VJ12" s="161"/>
      <c r="VK12" s="161"/>
      <c r="VL12" s="161"/>
      <c r="VM12" s="161"/>
      <c r="VN12" s="161"/>
      <c r="VO12" s="161"/>
      <c r="VP12" s="161"/>
      <c r="VQ12" s="161"/>
      <c r="VR12" s="161"/>
      <c r="VS12" s="161"/>
      <c r="VT12" s="161"/>
      <c r="VU12" s="161"/>
      <c r="VV12" s="161"/>
      <c r="VW12" s="161"/>
      <c r="VX12" s="161"/>
      <c r="VY12" s="161"/>
      <c r="VZ12" s="161"/>
      <c r="WA12" s="161"/>
      <c r="WB12" s="161"/>
      <c r="WC12" s="161"/>
      <c r="WD12" s="161"/>
      <c r="WE12" s="161"/>
      <c r="WF12" s="161"/>
      <c r="WG12" s="161"/>
      <c r="WH12" s="161"/>
      <c r="WI12" s="161"/>
      <c r="WJ12" s="161"/>
      <c r="WK12" s="161"/>
      <c r="WL12" s="161"/>
      <c r="WM12" s="161"/>
      <c r="WN12" s="161"/>
      <c r="WO12" s="161"/>
      <c r="WP12" s="161"/>
      <c r="WQ12" s="161"/>
      <c r="WR12" s="161"/>
      <c r="WS12" s="161"/>
      <c r="WT12" s="161"/>
      <c r="WU12" s="161"/>
      <c r="WV12" s="161"/>
      <c r="WW12" s="161"/>
      <c r="WX12" s="161"/>
      <c r="WY12" s="161"/>
      <c r="WZ12" s="161"/>
      <c r="XA12" s="161"/>
      <c r="XB12" s="161"/>
      <c r="XC12" s="161"/>
      <c r="XD12" s="161"/>
      <c r="XE12" s="161"/>
      <c r="XF12" s="161"/>
      <c r="XG12" s="161"/>
      <c r="XH12" s="161"/>
      <c r="XI12" s="161"/>
      <c r="XJ12" s="161"/>
      <c r="XK12" s="161"/>
      <c r="XL12" s="161"/>
      <c r="XM12" s="161"/>
      <c r="XN12" s="161"/>
      <c r="XO12" s="161"/>
      <c r="XP12" s="161"/>
      <c r="XQ12" s="161"/>
      <c r="XR12" s="161"/>
      <c r="XS12" s="161"/>
      <c r="XT12" s="161"/>
      <c r="XU12" s="161"/>
      <c r="XV12" s="161"/>
      <c r="XW12" s="161"/>
      <c r="XX12" s="161"/>
      <c r="XY12" s="161"/>
      <c r="XZ12" s="161"/>
      <c r="YA12" s="161"/>
      <c r="YB12" s="161"/>
      <c r="YC12" s="161"/>
      <c r="YD12" s="161"/>
      <c r="YE12" s="161"/>
      <c r="YF12" s="161"/>
      <c r="YG12" s="161"/>
      <c r="YH12" s="161"/>
      <c r="YI12" s="161"/>
      <c r="YJ12" s="161"/>
      <c r="YK12" s="161"/>
      <c r="YL12" s="161"/>
      <c r="YM12" s="161"/>
      <c r="YN12" s="161"/>
      <c r="YO12" s="161"/>
      <c r="YP12" s="161"/>
      <c r="YQ12" s="161"/>
      <c r="YR12" s="161"/>
      <c r="YS12" s="161"/>
      <c r="YT12" s="161"/>
      <c r="YU12" s="161"/>
      <c r="YV12" s="161"/>
      <c r="YW12" s="161"/>
      <c r="YX12" s="161"/>
      <c r="YY12" s="161"/>
      <c r="YZ12" s="161"/>
      <c r="ZA12" s="161"/>
      <c r="ZB12" s="161"/>
      <c r="ZC12" s="161"/>
      <c r="ZD12" s="161"/>
      <c r="ZE12" s="161"/>
      <c r="ZF12" s="161"/>
      <c r="ZG12" s="161"/>
      <c r="ZH12" s="161"/>
      <c r="ZI12" s="161"/>
      <c r="ZJ12" s="161"/>
      <c r="ZK12" s="161"/>
      <c r="ZL12" s="161"/>
      <c r="ZM12" s="161"/>
      <c r="ZN12" s="161"/>
      <c r="ZO12" s="161"/>
      <c r="ZP12" s="161"/>
      <c r="ZQ12" s="161"/>
      <c r="ZR12" s="161"/>
      <c r="ZS12" s="161"/>
      <c r="ZT12" s="161"/>
      <c r="ZU12" s="161"/>
      <c r="ZV12" s="161"/>
      <c r="ZW12" s="161"/>
      <c r="ZX12" s="161"/>
      <c r="ZY12" s="161"/>
      <c r="ZZ12" s="161"/>
      <c r="AAA12" s="161"/>
      <c r="AAB12" s="161"/>
      <c r="AAC12" s="161"/>
      <c r="AAD12" s="161"/>
      <c r="AAE12" s="161"/>
      <c r="AAF12" s="161"/>
      <c r="AAG12" s="161"/>
      <c r="AAH12" s="161"/>
      <c r="AAI12" s="161"/>
      <c r="AAJ12" s="161"/>
      <c r="AAK12" s="161"/>
      <c r="AAL12" s="161"/>
      <c r="AAM12" s="161"/>
      <c r="AAN12" s="161"/>
      <c r="AAO12" s="161"/>
      <c r="AAP12" s="161"/>
      <c r="AAQ12" s="161"/>
      <c r="AAR12" s="161"/>
      <c r="AAS12" s="161"/>
      <c r="AAT12" s="161"/>
      <c r="AAU12" s="161"/>
      <c r="AAV12" s="161"/>
      <c r="AAW12" s="161"/>
      <c r="AAX12" s="161"/>
      <c r="AAY12" s="161"/>
      <c r="AAZ12" s="161"/>
      <c r="ABA12" s="161"/>
      <c r="ABB12" s="161"/>
      <c r="ABC12" s="161"/>
      <c r="ABD12" s="161"/>
      <c r="ABE12" s="161"/>
      <c r="ABF12" s="161"/>
      <c r="ABG12" s="161"/>
      <c r="ABH12" s="161"/>
      <c r="ABI12" s="161"/>
      <c r="ABJ12" s="161"/>
      <c r="ABK12" s="161"/>
      <c r="ABL12" s="161"/>
      <c r="ABM12" s="161"/>
      <c r="ABN12" s="161"/>
      <c r="ABO12" s="161"/>
      <c r="ABP12" s="161"/>
      <c r="ABQ12" s="161"/>
      <c r="ABR12" s="161"/>
      <c r="ABS12" s="161"/>
      <c r="ABT12" s="161"/>
      <c r="ABU12" s="161"/>
      <c r="ABV12" s="161"/>
      <c r="ABW12" s="161"/>
      <c r="ABX12" s="161"/>
      <c r="ABY12" s="161"/>
      <c r="ABZ12" s="161"/>
      <c r="ACA12" s="161"/>
      <c r="ACB12" s="161"/>
      <c r="ACC12" s="161"/>
      <c r="ACD12" s="161"/>
      <c r="ACE12" s="161"/>
      <c r="ACF12" s="161"/>
      <c r="ACG12" s="161"/>
      <c r="ACH12" s="161"/>
      <c r="ACI12" s="161"/>
      <c r="ACJ12" s="161"/>
      <c r="ACK12" s="161"/>
      <c r="ACL12" s="161"/>
      <c r="ACM12" s="161"/>
      <c r="ACN12" s="161"/>
      <c r="ACO12" s="161"/>
      <c r="ACP12" s="161"/>
      <c r="ACQ12" s="161"/>
      <c r="ACR12" s="161"/>
      <c r="ACS12" s="161"/>
      <c r="ACT12" s="161"/>
      <c r="ACU12" s="161"/>
      <c r="ACV12" s="161"/>
      <c r="ACW12" s="161"/>
      <c r="ACX12" s="161"/>
      <c r="ACY12" s="161"/>
      <c r="ACZ12" s="161"/>
      <c r="ADA12" s="161"/>
      <c r="ADB12" s="161"/>
      <c r="ADC12" s="161"/>
      <c r="ADD12" s="161"/>
      <c r="ADE12" s="161"/>
      <c r="ADF12" s="161"/>
      <c r="ADG12" s="161"/>
      <c r="ADH12" s="161"/>
      <c r="ADI12" s="161"/>
      <c r="ADJ12" s="161"/>
      <c r="ADK12" s="161"/>
      <c r="ADL12" s="161"/>
      <c r="ADM12" s="161"/>
      <c r="ADN12" s="161"/>
      <c r="ADO12" s="161"/>
      <c r="ADP12" s="161"/>
      <c r="ADQ12" s="161"/>
      <c r="ADR12" s="161"/>
      <c r="ADS12" s="161"/>
      <c r="ADT12" s="161"/>
      <c r="ADU12" s="161"/>
      <c r="ADV12" s="161"/>
      <c r="ADW12" s="161"/>
      <c r="ADX12" s="161"/>
      <c r="ADY12" s="161"/>
      <c r="ADZ12" s="161"/>
      <c r="AEA12" s="161"/>
      <c r="AEB12" s="161"/>
      <c r="AEC12" s="161"/>
      <c r="AED12" s="161"/>
      <c r="AEE12" s="161"/>
      <c r="AEF12" s="161"/>
      <c r="AEG12" s="161"/>
      <c r="AEH12" s="161"/>
      <c r="AEI12" s="161"/>
      <c r="AEJ12" s="161"/>
      <c r="AEK12" s="161"/>
      <c r="AEL12" s="161"/>
      <c r="AEM12" s="161"/>
      <c r="AEN12" s="161"/>
      <c r="AEO12" s="161"/>
      <c r="AEP12" s="161"/>
      <c r="AEQ12" s="161"/>
      <c r="AER12" s="161"/>
      <c r="AES12" s="161"/>
      <c r="AET12" s="161"/>
      <c r="AEU12" s="161"/>
      <c r="AEV12" s="161"/>
      <c r="AEW12" s="161"/>
      <c r="AEX12" s="161"/>
      <c r="AEY12" s="161"/>
      <c r="AEZ12" s="161"/>
      <c r="AFA12" s="161"/>
      <c r="AFB12" s="161"/>
      <c r="AFC12" s="161"/>
      <c r="AFD12" s="161"/>
      <c r="AFE12" s="161"/>
      <c r="AFF12" s="161"/>
      <c r="AFG12" s="161"/>
      <c r="AFH12" s="161"/>
      <c r="AFI12" s="161"/>
      <c r="AFJ12" s="161"/>
      <c r="AFK12" s="161"/>
      <c r="AFL12" s="161"/>
      <c r="AFM12" s="161"/>
      <c r="AFN12" s="161"/>
      <c r="AFO12" s="161"/>
      <c r="AFP12" s="161"/>
      <c r="AFQ12" s="161"/>
      <c r="AFR12" s="161"/>
      <c r="AFS12" s="161"/>
      <c r="AFT12" s="161"/>
      <c r="AFU12" s="161"/>
      <c r="AFV12" s="161"/>
      <c r="AFW12" s="161"/>
      <c r="AFX12" s="161"/>
      <c r="AFY12" s="161"/>
      <c r="AFZ12" s="161"/>
      <c r="AGA12" s="161"/>
      <c r="AGB12" s="161"/>
      <c r="AGC12" s="161"/>
      <c r="AGD12" s="161"/>
      <c r="AGE12" s="161"/>
      <c r="AGF12" s="161"/>
      <c r="AGG12" s="161"/>
      <c r="AGH12" s="161"/>
      <c r="AGI12" s="161"/>
      <c r="AGJ12" s="161"/>
      <c r="AGK12" s="161"/>
      <c r="AGL12" s="161"/>
      <c r="AGM12" s="161"/>
      <c r="AGN12" s="161"/>
      <c r="AGO12" s="161"/>
      <c r="AGP12" s="161"/>
      <c r="AGQ12" s="161"/>
      <c r="AGR12" s="161"/>
      <c r="AGS12" s="161"/>
      <c r="AGT12" s="161"/>
      <c r="AGU12" s="161"/>
      <c r="AGV12" s="161"/>
      <c r="AGW12" s="161"/>
      <c r="AGX12" s="161"/>
      <c r="AGY12" s="161"/>
      <c r="AGZ12" s="161"/>
      <c r="AHA12" s="161"/>
      <c r="AHB12" s="161"/>
      <c r="AHC12" s="161"/>
      <c r="AHD12" s="161"/>
      <c r="AHE12" s="161"/>
      <c r="AHF12" s="161"/>
      <c r="AHG12" s="161"/>
      <c r="AHH12" s="161"/>
      <c r="AHI12" s="161"/>
      <c r="AHJ12" s="161"/>
      <c r="AHK12" s="161"/>
      <c r="AHL12" s="161"/>
      <c r="AHM12" s="161"/>
      <c r="AHN12" s="161"/>
      <c r="AHO12" s="161"/>
      <c r="AHP12" s="161"/>
      <c r="AHQ12" s="161"/>
      <c r="AHR12" s="161"/>
      <c r="AHS12" s="161"/>
      <c r="AHT12" s="161"/>
      <c r="AHU12" s="161"/>
      <c r="AHV12" s="161"/>
      <c r="AHW12" s="161"/>
      <c r="AHX12" s="161"/>
      <c r="AHY12" s="161"/>
      <c r="AHZ12" s="161"/>
      <c r="AIA12" s="161"/>
      <c r="AIB12" s="161"/>
      <c r="AIC12" s="161"/>
      <c r="AID12" s="161"/>
      <c r="AIE12" s="161"/>
      <c r="AIF12" s="161"/>
    </row>
    <row r="13" spans="1:916" s="21" customFormat="1">
      <c r="B13" s="309" t="s">
        <v>33</v>
      </c>
      <c r="C13" s="146" t="s">
        <v>375</v>
      </c>
      <c r="D13" s="174"/>
      <c r="E13" s="310"/>
      <c r="F13" s="144">
        <f>'Residential Showerheads {G}'!A$16</f>
        <v>10</v>
      </c>
      <c r="G13" s="312" t="s">
        <v>447</v>
      </c>
      <c r="H13" s="258">
        <f>'Residential Showerheads {G}'!A$10</f>
        <v>31822.630000000005</v>
      </c>
      <c r="I13" s="259">
        <f>'Residential Showerheads {G}'!A$8</f>
        <v>121239.04999999999</v>
      </c>
      <c r="J13" s="259">
        <f>'Residential Showerheads {G}'!A$12</f>
        <v>46461.399999999994</v>
      </c>
      <c r="K13" s="259">
        <f>'Residential Showerheads {G}'!A$14</f>
        <v>-14946.339999999971</v>
      </c>
      <c r="L13" s="259">
        <f>SUM('Residential Showerheads {G}'!Q$5:Q$1000)</f>
        <v>31515.060000000016</v>
      </c>
      <c r="M13" s="259"/>
      <c r="N13" s="260">
        <f>'Residential Showerheads {G}'!A$18</f>
        <v>185141.91999999998</v>
      </c>
      <c r="O13" s="259">
        <f>'Residential Showerheads {G}'!A$20</f>
        <v>152754.11000000002</v>
      </c>
      <c r="P13" s="259">
        <f>SUM('Residential Showerheads {G}'!R$5:R$1000)</f>
        <v>152.47999999999999</v>
      </c>
      <c r="Q13" s="261">
        <f t="shared" si="0"/>
        <v>173078.35841824807</v>
      </c>
      <c r="R13" s="261">
        <f t="shared" si="4"/>
        <v>142800.88809946715</v>
      </c>
      <c r="S13" s="259">
        <f>SUM('Residential Showerheads {G}'!AM$5:AM$1000)</f>
        <v>227212.31251100751</v>
      </c>
      <c r="T13" s="259">
        <f>SUM('Residential Showerheads {G}'!AD$5:AD$1000)</f>
        <v>541014.69384878059</v>
      </c>
      <c r="U13" s="133">
        <f t="shared" si="2"/>
        <v>1.3127713631414473</v>
      </c>
      <c r="V13" s="133">
        <f t="shared" si="3"/>
        <v>5.5388187576253616</v>
      </c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D13" s="161"/>
      <c r="HE13" s="161"/>
      <c r="HF13" s="161"/>
      <c r="HG13" s="161"/>
      <c r="HH13" s="161"/>
      <c r="HI13" s="161"/>
      <c r="HJ13" s="161"/>
      <c r="HK13" s="161"/>
      <c r="HL13" s="161"/>
      <c r="HM13" s="161"/>
      <c r="HN13" s="161"/>
      <c r="HO13" s="161"/>
      <c r="HP13" s="161"/>
      <c r="HQ13" s="161"/>
      <c r="HR13" s="161"/>
      <c r="HS13" s="161"/>
      <c r="HT13" s="161"/>
      <c r="HU13" s="161"/>
      <c r="HV13" s="161"/>
      <c r="HW13" s="161"/>
      <c r="HX13" s="161"/>
      <c r="HY13" s="161"/>
      <c r="HZ13" s="161"/>
      <c r="IA13" s="161"/>
      <c r="IB13" s="161"/>
      <c r="IC13" s="161"/>
      <c r="ID13" s="161"/>
      <c r="IE13" s="161"/>
      <c r="IF13" s="161"/>
      <c r="IG13" s="161"/>
      <c r="IH13" s="161"/>
      <c r="II13" s="161"/>
      <c r="IJ13" s="161"/>
      <c r="IK13" s="161"/>
      <c r="IL13" s="161"/>
      <c r="IM13" s="161"/>
      <c r="IN13" s="161"/>
      <c r="IO13" s="161"/>
      <c r="IP13" s="161"/>
      <c r="IQ13" s="161"/>
      <c r="IR13" s="161"/>
      <c r="IS13" s="161"/>
      <c r="IT13" s="161"/>
      <c r="IU13" s="161"/>
      <c r="IV13" s="161"/>
      <c r="IW13" s="161"/>
      <c r="IX13" s="161"/>
      <c r="IY13" s="161"/>
      <c r="IZ13" s="161"/>
      <c r="JA13" s="161"/>
      <c r="JB13" s="161"/>
      <c r="JC13" s="161"/>
      <c r="JD13" s="161"/>
      <c r="JE13" s="161"/>
      <c r="JF13" s="161"/>
      <c r="JG13" s="161"/>
      <c r="JH13" s="161"/>
      <c r="JI13" s="161"/>
      <c r="JJ13" s="161"/>
      <c r="JK13" s="161"/>
      <c r="JL13" s="161"/>
      <c r="JM13" s="161"/>
      <c r="JN13" s="161"/>
      <c r="JO13" s="161"/>
      <c r="JP13" s="161"/>
      <c r="JQ13" s="161"/>
      <c r="JR13" s="161"/>
      <c r="JS13" s="161"/>
      <c r="JT13" s="161"/>
      <c r="JU13" s="161"/>
      <c r="JV13" s="161"/>
      <c r="JW13" s="161"/>
      <c r="JX13" s="161"/>
      <c r="JY13" s="161"/>
      <c r="JZ13" s="161"/>
      <c r="KA13" s="161"/>
      <c r="KB13" s="161"/>
      <c r="KC13" s="161"/>
      <c r="KD13" s="161"/>
      <c r="KE13" s="161"/>
      <c r="KF13" s="161"/>
      <c r="KG13" s="161"/>
      <c r="KH13" s="161"/>
      <c r="KI13" s="161"/>
      <c r="KJ13" s="161"/>
      <c r="KK13" s="161"/>
      <c r="KL13" s="161"/>
      <c r="KM13" s="161"/>
      <c r="KN13" s="161"/>
      <c r="KO13" s="161"/>
      <c r="KP13" s="161"/>
      <c r="KQ13" s="161"/>
      <c r="KR13" s="161"/>
      <c r="KS13" s="161"/>
      <c r="KT13" s="161"/>
      <c r="KU13" s="161"/>
      <c r="KV13" s="161"/>
      <c r="KW13" s="161"/>
      <c r="KX13" s="161"/>
      <c r="KY13" s="161"/>
      <c r="KZ13" s="161"/>
      <c r="LA13" s="161"/>
      <c r="LB13" s="161"/>
      <c r="LC13" s="161"/>
      <c r="LD13" s="161"/>
      <c r="LE13" s="161"/>
      <c r="LF13" s="161"/>
      <c r="LG13" s="161"/>
      <c r="LH13" s="161"/>
      <c r="LI13" s="161"/>
      <c r="LJ13" s="161"/>
      <c r="LK13" s="161"/>
      <c r="LL13" s="161"/>
      <c r="LM13" s="161"/>
      <c r="LN13" s="161"/>
      <c r="LO13" s="161"/>
      <c r="LP13" s="161"/>
      <c r="LQ13" s="161"/>
      <c r="LR13" s="161"/>
      <c r="LS13" s="161"/>
      <c r="LT13" s="161"/>
      <c r="LU13" s="161"/>
      <c r="LV13" s="161"/>
      <c r="LW13" s="161"/>
      <c r="LX13" s="161"/>
      <c r="LY13" s="161"/>
      <c r="LZ13" s="161"/>
      <c r="MA13" s="161"/>
      <c r="MB13" s="161"/>
      <c r="MC13" s="161"/>
      <c r="MD13" s="161"/>
      <c r="ME13" s="161"/>
      <c r="MF13" s="161"/>
      <c r="MG13" s="161"/>
      <c r="MH13" s="161"/>
      <c r="MI13" s="161"/>
      <c r="MJ13" s="161"/>
      <c r="MK13" s="161"/>
      <c r="ML13" s="161"/>
      <c r="MM13" s="161"/>
      <c r="MN13" s="161"/>
      <c r="MO13" s="161"/>
      <c r="MP13" s="161"/>
      <c r="MQ13" s="161"/>
      <c r="MR13" s="161"/>
      <c r="MS13" s="161"/>
      <c r="MT13" s="161"/>
      <c r="MU13" s="161"/>
      <c r="MV13" s="161"/>
      <c r="MW13" s="161"/>
      <c r="MX13" s="161"/>
      <c r="MY13" s="161"/>
      <c r="MZ13" s="161"/>
      <c r="NA13" s="161"/>
      <c r="NB13" s="161"/>
      <c r="NC13" s="161"/>
      <c r="ND13" s="161"/>
      <c r="NE13" s="161"/>
      <c r="NF13" s="161"/>
      <c r="NG13" s="161"/>
      <c r="NH13" s="161"/>
      <c r="NI13" s="161"/>
      <c r="NJ13" s="161"/>
      <c r="NK13" s="161"/>
      <c r="NL13" s="161"/>
      <c r="NM13" s="161"/>
      <c r="NN13" s="161"/>
      <c r="NO13" s="161"/>
      <c r="NP13" s="161"/>
      <c r="NQ13" s="161"/>
      <c r="NR13" s="161"/>
      <c r="NS13" s="161"/>
      <c r="NT13" s="161"/>
      <c r="NU13" s="161"/>
      <c r="NV13" s="161"/>
      <c r="NW13" s="161"/>
      <c r="NX13" s="161"/>
      <c r="NY13" s="161"/>
      <c r="NZ13" s="161"/>
      <c r="OA13" s="161"/>
      <c r="OB13" s="161"/>
      <c r="OC13" s="161"/>
      <c r="OD13" s="161"/>
      <c r="OE13" s="161"/>
      <c r="OF13" s="161"/>
      <c r="OG13" s="161"/>
      <c r="OH13" s="161"/>
      <c r="OI13" s="161"/>
      <c r="OJ13" s="161"/>
      <c r="OK13" s="161"/>
      <c r="OL13" s="161"/>
      <c r="OM13" s="161"/>
      <c r="ON13" s="161"/>
      <c r="OO13" s="161"/>
      <c r="OP13" s="161"/>
      <c r="OQ13" s="161"/>
      <c r="OR13" s="161"/>
      <c r="OS13" s="161"/>
      <c r="OT13" s="161"/>
      <c r="OU13" s="161"/>
      <c r="OV13" s="161"/>
      <c r="OW13" s="161"/>
      <c r="OX13" s="161"/>
      <c r="OY13" s="161"/>
      <c r="OZ13" s="161"/>
      <c r="PA13" s="161"/>
      <c r="PB13" s="161"/>
      <c r="PC13" s="161"/>
      <c r="PD13" s="161"/>
      <c r="PE13" s="161"/>
      <c r="PF13" s="161"/>
      <c r="PG13" s="161"/>
      <c r="PH13" s="161"/>
      <c r="PI13" s="161"/>
      <c r="PJ13" s="161"/>
      <c r="PK13" s="161"/>
      <c r="PL13" s="161"/>
      <c r="PM13" s="161"/>
      <c r="PN13" s="161"/>
      <c r="PO13" s="161"/>
      <c r="PP13" s="161"/>
      <c r="PQ13" s="161"/>
      <c r="PR13" s="161"/>
      <c r="PS13" s="161"/>
      <c r="PT13" s="161"/>
      <c r="PU13" s="161"/>
      <c r="PV13" s="161"/>
      <c r="PW13" s="161"/>
      <c r="PX13" s="161"/>
      <c r="PY13" s="161"/>
      <c r="PZ13" s="161"/>
      <c r="QA13" s="161"/>
      <c r="QB13" s="161"/>
      <c r="QC13" s="161"/>
      <c r="QD13" s="161"/>
      <c r="QE13" s="161"/>
      <c r="QF13" s="161"/>
      <c r="QG13" s="161"/>
      <c r="QH13" s="161"/>
      <c r="QI13" s="161"/>
      <c r="QJ13" s="161"/>
      <c r="QK13" s="161"/>
      <c r="QL13" s="161"/>
      <c r="QM13" s="161"/>
      <c r="QN13" s="161"/>
      <c r="QO13" s="161"/>
      <c r="QP13" s="161"/>
      <c r="QQ13" s="161"/>
      <c r="QR13" s="161"/>
      <c r="QS13" s="161"/>
      <c r="QT13" s="161"/>
      <c r="QU13" s="161"/>
      <c r="QV13" s="161"/>
      <c r="QW13" s="161"/>
      <c r="QX13" s="161"/>
      <c r="QY13" s="161"/>
      <c r="QZ13" s="161"/>
      <c r="RA13" s="161"/>
      <c r="RB13" s="161"/>
      <c r="RC13" s="161"/>
      <c r="RD13" s="161"/>
      <c r="RE13" s="161"/>
      <c r="RF13" s="161"/>
      <c r="RG13" s="161"/>
      <c r="RH13" s="161"/>
      <c r="RI13" s="161"/>
      <c r="RJ13" s="161"/>
      <c r="RK13" s="161"/>
      <c r="RL13" s="161"/>
      <c r="RM13" s="161"/>
      <c r="RN13" s="161"/>
      <c r="RO13" s="161"/>
      <c r="RP13" s="161"/>
      <c r="RQ13" s="161"/>
      <c r="RR13" s="161"/>
      <c r="RS13" s="161"/>
      <c r="RT13" s="161"/>
      <c r="RU13" s="161"/>
      <c r="RV13" s="161"/>
      <c r="RW13" s="161"/>
      <c r="RX13" s="161"/>
      <c r="RY13" s="161"/>
      <c r="RZ13" s="161"/>
      <c r="SA13" s="161"/>
      <c r="SB13" s="161"/>
      <c r="SC13" s="161"/>
      <c r="SD13" s="161"/>
      <c r="SE13" s="161"/>
      <c r="SF13" s="161"/>
      <c r="SG13" s="161"/>
      <c r="SH13" s="161"/>
      <c r="SI13" s="161"/>
      <c r="SJ13" s="161"/>
      <c r="SK13" s="161"/>
      <c r="SL13" s="161"/>
      <c r="SM13" s="161"/>
      <c r="SN13" s="161"/>
      <c r="SO13" s="161"/>
      <c r="SP13" s="161"/>
      <c r="SQ13" s="161"/>
      <c r="SR13" s="161"/>
      <c r="SS13" s="161"/>
      <c r="ST13" s="161"/>
      <c r="SU13" s="161"/>
      <c r="SV13" s="161"/>
      <c r="SW13" s="161"/>
      <c r="SX13" s="161"/>
      <c r="SY13" s="161"/>
      <c r="SZ13" s="161"/>
      <c r="TA13" s="161"/>
      <c r="TB13" s="161"/>
      <c r="TC13" s="161"/>
      <c r="TD13" s="161"/>
      <c r="TE13" s="161"/>
      <c r="TF13" s="161"/>
      <c r="TG13" s="161"/>
      <c r="TH13" s="161"/>
      <c r="TI13" s="161"/>
      <c r="TJ13" s="161"/>
      <c r="TK13" s="161"/>
      <c r="TL13" s="161"/>
      <c r="TM13" s="161"/>
      <c r="TN13" s="161"/>
      <c r="TO13" s="161"/>
      <c r="TP13" s="161"/>
      <c r="TQ13" s="161"/>
      <c r="TR13" s="161"/>
      <c r="TS13" s="161"/>
      <c r="TT13" s="161"/>
      <c r="TU13" s="161"/>
      <c r="TV13" s="161"/>
      <c r="TW13" s="161"/>
      <c r="TX13" s="161"/>
      <c r="TY13" s="161"/>
      <c r="TZ13" s="161"/>
      <c r="UA13" s="161"/>
      <c r="UB13" s="161"/>
      <c r="UC13" s="161"/>
      <c r="UD13" s="161"/>
      <c r="UE13" s="161"/>
      <c r="UF13" s="161"/>
      <c r="UG13" s="161"/>
      <c r="UH13" s="161"/>
      <c r="UI13" s="161"/>
      <c r="UJ13" s="161"/>
      <c r="UK13" s="161"/>
      <c r="UL13" s="161"/>
      <c r="UM13" s="161"/>
      <c r="UN13" s="161"/>
      <c r="UO13" s="161"/>
      <c r="UP13" s="161"/>
      <c r="UQ13" s="161"/>
      <c r="UR13" s="161"/>
      <c r="US13" s="161"/>
      <c r="UT13" s="161"/>
      <c r="UU13" s="161"/>
      <c r="UV13" s="161"/>
      <c r="UW13" s="161"/>
      <c r="UX13" s="161"/>
      <c r="UY13" s="161"/>
      <c r="UZ13" s="161"/>
      <c r="VA13" s="161"/>
      <c r="VB13" s="161"/>
      <c r="VC13" s="161"/>
      <c r="VD13" s="161"/>
      <c r="VE13" s="161"/>
      <c r="VF13" s="161"/>
      <c r="VG13" s="161"/>
      <c r="VH13" s="161"/>
      <c r="VI13" s="161"/>
      <c r="VJ13" s="161"/>
      <c r="VK13" s="161"/>
      <c r="VL13" s="161"/>
      <c r="VM13" s="161"/>
      <c r="VN13" s="161"/>
      <c r="VO13" s="161"/>
      <c r="VP13" s="161"/>
      <c r="VQ13" s="161"/>
      <c r="VR13" s="161"/>
      <c r="VS13" s="161"/>
      <c r="VT13" s="161"/>
      <c r="VU13" s="161"/>
      <c r="VV13" s="161"/>
      <c r="VW13" s="161"/>
      <c r="VX13" s="161"/>
      <c r="VY13" s="161"/>
      <c r="VZ13" s="161"/>
      <c r="WA13" s="161"/>
      <c r="WB13" s="161"/>
      <c r="WC13" s="161"/>
      <c r="WD13" s="161"/>
      <c r="WE13" s="161"/>
      <c r="WF13" s="161"/>
      <c r="WG13" s="161"/>
      <c r="WH13" s="161"/>
      <c r="WI13" s="161"/>
      <c r="WJ13" s="161"/>
      <c r="WK13" s="161"/>
      <c r="WL13" s="161"/>
      <c r="WM13" s="161"/>
      <c r="WN13" s="161"/>
      <c r="WO13" s="161"/>
      <c r="WP13" s="161"/>
      <c r="WQ13" s="161"/>
      <c r="WR13" s="161"/>
      <c r="WS13" s="161"/>
      <c r="WT13" s="161"/>
      <c r="WU13" s="161"/>
      <c r="WV13" s="161"/>
      <c r="WW13" s="161"/>
      <c r="WX13" s="161"/>
      <c r="WY13" s="161"/>
      <c r="WZ13" s="161"/>
      <c r="XA13" s="161"/>
      <c r="XB13" s="161"/>
      <c r="XC13" s="161"/>
      <c r="XD13" s="161"/>
      <c r="XE13" s="161"/>
      <c r="XF13" s="161"/>
      <c r="XG13" s="161"/>
      <c r="XH13" s="161"/>
      <c r="XI13" s="161"/>
      <c r="XJ13" s="161"/>
      <c r="XK13" s="161"/>
      <c r="XL13" s="161"/>
      <c r="XM13" s="161"/>
      <c r="XN13" s="161"/>
      <c r="XO13" s="161"/>
      <c r="XP13" s="161"/>
      <c r="XQ13" s="161"/>
      <c r="XR13" s="161"/>
      <c r="XS13" s="161"/>
      <c r="XT13" s="161"/>
      <c r="XU13" s="161"/>
      <c r="XV13" s="161"/>
      <c r="XW13" s="161"/>
      <c r="XX13" s="161"/>
      <c r="XY13" s="161"/>
      <c r="XZ13" s="161"/>
      <c r="YA13" s="161"/>
      <c r="YB13" s="161"/>
      <c r="YC13" s="161"/>
      <c r="YD13" s="161"/>
      <c r="YE13" s="161"/>
      <c r="YF13" s="161"/>
      <c r="YG13" s="161"/>
      <c r="YH13" s="161"/>
      <c r="YI13" s="161"/>
      <c r="YJ13" s="161"/>
      <c r="YK13" s="161"/>
      <c r="YL13" s="161"/>
      <c r="YM13" s="161"/>
      <c r="YN13" s="161"/>
      <c r="YO13" s="161"/>
      <c r="YP13" s="161"/>
      <c r="YQ13" s="161"/>
      <c r="YR13" s="161"/>
      <c r="YS13" s="161"/>
      <c r="YT13" s="161"/>
      <c r="YU13" s="161"/>
      <c r="YV13" s="161"/>
      <c r="YW13" s="161"/>
      <c r="YX13" s="161"/>
      <c r="YY13" s="161"/>
      <c r="YZ13" s="161"/>
      <c r="ZA13" s="161"/>
      <c r="ZB13" s="161"/>
      <c r="ZC13" s="161"/>
      <c r="ZD13" s="161"/>
      <c r="ZE13" s="161"/>
      <c r="ZF13" s="161"/>
      <c r="ZG13" s="161"/>
      <c r="ZH13" s="161"/>
      <c r="ZI13" s="161"/>
      <c r="ZJ13" s="161"/>
      <c r="ZK13" s="161"/>
      <c r="ZL13" s="161"/>
      <c r="ZM13" s="161"/>
      <c r="ZN13" s="161"/>
      <c r="ZO13" s="161"/>
      <c r="ZP13" s="161"/>
      <c r="ZQ13" s="161"/>
      <c r="ZR13" s="161"/>
      <c r="ZS13" s="161"/>
      <c r="ZT13" s="161"/>
      <c r="ZU13" s="161"/>
      <c r="ZV13" s="161"/>
      <c r="ZW13" s="161"/>
      <c r="ZX13" s="161"/>
      <c r="ZY13" s="161"/>
      <c r="ZZ13" s="161"/>
      <c r="AAA13" s="161"/>
      <c r="AAB13" s="161"/>
      <c r="AAC13" s="161"/>
      <c r="AAD13" s="161"/>
      <c r="AAE13" s="161"/>
      <c r="AAF13" s="161"/>
      <c r="AAG13" s="161"/>
      <c r="AAH13" s="161"/>
      <c r="AAI13" s="161"/>
      <c r="AAJ13" s="161"/>
      <c r="AAK13" s="161"/>
      <c r="AAL13" s="161"/>
      <c r="AAM13" s="161"/>
      <c r="AAN13" s="161"/>
      <c r="AAO13" s="161"/>
      <c r="AAP13" s="161"/>
      <c r="AAQ13" s="161"/>
      <c r="AAR13" s="161"/>
      <c r="AAS13" s="161"/>
      <c r="AAT13" s="161"/>
      <c r="AAU13" s="161"/>
      <c r="AAV13" s="161"/>
      <c r="AAW13" s="161"/>
      <c r="AAX13" s="161"/>
      <c r="AAY13" s="161"/>
      <c r="AAZ13" s="161"/>
      <c r="ABA13" s="161"/>
      <c r="ABB13" s="161"/>
      <c r="ABC13" s="161"/>
      <c r="ABD13" s="161"/>
      <c r="ABE13" s="161"/>
      <c r="ABF13" s="161"/>
      <c r="ABG13" s="161"/>
      <c r="ABH13" s="161"/>
      <c r="ABI13" s="161"/>
      <c r="ABJ13" s="161"/>
      <c r="ABK13" s="161"/>
      <c r="ABL13" s="161"/>
      <c r="ABM13" s="161"/>
      <c r="ABN13" s="161"/>
      <c r="ABO13" s="161"/>
      <c r="ABP13" s="161"/>
      <c r="ABQ13" s="161"/>
      <c r="ABR13" s="161"/>
      <c r="ABS13" s="161"/>
      <c r="ABT13" s="161"/>
      <c r="ABU13" s="161"/>
      <c r="ABV13" s="161"/>
      <c r="ABW13" s="161"/>
      <c r="ABX13" s="161"/>
      <c r="ABY13" s="161"/>
      <c r="ABZ13" s="161"/>
      <c r="ACA13" s="161"/>
      <c r="ACB13" s="161"/>
      <c r="ACC13" s="161"/>
      <c r="ACD13" s="161"/>
      <c r="ACE13" s="161"/>
      <c r="ACF13" s="161"/>
      <c r="ACG13" s="161"/>
      <c r="ACH13" s="161"/>
      <c r="ACI13" s="161"/>
      <c r="ACJ13" s="161"/>
      <c r="ACK13" s="161"/>
      <c r="ACL13" s="161"/>
      <c r="ACM13" s="161"/>
      <c r="ACN13" s="161"/>
      <c r="ACO13" s="161"/>
      <c r="ACP13" s="161"/>
      <c r="ACQ13" s="161"/>
      <c r="ACR13" s="161"/>
      <c r="ACS13" s="161"/>
      <c r="ACT13" s="161"/>
      <c r="ACU13" s="161"/>
      <c r="ACV13" s="161"/>
      <c r="ACW13" s="161"/>
      <c r="ACX13" s="161"/>
      <c r="ACY13" s="161"/>
      <c r="ACZ13" s="161"/>
      <c r="ADA13" s="161"/>
      <c r="ADB13" s="161"/>
      <c r="ADC13" s="161"/>
      <c r="ADD13" s="161"/>
      <c r="ADE13" s="161"/>
      <c r="ADF13" s="161"/>
      <c r="ADG13" s="161"/>
      <c r="ADH13" s="161"/>
      <c r="ADI13" s="161"/>
      <c r="ADJ13" s="161"/>
      <c r="ADK13" s="161"/>
      <c r="ADL13" s="161"/>
      <c r="ADM13" s="161"/>
      <c r="ADN13" s="161"/>
      <c r="ADO13" s="161"/>
      <c r="ADP13" s="161"/>
      <c r="ADQ13" s="161"/>
      <c r="ADR13" s="161"/>
      <c r="ADS13" s="161"/>
      <c r="ADT13" s="161"/>
      <c r="ADU13" s="161"/>
      <c r="ADV13" s="161"/>
      <c r="ADW13" s="161"/>
      <c r="ADX13" s="161"/>
      <c r="ADY13" s="161"/>
      <c r="ADZ13" s="161"/>
      <c r="AEA13" s="161"/>
      <c r="AEB13" s="161"/>
      <c r="AEC13" s="161"/>
      <c r="AED13" s="161"/>
      <c r="AEE13" s="161"/>
      <c r="AEF13" s="161"/>
      <c r="AEG13" s="161"/>
      <c r="AEH13" s="161"/>
      <c r="AEI13" s="161"/>
      <c r="AEJ13" s="161"/>
      <c r="AEK13" s="161"/>
      <c r="AEL13" s="161"/>
      <c r="AEM13" s="161"/>
      <c r="AEN13" s="161"/>
      <c r="AEO13" s="161"/>
      <c r="AEP13" s="161"/>
      <c r="AEQ13" s="161"/>
      <c r="AER13" s="161"/>
      <c r="AES13" s="161"/>
      <c r="AET13" s="161"/>
      <c r="AEU13" s="161"/>
      <c r="AEV13" s="161"/>
      <c r="AEW13" s="161"/>
      <c r="AEX13" s="161"/>
      <c r="AEY13" s="161"/>
      <c r="AEZ13" s="161"/>
      <c r="AFA13" s="161"/>
      <c r="AFB13" s="161"/>
      <c r="AFC13" s="161"/>
      <c r="AFD13" s="161"/>
      <c r="AFE13" s="161"/>
      <c r="AFF13" s="161"/>
      <c r="AFG13" s="161"/>
      <c r="AFH13" s="161"/>
      <c r="AFI13" s="161"/>
      <c r="AFJ13" s="161"/>
      <c r="AFK13" s="161"/>
      <c r="AFL13" s="161"/>
      <c r="AFM13" s="161"/>
      <c r="AFN13" s="161"/>
      <c r="AFO13" s="161"/>
      <c r="AFP13" s="161"/>
      <c r="AFQ13" s="161"/>
      <c r="AFR13" s="161"/>
      <c r="AFS13" s="161"/>
      <c r="AFT13" s="161"/>
      <c r="AFU13" s="161"/>
      <c r="AFV13" s="161"/>
      <c r="AFW13" s="161"/>
      <c r="AFX13" s="161"/>
      <c r="AFY13" s="161"/>
      <c r="AFZ13" s="161"/>
      <c r="AGA13" s="161"/>
      <c r="AGB13" s="161"/>
      <c r="AGC13" s="161"/>
      <c r="AGD13" s="161"/>
      <c r="AGE13" s="161"/>
      <c r="AGF13" s="161"/>
      <c r="AGG13" s="161"/>
      <c r="AGH13" s="161"/>
      <c r="AGI13" s="161"/>
      <c r="AGJ13" s="161"/>
      <c r="AGK13" s="161"/>
      <c r="AGL13" s="161"/>
      <c r="AGM13" s="161"/>
      <c r="AGN13" s="161"/>
      <c r="AGO13" s="161"/>
      <c r="AGP13" s="161"/>
      <c r="AGQ13" s="161"/>
      <c r="AGR13" s="161"/>
      <c r="AGS13" s="161"/>
      <c r="AGT13" s="161"/>
      <c r="AGU13" s="161"/>
      <c r="AGV13" s="161"/>
      <c r="AGW13" s="161"/>
      <c r="AGX13" s="161"/>
      <c r="AGY13" s="161"/>
      <c r="AGZ13" s="161"/>
      <c r="AHA13" s="161"/>
      <c r="AHB13" s="161"/>
      <c r="AHC13" s="161"/>
      <c r="AHD13" s="161"/>
      <c r="AHE13" s="161"/>
      <c r="AHF13" s="161"/>
      <c r="AHG13" s="161"/>
      <c r="AHH13" s="161"/>
      <c r="AHI13" s="161"/>
      <c r="AHJ13" s="161"/>
      <c r="AHK13" s="161"/>
      <c r="AHL13" s="161"/>
      <c r="AHM13" s="161"/>
      <c r="AHN13" s="161"/>
      <c r="AHO13" s="161"/>
      <c r="AHP13" s="161"/>
      <c r="AHQ13" s="161"/>
      <c r="AHR13" s="161"/>
      <c r="AHS13" s="161"/>
      <c r="AHT13" s="161"/>
      <c r="AHU13" s="161"/>
      <c r="AHV13" s="161"/>
      <c r="AHW13" s="161"/>
      <c r="AHX13" s="161"/>
      <c r="AHY13" s="161"/>
      <c r="AHZ13" s="161"/>
      <c r="AIA13" s="161"/>
      <c r="AIB13" s="161"/>
      <c r="AIC13" s="161"/>
      <c r="AID13" s="161"/>
      <c r="AIE13" s="161"/>
      <c r="AIF13" s="161"/>
    </row>
    <row r="14" spans="1:916" s="21" customFormat="1" ht="12.75">
      <c r="B14" s="309" t="s">
        <v>33</v>
      </c>
      <c r="C14" s="146" t="s">
        <v>376</v>
      </c>
      <c r="D14" s="174"/>
      <c r="E14" s="310"/>
      <c r="F14" s="144">
        <f>'SF Existing Weatherization {G}'!A$16</f>
        <v>35.395790652571499</v>
      </c>
      <c r="G14" s="304" t="s">
        <v>365</v>
      </c>
      <c r="H14" s="258">
        <f>'SF Existing Weatherization {G}'!A$10</f>
        <v>579208.07000000111</v>
      </c>
      <c r="I14" s="259">
        <f>'SF Existing Weatherization {G}'!A$8</f>
        <v>349374.63000000035</v>
      </c>
      <c r="J14" s="259">
        <f>'SF Existing Weatherization {G}'!A$12</f>
        <v>3863176.9499999988</v>
      </c>
      <c r="K14" s="259">
        <f>'SF Existing Weatherization {G}'!A$14</f>
        <v>10945684.200000003</v>
      </c>
      <c r="L14" s="259">
        <f>SUM('SF Existing Weatherization {G}'!Q$5:Q$1000)</f>
        <v>14808861.149999999</v>
      </c>
      <c r="M14" s="259"/>
      <c r="N14" s="260">
        <f>'SF Existing Weatherization {G}'!A$18</f>
        <v>4353413.6900000004</v>
      </c>
      <c r="O14" s="259">
        <f>'SF Existing Weatherization {G}'!A$20</f>
        <v>15158235.779999999</v>
      </c>
      <c r="P14" s="259">
        <f>SUM('SF Existing Weatherization {G}'!R$5:R$1000)</f>
        <v>165.88000000000005</v>
      </c>
      <c r="Q14" s="261">
        <f t="shared" si="0"/>
        <v>4069751.9771898664</v>
      </c>
      <c r="R14" s="261">
        <f t="shared" si="4"/>
        <v>14170548.546321396</v>
      </c>
      <c r="S14" s="259">
        <f>SUM('SF Existing Weatherization {G}'!AM$5:AM$1000)</f>
        <v>12633220.114345051</v>
      </c>
      <c r="T14" s="259">
        <f>SUM('SF Existing Weatherization {G}'!AD$5:AD$1000)</f>
        <v>447872.69132230809</v>
      </c>
      <c r="U14" s="133">
        <f t="shared" si="2"/>
        <v>3.1041744521906214</v>
      </c>
      <c r="V14" s="133">
        <f t="shared" si="3"/>
        <v>1.0122695511900706</v>
      </c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1"/>
      <c r="DA14" s="161"/>
      <c r="DB14" s="161"/>
      <c r="DC14" s="161"/>
      <c r="DD14" s="161"/>
      <c r="DE14" s="161"/>
      <c r="DF14" s="161"/>
      <c r="DG14" s="161"/>
      <c r="DH14" s="161"/>
      <c r="DI14" s="161"/>
      <c r="DJ14" s="161"/>
      <c r="DK14" s="161"/>
      <c r="DL14" s="161"/>
      <c r="DM14" s="161"/>
      <c r="DN14" s="161"/>
      <c r="DO14" s="161"/>
      <c r="DP14" s="161"/>
      <c r="DQ14" s="161"/>
      <c r="DR14" s="161"/>
      <c r="DS14" s="161"/>
      <c r="DT14" s="161"/>
      <c r="DU14" s="161"/>
      <c r="DV14" s="161"/>
      <c r="DW14" s="161"/>
      <c r="DX14" s="161"/>
      <c r="DY14" s="161"/>
      <c r="DZ14" s="161"/>
      <c r="EA14" s="161"/>
      <c r="EB14" s="161"/>
      <c r="EC14" s="161"/>
      <c r="ED14" s="161"/>
      <c r="EE14" s="161"/>
      <c r="EF14" s="161"/>
      <c r="EG14" s="161"/>
      <c r="EH14" s="161"/>
      <c r="EI14" s="161"/>
      <c r="EJ14" s="161"/>
      <c r="EK14" s="161"/>
      <c r="EL14" s="161"/>
      <c r="EM14" s="161"/>
      <c r="EN14" s="161"/>
      <c r="EO14" s="161"/>
      <c r="EP14" s="161"/>
      <c r="EQ14" s="161"/>
      <c r="ER14" s="161"/>
      <c r="ES14" s="161"/>
      <c r="ET14" s="161"/>
      <c r="EU14" s="161"/>
      <c r="EV14" s="161"/>
      <c r="EW14" s="161"/>
      <c r="EX14" s="161"/>
      <c r="EY14" s="161"/>
      <c r="EZ14" s="161"/>
      <c r="FA14" s="161"/>
      <c r="FB14" s="161"/>
      <c r="FC14" s="161"/>
      <c r="FD14" s="161"/>
      <c r="FE14" s="161"/>
      <c r="FF14" s="161"/>
      <c r="FG14" s="161"/>
      <c r="FH14" s="161"/>
      <c r="FI14" s="161"/>
      <c r="FJ14" s="161"/>
      <c r="FK14" s="161"/>
      <c r="FL14" s="161"/>
      <c r="FM14" s="161"/>
      <c r="FN14" s="161"/>
      <c r="FO14" s="161"/>
      <c r="FP14" s="161"/>
      <c r="FQ14" s="161"/>
      <c r="FR14" s="161"/>
      <c r="FS14" s="161"/>
      <c r="FT14" s="161"/>
      <c r="FU14" s="161"/>
      <c r="FV14" s="161"/>
      <c r="FW14" s="161"/>
      <c r="FX14" s="161"/>
      <c r="FY14" s="161"/>
      <c r="FZ14" s="161"/>
      <c r="GA14" s="161"/>
      <c r="GB14" s="161"/>
      <c r="GC14" s="161"/>
      <c r="GD14" s="161"/>
      <c r="GE14" s="161"/>
      <c r="GF14" s="161"/>
      <c r="GG14" s="161"/>
      <c r="GH14" s="161"/>
      <c r="GI14" s="161"/>
      <c r="GJ14" s="161"/>
      <c r="GK14" s="161"/>
      <c r="GL14" s="161"/>
      <c r="GM14" s="161"/>
      <c r="GN14" s="161"/>
      <c r="GO14" s="161"/>
      <c r="GP14" s="161"/>
      <c r="GQ14" s="161"/>
      <c r="GR14" s="161"/>
      <c r="GS14" s="161"/>
      <c r="GT14" s="161"/>
      <c r="GU14" s="161"/>
      <c r="GV14" s="161"/>
      <c r="GW14" s="161"/>
      <c r="GX14" s="161"/>
      <c r="GY14" s="161"/>
      <c r="GZ14" s="161"/>
      <c r="HA14" s="161"/>
      <c r="HB14" s="161"/>
      <c r="HC14" s="161"/>
      <c r="HD14" s="161"/>
      <c r="HE14" s="161"/>
      <c r="HF14" s="161"/>
      <c r="HG14" s="161"/>
      <c r="HH14" s="161"/>
      <c r="HI14" s="161"/>
      <c r="HJ14" s="161"/>
      <c r="HK14" s="161"/>
      <c r="HL14" s="161"/>
      <c r="HM14" s="161"/>
      <c r="HN14" s="161"/>
      <c r="HO14" s="161"/>
      <c r="HP14" s="161"/>
      <c r="HQ14" s="161"/>
      <c r="HR14" s="161"/>
      <c r="HS14" s="161"/>
      <c r="HT14" s="161"/>
      <c r="HU14" s="161"/>
      <c r="HV14" s="161"/>
      <c r="HW14" s="161"/>
      <c r="HX14" s="161"/>
      <c r="HY14" s="161"/>
      <c r="HZ14" s="161"/>
      <c r="IA14" s="161"/>
      <c r="IB14" s="161"/>
      <c r="IC14" s="161"/>
      <c r="ID14" s="161"/>
      <c r="IE14" s="161"/>
      <c r="IF14" s="161"/>
      <c r="IG14" s="161"/>
      <c r="IH14" s="161"/>
      <c r="II14" s="161"/>
      <c r="IJ14" s="161"/>
      <c r="IK14" s="161"/>
      <c r="IL14" s="161"/>
      <c r="IM14" s="161"/>
      <c r="IN14" s="161"/>
      <c r="IO14" s="161"/>
      <c r="IP14" s="161"/>
      <c r="IQ14" s="161"/>
      <c r="IR14" s="161"/>
      <c r="IS14" s="161"/>
      <c r="IT14" s="161"/>
      <c r="IU14" s="161"/>
      <c r="IV14" s="161"/>
      <c r="IW14" s="161"/>
      <c r="IX14" s="161"/>
      <c r="IY14" s="161"/>
      <c r="IZ14" s="161"/>
      <c r="JA14" s="161"/>
      <c r="JB14" s="161"/>
      <c r="JC14" s="161"/>
      <c r="JD14" s="161"/>
      <c r="JE14" s="161"/>
      <c r="JF14" s="161"/>
      <c r="JG14" s="161"/>
      <c r="JH14" s="161"/>
      <c r="JI14" s="161"/>
      <c r="JJ14" s="161"/>
      <c r="JK14" s="161"/>
      <c r="JL14" s="161"/>
      <c r="JM14" s="161"/>
      <c r="JN14" s="161"/>
      <c r="JO14" s="161"/>
      <c r="JP14" s="161"/>
      <c r="JQ14" s="161"/>
      <c r="JR14" s="161"/>
      <c r="JS14" s="161"/>
      <c r="JT14" s="161"/>
      <c r="JU14" s="161"/>
      <c r="JV14" s="161"/>
      <c r="JW14" s="161"/>
      <c r="JX14" s="161"/>
      <c r="JY14" s="161"/>
      <c r="JZ14" s="161"/>
      <c r="KA14" s="161"/>
      <c r="KB14" s="161"/>
      <c r="KC14" s="161"/>
      <c r="KD14" s="161"/>
      <c r="KE14" s="161"/>
      <c r="KF14" s="161"/>
      <c r="KG14" s="161"/>
      <c r="KH14" s="161"/>
      <c r="KI14" s="161"/>
      <c r="KJ14" s="161"/>
      <c r="KK14" s="161"/>
      <c r="KL14" s="161"/>
      <c r="KM14" s="161"/>
      <c r="KN14" s="161"/>
      <c r="KO14" s="161"/>
      <c r="KP14" s="161"/>
      <c r="KQ14" s="161"/>
      <c r="KR14" s="161"/>
      <c r="KS14" s="161"/>
      <c r="KT14" s="161"/>
      <c r="KU14" s="161"/>
      <c r="KV14" s="161"/>
      <c r="KW14" s="161"/>
      <c r="KX14" s="161"/>
      <c r="KY14" s="161"/>
      <c r="KZ14" s="161"/>
      <c r="LA14" s="161"/>
      <c r="LB14" s="161"/>
      <c r="LC14" s="161"/>
      <c r="LD14" s="161"/>
      <c r="LE14" s="161"/>
      <c r="LF14" s="161"/>
      <c r="LG14" s="161"/>
      <c r="LH14" s="161"/>
      <c r="LI14" s="161"/>
      <c r="LJ14" s="161"/>
      <c r="LK14" s="161"/>
      <c r="LL14" s="161"/>
      <c r="LM14" s="161"/>
      <c r="LN14" s="161"/>
      <c r="LO14" s="161"/>
      <c r="LP14" s="161"/>
      <c r="LQ14" s="161"/>
      <c r="LR14" s="161"/>
      <c r="LS14" s="161"/>
      <c r="LT14" s="161"/>
      <c r="LU14" s="161"/>
      <c r="LV14" s="161"/>
      <c r="LW14" s="161"/>
      <c r="LX14" s="161"/>
      <c r="LY14" s="161"/>
      <c r="LZ14" s="161"/>
      <c r="MA14" s="161"/>
      <c r="MB14" s="161"/>
      <c r="MC14" s="161"/>
      <c r="MD14" s="161"/>
      <c r="ME14" s="161"/>
      <c r="MF14" s="161"/>
      <c r="MG14" s="161"/>
      <c r="MH14" s="161"/>
      <c r="MI14" s="161"/>
      <c r="MJ14" s="161"/>
      <c r="MK14" s="161"/>
      <c r="ML14" s="161"/>
      <c r="MM14" s="161"/>
      <c r="MN14" s="161"/>
      <c r="MO14" s="161"/>
      <c r="MP14" s="161"/>
      <c r="MQ14" s="161"/>
      <c r="MR14" s="161"/>
      <c r="MS14" s="161"/>
      <c r="MT14" s="161"/>
      <c r="MU14" s="161"/>
      <c r="MV14" s="161"/>
      <c r="MW14" s="161"/>
      <c r="MX14" s="161"/>
      <c r="MY14" s="161"/>
      <c r="MZ14" s="161"/>
      <c r="NA14" s="161"/>
      <c r="NB14" s="161"/>
      <c r="NC14" s="161"/>
      <c r="ND14" s="161"/>
      <c r="NE14" s="161"/>
      <c r="NF14" s="161"/>
      <c r="NG14" s="161"/>
      <c r="NH14" s="161"/>
      <c r="NI14" s="161"/>
      <c r="NJ14" s="161"/>
      <c r="NK14" s="161"/>
      <c r="NL14" s="161"/>
      <c r="NM14" s="161"/>
      <c r="NN14" s="161"/>
      <c r="NO14" s="161"/>
      <c r="NP14" s="161"/>
      <c r="NQ14" s="161"/>
      <c r="NR14" s="161"/>
      <c r="NS14" s="161"/>
      <c r="NT14" s="161"/>
      <c r="NU14" s="161"/>
      <c r="NV14" s="161"/>
      <c r="NW14" s="161"/>
      <c r="NX14" s="161"/>
      <c r="NY14" s="161"/>
      <c r="NZ14" s="161"/>
      <c r="OA14" s="161"/>
      <c r="OB14" s="161"/>
      <c r="OC14" s="161"/>
      <c r="OD14" s="161"/>
      <c r="OE14" s="161"/>
      <c r="OF14" s="161"/>
      <c r="OG14" s="161"/>
      <c r="OH14" s="161"/>
      <c r="OI14" s="161"/>
      <c r="OJ14" s="161"/>
      <c r="OK14" s="161"/>
      <c r="OL14" s="161"/>
      <c r="OM14" s="161"/>
      <c r="ON14" s="161"/>
      <c r="OO14" s="161"/>
      <c r="OP14" s="161"/>
      <c r="OQ14" s="161"/>
      <c r="OR14" s="161"/>
      <c r="OS14" s="161"/>
      <c r="OT14" s="161"/>
      <c r="OU14" s="161"/>
      <c r="OV14" s="161"/>
      <c r="OW14" s="161"/>
      <c r="OX14" s="161"/>
      <c r="OY14" s="161"/>
      <c r="OZ14" s="161"/>
      <c r="PA14" s="161"/>
      <c r="PB14" s="161"/>
      <c r="PC14" s="161"/>
      <c r="PD14" s="161"/>
      <c r="PE14" s="161"/>
      <c r="PF14" s="161"/>
      <c r="PG14" s="161"/>
      <c r="PH14" s="161"/>
      <c r="PI14" s="161"/>
      <c r="PJ14" s="161"/>
      <c r="PK14" s="161"/>
      <c r="PL14" s="161"/>
      <c r="PM14" s="161"/>
      <c r="PN14" s="161"/>
      <c r="PO14" s="161"/>
      <c r="PP14" s="161"/>
      <c r="PQ14" s="161"/>
      <c r="PR14" s="161"/>
      <c r="PS14" s="161"/>
      <c r="PT14" s="161"/>
      <c r="PU14" s="161"/>
      <c r="PV14" s="161"/>
      <c r="PW14" s="161"/>
      <c r="PX14" s="161"/>
      <c r="PY14" s="161"/>
      <c r="PZ14" s="161"/>
      <c r="QA14" s="161"/>
      <c r="QB14" s="161"/>
      <c r="QC14" s="161"/>
      <c r="QD14" s="161"/>
      <c r="QE14" s="161"/>
      <c r="QF14" s="161"/>
      <c r="QG14" s="161"/>
      <c r="QH14" s="161"/>
      <c r="QI14" s="161"/>
      <c r="QJ14" s="161"/>
      <c r="QK14" s="161"/>
      <c r="QL14" s="161"/>
      <c r="QM14" s="161"/>
      <c r="QN14" s="161"/>
      <c r="QO14" s="161"/>
      <c r="QP14" s="161"/>
      <c r="QQ14" s="161"/>
      <c r="QR14" s="161"/>
      <c r="QS14" s="161"/>
      <c r="QT14" s="161"/>
      <c r="QU14" s="161"/>
      <c r="QV14" s="161"/>
      <c r="QW14" s="161"/>
      <c r="QX14" s="161"/>
      <c r="QY14" s="161"/>
      <c r="QZ14" s="161"/>
      <c r="RA14" s="161"/>
      <c r="RB14" s="161"/>
      <c r="RC14" s="161"/>
      <c r="RD14" s="161"/>
      <c r="RE14" s="161"/>
      <c r="RF14" s="161"/>
      <c r="RG14" s="161"/>
      <c r="RH14" s="161"/>
      <c r="RI14" s="161"/>
      <c r="RJ14" s="161"/>
      <c r="RK14" s="161"/>
      <c r="RL14" s="161"/>
      <c r="RM14" s="161"/>
      <c r="RN14" s="161"/>
      <c r="RO14" s="161"/>
      <c r="RP14" s="161"/>
      <c r="RQ14" s="161"/>
      <c r="RR14" s="161"/>
      <c r="RS14" s="161"/>
      <c r="RT14" s="161"/>
      <c r="RU14" s="161"/>
      <c r="RV14" s="161"/>
      <c r="RW14" s="161"/>
      <c r="RX14" s="161"/>
      <c r="RY14" s="161"/>
      <c r="RZ14" s="161"/>
      <c r="SA14" s="161"/>
      <c r="SB14" s="161"/>
      <c r="SC14" s="161"/>
      <c r="SD14" s="161"/>
      <c r="SE14" s="161"/>
      <c r="SF14" s="161"/>
      <c r="SG14" s="161"/>
      <c r="SH14" s="161"/>
      <c r="SI14" s="161"/>
      <c r="SJ14" s="161"/>
      <c r="SK14" s="161"/>
      <c r="SL14" s="161"/>
      <c r="SM14" s="161"/>
      <c r="SN14" s="161"/>
      <c r="SO14" s="161"/>
      <c r="SP14" s="161"/>
      <c r="SQ14" s="161"/>
      <c r="SR14" s="161"/>
      <c r="SS14" s="161"/>
      <c r="ST14" s="161"/>
      <c r="SU14" s="161"/>
      <c r="SV14" s="161"/>
      <c r="SW14" s="161"/>
      <c r="SX14" s="161"/>
      <c r="SY14" s="161"/>
      <c r="SZ14" s="161"/>
      <c r="TA14" s="161"/>
      <c r="TB14" s="161"/>
      <c r="TC14" s="161"/>
      <c r="TD14" s="161"/>
      <c r="TE14" s="161"/>
      <c r="TF14" s="161"/>
      <c r="TG14" s="161"/>
      <c r="TH14" s="161"/>
      <c r="TI14" s="161"/>
      <c r="TJ14" s="161"/>
      <c r="TK14" s="161"/>
      <c r="TL14" s="161"/>
      <c r="TM14" s="161"/>
      <c r="TN14" s="161"/>
      <c r="TO14" s="161"/>
      <c r="TP14" s="161"/>
      <c r="TQ14" s="161"/>
      <c r="TR14" s="161"/>
      <c r="TS14" s="161"/>
      <c r="TT14" s="161"/>
      <c r="TU14" s="161"/>
      <c r="TV14" s="161"/>
      <c r="TW14" s="161"/>
      <c r="TX14" s="161"/>
      <c r="TY14" s="161"/>
      <c r="TZ14" s="161"/>
      <c r="UA14" s="161"/>
      <c r="UB14" s="161"/>
      <c r="UC14" s="161"/>
      <c r="UD14" s="161"/>
      <c r="UE14" s="161"/>
      <c r="UF14" s="161"/>
      <c r="UG14" s="161"/>
      <c r="UH14" s="161"/>
      <c r="UI14" s="161"/>
      <c r="UJ14" s="161"/>
      <c r="UK14" s="161"/>
      <c r="UL14" s="161"/>
      <c r="UM14" s="161"/>
      <c r="UN14" s="161"/>
      <c r="UO14" s="161"/>
      <c r="UP14" s="161"/>
      <c r="UQ14" s="161"/>
      <c r="UR14" s="161"/>
      <c r="US14" s="161"/>
      <c r="UT14" s="161"/>
      <c r="UU14" s="161"/>
      <c r="UV14" s="161"/>
      <c r="UW14" s="161"/>
      <c r="UX14" s="161"/>
      <c r="UY14" s="161"/>
      <c r="UZ14" s="161"/>
      <c r="VA14" s="161"/>
      <c r="VB14" s="161"/>
      <c r="VC14" s="161"/>
      <c r="VD14" s="161"/>
      <c r="VE14" s="161"/>
      <c r="VF14" s="161"/>
      <c r="VG14" s="161"/>
      <c r="VH14" s="161"/>
      <c r="VI14" s="161"/>
      <c r="VJ14" s="161"/>
      <c r="VK14" s="161"/>
      <c r="VL14" s="161"/>
      <c r="VM14" s="161"/>
      <c r="VN14" s="161"/>
      <c r="VO14" s="161"/>
      <c r="VP14" s="161"/>
      <c r="VQ14" s="161"/>
      <c r="VR14" s="161"/>
      <c r="VS14" s="161"/>
      <c r="VT14" s="161"/>
      <c r="VU14" s="161"/>
      <c r="VV14" s="161"/>
      <c r="VW14" s="161"/>
      <c r="VX14" s="161"/>
      <c r="VY14" s="161"/>
      <c r="VZ14" s="161"/>
      <c r="WA14" s="161"/>
      <c r="WB14" s="161"/>
      <c r="WC14" s="161"/>
      <c r="WD14" s="161"/>
      <c r="WE14" s="161"/>
      <c r="WF14" s="161"/>
      <c r="WG14" s="161"/>
      <c r="WH14" s="161"/>
      <c r="WI14" s="161"/>
      <c r="WJ14" s="161"/>
      <c r="WK14" s="161"/>
      <c r="WL14" s="161"/>
      <c r="WM14" s="161"/>
      <c r="WN14" s="161"/>
      <c r="WO14" s="161"/>
      <c r="WP14" s="161"/>
      <c r="WQ14" s="161"/>
      <c r="WR14" s="161"/>
      <c r="WS14" s="161"/>
      <c r="WT14" s="161"/>
      <c r="WU14" s="161"/>
      <c r="WV14" s="161"/>
      <c r="WW14" s="161"/>
      <c r="WX14" s="161"/>
      <c r="WY14" s="161"/>
      <c r="WZ14" s="161"/>
      <c r="XA14" s="161"/>
      <c r="XB14" s="161"/>
      <c r="XC14" s="161"/>
      <c r="XD14" s="161"/>
      <c r="XE14" s="161"/>
      <c r="XF14" s="161"/>
      <c r="XG14" s="161"/>
      <c r="XH14" s="161"/>
      <c r="XI14" s="161"/>
      <c r="XJ14" s="161"/>
      <c r="XK14" s="161"/>
      <c r="XL14" s="161"/>
      <c r="XM14" s="161"/>
      <c r="XN14" s="161"/>
      <c r="XO14" s="161"/>
      <c r="XP14" s="161"/>
      <c r="XQ14" s="161"/>
      <c r="XR14" s="161"/>
      <c r="XS14" s="161"/>
      <c r="XT14" s="161"/>
      <c r="XU14" s="161"/>
      <c r="XV14" s="161"/>
      <c r="XW14" s="161"/>
      <c r="XX14" s="161"/>
      <c r="XY14" s="161"/>
      <c r="XZ14" s="161"/>
      <c r="YA14" s="161"/>
      <c r="YB14" s="161"/>
      <c r="YC14" s="161"/>
      <c r="YD14" s="161"/>
      <c r="YE14" s="161"/>
      <c r="YF14" s="161"/>
      <c r="YG14" s="161"/>
      <c r="YH14" s="161"/>
      <c r="YI14" s="161"/>
      <c r="YJ14" s="161"/>
      <c r="YK14" s="161"/>
      <c r="YL14" s="161"/>
      <c r="YM14" s="161"/>
      <c r="YN14" s="161"/>
      <c r="YO14" s="161"/>
      <c r="YP14" s="161"/>
      <c r="YQ14" s="161"/>
      <c r="YR14" s="161"/>
      <c r="YS14" s="161"/>
      <c r="YT14" s="161"/>
      <c r="YU14" s="161"/>
      <c r="YV14" s="161"/>
      <c r="YW14" s="161"/>
      <c r="YX14" s="161"/>
      <c r="YY14" s="161"/>
      <c r="YZ14" s="161"/>
      <c r="ZA14" s="161"/>
      <c r="ZB14" s="161"/>
      <c r="ZC14" s="161"/>
      <c r="ZD14" s="161"/>
      <c r="ZE14" s="161"/>
      <c r="ZF14" s="161"/>
      <c r="ZG14" s="161"/>
      <c r="ZH14" s="161"/>
      <c r="ZI14" s="161"/>
      <c r="ZJ14" s="161"/>
      <c r="ZK14" s="161"/>
      <c r="ZL14" s="161"/>
      <c r="ZM14" s="161"/>
      <c r="ZN14" s="161"/>
      <c r="ZO14" s="161"/>
      <c r="ZP14" s="161"/>
      <c r="ZQ14" s="161"/>
      <c r="ZR14" s="161"/>
      <c r="ZS14" s="161"/>
      <c r="ZT14" s="161"/>
      <c r="ZU14" s="161"/>
      <c r="ZV14" s="161"/>
      <c r="ZW14" s="161"/>
      <c r="ZX14" s="161"/>
      <c r="ZY14" s="161"/>
      <c r="ZZ14" s="161"/>
      <c r="AAA14" s="161"/>
      <c r="AAB14" s="161"/>
      <c r="AAC14" s="161"/>
      <c r="AAD14" s="161"/>
      <c r="AAE14" s="161"/>
      <c r="AAF14" s="161"/>
      <c r="AAG14" s="161"/>
      <c r="AAH14" s="161"/>
      <c r="AAI14" s="161"/>
      <c r="AAJ14" s="161"/>
      <c r="AAK14" s="161"/>
      <c r="AAL14" s="161"/>
      <c r="AAM14" s="161"/>
      <c r="AAN14" s="161"/>
      <c r="AAO14" s="161"/>
      <c r="AAP14" s="161"/>
      <c r="AAQ14" s="161"/>
      <c r="AAR14" s="161"/>
      <c r="AAS14" s="161"/>
      <c r="AAT14" s="161"/>
      <c r="AAU14" s="161"/>
      <c r="AAV14" s="161"/>
      <c r="AAW14" s="161"/>
      <c r="AAX14" s="161"/>
      <c r="AAY14" s="161"/>
      <c r="AAZ14" s="161"/>
      <c r="ABA14" s="161"/>
      <c r="ABB14" s="161"/>
      <c r="ABC14" s="161"/>
      <c r="ABD14" s="161"/>
      <c r="ABE14" s="161"/>
      <c r="ABF14" s="161"/>
      <c r="ABG14" s="161"/>
      <c r="ABH14" s="161"/>
      <c r="ABI14" s="161"/>
      <c r="ABJ14" s="161"/>
      <c r="ABK14" s="161"/>
      <c r="ABL14" s="161"/>
      <c r="ABM14" s="161"/>
      <c r="ABN14" s="161"/>
      <c r="ABO14" s="161"/>
      <c r="ABP14" s="161"/>
      <c r="ABQ14" s="161"/>
      <c r="ABR14" s="161"/>
      <c r="ABS14" s="161"/>
      <c r="ABT14" s="161"/>
      <c r="ABU14" s="161"/>
      <c r="ABV14" s="161"/>
      <c r="ABW14" s="161"/>
      <c r="ABX14" s="161"/>
      <c r="ABY14" s="161"/>
      <c r="ABZ14" s="161"/>
      <c r="ACA14" s="161"/>
      <c r="ACB14" s="161"/>
      <c r="ACC14" s="161"/>
      <c r="ACD14" s="161"/>
      <c r="ACE14" s="161"/>
      <c r="ACF14" s="161"/>
      <c r="ACG14" s="161"/>
      <c r="ACH14" s="161"/>
      <c r="ACI14" s="161"/>
      <c r="ACJ14" s="161"/>
      <c r="ACK14" s="161"/>
      <c r="ACL14" s="161"/>
      <c r="ACM14" s="161"/>
      <c r="ACN14" s="161"/>
      <c r="ACO14" s="161"/>
      <c r="ACP14" s="161"/>
      <c r="ACQ14" s="161"/>
      <c r="ACR14" s="161"/>
      <c r="ACS14" s="161"/>
      <c r="ACT14" s="161"/>
      <c r="ACU14" s="161"/>
      <c r="ACV14" s="161"/>
      <c r="ACW14" s="161"/>
      <c r="ACX14" s="161"/>
      <c r="ACY14" s="161"/>
      <c r="ACZ14" s="161"/>
      <c r="ADA14" s="161"/>
      <c r="ADB14" s="161"/>
      <c r="ADC14" s="161"/>
      <c r="ADD14" s="161"/>
      <c r="ADE14" s="161"/>
      <c r="ADF14" s="161"/>
      <c r="ADG14" s="161"/>
      <c r="ADH14" s="161"/>
      <c r="ADI14" s="161"/>
      <c r="ADJ14" s="161"/>
      <c r="ADK14" s="161"/>
      <c r="ADL14" s="161"/>
      <c r="ADM14" s="161"/>
      <c r="ADN14" s="161"/>
      <c r="ADO14" s="161"/>
      <c r="ADP14" s="161"/>
      <c r="ADQ14" s="161"/>
      <c r="ADR14" s="161"/>
      <c r="ADS14" s="161"/>
      <c r="ADT14" s="161"/>
      <c r="ADU14" s="161"/>
      <c r="ADV14" s="161"/>
      <c r="ADW14" s="161"/>
      <c r="ADX14" s="161"/>
      <c r="ADY14" s="161"/>
      <c r="ADZ14" s="161"/>
      <c r="AEA14" s="161"/>
      <c r="AEB14" s="161"/>
      <c r="AEC14" s="161"/>
      <c r="AED14" s="161"/>
      <c r="AEE14" s="161"/>
      <c r="AEF14" s="161"/>
      <c r="AEG14" s="161"/>
      <c r="AEH14" s="161"/>
      <c r="AEI14" s="161"/>
      <c r="AEJ14" s="161"/>
      <c r="AEK14" s="161"/>
      <c r="AEL14" s="161"/>
      <c r="AEM14" s="161"/>
      <c r="AEN14" s="161"/>
      <c r="AEO14" s="161"/>
      <c r="AEP14" s="161"/>
      <c r="AEQ14" s="161"/>
      <c r="AER14" s="161"/>
      <c r="AES14" s="161"/>
      <c r="AET14" s="161"/>
      <c r="AEU14" s="161"/>
      <c r="AEV14" s="161"/>
      <c r="AEW14" s="161"/>
      <c r="AEX14" s="161"/>
      <c r="AEY14" s="161"/>
      <c r="AEZ14" s="161"/>
      <c r="AFA14" s="161"/>
      <c r="AFB14" s="161"/>
      <c r="AFC14" s="161"/>
      <c r="AFD14" s="161"/>
      <c r="AFE14" s="161"/>
      <c r="AFF14" s="161"/>
      <c r="AFG14" s="161"/>
      <c r="AFH14" s="161"/>
      <c r="AFI14" s="161"/>
      <c r="AFJ14" s="161"/>
      <c r="AFK14" s="161"/>
      <c r="AFL14" s="161"/>
      <c r="AFM14" s="161"/>
      <c r="AFN14" s="161"/>
      <c r="AFO14" s="161"/>
      <c r="AFP14" s="161"/>
      <c r="AFQ14" s="161"/>
      <c r="AFR14" s="161"/>
      <c r="AFS14" s="161"/>
      <c r="AFT14" s="161"/>
      <c r="AFU14" s="161"/>
      <c r="AFV14" s="161"/>
      <c r="AFW14" s="161"/>
      <c r="AFX14" s="161"/>
      <c r="AFY14" s="161"/>
      <c r="AFZ14" s="161"/>
      <c r="AGA14" s="161"/>
      <c r="AGB14" s="161"/>
      <c r="AGC14" s="161"/>
      <c r="AGD14" s="161"/>
      <c r="AGE14" s="161"/>
      <c r="AGF14" s="161"/>
      <c r="AGG14" s="161"/>
      <c r="AGH14" s="161"/>
      <c r="AGI14" s="161"/>
      <c r="AGJ14" s="161"/>
      <c r="AGK14" s="161"/>
      <c r="AGL14" s="161"/>
      <c r="AGM14" s="161"/>
      <c r="AGN14" s="161"/>
      <c r="AGO14" s="161"/>
      <c r="AGP14" s="161"/>
      <c r="AGQ14" s="161"/>
      <c r="AGR14" s="161"/>
      <c r="AGS14" s="161"/>
      <c r="AGT14" s="161"/>
      <c r="AGU14" s="161"/>
      <c r="AGV14" s="161"/>
      <c r="AGW14" s="161"/>
      <c r="AGX14" s="161"/>
      <c r="AGY14" s="161"/>
      <c r="AGZ14" s="161"/>
      <c r="AHA14" s="161"/>
      <c r="AHB14" s="161"/>
      <c r="AHC14" s="161"/>
      <c r="AHD14" s="161"/>
      <c r="AHE14" s="161"/>
      <c r="AHF14" s="161"/>
      <c r="AHG14" s="161"/>
      <c r="AHH14" s="161"/>
      <c r="AHI14" s="161"/>
      <c r="AHJ14" s="161"/>
      <c r="AHK14" s="161"/>
      <c r="AHL14" s="161"/>
      <c r="AHM14" s="161"/>
      <c r="AHN14" s="161"/>
      <c r="AHO14" s="161"/>
      <c r="AHP14" s="161"/>
      <c r="AHQ14" s="161"/>
      <c r="AHR14" s="161"/>
      <c r="AHS14" s="161"/>
      <c r="AHT14" s="161"/>
      <c r="AHU14" s="161"/>
      <c r="AHV14" s="161"/>
      <c r="AHW14" s="161"/>
      <c r="AHX14" s="161"/>
      <c r="AHY14" s="161"/>
      <c r="AHZ14" s="161"/>
      <c r="AIA14" s="161"/>
      <c r="AIB14" s="161"/>
      <c r="AIC14" s="161"/>
      <c r="AID14" s="161"/>
      <c r="AIE14" s="161"/>
      <c r="AIF14" s="161"/>
    </row>
    <row r="15" spans="1:916" s="21" customFormat="1" ht="12.75">
      <c r="B15" s="309" t="s">
        <v>33</v>
      </c>
      <c r="C15" s="146" t="s">
        <v>377</v>
      </c>
      <c r="D15" s="174"/>
      <c r="E15" s="310"/>
      <c r="F15" s="144">
        <f>'Home Energy Reports {G}'!A$16</f>
        <v>1.7407782949520498</v>
      </c>
      <c r="G15" s="304" t="s">
        <v>365</v>
      </c>
      <c r="H15" s="258">
        <f>'Home Energy Reports {G}'!A$10</f>
        <v>1220951</v>
      </c>
      <c r="I15" s="259">
        <f>'Home Energy Reports {G}'!A$8</f>
        <v>946123.68999999983</v>
      </c>
      <c r="J15" s="259">
        <f>'Home Energy Reports {G}'!A$12</f>
        <v>825727.5</v>
      </c>
      <c r="K15" s="259">
        <f>'Home Energy Reports {G}'!A$14</f>
        <v>0</v>
      </c>
      <c r="L15" s="259">
        <f>SUM('Home Energy Reports {G}'!Q$5:Q$1000)</f>
        <v>825727.5</v>
      </c>
      <c r="M15" s="259"/>
      <c r="N15" s="260">
        <f>'Home Energy Reports {G}'!A$18</f>
        <v>1841791.7599999998</v>
      </c>
      <c r="O15" s="259">
        <f>'Home Energy Reports {G}'!A$20</f>
        <v>1771851.19</v>
      </c>
      <c r="P15" s="259">
        <f>SUM('Home Energy Reports {G}'!R$5:R$1000)</f>
        <v>0</v>
      </c>
      <c r="Q15" s="261">
        <f t="shared" si="0"/>
        <v>1721783.4533046645</v>
      </c>
      <c r="R15" s="261">
        <f t="shared" si="4"/>
        <v>1656400.1028325697</v>
      </c>
      <c r="S15" s="259">
        <f>SUM('Home Energy Reports {G}'!AM$5:AM$1000)</f>
        <v>1423548.6976193287</v>
      </c>
      <c r="T15" s="259">
        <f>SUM('Home Energy Reports {G}'!AD$5:AD$1000)</f>
        <v>0</v>
      </c>
      <c r="U15" s="133">
        <f t="shared" si="2"/>
        <v>0.82678730294862235</v>
      </c>
      <c r="V15" s="133">
        <f t="shared" si="3"/>
        <v>0.94536553378827259</v>
      </c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1"/>
      <c r="BH15" s="161"/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1"/>
      <c r="CL15" s="161"/>
      <c r="CM15" s="161"/>
      <c r="CN15" s="161"/>
      <c r="CO15" s="161"/>
      <c r="CP15" s="161"/>
      <c r="CQ15" s="161"/>
      <c r="CR15" s="161"/>
      <c r="CS15" s="161"/>
      <c r="CT15" s="161"/>
      <c r="CU15" s="161"/>
      <c r="CV15" s="161"/>
      <c r="CW15" s="161"/>
      <c r="CX15" s="161"/>
      <c r="CY15" s="161"/>
      <c r="CZ15" s="161"/>
      <c r="DA15" s="161"/>
      <c r="DB15" s="161"/>
      <c r="DC15" s="161"/>
      <c r="DD15" s="161"/>
      <c r="DE15" s="161"/>
      <c r="DF15" s="161"/>
      <c r="DG15" s="161"/>
      <c r="DH15" s="161"/>
      <c r="DI15" s="161"/>
      <c r="DJ15" s="161"/>
      <c r="DK15" s="161"/>
      <c r="DL15" s="161"/>
      <c r="DM15" s="161"/>
      <c r="DN15" s="161"/>
      <c r="DO15" s="161"/>
      <c r="DP15" s="161"/>
      <c r="DQ15" s="161"/>
      <c r="DR15" s="161"/>
      <c r="DS15" s="161"/>
      <c r="DT15" s="161"/>
      <c r="DU15" s="161"/>
      <c r="DV15" s="161"/>
      <c r="DW15" s="161"/>
      <c r="DX15" s="161"/>
      <c r="DY15" s="161"/>
      <c r="DZ15" s="161"/>
      <c r="EA15" s="161"/>
      <c r="EB15" s="161"/>
      <c r="EC15" s="161"/>
      <c r="ED15" s="161"/>
      <c r="EE15" s="161"/>
      <c r="EF15" s="161"/>
      <c r="EG15" s="161"/>
      <c r="EH15" s="161"/>
      <c r="EI15" s="161"/>
      <c r="EJ15" s="161"/>
      <c r="EK15" s="161"/>
      <c r="EL15" s="161"/>
      <c r="EM15" s="161"/>
      <c r="EN15" s="161"/>
      <c r="EO15" s="161"/>
      <c r="EP15" s="161"/>
      <c r="EQ15" s="161"/>
      <c r="ER15" s="161"/>
      <c r="ES15" s="161"/>
      <c r="ET15" s="161"/>
      <c r="EU15" s="161"/>
      <c r="EV15" s="161"/>
      <c r="EW15" s="161"/>
      <c r="EX15" s="161"/>
      <c r="EY15" s="161"/>
      <c r="EZ15" s="161"/>
      <c r="FA15" s="161"/>
      <c r="FB15" s="161"/>
      <c r="FC15" s="161"/>
      <c r="FD15" s="161"/>
      <c r="FE15" s="161"/>
      <c r="FF15" s="161"/>
      <c r="FG15" s="161"/>
      <c r="FH15" s="161"/>
      <c r="FI15" s="161"/>
      <c r="FJ15" s="161"/>
      <c r="FK15" s="161"/>
      <c r="FL15" s="161"/>
      <c r="FM15" s="161"/>
      <c r="FN15" s="161"/>
      <c r="FO15" s="161"/>
      <c r="FP15" s="161"/>
      <c r="FQ15" s="161"/>
      <c r="FR15" s="161"/>
      <c r="FS15" s="161"/>
      <c r="FT15" s="161"/>
      <c r="FU15" s="161"/>
      <c r="FV15" s="161"/>
      <c r="FW15" s="161"/>
      <c r="FX15" s="161"/>
      <c r="FY15" s="161"/>
      <c r="FZ15" s="161"/>
      <c r="GA15" s="161"/>
      <c r="GB15" s="161"/>
      <c r="GC15" s="161"/>
      <c r="GD15" s="161"/>
      <c r="GE15" s="161"/>
      <c r="GF15" s="161"/>
      <c r="GG15" s="161"/>
      <c r="GH15" s="161"/>
      <c r="GI15" s="161"/>
      <c r="GJ15" s="161"/>
      <c r="GK15" s="161"/>
      <c r="GL15" s="161"/>
      <c r="GM15" s="161"/>
      <c r="GN15" s="161"/>
      <c r="GO15" s="161"/>
      <c r="GP15" s="161"/>
      <c r="GQ15" s="161"/>
      <c r="GR15" s="161"/>
      <c r="GS15" s="161"/>
      <c r="GT15" s="161"/>
      <c r="GU15" s="161"/>
      <c r="GV15" s="161"/>
      <c r="GW15" s="161"/>
      <c r="GX15" s="161"/>
      <c r="GY15" s="161"/>
      <c r="GZ15" s="161"/>
      <c r="HA15" s="161"/>
      <c r="HB15" s="161"/>
      <c r="HC15" s="161"/>
      <c r="HD15" s="161"/>
      <c r="HE15" s="161"/>
      <c r="HF15" s="161"/>
      <c r="HG15" s="161"/>
      <c r="HH15" s="161"/>
      <c r="HI15" s="161"/>
      <c r="HJ15" s="161"/>
      <c r="HK15" s="161"/>
      <c r="HL15" s="161"/>
      <c r="HM15" s="161"/>
      <c r="HN15" s="161"/>
      <c r="HO15" s="161"/>
      <c r="HP15" s="161"/>
      <c r="HQ15" s="161"/>
      <c r="HR15" s="161"/>
      <c r="HS15" s="161"/>
      <c r="HT15" s="161"/>
      <c r="HU15" s="161"/>
      <c r="HV15" s="161"/>
      <c r="HW15" s="161"/>
      <c r="HX15" s="161"/>
      <c r="HY15" s="161"/>
      <c r="HZ15" s="161"/>
      <c r="IA15" s="161"/>
      <c r="IB15" s="161"/>
      <c r="IC15" s="161"/>
      <c r="ID15" s="161"/>
      <c r="IE15" s="161"/>
      <c r="IF15" s="161"/>
      <c r="IG15" s="161"/>
      <c r="IH15" s="161"/>
      <c r="II15" s="161"/>
      <c r="IJ15" s="161"/>
      <c r="IK15" s="161"/>
      <c r="IL15" s="161"/>
      <c r="IM15" s="161"/>
      <c r="IN15" s="161"/>
      <c r="IO15" s="161"/>
      <c r="IP15" s="161"/>
      <c r="IQ15" s="161"/>
      <c r="IR15" s="161"/>
      <c r="IS15" s="161"/>
      <c r="IT15" s="161"/>
      <c r="IU15" s="161"/>
      <c r="IV15" s="161"/>
      <c r="IW15" s="161"/>
      <c r="IX15" s="161"/>
      <c r="IY15" s="161"/>
      <c r="IZ15" s="161"/>
      <c r="JA15" s="161"/>
      <c r="JB15" s="161"/>
      <c r="JC15" s="161"/>
      <c r="JD15" s="161"/>
      <c r="JE15" s="161"/>
      <c r="JF15" s="161"/>
      <c r="JG15" s="161"/>
      <c r="JH15" s="161"/>
      <c r="JI15" s="161"/>
      <c r="JJ15" s="161"/>
      <c r="JK15" s="161"/>
      <c r="JL15" s="161"/>
      <c r="JM15" s="161"/>
      <c r="JN15" s="161"/>
      <c r="JO15" s="161"/>
      <c r="JP15" s="161"/>
      <c r="JQ15" s="161"/>
      <c r="JR15" s="161"/>
      <c r="JS15" s="161"/>
      <c r="JT15" s="161"/>
      <c r="JU15" s="161"/>
      <c r="JV15" s="161"/>
      <c r="JW15" s="161"/>
      <c r="JX15" s="161"/>
      <c r="JY15" s="161"/>
      <c r="JZ15" s="161"/>
      <c r="KA15" s="161"/>
      <c r="KB15" s="161"/>
      <c r="KC15" s="161"/>
      <c r="KD15" s="161"/>
      <c r="KE15" s="161"/>
      <c r="KF15" s="161"/>
      <c r="KG15" s="161"/>
      <c r="KH15" s="161"/>
      <c r="KI15" s="161"/>
      <c r="KJ15" s="161"/>
      <c r="KK15" s="161"/>
      <c r="KL15" s="161"/>
      <c r="KM15" s="161"/>
      <c r="KN15" s="161"/>
      <c r="KO15" s="161"/>
      <c r="KP15" s="161"/>
      <c r="KQ15" s="161"/>
      <c r="KR15" s="161"/>
      <c r="KS15" s="161"/>
      <c r="KT15" s="161"/>
      <c r="KU15" s="161"/>
      <c r="KV15" s="161"/>
      <c r="KW15" s="161"/>
      <c r="KX15" s="161"/>
      <c r="KY15" s="161"/>
      <c r="KZ15" s="161"/>
      <c r="LA15" s="161"/>
      <c r="LB15" s="161"/>
      <c r="LC15" s="161"/>
      <c r="LD15" s="161"/>
      <c r="LE15" s="161"/>
      <c r="LF15" s="161"/>
      <c r="LG15" s="161"/>
      <c r="LH15" s="161"/>
      <c r="LI15" s="161"/>
      <c r="LJ15" s="161"/>
      <c r="LK15" s="161"/>
      <c r="LL15" s="161"/>
      <c r="LM15" s="161"/>
      <c r="LN15" s="161"/>
      <c r="LO15" s="161"/>
      <c r="LP15" s="161"/>
      <c r="LQ15" s="161"/>
      <c r="LR15" s="161"/>
      <c r="LS15" s="161"/>
      <c r="LT15" s="161"/>
      <c r="LU15" s="161"/>
      <c r="LV15" s="161"/>
      <c r="LW15" s="161"/>
      <c r="LX15" s="161"/>
      <c r="LY15" s="161"/>
      <c r="LZ15" s="161"/>
      <c r="MA15" s="161"/>
      <c r="MB15" s="161"/>
      <c r="MC15" s="161"/>
      <c r="MD15" s="161"/>
      <c r="ME15" s="161"/>
      <c r="MF15" s="161"/>
      <c r="MG15" s="161"/>
      <c r="MH15" s="161"/>
      <c r="MI15" s="161"/>
      <c r="MJ15" s="161"/>
      <c r="MK15" s="161"/>
      <c r="ML15" s="161"/>
      <c r="MM15" s="161"/>
      <c r="MN15" s="161"/>
      <c r="MO15" s="161"/>
      <c r="MP15" s="161"/>
      <c r="MQ15" s="161"/>
      <c r="MR15" s="161"/>
      <c r="MS15" s="161"/>
      <c r="MT15" s="161"/>
      <c r="MU15" s="161"/>
      <c r="MV15" s="161"/>
      <c r="MW15" s="161"/>
      <c r="MX15" s="161"/>
      <c r="MY15" s="161"/>
      <c r="MZ15" s="161"/>
      <c r="NA15" s="161"/>
      <c r="NB15" s="161"/>
      <c r="NC15" s="161"/>
      <c r="ND15" s="161"/>
      <c r="NE15" s="161"/>
      <c r="NF15" s="161"/>
      <c r="NG15" s="161"/>
      <c r="NH15" s="161"/>
      <c r="NI15" s="161"/>
      <c r="NJ15" s="161"/>
      <c r="NK15" s="161"/>
      <c r="NL15" s="161"/>
      <c r="NM15" s="161"/>
      <c r="NN15" s="161"/>
      <c r="NO15" s="161"/>
      <c r="NP15" s="161"/>
      <c r="NQ15" s="161"/>
      <c r="NR15" s="161"/>
      <c r="NS15" s="161"/>
      <c r="NT15" s="161"/>
      <c r="NU15" s="161"/>
      <c r="NV15" s="161"/>
      <c r="NW15" s="161"/>
      <c r="NX15" s="161"/>
      <c r="NY15" s="161"/>
      <c r="NZ15" s="161"/>
      <c r="OA15" s="161"/>
      <c r="OB15" s="161"/>
      <c r="OC15" s="161"/>
      <c r="OD15" s="161"/>
      <c r="OE15" s="161"/>
      <c r="OF15" s="161"/>
      <c r="OG15" s="161"/>
      <c r="OH15" s="161"/>
      <c r="OI15" s="161"/>
      <c r="OJ15" s="161"/>
      <c r="OK15" s="161"/>
      <c r="OL15" s="161"/>
      <c r="OM15" s="161"/>
      <c r="ON15" s="161"/>
      <c r="OO15" s="161"/>
      <c r="OP15" s="161"/>
      <c r="OQ15" s="161"/>
      <c r="OR15" s="161"/>
      <c r="OS15" s="161"/>
      <c r="OT15" s="161"/>
      <c r="OU15" s="161"/>
      <c r="OV15" s="161"/>
      <c r="OW15" s="161"/>
      <c r="OX15" s="161"/>
      <c r="OY15" s="161"/>
      <c r="OZ15" s="161"/>
      <c r="PA15" s="161"/>
      <c r="PB15" s="161"/>
      <c r="PC15" s="161"/>
      <c r="PD15" s="161"/>
      <c r="PE15" s="161"/>
      <c r="PF15" s="161"/>
      <c r="PG15" s="161"/>
      <c r="PH15" s="161"/>
      <c r="PI15" s="161"/>
      <c r="PJ15" s="161"/>
      <c r="PK15" s="161"/>
      <c r="PL15" s="161"/>
      <c r="PM15" s="161"/>
      <c r="PN15" s="161"/>
      <c r="PO15" s="161"/>
      <c r="PP15" s="161"/>
      <c r="PQ15" s="161"/>
      <c r="PR15" s="161"/>
      <c r="PS15" s="161"/>
      <c r="PT15" s="161"/>
      <c r="PU15" s="161"/>
      <c r="PV15" s="161"/>
      <c r="PW15" s="161"/>
      <c r="PX15" s="161"/>
      <c r="PY15" s="161"/>
      <c r="PZ15" s="161"/>
      <c r="QA15" s="161"/>
      <c r="QB15" s="161"/>
      <c r="QC15" s="161"/>
      <c r="QD15" s="161"/>
      <c r="QE15" s="161"/>
      <c r="QF15" s="161"/>
      <c r="QG15" s="161"/>
      <c r="QH15" s="161"/>
      <c r="QI15" s="161"/>
      <c r="QJ15" s="161"/>
      <c r="QK15" s="161"/>
      <c r="QL15" s="161"/>
      <c r="QM15" s="161"/>
      <c r="QN15" s="161"/>
      <c r="QO15" s="161"/>
      <c r="QP15" s="161"/>
      <c r="QQ15" s="161"/>
      <c r="QR15" s="161"/>
      <c r="QS15" s="161"/>
      <c r="QT15" s="161"/>
      <c r="QU15" s="161"/>
      <c r="QV15" s="161"/>
      <c r="QW15" s="161"/>
      <c r="QX15" s="161"/>
      <c r="QY15" s="161"/>
      <c r="QZ15" s="161"/>
      <c r="RA15" s="161"/>
      <c r="RB15" s="161"/>
      <c r="RC15" s="161"/>
      <c r="RD15" s="161"/>
      <c r="RE15" s="161"/>
      <c r="RF15" s="161"/>
      <c r="RG15" s="161"/>
      <c r="RH15" s="161"/>
      <c r="RI15" s="161"/>
      <c r="RJ15" s="161"/>
      <c r="RK15" s="161"/>
      <c r="RL15" s="161"/>
      <c r="RM15" s="161"/>
      <c r="RN15" s="161"/>
      <c r="RO15" s="161"/>
      <c r="RP15" s="161"/>
      <c r="RQ15" s="161"/>
      <c r="RR15" s="161"/>
      <c r="RS15" s="161"/>
      <c r="RT15" s="161"/>
      <c r="RU15" s="161"/>
      <c r="RV15" s="161"/>
      <c r="RW15" s="161"/>
      <c r="RX15" s="161"/>
      <c r="RY15" s="161"/>
      <c r="RZ15" s="161"/>
      <c r="SA15" s="161"/>
      <c r="SB15" s="161"/>
      <c r="SC15" s="161"/>
      <c r="SD15" s="161"/>
      <c r="SE15" s="161"/>
      <c r="SF15" s="161"/>
      <c r="SG15" s="161"/>
      <c r="SH15" s="161"/>
      <c r="SI15" s="161"/>
      <c r="SJ15" s="161"/>
      <c r="SK15" s="161"/>
      <c r="SL15" s="161"/>
      <c r="SM15" s="161"/>
      <c r="SN15" s="161"/>
      <c r="SO15" s="161"/>
      <c r="SP15" s="161"/>
      <c r="SQ15" s="161"/>
      <c r="SR15" s="161"/>
      <c r="SS15" s="161"/>
      <c r="ST15" s="161"/>
      <c r="SU15" s="161"/>
      <c r="SV15" s="161"/>
      <c r="SW15" s="161"/>
      <c r="SX15" s="161"/>
      <c r="SY15" s="161"/>
      <c r="SZ15" s="161"/>
      <c r="TA15" s="161"/>
      <c r="TB15" s="161"/>
      <c r="TC15" s="161"/>
      <c r="TD15" s="161"/>
      <c r="TE15" s="161"/>
      <c r="TF15" s="161"/>
      <c r="TG15" s="161"/>
      <c r="TH15" s="161"/>
      <c r="TI15" s="161"/>
      <c r="TJ15" s="161"/>
      <c r="TK15" s="161"/>
      <c r="TL15" s="161"/>
      <c r="TM15" s="161"/>
      <c r="TN15" s="161"/>
      <c r="TO15" s="161"/>
      <c r="TP15" s="161"/>
      <c r="TQ15" s="161"/>
      <c r="TR15" s="161"/>
      <c r="TS15" s="161"/>
      <c r="TT15" s="161"/>
      <c r="TU15" s="161"/>
      <c r="TV15" s="161"/>
      <c r="TW15" s="161"/>
      <c r="TX15" s="161"/>
      <c r="TY15" s="161"/>
      <c r="TZ15" s="161"/>
      <c r="UA15" s="161"/>
      <c r="UB15" s="161"/>
      <c r="UC15" s="161"/>
      <c r="UD15" s="161"/>
      <c r="UE15" s="161"/>
      <c r="UF15" s="161"/>
      <c r="UG15" s="161"/>
      <c r="UH15" s="161"/>
      <c r="UI15" s="161"/>
      <c r="UJ15" s="161"/>
      <c r="UK15" s="161"/>
      <c r="UL15" s="161"/>
      <c r="UM15" s="161"/>
      <c r="UN15" s="161"/>
      <c r="UO15" s="161"/>
      <c r="UP15" s="161"/>
      <c r="UQ15" s="161"/>
      <c r="UR15" s="161"/>
      <c r="US15" s="161"/>
      <c r="UT15" s="161"/>
      <c r="UU15" s="161"/>
      <c r="UV15" s="161"/>
      <c r="UW15" s="161"/>
      <c r="UX15" s="161"/>
      <c r="UY15" s="161"/>
      <c r="UZ15" s="161"/>
      <c r="VA15" s="161"/>
      <c r="VB15" s="161"/>
      <c r="VC15" s="161"/>
      <c r="VD15" s="161"/>
      <c r="VE15" s="161"/>
      <c r="VF15" s="161"/>
      <c r="VG15" s="161"/>
      <c r="VH15" s="161"/>
      <c r="VI15" s="161"/>
      <c r="VJ15" s="161"/>
      <c r="VK15" s="161"/>
      <c r="VL15" s="161"/>
      <c r="VM15" s="161"/>
      <c r="VN15" s="161"/>
      <c r="VO15" s="161"/>
      <c r="VP15" s="161"/>
      <c r="VQ15" s="161"/>
      <c r="VR15" s="161"/>
      <c r="VS15" s="161"/>
      <c r="VT15" s="161"/>
      <c r="VU15" s="161"/>
      <c r="VV15" s="161"/>
      <c r="VW15" s="161"/>
      <c r="VX15" s="161"/>
      <c r="VY15" s="161"/>
      <c r="VZ15" s="161"/>
      <c r="WA15" s="161"/>
      <c r="WB15" s="161"/>
      <c r="WC15" s="161"/>
      <c r="WD15" s="161"/>
      <c r="WE15" s="161"/>
      <c r="WF15" s="161"/>
      <c r="WG15" s="161"/>
      <c r="WH15" s="161"/>
      <c r="WI15" s="161"/>
      <c r="WJ15" s="161"/>
      <c r="WK15" s="161"/>
      <c r="WL15" s="161"/>
      <c r="WM15" s="161"/>
      <c r="WN15" s="161"/>
      <c r="WO15" s="161"/>
      <c r="WP15" s="161"/>
      <c r="WQ15" s="161"/>
      <c r="WR15" s="161"/>
      <c r="WS15" s="161"/>
      <c r="WT15" s="161"/>
      <c r="WU15" s="161"/>
      <c r="WV15" s="161"/>
      <c r="WW15" s="161"/>
      <c r="WX15" s="161"/>
      <c r="WY15" s="161"/>
      <c r="WZ15" s="161"/>
      <c r="XA15" s="161"/>
      <c r="XB15" s="161"/>
      <c r="XC15" s="161"/>
      <c r="XD15" s="161"/>
      <c r="XE15" s="161"/>
      <c r="XF15" s="161"/>
      <c r="XG15" s="161"/>
      <c r="XH15" s="161"/>
      <c r="XI15" s="161"/>
      <c r="XJ15" s="161"/>
      <c r="XK15" s="161"/>
      <c r="XL15" s="161"/>
      <c r="XM15" s="161"/>
      <c r="XN15" s="161"/>
      <c r="XO15" s="161"/>
      <c r="XP15" s="161"/>
      <c r="XQ15" s="161"/>
      <c r="XR15" s="161"/>
      <c r="XS15" s="161"/>
      <c r="XT15" s="161"/>
      <c r="XU15" s="161"/>
      <c r="XV15" s="161"/>
      <c r="XW15" s="161"/>
      <c r="XX15" s="161"/>
      <c r="XY15" s="161"/>
      <c r="XZ15" s="161"/>
      <c r="YA15" s="161"/>
      <c r="YB15" s="161"/>
      <c r="YC15" s="161"/>
      <c r="YD15" s="161"/>
      <c r="YE15" s="161"/>
      <c r="YF15" s="161"/>
      <c r="YG15" s="161"/>
      <c r="YH15" s="161"/>
      <c r="YI15" s="161"/>
      <c r="YJ15" s="161"/>
      <c r="YK15" s="161"/>
      <c r="YL15" s="161"/>
      <c r="YM15" s="161"/>
      <c r="YN15" s="161"/>
      <c r="YO15" s="161"/>
      <c r="YP15" s="161"/>
      <c r="YQ15" s="161"/>
      <c r="YR15" s="161"/>
      <c r="YS15" s="161"/>
      <c r="YT15" s="161"/>
      <c r="YU15" s="161"/>
      <c r="YV15" s="161"/>
      <c r="YW15" s="161"/>
      <c r="YX15" s="161"/>
      <c r="YY15" s="161"/>
      <c r="YZ15" s="161"/>
      <c r="ZA15" s="161"/>
      <c r="ZB15" s="161"/>
      <c r="ZC15" s="161"/>
      <c r="ZD15" s="161"/>
      <c r="ZE15" s="161"/>
      <c r="ZF15" s="161"/>
      <c r="ZG15" s="161"/>
      <c r="ZH15" s="161"/>
      <c r="ZI15" s="161"/>
      <c r="ZJ15" s="161"/>
      <c r="ZK15" s="161"/>
      <c r="ZL15" s="161"/>
      <c r="ZM15" s="161"/>
      <c r="ZN15" s="161"/>
      <c r="ZO15" s="161"/>
      <c r="ZP15" s="161"/>
      <c r="ZQ15" s="161"/>
      <c r="ZR15" s="161"/>
      <c r="ZS15" s="161"/>
      <c r="ZT15" s="161"/>
      <c r="ZU15" s="161"/>
      <c r="ZV15" s="161"/>
      <c r="ZW15" s="161"/>
      <c r="ZX15" s="161"/>
      <c r="ZY15" s="161"/>
      <c r="ZZ15" s="161"/>
      <c r="AAA15" s="161"/>
      <c r="AAB15" s="161"/>
      <c r="AAC15" s="161"/>
      <c r="AAD15" s="161"/>
      <c r="AAE15" s="161"/>
      <c r="AAF15" s="161"/>
      <c r="AAG15" s="161"/>
      <c r="AAH15" s="161"/>
      <c r="AAI15" s="161"/>
      <c r="AAJ15" s="161"/>
      <c r="AAK15" s="161"/>
      <c r="AAL15" s="161"/>
      <c r="AAM15" s="161"/>
      <c r="AAN15" s="161"/>
      <c r="AAO15" s="161"/>
      <c r="AAP15" s="161"/>
      <c r="AAQ15" s="161"/>
      <c r="AAR15" s="161"/>
      <c r="AAS15" s="161"/>
      <c r="AAT15" s="161"/>
      <c r="AAU15" s="161"/>
      <c r="AAV15" s="161"/>
      <c r="AAW15" s="161"/>
      <c r="AAX15" s="161"/>
      <c r="AAY15" s="161"/>
      <c r="AAZ15" s="161"/>
      <c r="ABA15" s="161"/>
      <c r="ABB15" s="161"/>
      <c r="ABC15" s="161"/>
      <c r="ABD15" s="161"/>
      <c r="ABE15" s="161"/>
      <c r="ABF15" s="161"/>
      <c r="ABG15" s="161"/>
      <c r="ABH15" s="161"/>
      <c r="ABI15" s="161"/>
      <c r="ABJ15" s="161"/>
      <c r="ABK15" s="161"/>
      <c r="ABL15" s="161"/>
      <c r="ABM15" s="161"/>
      <c r="ABN15" s="161"/>
      <c r="ABO15" s="161"/>
      <c r="ABP15" s="161"/>
      <c r="ABQ15" s="161"/>
      <c r="ABR15" s="161"/>
      <c r="ABS15" s="161"/>
      <c r="ABT15" s="161"/>
      <c r="ABU15" s="161"/>
      <c r="ABV15" s="161"/>
      <c r="ABW15" s="161"/>
      <c r="ABX15" s="161"/>
      <c r="ABY15" s="161"/>
      <c r="ABZ15" s="161"/>
      <c r="ACA15" s="161"/>
      <c r="ACB15" s="161"/>
      <c r="ACC15" s="161"/>
      <c r="ACD15" s="161"/>
      <c r="ACE15" s="161"/>
      <c r="ACF15" s="161"/>
      <c r="ACG15" s="161"/>
      <c r="ACH15" s="161"/>
      <c r="ACI15" s="161"/>
      <c r="ACJ15" s="161"/>
      <c r="ACK15" s="161"/>
      <c r="ACL15" s="161"/>
      <c r="ACM15" s="161"/>
      <c r="ACN15" s="161"/>
      <c r="ACO15" s="161"/>
      <c r="ACP15" s="161"/>
      <c r="ACQ15" s="161"/>
      <c r="ACR15" s="161"/>
      <c r="ACS15" s="161"/>
      <c r="ACT15" s="161"/>
      <c r="ACU15" s="161"/>
      <c r="ACV15" s="161"/>
      <c r="ACW15" s="161"/>
      <c r="ACX15" s="161"/>
      <c r="ACY15" s="161"/>
      <c r="ACZ15" s="161"/>
      <c r="ADA15" s="161"/>
      <c r="ADB15" s="161"/>
      <c r="ADC15" s="161"/>
      <c r="ADD15" s="161"/>
      <c r="ADE15" s="161"/>
      <c r="ADF15" s="161"/>
      <c r="ADG15" s="161"/>
      <c r="ADH15" s="161"/>
      <c r="ADI15" s="161"/>
      <c r="ADJ15" s="161"/>
      <c r="ADK15" s="161"/>
      <c r="ADL15" s="161"/>
      <c r="ADM15" s="161"/>
      <c r="ADN15" s="161"/>
      <c r="ADO15" s="161"/>
      <c r="ADP15" s="161"/>
      <c r="ADQ15" s="161"/>
      <c r="ADR15" s="161"/>
      <c r="ADS15" s="161"/>
      <c r="ADT15" s="161"/>
      <c r="ADU15" s="161"/>
      <c r="ADV15" s="161"/>
      <c r="ADW15" s="161"/>
      <c r="ADX15" s="161"/>
      <c r="ADY15" s="161"/>
      <c r="ADZ15" s="161"/>
      <c r="AEA15" s="161"/>
      <c r="AEB15" s="161"/>
      <c r="AEC15" s="161"/>
      <c r="AED15" s="161"/>
      <c r="AEE15" s="161"/>
      <c r="AEF15" s="161"/>
      <c r="AEG15" s="161"/>
      <c r="AEH15" s="161"/>
      <c r="AEI15" s="161"/>
      <c r="AEJ15" s="161"/>
      <c r="AEK15" s="161"/>
      <c r="AEL15" s="161"/>
      <c r="AEM15" s="161"/>
      <c r="AEN15" s="161"/>
      <c r="AEO15" s="161"/>
      <c r="AEP15" s="161"/>
      <c r="AEQ15" s="161"/>
      <c r="AER15" s="161"/>
      <c r="AES15" s="161"/>
      <c r="AET15" s="161"/>
      <c r="AEU15" s="161"/>
      <c r="AEV15" s="161"/>
      <c r="AEW15" s="161"/>
      <c r="AEX15" s="161"/>
      <c r="AEY15" s="161"/>
      <c r="AEZ15" s="161"/>
      <c r="AFA15" s="161"/>
      <c r="AFB15" s="161"/>
      <c r="AFC15" s="161"/>
      <c r="AFD15" s="161"/>
      <c r="AFE15" s="161"/>
      <c r="AFF15" s="161"/>
      <c r="AFG15" s="161"/>
      <c r="AFH15" s="161"/>
      <c r="AFI15" s="161"/>
      <c r="AFJ15" s="161"/>
      <c r="AFK15" s="161"/>
      <c r="AFL15" s="161"/>
      <c r="AFM15" s="161"/>
      <c r="AFN15" s="161"/>
      <c r="AFO15" s="161"/>
      <c r="AFP15" s="161"/>
      <c r="AFQ15" s="161"/>
      <c r="AFR15" s="161"/>
      <c r="AFS15" s="161"/>
      <c r="AFT15" s="161"/>
      <c r="AFU15" s="161"/>
      <c r="AFV15" s="161"/>
      <c r="AFW15" s="161"/>
      <c r="AFX15" s="161"/>
      <c r="AFY15" s="161"/>
      <c r="AFZ15" s="161"/>
      <c r="AGA15" s="161"/>
      <c r="AGB15" s="161"/>
      <c r="AGC15" s="161"/>
      <c r="AGD15" s="161"/>
      <c r="AGE15" s="161"/>
      <c r="AGF15" s="161"/>
      <c r="AGG15" s="161"/>
      <c r="AGH15" s="161"/>
      <c r="AGI15" s="161"/>
      <c r="AGJ15" s="161"/>
      <c r="AGK15" s="161"/>
      <c r="AGL15" s="161"/>
      <c r="AGM15" s="161"/>
      <c r="AGN15" s="161"/>
      <c r="AGO15" s="161"/>
      <c r="AGP15" s="161"/>
      <c r="AGQ15" s="161"/>
      <c r="AGR15" s="161"/>
      <c r="AGS15" s="161"/>
      <c r="AGT15" s="161"/>
      <c r="AGU15" s="161"/>
      <c r="AGV15" s="161"/>
      <c r="AGW15" s="161"/>
      <c r="AGX15" s="161"/>
      <c r="AGY15" s="161"/>
      <c r="AGZ15" s="161"/>
      <c r="AHA15" s="161"/>
      <c r="AHB15" s="161"/>
      <c r="AHC15" s="161"/>
      <c r="AHD15" s="161"/>
      <c r="AHE15" s="161"/>
      <c r="AHF15" s="161"/>
      <c r="AHG15" s="161"/>
      <c r="AHH15" s="161"/>
      <c r="AHI15" s="161"/>
      <c r="AHJ15" s="161"/>
      <c r="AHK15" s="161"/>
      <c r="AHL15" s="161"/>
      <c r="AHM15" s="161"/>
      <c r="AHN15" s="161"/>
      <c r="AHO15" s="161"/>
      <c r="AHP15" s="161"/>
      <c r="AHQ15" s="161"/>
      <c r="AHR15" s="161"/>
      <c r="AHS15" s="161"/>
      <c r="AHT15" s="161"/>
      <c r="AHU15" s="161"/>
      <c r="AHV15" s="161"/>
      <c r="AHW15" s="161"/>
      <c r="AHX15" s="161"/>
      <c r="AHY15" s="161"/>
      <c r="AHZ15" s="161"/>
      <c r="AIA15" s="161"/>
      <c r="AIB15" s="161"/>
      <c r="AIC15" s="161"/>
      <c r="AID15" s="161"/>
      <c r="AIE15" s="161"/>
      <c r="AIF15" s="161"/>
    </row>
    <row r="16" spans="1:916" s="21" customFormat="1" ht="12.75">
      <c r="B16" s="309" t="s">
        <v>33</v>
      </c>
      <c r="C16" s="146" t="s">
        <v>1819</v>
      </c>
      <c r="D16" s="174"/>
      <c r="E16" s="310"/>
      <c r="F16" s="144">
        <f>IFERROR('Efficiency Boost {G}'!A$16,)</f>
        <v>0</v>
      </c>
      <c r="G16" s="304" t="s">
        <v>365</v>
      </c>
      <c r="H16" s="258">
        <f>IFERROR('Efficiency Boost {G}'!A$10,0)</f>
        <v>0</v>
      </c>
      <c r="I16" s="259">
        <f>'Efficiency Boost {G}'!A$8</f>
        <v>70424.309999999983</v>
      </c>
      <c r="J16" s="259">
        <f>'Efficiency Boost {G}'!A$12</f>
        <v>0</v>
      </c>
      <c r="K16" s="259">
        <f>'Efficiency Boost {G}'!A$14</f>
        <v>0</v>
      </c>
      <c r="L16" s="259">
        <f>SUM('Efficiency Boost {G}'!Q$5:Q$1000)</f>
        <v>0</v>
      </c>
      <c r="M16" s="259"/>
      <c r="N16" s="260">
        <f>'Efficiency Boost {G}'!A$18</f>
        <v>70424.309999999983</v>
      </c>
      <c r="O16" s="259">
        <f>'Efficiency Boost {G}'!A$20</f>
        <v>70424.309999999983</v>
      </c>
      <c r="P16" s="259">
        <f>SUM('Efficiency Boost {G}'!R$5:R$1000)</f>
        <v>0</v>
      </c>
      <c r="Q16" s="261">
        <f t="shared" si="0"/>
        <v>65835.570720762815</v>
      </c>
      <c r="R16" s="261">
        <f>O16/(1+ElecDiscountRate)^1</f>
        <v>65835.570720762815</v>
      </c>
      <c r="S16" s="259">
        <f>SUM('Efficiency Boost {G}'!AM$5:AM$1000)</f>
        <v>0</v>
      </c>
      <c r="T16" s="259">
        <f>SUM('Efficiency Boost {G}'!AD$5:AD$1000)</f>
        <v>0</v>
      </c>
      <c r="U16" s="133">
        <f t="shared" si="2"/>
        <v>0</v>
      </c>
      <c r="V16" s="133">
        <f t="shared" si="3"/>
        <v>0</v>
      </c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1"/>
      <c r="DA16" s="161"/>
      <c r="DB16" s="161"/>
      <c r="DC16" s="161"/>
      <c r="DD16" s="161"/>
      <c r="DE16" s="161"/>
      <c r="DF16" s="161"/>
      <c r="DG16" s="161"/>
      <c r="DH16" s="161"/>
      <c r="DI16" s="161"/>
      <c r="DJ16" s="161"/>
      <c r="DK16" s="161"/>
      <c r="DL16" s="161"/>
      <c r="DM16" s="161"/>
      <c r="DN16" s="161"/>
      <c r="DO16" s="161"/>
      <c r="DP16" s="161"/>
      <c r="DQ16" s="161"/>
      <c r="DR16" s="161"/>
      <c r="DS16" s="161"/>
      <c r="DT16" s="161"/>
      <c r="DU16" s="161"/>
      <c r="DV16" s="161"/>
      <c r="DW16" s="161"/>
      <c r="DX16" s="161"/>
      <c r="DY16" s="161"/>
      <c r="DZ16" s="161"/>
      <c r="EA16" s="161"/>
      <c r="EB16" s="161"/>
      <c r="EC16" s="161"/>
      <c r="ED16" s="161"/>
      <c r="EE16" s="161"/>
      <c r="EF16" s="161"/>
      <c r="EG16" s="161"/>
      <c r="EH16" s="161"/>
      <c r="EI16" s="161"/>
      <c r="EJ16" s="161"/>
      <c r="EK16" s="161"/>
      <c r="EL16" s="161"/>
      <c r="EM16" s="161"/>
      <c r="EN16" s="161"/>
      <c r="EO16" s="161"/>
      <c r="EP16" s="161"/>
      <c r="EQ16" s="161"/>
      <c r="ER16" s="161"/>
      <c r="ES16" s="161"/>
      <c r="ET16" s="161"/>
      <c r="EU16" s="161"/>
      <c r="EV16" s="161"/>
      <c r="EW16" s="161"/>
      <c r="EX16" s="161"/>
      <c r="EY16" s="161"/>
      <c r="EZ16" s="161"/>
      <c r="FA16" s="161"/>
      <c r="FB16" s="161"/>
      <c r="FC16" s="161"/>
      <c r="FD16" s="161"/>
      <c r="FE16" s="161"/>
      <c r="FF16" s="161"/>
      <c r="FG16" s="161"/>
      <c r="FH16" s="161"/>
      <c r="FI16" s="161"/>
      <c r="FJ16" s="161"/>
      <c r="FK16" s="161"/>
      <c r="FL16" s="161"/>
      <c r="FM16" s="161"/>
      <c r="FN16" s="161"/>
      <c r="FO16" s="161"/>
      <c r="FP16" s="161"/>
      <c r="FQ16" s="161"/>
      <c r="FR16" s="161"/>
      <c r="FS16" s="161"/>
      <c r="FT16" s="161"/>
      <c r="FU16" s="161"/>
      <c r="FV16" s="161"/>
      <c r="FW16" s="161"/>
      <c r="FX16" s="161"/>
      <c r="FY16" s="161"/>
      <c r="FZ16" s="161"/>
      <c r="GA16" s="161"/>
      <c r="GB16" s="161"/>
      <c r="GC16" s="161"/>
      <c r="GD16" s="161"/>
      <c r="GE16" s="161"/>
      <c r="GF16" s="161"/>
      <c r="GG16" s="161"/>
      <c r="GH16" s="161"/>
      <c r="GI16" s="161"/>
      <c r="GJ16" s="161"/>
      <c r="GK16" s="161"/>
      <c r="GL16" s="161"/>
      <c r="GM16" s="161"/>
      <c r="GN16" s="161"/>
      <c r="GO16" s="161"/>
      <c r="GP16" s="161"/>
      <c r="GQ16" s="161"/>
      <c r="GR16" s="161"/>
      <c r="GS16" s="161"/>
      <c r="GT16" s="161"/>
      <c r="GU16" s="161"/>
      <c r="GV16" s="161"/>
      <c r="GW16" s="161"/>
      <c r="GX16" s="161"/>
      <c r="GY16" s="161"/>
      <c r="GZ16" s="161"/>
      <c r="HA16" s="161"/>
      <c r="HB16" s="161"/>
      <c r="HC16" s="161"/>
      <c r="HD16" s="161"/>
      <c r="HE16" s="161"/>
      <c r="HF16" s="161"/>
      <c r="HG16" s="161"/>
      <c r="HH16" s="161"/>
      <c r="HI16" s="161"/>
      <c r="HJ16" s="161"/>
      <c r="HK16" s="161"/>
      <c r="HL16" s="161"/>
      <c r="HM16" s="161"/>
      <c r="HN16" s="161"/>
      <c r="HO16" s="161"/>
      <c r="HP16" s="161"/>
      <c r="HQ16" s="161"/>
      <c r="HR16" s="161"/>
      <c r="HS16" s="161"/>
      <c r="HT16" s="161"/>
      <c r="HU16" s="161"/>
      <c r="HV16" s="161"/>
      <c r="HW16" s="161"/>
      <c r="HX16" s="161"/>
      <c r="HY16" s="161"/>
      <c r="HZ16" s="161"/>
      <c r="IA16" s="161"/>
      <c r="IB16" s="161"/>
      <c r="IC16" s="161"/>
      <c r="ID16" s="161"/>
      <c r="IE16" s="161"/>
      <c r="IF16" s="161"/>
      <c r="IG16" s="161"/>
      <c r="IH16" s="161"/>
      <c r="II16" s="161"/>
      <c r="IJ16" s="161"/>
      <c r="IK16" s="161"/>
      <c r="IL16" s="161"/>
      <c r="IM16" s="161"/>
      <c r="IN16" s="161"/>
      <c r="IO16" s="161"/>
      <c r="IP16" s="161"/>
      <c r="IQ16" s="161"/>
      <c r="IR16" s="161"/>
      <c r="IS16" s="161"/>
      <c r="IT16" s="161"/>
      <c r="IU16" s="161"/>
      <c r="IV16" s="161"/>
      <c r="IW16" s="161"/>
      <c r="IX16" s="161"/>
      <c r="IY16" s="161"/>
      <c r="IZ16" s="161"/>
      <c r="JA16" s="161"/>
      <c r="JB16" s="161"/>
      <c r="JC16" s="161"/>
      <c r="JD16" s="161"/>
      <c r="JE16" s="161"/>
      <c r="JF16" s="161"/>
      <c r="JG16" s="161"/>
      <c r="JH16" s="161"/>
      <c r="JI16" s="161"/>
      <c r="JJ16" s="161"/>
      <c r="JK16" s="161"/>
      <c r="JL16" s="161"/>
      <c r="JM16" s="161"/>
      <c r="JN16" s="161"/>
      <c r="JO16" s="161"/>
      <c r="JP16" s="161"/>
      <c r="JQ16" s="161"/>
      <c r="JR16" s="161"/>
      <c r="JS16" s="161"/>
      <c r="JT16" s="161"/>
      <c r="JU16" s="161"/>
      <c r="JV16" s="161"/>
      <c r="JW16" s="161"/>
      <c r="JX16" s="161"/>
      <c r="JY16" s="161"/>
      <c r="JZ16" s="161"/>
      <c r="KA16" s="161"/>
      <c r="KB16" s="161"/>
      <c r="KC16" s="161"/>
      <c r="KD16" s="161"/>
      <c r="KE16" s="161"/>
      <c r="KF16" s="161"/>
      <c r="KG16" s="161"/>
      <c r="KH16" s="161"/>
      <c r="KI16" s="161"/>
      <c r="KJ16" s="161"/>
      <c r="KK16" s="161"/>
      <c r="KL16" s="161"/>
      <c r="KM16" s="161"/>
      <c r="KN16" s="161"/>
      <c r="KO16" s="161"/>
      <c r="KP16" s="161"/>
      <c r="KQ16" s="161"/>
      <c r="KR16" s="161"/>
      <c r="KS16" s="161"/>
      <c r="KT16" s="161"/>
      <c r="KU16" s="161"/>
      <c r="KV16" s="161"/>
      <c r="KW16" s="161"/>
      <c r="KX16" s="161"/>
      <c r="KY16" s="161"/>
      <c r="KZ16" s="161"/>
      <c r="LA16" s="161"/>
      <c r="LB16" s="161"/>
      <c r="LC16" s="161"/>
      <c r="LD16" s="161"/>
      <c r="LE16" s="161"/>
      <c r="LF16" s="161"/>
      <c r="LG16" s="161"/>
      <c r="LH16" s="161"/>
      <c r="LI16" s="161"/>
      <c r="LJ16" s="161"/>
      <c r="LK16" s="161"/>
      <c r="LL16" s="161"/>
      <c r="LM16" s="161"/>
      <c r="LN16" s="161"/>
      <c r="LO16" s="161"/>
      <c r="LP16" s="161"/>
      <c r="LQ16" s="161"/>
      <c r="LR16" s="161"/>
      <c r="LS16" s="161"/>
      <c r="LT16" s="161"/>
      <c r="LU16" s="161"/>
      <c r="LV16" s="161"/>
      <c r="LW16" s="161"/>
      <c r="LX16" s="161"/>
      <c r="LY16" s="161"/>
      <c r="LZ16" s="161"/>
      <c r="MA16" s="161"/>
      <c r="MB16" s="161"/>
      <c r="MC16" s="161"/>
      <c r="MD16" s="161"/>
      <c r="ME16" s="161"/>
      <c r="MF16" s="161"/>
      <c r="MG16" s="161"/>
      <c r="MH16" s="161"/>
      <c r="MI16" s="161"/>
      <c r="MJ16" s="161"/>
      <c r="MK16" s="161"/>
      <c r="ML16" s="161"/>
      <c r="MM16" s="161"/>
      <c r="MN16" s="161"/>
      <c r="MO16" s="161"/>
      <c r="MP16" s="161"/>
      <c r="MQ16" s="161"/>
      <c r="MR16" s="161"/>
      <c r="MS16" s="161"/>
      <c r="MT16" s="161"/>
      <c r="MU16" s="161"/>
      <c r="MV16" s="161"/>
      <c r="MW16" s="161"/>
      <c r="MX16" s="161"/>
      <c r="MY16" s="161"/>
      <c r="MZ16" s="161"/>
      <c r="NA16" s="161"/>
      <c r="NB16" s="161"/>
      <c r="NC16" s="161"/>
      <c r="ND16" s="161"/>
      <c r="NE16" s="161"/>
      <c r="NF16" s="161"/>
      <c r="NG16" s="161"/>
      <c r="NH16" s="161"/>
      <c r="NI16" s="161"/>
      <c r="NJ16" s="161"/>
      <c r="NK16" s="161"/>
      <c r="NL16" s="161"/>
      <c r="NM16" s="161"/>
      <c r="NN16" s="161"/>
      <c r="NO16" s="161"/>
      <c r="NP16" s="161"/>
      <c r="NQ16" s="161"/>
      <c r="NR16" s="161"/>
      <c r="NS16" s="161"/>
      <c r="NT16" s="161"/>
      <c r="NU16" s="161"/>
      <c r="NV16" s="161"/>
      <c r="NW16" s="161"/>
      <c r="NX16" s="161"/>
      <c r="NY16" s="161"/>
      <c r="NZ16" s="161"/>
      <c r="OA16" s="161"/>
      <c r="OB16" s="161"/>
      <c r="OC16" s="161"/>
      <c r="OD16" s="161"/>
      <c r="OE16" s="161"/>
      <c r="OF16" s="161"/>
      <c r="OG16" s="161"/>
      <c r="OH16" s="161"/>
      <c r="OI16" s="161"/>
      <c r="OJ16" s="161"/>
      <c r="OK16" s="161"/>
      <c r="OL16" s="161"/>
      <c r="OM16" s="161"/>
      <c r="ON16" s="161"/>
      <c r="OO16" s="161"/>
      <c r="OP16" s="161"/>
      <c r="OQ16" s="161"/>
      <c r="OR16" s="161"/>
      <c r="OS16" s="161"/>
      <c r="OT16" s="161"/>
      <c r="OU16" s="161"/>
      <c r="OV16" s="161"/>
      <c r="OW16" s="161"/>
      <c r="OX16" s="161"/>
      <c r="OY16" s="161"/>
      <c r="OZ16" s="161"/>
      <c r="PA16" s="161"/>
      <c r="PB16" s="161"/>
      <c r="PC16" s="161"/>
      <c r="PD16" s="161"/>
      <c r="PE16" s="161"/>
      <c r="PF16" s="161"/>
      <c r="PG16" s="161"/>
      <c r="PH16" s="161"/>
      <c r="PI16" s="161"/>
      <c r="PJ16" s="161"/>
      <c r="PK16" s="161"/>
      <c r="PL16" s="161"/>
      <c r="PM16" s="161"/>
      <c r="PN16" s="161"/>
      <c r="PO16" s="161"/>
      <c r="PP16" s="161"/>
      <c r="PQ16" s="161"/>
      <c r="PR16" s="161"/>
      <c r="PS16" s="161"/>
      <c r="PT16" s="161"/>
      <c r="PU16" s="161"/>
      <c r="PV16" s="161"/>
      <c r="PW16" s="161"/>
      <c r="PX16" s="161"/>
      <c r="PY16" s="161"/>
      <c r="PZ16" s="161"/>
      <c r="QA16" s="161"/>
      <c r="QB16" s="161"/>
      <c r="QC16" s="161"/>
      <c r="QD16" s="161"/>
      <c r="QE16" s="161"/>
      <c r="QF16" s="161"/>
      <c r="QG16" s="161"/>
      <c r="QH16" s="161"/>
      <c r="QI16" s="161"/>
      <c r="QJ16" s="161"/>
      <c r="QK16" s="161"/>
      <c r="QL16" s="161"/>
      <c r="QM16" s="161"/>
      <c r="QN16" s="161"/>
      <c r="QO16" s="161"/>
      <c r="QP16" s="161"/>
      <c r="QQ16" s="161"/>
      <c r="QR16" s="161"/>
      <c r="QS16" s="161"/>
      <c r="QT16" s="161"/>
      <c r="QU16" s="161"/>
      <c r="QV16" s="161"/>
      <c r="QW16" s="161"/>
      <c r="QX16" s="161"/>
      <c r="QY16" s="161"/>
      <c r="QZ16" s="161"/>
      <c r="RA16" s="161"/>
      <c r="RB16" s="161"/>
      <c r="RC16" s="161"/>
      <c r="RD16" s="161"/>
      <c r="RE16" s="161"/>
      <c r="RF16" s="161"/>
      <c r="RG16" s="161"/>
      <c r="RH16" s="161"/>
      <c r="RI16" s="161"/>
      <c r="RJ16" s="161"/>
      <c r="RK16" s="161"/>
      <c r="RL16" s="161"/>
      <c r="RM16" s="161"/>
      <c r="RN16" s="161"/>
      <c r="RO16" s="161"/>
      <c r="RP16" s="161"/>
      <c r="RQ16" s="161"/>
      <c r="RR16" s="161"/>
      <c r="RS16" s="161"/>
      <c r="RT16" s="161"/>
      <c r="RU16" s="161"/>
      <c r="RV16" s="161"/>
      <c r="RW16" s="161"/>
      <c r="RX16" s="161"/>
      <c r="RY16" s="161"/>
      <c r="RZ16" s="161"/>
      <c r="SA16" s="161"/>
      <c r="SB16" s="161"/>
      <c r="SC16" s="161"/>
      <c r="SD16" s="161"/>
      <c r="SE16" s="161"/>
      <c r="SF16" s="161"/>
      <c r="SG16" s="161"/>
      <c r="SH16" s="161"/>
      <c r="SI16" s="161"/>
      <c r="SJ16" s="161"/>
      <c r="SK16" s="161"/>
      <c r="SL16" s="161"/>
      <c r="SM16" s="161"/>
      <c r="SN16" s="161"/>
      <c r="SO16" s="161"/>
      <c r="SP16" s="161"/>
      <c r="SQ16" s="161"/>
      <c r="SR16" s="161"/>
      <c r="SS16" s="161"/>
      <c r="ST16" s="161"/>
      <c r="SU16" s="161"/>
      <c r="SV16" s="161"/>
      <c r="SW16" s="161"/>
      <c r="SX16" s="161"/>
      <c r="SY16" s="161"/>
      <c r="SZ16" s="161"/>
      <c r="TA16" s="161"/>
      <c r="TB16" s="161"/>
      <c r="TC16" s="161"/>
      <c r="TD16" s="161"/>
      <c r="TE16" s="161"/>
      <c r="TF16" s="161"/>
      <c r="TG16" s="161"/>
      <c r="TH16" s="161"/>
      <c r="TI16" s="161"/>
      <c r="TJ16" s="161"/>
      <c r="TK16" s="161"/>
      <c r="TL16" s="161"/>
      <c r="TM16" s="161"/>
      <c r="TN16" s="161"/>
      <c r="TO16" s="161"/>
      <c r="TP16" s="161"/>
      <c r="TQ16" s="161"/>
      <c r="TR16" s="161"/>
      <c r="TS16" s="161"/>
      <c r="TT16" s="161"/>
      <c r="TU16" s="161"/>
      <c r="TV16" s="161"/>
      <c r="TW16" s="161"/>
      <c r="TX16" s="161"/>
      <c r="TY16" s="161"/>
      <c r="TZ16" s="161"/>
      <c r="UA16" s="161"/>
      <c r="UB16" s="161"/>
      <c r="UC16" s="161"/>
      <c r="UD16" s="161"/>
      <c r="UE16" s="161"/>
      <c r="UF16" s="161"/>
      <c r="UG16" s="161"/>
      <c r="UH16" s="161"/>
      <c r="UI16" s="161"/>
      <c r="UJ16" s="161"/>
      <c r="UK16" s="161"/>
      <c r="UL16" s="161"/>
      <c r="UM16" s="161"/>
      <c r="UN16" s="161"/>
      <c r="UO16" s="161"/>
      <c r="UP16" s="161"/>
      <c r="UQ16" s="161"/>
      <c r="UR16" s="161"/>
      <c r="US16" s="161"/>
      <c r="UT16" s="161"/>
      <c r="UU16" s="161"/>
      <c r="UV16" s="161"/>
      <c r="UW16" s="161"/>
      <c r="UX16" s="161"/>
      <c r="UY16" s="161"/>
      <c r="UZ16" s="161"/>
      <c r="VA16" s="161"/>
      <c r="VB16" s="161"/>
      <c r="VC16" s="161"/>
      <c r="VD16" s="161"/>
      <c r="VE16" s="161"/>
      <c r="VF16" s="161"/>
      <c r="VG16" s="161"/>
      <c r="VH16" s="161"/>
      <c r="VI16" s="161"/>
      <c r="VJ16" s="161"/>
      <c r="VK16" s="161"/>
      <c r="VL16" s="161"/>
      <c r="VM16" s="161"/>
      <c r="VN16" s="161"/>
      <c r="VO16" s="161"/>
      <c r="VP16" s="161"/>
      <c r="VQ16" s="161"/>
      <c r="VR16" s="161"/>
      <c r="VS16" s="161"/>
      <c r="VT16" s="161"/>
      <c r="VU16" s="161"/>
      <c r="VV16" s="161"/>
      <c r="VW16" s="161"/>
      <c r="VX16" s="161"/>
      <c r="VY16" s="161"/>
      <c r="VZ16" s="161"/>
      <c r="WA16" s="161"/>
      <c r="WB16" s="161"/>
      <c r="WC16" s="161"/>
      <c r="WD16" s="161"/>
      <c r="WE16" s="161"/>
      <c r="WF16" s="161"/>
      <c r="WG16" s="161"/>
      <c r="WH16" s="161"/>
      <c r="WI16" s="161"/>
      <c r="WJ16" s="161"/>
      <c r="WK16" s="161"/>
      <c r="WL16" s="161"/>
      <c r="WM16" s="161"/>
      <c r="WN16" s="161"/>
      <c r="WO16" s="161"/>
      <c r="WP16" s="161"/>
      <c r="WQ16" s="161"/>
      <c r="WR16" s="161"/>
      <c r="WS16" s="161"/>
      <c r="WT16" s="161"/>
      <c r="WU16" s="161"/>
      <c r="WV16" s="161"/>
      <c r="WW16" s="161"/>
      <c r="WX16" s="161"/>
      <c r="WY16" s="161"/>
      <c r="WZ16" s="161"/>
      <c r="XA16" s="161"/>
      <c r="XB16" s="161"/>
      <c r="XC16" s="161"/>
      <c r="XD16" s="161"/>
      <c r="XE16" s="161"/>
      <c r="XF16" s="161"/>
      <c r="XG16" s="161"/>
      <c r="XH16" s="161"/>
      <c r="XI16" s="161"/>
      <c r="XJ16" s="161"/>
      <c r="XK16" s="161"/>
      <c r="XL16" s="161"/>
      <c r="XM16" s="161"/>
      <c r="XN16" s="161"/>
      <c r="XO16" s="161"/>
      <c r="XP16" s="161"/>
      <c r="XQ16" s="161"/>
      <c r="XR16" s="161"/>
      <c r="XS16" s="161"/>
      <c r="XT16" s="161"/>
      <c r="XU16" s="161"/>
      <c r="XV16" s="161"/>
      <c r="XW16" s="161"/>
      <c r="XX16" s="161"/>
      <c r="XY16" s="161"/>
      <c r="XZ16" s="161"/>
      <c r="YA16" s="161"/>
      <c r="YB16" s="161"/>
      <c r="YC16" s="161"/>
      <c r="YD16" s="161"/>
      <c r="YE16" s="161"/>
      <c r="YF16" s="161"/>
      <c r="YG16" s="161"/>
      <c r="YH16" s="161"/>
      <c r="YI16" s="161"/>
      <c r="YJ16" s="161"/>
      <c r="YK16" s="161"/>
      <c r="YL16" s="161"/>
      <c r="YM16" s="161"/>
      <c r="YN16" s="161"/>
      <c r="YO16" s="161"/>
      <c r="YP16" s="161"/>
      <c r="YQ16" s="161"/>
      <c r="YR16" s="161"/>
      <c r="YS16" s="161"/>
      <c r="YT16" s="161"/>
      <c r="YU16" s="161"/>
      <c r="YV16" s="161"/>
      <c r="YW16" s="161"/>
      <c r="YX16" s="161"/>
      <c r="YY16" s="161"/>
      <c r="YZ16" s="161"/>
      <c r="ZA16" s="161"/>
      <c r="ZB16" s="161"/>
      <c r="ZC16" s="161"/>
      <c r="ZD16" s="161"/>
      <c r="ZE16" s="161"/>
      <c r="ZF16" s="161"/>
      <c r="ZG16" s="161"/>
      <c r="ZH16" s="161"/>
      <c r="ZI16" s="161"/>
      <c r="ZJ16" s="161"/>
      <c r="ZK16" s="161"/>
      <c r="ZL16" s="161"/>
      <c r="ZM16" s="161"/>
      <c r="ZN16" s="161"/>
      <c r="ZO16" s="161"/>
      <c r="ZP16" s="161"/>
      <c r="ZQ16" s="161"/>
      <c r="ZR16" s="161"/>
      <c r="ZS16" s="161"/>
      <c r="ZT16" s="161"/>
      <c r="ZU16" s="161"/>
      <c r="ZV16" s="161"/>
      <c r="ZW16" s="161"/>
      <c r="ZX16" s="161"/>
      <c r="ZY16" s="161"/>
      <c r="ZZ16" s="161"/>
      <c r="AAA16" s="161"/>
      <c r="AAB16" s="161"/>
      <c r="AAC16" s="161"/>
      <c r="AAD16" s="161"/>
      <c r="AAE16" s="161"/>
      <c r="AAF16" s="161"/>
      <c r="AAG16" s="161"/>
      <c r="AAH16" s="161"/>
      <c r="AAI16" s="161"/>
      <c r="AAJ16" s="161"/>
      <c r="AAK16" s="161"/>
      <c r="AAL16" s="161"/>
      <c r="AAM16" s="161"/>
      <c r="AAN16" s="161"/>
      <c r="AAO16" s="161"/>
      <c r="AAP16" s="161"/>
      <c r="AAQ16" s="161"/>
      <c r="AAR16" s="161"/>
      <c r="AAS16" s="161"/>
      <c r="AAT16" s="161"/>
      <c r="AAU16" s="161"/>
      <c r="AAV16" s="161"/>
      <c r="AAW16" s="161"/>
      <c r="AAX16" s="161"/>
      <c r="AAY16" s="161"/>
      <c r="AAZ16" s="161"/>
      <c r="ABA16" s="161"/>
      <c r="ABB16" s="161"/>
      <c r="ABC16" s="161"/>
      <c r="ABD16" s="161"/>
      <c r="ABE16" s="161"/>
      <c r="ABF16" s="161"/>
      <c r="ABG16" s="161"/>
      <c r="ABH16" s="161"/>
      <c r="ABI16" s="161"/>
      <c r="ABJ16" s="161"/>
      <c r="ABK16" s="161"/>
      <c r="ABL16" s="161"/>
      <c r="ABM16" s="161"/>
      <c r="ABN16" s="161"/>
      <c r="ABO16" s="161"/>
      <c r="ABP16" s="161"/>
      <c r="ABQ16" s="161"/>
      <c r="ABR16" s="161"/>
      <c r="ABS16" s="161"/>
      <c r="ABT16" s="161"/>
      <c r="ABU16" s="161"/>
      <c r="ABV16" s="161"/>
      <c r="ABW16" s="161"/>
      <c r="ABX16" s="161"/>
      <c r="ABY16" s="161"/>
      <c r="ABZ16" s="161"/>
      <c r="ACA16" s="161"/>
      <c r="ACB16" s="161"/>
      <c r="ACC16" s="161"/>
      <c r="ACD16" s="161"/>
      <c r="ACE16" s="161"/>
      <c r="ACF16" s="161"/>
      <c r="ACG16" s="161"/>
      <c r="ACH16" s="161"/>
      <c r="ACI16" s="161"/>
      <c r="ACJ16" s="161"/>
      <c r="ACK16" s="161"/>
      <c r="ACL16" s="161"/>
      <c r="ACM16" s="161"/>
      <c r="ACN16" s="161"/>
      <c r="ACO16" s="161"/>
      <c r="ACP16" s="161"/>
      <c r="ACQ16" s="161"/>
      <c r="ACR16" s="161"/>
      <c r="ACS16" s="161"/>
      <c r="ACT16" s="161"/>
      <c r="ACU16" s="161"/>
      <c r="ACV16" s="161"/>
      <c r="ACW16" s="161"/>
      <c r="ACX16" s="161"/>
      <c r="ACY16" s="161"/>
      <c r="ACZ16" s="161"/>
      <c r="ADA16" s="161"/>
      <c r="ADB16" s="161"/>
      <c r="ADC16" s="161"/>
      <c r="ADD16" s="161"/>
      <c r="ADE16" s="161"/>
      <c r="ADF16" s="161"/>
      <c r="ADG16" s="161"/>
      <c r="ADH16" s="161"/>
      <c r="ADI16" s="161"/>
      <c r="ADJ16" s="161"/>
      <c r="ADK16" s="161"/>
      <c r="ADL16" s="161"/>
      <c r="ADM16" s="161"/>
      <c r="ADN16" s="161"/>
      <c r="ADO16" s="161"/>
      <c r="ADP16" s="161"/>
      <c r="ADQ16" s="161"/>
      <c r="ADR16" s="161"/>
      <c r="ADS16" s="161"/>
      <c r="ADT16" s="161"/>
      <c r="ADU16" s="161"/>
      <c r="ADV16" s="161"/>
      <c r="ADW16" s="161"/>
      <c r="ADX16" s="161"/>
      <c r="ADY16" s="161"/>
      <c r="ADZ16" s="161"/>
      <c r="AEA16" s="161"/>
      <c r="AEB16" s="161"/>
      <c r="AEC16" s="161"/>
      <c r="AED16" s="161"/>
      <c r="AEE16" s="161"/>
      <c r="AEF16" s="161"/>
      <c r="AEG16" s="161"/>
      <c r="AEH16" s="161"/>
      <c r="AEI16" s="161"/>
      <c r="AEJ16" s="161"/>
      <c r="AEK16" s="161"/>
      <c r="AEL16" s="161"/>
      <c r="AEM16" s="161"/>
      <c r="AEN16" s="161"/>
      <c r="AEO16" s="161"/>
      <c r="AEP16" s="161"/>
      <c r="AEQ16" s="161"/>
      <c r="AER16" s="161"/>
      <c r="AES16" s="161"/>
      <c r="AET16" s="161"/>
      <c r="AEU16" s="161"/>
      <c r="AEV16" s="161"/>
      <c r="AEW16" s="161"/>
      <c r="AEX16" s="161"/>
      <c r="AEY16" s="161"/>
      <c r="AEZ16" s="161"/>
      <c r="AFA16" s="161"/>
      <c r="AFB16" s="161"/>
      <c r="AFC16" s="161"/>
      <c r="AFD16" s="161"/>
      <c r="AFE16" s="161"/>
      <c r="AFF16" s="161"/>
      <c r="AFG16" s="161"/>
      <c r="AFH16" s="161"/>
      <c r="AFI16" s="161"/>
      <c r="AFJ16" s="161"/>
      <c r="AFK16" s="161"/>
      <c r="AFL16" s="161"/>
      <c r="AFM16" s="161"/>
      <c r="AFN16" s="161"/>
      <c r="AFO16" s="161"/>
      <c r="AFP16" s="161"/>
      <c r="AFQ16" s="161"/>
      <c r="AFR16" s="161"/>
      <c r="AFS16" s="161"/>
      <c r="AFT16" s="161"/>
      <c r="AFU16" s="161"/>
      <c r="AFV16" s="161"/>
      <c r="AFW16" s="161"/>
      <c r="AFX16" s="161"/>
      <c r="AFY16" s="161"/>
      <c r="AFZ16" s="161"/>
      <c r="AGA16" s="161"/>
      <c r="AGB16" s="161"/>
      <c r="AGC16" s="161"/>
      <c r="AGD16" s="161"/>
      <c r="AGE16" s="161"/>
      <c r="AGF16" s="161"/>
      <c r="AGG16" s="161"/>
      <c r="AGH16" s="161"/>
      <c r="AGI16" s="161"/>
      <c r="AGJ16" s="161"/>
      <c r="AGK16" s="161"/>
      <c r="AGL16" s="161"/>
      <c r="AGM16" s="161"/>
      <c r="AGN16" s="161"/>
      <c r="AGO16" s="161"/>
      <c r="AGP16" s="161"/>
      <c r="AGQ16" s="161"/>
      <c r="AGR16" s="161"/>
      <c r="AGS16" s="161"/>
      <c r="AGT16" s="161"/>
      <c r="AGU16" s="161"/>
      <c r="AGV16" s="161"/>
      <c r="AGW16" s="161"/>
      <c r="AGX16" s="161"/>
      <c r="AGY16" s="161"/>
      <c r="AGZ16" s="161"/>
      <c r="AHA16" s="161"/>
      <c r="AHB16" s="161"/>
      <c r="AHC16" s="161"/>
      <c r="AHD16" s="161"/>
      <c r="AHE16" s="161"/>
      <c r="AHF16" s="161"/>
      <c r="AHG16" s="161"/>
      <c r="AHH16" s="161"/>
      <c r="AHI16" s="161"/>
      <c r="AHJ16" s="161"/>
      <c r="AHK16" s="161"/>
      <c r="AHL16" s="161"/>
      <c r="AHM16" s="161"/>
      <c r="AHN16" s="161"/>
      <c r="AHO16" s="161"/>
      <c r="AHP16" s="161"/>
      <c r="AHQ16" s="161"/>
      <c r="AHR16" s="161"/>
      <c r="AHS16" s="161"/>
      <c r="AHT16" s="161"/>
      <c r="AHU16" s="161"/>
      <c r="AHV16" s="161"/>
      <c r="AHW16" s="161"/>
      <c r="AHX16" s="161"/>
      <c r="AHY16" s="161"/>
      <c r="AHZ16" s="161"/>
      <c r="AIA16" s="161"/>
      <c r="AIB16" s="161"/>
      <c r="AIC16" s="161"/>
      <c r="AID16" s="161"/>
      <c r="AIE16" s="161"/>
      <c r="AIF16" s="161"/>
    </row>
    <row r="17" spans="1:916" s="21" customFormat="1" ht="12.75">
      <c r="A17" s="308"/>
      <c r="B17" s="309" t="s">
        <v>105</v>
      </c>
      <c r="C17" s="174" t="s">
        <v>378</v>
      </c>
      <c r="D17" s="174"/>
      <c r="E17" s="310"/>
      <c r="F17" s="144">
        <f>'SF New Construction {G}'!A$16</f>
        <v>15.974835638177284</v>
      </c>
      <c r="G17" s="304" t="s">
        <v>365</v>
      </c>
      <c r="H17" s="258">
        <f>'SF New Construction {G}'!A$10</f>
        <v>13233</v>
      </c>
      <c r="I17" s="259">
        <f>'SF New Construction {G}'!A$8</f>
        <v>33646.69</v>
      </c>
      <c r="J17" s="259">
        <f>'SF New Construction {G}'!A$12</f>
        <v>35500</v>
      </c>
      <c r="K17" s="259">
        <f>'SF New Construction {G}'!A$14</f>
        <v>44052.819999999701</v>
      </c>
      <c r="L17" s="259">
        <f>SUM('SF New Construction {G}'!Q$5:Q$1000)</f>
        <v>79552.819999999701</v>
      </c>
      <c r="M17" s="259"/>
      <c r="N17" s="260">
        <f>'SF New Construction {G}'!A$18</f>
        <v>63146.69</v>
      </c>
      <c r="O17" s="259">
        <f>'SF New Construction {G}'!A$20</f>
        <v>113199.5099999997</v>
      </c>
      <c r="P17" s="259">
        <f>SUM('SF New Construction {G}'!R$5:R$1000)</f>
        <v>23.590000000000003</v>
      </c>
      <c r="Q17" s="261">
        <f t="shared" si="0"/>
        <v>59032.149200710475</v>
      </c>
      <c r="R17" s="261">
        <f t="shared" si="4"/>
        <v>105823.60474899475</v>
      </c>
      <c r="S17" s="259">
        <f>SUM('SF New Construction {G}'!AM$5:AM$1000)</f>
        <v>145758.91878857467</v>
      </c>
      <c r="T17" s="259">
        <f>SUM('SF New Construction {G}'!AD$5:AD$1000)</f>
        <v>906.00425714286951</v>
      </c>
      <c r="U17" s="133">
        <f t="shared" si="2"/>
        <v>2.4691447077928919</v>
      </c>
      <c r="V17" s="133">
        <f t="shared" si="3"/>
        <v>1.523675320898636</v>
      </c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BU17" s="161"/>
      <c r="BV17" s="161"/>
      <c r="BW17" s="161"/>
      <c r="BX17" s="161"/>
      <c r="BY17" s="161"/>
      <c r="BZ17" s="161"/>
      <c r="CA17" s="161"/>
      <c r="CB17" s="161"/>
      <c r="CC17" s="161"/>
      <c r="CD17" s="161"/>
      <c r="CE17" s="161"/>
      <c r="CF17" s="161"/>
      <c r="CG17" s="161"/>
      <c r="CH17" s="161"/>
      <c r="CI17" s="161"/>
      <c r="CJ17" s="161"/>
      <c r="CK17" s="161"/>
      <c r="CL17" s="161"/>
      <c r="CM17" s="161"/>
      <c r="CN17" s="161"/>
      <c r="CO17" s="161"/>
      <c r="CP17" s="161"/>
      <c r="CQ17" s="161"/>
      <c r="CR17" s="161"/>
      <c r="CS17" s="161"/>
      <c r="CT17" s="161"/>
      <c r="CU17" s="161"/>
      <c r="CV17" s="161"/>
      <c r="CW17" s="161"/>
      <c r="CX17" s="161"/>
      <c r="CY17" s="161"/>
      <c r="CZ17" s="161"/>
      <c r="DA17" s="161"/>
      <c r="DB17" s="161"/>
      <c r="DC17" s="161"/>
      <c r="DD17" s="161"/>
      <c r="DE17" s="161"/>
      <c r="DF17" s="161"/>
      <c r="DG17" s="161"/>
      <c r="DH17" s="161"/>
      <c r="DI17" s="161"/>
      <c r="DJ17" s="161"/>
      <c r="DK17" s="161"/>
      <c r="DL17" s="161"/>
      <c r="DM17" s="161"/>
      <c r="DN17" s="161"/>
      <c r="DO17" s="161"/>
      <c r="DP17" s="161"/>
      <c r="DQ17" s="161"/>
      <c r="DR17" s="161"/>
      <c r="DS17" s="161"/>
      <c r="DT17" s="161"/>
      <c r="DU17" s="161"/>
      <c r="DV17" s="161"/>
      <c r="DW17" s="161"/>
      <c r="DX17" s="161"/>
      <c r="DY17" s="161"/>
      <c r="DZ17" s="161"/>
      <c r="EA17" s="161"/>
      <c r="EB17" s="161"/>
      <c r="EC17" s="161"/>
      <c r="ED17" s="161"/>
      <c r="EE17" s="161"/>
      <c r="EF17" s="161"/>
      <c r="EG17" s="161"/>
      <c r="EH17" s="161"/>
      <c r="EI17" s="161"/>
      <c r="EJ17" s="161"/>
      <c r="EK17" s="161"/>
      <c r="EL17" s="161"/>
      <c r="EM17" s="161"/>
      <c r="EN17" s="161"/>
      <c r="EO17" s="161"/>
      <c r="EP17" s="161"/>
      <c r="EQ17" s="161"/>
      <c r="ER17" s="161"/>
      <c r="ES17" s="161"/>
      <c r="ET17" s="161"/>
      <c r="EU17" s="161"/>
      <c r="EV17" s="161"/>
      <c r="EW17" s="161"/>
      <c r="EX17" s="161"/>
      <c r="EY17" s="161"/>
      <c r="EZ17" s="161"/>
      <c r="FA17" s="161"/>
      <c r="FB17" s="161"/>
      <c r="FC17" s="161"/>
      <c r="FD17" s="161"/>
      <c r="FE17" s="161"/>
      <c r="FF17" s="161"/>
      <c r="FG17" s="161"/>
      <c r="FH17" s="161"/>
      <c r="FI17" s="161"/>
      <c r="FJ17" s="161"/>
      <c r="FK17" s="161"/>
      <c r="FL17" s="161"/>
      <c r="FM17" s="161"/>
      <c r="FN17" s="161"/>
      <c r="FO17" s="161"/>
      <c r="FP17" s="161"/>
      <c r="FQ17" s="161"/>
      <c r="FR17" s="161"/>
      <c r="FS17" s="161"/>
      <c r="FT17" s="161"/>
      <c r="FU17" s="161"/>
      <c r="FV17" s="161"/>
      <c r="FW17" s="161"/>
      <c r="FX17" s="161"/>
      <c r="FY17" s="161"/>
      <c r="FZ17" s="161"/>
      <c r="GA17" s="161"/>
      <c r="GB17" s="161"/>
      <c r="GC17" s="161"/>
      <c r="GD17" s="161"/>
      <c r="GE17" s="161"/>
      <c r="GF17" s="161"/>
      <c r="GG17" s="161"/>
      <c r="GH17" s="161"/>
      <c r="GI17" s="161"/>
      <c r="GJ17" s="161"/>
      <c r="GK17" s="161"/>
      <c r="GL17" s="161"/>
      <c r="GM17" s="161"/>
      <c r="GN17" s="161"/>
      <c r="GO17" s="161"/>
      <c r="GP17" s="161"/>
      <c r="GQ17" s="161"/>
      <c r="GR17" s="161"/>
      <c r="GS17" s="161"/>
      <c r="GT17" s="161"/>
      <c r="GU17" s="161"/>
      <c r="GV17" s="161"/>
      <c r="GW17" s="161"/>
      <c r="GX17" s="161"/>
      <c r="GY17" s="161"/>
      <c r="GZ17" s="161"/>
      <c r="HA17" s="161"/>
      <c r="HB17" s="161"/>
      <c r="HC17" s="161"/>
      <c r="HD17" s="161"/>
      <c r="HE17" s="161"/>
      <c r="HF17" s="161"/>
      <c r="HG17" s="161"/>
      <c r="HH17" s="161"/>
      <c r="HI17" s="161"/>
      <c r="HJ17" s="161"/>
      <c r="HK17" s="161"/>
      <c r="HL17" s="161"/>
      <c r="HM17" s="161"/>
      <c r="HN17" s="161"/>
      <c r="HO17" s="161"/>
      <c r="HP17" s="161"/>
      <c r="HQ17" s="161"/>
      <c r="HR17" s="161"/>
      <c r="HS17" s="161"/>
      <c r="HT17" s="161"/>
      <c r="HU17" s="161"/>
      <c r="HV17" s="161"/>
      <c r="HW17" s="161"/>
      <c r="HX17" s="161"/>
      <c r="HY17" s="161"/>
      <c r="HZ17" s="161"/>
      <c r="IA17" s="161"/>
      <c r="IB17" s="161"/>
      <c r="IC17" s="161"/>
      <c r="ID17" s="161"/>
      <c r="IE17" s="161"/>
      <c r="IF17" s="161"/>
      <c r="IG17" s="161"/>
      <c r="IH17" s="161"/>
      <c r="II17" s="161"/>
      <c r="IJ17" s="161"/>
      <c r="IK17" s="161"/>
      <c r="IL17" s="161"/>
      <c r="IM17" s="161"/>
      <c r="IN17" s="161"/>
      <c r="IO17" s="161"/>
      <c r="IP17" s="161"/>
      <c r="IQ17" s="161"/>
      <c r="IR17" s="161"/>
      <c r="IS17" s="161"/>
      <c r="IT17" s="161"/>
      <c r="IU17" s="161"/>
      <c r="IV17" s="161"/>
      <c r="IW17" s="161"/>
      <c r="IX17" s="161"/>
      <c r="IY17" s="161"/>
      <c r="IZ17" s="161"/>
      <c r="JA17" s="161"/>
      <c r="JB17" s="161"/>
      <c r="JC17" s="161"/>
      <c r="JD17" s="161"/>
      <c r="JE17" s="161"/>
      <c r="JF17" s="161"/>
      <c r="JG17" s="161"/>
      <c r="JH17" s="161"/>
      <c r="JI17" s="161"/>
      <c r="JJ17" s="161"/>
      <c r="JK17" s="161"/>
      <c r="JL17" s="161"/>
      <c r="JM17" s="161"/>
      <c r="JN17" s="161"/>
      <c r="JO17" s="161"/>
      <c r="JP17" s="161"/>
      <c r="JQ17" s="161"/>
      <c r="JR17" s="161"/>
      <c r="JS17" s="161"/>
      <c r="JT17" s="161"/>
      <c r="JU17" s="161"/>
      <c r="JV17" s="161"/>
      <c r="JW17" s="161"/>
      <c r="JX17" s="161"/>
      <c r="JY17" s="161"/>
      <c r="JZ17" s="161"/>
      <c r="KA17" s="161"/>
      <c r="KB17" s="161"/>
      <c r="KC17" s="161"/>
      <c r="KD17" s="161"/>
      <c r="KE17" s="161"/>
      <c r="KF17" s="161"/>
      <c r="KG17" s="161"/>
      <c r="KH17" s="161"/>
      <c r="KI17" s="161"/>
      <c r="KJ17" s="161"/>
      <c r="KK17" s="161"/>
      <c r="KL17" s="161"/>
      <c r="KM17" s="161"/>
      <c r="KN17" s="161"/>
      <c r="KO17" s="161"/>
      <c r="KP17" s="161"/>
      <c r="KQ17" s="161"/>
      <c r="KR17" s="161"/>
      <c r="KS17" s="161"/>
      <c r="KT17" s="161"/>
      <c r="KU17" s="161"/>
      <c r="KV17" s="161"/>
      <c r="KW17" s="161"/>
      <c r="KX17" s="161"/>
      <c r="KY17" s="161"/>
      <c r="KZ17" s="161"/>
      <c r="LA17" s="161"/>
      <c r="LB17" s="161"/>
      <c r="LC17" s="161"/>
      <c r="LD17" s="161"/>
      <c r="LE17" s="161"/>
      <c r="LF17" s="161"/>
      <c r="LG17" s="161"/>
      <c r="LH17" s="161"/>
      <c r="LI17" s="161"/>
      <c r="LJ17" s="161"/>
      <c r="LK17" s="161"/>
      <c r="LL17" s="161"/>
      <c r="LM17" s="161"/>
      <c r="LN17" s="161"/>
      <c r="LO17" s="161"/>
      <c r="LP17" s="161"/>
      <c r="LQ17" s="161"/>
      <c r="LR17" s="161"/>
      <c r="LS17" s="161"/>
      <c r="LT17" s="161"/>
      <c r="LU17" s="161"/>
      <c r="LV17" s="161"/>
      <c r="LW17" s="161"/>
      <c r="LX17" s="161"/>
      <c r="LY17" s="161"/>
      <c r="LZ17" s="161"/>
      <c r="MA17" s="161"/>
      <c r="MB17" s="161"/>
      <c r="MC17" s="161"/>
      <c r="MD17" s="161"/>
      <c r="ME17" s="161"/>
      <c r="MF17" s="161"/>
      <c r="MG17" s="161"/>
      <c r="MH17" s="161"/>
      <c r="MI17" s="161"/>
      <c r="MJ17" s="161"/>
      <c r="MK17" s="161"/>
      <c r="ML17" s="161"/>
      <c r="MM17" s="161"/>
      <c r="MN17" s="161"/>
      <c r="MO17" s="161"/>
      <c r="MP17" s="161"/>
      <c r="MQ17" s="161"/>
      <c r="MR17" s="161"/>
      <c r="MS17" s="161"/>
      <c r="MT17" s="161"/>
      <c r="MU17" s="161"/>
      <c r="MV17" s="161"/>
      <c r="MW17" s="161"/>
      <c r="MX17" s="161"/>
      <c r="MY17" s="161"/>
      <c r="MZ17" s="161"/>
      <c r="NA17" s="161"/>
      <c r="NB17" s="161"/>
      <c r="NC17" s="161"/>
      <c r="ND17" s="161"/>
      <c r="NE17" s="161"/>
      <c r="NF17" s="161"/>
      <c r="NG17" s="161"/>
      <c r="NH17" s="161"/>
      <c r="NI17" s="161"/>
      <c r="NJ17" s="161"/>
      <c r="NK17" s="161"/>
      <c r="NL17" s="161"/>
      <c r="NM17" s="161"/>
      <c r="NN17" s="161"/>
      <c r="NO17" s="161"/>
      <c r="NP17" s="161"/>
      <c r="NQ17" s="161"/>
      <c r="NR17" s="161"/>
      <c r="NS17" s="161"/>
      <c r="NT17" s="161"/>
      <c r="NU17" s="161"/>
      <c r="NV17" s="161"/>
      <c r="NW17" s="161"/>
      <c r="NX17" s="161"/>
      <c r="NY17" s="161"/>
      <c r="NZ17" s="161"/>
      <c r="OA17" s="161"/>
      <c r="OB17" s="161"/>
      <c r="OC17" s="161"/>
      <c r="OD17" s="161"/>
      <c r="OE17" s="161"/>
      <c r="OF17" s="161"/>
      <c r="OG17" s="161"/>
      <c r="OH17" s="161"/>
      <c r="OI17" s="161"/>
      <c r="OJ17" s="161"/>
      <c r="OK17" s="161"/>
      <c r="OL17" s="161"/>
      <c r="OM17" s="161"/>
      <c r="ON17" s="161"/>
      <c r="OO17" s="161"/>
      <c r="OP17" s="161"/>
      <c r="OQ17" s="161"/>
      <c r="OR17" s="161"/>
      <c r="OS17" s="161"/>
      <c r="OT17" s="161"/>
      <c r="OU17" s="161"/>
      <c r="OV17" s="161"/>
      <c r="OW17" s="161"/>
      <c r="OX17" s="161"/>
      <c r="OY17" s="161"/>
      <c r="OZ17" s="161"/>
      <c r="PA17" s="161"/>
      <c r="PB17" s="161"/>
      <c r="PC17" s="161"/>
      <c r="PD17" s="161"/>
      <c r="PE17" s="161"/>
      <c r="PF17" s="161"/>
      <c r="PG17" s="161"/>
      <c r="PH17" s="161"/>
      <c r="PI17" s="161"/>
      <c r="PJ17" s="161"/>
      <c r="PK17" s="161"/>
      <c r="PL17" s="161"/>
      <c r="PM17" s="161"/>
      <c r="PN17" s="161"/>
      <c r="PO17" s="161"/>
      <c r="PP17" s="161"/>
      <c r="PQ17" s="161"/>
      <c r="PR17" s="161"/>
      <c r="PS17" s="161"/>
      <c r="PT17" s="161"/>
      <c r="PU17" s="161"/>
      <c r="PV17" s="161"/>
      <c r="PW17" s="161"/>
      <c r="PX17" s="161"/>
      <c r="PY17" s="161"/>
      <c r="PZ17" s="161"/>
      <c r="QA17" s="161"/>
      <c r="QB17" s="161"/>
      <c r="QC17" s="161"/>
      <c r="QD17" s="161"/>
      <c r="QE17" s="161"/>
      <c r="QF17" s="161"/>
      <c r="QG17" s="161"/>
      <c r="QH17" s="161"/>
      <c r="QI17" s="161"/>
      <c r="QJ17" s="161"/>
      <c r="QK17" s="161"/>
      <c r="QL17" s="161"/>
      <c r="QM17" s="161"/>
      <c r="QN17" s="161"/>
      <c r="QO17" s="161"/>
      <c r="QP17" s="161"/>
      <c r="QQ17" s="161"/>
      <c r="QR17" s="161"/>
      <c r="QS17" s="161"/>
      <c r="QT17" s="161"/>
      <c r="QU17" s="161"/>
      <c r="QV17" s="161"/>
      <c r="QW17" s="161"/>
      <c r="QX17" s="161"/>
      <c r="QY17" s="161"/>
      <c r="QZ17" s="161"/>
      <c r="RA17" s="161"/>
      <c r="RB17" s="161"/>
      <c r="RC17" s="161"/>
      <c r="RD17" s="161"/>
      <c r="RE17" s="161"/>
      <c r="RF17" s="161"/>
      <c r="RG17" s="161"/>
      <c r="RH17" s="161"/>
      <c r="RI17" s="161"/>
      <c r="RJ17" s="161"/>
      <c r="RK17" s="161"/>
      <c r="RL17" s="161"/>
      <c r="RM17" s="161"/>
      <c r="RN17" s="161"/>
      <c r="RO17" s="161"/>
      <c r="RP17" s="161"/>
      <c r="RQ17" s="161"/>
      <c r="RR17" s="161"/>
      <c r="RS17" s="161"/>
      <c r="RT17" s="161"/>
      <c r="RU17" s="161"/>
      <c r="RV17" s="161"/>
      <c r="RW17" s="161"/>
      <c r="RX17" s="161"/>
      <c r="RY17" s="161"/>
      <c r="RZ17" s="161"/>
      <c r="SA17" s="161"/>
      <c r="SB17" s="161"/>
      <c r="SC17" s="161"/>
      <c r="SD17" s="161"/>
      <c r="SE17" s="161"/>
      <c r="SF17" s="161"/>
      <c r="SG17" s="161"/>
      <c r="SH17" s="161"/>
      <c r="SI17" s="161"/>
      <c r="SJ17" s="161"/>
      <c r="SK17" s="161"/>
      <c r="SL17" s="161"/>
      <c r="SM17" s="161"/>
      <c r="SN17" s="161"/>
      <c r="SO17" s="161"/>
      <c r="SP17" s="161"/>
      <c r="SQ17" s="161"/>
      <c r="SR17" s="161"/>
      <c r="SS17" s="161"/>
      <c r="ST17" s="161"/>
      <c r="SU17" s="161"/>
      <c r="SV17" s="161"/>
      <c r="SW17" s="161"/>
      <c r="SX17" s="161"/>
      <c r="SY17" s="161"/>
      <c r="SZ17" s="161"/>
      <c r="TA17" s="161"/>
      <c r="TB17" s="161"/>
      <c r="TC17" s="161"/>
      <c r="TD17" s="161"/>
      <c r="TE17" s="161"/>
      <c r="TF17" s="161"/>
      <c r="TG17" s="161"/>
      <c r="TH17" s="161"/>
      <c r="TI17" s="161"/>
      <c r="TJ17" s="161"/>
      <c r="TK17" s="161"/>
      <c r="TL17" s="161"/>
      <c r="TM17" s="161"/>
      <c r="TN17" s="161"/>
      <c r="TO17" s="161"/>
      <c r="TP17" s="161"/>
      <c r="TQ17" s="161"/>
      <c r="TR17" s="161"/>
      <c r="TS17" s="161"/>
      <c r="TT17" s="161"/>
      <c r="TU17" s="161"/>
      <c r="TV17" s="161"/>
      <c r="TW17" s="161"/>
      <c r="TX17" s="161"/>
      <c r="TY17" s="161"/>
      <c r="TZ17" s="161"/>
      <c r="UA17" s="161"/>
      <c r="UB17" s="161"/>
      <c r="UC17" s="161"/>
      <c r="UD17" s="161"/>
      <c r="UE17" s="161"/>
      <c r="UF17" s="161"/>
      <c r="UG17" s="161"/>
      <c r="UH17" s="161"/>
      <c r="UI17" s="161"/>
      <c r="UJ17" s="161"/>
      <c r="UK17" s="161"/>
      <c r="UL17" s="161"/>
      <c r="UM17" s="161"/>
      <c r="UN17" s="161"/>
      <c r="UO17" s="161"/>
      <c r="UP17" s="161"/>
      <c r="UQ17" s="161"/>
      <c r="UR17" s="161"/>
      <c r="US17" s="161"/>
      <c r="UT17" s="161"/>
      <c r="UU17" s="161"/>
      <c r="UV17" s="161"/>
      <c r="UW17" s="161"/>
      <c r="UX17" s="161"/>
      <c r="UY17" s="161"/>
      <c r="UZ17" s="161"/>
      <c r="VA17" s="161"/>
      <c r="VB17" s="161"/>
      <c r="VC17" s="161"/>
      <c r="VD17" s="161"/>
      <c r="VE17" s="161"/>
      <c r="VF17" s="161"/>
      <c r="VG17" s="161"/>
      <c r="VH17" s="161"/>
      <c r="VI17" s="161"/>
      <c r="VJ17" s="161"/>
      <c r="VK17" s="161"/>
      <c r="VL17" s="161"/>
      <c r="VM17" s="161"/>
      <c r="VN17" s="161"/>
      <c r="VO17" s="161"/>
      <c r="VP17" s="161"/>
      <c r="VQ17" s="161"/>
      <c r="VR17" s="161"/>
      <c r="VS17" s="161"/>
      <c r="VT17" s="161"/>
      <c r="VU17" s="161"/>
      <c r="VV17" s="161"/>
      <c r="VW17" s="161"/>
      <c r="VX17" s="161"/>
      <c r="VY17" s="161"/>
      <c r="VZ17" s="161"/>
      <c r="WA17" s="161"/>
      <c r="WB17" s="161"/>
      <c r="WC17" s="161"/>
      <c r="WD17" s="161"/>
      <c r="WE17" s="161"/>
      <c r="WF17" s="161"/>
      <c r="WG17" s="161"/>
      <c r="WH17" s="161"/>
      <c r="WI17" s="161"/>
      <c r="WJ17" s="161"/>
      <c r="WK17" s="161"/>
      <c r="WL17" s="161"/>
      <c r="WM17" s="161"/>
      <c r="WN17" s="161"/>
      <c r="WO17" s="161"/>
      <c r="WP17" s="161"/>
      <c r="WQ17" s="161"/>
      <c r="WR17" s="161"/>
      <c r="WS17" s="161"/>
      <c r="WT17" s="161"/>
      <c r="WU17" s="161"/>
      <c r="WV17" s="161"/>
      <c r="WW17" s="161"/>
      <c r="WX17" s="161"/>
      <c r="WY17" s="161"/>
      <c r="WZ17" s="161"/>
      <c r="XA17" s="161"/>
      <c r="XB17" s="161"/>
      <c r="XC17" s="161"/>
      <c r="XD17" s="161"/>
      <c r="XE17" s="161"/>
      <c r="XF17" s="161"/>
      <c r="XG17" s="161"/>
      <c r="XH17" s="161"/>
      <c r="XI17" s="161"/>
      <c r="XJ17" s="161"/>
      <c r="XK17" s="161"/>
      <c r="XL17" s="161"/>
      <c r="XM17" s="161"/>
      <c r="XN17" s="161"/>
      <c r="XO17" s="161"/>
      <c r="XP17" s="161"/>
      <c r="XQ17" s="161"/>
      <c r="XR17" s="161"/>
      <c r="XS17" s="161"/>
      <c r="XT17" s="161"/>
      <c r="XU17" s="161"/>
      <c r="XV17" s="161"/>
      <c r="XW17" s="161"/>
      <c r="XX17" s="161"/>
      <c r="XY17" s="161"/>
      <c r="XZ17" s="161"/>
      <c r="YA17" s="161"/>
      <c r="YB17" s="161"/>
      <c r="YC17" s="161"/>
      <c r="YD17" s="161"/>
      <c r="YE17" s="161"/>
      <c r="YF17" s="161"/>
      <c r="YG17" s="161"/>
      <c r="YH17" s="161"/>
      <c r="YI17" s="161"/>
      <c r="YJ17" s="161"/>
      <c r="YK17" s="161"/>
      <c r="YL17" s="161"/>
      <c r="YM17" s="161"/>
      <c r="YN17" s="161"/>
      <c r="YO17" s="161"/>
      <c r="YP17" s="161"/>
      <c r="YQ17" s="161"/>
      <c r="YR17" s="161"/>
      <c r="YS17" s="161"/>
      <c r="YT17" s="161"/>
      <c r="YU17" s="161"/>
      <c r="YV17" s="161"/>
      <c r="YW17" s="161"/>
      <c r="YX17" s="161"/>
      <c r="YY17" s="161"/>
      <c r="YZ17" s="161"/>
      <c r="ZA17" s="161"/>
      <c r="ZB17" s="161"/>
      <c r="ZC17" s="161"/>
      <c r="ZD17" s="161"/>
      <c r="ZE17" s="161"/>
      <c r="ZF17" s="161"/>
      <c r="ZG17" s="161"/>
      <c r="ZH17" s="161"/>
      <c r="ZI17" s="161"/>
      <c r="ZJ17" s="161"/>
      <c r="ZK17" s="161"/>
      <c r="ZL17" s="161"/>
      <c r="ZM17" s="161"/>
      <c r="ZN17" s="161"/>
      <c r="ZO17" s="161"/>
      <c r="ZP17" s="161"/>
      <c r="ZQ17" s="161"/>
      <c r="ZR17" s="161"/>
      <c r="ZS17" s="161"/>
      <c r="ZT17" s="161"/>
      <c r="ZU17" s="161"/>
      <c r="ZV17" s="161"/>
      <c r="ZW17" s="161"/>
      <c r="ZX17" s="161"/>
      <c r="ZY17" s="161"/>
      <c r="ZZ17" s="161"/>
      <c r="AAA17" s="161"/>
      <c r="AAB17" s="161"/>
      <c r="AAC17" s="161"/>
      <c r="AAD17" s="161"/>
      <c r="AAE17" s="161"/>
      <c r="AAF17" s="161"/>
      <c r="AAG17" s="161"/>
      <c r="AAH17" s="161"/>
      <c r="AAI17" s="161"/>
      <c r="AAJ17" s="161"/>
      <c r="AAK17" s="161"/>
      <c r="AAL17" s="161"/>
      <c r="AAM17" s="161"/>
      <c r="AAN17" s="161"/>
      <c r="AAO17" s="161"/>
      <c r="AAP17" s="161"/>
      <c r="AAQ17" s="161"/>
      <c r="AAR17" s="161"/>
      <c r="AAS17" s="161"/>
      <c r="AAT17" s="161"/>
      <c r="AAU17" s="161"/>
      <c r="AAV17" s="161"/>
      <c r="AAW17" s="161"/>
      <c r="AAX17" s="161"/>
      <c r="AAY17" s="161"/>
      <c r="AAZ17" s="161"/>
      <c r="ABA17" s="161"/>
      <c r="ABB17" s="161"/>
      <c r="ABC17" s="161"/>
      <c r="ABD17" s="161"/>
      <c r="ABE17" s="161"/>
      <c r="ABF17" s="161"/>
      <c r="ABG17" s="161"/>
      <c r="ABH17" s="161"/>
      <c r="ABI17" s="161"/>
      <c r="ABJ17" s="161"/>
      <c r="ABK17" s="161"/>
      <c r="ABL17" s="161"/>
      <c r="ABM17" s="161"/>
      <c r="ABN17" s="161"/>
      <c r="ABO17" s="161"/>
      <c r="ABP17" s="161"/>
      <c r="ABQ17" s="161"/>
      <c r="ABR17" s="161"/>
      <c r="ABS17" s="161"/>
      <c r="ABT17" s="161"/>
      <c r="ABU17" s="161"/>
      <c r="ABV17" s="161"/>
      <c r="ABW17" s="161"/>
      <c r="ABX17" s="161"/>
      <c r="ABY17" s="161"/>
      <c r="ABZ17" s="161"/>
      <c r="ACA17" s="161"/>
      <c r="ACB17" s="161"/>
      <c r="ACC17" s="161"/>
      <c r="ACD17" s="161"/>
      <c r="ACE17" s="161"/>
      <c r="ACF17" s="161"/>
      <c r="ACG17" s="161"/>
      <c r="ACH17" s="161"/>
      <c r="ACI17" s="161"/>
      <c r="ACJ17" s="161"/>
      <c r="ACK17" s="161"/>
      <c r="ACL17" s="161"/>
      <c r="ACM17" s="161"/>
      <c r="ACN17" s="161"/>
      <c r="ACO17" s="161"/>
      <c r="ACP17" s="161"/>
      <c r="ACQ17" s="161"/>
      <c r="ACR17" s="161"/>
      <c r="ACS17" s="161"/>
      <c r="ACT17" s="161"/>
      <c r="ACU17" s="161"/>
      <c r="ACV17" s="161"/>
      <c r="ACW17" s="161"/>
      <c r="ACX17" s="161"/>
      <c r="ACY17" s="161"/>
      <c r="ACZ17" s="161"/>
      <c r="ADA17" s="161"/>
      <c r="ADB17" s="161"/>
      <c r="ADC17" s="161"/>
      <c r="ADD17" s="161"/>
      <c r="ADE17" s="161"/>
      <c r="ADF17" s="161"/>
      <c r="ADG17" s="161"/>
      <c r="ADH17" s="161"/>
      <c r="ADI17" s="161"/>
      <c r="ADJ17" s="161"/>
      <c r="ADK17" s="161"/>
      <c r="ADL17" s="161"/>
      <c r="ADM17" s="161"/>
      <c r="ADN17" s="161"/>
      <c r="ADO17" s="161"/>
      <c r="ADP17" s="161"/>
      <c r="ADQ17" s="161"/>
      <c r="ADR17" s="161"/>
      <c r="ADS17" s="161"/>
      <c r="ADT17" s="161"/>
      <c r="ADU17" s="161"/>
      <c r="ADV17" s="161"/>
      <c r="ADW17" s="161"/>
      <c r="ADX17" s="161"/>
      <c r="ADY17" s="161"/>
      <c r="ADZ17" s="161"/>
      <c r="AEA17" s="161"/>
      <c r="AEB17" s="161"/>
      <c r="AEC17" s="161"/>
      <c r="AED17" s="161"/>
      <c r="AEE17" s="161"/>
      <c r="AEF17" s="161"/>
      <c r="AEG17" s="161"/>
      <c r="AEH17" s="161"/>
      <c r="AEI17" s="161"/>
      <c r="AEJ17" s="161"/>
      <c r="AEK17" s="161"/>
      <c r="AEL17" s="161"/>
      <c r="AEM17" s="161"/>
      <c r="AEN17" s="161"/>
      <c r="AEO17" s="161"/>
      <c r="AEP17" s="161"/>
      <c r="AEQ17" s="161"/>
      <c r="AER17" s="161"/>
      <c r="AES17" s="161"/>
      <c r="AET17" s="161"/>
      <c r="AEU17" s="161"/>
      <c r="AEV17" s="161"/>
      <c r="AEW17" s="161"/>
      <c r="AEX17" s="161"/>
      <c r="AEY17" s="161"/>
      <c r="AEZ17" s="161"/>
      <c r="AFA17" s="161"/>
      <c r="AFB17" s="161"/>
      <c r="AFC17" s="161"/>
      <c r="AFD17" s="161"/>
      <c r="AFE17" s="161"/>
      <c r="AFF17" s="161"/>
      <c r="AFG17" s="161"/>
      <c r="AFH17" s="161"/>
      <c r="AFI17" s="161"/>
      <c r="AFJ17" s="161"/>
      <c r="AFK17" s="161"/>
      <c r="AFL17" s="161"/>
      <c r="AFM17" s="161"/>
      <c r="AFN17" s="161"/>
      <c r="AFO17" s="161"/>
      <c r="AFP17" s="161"/>
      <c r="AFQ17" s="161"/>
      <c r="AFR17" s="161"/>
      <c r="AFS17" s="161"/>
      <c r="AFT17" s="161"/>
      <c r="AFU17" s="161"/>
      <c r="AFV17" s="161"/>
      <c r="AFW17" s="161"/>
      <c r="AFX17" s="161"/>
      <c r="AFY17" s="161"/>
      <c r="AFZ17" s="161"/>
      <c r="AGA17" s="161"/>
      <c r="AGB17" s="161"/>
      <c r="AGC17" s="161"/>
      <c r="AGD17" s="161"/>
      <c r="AGE17" s="161"/>
      <c r="AGF17" s="161"/>
      <c r="AGG17" s="161"/>
      <c r="AGH17" s="161"/>
      <c r="AGI17" s="161"/>
      <c r="AGJ17" s="161"/>
      <c r="AGK17" s="161"/>
      <c r="AGL17" s="161"/>
      <c r="AGM17" s="161"/>
      <c r="AGN17" s="161"/>
      <c r="AGO17" s="161"/>
      <c r="AGP17" s="161"/>
      <c r="AGQ17" s="161"/>
      <c r="AGR17" s="161"/>
      <c r="AGS17" s="161"/>
      <c r="AGT17" s="161"/>
      <c r="AGU17" s="161"/>
      <c r="AGV17" s="161"/>
      <c r="AGW17" s="161"/>
      <c r="AGX17" s="161"/>
      <c r="AGY17" s="161"/>
      <c r="AGZ17" s="161"/>
      <c r="AHA17" s="161"/>
      <c r="AHB17" s="161"/>
      <c r="AHC17" s="161"/>
      <c r="AHD17" s="161"/>
      <c r="AHE17" s="161"/>
      <c r="AHF17" s="161"/>
      <c r="AHG17" s="161"/>
      <c r="AHH17" s="161"/>
      <c r="AHI17" s="161"/>
      <c r="AHJ17" s="161"/>
      <c r="AHK17" s="161"/>
      <c r="AHL17" s="161"/>
      <c r="AHM17" s="161"/>
      <c r="AHN17" s="161"/>
      <c r="AHO17" s="161"/>
      <c r="AHP17" s="161"/>
      <c r="AHQ17" s="161"/>
      <c r="AHR17" s="161"/>
      <c r="AHS17" s="161"/>
      <c r="AHT17" s="161"/>
      <c r="AHU17" s="161"/>
      <c r="AHV17" s="161"/>
      <c r="AHW17" s="161"/>
      <c r="AHX17" s="161"/>
      <c r="AHY17" s="161"/>
      <c r="AHZ17" s="161"/>
      <c r="AIA17" s="161"/>
      <c r="AIB17" s="161"/>
      <c r="AIC17" s="161"/>
      <c r="AID17" s="161"/>
      <c r="AIE17" s="161"/>
      <c r="AIF17" s="161"/>
    </row>
    <row r="18" spans="1:916" s="21" customFormat="1" ht="12.75">
      <c r="B18" s="309" t="s">
        <v>145</v>
      </c>
      <c r="C18" s="147" t="s">
        <v>449</v>
      </c>
      <c r="D18" s="147"/>
      <c r="E18" s="310"/>
      <c r="F18" s="144">
        <f>'Multi Family Retrofit {G}'!A$16</f>
        <v>35.451549087343864</v>
      </c>
      <c r="G18" s="304" t="s">
        <v>365</v>
      </c>
      <c r="H18" s="258">
        <f>'Multi Family Retrofit {G}'!A$10</f>
        <v>60870.679999999993</v>
      </c>
      <c r="I18" s="259">
        <f>'Multi Family Retrofit {G}'!A$8</f>
        <v>223926.00000000006</v>
      </c>
      <c r="J18" s="259">
        <f>'Multi Family Retrofit {G}'!A$12</f>
        <v>385065.39999999997</v>
      </c>
      <c r="K18" s="259">
        <f>'Multi Family Retrofit {G}'!A$14</f>
        <v>654779.93999999983</v>
      </c>
      <c r="L18" s="259">
        <f>SUM('Multi Family Retrofit {G}'!Q$5:Q$1000)</f>
        <v>1039845.34</v>
      </c>
      <c r="M18" s="259"/>
      <c r="N18" s="260">
        <f>'Multi Family Retrofit {G}'!A$18</f>
        <v>609367.57000000007</v>
      </c>
      <c r="O18" s="259">
        <f>'Multi Family Retrofit {G}'!A$20</f>
        <v>1263771.3400000001</v>
      </c>
      <c r="P18" s="259">
        <f>SUM('Multi Family Retrofit {G}'!R$5:R$1000)</f>
        <v>128.4</v>
      </c>
      <c r="Q18" s="261">
        <f t="shared" si="0"/>
        <v>569662.12022062263</v>
      </c>
      <c r="R18" s="261">
        <f t="shared" si="4"/>
        <v>1181425.9512012713</v>
      </c>
      <c r="S18" s="259">
        <f>SUM('Multi Family Retrofit {G}'!AM$5:AM$1000)</f>
        <v>1249865.5466676103</v>
      </c>
      <c r="T18" s="259">
        <f>SUM('Multi Family Retrofit {G}'!AD$5:AD$1000)</f>
        <v>61357.740508226547</v>
      </c>
      <c r="U18" s="133">
        <f t="shared" si="2"/>
        <v>2.1940471418102256</v>
      </c>
      <c r="V18" s="133">
        <f t="shared" si="3"/>
        <v>1.2156579431679682</v>
      </c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161"/>
      <c r="AX18" s="161"/>
      <c r="AY18" s="161"/>
      <c r="AZ18" s="161"/>
      <c r="BA18" s="161"/>
      <c r="BB18" s="161"/>
      <c r="BC18" s="161"/>
      <c r="BD18" s="161"/>
      <c r="BE18" s="161"/>
      <c r="BF18" s="161"/>
      <c r="BG18" s="161"/>
      <c r="BH18" s="161"/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  <c r="BV18" s="161"/>
      <c r="BW18" s="161"/>
      <c r="BX18" s="161"/>
      <c r="BY18" s="161"/>
      <c r="BZ18" s="161"/>
      <c r="CA18" s="161"/>
      <c r="CB18" s="161"/>
      <c r="CC18" s="161"/>
      <c r="CD18" s="161"/>
      <c r="CE18" s="161"/>
      <c r="CF18" s="161"/>
      <c r="CG18" s="161"/>
      <c r="CH18" s="161"/>
      <c r="CI18" s="161"/>
      <c r="CJ18" s="161"/>
      <c r="CK18" s="161"/>
      <c r="CL18" s="161"/>
      <c r="CM18" s="161"/>
      <c r="CN18" s="161"/>
      <c r="CO18" s="161"/>
      <c r="CP18" s="161"/>
      <c r="CQ18" s="161"/>
      <c r="CR18" s="161"/>
      <c r="CS18" s="161"/>
      <c r="CT18" s="161"/>
      <c r="CU18" s="161"/>
      <c r="CV18" s="161"/>
      <c r="CW18" s="161"/>
      <c r="CX18" s="161"/>
      <c r="CY18" s="161"/>
      <c r="CZ18" s="161"/>
      <c r="DA18" s="161"/>
      <c r="DB18" s="161"/>
      <c r="DC18" s="161"/>
      <c r="DD18" s="161"/>
      <c r="DE18" s="161"/>
      <c r="DF18" s="161"/>
      <c r="DG18" s="161"/>
      <c r="DH18" s="161"/>
      <c r="DI18" s="161"/>
      <c r="DJ18" s="161"/>
      <c r="DK18" s="161"/>
      <c r="DL18" s="161"/>
      <c r="DM18" s="161"/>
      <c r="DN18" s="161"/>
      <c r="DO18" s="161"/>
      <c r="DP18" s="161"/>
      <c r="DQ18" s="161"/>
      <c r="DR18" s="161"/>
      <c r="DS18" s="161"/>
      <c r="DT18" s="161"/>
      <c r="DU18" s="161"/>
      <c r="DV18" s="161"/>
      <c r="DW18" s="161"/>
      <c r="DX18" s="161"/>
      <c r="DY18" s="161"/>
      <c r="DZ18" s="161"/>
      <c r="EA18" s="161"/>
      <c r="EB18" s="161"/>
      <c r="EC18" s="161"/>
      <c r="ED18" s="161"/>
      <c r="EE18" s="161"/>
      <c r="EF18" s="161"/>
      <c r="EG18" s="161"/>
      <c r="EH18" s="161"/>
      <c r="EI18" s="161"/>
      <c r="EJ18" s="161"/>
      <c r="EK18" s="161"/>
      <c r="EL18" s="161"/>
      <c r="EM18" s="161"/>
      <c r="EN18" s="161"/>
      <c r="EO18" s="161"/>
      <c r="EP18" s="161"/>
      <c r="EQ18" s="161"/>
      <c r="ER18" s="161"/>
      <c r="ES18" s="161"/>
      <c r="ET18" s="161"/>
      <c r="EU18" s="161"/>
      <c r="EV18" s="161"/>
      <c r="EW18" s="161"/>
      <c r="EX18" s="161"/>
      <c r="EY18" s="161"/>
      <c r="EZ18" s="161"/>
      <c r="FA18" s="161"/>
      <c r="FB18" s="161"/>
      <c r="FC18" s="161"/>
      <c r="FD18" s="161"/>
      <c r="FE18" s="161"/>
      <c r="FF18" s="161"/>
      <c r="FG18" s="161"/>
      <c r="FH18" s="161"/>
      <c r="FI18" s="161"/>
      <c r="FJ18" s="161"/>
      <c r="FK18" s="161"/>
      <c r="FL18" s="161"/>
      <c r="FM18" s="161"/>
      <c r="FN18" s="161"/>
      <c r="FO18" s="161"/>
      <c r="FP18" s="161"/>
      <c r="FQ18" s="161"/>
      <c r="FR18" s="161"/>
      <c r="FS18" s="161"/>
      <c r="FT18" s="161"/>
      <c r="FU18" s="161"/>
      <c r="FV18" s="161"/>
      <c r="FW18" s="161"/>
      <c r="FX18" s="161"/>
      <c r="FY18" s="161"/>
      <c r="FZ18" s="161"/>
      <c r="GA18" s="161"/>
      <c r="GB18" s="161"/>
      <c r="GC18" s="161"/>
      <c r="GD18" s="161"/>
      <c r="GE18" s="161"/>
      <c r="GF18" s="161"/>
      <c r="GG18" s="161"/>
      <c r="GH18" s="161"/>
      <c r="GI18" s="161"/>
      <c r="GJ18" s="161"/>
      <c r="GK18" s="161"/>
      <c r="GL18" s="161"/>
      <c r="GM18" s="161"/>
      <c r="GN18" s="161"/>
      <c r="GO18" s="161"/>
      <c r="GP18" s="161"/>
      <c r="GQ18" s="161"/>
      <c r="GR18" s="161"/>
      <c r="GS18" s="161"/>
      <c r="GT18" s="161"/>
      <c r="GU18" s="161"/>
      <c r="GV18" s="161"/>
      <c r="GW18" s="161"/>
      <c r="GX18" s="161"/>
      <c r="GY18" s="161"/>
      <c r="GZ18" s="161"/>
      <c r="HA18" s="161"/>
      <c r="HB18" s="161"/>
      <c r="HC18" s="161"/>
      <c r="HD18" s="161"/>
      <c r="HE18" s="161"/>
      <c r="HF18" s="161"/>
      <c r="HG18" s="161"/>
      <c r="HH18" s="161"/>
      <c r="HI18" s="161"/>
      <c r="HJ18" s="161"/>
      <c r="HK18" s="161"/>
      <c r="HL18" s="161"/>
      <c r="HM18" s="161"/>
      <c r="HN18" s="161"/>
      <c r="HO18" s="161"/>
      <c r="HP18" s="161"/>
      <c r="HQ18" s="161"/>
      <c r="HR18" s="161"/>
      <c r="HS18" s="161"/>
      <c r="HT18" s="161"/>
      <c r="HU18" s="161"/>
      <c r="HV18" s="161"/>
      <c r="HW18" s="161"/>
      <c r="HX18" s="161"/>
      <c r="HY18" s="161"/>
      <c r="HZ18" s="161"/>
      <c r="IA18" s="161"/>
      <c r="IB18" s="161"/>
      <c r="IC18" s="161"/>
      <c r="ID18" s="161"/>
      <c r="IE18" s="161"/>
      <c r="IF18" s="161"/>
      <c r="IG18" s="161"/>
      <c r="IH18" s="161"/>
      <c r="II18" s="161"/>
      <c r="IJ18" s="161"/>
      <c r="IK18" s="161"/>
      <c r="IL18" s="161"/>
      <c r="IM18" s="161"/>
      <c r="IN18" s="161"/>
      <c r="IO18" s="161"/>
      <c r="IP18" s="161"/>
      <c r="IQ18" s="161"/>
      <c r="IR18" s="161"/>
      <c r="IS18" s="161"/>
      <c r="IT18" s="161"/>
      <c r="IU18" s="161"/>
      <c r="IV18" s="161"/>
      <c r="IW18" s="161"/>
      <c r="IX18" s="161"/>
      <c r="IY18" s="161"/>
      <c r="IZ18" s="161"/>
      <c r="JA18" s="161"/>
      <c r="JB18" s="161"/>
      <c r="JC18" s="161"/>
      <c r="JD18" s="161"/>
      <c r="JE18" s="161"/>
      <c r="JF18" s="161"/>
      <c r="JG18" s="161"/>
      <c r="JH18" s="161"/>
      <c r="JI18" s="161"/>
      <c r="JJ18" s="161"/>
      <c r="JK18" s="161"/>
      <c r="JL18" s="161"/>
      <c r="JM18" s="161"/>
      <c r="JN18" s="161"/>
      <c r="JO18" s="161"/>
      <c r="JP18" s="161"/>
      <c r="JQ18" s="161"/>
      <c r="JR18" s="161"/>
      <c r="JS18" s="161"/>
      <c r="JT18" s="161"/>
      <c r="JU18" s="161"/>
      <c r="JV18" s="161"/>
      <c r="JW18" s="161"/>
      <c r="JX18" s="161"/>
      <c r="JY18" s="161"/>
      <c r="JZ18" s="161"/>
      <c r="KA18" s="161"/>
      <c r="KB18" s="161"/>
      <c r="KC18" s="161"/>
      <c r="KD18" s="161"/>
      <c r="KE18" s="161"/>
      <c r="KF18" s="161"/>
      <c r="KG18" s="161"/>
      <c r="KH18" s="161"/>
      <c r="KI18" s="161"/>
      <c r="KJ18" s="161"/>
      <c r="KK18" s="161"/>
      <c r="KL18" s="161"/>
      <c r="KM18" s="161"/>
      <c r="KN18" s="161"/>
      <c r="KO18" s="161"/>
      <c r="KP18" s="161"/>
      <c r="KQ18" s="161"/>
      <c r="KR18" s="161"/>
      <c r="KS18" s="161"/>
      <c r="KT18" s="161"/>
      <c r="KU18" s="161"/>
      <c r="KV18" s="161"/>
      <c r="KW18" s="161"/>
      <c r="KX18" s="161"/>
      <c r="KY18" s="161"/>
      <c r="KZ18" s="161"/>
      <c r="LA18" s="161"/>
      <c r="LB18" s="161"/>
      <c r="LC18" s="161"/>
      <c r="LD18" s="161"/>
      <c r="LE18" s="161"/>
      <c r="LF18" s="161"/>
      <c r="LG18" s="161"/>
      <c r="LH18" s="161"/>
      <c r="LI18" s="161"/>
      <c r="LJ18" s="161"/>
      <c r="LK18" s="161"/>
      <c r="LL18" s="161"/>
      <c r="LM18" s="161"/>
      <c r="LN18" s="161"/>
      <c r="LO18" s="161"/>
      <c r="LP18" s="161"/>
      <c r="LQ18" s="161"/>
      <c r="LR18" s="161"/>
      <c r="LS18" s="161"/>
      <c r="LT18" s="161"/>
      <c r="LU18" s="161"/>
      <c r="LV18" s="161"/>
      <c r="LW18" s="161"/>
      <c r="LX18" s="161"/>
      <c r="LY18" s="161"/>
      <c r="LZ18" s="161"/>
      <c r="MA18" s="161"/>
      <c r="MB18" s="161"/>
      <c r="MC18" s="161"/>
      <c r="MD18" s="161"/>
      <c r="ME18" s="161"/>
      <c r="MF18" s="161"/>
      <c r="MG18" s="161"/>
      <c r="MH18" s="161"/>
      <c r="MI18" s="161"/>
      <c r="MJ18" s="161"/>
      <c r="MK18" s="161"/>
      <c r="ML18" s="161"/>
      <c r="MM18" s="161"/>
      <c r="MN18" s="161"/>
      <c r="MO18" s="161"/>
      <c r="MP18" s="161"/>
      <c r="MQ18" s="161"/>
      <c r="MR18" s="161"/>
      <c r="MS18" s="161"/>
      <c r="MT18" s="161"/>
      <c r="MU18" s="161"/>
      <c r="MV18" s="161"/>
      <c r="MW18" s="161"/>
      <c r="MX18" s="161"/>
      <c r="MY18" s="161"/>
      <c r="MZ18" s="161"/>
      <c r="NA18" s="161"/>
      <c r="NB18" s="161"/>
      <c r="NC18" s="161"/>
      <c r="ND18" s="161"/>
      <c r="NE18" s="161"/>
      <c r="NF18" s="161"/>
      <c r="NG18" s="161"/>
      <c r="NH18" s="161"/>
      <c r="NI18" s="161"/>
      <c r="NJ18" s="161"/>
      <c r="NK18" s="161"/>
      <c r="NL18" s="161"/>
      <c r="NM18" s="161"/>
      <c r="NN18" s="161"/>
      <c r="NO18" s="161"/>
      <c r="NP18" s="161"/>
      <c r="NQ18" s="161"/>
      <c r="NR18" s="161"/>
      <c r="NS18" s="161"/>
      <c r="NT18" s="161"/>
      <c r="NU18" s="161"/>
      <c r="NV18" s="161"/>
      <c r="NW18" s="161"/>
      <c r="NX18" s="161"/>
      <c r="NY18" s="161"/>
      <c r="NZ18" s="161"/>
      <c r="OA18" s="161"/>
      <c r="OB18" s="161"/>
      <c r="OC18" s="161"/>
      <c r="OD18" s="161"/>
      <c r="OE18" s="161"/>
      <c r="OF18" s="161"/>
      <c r="OG18" s="161"/>
      <c r="OH18" s="161"/>
      <c r="OI18" s="161"/>
      <c r="OJ18" s="161"/>
      <c r="OK18" s="161"/>
      <c r="OL18" s="161"/>
      <c r="OM18" s="161"/>
      <c r="ON18" s="161"/>
      <c r="OO18" s="161"/>
      <c r="OP18" s="161"/>
      <c r="OQ18" s="161"/>
      <c r="OR18" s="161"/>
      <c r="OS18" s="161"/>
      <c r="OT18" s="161"/>
      <c r="OU18" s="161"/>
      <c r="OV18" s="161"/>
      <c r="OW18" s="161"/>
      <c r="OX18" s="161"/>
      <c r="OY18" s="161"/>
      <c r="OZ18" s="161"/>
      <c r="PA18" s="161"/>
      <c r="PB18" s="161"/>
      <c r="PC18" s="161"/>
      <c r="PD18" s="161"/>
      <c r="PE18" s="161"/>
      <c r="PF18" s="161"/>
      <c r="PG18" s="161"/>
      <c r="PH18" s="161"/>
      <c r="PI18" s="161"/>
      <c r="PJ18" s="161"/>
      <c r="PK18" s="161"/>
      <c r="PL18" s="161"/>
      <c r="PM18" s="161"/>
      <c r="PN18" s="161"/>
      <c r="PO18" s="161"/>
      <c r="PP18" s="161"/>
      <c r="PQ18" s="161"/>
      <c r="PR18" s="161"/>
      <c r="PS18" s="161"/>
      <c r="PT18" s="161"/>
      <c r="PU18" s="161"/>
      <c r="PV18" s="161"/>
      <c r="PW18" s="161"/>
      <c r="PX18" s="161"/>
      <c r="PY18" s="161"/>
      <c r="PZ18" s="161"/>
      <c r="QA18" s="161"/>
      <c r="QB18" s="161"/>
      <c r="QC18" s="161"/>
      <c r="QD18" s="161"/>
      <c r="QE18" s="161"/>
      <c r="QF18" s="161"/>
      <c r="QG18" s="161"/>
      <c r="QH18" s="161"/>
      <c r="QI18" s="161"/>
      <c r="QJ18" s="161"/>
      <c r="QK18" s="161"/>
      <c r="QL18" s="161"/>
      <c r="QM18" s="161"/>
      <c r="QN18" s="161"/>
      <c r="QO18" s="161"/>
      <c r="QP18" s="161"/>
      <c r="QQ18" s="161"/>
      <c r="QR18" s="161"/>
      <c r="QS18" s="161"/>
      <c r="QT18" s="161"/>
      <c r="QU18" s="161"/>
      <c r="QV18" s="161"/>
      <c r="QW18" s="161"/>
      <c r="QX18" s="161"/>
      <c r="QY18" s="161"/>
      <c r="QZ18" s="161"/>
      <c r="RA18" s="161"/>
      <c r="RB18" s="161"/>
      <c r="RC18" s="161"/>
      <c r="RD18" s="161"/>
      <c r="RE18" s="161"/>
      <c r="RF18" s="161"/>
      <c r="RG18" s="161"/>
      <c r="RH18" s="161"/>
      <c r="RI18" s="161"/>
      <c r="RJ18" s="161"/>
      <c r="RK18" s="161"/>
      <c r="RL18" s="161"/>
      <c r="RM18" s="161"/>
      <c r="RN18" s="161"/>
      <c r="RO18" s="161"/>
      <c r="RP18" s="161"/>
      <c r="RQ18" s="161"/>
      <c r="RR18" s="161"/>
      <c r="RS18" s="161"/>
      <c r="RT18" s="161"/>
      <c r="RU18" s="161"/>
      <c r="RV18" s="161"/>
      <c r="RW18" s="161"/>
      <c r="RX18" s="161"/>
      <c r="RY18" s="161"/>
      <c r="RZ18" s="161"/>
      <c r="SA18" s="161"/>
      <c r="SB18" s="161"/>
      <c r="SC18" s="161"/>
      <c r="SD18" s="161"/>
      <c r="SE18" s="161"/>
      <c r="SF18" s="161"/>
      <c r="SG18" s="161"/>
      <c r="SH18" s="161"/>
      <c r="SI18" s="161"/>
      <c r="SJ18" s="161"/>
      <c r="SK18" s="161"/>
      <c r="SL18" s="161"/>
      <c r="SM18" s="161"/>
      <c r="SN18" s="161"/>
      <c r="SO18" s="161"/>
      <c r="SP18" s="161"/>
      <c r="SQ18" s="161"/>
      <c r="SR18" s="161"/>
      <c r="SS18" s="161"/>
      <c r="ST18" s="161"/>
      <c r="SU18" s="161"/>
      <c r="SV18" s="161"/>
      <c r="SW18" s="161"/>
      <c r="SX18" s="161"/>
      <c r="SY18" s="161"/>
      <c r="SZ18" s="161"/>
      <c r="TA18" s="161"/>
      <c r="TB18" s="161"/>
      <c r="TC18" s="161"/>
      <c r="TD18" s="161"/>
      <c r="TE18" s="161"/>
      <c r="TF18" s="161"/>
      <c r="TG18" s="161"/>
      <c r="TH18" s="161"/>
      <c r="TI18" s="161"/>
      <c r="TJ18" s="161"/>
      <c r="TK18" s="161"/>
      <c r="TL18" s="161"/>
      <c r="TM18" s="161"/>
      <c r="TN18" s="161"/>
      <c r="TO18" s="161"/>
      <c r="TP18" s="161"/>
      <c r="TQ18" s="161"/>
      <c r="TR18" s="161"/>
      <c r="TS18" s="161"/>
      <c r="TT18" s="161"/>
      <c r="TU18" s="161"/>
      <c r="TV18" s="161"/>
      <c r="TW18" s="161"/>
      <c r="TX18" s="161"/>
      <c r="TY18" s="161"/>
      <c r="TZ18" s="161"/>
      <c r="UA18" s="161"/>
      <c r="UB18" s="161"/>
      <c r="UC18" s="161"/>
      <c r="UD18" s="161"/>
      <c r="UE18" s="161"/>
      <c r="UF18" s="161"/>
      <c r="UG18" s="161"/>
      <c r="UH18" s="161"/>
      <c r="UI18" s="161"/>
      <c r="UJ18" s="161"/>
      <c r="UK18" s="161"/>
      <c r="UL18" s="161"/>
      <c r="UM18" s="161"/>
      <c r="UN18" s="161"/>
      <c r="UO18" s="161"/>
      <c r="UP18" s="161"/>
      <c r="UQ18" s="161"/>
      <c r="UR18" s="161"/>
      <c r="US18" s="161"/>
      <c r="UT18" s="161"/>
      <c r="UU18" s="161"/>
      <c r="UV18" s="161"/>
      <c r="UW18" s="161"/>
      <c r="UX18" s="161"/>
      <c r="UY18" s="161"/>
      <c r="UZ18" s="161"/>
      <c r="VA18" s="161"/>
      <c r="VB18" s="161"/>
      <c r="VC18" s="161"/>
      <c r="VD18" s="161"/>
      <c r="VE18" s="161"/>
      <c r="VF18" s="161"/>
      <c r="VG18" s="161"/>
      <c r="VH18" s="161"/>
      <c r="VI18" s="161"/>
      <c r="VJ18" s="161"/>
      <c r="VK18" s="161"/>
      <c r="VL18" s="161"/>
      <c r="VM18" s="161"/>
      <c r="VN18" s="161"/>
      <c r="VO18" s="161"/>
      <c r="VP18" s="161"/>
      <c r="VQ18" s="161"/>
      <c r="VR18" s="161"/>
      <c r="VS18" s="161"/>
      <c r="VT18" s="161"/>
      <c r="VU18" s="161"/>
      <c r="VV18" s="161"/>
      <c r="VW18" s="161"/>
      <c r="VX18" s="161"/>
      <c r="VY18" s="161"/>
      <c r="VZ18" s="161"/>
      <c r="WA18" s="161"/>
      <c r="WB18" s="161"/>
      <c r="WC18" s="161"/>
      <c r="WD18" s="161"/>
      <c r="WE18" s="161"/>
      <c r="WF18" s="161"/>
      <c r="WG18" s="161"/>
      <c r="WH18" s="161"/>
      <c r="WI18" s="161"/>
      <c r="WJ18" s="161"/>
      <c r="WK18" s="161"/>
      <c r="WL18" s="161"/>
      <c r="WM18" s="161"/>
      <c r="WN18" s="161"/>
      <c r="WO18" s="161"/>
      <c r="WP18" s="161"/>
      <c r="WQ18" s="161"/>
      <c r="WR18" s="161"/>
      <c r="WS18" s="161"/>
      <c r="WT18" s="161"/>
      <c r="WU18" s="161"/>
      <c r="WV18" s="161"/>
      <c r="WW18" s="161"/>
      <c r="WX18" s="161"/>
      <c r="WY18" s="161"/>
      <c r="WZ18" s="161"/>
      <c r="XA18" s="161"/>
      <c r="XB18" s="161"/>
      <c r="XC18" s="161"/>
      <c r="XD18" s="161"/>
      <c r="XE18" s="161"/>
      <c r="XF18" s="161"/>
      <c r="XG18" s="161"/>
      <c r="XH18" s="161"/>
      <c r="XI18" s="161"/>
      <c r="XJ18" s="161"/>
      <c r="XK18" s="161"/>
      <c r="XL18" s="161"/>
      <c r="XM18" s="161"/>
      <c r="XN18" s="161"/>
      <c r="XO18" s="161"/>
      <c r="XP18" s="161"/>
      <c r="XQ18" s="161"/>
      <c r="XR18" s="161"/>
      <c r="XS18" s="161"/>
      <c r="XT18" s="161"/>
      <c r="XU18" s="161"/>
      <c r="XV18" s="161"/>
      <c r="XW18" s="161"/>
      <c r="XX18" s="161"/>
      <c r="XY18" s="161"/>
      <c r="XZ18" s="161"/>
      <c r="YA18" s="161"/>
      <c r="YB18" s="161"/>
      <c r="YC18" s="161"/>
      <c r="YD18" s="161"/>
      <c r="YE18" s="161"/>
      <c r="YF18" s="161"/>
      <c r="YG18" s="161"/>
      <c r="YH18" s="161"/>
      <c r="YI18" s="161"/>
      <c r="YJ18" s="161"/>
      <c r="YK18" s="161"/>
      <c r="YL18" s="161"/>
      <c r="YM18" s="161"/>
      <c r="YN18" s="161"/>
      <c r="YO18" s="161"/>
      <c r="YP18" s="161"/>
      <c r="YQ18" s="161"/>
      <c r="YR18" s="161"/>
      <c r="YS18" s="161"/>
      <c r="YT18" s="161"/>
      <c r="YU18" s="161"/>
      <c r="YV18" s="161"/>
      <c r="YW18" s="161"/>
      <c r="YX18" s="161"/>
      <c r="YY18" s="161"/>
      <c r="YZ18" s="161"/>
      <c r="ZA18" s="161"/>
      <c r="ZB18" s="161"/>
      <c r="ZC18" s="161"/>
      <c r="ZD18" s="161"/>
      <c r="ZE18" s="161"/>
      <c r="ZF18" s="161"/>
      <c r="ZG18" s="161"/>
      <c r="ZH18" s="161"/>
      <c r="ZI18" s="161"/>
      <c r="ZJ18" s="161"/>
      <c r="ZK18" s="161"/>
      <c r="ZL18" s="161"/>
      <c r="ZM18" s="161"/>
      <c r="ZN18" s="161"/>
      <c r="ZO18" s="161"/>
      <c r="ZP18" s="161"/>
      <c r="ZQ18" s="161"/>
      <c r="ZR18" s="161"/>
      <c r="ZS18" s="161"/>
      <c r="ZT18" s="161"/>
      <c r="ZU18" s="161"/>
      <c r="ZV18" s="161"/>
      <c r="ZW18" s="161"/>
      <c r="ZX18" s="161"/>
      <c r="ZY18" s="161"/>
      <c r="ZZ18" s="161"/>
      <c r="AAA18" s="161"/>
      <c r="AAB18" s="161"/>
      <c r="AAC18" s="161"/>
      <c r="AAD18" s="161"/>
      <c r="AAE18" s="161"/>
      <c r="AAF18" s="161"/>
      <c r="AAG18" s="161"/>
      <c r="AAH18" s="161"/>
      <c r="AAI18" s="161"/>
      <c r="AAJ18" s="161"/>
      <c r="AAK18" s="161"/>
      <c r="AAL18" s="161"/>
      <c r="AAM18" s="161"/>
      <c r="AAN18" s="161"/>
      <c r="AAO18" s="161"/>
      <c r="AAP18" s="161"/>
      <c r="AAQ18" s="161"/>
      <c r="AAR18" s="161"/>
      <c r="AAS18" s="161"/>
      <c r="AAT18" s="161"/>
      <c r="AAU18" s="161"/>
      <c r="AAV18" s="161"/>
      <c r="AAW18" s="161"/>
      <c r="AAX18" s="161"/>
      <c r="AAY18" s="161"/>
      <c r="AAZ18" s="161"/>
      <c r="ABA18" s="161"/>
      <c r="ABB18" s="161"/>
      <c r="ABC18" s="161"/>
      <c r="ABD18" s="161"/>
      <c r="ABE18" s="161"/>
      <c r="ABF18" s="161"/>
      <c r="ABG18" s="161"/>
      <c r="ABH18" s="161"/>
      <c r="ABI18" s="161"/>
      <c r="ABJ18" s="161"/>
      <c r="ABK18" s="161"/>
      <c r="ABL18" s="161"/>
      <c r="ABM18" s="161"/>
      <c r="ABN18" s="161"/>
      <c r="ABO18" s="161"/>
      <c r="ABP18" s="161"/>
      <c r="ABQ18" s="161"/>
      <c r="ABR18" s="161"/>
      <c r="ABS18" s="161"/>
      <c r="ABT18" s="161"/>
      <c r="ABU18" s="161"/>
      <c r="ABV18" s="161"/>
      <c r="ABW18" s="161"/>
      <c r="ABX18" s="161"/>
      <c r="ABY18" s="161"/>
      <c r="ABZ18" s="161"/>
      <c r="ACA18" s="161"/>
      <c r="ACB18" s="161"/>
      <c r="ACC18" s="161"/>
      <c r="ACD18" s="161"/>
      <c r="ACE18" s="161"/>
      <c r="ACF18" s="161"/>
      <c r="ACG18" s="161"/>
      <c r="ACH18" s="161"/>
      <c r="ACI18" s="161"/>
      <c r="ACJ18" s="161"/>
      <c r="ACK18" s="161"/>
      <c r="ACL18" s="161"/>
      <c r="ACM18" s="161"/>
      <c r="ACN18" s="161"/>
      <c r="ACO18" s="161"/>
      <c r="ACP18" s="161"/>
      <c r="ACQ18" s="161"/>
      <c r="ACR18" s="161"/>
      <c r="ACS18" s="161"/>
      <c r="ACT18" s="161"/>
      <c r="ACU18" s="161"/>
      <c r="ACV18" s="161"/>
      <c r="ACW18" s="161"/>
      <c r="ACX18" s="161"/>
      <c r="ACY18" s="161"/>
      <c r="ACZ18" s="161"/>
      <c r="ADA18" s="161"/>
      <c r="ADB18" s="161"/>
      <c r="ADC18" s="161"/>
      <c r="ADD18" s="161"/>
      <c r="ADE18" s="161"/>
      <c r="ADF18" s="161"/>
      <c r="ADG18" s="161"/>
      <c r="ADH18" s="161"/>
      <c r="ADI18" s="161"/>
      <c r="ADJ18" s="161"/>
      <c r="ADK18" s="161"/>
      <c r="ADL18" s="161"/>
      <c r="ADM18" s="161"/>
      <c r="ADN18" s="161"/>
      <c r="ADO18" s="161"/>
      <c r="ADP18" s="161"/>
      <c r="ADQ18" s="161"/>
      <c r="ADR18" s="161"/>
      <c r="ADS18" s="161"/>
      <c r="ADT18" s="161"/>
      <c r="ADU18" s="161"/>
      <c r="ADV18" s="161"/>
      <c r="ADW18" s="161"/>
      <c r="ADX18" s="161"/>
      <c r="ADY18" s="161"/>
      <c r="ADZ18" s="161"/>
      <c r="AEA18" s="161"/>
      <c r="AEB18" s="161"/>
      <c r="AEC18" s="161"/>
      <c r="AED18" s="161"/>
      <c r="AEE18" s="161"/>
      <c r="AEF18" s="161"/>
      <c r="AEG18" s="161"/>
      <c r="AEH18" s="161"/>
      <c r="AEI18" s="161"/>
      <c r="AEJ18" s="161"/>
      <c r="AEK18" s="161"/>
      <c r="AEL18" s="161"/>
      <c r="AEM18" s="161"/>
      <c r="AEN18" s="161"/>
      <c r="AEO18" s="161"/>
      <c r="AEP18" s="161"/>
      <c r="AEQ18" s="161"/>
      <c r="AER18" s="161"/>
      <c r="AES18" s="161"/>
      <c r="AET18" s="161"/>
      <c r="AEU18" s="161"/>
      <c r="AEV18" s="161"/>
      <c r="AEW18" s="161"/>
      <c r="AEX18" s="161"/>
      <c r="AEY18" s="161"/>
      <c r="AEZ18" s="161"/>
      <c r="AFA18" s="161"/>
      <c r="AFB18" s="161"/>
      <c r="AFC18" s="161"/>
      <c r="AFD18" s="161"/>
      <c r="AFE18" s="161"/>
      <c r="AFF18" s="161"/>
      <c r="AFG18" s="161"/>
      <c r="AFH18" s="161"/>
      <c r="AFI18" s="161"/>
      <c r="AFJ18" s="161"/>
      <c r="AFK18" s="161"/>
      <c r="AFL18" s="161"/>
      <c r="AFM18" s="161"/>
      <c r="AFN18" s="161"/>
      <c r="AFO18" s="161"/>
      <c r="AFP18" s="161"/>
      <c r="AFQ18" s="161"/>
      <c r="AFR18" s="161"/>
      <c r="AFS18" s="161"/>
      <c r="AFT18" s="161"/>
      <c r="AFU18" s="161"/>
      <c r="AFV18" s="161"/>
      <c r="AFW18" s="161"/>
      <c r="AFX18" s="161"/>
      <c r="AFY18" s="161"/>
      <c r="AFZ18" s="161"/>
      <c r="AGA18" s="161"/>
      <c r="AGB18" s="161"/>
      <c r="AGC18" s="161"/>
      <c r="AGD18" s="161"/>
      <c r="AGE18" s="161"/>
      <c r="AGF18" s="161"/>
      <c r="AGG18" s="161"/>
      <c r="AGH18" s="161"/>
      <c r="AGI18" s="161"/>
      <c r="AGJ18" s="161"/>
      <c r="AGK18" s="161"/>
      <c r="AGL18" s="161"/>
      <c r="AGM18" s="161"/>
      <c r="AGN18" s="161"/>
      <c r="AGO18" s="161"/>
      <c r="AGP18" s="161"/>
      <c r="AGQ18" s="161"/>
      <c r="AGR18" s="161"/>
      <c r="AGS18" s="161"/>
      <c r="AGT18" s="161"/>
      <c r="AGU18" s="161"/>
      <c r="AGV18" s="161"/>
      <c r="AGW18" s="161"/>
      <c r="AGX18" s="161"/>
      <c r="AGY18" s="161"/>
      <c r="AGZ18" s="161"/>
      <c r="AHA18" s="161"/>
      <c r="AHB18" s="161"/>
      <c r="AHC18" s="161"/>
      <c r="AHD18" s="161"/>
      <c r="AHE18" s="161"/>
      <c r="AHF18" s="161"/>
      <c r="AHG18" s="161"/>
      <c r="AHH18" s="161"/>
      <c r="AHI18" s="161"/>
      <c r="AHJ18" s="161"/>
      <c r="AHK18" s="161"/>
      <c r="AHL18" s="161"/>
      <c r="AHM18" s="161"/>
      <c r="AHN18" s="161"/>
      <c r="AHO18" s="161"/>
      <c r="AHP18" s="161"/>
      <c r="AHQ18" s="161"/>
      <c r="AHR18" s="161"/>
      <c r="AHS18" s="161"/>
      <c r="AHT18" s="161"/>
      <c r="AHU18" s="161"/>
      <c r="AHV18" s="161"/>
      <c r="AHW18" s="161"/>
      <c r="AHX18" s="161"/>
      <c r="AHY18" s="161"/>
      <c r="AHZ18" s="161"/>
      <c r="AIA18" s="161"/>
      <c r="AIB18" s="161"/>
      <c r="AIC18" s="161"/>
      <c r="AID18" s="161"/>
      <c r="AIE18" s="161"/>
      <c r="AIF18" s="161"/>
    </row>
    <row r="19" spans="1:916" s="21" customFormat="1" ht="12.75">
      <c r="B19" s="309" t="s">
        <v>102</v>
      </c>
      <c r="C19" s="174" t="s">
        <v>381</v>
      </c>
      <c r="D19" s="174"/>
      <c r="E19" s="314"/>
      <c r="F19" s="144">
        <f>'MF New Construction {G}'!A$16</f>
        <v>15.000000000000002</v>
      </c>
      <c r="G19" s="304" t="s">
        <v>365</v>
      </c>
      <c r="H19" s="258">
        <f>'MF New Construction {G}'!A$10</f>
        <v>79154</v>
      </c>
      <c r="I19" s="259">
        <f>'MF New Construction {G}'!A$8</f>
        <v>282553.3</v>
      </c>
      <c r="J19" s="259">
        <f>'MF New Construction {G}'!A$12</f>
        <v>354447.69</v>
      </c>
      <c r="K19" s="259">
        <f>'MF New Construction {G}'!A$14</f>
        <v>0</v>
      </c>
      <c r="L19" s="259">
        <f>SUM('MF New Construction {G}'!Q$5:Q$1000)</f>
        <v>354447.69</v>
      </c>
      <c r="M19" s="259"/>
      <c r="N19" s="260">
        <f>'MF New Construction {G}'!A$18</f>
        <v>637000.99</v>
      </c>
      <c r="O19" s="259">
        <f>'MF New Construction {G}'!A$20</f>
        <v>637000.99</v>
      </c>
      <c r="P19" s="259">
        <f>SUM('MF New Construction {G}'!R$5:R$1000)</f>
        <v>0</v>
      </c>
      <c r="Q19" s="261">
        <f t="shared" si="0"/>
        <v>595494.98924932221</v>
      </c>
      <c r="R19" s="261">
        <f t="shared" si="4"/>
        <v>595494.98924932221</v>
      </c>
      <c r="S19" s="259">
        <f>SUM('MF New Construction {G}'!AM$5:AM$1000)</f>
        <v>834706.72650542215</v>
      </c>
      <c r="T19" s="259">
        <f>SUM('MF New Construction {G}'!AD$5:AD$1000)</f>
        <v>0</v>
      </c>
      <c r="U19" s="133">
        <f t="shared" si="2"/>
        <v>1.4017023511107103</v>
      </c>
      <c r="V19" s="133">
        <f t="shared" si="3"/>
        <v>1.5418725862217817</v>
      </c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1"/>
      <c r="AZ19" s="161"/>
      <c r="BA19" s="161"/>
      <c r="BB19" s="161"/>
      <c r="BC19" s="161"/>
      <c r="BD19" s="161"/>
      <c r="BE19" s="161"/>
      <c r="BF19" s="161"/>
      <c r="BG19" s="161"/>
      <c r="BH19" s="161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161"/>
      <c r="BX19" s="161"/>
      <c r="BY19" s="161"/>
      <c r="BZ19" s="161"/>
      <c r="CA19" s="161"/>
      <c r="CB19" s="16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  <c r="CP19" s="161"/>
      <c r="CQ19" s="161"/>
      <c r="CR19" s="161"/>
      <c r="CS19" s="161"/>
      <c r="CT19" s="161"/>
      <c r="CU19" s="161"/>
      <c r="CV19" s="161"/>
      <c r="CW19" s="161"/>
      <c r="CX19" s="161"/>
      <c r="CY19" s="161"/>
      <c r="CZ19" s="161"/>
      <c r="DA19" s="161"/>
      <c r="DB19" s="161"/>
      <c r="DC19" s="161"/>
      <c r="DD19" s="161"/>
      <c r="DE19" s="161"/>
      <c r="DF19" s="161"/>
      <c r="DG19" s="161"/>
      <c r="DH19" s="161"/>
      <c r="DI19" s="161"/>
      <c r="DJ19" s="161"/>
      <c r="DK19" s="161"/>
      <c r="DL19" s="161"/>
      <c r="DM19" s="161"/>
      <c r="DN19" s="161"/>
      <c r="DO19" s="161"/>
      <c r="DP19" s="161"/>
      <c r="DQ19" s="161"/>
      <c r="DR19" s="161"/>
      <c r="DS19" s="161"/>
      <c r="DT19" s="161"/>
      <c r="DU19" s="161"/>
      <c r="DV19" s="161"/>
      <c r="DW19" s="161"/>
      <c r="DX19" s="161"/>
      <c r="DY19" s="161"/>
      <c r="DZ19" s="161"/>
      <c r="EA19" s="161"/>
      <c r="EB19" s="161"/>
      <c r="EC19" s="161"/>
      <c r="ED19" s="161"/>
      <c r="EE19" s="161"/>
      <c r="EF19" s="161"/>
      <c r="EG19" s="161"/>
      <c r="EH19" s="161"/>
      <c r="EI19" s="161"/>
      <c r="EJ19" s="161"/>
      <c r="EK19" s="161"/>
      <c r="EL19" s="161"/>
      <c r="EM19" s="161"/>
      <c r="EN19" s="161"/>
      <c r="EO19" s="161"/>
      <c r="EP19" s="161"/>
      <c r="EQ19" s="161"/>
      <c r="ER19" s="161"/>
      <c r="ES19" s="161"/>
      <c r="ET19" s="161"/>
      <c r="EU19" s="161"/>
      <c r="EV19" s="161"/>
      <c r="EW19" s="161"/>
      <c r="EX19" s="161"/>
      <c r="EY19" s="161"/>
      <c r="EZ19" s="161"/>
      <c r="FA19" s="161"/>
      <c r="FB19" s="161"/>
      <c r="FC19" s="161"/>
      <c r="FD19" s="161"/>
      <c r="FE19" s="161"/>
      <c r="FF19" s="161"/>
      <c r="FG19" s="161"/>
      <c r="FH19" s="161"/>
      <c r="FI19" s="161"/>
      <c r="FJ19" s="161"/>
      <c r="FK19" s="161"/>
      <c r="FL19" s="161"/>
      <c r="FM19" s="161"/>
      <c r="FN19" s="161"/>
      <c r="FO19" s="161"/>
      <c r="FP19" s="161"/>
      <c r="FQ19" s="161"/>
      <c r="FR19" s="161"/>
      <c r="FS19" s="161"/>
      <c r="FT19" s="161"/>
      <c r="FU19" s="161"/>
      <c r="FV19" s="161"/>
      <c r="FW19" s="161"/>
      <c r="FX19" s="161"/>
      <c r="FY19" s="161"/>
      <c r="FZ19" s="161"/>
      <c r="GA19" s="161"/>
      <c r="GB19" s="161"/>
      <c r="GC19" s="161"/>
      <c r="GD19" s="161"/>
      <c r="GE19" s="161"/>
      <c r="GF19" s="161"/>
      <c r="GG19" s="161"/>
      <c r="GH19" s="161"/>
      <c r="GI19" s="161"/>
      <c r="GJ19" s="161"/>
      <c r="GK19" s="161"/>
      <c r="GL19" s="161"/>
      <c r="GM19" s="161"/>
      <c r="GN19" s="161"/>
      <c r="GO19" s="161"/>
      <c r="GP19" s="161"/>
      <c r="GQ19" s="161"/>
      <c r="GR19" s="161"/>
      <c r="GS19" s="161"/>
      <c r="GT19" s="161"/>
      <c r="GU19" s="161"/>
      <c r="GV19" s="161"/>
      <c r="GW19" s="161"/>
      <c r="GX19" s="161"/>
      <c r="GY19" s="161"/>
      <c r="GZ19" s="161"/>
      <c r="HA19" s="161"/>
      <c r="HB19" s="161"/>
      <c r="HC19" s="161"/>
      <c r="HD19" s="161"/>
      <c r="HE19" s="161"/>
      <c r="HF19" s="161"/>
      <c r="HG19" s="161"/>
      <c r="HH19" s="161"/>
      <c r="HI19" s="161"/>
      <c r="HJ19" s="161"/>
      <c r="HK19" s="161"/>
      <c r="HL19" s="161"/>
      <c r="HM19" s="161"/>
      <c r="HN19" s="161"/>
      <c r="HO19" s="161"/>
      <c r="HP19" s="161"/>
      <c r="HQ19" s="161"/>
      <c r="HR19" s="161"/>
      <c r="HS19" s="161"/>
      <c r="HT19" s="161"/>
      <c r="HU19" s="161"/>
      <c r="HV19" s="161"/>
      <c r="HW19" s="161"/>
      <c r="HX19" s="161"/>
      <c r="HY19" s="161"/>
      <c r="HZ19" s="161"/>
      <c r="IA19" s="161"/>
      <c r="IB19" s="161"/>
      <c r="IC19" s="161"/>
      <c r="ID19" s="161"/>
      <c r="IE19" s="161"/>
      <c r="IF19" s="161"/>
      <c r="IG19" s="161"/>
      <c r="IH19" s="161"/>
      <c r="II19" s="161"/>
      <c r="IJ19" s="161"/>
      <c r="IK19" s="161"/>
      <c r="IL19" s="161"/>
      <c r="IM19" s="161"/>
      <c r="IN19" s="161"/>
      <c r="IO19" s="161"/>
      <c r="IP19" s="161"/>
      <c r="IQ19" s="161"/>
      <c r="IR19" s="161"/>
      <c r="IS19" s="161"/>
      <c r="IT19" s="161"/>
      <c r="IU19" s="161"/>
      <c r="IV19" s="161"/>
      <c r="IW19" s="161"/>
      <c r="IX19" s="161"/>
      <c r="IY19" s="161"/>
      <c r="IZ19" s="161"/>
      <c r="JA19" s="161"/>
      <c r="JB19" s="161"/>
      <c r="JC19" s="161"/>
      <c r="JD19" s="161"/>
      <c r="JE19" s="161"/>
      <c r="JF19" s="161"/>
      <c r="JG19" s="161"/>
      <c r="JH19" s="161"/>
      <c r="JI19" s="161"/>
      <c r="JJ19" s="161"/>
      <c r="JK19" s="161"/>
      <c r="JL19" s="161"/>
      <c r="JM19" s="161"/>
      <c r="JN19" s="161"/>
      <c r="JO19" s="161"/>
      <c r="JP19" s="161"/>
      <c r="JQ19" s="161"/>
      <c r="JR19" s="161"/>
      <c r="JS19" s="161"/>
      <c r="JT19" s="161"/>
      <c r="JU19" s="161"/>
      <c r="JV19" s="161"/>
      <c r="JW19" s="161"/>
      <c r="JX19" s="161"/>
      <c r="JY19" s="161"/>
      <c r="JZ19" s="161"/>
      <c r="KA19" s="161"/>
      <c r="KB19" s="161"/>
      <c r="KC19" s="161"/>
      <c r="KD19" s="161"/>
      <c r="KE19" s="161"/>
      <c r="KF19" s="161"/>
      <c r="KG19" s="161"/>
      <c r="KH19" s="161"/>
      <c r="KI19" s="161"/>
      <c r="KJ19" s="161"/>
      <c r="KK19" s="161"/>
      <c r="KL19" s="161"/>
      <c r="KM19" s="161"/>
      <c r="KN19" s="161"/>
      <c r="KO19" s="161"/>
      <c r="KP19" s="161"/>
      <c r="KQ19" s="161"/>
      <c r="KR19" s="161"/>
      <c r="KS19" s="161"/>
      <c r="KT19" s="161"/>
      <c r="KU19" s="161"/>
      <c r="KV19" s="161"/>
      <c r="KW19" s="161"/>
      <c r="KX19" s="161"/>
      <c r="KY19" s="161"/>
      <c r="KZ19" s="161"/>
      <c r="LA19" s="161"/>
      <c r="LB19" s="161"/>
      <c r="LC19" s="161"/>
      <c r="LD19" s="161"/>
      <c r="LE19" s="161"/>
      <c r="LF19" s="161"/>
      <c r="LG19" s="161"/>
      <c r="LH19" s="161"/>
      <c r="LI19" s="161"/>
      <c r="LJ19" s="161"/>
      <c r="LK19" s="161"/>
      <c r="LL19" s="161"/>
      <c r="LM19" s="161"/>
      <c r="LN19" s="161"/>
      <c r="LO19" s="161"/>
      <c r="LP19" s="161"/>
      <c r="LQ19" s="161"/>
      <c r="LR19" s="161"/>
      <c r="LS19" s="161"/>
      <c r="LT19" s="161"/>
      <c r="LU19" s="161"/>
      <c r="LV19" s="161"/>
      <c r="LW19" s="161"/>
      <c r="LX19" s="161"/>
      <c r="LY19" s="161"/>
      <c r="LZ19" s="161"/>
      <c r="MA19" s="161"/>
      <c r="MB19" s="161"/>
      <c r="MC19" s="161"/>
      <c r="MD19" s="161"/>
      <c r="ME19" s="161"/>
      <c r="MF19" s="161"/>
      <c r="MG19" s="161"/>
      <c r="MH19" s="161"/>
      <c r="MI19" s="161"/>
      <c r="MJ19" s="161"/>
      <c r="MK19" s="161"/>
      <c r="ML19" s="161"/>
      <c r="MM19" s="161"/>
      <c r="MN19" s="161"/>
      <c r="MO19" s="161"/>
      <c r="MP19" s="161"/>
      <c r="MQ19" s="161"/>
      <c r="MR19" s="161"/>
      <c r="MS19" s="161"/>
      <c r="MT19" s="161"/>
      <c r="MU19" s="161"/>
      <c r="MV19" s="161"/>
      <c r="MW19" s="161"/>
      <c r="MX19" s="161"/>
      <c r="MY19" s="161"/>
      <c r="MZ19" s="161"/>
      <c r="NA19" s="161"/>
      <c r="NB19" s="161"/>
      <c r="NC19" s="161"/>
      <c r="ND19" s="161"/>
      <c r="NE19" s="161"/>
      <c r="NF19" s="161"/>
      <c r="NG19" s="161"/>
      <c r="NH19" s="161"/>
      <c r="NI19" s="161"/>
      <c r="NJ19" s="161"/>
      <c r="NK19" s="161"/>
      <c r="NL19" s="161"/>
      <c r="NM19" s="161"/>
      <c r="NN19" s="161"/>
      <c r="NO19" s="161"/>
      <c r="NP19" s="161"/>
      <c r="NQ19" s="161"/>
      <c r="NR19" s="161"/>
      <c r="NS19" s="161"/>
      <c r="NT19" s="161"/>
      <c r="NU19" s="161"/>
      <c r="NV19" s="161"/>
      <c r="NW19" s="161"/>
      <c r="NX19" s="161"/>
      <c r="NY19" s="161"/>
      <c r="NZ19" s="161"/>
      <c r="OA19" s="161"/>
      <c r="OB19" s="161"/>
      <c r="OC19" s="161"/>
      <c r="OD19" s="161"/>
      <c r="OE19" s="161"/>
      <c r="OF19" s="161"/>
      <c r="OG19" s="161"/>
      <c r="OH19" s="161"/>
      <c r="OI19" s="161"/>
      <c r="OJ19" s="161"/>
      <c r="OK19" s="161"/>
      <c r="OL19" s="161"/>
      <c r="OM19" s="161"/>
      <c r="ON19" s="161"/>
      <c r="OO19" s="161"/>
      <c r="OP19" s="161"/>
      <c r="OQ19" s="161"/>
      <c r="OR19" s="161"/>
      <c r="OS19" s="161"/>
      <c r="OT19" s="161"/>
      <c r="OU19" s="161"/>
      <c r="OV19" s="161"/>
      <c r="OW19" s="161"/>
      <c r="OX19" s="161"/>
      <c r="OY19" s="161"/>
      <c r="OZ19" s="161"/>
      <c r="PA19" s="161"/>
      <c r="PB19" s="161"/>
      <c r="PC19" s="161"/>
      <c r="PD19" s="161"/>
      <c r="PE19" s="161"/>
      <c r="PF19" s="161"/>
      <c r="PG19" s="161"/>
      <c r="PH19" s="161"/>
      <c r="PI19" s="161"/>
      <c r="PJ19" s="161"/>
      <c r="PK19" s="161"/>
      <c r="PL19" s="161"/>
      <c r="PM19" s="161"/>
      <c r="PN19" s="161"/>
      <c r="PO19" s="161"/>
      <c r="PP19" s="161"/>
      <c r="PQ19" s="161"/>
      <c r="PR19" s="161"/>
      <c r="PS19" s="161"/>
      <c r="PT19" s="161"/>
      <c r="PU19" s="161"/>
      <c r="PV19" s="161"/>
      <c r="PW19" s="161"/>
      <c r="PX19" s="161"/>
      <c r="PY19" s="161"/>
      <c r="PZ19" s="161"/>
      <c r="QA19" s="161"/>
      <c r="QB19" s="161"/>
      <c r="QC19" s="161"/>
      <c r="QD19" s="161"/>
      <c r="QE19" s="161"/>
      <c r="QF19" s="161"/>
      <c r="QG19" s="161"/>
      <c r="QH19" s="161"/>
      <c r="QI19" s="161"/>
      <c r="QJ19" s="161"/>
      <c r="QK19" s="161"/>
      <c r="QL19" s="161"/>
      <c r="QM19" s="161"/>
      <c r="QN19" s="161"/>
      <c r="QO19" s="161"/>
      <c r="QP19" s="161"/>
      <c r="QQ19" s="161"/>
      <c r="QR19" s="161"/>
      <c r="QS19" s="161"/>
      <c r="QT19" s="161"/>
      <c r="QU19" s="161"/>
      <c r="QV19" s="161"/>
      <c r="QW19" s="161"/>
      <c r="QX19" s="161"/>
      <c r="QY19" s="161"/>
      <c r="QZ19" s="161"/>
      <c r="RA19" s="161"/>
      <c r="RB19" s="161"/>
      <c r="RC19" s="161"/>
      <c r="RD19" s="161"/>
      <c r="RE19" s="161"/>
      <c r="RF19" s="161"/>
      <c r="RG19" s="161"/>
      <c r="RH19" s="161"/>
      <c r="RI19" s="161"/>
      <c r="RJ19" s="161"/>
      <c r="RK19" s="161"/>
      <c r="RL19" s="161"/>
      <c r="RM19" s="161"/>
      <c r="RN19" s="161"/>
      <c r="RO19" s="161"/>
      <c r="RP19" s="161"/>
      <c r="RQ19" s="161"/>
      <c r="RR19" s="161"/>
      <c r="RS19" s="161"/>
      <c r="RT19" s="161"/>
      <c r="RU19" s="161"/>
      <c r="RV19" s="161"/>
      <c r="RW19" s="161"/>
      <c r="RX19" s="161"/>
      <c r="RY19" s="161"/>
      <c r="RZ19" s="161"/>
      <c r="SA19" s="161"/>
      <c r="SB19" s="161"/>
      <c r="SC19" s="161"/>
      <c r="SD19" s="161"/>
      <c r="SE19" s="161"/>
      <c r="SF19" s="161"/>
      <c r="SG19" s="161"/>
      <c r="SH19" s="161"/>
      <c r="SI19" s="161"/>
      <c r="SJ19" s="161"/>
      <c r="SK19" s="161"/>
      <c r="SL19" s="161"/>
      <c r="SM19" s="161"/>
      <c r="SN19" s="161"/>
      <c r="SO19" s="161"/>
      <c r="SP19" s="161"/>
      <c r="SQ19" s="161"/>
      <c r="SR19" s="161"/>
      <c r="SS19" s="161"/>
      <c r="ST19" s="161"/>
      <c r="SU19" s="161"/>
      <c r="SV19" s="161"/>
      <c r="SW19" s="161"/>
      <c r="SX19" s="161"/>
      <c r="SY19" s="161"/>
      <c r="SZ19" s="161"/>
      <c r="TA19" s="161"/>
      <c r="TB19" s="161"/>
      <c r="TC19" s="161"/>
      <c r="TD19" s="161"/>
      <c r="TE19" s="161"/>
      <c r="TF19" s="161"/>
      <c r="TG19" s="161"/>
      <c r="TH19" s="161"/>
      <c r="TI19" s="161"/>
      <c r="TJ19" s="161"/>
      <c r="TK19" s="161"/>
      <c r="TL19" s="161"/>
      <c r="TM19" s="161"/>
      <c r="TN19" s="161"/>
      <c r="TO19" s="161"/>
      <c r="TP19" s="161"/>
      <c r="TQ19" s="161"/>
      <c r="TR19" s="161"/>
      <c r="TS19" s="161"/>
      <c r="TT19" s="161"/>
      <c r="TU19" s="161"/>
      <c r="TV19" s="161"/>
      <c r="TW19" s="161"/>
      <c r="TX19" s="161"/>
      <c r="TY19" s="161"/>
      <c r="TZ19" s="161"/>
      <c r="UA19" s="161"/>
      <c r="UB19" s="161"/>
      <c r="UC19" s="161"/>
      <c r="UD19" s="161"/>
      <c r="UE19" s="161"/>
      <c r="UF19" s="161"/>
      <c r="UG19" s="161"/>
      <c r="UH19" s="161"/>
      <c r="UI19" s="161"/>
      <c r="UJ19" s="161"/>
      <c r="UK19" s="161"/>
      <c r="UL19" s="161"/>
      <c r="UM19" s="161"/>
      <c r="UN19" s="161"/>
      <c r="UO19" s="161"/>
      <c r="UP19" s="161"/>
      <c r="UQ19" s="161"/>
      <c r="UR19" s="161"/>
      <c r="US19" s="161"/>
      <c r="UT19" s="161"/>
      <c r="UU19" s="161"/>
      <c r="UV19" s="161"/>
      <c r="UW19" s="161"/>
      <c r="UX19" s="161"/>
      <c r="UY19" s="161"/>
      <c r="UZ19" s="161"/>
      <c r="VA19" s="161"/>
      <c r="VB19" s="161"/>
      <c r="VC19" s="161"/>
      <c r="VD19" s="161"/>
      <c r="VE19" s="161"/>
      <c r="VF19" s="161"/>
      <c r="VG19" s="161"/>
      <c r="VH19" s="161"/>
      <c r="VI19" s="161"/>
      <c r="VJ19" s="161"/>
      <c r="VK19" s="161"/>
      <c r="VL19" s="161"/>
      <c r="VM19" s="161"/>
      <c r="VN19" s="161"/>
      <c r="VO19" s="161"/>
      <c r="VP19" s="161"/>
      <c r="VQ19" s="161"/>
      <c r="VR19" s="161"/>
      <c r="VS19" s="161"/>
      <c r="VT19" s="161"/>
      <c r="VU19" s="161"/>
      <c r="VV19" s="161"/>
      <c r="VW19" s="161"/>
      <c r="VX19" s="161"/>
      <c r="VY19" s="161"/>
      <c r="VZ19" s="161"/>
      <c r="WA19" s="161"/>
      <c r="WB19" s="161"/>
      <c r="WC19" s="161"/>
      <c r="WD19" s="161"/>
      <c r="WE19" s="161"/>
      <c r="WF19" s="161"/>
      <c r="WG19" s="161"/>
      <c r="WH19" s="161"/>
      <c r="WI19" s="161"/>
      <c r="WJ19" s="161"/>
      <c r="WK19" s="161"/>
      <c r="WL19" s="161"/>
      <c r="WM19" s="161"/>
      <c r="WN19" s="161"/>
      <c r="WO19" s="161"/>
      <c r="WP19" s="161"/>
      <c r="WQ19" s="161"/>
      <c r="WR19" s="161"/>
      <c r="WS19" s="161"/>
      <c r="WT19" s="161"/>
      <c r="WU19" s="161"/>
      <c r="WV19" s="161"/>
      <c r="WW19" s="161"/>
      <c r="WX19" s="161"/>
      <c r="WY19" s="161"/>
      <c r="WZ19" s="161"/>
      <c r="XA19" s="161"/>
      <c r="XB19" s="161"/>
      <c r="XC19" s="161"/>
      <c r="XD19" s="161"/>
      <c r="XE19" s="161"/>
      <c r="XF19" s="161"/>
      <c r="XG19" s="161"/>
      <c r="XH19" s="161"/>
      <c r="XI19" s="161"/>
      <c r="XJ19" s="161"/>
      <c r="XK19" s="161"/>
      <c r="XL19" s="161"/>
      <c r="XM19" s="161"/>
      <c r="XN19" s="161"/>
      <c r="XO19" s="161"/>
      <c r="XP19" s="161"/>
      <c r="XQ19" s="161"/>
      <c r="XR19" s="161"/>
      <c r="XS19" s="161"/>
      <c r="XT19" s="161"/>
      <c r="XU19" s="161"/>
      <c r="XV19" s="161"/>
      <c r="XW19" s="161"/>
      <c r="XX19" s="161"/>
      <c r="XY19" s="161"/>
      <c r="XZ19" s="161"/>
      <c r="YA19" s="161"/>
      <c r="YB19" s="161"/>
      <c r="YC19" s="161"/>
      <c r="YD19" s="161"/>
      <c r="YE19" s="161"/>
      <c r="YF19" s="161"/>
      <c r="YG19" s="161"/>
      <c r="YH19" s="161"/>
      <c r="YI19" s="161"/>
      <c r="YJ19" s="161"/>
      <c r="YK19" s="161"/>
      <c r="YL19" s="161"/>
      <c r="YM19" s="161"/>
      <c r="YN19" s="161"/>
      <c r="YO19" s="161"/>
      <c r="YP19" s="161"/>
      <c r="YQ19" s="161"/>
      <c r="YR19" s="161"/>
      <c r="YS19" s="161"/>
      <c r="YT19" s="161"/>
      <c r="YU19" s="161"/>
      <c r="YV19" s="161"/>
      <c r="YW19" s="161"/>
      <c r="YX19" s="161"/>
      <c r="YY19" s="161"/>
      <c r="YZ19" s="161"/>
      <c r="ZA19" s="161"/>
      <c r="ZB19" s="161"/>
      <c r="ZC19" s="161"/>
      <c r="ZD19" s="161"/>
      <c r="ZE19" s="161"/>
      <c r="ZF19" s="161"/>
      <c r="ZG19" s="161"/>
      <c r="ZH19" s="161"/>
      <c r="ZI19" s="161"/>
      <c r="ZJ19" s="161"/>
      <c r="ZK19" s="161"/>
      <c r="ZL19" s="161"/>
      <c r="ZM19" s="161"/>
      <c r="ZN19" s="161"/>
      <c r="ZO19" s="161"/>
      <c r="ZP19" s="161"/>
      <c r="ZQ19" s="161"/>
      <c r="ZR19" s="161"/>
      <c r="ZS19" s="161"/>
      <c r="ZT19" s="161"/>
      <c r="ZU19" s="161"/>
      <c r="ZV19" s="161"/>
      <c r="ZW19" s="161"/>
      <c r="ZX19" s="161"/>
      <c r="ZY19" s="161"/>
      <c r="ZZ19" s="161"/>
      <c r="AAA19" s="161"/>
      <c r="AAB19" s="161"/>
      <c r="AAC19" s="161"/>
      <c r="AAD19" s="161"/>
      <c r="AAE19" s="161"/>
      <c r="AAF19" s="161"/>
      <c r="AAG19" s="161"/>
      <c r="AAH19" s="161"/>
      <c r="AAI19" s="161"/>
      <c r="AAJ19" s="161"/>
      <c r="AAK19" s="161"/>
      <c r="AAL19" s="161"/>
      <c r="AAM19" s="161"/>
      <c r="AAN19" s="161"/>
      <c r="AAO19" s="161"/>
      <c r="AAP19" s="161"/>
      <c r="AAQ19" s="161"/>
      <c r="AAR19" s="161"/>
      <c r="AAS19" s="161"/>
      <c r="AAT19" s="161"/>
      <c r="AAU19" s="161"/>
      <c r="AAV19" s="161"/>
      <c r="AAW19" s="161"/>
      <c r="AAX19" s="161"/>
      <c r="AAY19" s="161"/>
      <c r="AAZ19" s="161"/>
      <c r="ABA19" s="161"/>
      <c r="ABB19" s="161"/>
      <c r="ABC19" s="161"/>
      <c r="ABD19" s="161"/>
      <c r="ABE19" s="161"/>
      <c r="ABF19" s="161"/>
      <c r="ABG19" s="161"/>
      <c r="ABH19" s="161"/>
      <c r="ABI19" s="161"/>
      <c r="ABJ19" s="161"/>
      <c r="ABK19" s="161"/>
      <c r="ABL19" s="161"/>
      <c r="ABM19" s="161"/>
      <c r="ABN19" s="161"/>
      <c r="ABO19" s="161"/>
      <c r="ABP19" s="161"/>
      <c r="ABQ19" s="161"/>
      <c r="ABR19" s="161"/>
      <c r="ABS19" s="161"/>
      <c r="ABT19" s="161"/>
      <c r="ABU19" s="161"/>
      <c r="ABV19" s="161"/>
      <c r="ABW19" s="161"/>
      <c r="ABX19" s="161"/>
      <c r="ABY19" s="161"/>
      <c r="ABZ19" s="161"/>
      <c r="ACA19" s="161"/>
      <c r="ACB19" s="161"/>
      <c r="ACC19" s="161"/>
      <c r="ACD19" s="161"/>
      <c r="ACE19" s="161"/>
      <c r="ACF19" s="161"/>
      <c r="ACG19" s="161"/>
      <c r="ACH19" s="161"/>
      <c r="ACI19" s="161"/>
      <c r="ACJ19" s="161"/>
      <c r="ACK19" s="161"/>
      <c r="ACL19" s="161"/>
      <c r="ACM19" s="161"/>
      <c r="ACN19" s="161"/>
      <c r="ACO19" s="161"/>
      <c r="ACP19" s="161"/>
      <c r="ACQ19" s="161"/>
      <c r="ACR19" s="161"/>
      <c r="ACS19" s="161"/>
      <c r="ACT19" s="161"/>
      <c r="ACU19" s="161"/>
      <c r="ACV19" s="161"/>
      <c r="ACW19" s="161"/>
      <c r="ACX19" s="161"/>
      <c r="ACY19" s="161"/>
      <c r="ACZ19" s="161"/>
      <c r="ADA19" s="161"/>
      <c r="ADB19" s="161"/>
      <c r="ADC19" s="161"/>
      <c r="ADD19" s="161"/>
      <c r="ADE19" s="161"/>
      <c r="ADF19" s="161"/>
      <c r="ADG19" s="161"/>
      <c r="ADH19" s="161"/>
      <c r="ADI19" s="161"/>
      <c r="ADJ19" s="161"/>
      <c r="ADK19" s="161"/>
      <c r="ADL19" s="161"/>
      <c r="ADM19" s="161"/>
      <c r="ADN19" s="161"/>
      <c r="ADO19" s="161"/>
      <c r="ADP19" s="161"/>
      <c r="ADQ19" s="161"/>
      <c r="ADR19" s="161"/>
      <c r="ADS19" s="161"/>
      <c r="ADT19" s="161"/>
      <c r="ADU19" s="161"/>
      <c r="ADV19" s="161"/>
      <c r="ADW19" s="161"/>
      <c r="ADX19" s="161"/>
      <c r="ADY19" s="161"/>
      <c r="ADZ19" s="161"/>
      <c r="AEA19" s="161"/>
      <c r="AEB19" s="161"/>
      <c r="AEC19" s="161"/>
      <c r="AED19" s="161"/>
      <c r="AEE19" s="161"/>
      <c r="AEF19" s="161"/>
      <c r="AEG19" s="161"/>
      <c r="AEH19" s="161"/>
      <c r="AEI19" s="161"/>
      <c r="AEJ19" s="161"/>
      <c r="AEK19" s="161"/>
      <c r="AEL19" s="161"/>
      <c r="AEM19" s="161"/>
      <c r="AEN19" s="161"/>
      <c r="AEO19" s="161"/>
      <c r="AEP19" s="161"/>
      <c r="AEQ19" s="161"/>
      <c r="AER19" s="161"/>
      <c r="AES19" s="161"/>
      <c r="AET19" s="161"/>
      <c r="AEU19" s="161"/>
      <c r="AEV19" s="161"/>
      <c r="AEW19" s="161"/>
      <c r="AEX19" s="161"/>
      <c r="AEY19" s="161"/>
      <c r="AEZ19" s="161"/>
      <c r="AFA19" s="161"/>
      <c r="AFB19" s="161"/>
      <c r="AFC19" s="161"/>
      <c r="AFD19" s="161"/>
      <c r="AFE19" s="161"/>
      <c r="AFF19" s="161"/>
      <c r="AFG19" s="161"/>
      <c r="AFH19" s="161"/>
      <c r="AFI19" s="161"/>
      <c r="AFJ19" s="161"/>
      <c r="AFK19" s="161"/>
      <c r="AFL19" s="161"/>
      <c r="AFM19" s="161"/>
      <c r="AFN19" s="161"/>
      <c r="AFO19" s="161"/>
      <c r="AFP19" s="161"/>
      <c r="AFQ19" s="161"/>
      <c r="AFR19" s="161"/>
      <c r="AFS19" s="161"/>
      <c r="AFT19" s="161"/>
      <c r="AFU19" s="161"/>
      <c r="AFV19" s="161"/>
      <c r="AFW19" s="161"/>
      <c r="AFX19" s="161"/>
      <c r="AFY19" s="161"/>
      <c r="AFZ19" s="161"/>
      <c r="AGA19" s="161"/>
      <c r="AGB19" s="161"/>
      <c r="AGC19" s="161"/>
      <c r="AGD19" s="161"/>
      <c r="AGE19" s="161"/>
      <c r="AGF19" s="161"/>
      <c r="AGG19" s="161"/>
      <c r="AGH19" s="161"/>
      <c r="AGI19" s="161"/>
      <c r="AGJ19" s="161"/>
      <c r="AGK19" s="161"/>
      <c r="AGL19" s="161"/>
      <c r="AGM19" s="161"/>
      <c r="AGN19" s="161"/>
      <c r="AGO19" s="161"/>
      <c r="AGP19" s="161"/>
      <c r="AGQ19" s="161"/>
      <c r="AGR19" s="161"/>
      <c r="AGS19" s="161"/>
      <c r="AGT19" s="161"/>
      <c r="AGU19" s="161"/>
      <c r="AGV19" s="161"/>
      <c r="AGW19" s="161"/>
      <c r="AGX19" s="161"/>
      <c r="AGY19" s="161"/>
      <c r="AGZ19" s="161"/>
      <c r="AHA19" s="161"/>
      <c r="AHB19" s="161"/>
      <c r="AHC19" s="161"/>
      <c r="AHD19" s="161"/>
      <c r="AHE19" s="161"/>
      <c r="AHF19" s="161"/>
      <c r="AHG19" s="161"/>
      <c r="AHH19" s="161"/>
      <c r="AHI19" s="161"/>
      <c r="AHJ19" s="161"/>
      <c r="AHK19" s="161"/>
      <c r="AHL19" s="161"/>
      <c r="AHM19" s="161"/>
      <c r="AHN19" s="161"/>
      <c r="AHO19" s="161"/>
      <c r="AHP19" s="161"/>
      <c r="AHQ19" s="161"/>
      <c r="AHR19" s="161"/>
      <c r="AHS19" s="161"/>
      <c r="AHT19" s="161"/>
      <c r="AHU19" s="161"/>
      <c r="AHV19" s="161"/>
      <c r="AHW19" s="161"/>
      <c r="AHX19" s="161"/>
      <c r="AHY19" s="161"/>
      <c r="AHZ19" s="161"/>
      <c r="AIA19" s="161"/>
      <c r="AIB19" s="161"/>
      <c r="AIC19" s="161"/>
      <c r="AID19" s="161"/>
      <c r="AIE19" s="161"/>
      <c r="AIF19" s="161"/>
    </row>
    <row r="20" spans="1:916" s="322" customFormat="1" ht="12.75">
      <c r="A20" s="315"/>
      <c r="B20" s="316" t="s">
        <v>450</v>
      </c>
      <c r="C20" s="317"/>
      <c r="D20" s="316"/>
      <c r="E20" s="316"/>
      <c r="F20" s="317"/>
      <c r="G20" s="318"/>
      <c r="H20" s="319">
        <f>SUM(H8:H19,H6)</f>
        <v>3807387.6000000015</v>
      </c>
      <c r="I20" s="319">
        <f>SUM(I8:I19,I6)</f>
        <v>3007691.32</v>
      </c>
      <c r="J20" s="319">
        <f>SUM(J8:J19,J6)</f>
        <v>12020689.869999997</v>
      </c>
      <c r="K20" s="319">
        <f>SUM(K8:K19,K6)</f>
        <v>17608836.889999978</v>
      </c>
      <c r="L20" s="319">
        <f>SUM(L8:L19,L6)</f>
        <v>29629526.759999972</v>
      </c>
      <c r="M20" s="320"/>
      <c r="N20" s="319">
        <f t="shared" ref="N20:T20" si="5">SUM(N8:N19,N6)</f>
        <v>15401102.060000001</v>
      </c>
      <c r="O20" s="319">
        <f t="shared" si="5"/>
        <v>32637218.079999968</v>
      </c>
      <c r="P20" s="319">
        <f t="shared" si="5"/>
        <v>790.45000000000016</v>
      </c>
      <c r="Q20" s="319">
        <f t="shared" si="5"/>
        <v>14397590.034589136</v>
      </c>
      <c r="R20" s="319">
        <f t="shared" si="5"/>
        <v>30510627.35346356</v>
      </c>
      <c r="S20" s="319">
        <f t="shared" si="5"/>
        <v>38121462.253308222</v>
      </c>
      <c r="T20" s="319">
        <f t="shared" si="5"/>
        <v>2672965.9837343376</v>
      </c>
      <c r="U20" s="506">
        <f>S20/Q20</f>
        <v>2.6477668944402675</v>
      </c>
      <c r="V20" s="506">
        <f>(S20*1.1+T20)/R20</f>
        <v>1.4620012215943392</v>
      </c>
      <c r="W20" s="2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/>
      <c r="BS20" s="161"/>
      <c r="BT20" s="161"/>
      <c r="BU20" s="161"/>
      <c r="BV20" s="161"/>
      <c r="BW20" s="161"/>
      <c r="BX20" s="161"/>
      <c r="BY20" s="161"/>
      <c r="BZ20" s="161"/>
      <c r="CA20" s="161"/>
      <c r="CB20" s="161"/>
      <c r="CC20" s="161"/>
      <c r="CD20" s="161"/>
      <c r="CE20" s="161"/>
      <c r="CF20" s="161"/>
      <c r="CG20" s="161"/>
      <c r="CH20" s="161"/>
      <c r="CI20" s="161"/>
      <c r="CJ20" s="161"/>
      <c r="CK20" s="161"/>
      <c r="CL20" s="161"/>
      <c r="CM20" s="161"/>
      <c r="CN20" s="161"/>
      <c r="CO20" s="161"/>
      <c r="CP20" s="161"/>
      <c r="CQ20" s="161"/>
      <c r="CR20" s="161"/>
      <c r="CS20" s="161"/>
      <c r="CT20" s="161"/>
      <c r="CU20" s="161"/>
      <c r="CV20" s="161"/>
      <c r="CW20" s="161"/>
      <c r="CX20" s="161"/>
      <c r="CY20" s="161"/>
      <c r="CZ20" s="161"/>
      <c r="DA20" s="161"/>
      <c r="DB20" s="161"/>
      <c r="DC20" s="161"/>
      <c r="DD20" s="161"/>
      <c r="DE20" s="161"/>
      <c r="DF20" s="161"/>
      <c r="DG20" s="161"/>
      <c r="DH20" s="161"/>
      <c r="DI20" s="161"/>
      <c r="DJ20" s="161"/>
      <c r="DK20" s="161"/>
      <c r="DL20" s="161"/>
      <c r="DM20" s="161"/>
      <c r="DN20" s="161"/>
      <c r="DO20" s="161"/>
      <c r="DP20" s="161"/>
      <c r="DQ20" s="161"/>
      <c r="DR20" s="161"/>
      <c r="DS20" s="161"/>
      <c r="DT20" s="161"/>
      <c r="DU20" s="161"/>
      <c r="DV20" s="161"/>
      <c r="DW20" s="161"/>
      <c r="DX20" s="161"/>
      <c r="DY20" s="161"/>
      <c r="DZ20" s="161"/>
      <c r="EA20" s="161"/>
      <c r="EB20" s="161"/>
      <c r="EC20" s="161"/>
      <c r="ED20" s="161"/>
      <c r="EE20" s="161"/>
      <c r="EF20" s="161"/>
      <c r="EG20" s="161"/>
      <c r="EH20" s="161"/>
      <c r="EI20" s="161"/>
      <c r="EJ20" s="161"/>
      <c r="EK20" s="161"/>
      <c r="EL20" s="161"/>
      <c r="EM20" s="161"/>
      <c r="EN20" s="161"/>
      <c r="EO20" s="161"/>
      <c r="EP20" s="161"/>
      <c r="EQ20" s="161"/>
      <c r="ER20" s="161"/>
      <c r="ES20" s="161"/>
      <c r="ET20" s="161"/>
      <c r="EU20" s="161"/>
      <c r="EV20" s="161"/>
      <c r="EW20" s="161"/>
      <c r="EX20" s="161"/>
      <c r="EY20" s="161"/>
      <c r="EZ20" s="161"/>
      <c r="FA20" s="161"/>
      <c r="FB20" s="161"/>
      <c r="FC20" s="161"/>
      <c r="FD20" s="161"/>
      <c r="FE20" s="161"/>
      <c r="FF20" s="161"/>
      <c r="FG20" s="161"/>
      <c r="FH20" s="161"/>
      <c r="FI20" s="161"/>
      <c r="FJ20" s="161"/>
      <c r="FK20" s="161"/>
      <c r="FL20" s="161"/>
      <c r="FM20" s="161"/>
      <c r="FN20" s="161"/>
      <c r="FO20" s="161"/>
      <c r="FP20" s="161"/>
      <c r="FQ20" s="161"/>
      <c r="FR20" s="161"/>
      <c r="FS20" s="161"/>
      <c r="FT20" s="161"/>
      <c r="FU20" s="161"/>
      <c r="FV20" s="161"/>
      <c r="FW20" s="161"/>
      <c r="FX20" s="161"/>
      <c r="FY20" s="161"/>
      <c r="FZ20" s="161"/>
      <c r="GA20" s="161"/>
      <c r="GB20" s="161"/>
      <c r="GC20" s="161"/>
      <c r="GD20" s="161"/>
      <c r="GE20" s="161"/>
      <c r="GF20" s="161"/>
      <c r="GG20" s="161"/>
      <c r="GH20" s="161"/>
      <c r="GI20" s="161"/>
      <c r="GJ20" s="161"/>
      <c r="GK20" s="161"/>
      <c r="GL20" s="161"/>
      <c r="GM20" s="161"/>
      <c r="GN20" s="161"/>
      <c r="GO20" s="161"/>
      <c r="GP20" s="161"/>
      <c r="GQ20" s="161"/>
      <c r="GR20" s="161"/>
      <c r="GS20" s="161"/>
      <c r="GT20" s="161"/>
      <c r="GU20" s="161"/>
      <c r="GV20" s="161"/>
      <c r="GW20" s="161"/>
      <c r="GX20" s="161"/>
      <c r="GY20" s="161"/>
      <c r="GZ20" s="161"/>
      <c r="HA20" s="161"/>
      <c r="HB20" s="161"/>
      <c r="HC20" s="161"/>
      <c r="HD20" s="161"/>
      <c r="HE20" s="161"/>
      <c r="HF20" s="161"/>
      <c r="HG20" s="161"/>
      <c r="HH20" s="161"/>
      <c r="HI20" s="161"/>
      <c r="HJ20" s="161"/>
      <c r="HK20" s="161"/>
      <c r="HL20" s="161"/>
      <c r="HM20" s="161"/>
      <c r="HN20" s="161"/>
      <c r="HO20" s="161"/>
      <c r="HP20" s="161"/>
      <c r="HQ20" s="161"/>
      <c r="HR20" s="161"/>
      <c r="HS20" s="161"/>
      <c r="HT20" s="161"/>
      <c r="HU20" s="161"/>
      <c r="HV20" s="161"/>
      <c r="HW20" s="161"/>
      <c r="HX20" s="161"/>
      <c r="HY20" s="161"/>
      <c r="HZ20" s="161"/>
      <c r="IA20" s="161"/>
      <c r="IB20" s="161"/>
      <c r="IC20" s="161"/>
      <c r="ID20" s="161"/>
      <c r="IE20" s="161"/>
      <c r="IF20" s="161"/>
      <c r="IG20" s="161"/>
      <c r="IH20" s="161"/>
      <c r="II20" s="161"/>
      <c r="IJ20" s="161"/>
      <c r="IK20" s="161"/>
      <c r="IL20" s="161"/>
      <c r="IM20" s="161"/>
      <c r="IN20" s="161"/>
      <c r="IO20" s="161"/>
      <c r="IP20" s="161"/>
      <c r="IQ20" s="161"/>
      <c r="IR20" s="161"/>
      <c r="IS20" s="161"/>
      <c r="IT20" s="161"/>
      <c r="IU20" s="161"/>
      <c r="IV20" s="161"/>
      <c r="IW20" s="161"/>
      <c r="IX20" s="161"/>
      <c r="IY20" s="161"/>
      <c r="IZ20" s="161"/>
      <c r="JA20" s="161"/>
      <c r="JB20" s="161"/>
      <c r="JC20" s="161"/>
      <c r="JD20" s="161"/>
      <c r="JE20" s="161"/>
      <c r="JF20" s="161"/>
      <c r="JG20" s="161"/>
      <c r="JH20" s="161"/>
      <c r="JI20" s="161"/>
      <c r="JJ20" s="161"/>
      <c r="JK20" s="161"/>
      <c r="JL20" s="161"/>
      <c r="JM20" s="161"/>
      <c r="JN20" s="161"/>
      <c r="JO20" s="161"/>
      <c r="JP20" s="161"/>
      <c r="JQ20" s="161"/>
      <c r="JR20" s="161"/>
      <c r="JS20" s="161"/>
      <c r="JT20" s="161"/>
      <c r="JU20" s="161"/>
      <c r="JV20" s="161"/>
      <c r="JW20" s="161"/>
      <c r="JX20" s="161"/>
      <c r="JY20" s="161"/>
      <c r="JZ20" s="161"/>
      <c r="KA20" s="161"/>
      <c r="KB20" s="161"/>
      <c r="KC20" s="161"/>
      <c r="KD20" s="161"/>
      <c r="KE20" s="161"/>
      <c r="KF20" s="161"/>
      <c r="KG20" s="161"/>
      <c r="KH20" s="161"/>
      <c r="KI20" s="161"/>
      <c r="KJ20" s="161"/>
      <c r="KK20" s="161"/>
      <c r="KL20" s="161"/>
      <c r="KM20" s="161"/>
      <c r="KN20" s="161"/>
      <c r="KO20" s="161"/>
      <c r="KP20" s="161"/>
      <c r="KQ20" s="161"/>
      <c r="KR20" s="161"/>
      <c r="KS20" s="161"/>
      <c r="KT20" s="161"/>
      <c r="KU20" s="161"/>
      <c r="KV20" s="161"/>
      <c r="KW20" s="161"/>
      <c r="KX20" s="161"/>
      <c r="KY20" s="161"/>
      <c r="KZ20" s="161"/>
      <c r="LA20" s="161"/>
      <c r="LB20" s="161"/>
      <c r="LC20" s="161"/>
      <c r="LD20" s="161"/>
      <c r="LE20" s="161"/>
      <c r="LF20" s="161"/>
      <c r="LG20" s="161"/>
      <c r="LH20" s="161"/>
      <c r="LI20" s="161"/>
      <c r="LJ20" s="161"/>
      <c r="LK20" s="161"/>
      <c r="LL20" s="161"/>
      <c r="LM20" s="161"/>
      <c r="LN20" s="161"/>
      <c r="LO20" s="161"/>
      <c r="LP20" s="161"/>
      <c r="LQ20" s="161"/>
      <c r="LR20" s="161"/>
      <c r="LS20" s="161"/>
      <c r="LT20" s="161"/>
      <c r="LU20" s="161"/>
      <c r="LV20" s="161"/>
      <c r="LW20" s="161"/>
      <c r="LX20" s="161"/>
      <c r="LY20" s="161"/>
      <c r="LZ20" s="161"/>
      <c r="MA20" s="161"/>
      <c r="MB20" s="161"/>
      <c r="MC20" s="161"/>
      <c r="MD20" s="161"/>
      <c r="ME20" s="161"/>
      <c r="MF20" s="161"/>
      <c r="MG20" s="161"/>
      <c r="MH20" s="161"/>
      <c r="MI20" s="161"/>
      <c r="MJ20" s="161"/>
      <c r="MK20" s="161"/>
      <c r="ML20" s="161"/>
      <c r="MM20" s="161"/>
      <c r="MN20" s="161"/>
      <c r="MO20" s="161"/>
      <c r="MP20" s="161"/>
      <c r="MQ20" s="161"/>
      <c r="MR20" s="161"/>
      <c r="MS20" s="161"/>
      <c r="MT20" s="161"/>
      <c r="MU20" s="161"/>
      <c r="MV20" s="161"/>
      <c r="MW20" s="161"/>
      <c r="MX20" s="161"/>
      <c r="MY20" s="161"/>
      <c r="MZ20" s="161"/>
      <c r="NA20" s="161"/>
      <c r="NB20" s="161"/>
      <c r="NC20" s="161"/>
      <c r="ND20" s="161"/>
      <c r="NE20" s="161"/>
      <c r="NF20" s="161"/>
      <c r="NG20" s="161"/>
      <c r="NH20" s="161"/>
      <c r="NI20" s="161"/>
      <c r="NJ20" s="161"/>
      <c r="NK20" s="161"/>
      <c r="NL20" s="161"/>
      <c r="NM20" s="161"/>
      <c r="NN20" s="161"/>
      <c r="NO20" s="161"/>
      <c r="NP20" s="161"/>
      <c r="NQ20" s="161"/>
      <c r="NR20" s="161"/>
      <c r="NS20" s="161"/>
      <c r="NT20" s="161"/>
      <c r="NU20" s="161"/>
      <c r="NV20" s="161"/>
      <c r="NW20" s="161"/>
      <c r="NX20" s="161"/>
      <c r="NY20" s="161"/>
      <c r="NZ20" s="161"/>
      <c r="OA20" s="161"/>
      <c r="OB20" s="161"/>
      <c r="OC20" s="161"/>
      <c r="OD20" s="161"/>
      <c r="OE20" s="161"/>
      <c r="OF20" s="161"/>
      <c r="OG20" s="161"/>
      <c r="OH20" s="161"/>
      <c r="OI20" s="161"/>
      <c r="OJ20" s="161"/>
      <c r="OK20" s="161"/>
      <c r="OL20" s="161"/>
      <c r="OM20" s="161"/>
      <c r="ON20" s="161"/>
      <c r="OO20" s="161"/>
      <c r="OP20" s="161"/>
      <c r="OQ20" s="161"/>
      <c r="OR20" s="161"/>
      <c r="OS20" s="161"/>
      <c r="OT20" s="161"/>
      <c r="OU20" s="161"/>
      <c r="OV20" s="161"/>
      <c r="OW20" s="161"/>
      <c r="OX20" s="161"/>
      <c r="OY20" s="161"/>
      <c r="OZ20" s="161"/>
      <c r="PA20" s="161"/>
      <c r="PB20" s="161"/>
      <c r="PC20" s="161"/>
      <c r="PD20" s="161"/>
      <c r="PE20" s="161"/>
      <c r="PF20" s="161"/>
      <c r="PG20" s="161"/>
      <c r="PH20" s="161"/>
      <c r="PI20" s="161"/>
      <c r="PJ20" s="161"/>
      <c r="PK20" s="161"/>
      <c r="PL20" s="161"/>
      <c r="PM20" s="161"/>
      <c r="PN20" s="161"/>
      <c r="PO20" s="161"/>
      <c r="PP20" s="161"/>
      <c r="PQ20" s="161"/>
      <c r="PR20" s="161"/>
      <c r="PS20" s="161"/>
      <c r="PT20" s="161"/>
      <c r="PU20" s="161"/>
      <c r="PV20" s="161"/>
      <c r="PW20" s="161"/>
      <c r="PX20" s="161"/>
      <c r="PY20" s="161"/>
      <c r="PZ20" s="161"/>
      <c r="QA20" s="161"/>
      <c r="QB20" s="161"/>
      <c r="QC20" s="161"/>
      <c r="QD20" s="161"/>
      <c r="QE20" s="161"/>
      <c r="QF20" s="161"/>
      <c r="QG20" s="161"/>
      <c r="QH20" s="161"/>
      <c r="QI20" s="161"/>
      <c r="QJ20" s="161"/>
      <c r="QK20" s="161"/>
      <c r="QL20" s="161"/>
      <c r="QM20" s="161"/>
      <c r="QN20" s="161"/>
      <c r="QO20" s="161"/>
      <c r="QP20" s="161"/>
      <c r="QQ20" s="161"/>
      <c r="QR20" s="161"/>
      <c r="QS20" s="161"/>
      <c r="QT20" s="161"/>
      <c r="QU20" s="161"/>
      <c r="QV20" s="161"/>
      <c r="QW20" s="161"/>
      <c r="QX20" s="161"/>
      <c r="QY20" s="161"/>
      <c r="QZ20" s="161"/>
      <c r="RA20" s="161"/>
      <c r="RB20" s="161"/>
      <c r="RC20" s="161"/>
      <c r="RD20" s="161"/>
      <c r="RE20" s="161"/>
      <c r="RF20" s="161"/>
      <c r="RG20" s="161"/>
      <c r="RH20" s="161"/>
      <c r="RI20" s="161"/>
      <c r="RJ20" s="161"/>
      <c r="RK20" s="161"/>
      <c r="RL20" s="161"/>
      <c r="RM20" s="161"/>
      <c r="RN20" s="161"/>
      <c r="RO20" s="161"/>
      <c r="RP20" s="161"/>
      <c r="RQ20" s="161"/>
      <c r="RR20" s="161"/>
      <c r="RS20" s="161"/>
      <c r="RT20" s="161"/>
      <c r="RU20" s="161"/>
      <c r="RV20" s="161"/>
      <c r="RW20" s="161"/>
      <c r="RX20" s="161"/>
      <c r="RY20" s="161"/>
      <c r="RZ20" s="161"/>
      <c r="SA20" s="161"/>
      <c r="SB20" s="161"/>
      <c r="SC20" s="161"/>
      <c r="SD20" s="161"/>
      <c r="SE20" s="161"/>
      <c r="SF20" s="161"/>
      <c r="SG20" s="161"/>
      <c r="SH20" s="161"/>
      <c r="SI20" s="161"/>
      <c r="SJ20" s="161"/>
      <c r="SK20" s="161"/>
      <c r="SL20" s="161"/>
      <c r="SM20" s="161"/>
      <c r="SN20" s="161"/>
      <c r="SO20" s="161"/>
      <c r="SP20" s="161"/>
      <c r="SQ20" s="161"/>
      <c r="SR20" s="161"/>
      <c r="SS20" s="161"/>
      <c r="ST20" s="161"/>
      <c r="SU20" s="161"/>
      <c r="SV20" s="161"/>
      <c r="SW20" s="161"/>
      <c r="SX20" s="161"/>
      <c r="SY20" s="161"/>
      <c r="SZ20" s="161"/>
      <c r="TA20" s="161"/>
      <c r="TB20" s="161"/>
      <c r="TC20" s="161"/>
      <c r="TD20" s="161"/>
      <c r="TE20" s="161"/>
      <c r="TF20" s="161"/>
      <c r="TG20" s="161"/>
      <c r="TH20" s="161"/>
      <c r="TI20" s="161"/>
      <c r="TJ20" s="161"/>
      <c r="TK20" s="161"/>
      <c r="TL20" s="161"/>
      <c r="TM20" s="161"/>
      <c r="TN20" s="161"/>
      <c r="TO20" s="161"/>
      <c r="TP20" s="161"/>
      <c r="TQ20" s="161"/>
      <c r="TR20" s="161"/>
      <c r="TS20" s="161"/>
      <c r="TT20" s="161"/>
      <c r="TU20" s="161"/>
      <c r="TV20" s="161"/>
      <c r="TW20" s="161"/>
      <c r="TX20" s="161"/>
      <c r="TY20" s="161"/>
      <c r="TZ20" s="161"/>
      <c r="UA20" s="161"/>
      <c r="UB20" s="161"/>
      <c r="UC20" s="161"/>
      <c r="UD20" s="161"/>
      <c r="UE20" s="161"/>
      <c r="UF20" s="161"/>
      <c r="UG20" s="161"/>
      <c r="UH20" s="161"/>
      <c r="UI20" s="161"/>
      <c r="UJ20" s="161"/>
      <c r="UK20" s="161"/>
      <c r="UL20" s="161"/>
      <c r="UM20" s="161"/>
      <c r="UN20" s="161"/>
      <c r="UO20" s="161"/>
      <c r="UP20" s="161"/>
      <c r="UQ20" s="161"/>
      <c r="UR20" s="161"/>
      <c r="US20" s="161"/>
      <c r="UT20" s="161"/>
      <c r="UU20" s="161"/>
      <c r="UV20" s="161"/>
      <c r="UW20" s="161"/>
      <c r="UX20" s="161"/>
      <c r="UY20" s="161"/>
      <c r="UZ20" s="161"/>
      <c r="VA20" s="161"/>
      <c r="VB20" s="161"/>
      <c r="VC20" s="161"/>
      <c r="VD20" s="161"/>
      <c r="VE20" s="161"/>
      <c r="VF20" s="161"/>
      <c r="VG20" s="161"/>
      <c r="VH20" s="161"/>
      <c r="VI20" s="161"/>
      <c r="VJ20" s="161"/>
      <c r="VK20" s="161"/>
      <c r="VL20" s="161"/>
      <c r="VM20" s="161"/>
      <c r="VN20" s="161"/>
      <c r="VO20" s="161"/>
      <c r="VP20" s="161"/>
      <c r="VQ20" s="161"/>
      <c r="VR20" s="161"/>
      <c r="VS20" s="161"/>
      <c r="VT20" s="161"/>
      <c r="VU20" s="161"/>
      <c r="VV20" s="161"/>
      <c r="VW20" s="161"/>
      <c r="VX20" s="161"/>
      <c r="VY20" s="161"/>
      <c r="VZ20" s="161"/>
      <c r="WA20" s="161"/>
      <c r="WB20" s="161"/>
      <c r="WC20" s="161"/>
      <c r="WD20" s="161"/>
      <c r="WE20" s="161"/>
      <c r="WF20" s="161"/>
      <c r="WG20" s="161"/>
      <c r="WH20" s="161"/>
      <c r="WI20" s="161"/>
      <c r="WJ20" s="161"/>
      <c r="WK20" s="161"/>
      <c r="WL20" s="161"/>
      <c r="WM20" s="161"/>
      <c r="WN20" s="161"/>
      <c r="WO20" s="161"/>
      <c r="WP20" s="161"/>
      <c r="WQ20" s="161"/>
      <c r="WR20" s="161"/>
      <c r="WS20" s="161"/>
      <c r="WT20" s="161"/>
      <c r="WU20" s="161"/>
      <c r="WV20" s="161"/>
      <c r="WW20" s="161"/>
      <c r="WX20" s="161"/>
      <c r="WY20" s="161"/>
      <c r="WZ20" s="161"/>
      <c r="XA20" s="161"/>
      <c r="XB20" s="161"/>
      <c r="XC20" s="161"/>
      <c r="XD20" s="161"/>
      <c r="XE20" s="161"/>
      <c r="XF20" s="161"/>
      <c r="XG20" s="161"/>
      <c r="XH20" s="161"/>
      <c r="XI20" s="161"/>
      <c r="XJ20" s="161"/>
      <c r="XK20" s="161"/>
      <c r="XL20" s="161"/>
      <c r="XM20" s="161"/>
      <c r="XN20" s="161"/>
      <c r="XO20" s="161"/>
      <c r="XP20" s="161"/>
      <c r="XQ20" s="161"/>
      <c r="XR20" s="161"/>
      <c r="XS20" s="161"/>
      <c r="XT20" s="161"/>
      <c r="XU20" s="161"/>
      <c r="XV20" s="161"/>
      <c r="XW20" s="161"/>
      <c r="XX20" s="161"/>
      <c r="XY20" s="161"/>
      <c r="XZ20" s="161"/>
      <c r="YA20" s="161"/>
      <c r="YB20" s="161"/>
      <c r="YC20" s="161"/>
      <c r="YD20" s="161"/>
      <c r="YE20" s="161"/>
      <c r="YF20" s="161"/>
      <c r="YG20" s="161"/>
      <c r="YH20" s="161"/>
      <c r="YI20" s="161"/>
      <c r="YJ20" s="161"/>
      <c r="YK20" s="161"/>
      <c r="YL20" s="161"/>
      <c r="YM20" s="161"/>
      <c r="YN20" s="161"/>
      <c r="YO20" s="161"/>
      <c r="YP20" s="161"/>
      <c r="YQ20" s="161"/>
      <c r="YR20" s="161"/>
      <c r="YS20" s="161"/>
      <c r="YT20" s="161"/>
      <c r="YU20" s="161"/>
      <c r="YV20" s="161"/>
      <c r="YW20" s="161"/>
      <c r="YX20" s="161"/>
      <c r="YY20" s="161"/>
      <c r="YZ20" s="161"/>
      <c r="ZA20" s="161"/>
      <c r="ZB20" s="161"/>
      <c r="ZC20" s="161"/>
      <c r="ZD20" s="161"/>
      <c r="ZE20" s="161"/>
      <c r="ZF20" s="161"/>
      <c r="ZG20" s="161"/>
      <c r="ZH20" s="161"/>
      <c r="ZI20" s="161"/>
      <c r="ZJ20" s="161"/>
      <c r="ZK20" s="161"/>
      <c r="ZL20" s="161"/>
      <c r="ZM20" s="161"/>
      <c r="ZN20" s="161"/>
      <c r="ZO20" s="161"/>
      <c r="ZP20" s="161"/>
      <c r="ZQ20" s="161"/>
      <c r="ZR20" s="161"/>
      <c r="ZS20" s="161"/>
      <c r="ZT20" s="161"/>
      <c r="ZU20" s="161"/>
      <c r="ZV20" s="161"/>
      <c r="ZW20" s="161"/>
      <c r="ZX20" s="161"/>
      <c r="ZY20" s="161"/>
      <c r="ZZ20" s="161"/>
      <c r="AAA20" s="161"/>
      <c r="AAB20" s="161"/>
      <c r="AAC20" s="161"/>
      <c r="AAD20" s="161"/>
      <c r="AAE20" s="161"/>
      <c r="AAF20" s="161"/>
      <c r="AAG20" s="161"/>
      <c r="AAH20" s="161"/>
      <c r="AAI20" s="161"/>
      <c r="AAJ20" s="161"/>
      <c r="AAK20" s="161"/>
      <c r="AAL20" s="161"/>
      <c r="AAM20" s="161"/>
      <c r="AAN20" s="161"/>
      <c r="AAO20" s="161"/>
      <c r="AAP20" s="161"/>
      <c r="AAQ20" s="161"/>
      <c r="AAR20" s="161"/>
      <c r="AAS20" s="161"/>
      <c r="AAT20" s="161"/>
      <c r="AAU20" s="161"/>
      <c r="AAV20" s="161"/>
      <c r="AAW20" s="161"/>
      <c r="AAX20" s="161"/>
      <c r="AAY20" s="161"/>
      <c r="AAZ20" s="161"/>
      <c r="ABA20" s="161"/>
      <c r="ABB20" s="161"/>
      <c r="ABC20" s="161"/>
      <c r="ABD20" s="161"/>
      <c r="ABE20" s="161"/>
      <c r="ABF20" s="161"/>
      <c r="ABG20" s="161"/>
      <c r="ABH20" s="161"/>
      <c r="ABI20" s="161"/>
      <c r="ABJ20" s="161"/>
      <c r="ABK20" s="161"/>
      <c r="ABL20" s="161"/>
      <c r="ABM20" s="161"/>
      <c r="ABN20" s="161"/>
      <c r="ABO20" s="161"/>
      <c r="ABP20" s="161"/>
      <c r="ABQ20" s="161"/>
      <c r="ABR20" s="161"/>
      <c r="ABS20" s="161"/>
      <c r="ABT20" s="161"/>
      <c r="ABU20" s="161"/>
      <c r="ABV20" s="161"/>
      <c r="ABW20" s="161"/>
      <c r="ABX20" s="161"/>
      <c r="ABY20" s="161"/>
      <c r="ABZ20" s="161"/>
      <c r="ACA20" s="161"/>
      <c r="ACB20" s="161"/>
      <c r="ACC20" s="161"/>
      <c r="ACD20" s="161"/>
      <c r="ACE20" s="161"/>
      <c r="ACF20" s="161"/>
      <c r="ACG20" s="161"/>
      <c r="ACH20" s="161"/>
      <c r="ACI20" s="161"/>
      <c r="ACJ20" s="161"/>
      <c r="ACK20" s="161"/>
      <c r="ACL20" s="161"/>
      <c r="ACM20" s="161"/>
      <c r="ACN20" s="161"/>
      <c r="ACO20" s="161"/>
      <c r="ACP20" s="161"/>
      <c r="ACQ20" s="161"/>
      <c r="ACR20" s="161"/>
      <c r="ACS20" s="161"/>
      <c r="ACT20" s="161"/>
      <c r="ACU20" s="161"/>
      <c r="ACV20" s="161"/>
      <c r="ACW20" s="161"/>
      <c r="ACX20" s="161"/>
      <c r="ACY20" s="161"/>
      <c r="ACZ20" s="161"/>
      <c r="ADA20" s="161"/>
      <c r="ADB20" s="161"/>
      <c r="ADC20" s="161"/>
      <c r="ADD20" s="161"/>
      <c r="ADE20" s="161"/>
      <c r="ADF20" s="161"/>
      <c r="ADG20" s="161"/>
      <c r="ADH20" s="161"/>
      <c r="ADI20" s="161"/>
      <c r="ADJ20" s="161"/>
      <c r="ADK20" s="161"/>
      <c r="ADL20" s="161"/>
      <c r="ADM20" s="161"/>
      <c r="ADN20" s="161"/>
      <c r="ADO20" s="161"/>
      <c r="ADP20" s="161"/>
      <c r="ADQ20" s="161"/>
      <c r="ADR20" s="161"/>
      <c r="ADS20" s="161"/>
      <c r="ADT20" s="161"/>
      <c r="ADU20" s="161"/>
      <c r="ADV20" s="161"/>
      <c r="ADW20" s="161"/>
      <c r="ADX20" s="161"/>
      <c r="ADY20" s="161"/>
      <c r="ADZ20" s="161"/>
      <c r="AEA20" s="161"/>
      <c r="AEB20" s="161"/>
      <c r="AEC20" s="161"/>
      <c r="AED20" s="161"/>
      <c r="AEE20" s="161"/>
      <c r="AEF20" s="161"/>
      <c r="AEG20" s="161"/>
      <c r="AEH20" s="161"/>
      <c r="AEI20" s="161"/>
      <c r="AEJ20" s="161"/>
      <c r="AEK20" s="161"/>
      <c r="AEL20" s="161"/>
      <c r="AEM20" s="161"/>
      <c r="AEN20" s="161"/>
      <c r="AEO20" s="161"/>
      <c r="AEP20" s="161"/>
      <c r="AEQ20" s="161"/>
      <c r="AER20" s="161"/>
      <c r="AES20" s="161"/>
      <c r="AET20" s="161"/>
      <c r="AEU20" s="161"/>
      <c r="AEV20" s="161"/>
      <c r="AEW20" s="161"/>
      <c r="AEX20" s="161"/>
      <c r="AEY20" s="161"/>
      <c r="AEZ20" s="161"/>
      <c r="AFA20" s="161"/>
      <c r="AFB20" s="161"/>
      <c r="AFC20" s="161"/>
      <c r="AFD20" s="161"/>
      <c r="AFE20" s="161"/>
      <c r="AFF20" s="161"/>
      <c r="AFG20" s="161"/>
      <c r="AFH20" s="161"/>
      <c r="AFI20" s="161"/>
      <c r="AFJ20" s="161"/>
      <c r="AFK20" s="161"/>
      <c r="AFL20" s="161"/>
      <c r="AFM20" s="161"/>
      <c r="AFN20" s="161"/>
      <c r="AFO20" s="161"/>
      <c r="AFP20" s="161"/>
      <c r="AFQ20" s="161"/>
      <c r="AFR20" s="161"/>
      <c r="AFS20" s="161"/>
      <c r="AFT20" s="161"/>
      <c r="AFU20" s="161"/>
      <c r="AFV20" s="161"/>
      <c r="AFW20" s="161"/>
      <c r="AFX20" s="161"/>
      <c r="AFY20" s="161"/>
      <c r="AFZ20" s="161"/>
      <c r="AGA20" s="161"/>
      <c r="AGB20" s="161"/>
      <c r="AGC20" s="161"/>
      <c r="AGD20" s="161"/>
      <c r="AGE20" s="161"/>
      <c r="AGF20" s="161"/>
      <c r="AGG20" s="161"/>
      <c r="AGH20" s="161"/>
      <c r="AGI20" s="161"/>
      <c r="AGJ20" s="161"/>
      <c r="AGK20" s="161"/>
      <c r="AGL20" s="161"/>
      <c r="AGM20" s="161"/>
      <c r="AGN20" s="161"/>
      <c r="AGO20" s="161"/>
      <c r="AGP20" s="161"/>
      <c r="AGQ20" s="161"/>
      <c r="AGR20" s="161"/>
      <c r="AGS20" s="161"/>
      <c r="AGT20" s="161"/>
      <c r="AGU20" s="161"/>
      <c r="AGV20" s="161"/>
      <c r="AGW20" s="161"/>
      <c r="AGX20" s="161"/>
      <c r="AGY20" s="161"/>
      <c r="AGZ20" s="161"/>
      <c r="AHA20" s="161"/>
      <c r="AHB20" s="161"/>
      <c r="AHC20" s="161"/>
      <c r="AHD20" s="161"/>
      <c r="AHE20" s="161"/>
      <c r="AHF20" s="161"/>
      <c r="AHG20" s="161"/>
      <c r="AHH20" s="161"/>
      <c r="AHI20" s="161"/>
      <c r="AHJ20" s="161"/>
      <c r="AHK20" s="161"/>
      <c r="AHL20" s="161"/>
      <c r="AHM20" s="161"/>
      <c r="AHN20" s="161"/>
      <c r="AHO20" s="161"/>
      <c r="AHP20" s="161"/>
      <c r="AHQ20" s="161"/>
      <c r="AHR20" s="161"/>
      <c r="AHS20" s="161"/>
      <c r="AHT20" s="161"/>
      <c r="AHU20" s="161"/>
      <c r="AHV20" s="161"/>
      <c r="AHW20" s="161"/>
      <c r="AHX20" s="161"/>
      <c r="AHY20" s="161"/>
      <c r="AHZ20" s="161"/>
      <c r="AIA20" s="161"/>
      <c r="AIB20" s="161"/>
      <c r="AIC20" s="161"/>
      <c r="AID20" s="161"/>
      <c r="AIE20" s="161"/>
      <c r="AIF20" s="161"/>
    </row>
    <row r="21" spans="1:916" s="322" customFormat="1" ht="12.75">
      <c r="A21" s="315"/>
      <c r="B21" s="323" t="s">
        <v>451</v>
      </c>
      <c r="C21" s="504"/>
      <c r="D21" s="157"/>
      <c r="E21" s="316"/>
      <c r="F21" s="317"/>
      <c r="G21" s="318"/>
      <c r="H21" s="319">
        <f t="shared" ref="H21:T21" si="6">H20-H6</f>
        <v>3775875.9800000014</v>
      </c>
      <c r="I21" s="319">
        <f t="shared" si="6"/>
        <v>2859642.84</v>
      </c>
      <c r="J21" s="319">
        <f t="shared" si="6"/>
        <v>10888959.769999998</v>
      </c>
      <c r="K21" s="319">
        <f t="shared" si="6"/>
        <v>17523457.32999998</v>
      </c>
      <c r="L21" s="319">
        <f t="shared" si="6"/>
        <v>28412417.099999972</v>
      </c>
      <c r="M21" s="320">
        <f t="shared" si="6"/>
        <v>0</v>
      </c>
      <c r="N21" s="319">
        <f t="shared" si="6"/>
        <v>14146919.790000001</v>
      </c>
      <c r="O21" s="319">
        <f t="shared" si="6"/>
        <v>31272059.939999968</v>
      </c>
      <c r="P21" s="319">
        <f t="shared" si="6"/>
        <v>748.88000000000011</v>
      </c>
      <c r="Q21" s="319">
        <f t="shared" si="6"/>
        <v>13225128.344395624</v>
      </c>
      <c r="R21" s="319">
        <f t="shared" si="6"/>
        <v>29234420.809572749</v>
      </c>
      <c r="S21" s="319">
        <f t="shared" si="6"/>
        <v>37598837.046758786</v>
      </c>
      <c r="T21" s="319">
        <f t="shared" si="6"/>
        <v>2668878.0793000082</v>
      </c>
      <c r="U21" s="506">
        <f>S21/Q21</f>
        <v>2.8429846628060846</v>
      </c>
      <c r="V21" s="506">
        <f>(S21*1.1+T21)/R21</f>
        <v>1.50601919283853</v>
      </c>
      <c r="W21" s="2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  <c r="AS21" s="161"/>
      <c r="AT21" s="161"/>
      <c r="AU21" s="161"/>
      <c r="AV21" s="161"/>
      <c r="AW21" s="161"/>
      <c r="AX21" s="161"/>
      <c r="AY21" s="161"/>
      <c r="AZ21" s="161"/>
      <c r="BA21" s="161"/>
      <c r="BB21" s="161"/>
      <c r="BC21" s="161"/>
      <c r="BD21" s="161"/>
      <c r="BE21" s="161"/>
      <c r="BF21" s="161"/>
      <c r="BG21" s="161"/>
      <c r="BH21" s="161"/>
      <c r="BI21" s="161"/>
      <c r="BJ21" s="161"/>
      <c r="BK21" s="161"/>
      <c r="BL21" s="161"/>
      <c r="BM21" s="161"/>
      <c r="BN21" s="161"/>
      <c r="BO21" s="161"/>
      <c r="BP21" s="161"/>
      <c r="BQ21" s="161"/>
      <c r="BR21" s="161"/>
      <c r="BS21" s="161"/>
      <c r="BT21" s="161"/>
      <c r="BU21" s="161"/>
      <c r="BV21" s="161"/>
      <c r="BW21" s="161"/>
      <c r="BX21" s="161"/>
      <c r="BY21" s="161"/>
      <c r="BZ21" s="161"/>
      <c r="CA21" s="161"/>
      <c r="CB21" s="161"/>
      <c r="CC21" s="161"/>
      <c r="CD21" s="161"/>
      <c r="CE21" s="161"/>
      <c r="CF21" s="161"/>
      <c r="CG21" s="161"/>
      <c r="CH21" s="161"/>
      <c r="CI21" s="161"/>
      <c r="CJ21" s="161"/>
      <c r="CK21" s="161"/>
      <c r="CL21" s="161"/>
      <c r="CM21" s="161"/>
      <c r="CN21" s="161"/>
      <c r="CO21" s="161"/>
      <c r="CP21" s="161"/>
      <c r="CQ21" s="161"/>
      <c r="CR21" s="161"/>
      <c r="CS21" s="161"/>
      <c r="CT21" s="161"/>
      <c r="CU21" s="161"/>
      <c r="CV21" s="161"/>
      <c r="CW21" s="161"/>
      <c r="CX21" s="161"/>
      <c r="CY21" s="161"/>
      <c r="CZ21" s="161"/>
      <c r="DA21" s="161"/>
      <c r="DB21" s="161"/>
      <c r="DC21" s="161"/>
      <c r="DD21" s="161"/>
      <c r="DE21" s="161"/>
      <c r="DF21" s="161"/>
      <c r="DG21" s="161"/>
      <c r="DH21" s="161"/>
      <c r="DI21" s="161"/>
      <c r="DJ21" s="161"/>
      <c r="DK21" s="161"/>
      <c r="DL21" s="161"/>
      <c r="DM21" s="161"/>
      <c r="DN21" s="161"/>
      <c r="DO21" s="161"/>
      <c r="DP21" s="161"/>
      <c r="DQ21" s="161"/>
      <c r="DR21" s="161"/>
      <c r="DS21" s="161"/>
      <c r="DT21" s="161"/>
      <c r="DU21" s="161"/>
      <c r="DV21" s="161"/>
      <c r="DW21" s="161"/>
      <c r="DX21" s="161"/>
      <c r="DY21" s="161"/>
      <c r="DZ21" s="161"/>
      <c r="EA21" s="161"/>
      <c r="EB21" s="161"/>
      <c r="EC21" s="161"/>
      <c r="ED21" s="161"/>
      <c r="EE21" s="161"/>
      <c r="EF21" s="161"/>
      <c r="EG21" s="161"/>
      <c r="EH21" s="161"/>
      <c r="EI21" s="161"/>
      <c r="EJ21" s="161"/>
      <c r="EK21" s="161"/>
      <c r="EL21" s="161"/>
      <c r="EM21" s="161"/>
      <c r="EN21" s="161"/>
      <c r="EO21" s="161"/>
      <c r="EP21" s="161"/>
      <c r="EQ21" s="161"/>
      <c r="ER21" s="161"/>
      <c r="ES21" s="161"/>
      <c r="ET21" s="161"/>
      <c r="EU21" s="161"/>
      <c r="EV21" s="161"/>
      <c r="EW21" s="161"/>
      <c r="EX21" s="161"/>
      <c r="EY21" s="161"/>
      <c r="EZ21" s="161"/>
      <c r="FA21" s="161"/>
      <c r="FB21" s="161"/>
      <c r="FC21" s="161"/>
      <c r="FD21" s="161"/>
      <c r="FE21" s="161"/>
      <c r="FF21" s="161"/>
      <c r="FG21" s="161"/>
      <c r="FH21" s="161"/>
      <c r="FI21" s="161"/>
      <c r="FJ21" s="161"/>
      <c r="FK21" s="161"/>
      <c r="FL21" s="161"/>
      <c r="FM21" s="161"/>
      <c r="FN21" s="161"/>
      <c r="FO21" s="161"/>
      <c r="FP21" s="161"/>
      <c r="FQ21" s="161"/>
      <c r="FR21" s="161"/>
      <c r="FS21" s="161"/>
      <c r="FT21" s="161"/>
      <c r="FU21" s="161"/>
      <c r="FV21" s="161"/>
      <c r="FW21" s="161"/>
      <c r="FX21" s="161"/>
      <c r="FY21" s="161"/>
      <c r="FZ21" s="161"/>
      <c r="GA21" s="161"/>
      <c r="GB21" s="161"/>
      <c r="GC21" s="161"/>
      <c r="GD21" s="161"/>
      <c r="GE21" s="161"/>
      <c r="GF21" s="161"/>
      <c r="GG21" s="161"/>
      <c r="GH21" s="161"/>
      <c r="GI21" s="161"/>
      <c r="GJ21" s="161"/>
      <c r="GK21" s="161"/>
      <c r="GL21" s="161"/>
      <c r="GM21" s="161"/>
      <c r="GN21" s="161"/>
      <c r="GO21" s="161"/>
      <c r="GP21" s="161"/>
      <c r="GQ21" s="161"/>
      <c r="GR21" s="161"/>
      <c r="GS21" s="161"/>
      <c r="GT21" s="161"/>
      <c r="GU21" s="161"/>
      <c r="GV21" s="161"/>
      <c r="GW21" s="161"/>
      <c r="GX21" s="161"/>
      <c r="GY21" s="161"/>
      <c r="GZ21" s="161"/>
      <c r="HA21" s="161"/>
      <c r="HB21" s="161"/>
      <c r="HC21" s="161"/>
      <c r="HD21" s="161"/>
      <c r="HE21" s="161"/>
      <c r="HF21" s="161"/>
      <c r="HG21" s="161"/>
      <c r="HH21" s="161"/>
      <c r="HI21" s="161"/>
      <c r="HJ21" s="161"/>
      <c r="HK21" s="161"/>
      <c r="HL21" s="161"/>
      <c r="HM21" s="161"/>
      <c r="HN21" s="161"/>
      <c r="HO21" s="161"/>
      <c r="HP21" s="161"/>
      <c r="HQ21" s="161"/>
      <c r="HR21" s="161"/>
      <c r="HS21" s="161"/>
      <c r="HT21" s="161"/>
      <c r="HU21" s="161"/>
      <c r="HV21" s="161"/>
      <c r="HW21" s="161"/>
      <c r="HX21" s="161"/>
      <c r="HY21" s="161"/>
      <c r="HZ21" s="161"/>
      <c r="IA21" s="161"/>
      <c r="IB21" s="161"/>
      <c r="IC21" s="161"/>
      <c r="ID21" s="161"/>
      <c r="IE21" s="161"/>
      <c r="IF21" s="161"/>
      <c r="IG21" s="161"/>
      <c r="IH21" s="161"/>
      <c r="II21" s="161"/>
      <c r="IJ21" s="161"/>
      <c r="IK21" s="161"/>
      <c r="IL21" s="161"/>
      <c r="IM21" s="161"/>
      <c r="IN21" s="161"/>
      <c r="IO21" s="161"/>
      <c r="IP21" s="161"/>
      <c r="IQ21" s="161"/>
      <c r="IR21" s="161"/>
      <c r="IS21" s="161"/>
      <c r="IT21" s="161"/>
      <c r="IU21" s="161"/>
      <c r="IV21" s="161"/>
      <c r="IW21" s="161"/>
      <c r="IX21" s="161"/>
      <c r="IY21" s="161"/>
      <c r="IZ21" s="161"/>
      <c r="JA21" s="161"/>
      <c r="JB21" s="161"/>
      <c r="JC21" s="161"/>
      <c r="JD21" s="161"/>
      <c r="JE21" s="161"/>
      <c r="JF21" s="161"/>
      <c r="JG21" s="161"/>
      <c r="JH21" s="161"/>
      <c r="JI21" s="161"/>
      <c r="JJ21" s="161"/>
      <c r="JK21" s="161"/>
      <c r="JL21" s="161"/>
      <c r="JM21" s="161"/>
      <c r="JN21" s="161"/>
      <c r="JO21" s="161"/>
      <c r="JP21" s="161"/>
      <c r="JQ21" s="161"/>
      <c r="JR21" s="161"/>
      <c r="JS21" s="161"/>
      <c r="JT21" s="161"/>
      <c r="JU21" s="161"/>
      <c r="JV21" s="161"/>
      <c r="JW21" s="161"/>
      <c r="JX21" s="161"/>
      <c r="JY21" s="161"/>
      <c r="JZ21" s="161"/>
      <c r="KA21" s="161"/>
      <c r="KB21" s="161"/>
      <c r="KC21" s="161"/>
      <c r="KD21" s="161"/>
      <c r="KE21" s="161"/>
      <c r="KF21" s="161"/>
      <c r="KG21" s="161"/>
      <c r="KH21" s="161"/>
      <c r="KI21" s="161"/>
      <c r="KJ21" s="161"/>
      <c r="KK21" s="161"/>
      <c r="KL21" s="161"/>
      <c r="KM21" s="161"/>
      <c r="KN21" s="161"/>
      <c r="KO21" s="161"/>
      <c r="KP21" s="161"/>
      <c r="KQ21" s="161"/>
      <c r="KR21" s="161"/>
      <c r="KS21" s="161"/>
      <c r="KT21" s="161"/>
      <c r="KU21" s="161"/>
      <c r="KV21" s="161"/>
      <c r="KW21" s="161"/>
      <c r="KX21" s="161"/>
      <c r="KY21" s="161"/>
      <c r="KZ21" s="161"/>
      <c r="LA21" s="161"/>
      <c r="LB21" s="161"/>
      <c r="LC21" s="161"/>
      <c r="LD21" s="161"/>
      <c r="LE21" s="161"/>
      <c r="LF21" s="161"/>
      <c r="LG21" s="161"/>
      <c r="LH21" s="161"/>
      <c r="LI21" s="161"/>
      <c r="LJ21" s="161"/>
      <c r="LK21" s="161"/>
      <c r="LL21" s="161"/>
      <c r="LM21" s="161"/>
      <c r="LN21" s="161"/>
      <c r="LO21" s="161"/>
      <c r="LP21" s="161"/>
      <c r="LQ21" s="161"/>
      <c r="LR21" s="161"/>
      <c r="LS21" s="161"/>
      <c r="LT21" s="161"/>
      <c r="LU21" s="161"/>
      <c r="LV21" s="161"/>
      <c r="LW21" s="161"/>
      <c r="LX21" s="161"/>
      <c r="LY21" s="161"/>
      <c r="LZ21" s="161"/>
      <c r="MA21" s="161"/>
      <c r="MB21" s="161"/>
      <c r="MC21" s="161"/>
      <c r="MD21" s="161"/>
      <c r="ME21" s="161"/>
      <c r="MF21" s="161"/>
      <c r="MG21" s="161"/>
      <c r="MH21" s="161"/>
      <c r="MI21" s="161"/>
      <c r="MJ21" s="161"/>
      <c r="MK21" s="161"/>
      <c r="ML21" s="161"/>
      <c r="MM21" s="161"/>
      <c r="MN21" s="161"/>
      <c r="MO21" s="161"/>
      <c r="MP21" s="161"/>
      <c r="MQ21" s="161"/>
      <c r="MR21" s="161"/>
      <c r="MS21" s="161"/>
      <c r="MT21" s="161"/>
      <c r="MU21" s="161"/>
      <c r="MV21" s="161"/>
      <c r="MW21" s="161"/>
      <c r="MX21" s="161"/>
      <c r="MY21" s="161"/>
      <c r="MZ21" s="161"/>
      <c r="NA21" s="161"/>
      <c r="NB21" s="161"/>
      <c r="NC21" s="161"/>
      <c r="ND21" s="161"/>
      <c r="NE21" s="161"/>
      <c r="NF21" s="161"/>
      <c r="NG21" s="161"/>
      <c r="NH21" s="161"/>
      <c r="NI21" s="161"/>
      <c r="NJ21" s="161"/>
      <c r="NK21" s="161"/>
      <c r="NL21" s="161"/>
      <c r="NM21" s="161"/>
      <c r="NN21" s="161"/>
      <c r="NO21" s="161"/>
      <c r="NP21" s="161"/>
      <c r="NQ21" s="161"/>
      <c r="NR21" s="161"/>
      <c r="NS21" s="161"/>
      <c r="NT21" s="161"/>
      <c r="NU21" s="161"/>
      <c r="NV21" s="161"/>
      <c r="NW21" s="161"/>
      <c r="NX21" s="161"/>
      <c r="NY21" s="161"/>
      <c r="NZ21" s="161"/>
      <c r="OA21" s="161"/>
      <c r="OB21" s="161"/>
      <c r="OC21" s="161"/>
      <c r="OD21" s="161"/>
      <c r="OE21" s="161"/>
      <c r="OF21" s="161"/>
      <c r="OG21" s="161"/>
      <c r="OH21" s="161"/>
      <c r="OI21" s="161"/>
      <c r="OJ21" s="161"/>
      <c r="OK21" s="161"/>
      <c r="OL21" s="161"/>
      <c r="OM21" s="161"/>
      <c r="ON21" s="161"/>
      <c r="OO21" s="161"/>
      <c r="OP21" s="161"/>
      <c r="OQ21" s="161"/>
      <c r="OR21" s="161"/>
      <c r="OS21" s="161"/>
      <c r="OT21" s="161"/>
      <c r="OU21" s="161"/>
      <c r="OV21" s="161"/>
      <c r="OW21" s="161"/>
      <c r="OX21" s="161"/>
      <c r="OY21" s="161"/>
      <c r="OZ21" s="161"/>
      <c r="PA21" s="161"/>
      <c r="PB21" s="161"/>
      <c r="PC21" s="161"/>
      <c r="PD21" s="161"/>
      <c r="PE21" s="161"/>
      <c r="PF21" s="161"/>
      <c r="PG21" s="161"/>
      <c r="PH21" s="161"/>
      <c r="PI21" s="161"/>
      <c r="PJ21" s="161"/>
      <c r="PK21" s="161"/>
      <c r="PL21" s="161"/>
      <c r="PM21" s="161"/>
      <c r="PN21" s="161"/>
      <c r="PO21" s="161"/>
      <c r="PP21" s="161"/>
      <c r="PQ21" s="161"/>
      <c r="PR21" s="161"/>
      <c r="PS21" s="161"/>
      <c r="PT21" s="161"/>
      <c r="PU21" s="161"/>
      <c r="PV21" s="161"/>
      <c r="PW21" s="161"/>
      <c r="PX21" s="161"/>
      <c r="PY21" s="161"/>
      <c r="PZ21" s="161"/>
      <c r="QA21" s="161"/>
      <c r="QB21" s="161"/>
      <c r="QC21" s="161"/>
      <c r="QD21" s="161"/>
      <c r="QE21" s="161"/>
      <c r="QF21" s="161"/>
      <c r="QG21" s="161"/>
      <c r="QH21" s="161"/>
      <c r="QI21" s="161"/>
      <c r="QJ21" s="161"/>
      <c r="QK21" s="161"/>
      <c r="QL21" s="161"/>
      <c r="QM21" s="161"/>
      <c r="QN21" s="161"/>
      <c r="QO21" s="161"/>
      <c r="QP21" s="161"/>
      <c r="QQ21" s="161"/>
      <c r="QR21" s="161"/>
      <c r="QS21" s="161"/>
      <c r="QT21" s="161"/>
      <c r="QU21" s="161"/>
      <c r="QV21" s="161"/>
      <c r="QW21" s="161"/>
      <c r="QX21" s="161"/>
      <c r="QY21" s="161"/>
      <c r="QZ21" s="161"/>
      <c r="RA21" s="161"/>
      <c r="RB21" s="161"/>
      <c r="RC21" s="161"/>
      <c r="RD21" s="161"/>
      <c r="RE21" s="161"/>
      <c r="RF21" s="161"/>
      <c r="RG21" s="161"/>
      <c r="RH21" s="161"/>
      <c r="RI21" s="161"/>
      <c r="RJ21" s="161"/>
      <c r="RK21" s="161"/>
      <c r="RL21" s="161"/>
      <c r="RM21" s="161"/>
      <c r="RN21" s="161"/>
      <c r="RO21" s="161"/>
      <c r="RP21" s="161"/>
      <c r="RQ21" s="161"/>
      <c r="RR21" s="161"/>
      <c r="RS21" s="161"/>
      <c r="RT21" s="161"/>
      <c r="RU21" s="161"/>
      <c r="RV21" s="161"/>
      <c r="RW21" s="161"/>
      <c r="RX21" s="161"/>
      <c r="RY21" s="161"/>
      <c r="RZ21" s="161"/>
      <c r="SA21" s="161"/>
      <c r="SB21" s="161"/>
      <c r="SC21" s="161"/>
      <c r="SD21" s="161"/>
      <c r="SE21" s="161"/>
      <c r="SF21" s="161"/>
      <c r="SG21" s="161"/>
      <c r="SH21" s="161"/>
      <c r="SI21" s="161"/>
      <c r="SJ21" s="161"/>
      <c r="SK21" s="161"/>
      <c r="SL21" s="161"/>
      <c r="SM21" s="161"/>
      <c r="SN21" s="161"/>
      <c r="SO21" s="161"/>
      <c r="SP21" s="161"/>
      <c r="SQ21" s="161"/>
      <c r="SR21" s="161"/>
      <c r="SS21" s="161"/>
      <c r="ST21" s="161"/>
      <c r="SU21" s="161"/>
      <c r="SV21" s="161"/>
      <c r="SW21" s="161"/>
      <c r="SX21" s="161"/>
      <c r="SY21" s="161"/>
      <c r="SZ21" s="161"/>
      <c r="TA21" s="161"/>
      <c r="TB21" s="161"/>
      <c r="TC21" s="161"/>
      <c r="TD21" s="161"/>
      <c r="TE21" s="161"/>
      <c r="TF21" s="161"/>
      <c r="TG21" s="161"/>
      <c r="TH21" s="161"/>
      <c r="TI21" s="161"/>
      <c r="TJ21" s="161"/>
      <c r="TK21" s="161"/>
      <c r="TL21" s="161"/>
      <c r="TM21" s="161"/>
      <c r="TN21" s="161"/>
      <c r="TO21" s="161"/>
      <c r="TP21" s="161"/>
      <c r="TQ21" s="161"/>
      <c r="TR21" s="161"/>
      <c r="TS21" s="161"/>
      <c r="TT21" s="161"/>
      <c r="TU21" s="161"/>
      <c r="TV21" s="161"/>
      <c r="TW21" s="161"/>
      <c r="TX21" s="161"/>
      <c r="TY21" s="161"/>
      <c r="TZ21" s="161"/>
      <c r="UA21" s="161"/>
      <c r="UB21" s="161"/>
      <c r="UC21" s="161"/>
      <c r="UD21" s="161"/>
      <c r="UE21" s="161"/>
      <c r="UF21" s="161"/>
      <c r="UG21" s="161"/>
      <c r="UH21" s="161"/>
      <c r="UI21" s="161"/>
      <c r="UJ21" s="161"/>
      <c r="UK21" s="161"/>
      <c r="UL21" s="161"/>
      <c r="UM21" s="161"/>
      <c r="UN21" s="161"/>
      <c r="UO21" s="161"/>
      <c r="UP21" s="161"/>
      <c r="UQ21" s="161"/>
      <c r="UR21" s="161"/>
      <c r="US21" s="161"/>
      <c r="UT21" s="161"/>
      <c r="UU21" s="161"/>
      <c r="UV21" s="161"/>
      <c r="UW21" s="161"/>
      <c r="UX21" s="161"/>
      <c r="UY21" s="161"/>
      <c r="UZ21" s="161"/>
      <c r="VA21" s="161"/>
      <c r="VB21" s="161"/>
      <c r="VC21" s="161"/>
      <c r="VD21" s="161"/>
      <c r="VE21" s="161"/>
      <c r="VF21" s="161"/>
      <c r="VG21" s="161"/>
      <c r="VH21" s="161"/>
      <c r="VI21" s="161"/>
      <c r="VJ21" s="161"/>
      <c r="VK21" s="161"/>
      <c r="VL21" s="161"/>
      <c r="VM21" s="161"/>
      <c r="VN21" s="161"/>
      <c r="VO21" s="161"/>
      <c r="VP21" s="161"/>
      <c r="VQ21" s="161"/>
      <c r="VR21" s="161"/>
      <c r="VS21" s="161"/>
      <c r="VT21" s="161"/>
      <c r="VU21" s="161"/>
      <c r="VV21" s="161"/>
      <c r="VW21" s="161"/>
      <c r="VX21" s="161"/>
      <c r="VY21" s="161"/>
      <c r="VZ21" s="161"/>
      <c r="WA21" s="161"/>
      <c r="WB21" s="161"/>
      <c r="WC21" s="161"/>
      <c r="WD21" s="161"/>
      <c r="WE21" s="161"/>
      <c r="WF21" s="161"/>
      <c r="WG21" s="161"/>
      <c r="WH21" s="161"/>
      <c r="WI21" s="161"/>
      <c r="WJ21" s="161"/>
      <c r="WK21" s="161"/>
      <c r="WL21" s="161"/>
      <c r="WM21" s="161"/>
      <c r="WN21" s="161"/>
      <c r="WO21" s="161"/>
      <c r="WP21" s="161"/>
      <c r="WQ21" s="161"/>
      <c r="WR21" s="161"/>
      <c r="WS21" s="161"/>
      <c r="WT21" s="161"/>
      <c r="WU21" s="161"/>
      <c r="WV21" s="161"/>
      <c r="WW21" s="161"/>
      <c r="WX21" s="161"/>
      <c r="WY21" s="161"/>
      <c r="WZ21" s="161"/>
      <c r="XA21" s="161"/>
      <c r="XB21" s="161"/>
      <c r="XC21" s="161"/>
      <c r="XD21" s="161"/>
      <c r="XE21" s="161"/>
      <c r="XF21" s="161"/>
      <c r="XG21" s="161"/>
      <c r="XH21" s="161"/>
      <c r="XI21" s="161"/>
      <c r="XJ21" s="161"/>
      <c r="XK21" s="161"/>
      <c r="XL21" s="161"/>
      <c r="XM21" s="161"/>
      <c r="XN21" s="161"/>
      <c r="XO21" s="161"/>
      <c r="XP21" s="161"/>
      <c r="XQ21" s="161"/>
      <c r="XR21" s="161"/>
      <c r="XS21" s="161"/>
      <c r="XT21" s="161"/>
      <c r="XU21" s="161"/>
      <c r="XV21" s="161"/>
      <c r="XW21" s="161"/>
      <c r="XX21" s="161"/>
      <c r="XY21" s="161"/>
      <c r="XZ21" s="161"/>
      <c r="YA21" s="161"/>
      <c r="YB21" s="161"/>
      <c r="YC21" s="161"/>
      <c r="YD21" s="161"/>
      <c r="YE21" s="161"/>
      <c r="YF21" s="161"/>
      <c r="YG21" s="161"/>
      <c r="YH21" s="161"/>
      <c r="YI21" s="161"/>
      <c r="YJ21" s="161"/>
      <c r="YK21" s="161"/>
      <c r="YL21" s="161"/>
      <c r="YM21" s="161"/>
      <c r="YN21" s="161"/>
      <c r="YO21" s="161"/>
      <c r="YP21" s="161"/>
      <c r="YQ21" s="161"/>
      <c r="YR21" s="161"/>
      <c r="YS21" s="161"/>
      <c r="YT21" s="161"/>
      <c r="YU21" s="161"/>
      <c r="YV21" s="161"/>
      <c r="YW21" s="161"/>
      <c r="YX21" s="161"/>
      <c r="YY21" s="161"/>
      <c r="YZ21" s="161"/>
      <c r="ZA21" s="161"/>
      <c r="ZB21" s="161"/>
      <c r="ZC21" s="161"/>
      <c r="ZD21" s="161"/>
      <c r="ZE21" s="161"/>
      <c r="ZF21" s="161"/>
      <c r="ZG21" s="161"/>
      <c r="ZH21" s="161"/>
      <c r="ZI21" s="161"/>
      <c r="ZJ21" s="161"/>
      <c r="ZK21" s="161"/>
      <c r="ZL21" s="161"/>
      <c r="ZM21" s="161"/>
      <c r="ZN21" s="161"/>
      <c r="ZO21" s="161"/>
      <c r="ZP21" s="161"/>
      <c r="ZQ21" s="161"/>
      <c r="ZR21" s="161"/>
      <c r="ZS21" s="161"/>
      <c r="ZT21" s="161"/>
      <c r="ZU21" s="161"/>
      <c r="ZV21" s="161"/>
      <c r="ZW21" s="161"/>
      <c r="ZX21" s="161"/>
      <c r="ZY21" s="161"/>
      <c r="ZZ21" s="161"/>
      <c r="AAA21" s="161"/>
      <c r="AAB21" s="161"/>
      <c r="AAC21" s="161"/>
      <c r="AAD21" s="161"/>
      <c r="AAE21" s="161"/>
      <c r="AAF21" s="161"/>
      <c r="AAG21" s="161"/>
      <c r="AAH21" s="161"/>
      <c r="AAI21" s="161"/>
      <c r="AAJ21" s="161"/>
      <c r="AAK21" s="161"/>
      <c r="AAL21" s="161"/>
      <c r="AAM21" s="161"/>
      <c r="AAN21" s="161"/>
      <c r="AAO21" s="161"/>
      <c r="AAP21" s="161"/>
      <c r="AAQ21" s="161"/>
      <c r="AAR21" s="161"/>
      <c r="AAS21" s="161"/>
      <c r="AAT21" s="161"/>
      <c r="AAU21" s="161"/>
      <c r="AAV21" s="161"/>
      <c r="AAW21" s="161"/>
      <c r="AAX21" s="161"/>
      <c r="AAY21" s="161"/>
      <c r="AAZ21" s="161"/>
      <c r="ABA21" s="161"/>
      <c r="ABB21" s="161"/>
      <c r="ABC21" s="161"/>
      <c r="ABD21" s="161"/>
      <c r="ABE21" s="161"/>
      <c r="ABF21" s="161"/>
      <c r="ABG21" s="161"/>
      <c r="ABH21" s="161"/>
      <c r="ABI21" s="161"/>
      <c r="ABJ21" s="161"/>
      <c r="ABK21" s="161"/>
      <c r="ABL21" s="161"/>
      <c r="ABM21" s="161"/>
      <c r="ABN21" s="161"/>
      <c r="ABO21" s="161"/>
      <c r="ABP21" s="161"/>
      <c r="ABQ21" s="161"/>
      <c r="ABR21" s="161"/>
      <c r="ABS21" s="161"/>
      <c r="ABT21" s="161"/>
      <c r="ABU21" s="161"/>
      <c r="ABV21" s="161"/>
      <c r="ABW21" s="161"/>
      <c r="ABX21" s="161"/>
      <c r="ABY21" s="161"/>
      <c r="ABZ21" s="161"/>
      <c r="ACA21" s="161"/>
      <c r="ACB21" s="161"/>
      <c r="ACC21" s="161"/>
      <c r="ACD21" s="161"/>
      <c r="ACE21" s="161"/>
      <c r="ACF21" s="161"/>
      <c r="ACG21" s="161"/>
      <c r="ACH21" s="161"/>
      <c r="ACI21" s="161"/>
      <c r="ACJ21" s="161"/>
      <c r="ACK21" s="161"/>
      <c r="ACL21" s="161"/>
      <c r="ACM21" s="161"/>
      <c r="ACN21" s="161"/>
      <c r="ACO21" s="161"/>
      <c r="ACP21" s="161"/>
      <c r="ACQ21" s="161"/>
      <c r="ACR21" s="161"/>
      <c r="ACS21" s="161"/>
      <c r="ACT21" s="161"/>
      <c r="ACU21" s="161"/>
      <c r="ACV21" s="161"/>
      <c r="ACW21" s="161"/>
      <c r="ACX21" s="161"/>
      <c r="ACY21" s="161"/>
      <c r="ACZ21" s="161"/>
      <c r="ADA21" s="161"/>
      <c r="ADB21" s="161"/>
      <c r="ADC21" s="161"/>
      <c r="ADD21" s="161"/>
      <c r="ADE21" s="161"/>
      <c r="ADF21" s="161"/>
      <c r="ADG21" s="161"/>
      <c r="ADH21" s="161"/>
      <c r="ADI21" s="161"/>
      <c r="ADJ21" s="161"/>
      <c r="ADK21" s="161"/>
      <c r="ADL21" s="161"/>
      <c r="ADM21" s="161"/>
      <c r="ADN21" s="161"/>
      <c r="ADO21" s="161"/>
      <c r="ADP21" s="161"/>
      <c r="ADQ21" s="161"/>
      <c r="ADR21" s="161"/>
      <c r="ADS21" s="161"/>
      <c r="ADT21" s="161"/>
      <c r="ADU21" s="161"/>
      <c r="ADV21" s="161"/>
      <c r="ADW21" s="161"/>
      <c r="ADX21" s="161"/>
      <c r="ADY21" s="161"/>
      <c r="ADZ21" s="161"/>
      <c r="AEA21" s="161"/>
      <c r="AEB21" s="161"/>
      <c r="AEC21" s="161"/>
      <c r="AED21" s="161"/>
      <c r="AEE21" s="161"/>
      <c r="AEF21" s="161"/>
      <c r="AEG21" s="161"/>
      <c r="AEH21" s="161"/>
      <c r="AEI21" s="161"/>
      <c r="AEJ21" s="161"/>
      <c r="AEK21" s="161"/>
      <c r="AEL21" s="161"/>
      <c r="AEM21" s="161"/>
      <c r="AEN21" s="161"/>
      <c r="AEO21" s="161"/>
      <c r="AEP21" s="161"/>
      <c r="AEQ21" s="161"/>
      <c r="AER21" s="161"/>
      <c r="AES21" s="161"/>
      <c r="AET21" s="161"/>
      <c r="AEU21" s="161"/>
      <c r="AEV21" s="161"/>
      <c r="AEW21" s="161"/>
      <c r="AEX21" s="161"/>
      <c r="AEY21" s="161"/>
      <c r="AEZ21" s="161"/>
      <c r="AFA21" s="161"/>
      <c r="AFB21" s="161"/>
      <c r="AFC21" s="161"/>
      <c r="AFD21" s="161"/>
      <c r="AFE21" s="161"/>
      <c r="AFF21" s="161"/>
      <c r="AFG21" s="161"/>
      <c r="AFH21" s="161"/>
      <c r="AFI21" s="161"/>
      <c r="AFJ21" s="161"/>
      <c r="AFK21" s="161"/>
      <c r="AFL21" s="161"/>
      <c r="AFM21" s="161"/>
      <c r="AFN21" s="161"/>
      <c r="AFO21" s="161"/>
      <c r="AFP21" s="161"/>
      <c r="AFQ21" s="161"/>
      <c r="AFR21" s="161"/>
      <c r="AFS21" s="161"/>
      <c r="AFT21" s="161"/>
      <c r="AFU21" s="161"/>
      <c r="AFV21" s="161"/>
      <c r="AFW21" s="161"/>
      <c r="AFX21" s="161"/>
      <c r="AFY21" s="161"/>
      <c r="AFZ21" s="161"/>
      <c r="AGA21" s="161"/>
      <c r="AGB21" s="161"/>
      <c r="AGC21" s="161"/>
      <c r="AGD21" s="161"/>
      <c r="AGE21" s="161"/>
      <c r="AGF21" s="161"/>
      <c r="AGG21" s="161"/>
      <c r="AGH21" s="161"/>
      <c r="AGI21" s="161"/>
      <c r="AGJ21" s="161"/>
      <c r="AGK21" s="161"/>
      <c r="AGL21" s="161"/>
      <c r="AGM21" s="161"/>
      <c r="AGN21" s="161"/>
      <c r="AGO21" s="161"/>
      <c r="AGP21" s="161"/>
      <c r="AGQ21" s="161"/>
      <c r="AGR21" s="161"/>
      <c r="AGS21" s="161"/>
      <c r="AGT21" s="161"/>
      <c r="AGU21" s="161"/>
      <c r="AGV21" s="161"/>
      <c r="AGW21" s="161"/>
      <c r="AGX21" s="161"/>
      <c r="AGY21" s="161"/>
      <c r="AGZ21" s="161"/>
      <c r="AHA21" s="161"/>
      <c r="AHB21" s="161"/>
      <c r="AHC21" s="161"/>
      <c r="AHD21" s="161"/>
      <c r="AHE21" s="161"/>
      <c r="AHF21" s="161"/>
      <c r="AHG21" s="161"/>
      <c r="AHH21" s="161"/>
      <c r="AHI21" s="161"/>
      <c r="AHJ21" s="161"/>
      <c r="AHK21" s="161"/>
      <c r="AHL21" s="161"/>
      <c r="AHM21" s="161"/>
      <c r="AHN21" s="161"/>
      <c r="AHO21" s="161"/>
      <c r="AHP21" s="161"/>
      <c r="AHQ21" s="161"/>
      <c r="AHR21" s="161"/>
      <c r="AHS21" s="161"/>
      <c r="AHT21" s="161"/>
      <c r="AHU21" s="161"/>
      <c r="AHV21" s="161"/>
      <c r="AHW21" s="161"/>
      <c r="AHX21" s="161"/>
      <c r="AHY21" s="161"/>
      <c r="AHZ21" s="161"/>
      <c r="AIA21" s="161"/>
      <c r="AIB21" s="161"/>
      <c r="AIC21" s="161"/>
      <c r="AID21" s="161"/>
      <c r="AIE21" s="161"/>
      <c r="AIF21" s="161"/>
    </row>
    <row r="22" spans="1:916" s="21" customFormat="1" ht="12.75">
      <c r="B22" s="309" t="s">
        <v>141</v>
      </c>
      <c r="C22" s="501" t="s">
        <v>1812</v>
      </c>
      <c r="D22" s="508"/>
      <c r="E22" s="324"/>
      <c r="F22" s="144"/>
      <c r="G22" s="325"/>
      <c r="H22" s="258">
        <f>SUM(H23:H25)</f>
        <v>751108.7</v>
      </c>
      <c r="I22" s="259">
        <f t="shared" ref="I22:T22" si="7">SUM(I23:I25)</f>
        <v>870239.29</v>
      </c>
      <c r="J22" s="259">
        <f t="shared" si="7"/>
        <v>2571738.13</v>
      </c>
      <c r="K22" s="259">
        <f t="shared" si="7"/>
        <v>3695424.94</v>
      </c>
      <c r="L22" s="259">
        <f t="shared" si="7"/>
        <v>6267163.0700000003</v>
      </c>
      <c r="M22" s="259">
        <f t="shared" si="7"/>
        <v>0</v>
      </c>
      <c r="N22" s="260">
        <f>SUM(N23:N25)</f>
        <v>3445337.74</v>
      </c>
      <c r="O22" s="259">
        <f t="shared" si="7"/>
        <v>7137402.3600000003</v>
      </c>
      <c r="P22" s="259">
        <f t="shared" si="7"/>
        <v>0</v>
      </c>
      <c r="Q22" s="261">
        <f t="shared" si="7"/>
        <v>3220844.8536972981</v>
      </c>
      <c r="R22" s="261">
        <f t="shared" si="7"/>
        <v>6672340.2449284839</v>
      </c>
      <c r="S22" s="259">
        <f t="shared" si="7"/>
        <v>8052954.7906147335</v>
      </c>
      <c r="T22" s="259">
        <f t="shared" si="7"/>
        <v>0</v>
      </c>
      <c r="U22" s="133">
        <f>IFERROR(S22/Q22,0)</f>
        <v>2.5002616258807131</v>
      </c>
      <c r="V22" s="133">
        <f>IFERROR(((S22*1.1)+(T22))/R22,0)</f>
        <v>1.3276076975254958</v>
      </c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161"/>
      <c r="AY22" s="161"/>
      <c r="AZ22" s="161"/>
      <c r="BA22" s="161"/>
      <c r="BB22" s="161"/>
      <c r="BC22" s="161"/>
      <c r="BD22" s="161"/>
      <c r="BE22" s="161"/>
      <c r="BF22" s="161"/>
      <c r="BG22" s="161"/>
      <c r="BH22" s="161"/>
      <c r="BI22" s="161"/>
      <c r="BJ22" s="161"/>
      <c r="BK22" s="161"/>
      <c r="BL22" s="161"/>
      <c r="BM22" s="161"/>
      <c r="BN22" s="161"/>
      <c r="BO22" s="161"/>
      <c r="BP22" s="161"/>
      <c r="BQ22" s="161"/>
      <c r="BR22" s="161"/>
      <c r="BS22" s="161"/>
      <c r="BT22" s="161"/>
      <c r="BU22" s="161"/>
      <c r="BV22" s="161"/>
      <c r="BW22" s="161"/>
      <c r="BX22" s="161"/>
      <c r="BY22" s="161"/>
      <c r="BZ22" s="161"/>
      <c r="CA22" s="161"/>
      <c r="CB22" s="161"/>
      <c r="CC22" s="161"/>
      <c r="CD22" s="161"/>
      <c r="CE22" s="161"/>
      <c r="CF22" s="161"/>
      <c r="CG22" s="161"/>
      <c r="CH22" s="161"/>
      <c r="CI22" s="161"/>
      <c r="CJ22" s="161"/>
      <c r="CK22" s="161"/>
      <c r="CL22" s="161"/>
      <c r="CM22" s="161"/>
      <c r="CN22" s="161"/>
      <c r="CO22" s="161"/>
      <c r="CP22" s="161"/>
      <c r="CQ22" s="161"/>
      <c r="CR22" s="161"/>
      <c r="CS22" s="161"/>
      <c r="CT22" s="161"/>
      <c r="CU22" s="161"/>
      <c r="CV22" s="161"/>
      <c r="CW22" s="161"/>
      <c r="CX22" s="161"/>
      <c r="CY22" s="161"/>
      <c r="CZ22" s="161"/>
      <c r="DA22" s="161"/>
      <c r="DB22" s="161"/>
      <c r="DC22" s="161"/>
      <c r="DD22" s="161"/>
      <c r="DE22" s="161"/>
      <c r="DF22" s="161"/>
      <c r="DG22" s="161"/>
      <c r="DH22" s="161"/>
      <c r="DI22" s="161"/>
      <c r="DJ22" s="161"/>
      <c r="DK22" s="161"/>
      <c r="DL22" s="161"/>
      <c r="DM22" s="161"/>
      <c r="DN22" s="161"/>
      <c r="DO22" s="161"/>
      <c r="DP22" s="161"/>
      <c r="DQ22" s="161"/>
      <c r="DR22" s="161"/>
      <c r="DS22" s="161"/>
      <c r="DT22" s="161"/>
      <c r="DU22" s="161"/>
      <c r="DV22" s="161"/>
      <c r="DW22" s="161"/>
      <c r="DX22" s="161"/>
      <c r="DY22" s="161"/>
      <c r="DZ22" s="161"/>
      <c r="EA22" s="161"/>
      <c r="EB22" s="161"/>
      <c r="EC22" s="161"/>
      <c r="ED22" s="161"/>
      <c r="EE22" s="161"/>
      <c r="EF22" s="161"/>
      <c r="EG22" s="161"/>
      <c r="EH22" s="161"/>
      <c r="EI22" s="161"/>
      <c r="EJ22" s="161"/>
      <c r="EK22" s="161"/>
      <c r="EL22" s="161"/>
      <c r="EM22" s="161"/>
      <c r="EN22" s="161"/>
      <c r="EO22" s="161"/>
      <c r="EP22" s="161"/>
      <c r="EQ22" s="161"/>
      <c r="ER22" s="161"/>
      <c r="ES22" s="161"/>
      <c r="ET22" s="161"/>
      <c r="EU22" s="161"/>
      <c r="EV22" s="161"/>
      <c r="EW22" s="161"/>
      <c r="EX22" s="161"/>
      <c r="EY22" s="161"/>
      <c r="EZ22" s="161"/>
      <c r="FA22" s="161"/>
      <c r="FB22" s="161"/>
      <c r="FC22" s="161"/>
      <c r="FD22" s="161"/>
      <c r="FE22" s="161"/>
      <c r="FF22" s="161"/>
      <c r="FG22" s="161"/>
      <c r="FH22" s="161"/>
      <c r="FI22" s="161"/>
      <c r="FJ22" s="161"/>
      <c r="FK22" s="161"/>
      <c r="FL22" s="161"/>
      <c r="FM22" s="161"/>
      <c r="FN22" s="161"/>
      <c r="FO22" s="161"/>
      <c r="FP22" s="161"/>
      <c r="FQ22" s="161"/>
      <c r="FR22" s="161"/>
      <c r="FS22" s="161"/>
      <c r="FT22" s="161"/>
      <c r="FU22" s="161"/>
      <c r="FV22" s="161"/>
      <c r="FW22" s="161"/>
      <c r="FX22" s="161"/>
      <c r="FY22" s="161"/>
      <c r="FZ22" s="161"/>
      <c r="GA22" s="161"/>
      <c r="GB22" s="161"/>
      <c r="GC22" s="161"/>
      <c r="GD22" s="161"/>
      <c r="GE22" s="161"/>
      <c r="GF22" s="161"/>
      <c r="GG22" s="161"/>
      <c r="GH22" s="161"/>
      <c r="GI22" s="161"/>
      <c r="GJ22" s="161"/>
      <c r="GK22" s="161"/>
      <c r="GL22" s="161"/>
      <c r="GM22" s="161"/>
      <c r="GN22" s="161"/>
      <c r="GO22" s="161"/>
      <c r="GP22" s="161"/>
      <c r="GQ22" s="161"/>
      <c r="GR22" s="161"/>
      <c r="GS22" s="161"/>
      <c r="GT22" s="161"/>
      <c r="GU22" s="161"/>
      <c r="GV22" s="161"/>
      <c r="GW22" s="161"/>
      <c r="GX22" s="161"/>
      <c r="GY22" s="161"/>
      <c r="GZ22" s="161"/>
      <c r="HA22" s="161"/>
      <c r="HB22" s="161"/>
      <c r="HC22" s="161"/>
      <c r="HD22" s="161"/>
      <c r="HE22" s="161"/>
      <c r="HF22" s="161"/>
      <c r="HG22" s="161"/>
      <c r="HH22" s="161"/>
      <c r="HI22" s="161"/>
      <c r="HJ22" s="161"/>
      <c r="HK22" s="161"/>
      <c r="HL22" s="161"/>
      <c r="HM22" s="161"/>
      <c r="HN22" s="161"/>
      <c r="HO22" s="161"/>
      <c r="HP22" s="161"/>
      <c r="HQ22" s="161"/>
      <c r="HR22" s="161"/>
      <c r="HS22" s="161"/>
      <c r="HT22" s="161"/>
      <c r="HU22" s="161"/>
      <c r="HV22" s="161"/>
      <c r="HW22" s="161"/>
      <c r="HX22" s="161"/>
      <c r="HY22" s="161"/>
      <c r="HZ22" s="161"/>
      <c r="IA22" s="161"/>
      <c r="IB22" s="161"/>
      <c r="IC22" s="161"/>
      <c r="ID22" s="161"/>
      <c r="IE22" s="161"/>
      <c r="IF22" s="161"/>
      <c r="IG22" s="161"/>
      <c r="IH22" s="161"/>
      <c r="II22" s="161"/>
      <c r="IJ22" s="161"/>
      <c r="IK22" s="161"/>
      <c r="IL22" s="161"/>
      <c r="IM22" s="161"/>
      <c r="IN22" s="161"/>
      <c r="IO22" s="161"/>
      <c r="IP22" s="161"/>
      <c r="IQ22" s="161"/>
      <c r="IR22" s="161"/>
      <c r="IS22" s="161"/>
      <c r="IT22" s="161"/>
      <c r="IU22" s="161"/>
      <c r="IV22" s="161"/>
      <c r="IW22" s="161"/>
      <c r="IX22" s="161"/>
      <c r="IY22" s="161"/>
      <c r="IZ22" s="161"/>
      <c r="JA22" s="161"/>
      <c r="JB22" s="161"/>
      <c r="JC22" s="161"/>
      <c r="JD22" s="161"/>
      <c r="JE22" s="161"/>
      <c r="JF22" s="161"/>
      <c r="JG22" s="161"/>
      <c r="JH22" s="161"/>
      <c r="JI22" s="161"/>
      <c r="JJ22" s="161"/>
      <c r="JK22" s="161"/>
      <c r="JL22" s="161"/>
      <c r="JM22" s="161"/>
      <c r="JN22" s="161"/>
      <c r="JO22" s="161"/>
      <c r="JP22" s="161"/>
      <c r="JQ22" s="161"/>
      <c r="JR22" s="161"/>
      <c r="JS22" s="161"/>
      <c r="JT22" s="161"/>
      <c r="JU22" s="161"/>
      <c r="JV22" s="161"/>
      <c r="JW22" s="161"/>
      <c r="JX22" s="161"/>
      <c r="JY22" s="161"/>
      <c r="JZ22" s="161"/>
      <c r="KA22" s="161"/>
      <c r="KB22" s="161"/>
      <c r="KC22" s="161"/>
      <c r="KD22" s="161"/>
      <c r="KE22" s="161"/>
      <c r="KF22" s="161"/>
      <c r="KG22" s="161"/>
      <c r="KH22" s="161"/>
      <c r="KI22" s="161"/>
      <c r="KJ22" s="161"/>
      <c r="KK22" s="161"/>
      <c r="KL22" s="161"/>
      <c r="KM22" s="161"/>
      <c r="KN22" s="161"/>
      <c r="KO22" s="161"/>
      <c r="KP22" s="161"/>
      <c r="KQ22" s="161"/>
      <c r="KR22" s="161"/>
      <c r="KS22" s="161"/>
      <c r="KT22" s="161"/>
      <c r="KU22" s="161"/>
      <c r="KV22" s="161"/>
      <c r="KW22" s="161"/>
      <c r="KX22" s="161"/>
      <c r="KY22" s="161"/>
      <c r="KZ22" s="161"/>
      <c r="LA22" s="161"/>
      <c r="LB22" s="161"/>
      <c r="LC22" s="161"/>
      <c r="LD22" s="161"/>
      <c r="LE22" s="161"/>
      <c r="LF22" s="161"/>
      <c r="LG22" s="161"/>
      <c r="LH22" s="161"/>
      <c r="LI22" s="161"/>
      <c r="LJ22" s="161"/>
      <c r="LK22" s="161"/>
      <c r="LL22" s="161"/>
      <c r="LM22" s="161"/>
      <c r="LN22" s="161"/>
      <c r="LO22" s="161"/>
      <c r="LP22" s="161"/>
      <c r="LQ22" s="161"/>
      <c r="LR22" s="161"/>
      <c r="LS22" s="161"/>
      <c r="LT22" s="161"/>
      <c r="LU22" s="161"/>
      <c r="LV22" s="161"/>
      <c r="LW22" s="161"/>
      <c r="LX22" s="161"/>
      <c r="LY22" s="161"/>
      <c r="LZ22" s="161"/>
      <c r="MA22" s="161"/>
      <c r="MB22" s="161"/>
      <c r="MC22" s="161"/>
      <c r="MD22" s="161"/>
      <c r="ME22" s="161"/>
      <c r="MF22" s="161"/>
      <c r="MG22" s="161"/>
      <c r="MH22" s="161"/>
      <c r="MI22" s="161"/>
      <c r="MJ22" s="161"/>
      <c r="MK22" s="161"/>
      <c r="ML22" s="161"/>
      <c r="MM22" s="161"/>
      <c r="MN22" s="161"/>
      <c r="MO22" s="161"/>
      <c r="MP22" s="161"/>
      <c r="MQ22" s="161"/>
      <c r="MR22" s="161"/>
      <c r="MS22" s="161"/>
      <c r="MT22" s="161"/>
      <c r="MU22" s="161"/>
      <c r="MV22" s="161"/>
      <c r="MW22" s="161"/>
      <c r="MX22" s="161"/>
      <c r="MY22" s="161"/>
      <c r="MZ22" s="161"/>
      <c r="NA22" s="161"/>
      <c r="NB22" s="161"/>
      <c r="NC22" s="161"/>
      <c r="ND22" s="161"/>
      <c r="NE22" s="161"/>
      <c r="NF22" s="161"/>
      <c r="NG22" s="161"/>
      <c r="NH22" s="161"/>
      <c r="NI22" s="161"/>
      <c r="NJ22" s="161"/>
      <c r="NK22" s="161"/>
      <c r="NL22" s="161"/>
      <c r="NM22" s="161"/>
      <c r="NN22" s="161"/>
      <c r="NO22" s="161"/>
      <c r="NP22" s="161"/>
      <c r="NQ22" s="161"/>
      <c r="NR22" s="161"/>
      <c r="NS22" s="161"/>
      <c r="NT22" s="161"/>
      <c r="NU22" s="161"/>
      <c r="NV22" s="161"/>
      <c r="NW22" s="161"/>
      <c r="NX22" s="161"/>
      <c r="NY22" s="161"/>
      <c r="NZ22" s="161"/>
      <c r="OA22" s="161"/>
      <c r="OB22" s="161"/>
      <c r="OC22" s="161"/>
      <c r="OD22" s="161"/>
      <c r="OE22" s="161"/>
      <c r="OF22" s="161"/>
      <c r="OG22" s="161"/>
      <c r="OH22" s="161"/>
      <c r="OI22" s="161"/>
      <c r="OJ22" s="161"/>
      <c r="OK22" s="161"/>
      <c r="OL22" s="161"/>
      <c r="OM22" s="161"/>
      <c r="ON22" s="161"/>
      <c r="OO22" s="161"/>
      <c r="OP22" s="161"/>
      <c r="OQ22" s="161"/>
      <c r="OR22" s="161"/>
      <c r="OS22" s="161"/>
      <c r="OT22" s="161"/>
      <c r="OU22" s="161"/>
      <c r="OV22" s="161"/>
      <c r="OW22" s="161"/>
      <c r="OX22" s="161"/>
      <c r="OY22" s="161"/>
      <c r="OZ22" s="161"/>
      <c r="PA22" s="161"/>
      <c r="PB22" s="161"/>
      <c r="PC22" s="161"/>
      <c r="PD22" s="161"/>
      <c r="PE22" s="161"/>
      <c r="PF22" s="161"/>
      <c r="PG22" s="161"/>
      <c r="PH22" s="161"/>
      <c r="PI22" s="161"/>
      <c r="PJ22" s="161"/>
      <c r="PK22" s="161"/>
      <c r="PL22" s="161"/>
      <c r="PM22" s="161"/>
      <c r="PN22" s="161"/>
      <c r="PO22" s="161"/>
      <c r="PP22" s="161"/>
      <c r="PQ22" s="161"/>
      <c r="PR22" s="161"/>
      <c r="PS22" s="161"/>
      <c r="PT22" s="161"/>
      <c r="PU22" s="161"/>
      <c r="PV22" s="161"/>
      <c r="PW22" s="161"/>
      <c r="PX22" s="161"/>
      <c r="PY22" s="161"/>
      <c r="PZ22" s="161"/>
      <c r="QA22" s="161"/>
      <c r="QB22" s="161"/>
      <c r="QC22" s="161"/>
      <c r="QD22" s="161"/>
      <c r="QE22" s="161"/>
      <c r="QF22" s="161"/>
      <c r="QG22" s="161"/>
      <c r="QH22" s="161"/>
      <c r="QI22" s="161"/>
      <c r="QJ22" s="161"/>
      <c r="QK22" s="161"/>
      <c r="QL22" s="161"/>
      <c r="QM22" s="161"/>
      <c r="QN22" s="161"/>
      <c r="QO22" s="161"/>
      <c r="QP22" s="161"/>
      <c r="QQ22" s="161"/>
      <c r="QR22" s="161"/>
      <c r="QS22" s="161"/>
      <c r="QT22" s="161"/>
      <c r="QU22" s="161"/>
      <c r="QV22" s="161"/>
      <c r="QW22" s="161"/>
      <c r="QX22" s="161"/>
      <c r="QY22" s="161"/>
      <c r="QZ22" s="161"/>
      <c r="RA22" s="161"/>
      <c r="RB22" s="161"/>
      <c r="RC22" s="161"/>
      <c r="RD22" s="161"/>
      <c r="RE22" s="161"/>
      <c r="RF22" s="161"/>
      <c r="RG22" s="161"/>
      <c r="RH22" s="161"/>
      <c r="RI22" s="161"/>
      <c r="RJ22" s="161"/>
      <c r="RK22" s="161"/>
      <c r="RL22" s="161"/>
      <c r="RM22" s="161"/>
      <c r="RN22" s="161"/>
      <c r="RO22" s="161"/>
      <c r="RP22" s="161"/>
      <c r="RQ22" s="161"/>
      <c r="RR22" s="161"/>
      <c r="RS22" s="161"/>
      <c r="RT22" s="161"/>
      <c r="RU22" s="161"/>
      <c r="RV22" s="161"/>
      <c r="RW22" s="161"/>
      <c r="RX22" s="161"/>
      <c r="RY22" s="161"/>
      <c r="RZ22" s="161"/>
      <c r="SA22" s="161"/>
      <c r="SB22" s="161"/>
      <c r="SC22" s="161"/>
      <c r="SD22" s="161"/>
      <c r="SE22" s="161"/>
      <c r="SF22" s="161"/>
      <c r="SG22" s="161"/>
      <c r="SH22" s="161"/>
      <c r="SI22" s="161"/>
      <c r="SJ22" s="161"/>
      <c r="SK22" s="161"/>
      <c r="SL22" s="161"/>
      <c r="SM22" s="161"/>
      <c r="SN22" s="161"/>
      <c r="SO22" s="161"/>
      <c r="SP22" s="161"/>
      <c r="SQ22" s="161"/>
      <c r="SR22" s="161"/>
      <c r="SS22" s="161"/>
      <c r="ST22" s="161"/>
      <c r="SU22" s="161"/>
      <c r="SV22" s="161"/>
      <c r="SW22" s="161"/>
      <c r="SX22" s="161"/>
      <c r="SY22" s="161"/>
      <c r="SZ22" s="161"/>
      <c r="TA22" s="161"/>
      <c r="TB22" s="161"/>
      <c r="TC22" s="161"/>
      <c r="TD22" s="161"/>
      <c r="TE22" s="161"/>
      <c r="TF22" s="161"/>
      <c r="TG22" s="161"/>
      <c r="TH22" s="161"/>
      <c r="TI22" s="161"/>
      <c r="TJ22" s="161"/>
      <c r="TK22" s="161"/>
      <c r="TL22" s="161"/>
      <c r="TM22" s="161"/>
      <c r="TN22" s="161"/>
      <c r="TO22" s="161"/>
      <c r="TP22" s="161"/>
      <c r="TQ22" s="161"/>
      <c r="TR22" s="161"/>
      <c r="TS22" s="161"/>
      <c r="TT22" s="161"/>
      <c r="TU22" s="161"/>
      <c r="TV22" s="161"/>
      <c r="TW22" s="161"/>
      <c r="TX22" s="161"/>
      <c r="TY22" s="161"/>
      <c r="TZ22" s="161"/>
      <c r="UA22" s="161"/>
      <c r="UB22" s="161"/>
      <c r="UC22" s="161"/>
      <c r="UD22" s="161"/>
      <c r="UE22" s="161"/>
      <c r="UF22" s="161"/>
      <c r="UG22" s="161"/>
      <c r="UH22" s="161"/>
      <c r="UI22" s="161"/>
      <c r="UJ22" s="161"/>
      <c r="UK22" s="161"/>
      <c r="UL22" s="161"/>
      <c r="UM22" s="161"/>
      <c r="UN22" s="161"/>
      <c r="UO22" s="161"/>
      <c r="UP22" s="161"/>
      <c r="UQ22" s="161"/>
      <c r="UR22" s="161"/>
      <c r="US22" s="161"/>
      <c r="UT22" s="161"/>
      <c r="UU22" s="161"/>
      <c r="UV22" s="161"/>
      <c r="UW22" s="161"/>
      <c r="UX22" s="161"/>
      <c r="UY22" s="161"/>
      <c r="UZ22" s="161"/>
      <c r="VA22" s="161"/>
      <c r="VB22" s="161"/>
      <c r="VC22" s="161"/>
      <c r="VD22" s="161"/>
      <c r="VE22" s="161"/>
      <c r="VF22" s="161"/>
      <c r="VG22" s="161"/>
      <c r="VH22" s="161"/>
      <c r="VI22" s="161"/>
      <c r="VJ22" s="161"/>
      <c r="VK22" s="161"/>
      <c r="VL22" s="161"/>
      <c r="VM22" s="161"/>
      <c r="VN22" s="161"/>
      <c r="VO22" s="161"/>
      <c r="VP22" s="161"/>
      <c r="VQ22" s="161"/>
      <c r="VR22" s="161"/>
      <c r="VS22" s="161"/>
      <c r="VT22" s="161"/>
      <c r="VU22" s="161"/>
      <c r="VV22" s="161"/>
      <c r="VW22" s="161"/>
      <c r="VX22" s="161"/>
      <c r="VY22" s="161"/>
      <c r="VZ22" s="161"/>
      <c r="WA22" s="161"/>
      <c r="WB22" s="161"/>
      <c r="WC22" s="161"/>
      <c r="WD22" s="161"/>
      <c r="WE22" s="161"/>
      <c r="WF22" s="161"/>
      <c r="WG22" s="161"/>
      <c r="WH22" s="161"/>
      <c r="WI22" s="161"/>
      <c r="WJ22" s="161"/>
      <c r="WK22" s="161"/>
      <c r="WL22" s="161"/>
      <c r="WM22" s="161"/>
      <c r="WN22" s="161"/>
      <c r="WO22" s="161"/>
      <c r="WP22" s="161"/>
      <c r="WQ22" s="161"/>
      <c r="WR22" s="161"/>
      <c r="WS22" s="161"/>
      <c r="WT22" s="161"/>
      <c r="WU22" s="161"/>
      <c r="WV22" s="161"/>
      <c r="WW22" s="161"/>
      <c r="WX22" s="161"/>
      <c r="WY22" s="161"/>
      <c r="WZ22" s="161"/>
      <c r="XA22" s="161"/>
      <c r="XB22" s="161"/>
      <c r="XC22" s="161"/>
      <c r="XD22" s="161"/>
      <c r="XE22" s="161"/>
      <c r="XF22" s="161"/>
      <c r="XG22" s="161"/>
      <c r="XH22" s="161"/>
      <c r="XI22" s="161"/>
      <c r="XJ22" s="161"/>
      <c r="XK22" s="161"/>
      <c r="XL22" s="161"/>
      <c r="XM22" s="161"/>
      <c r="XN22" s="161"/>
      <c r="XO22" s="161"/>
      <c r="XP22" s="161"/>
      <c r="XQ22" s="161"/>
      <c r="XR22" s="161"/>
      <c r="XS22" s="161"/>
      <c r="XT22" s="161"/>
      <c r="XU22" s="161"/>
      <c r="XV22" s="161"/>
      <c r="XW22" s="161"/>
      <c r="XX22" s="161"/>
      <c r="XY22" s="161"/>
      <c r="XZ22" s="161"/>
      <c r="YA22" s="161"/>
      <c r="YB22" s="161"/>
      <c r="YC22" s="161"/>
      <c r="YD22" s="161"/>
      <c r="YE22" s="161"/>
      <c r="YF22" s="161"/>
      <c r="YG22" s="161"/>
      <c r="YH22" s="161"/>
      <c r="YI22" s="161"/>
      <c r="YJ22" s="161"/>
      <c r="YK22" s="161"/>
      <c r="YL22" s="161"/>
      <c r="YM22" s="161"/>
      <c r="YN22" s="161"/>
      <c r="YO22" s="161"/>
      <c r="YP22" s="161"/>
      <c r="YQ22" s="161"/>
      <c r="YR22" s="161"/>
      <c r="YS22" s="161"/>
      <c r="YT22" s="161"/>
      <c r="YU22" s="161"/>
      <c r="YV22" s="161"/>
      <c r="YW22" s="161"/>
      <c r="YX22" s="161"/>
      <c r="YY22" s="161"/>
      <c r="YZ22" s="161"/>
      <c r="ZA22" s="161"/>
      <c r="ZB22" s="161"/>
      <c r="ZC22" s="161"/>
      <c r="ZD22" s="161"/>
      <c r="ZE22" s="161"/>
      <c r="ZF22" s="161"/>
      <c r="ZG22" s="161"/>
      <c r="ZH22" s="161"/>
      <c r="ZI22" s="161"/>
      <c r="ZJ22" s="161"/>
      <c r="ZK22" s="161"/>
      <c r="ZL22" s="161"/>
      <c r="ZM22" s="161"/>
      <c r="ZN22" s="161"/>
      <c r="ZO22" s="161"/>
      <c r="ZP22" s="161"/>
      <c r="ZQ22" s="161"/>
      <c r="ZR22" s="161"/>
      <c r="ZS22" s="161"/>
      <c r="ZT22" s="161"/>
      <c r="ZU22" s="161"/>
      <c r="ZV22" s="161"/>
      <c r="ZW22" s="161"/>
      <c r="ZX22" s="161"/>
      <c r="ZY22" s="161"/>
      <c r="ZZ22" s="161"/>
      <c r="AAA22" s="161"/>
      <c r="AAB22" s="161"/>
      <c r="AAC22" s="161"/>
      <c r="AAD22" s="161"/>
      <c r="AAE22" s="161"/>
      <c r="AAF22" s="161"/>
      <c r="AAG22" s="161"/>
      <c r="AAH22" s="161"/>
      <c r="AAI22" s="161"/>
      <c r="AAJ22" s="161"/>
      <c r="AAK22" s="161"/>
      <c r="AAL22" s="161"/>
      <c r="AAM22" s="161"/>
      <c r="AAN22" s="161"/>
      <c r="AAO22" s="161"/>
      <c r="AAP22" s="161"/>
      <c r="AAQ22" s="161"/>
      <c r="AAR22" s="161"/>
      <c r="AAS22" s="161"/>
      <c r="AAT22" s="161"/>
      <c r="AAU22" s="161"/>
      <c r="AAV22" s="161"/>
      <c r="AAW22" s="161"/>
      <c r="AAX22" s="161"/>
      <c r="AAY22" s="161"/>
      <c r="AAZ22" s="161"/>
      <c r="ABA22" s="161"/>
      <c r="ABB22" s="161"/>
      <c r="ABC22" s="161"/>
      <c r="ABD22" s="161"/>
      <c r="ABE22" s="161"/>
      <c r="ABF22" s="161"/>
      <c r="ABG22" s="161"/>
      <c r="ABH22" s="161"/>
      <c r="ABI22" s="161"/>
      <c r="ABJ22" s="161"/>
      <c r="ABK22" s="161"/>
      <c r="ABL22" s="161"/>
      <c r="ABM22" s="161"/>
      <c r="ABN22" s="161"/>
      <c r="ABO22" s="161"/>
      <c r="ABP22" s="161"/>
      <c r="ABQ22" s="161"/>
      <c r="ABR22" s="161"/>
      <c r="ABS22" s="161"/>
      <c r="ABT22" s="161"/>
      <c r="ABU22" s="161"/>
      <c r="ABV22" s="161"/>
      <c r="ABW22" s="161"/>
      <c r="ABX22" s="161"/>
      <c r="ABY22" s="161"/>
      <c r="ABZ22" s="161"/>
      <c r="ACA22" s="161"/>
      <c r="ACB22" s="161"/>
      <c r="ACC22" s="161"/>
      <c r="ACD22" s="161"/>
      <c r="ACE22" s="161"/>
      <c r="ACF22" s="161"/>
      <c r="ACG22" s="161"/>
      <c r="ACH22" s="161"/>
      <c r="ACI22" s="161"/>
      <c r="ACJ22" s="161"/>
      <c r="ACK22" s="161"/>
      <c r="ACL22" s="161"/>
      <c r="ACM22" s="161"/>
      <c r="ACN22" s="161"/>
      <c r="ACO22" s="161"/>
      <c r="ACP22" s="161"/>
      <c r="ACQ22" s="161"/>
      <c r="ACR22" s="161"/>
      <c r="ACS22" s="161"/>
      <c r="ACT22" s="161"/>
      <c r="ACU22" s="161"/>
      <c r="ACV22" s="161"/>
      <c r="ACW22" s="161"/>
      <c r="ACX22" s="161"/>
      <c r="ACY22" s="161"/>
      <c r="ACZ22" s="161"/>
      <c r="ADA22" s="161"/>
      <c r="ADB22" s="161"/>
      <c r="ADC22" s="161"/>
      <c r="ADD22" s="161"/>
      <c r="ADE22" s="161"/>
      <c r="ADF22" s="161"/>
      <c r="ADG22" s="161"/>
      <c r="ADH22" s="161"/>
      <c r="ADI22" s="161"/>
      <c r="ADJ22" s="161"/>
      <c r="ADK22" s="161"/>
      <c r="ADL22" s="161"/>
      <c r="ADM22" s="161"/>
      <c r="ADN22" s="161"/>
      <c r="ADO22" s="161"/>
      <c r="ADP22" s="161"/>
      <c r="ADQ22" s="161"/>
      <c r="ADR22" s="161"/>
      <c r="ADS22" s="161"/>
      <c r="ADT22" s="161"/>
      <c r="ADU22" s="161"/>
      <c r="ADV22" s="161"/>
      <c r="ADW22" s="161"/>
      <c r="ADX22" s="161"/>
      <c r="ADY22" s="161"/>
      <c r="ADZ22" s="161"/>
      <c r="AEA22" s="161"/>
      <c r="AEB22" s="161"/>
      <c r="AEC22" s="161"/>
      <c r="AED22" s="161"/>
      <c r="AEE22" s="161"/>
      <c r="AEF22" s="161"/>
      <c r="AEG22" s="161"/>
      <c r="AEH22" s="161"/>
      <c r="AEI22" s="161"/>
      <c r="AEJ22" s="161"/>
      <c r="AEK22" s="161"/>
      <c r="AEL22" s="161"/>
      <c r="AEM22" s="161"/>
      <c r="AEN22" s="161"/>
      <c r="AEO22" s="161"/>
      <c r="AEP22" s="161"/>
      <c r="AEQ22" s="161"/>
      <c r="AER22" s="161"/>
      <c r="AES22" s="161"/>
      <c r="AET22" s="161"/>
      <c r="AEU22" s="161"/>
      <c r="AEV22" s="161"/>
      <c r="AEW22" s="161"/>
      <c r="AEX22" s="161"/>
      <c r="AEY22" s="161"/>
      <c r="AEZ22" s="161"/>
      <c r="AFA22" s="161"/>
      <c r="AFB22" s="161"/>
      <c r="AFC22" s="161"/>
      <c r="AFD22" s="161"/>
      <c r="AFE22" s="161"/>
      <c r="AFF22" s="161"/>
      <c r="AFG22" s="161"/>
      <c r="AFH22" s="161"/>
      <c r="AFI22" s="161"/>
      <c r="AFJ22" s="161"/>
      <c r="AFK22" s="161"/>
      <c r="AFL22" s="161"/>
      <c r="AFM22" s="161"/>
      <c r="AFN22" s="161"/>
      <c r="AFO22" s="161"/>
      <c r="AFP22" s="161"/>
      <c r="AFQ22" s="161"/>
      <c r="AFR22" s="161"/>
      <c r="AFS22" s="161"/>
      <c r="AFT22" s="161"/>
      <c r="AFU22" s="161"/>
      <c r="AFV22" s="161"/>
      <c r="AFW22" s="161"/>
      <c r="AFX22" s="161"/>
      <c r="AFY22" s="161"/>
      <c r="AFZ22" s="161"/>
      <c r="AGA22" s="161"/>
      <c r="AGB22" s="161"/>
      <c r="AGC22" s="161"/>
      <c r="AGD22" s="161"/>
      <c r="AGE22" s="161"/>
      <c r="AGF22" s="161"/>
      <c r="AGG22" s="161"/>
      <c r="AGH22" s="161"/>
      <c r="AGI22" s="161"/>
      <c r="AGJ22" s="161"/>
      <c r="AGK22" s="161"/>
      <c r="AGL22" s="161"/>
      <c r="AGM22" s="161"/>
      <c r="AGN22" s="161"/>
      <c r="AGO22" s="161"/>
      <c r="AGP22" s="161"/>
      <c r="AGQ22" s="161"/>
      <c r="AGR22" s="161"/>
      <c r="AGS22" s="161"/>
      <c r="AGT22" s="161"/>
      <c r="AGU22" s="161"/>
      <c r="AGV22" s="161"/>
      <c r="AGW22" s="161"/>
      <c r="AGX22" s="161"/>
      <c r="AGY22" s="161"/>
      <c r="AGZ22" s="161"/>
      <c r="AHA22" s="161"/>
      <c r="AHB22" s="161"/>
      <c r="AHC22" s="161"/>
      <c r="AHD22" s="161"/>
      <c r="AHE22" s="161"/>
      <c r="AHF22" s="161"/>
      <c r="AHG22" s="161"/>
      <c r="AHH22" s="161"/>
      <c r="AHI22" s="161"/>
      <c r="AHJ22" s="161"/>
      <c r="AHK22" s="161"/>
      <c r="AHL22" s="161"/>
      <c r="AHM22" s="161"/>
      <c r="AHN22" s="161"/>
      <c r="AHO22" s="161"/>
      <c r="AHP22" s="161"/>
      <c r="AHQ22" s="161"/>
      <c r="AHR22" s="161"/>
      <c r="AHS22" s="161"/>
      <c r="AHT22" s="161"/>
      <c r="AHU22" s="161"/>
      <c r="AHV22" s="161"/>
      <c r="AHW22" s="161"/>
      <c r="AHX22" s="161"/>
      <c r="AHY22" s="161"/>
      <c r="AHZ22" s="161"/>
      <c r="AIA22" s="161"/>
      <c r="AIB22" s="161"/>
      <c r="AIC22" s="161"/>
      <c r="AID22" s="161"/>
      <c r="AIE22" s="161"/>
      <c r="AIF22" s="161"/>
    </row>
    <row r="23" spans="1:916" s="21" customFormat="1" ht="12.75">
      <c r="B23" s="309" t="s">
        <v>141</v>
      </c>
      <c r="C23" s="146" t="s">
        <v>384</v>
      </c>
      <c r="D23" s="508"/>
      <c r="E23" s="324"/>
      <c r="F23" s="144">
        <f>'CI Retrofit {G}'!A$16</f>
        <v>16.150254916816092</v>
      </c>
      <c r="G23" s="325" t="s">
        <v>365</v>
      </c>
      <c r="H23" s="258">
        <f>'CI Retrofit {G}'!A$10</f>
        <v>748263.7</v>
      </c>
      <c r="I23" s="259">
        <f>'CI Retrofit {G}'!A$8</f>
        <v>827013.10000000009</v>
      </c>
      <c r="J23" s="259">
        <f>'CI Retrofit {G}'!A$12</f>
        <v>2571738.13</v>
      </c>
      <c r="K23" s="259">
        <f>'CI Retrofit {G}'!A$14</f>
        <v>3695424.94</v>
      </c>
      <c r="L23" s="259">
        <f>SUM('CI Retrofit {G}'!Q$5:Q$1000)</f>
        <v>6267163.0700000003</v>
      </c>
      <c r="M23" s="259"/>
      <c r="N23" s="260">
        <f>'CI Retrofit {G}'!A$18</f>
        <v>3402111.5500000003</v>
      </c>
      <c r="O23" s="259">
        <f>'CI Retrofit {G}'!A$20</f>
        <v>7094176.1699999999</v>
      </c>
      <c r="P23" s="259">
        <f>SUM('CI Retrofit {G}'!R$5:R$1000)</f>
        <v>0</v>
      </c>
      <c r="Q23" s="261">
        <f t="shared" ref="Q23:Q28" si="8">N23/(1+ElecDiscountRate)^1</f>
        <v>3180435.2154809758</v>
      </c>
      <c r="R23" s="261">
        <f t="shared" ref="R23:R28" si="9">O23/(1+ElecDiscountRate)^1</f>
        <v>6631930.6067121616</v>
      </c>
      <c r="S23" s="259">
        <f>SUM('CI Retrofit {G}'!AM$5:AM$1000)</f>
        <v>8043016.8509555776</v>
      </c>
      <c r="T23" s="259">
        <f>SUM('CI Retrofit {G}'!AD$5:AD$1000)</f>
        <v>0</v>
      </c>
      <c r="U23" s="133">
        <f t="shared" ref="U23:U28" si="10">IFERROR(S23/Q23,0)</f>
        <v>2.5289044756534165</v>
      </c>
      <c r="V23" s="133">
        <f t="shared" ref="V23:V28" si="11">IFERROR(((S23*1.1)+(T23))/R23,0)</f>
        <v>1.3340487198549371</v>
      </c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1"/>
      <c r="BO23" s="161"/>
      <c r="BP23" s="161"/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1"/>
      <c r="CB23" s="161"/>
      <c r="CC23" s="161"/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1"/>
      <c r="CO23" s="161"/>
      <c r="CP23" s="161"/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1"/>
      <c r="DB23" s="161"/>
      <c r="DC23" s="161"/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1"/>
      <c r="DO23" s="161"/>
      <c r="DP23" s="161"/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1"/>
      <c r="EB23" s="161"/>
      <c r="EC23" s="161"/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1"/>
      <c r="GB23" s="161"/>
      <c r="GC23" s="161"/>
      <c r="GD23" s="161"/>
      <c r="GE23" s="161"/>
      <c r="GF23" s="161"/>
      <c r="GG23" s="161"/>
      <c r="GH23" s="161"/>
      <c r="GI23" s="161"/>
      <c r="GJ23" s="161"/>
      <c r="GK23" s="161"/>
      <c r="GL23" s="161"/>
      <c r="GM23" s="161"/>
      <c r="GN23" s="161"/>
      <c r="GO23" s="161"/>
      <c r="GP23" s="161"/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C23" s="161"/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1"/>
      <c r="HO23" s="161"/>
      <c r="HP23" s="161"/>
      <c r="HQ23" s="161"/>
      <c r="HR23" s="161"/>
      <c r="HS23" s="161"/>
      <c r="HT23" s="161"/>
      <c r="HU23" s="161"/>
      <c r="HV23" s="161"/>
      <c r="HW23" s="161"/>
      <c r="HX23" s="161"/>
      <c r="HY23" s="161"/>
      <c r="HZ23" s="161"/>
      <c r="IA23" s="161"/>
      <c r="IB23" s="161"/>
      <c r="IC23" s="161"/>
      <c r="ID23" s="161"/>
      <c r="IE23" s="161"/>
      <c r="IF23" s="161"/>
      <c r="IG23" s="161"/>
      <c r="IH23" s="161"/>
      <c r="II23" s="161"/>
      <c r="IJ23" s="161"/>
      <c r="IK23" s="161"/>
      <c r="IL23" s="161"/>
      <c r="IM23" s="161"/>
      <c r="IN23" s="161"/>
      <c r="IO23" s="161"/>
      <c r="IP23" s="161"/>
      <c r="IQ23" s="161"/>
      <c r="IR23" s="161"/>
      <c r="IS23" s="161"/>
      <c r="IT23" s="161"/>
      <c r="IU23" s="161"/>
      <c r="IV23" s="161"/>
      <c r="IW23" s="161"/>
      <c r="IX23" s="161"/>
      <c r="IY23" s="161"/>
      <c r="IZ23" s="161"/>
      <c r="JA23" s="161"/>
      <c r="JB23" s="161"/>
      <c r="JC23" s="161"/>
      <c r="JD23" s="161"/>
      <c r="JE23" s="161"/>
      <c r="JF23" s="161"/>
      <c r="JG23" s="161"/>
      <c r="JH23" s="161"/>
      <c r="JI23" s="161"/>
      <c r="JJ23" s="161"/>
      <c r="JK23" s="161"/>
      <c r="JL23" s="161"/>
      <c r="JM23" s="161"/>
      <c r="JN23" s="161"/>
      <c r="JO23" s="161"/>
      <c r="JP23" s="161"/>
      <c r="JQ23" s="161"/>
      <c r="JR23" s="161"/>
      <c r="JS23" s="161"/>
      <c r="JT23" s="161"/>
      <c r="JU23" s="161"/>
      <c r="JV23" s="161"/>
      <c r="JW23" s="161"/>
      <c r="JX23" s="161"/>
      <c r="JY23" s="161"/>
      <c r="JZ23" s="161"/>
      <c r="KA23" s="161"/>
      <c r="KB23" s="161"/>
      <c r="KC23" s="161"/>
      <c r="KD23" s="161"/>
      <c r="KE23" s="161"/>
      <c r="KF23" s="161"/>
      <c r="KG23" s="161"/>
      <c r="KH23" s="161"/>
      <c r="KI23" s="161"/>
      <c r="KJ23" s="161"/>
      <c r="KK23" s="161"/>
      <c r="KL23" s="161"/>
      <c r="KM23" s="161"/>
      <c r="KN23" s="161"/>
      <c r="KO23" s="161"/>
      <c r="KP23" s="161"/>
      <c r="KQ23" s="161"/>
      <c r="KR23" s="161"/>
      <c r="KS23" s="161"/>
      <c r="KT23" s="161"/>
      <c r="KU23" s="161"/>
      <c r="KV23" s="161"/>
      <c r="KW23" s="161"/>
      <c r="KX23" s="161"/>
      <c r="KY23" s="161"/>
      <c r="KZ23" s="161"/>
      <c r="LA23" s="161"/>
      <c r="LB23" s="161"/>
      <c r="LC23" s="161"/>
      <c r="LD23" s="161"/>
      <c r="LE23" s="161"/>
      <c r="LF23" s="161"/>
      <c r="LG23" s="161"/>
      <c r="LH23" s="161"/>
      <c r="LI23" s="161"/>
      <c r="LJ23" s="161"/>
      <c r="LK23" s="161"/>
      <c r="LL23" s="161"/>
      <c r="LM23" s="161"/>
      <c r="LN23" s="161"/>
      <c r="LO23" s="161"/>
      <c r="LP23" s="161"/>
      <c r="LQ23" s="161"/>
      <c r="LR23" s="161"/>
      <c r="LS23" s="161"/>
      <c r="LT23" s="161"/>
      <c r="LU23" s="161"/>
      <c r="LV23" s="161"/>
      <c r="LW23" s="161"/>
      <c r="LX23" s="161"/>
      <c r="LY23" s="161"/>
      <c r="LZ23" s="161"/>
      <c r="MA23" s="161"/>
      <c r="MB23" s="161"/>
      <c r="MC23" s="161"/>
      <c r="MD23" s="161"/>
      <c r="ME23" s="161"/>
      <c r="MF23" s="161"/>
      <c r="MG23" s="161"/>
      <c r="MH23" s="161"/>
      <c r="MI23" s="161"/>
      <c r="MJ23" s="161"/>
      <c r="MK23" s="161"/>
      <c r="ML23" s="161"/>
      <c r="MM23" s="161"/>
      <c r="MN23" s="161"/>
      <c r="MO23" s="161"/>
      <c r="MP23" s="161"/>
      <c r="MQ23" s="161"/>
      <c r="MR23" s="161"/>
      <c r="MS23" s="161"/>
      <c r="MT23" s="161"/>
      <c r="MU23" s="161"/>
      <c r="MV23" s="161"/>
      <c r="MW23" s="161"/>
      <c r="MX23" s="161"/>
      <c r="MY23" s="161"/>
      <c r="MZ23" s="161"/>
      <c r="NA23" s="161"/>
      <c r="NB23" s="161"/>
      <c r="NC23" s="161"/>
      <c r="ND23" s="161"/>
      <c r="NE23" s="161"/>
      <c r="NF23" s="161"/>
      <c r="NG23" s="161"/>
      <c r="NH23" s="161"/>
      <c r="NI23" s="161"/>
      <c r="NJ23" s="161"/>
      <c r="NK23" s="161"/>
      <c r="NL23" s="161"/>
      <c r="NM23" s="161"/>
      <c r="NN23" s="161"/>
      <c r="NO23" s="161"/>
      <c r="NP23" s="161"/>
      <c r="NQ23" s="161"/>
      <c r="NR23" s="161"/>
      <c r="NS23" s="161"/>
      <c r="NT23" s="161"/>
      <c r="NU23" s="161"/>
      <c r="NV23" s="161"/>
      <c r="NW23" s="161"/>
      <c r="NX23" s="161"/>
      <c r="NY23" s="161"/>
      <c r="NZ23" s="161"/>
      <c r="OA23" s="161"/>
      <c r="OB23" s="161"/>
      <c r="OC23" s="161"/>
      <c r="OD23" s="161"/>
      <c r="OE23" s="161"/>
      <c r="OF23" s="161"/>
      <c r="OG23" s="161"/>
      <c r="OH23" s="161"/>
      <c r="OI23" s="161"/>
      <c r="OJ23" s="161"/>
      <c r="OK23" s="161"/>
      <c r="OL23" s="161"/>
      <c r="OM23" s="161"/>
      <c r="ON23" s="161"/>
      <c r="OO23" s="161"/>
      <c r="OP23" s="161"/>
      <c r="OQ23" s="161"/>
      <c r="OR23" s="161"/>
      <c r="OS23" s="161"/>
      <c r="OT23" s="161"/>
      <c r="OU23" s="161"/>
      <c r="OV23" s="161"/>
      <c r="OW23" s="161"/>
      <c r="OX23" s="161"/>
      <c r="OY23" s="161"/>
      <c r="OZ23" s="161"/>
      <c r="PA23" s="161"/>
      <c r="PB23" s="161"/>
      <c r="PC23" s="161"/>
      <c r="PD23" s="161"/>
      <c r="PE23" s="161"/>
      <c r="PF23" s="161"/>
      <c r="PG23" s="161"/>
      <c r="PH23" s="161"/>
      <c r="PI23" s="161"/>
      <c r="PJ23" s="161"/>
      <c r="PK23" s="161"/>
      <c r="PL23" s="161"/>
      <c r="PM23" s="161"/>
      <c r="PN23" s="161"/>
      <c r="PO23" s="161"/>
      <c r="PP23" s="161"/>
      <c r="PQ23" s="161"/>
      <c r="PR23" s="161"/>
      <c r="PS23" s="161"/>
      <c r="PT23" s="161"/>
      <c r="PU23" s="161"/>
      <c r="PV23" s="161"/>
      <c r="PW23" s="161"/>
      <c r="PX23" s="161"/>
      <c r="PY23" s="161"/>
      <c r="PZ23" s="161"/>
      <c r="QA23" s="161"/>
      <c r="QB23" s="161"/>
      <c r="QC23" s="161"/>
      <c r="QD23" s="161"/>
      <c r="QE23" s="161"/>
      <c r="QF23" s="161"/>
      <c r="QG23" s="161"/>
      <c r="QH23" s="161"/>
      <c r="QI23" s="161"/>
      <c r="QJ23" s="161"/>
      <c r="QK23" s="161"/>
      <c r="QL23" s="161"/>
      <c r="QM23" s="161"/>
      <c r="QN23" s="161"/>
      <c r="QO23" s="161"/>
      <c r="QP23" s="161"/>
      <c r="QQ23" s="161"/>
      <c r="QR23" s="161"/>
      <c r="QS23" s="161"/>
      <c r="QT23" s="161"/>
      <c r="QU23" s="161"/>
      <c r="QV23" s="161"/>
      <c r="QW23" s="161"/>
      <c r="QX23" s="161"/>
      <c r="QY23" s="161"/>
      <c r="QZ23" s="161"/>
      <c r="RA23" s="161"/>
      <c r="RB23" s="161"/>
      <c r="RC23" s="161"/>
      <c r="RD23" s="161"/>
      <c r="RE23" s="161"/>
      <c r="RF23" s="161"/>
      <c r="RG23" s="161"/>
      <c r="RH23" s="161"/>
      <c r="RI23" s="161"/>
      <c r="RJ23" s="161"/>
      <c r="RK23" s="161"/>
      <c r="RL23" s="161"/>
      <c r="RM23" s="161"/>
      <c r="RN23" s="161"/>
      <c r="RO23" s="161"/>
      <c r="RP23" s="161"/>
      <c r="RQ23" s="161"/>
      <c r="RR23" s="161"/>
      <c r="RS23" s="161"/>
      <c r="RT23" s="161"/>
      <c r="RU23" s="161"/>
      <c r="RV23" s="161"/>
      <c r="RW23" s="161"/>
      <c r="RX23" s="161"/>
      <c r="RY23" s="161"/>
      <c r="RZ23" s="161"/>
      <c r="SA23" s="161"/>
      <c r="SB23" s="161"/>
      <c r="SC23" s="161"/>
      <c r="SD23" s="161"/>
      <c r="SE23" s="161"/>
      <c r="SF23" s="161"/>
      <c r="SG23" s="161"/>
      <c r="SH23" s="161"/>
      <c r="SI23" s="161"/>
      <c r="SJ23" s="161"/>
      <c r="SK23" s="161"/>
      <c r="SL23" s="161"/>
      <c r="SM23" s="161"/>
      <c r="SN23" s="161"/>
      <c r="SO23" s="161"/>
      <c r="SP23" s="161"/>
      <c r="SQ23" s="161"/>
      <c r="SR23" s="161"/>
      <c r="SS23" s="161"/>
      <c r="ST23" s="161"/>
      <c r="SU23" s="161"/>
      <c r="SV23" s="161"/>
      <c r="SW23" s="161"/>
      <c r="SX23" s="161"/>
      <c r="SY23" s="161"/>
      <c r="SZ23" s="161"/>
      <c r="TA23" s="161"/>
      <c r="TB23" s="161"/>
      <c r="TC23" s="161"/>
      <c r="TD23" s="161"/>
      <c r="TE23" s="161"/>
      <c r="TF23" s="161"/>
      <c r="TG23" s="161"/>
      <c r="TH23" s="161"/>
      <c r="TI23" s="161"/>
      <c r="TJ23" s="161"/>
      <c r="TK23" s="161"/>
      <c r="TL23" s="161"/>
      <c r="TM23" s="161"/>
      <c r="TN23" s="161"/>
      <c r="TO23" s="161"/>
      <c r="TP23" s="161"/>
      <c r="TQ23" s="161"/>
      <c r="TR23" s="161"/>
      <c r="TS23" s="161"/>
      <c r="TT23" s="161"/>
      <c r="TU23" s="161"/>
      <c r="TV23" s="161"/>
      <c r="TW23" s="161"/>
      <c r="TX23" s="161"/>
      <c r="TY23" s="161"/>
      <c r="TZ23" s="161"/>
      <c r="UA23" s="161"/>
      <c r="UB23" s="161"/>
      <c r="UC23" s="161"/>
      <c r="UD23" s="161"/>
      <c r="UE23" s="161"/>
      <c r="UF23" s="161"/>
      <c r="UG23" s="161"/>
      <c r="UH23" s="161"/>
      <c r="UI23" s="161"/>
      <c r="UJ23" s="161"/>
      <c r="UK23" s="161"/>
      <c r="UL23" s="161"/>
      <c r="UM23" s="161"/>
      <c r="UN23" s="161"/>
      <c r="UO23" s="161"/>
      <c r="UP23" s="161"/>
      <c r="UQ23" s="161"/>
      <c r="UR23" s="161"/>
      <c r="US23" s="161"/>
      <c r="UT23" s="161"/>
      <c r="UU23" s="161"/>
      <c r="UV23" s="161"/>
      <c r="UW23" s="161"/>
      <c r="UX23" s="161"/>
      <c r="UY23" s="161"/>
      <c r="UZ23" s="161"/>
      <c r="VA23" s="161"/>
      <c r="VB23" s="161"/>
      <c r="VC23" s="161"/>
      <c r="VD23" s="161"/>
      <c r="VE23" s="161"/>
      <c r="VF23" s="161"/>
      <c r="VG23" s="161"/>
      <c r="VH23" s="161"/>
      <c r="VI23" s="161"/>
      <c r="VJ23" s="161"/>
      <c r="VK23" s="161"/>
      <c r="VL23" s="161"/>
      <c r="VM23" s="161"/>
      <c r="VN23" s="161"/>
      <c r="VO23" s="161"/>
      <c r="VP23" s="161"/>
      <c r="VQ23" s="161"/>
      <c r="VR23" s="161"/>
      <c r="VS23" s="161"/>
      <c r="VT23" s="161"/>
      <c r="VU23" s="161"/>
      <c r="VV23" s="161"/>
      <c r="VW23" s="161"/>
      <c r="VX23" s="161"/>
      <c r="VY23" s="161"/>
      <c r="VZ23" s="161"/>
      <c r="WA23" s="161"/>
      <c r="WB23" s="161"/>
      <c r="WC23" s="161"/>
      <c r="WD23" s="161"/>
      <c r="WE23" s="161"/>
      <c r="WF23" s="161"/>
      <c r="WG23" s="161"/>
      <c r="WH23" s="161"/>
      <c r="WI23" s="161"/>
      <c r="WJ23" s="161"/>
      <c r="WK23" s="161"/>
      <c r="WL23" s="161"/>
      <c r="WM23" s="161"/>
      <c r="WN23" s="161"/>
      <c r="WO23" s="161"/>
      <c r="WP23" s="161"/>
      <c r="WQ23" s="161"/>
      <c r="WR23" s="161"/>
      <c r="WS23" s="161"/>
      <c r="WT23" s="161"/>
      <c r="WU23" s="161"/>
      <c r="WV23" s="161"/>
      <c r="WW23" s="161"/>
      <c r="WX23" s="161"/>
      <c r="WY23" s="161"/>
      <c r="WZ23" s="161"/>
      <c r="XA23" s="161"/>
      <c r="XB23" s="161"/>
      <c r="XC23" s="161"/>
      <c r="XD23" s="161"/>
      <c r="XE23" s="161"/>
      <c r="XF23" s="161"/>
      <c r="XG23" s="161"/>
      <c r="XH23" s="161"/>
      <c r="XI23" s="161"/>
      <c r="XJ23" s="161"/>
      <c r="XK23" s="161"/>
      <c r="XL23" s="161"/>
      <c r="XM23" s="161"/>
      <c r="XN23" s="161"/>
      <c r="XO23" s="161"/>
      <c r="XP23" s="161"/>
      <c r="XQ23" s="161"/>
      <c r="XR23" s="161"/>
      <c r="XS23" s="161"/>
      <c r="XT23" s="161"/>
      <c r="XU23" s="161"/>
      <c r="XV23" s="161"/>
      <c r="XW23" s="161"/>
      <c r="XX23" s="161"/>
      <c r="XY23" s="161"/>
      <c r="XZ23" s="161"/>
      <c r="YA23" s="161"/>
      <c r="YB23" s="161"/>
      <c r="YC23" s="161"/>
      <c r="YD23" s="161"/>
      <c r="YE23" s="161"/>
      <c r="YF23" s="161"/>
      <c r="YG23" s="161"/>
      <c r="YH23" s="161"/>
      <c r="YI23" s="161"/>
      <c r="YJ23" s="161"/>
      <c r="YK23" s="161"/>
      <c r="YL23" s="161"/>
      <c r="YM23" s="161"/>
      <c r="YN23" s="161"/>
      <c r="YO23" s="161"/>
      <c r="YP23" s="161"/>
      <c r="YQ23" s="161"/>
      <c r="YR23" s="161"/>
      <c r="YS23" s="161"/>
      <c r="YT23" s="161"/>
      <c r="YU23" s="161"/>
      <c r="YV23" s="161"/>
      <c r="YW23" s="161"/>
      <c r="YX23" s="161"/>
      <c r="YY23" s="161"/>
      <c r="YZ23" s="161"/>
      <c r="ZA23" s="161"/>
      <c r="ZB23" s="161"/>
      <c r="ZC23" s="161"/>
      <c r="ZD23" s="161"/>
      <c r="ZE23" s="161"/>
      <c r="ZF23" s="161"/>
      <c r="ZG23" s="161"/>
      <c r="ZH23" s="161"/>
      <c r="ZI23" s="161"/>
      <c r="ZJ23" s="161"/>
      <c r="ZK23" s="161"/>
      <c r="ZL23" s="161"/>
      <c r="ZM23" s="161"/>
      <c r="ZN23" s="161"/>
      <c r="ZO23" s="161"/>
      <c r="ZP23" s="161"/>
      <c r="ZQ23" s="161"/>
      <c r="ZR23" s="161"/>
      <c r="ZS23" s="161"/>
      <c r="ZT23" s="161"/>
      <c r="ZU23" s="161"/>
      <c r="ZV23" s="161"/>
      <c r="ZW23" s="161"/>
      <c r="ZX23" s="161"/>
      <c r="ZY23" s="161"/>
      <c r="ZZ23" s="161"/>
      <c r="AAA23" s="161"/>
      <c r="AAB23" s="161"/>
      <c r="AAC23" s="161"/>
      <c r="AAD23" s="161"/>
      <c r="AAE23" s="161"/>
      <c r="AAF23" s="161"/>
      <c r="AAG23" s="161"/>
      <c r="AAH23" s="161"/>
      <c r="AAI23" s="161"/>
      <c r="AAJ23" s="161"/>
      <c r="AAK23" s="161"/>
      <c r="AAL23" s="161"/>
      <c r="AAM23" s="161"/>
      <c r="AAN23" s="161"/>
      <c r="AAO23" s="161"/>
      <c r="AAP23" s="161"/>
      <c r="AAQ23" s="161"/>
      <c r="AAR23" s="161"/>
      <c r="AAS23" s="161"/>
      <c r="AAT23" s="161"/>
      <c r="AAU23" s="161"/>
      <c r="AAV23" s="161"/>
      <c r="AAW23" s="161"/>
      <c r="AAX23" s="161"/>
      <c r="AAY23" s="161"/>
      <c r="AAZ23" s="161"/>
      <c r="ABA23" s="161"/>
      <c r="ABB23" s="161"/>
      <c r="ABC23" s="161"/>
      <c r="ABD23" s="161"/>
      <c r="ABE23" s="161"/>
      <c r="ABF23" s="161"/>
      <c r="ABG23" s="161"/>
      <c r="ABH23" s="161"/>
      <c r="ABI23" s="161"/>
      <c r="ABJ23" s="161"/>
      <c r="ABK23" s="161"/>
      <c r="ABL23" s="161"/>
      <c r="ABM23" s="161"/>
      <c r="ABN23" s="161"/>
      <c r="ABO23" s="161"/>
      <c r="ABP23" s="161"/>
      <c r="ABQ23" s="161"/>
      <c r="ABR23" s="161"/>
      <c r="ABS23" s="161"/>
      <c r="ABT23" s="161"/>
      <c r="ABU23" s="161"/>
      <c r="ABV23" s="161"/>
      <c r="ABW23" s="161"/>
      <c r="ABX23" s="161"/>
      <c r="ABY23" s="161"/>
      <c r="ABZ23" s="161"/>
      <c r="ACA23" s="161"/>
      <c r="ACB23" s="161"/>
      <c r="ACC23" s="161"/>
      <c r="ACD23" s="161"/>
      <c r="ACE23" s="161"/>
      <c r="ACF23" s="161"/>
      <c r="ACG23" s="161"/>
      <c r="ACH23" s="161"/>
      <c r="ACI23" s="161"/>
      <c r="ACJ23" s="161"/>
      <c r="ACK23" s="161"/>
      <c r="ACL23" s="161"/>
      <c r="ACM23" s="161"/>
      <c r="ACN23" s="161"/>
      <c r="ACO23" s="161"/>
      <c r="ACP23" s="161"/>
      <c r="ACQ23" s="161"/>
      <c r="ACR23" s="161"/>
      <c r="ACS23" s="161"/>
      <c r="ACT23" s="161"/>
      <c r="ACU23" s="161"/>
      <c r="ACV23" s="161"/>
      <c r="ACW23" s="161"/>
      <c r="ACX23" s="161"/>
      <c r="ACY23" s="161"/>
      <c r="ACZ23" s="161"/>
      <c r="ADA23" s="161"/>
      <c r="ADB23" s="161"/>
      <c r="ADC23" s="161"/>
      <c r="ADD23" s="161"/>
      <c r="ADE23" s="161"/>
      <c r="ADF23" s="161"/>
      <c r="ADG23" s="161"/>
      <c r="ADH23" s="161"/>
      <c r="ADI23" s="161"/>
      <c r="ADJ23" s="161"/>
      <c r="ADK23" s="161"/>
      <c r="ADL23" s="161"/>
      <c r="ADM23" s="161"/>
      <c r="ADN23" s="161"/>
      <c r="ADO23" s="161"/>
      <c r="ADP23" s="161"/>
      <c r="ADQ23" s="161"/>
      <c r="ADR23" s="161"/>
      <c r="ADS23" s="161"/>
      <c r="ADT23" s="161"/>
      <c r="ADU23" s="161"/>
      <c r="ADV23" s="161"/>
      <c r="ADW23" s="161"/>
      <c r="ADX23" s="161"/>
      <c r="ADY23" s="161"/>
      <c r="ADZ23" s="161"/>
      <c r="AEA23" s="161"/>
      <c r="AEB23" s="161"/>
      <c r="AEC23" s="161"/>
      <c r="AED23" s="161"/>
      <c r="AEE23" s="161"/>
      <c r="AEF23" s="161"/>
      <c r="AEG23" s="161"/>
      <c r="AEH23" s="161"/>
      <c r="AEI23" s="161"/>
      <c r="AEJ23" s="161"/>
      <c r="AEK23" s="161"/>
      <c r="AEL23" s="161"/>
      <c r="AEM23" s="161"/>
      <c r="AEN23" s="161"/>
      <c r="AEO23" s="161"/>
      <c r="AEP23" s="161"/>
      <c r="AEQ23" s="161"/>
      <c r="AER23" s="161"/>
      <c r="AES23" s="161"/>
      <c r="AET23" s="161"/>
      <c r="AEU23" s="161"/>
      <c r="AEV23" s="161"/>
      <c r="AEW23" s="161"/>
      <c r="AEX23" s="161"/>
      <c r="AEY23" s="161"/>
      <c r="AEZ23" s="161"/>
      <c r="AFA23" s="161"/>
      <c r="AFB23" s="161"/>
      <c r="AFC23" s="161"/>
      <c r="AFD23" s="161"/>
      <c r="AFE23" s="161"/>
      <c r="AFF23" s="161"/>
      <c r="AFG23" s="161"/>
      <c r="AFH23" s="161"/>
      <c r="AFI23" s="161"/>
      <c r="AFJ23" s="161"/>
      <c r="AFK23" s="161"/>
      <c r="AFL23" s="161"/>
      <c r="AFM23" s="161"/>
      <c r="AFN23" s="161"/>
      <c r="AFO23" s="161"/>
      <c r="AFP23" s="161"/>
      <c r="AFQ23" s="161"/>
      <c r="AFR23" s="161"/>
      <c r="AFS23" s="161"/>
      <c r="AFT23" s="161"/>
      <c r="AFU23" s="161"/>
      <c r="AFV23" s="161"/>
      <c r="AFW23" s="161"/>
      <c r="AFX23" s="161"/>
      <c r="AFY23" s="161"/>
      <c r="AFZ23" s="161"/>
      <c r="AGA23" s="161"/>
      <c r="AGB23" s="161"/>
      <c r="AGC23" s="161"/>
      <c r="AGD23" s="161"/>
      <c r="AGE23" s="161"/>
      <c r="AGF23" s="161"/>
      <c r="AGG23" s="161"/>
      <c r="AGH23" s="161"/>
      <c r="AGI23" s="161"/>
      <c r="AGJ23" s="161"/>
      <c r="AGK23" s="161"/>
      <c r="AGL23" s="161"/>
      <c r="AGM23" s="161"/>
      <c r="AGN23" s="161"/>
      <c r="AGO23" s="161"/>
      <c r="AGP23" s="161"/>
      <c r="AGQ23" s="161"/>
      <c r="AGR23" s="161"/>
      <c r="AGS23" s="161"/>
      <c r="AGT23" s="161"/>
      <c r="AGU23" s="161"/>
      <c r="AGV23" s="161"/>
      <c r="AGW23" s="161"/>
      <c r="AGX23" s="161"/>
      <c r="AGY23" s="161"/>
      <c r="AGZ23" s="161"/>
      <c r="AHA23" s="161"/>
      <c r="AHB23" s="161"/>
      <c r="AHC23" s="161"/>
      <c r="AHD23" s="161"/>
      <c r="AHE23" s="161"/>
      <c r="AHF23" s="161"/>
      <c r="AHG23" s="161"/>
      <c r="AHH23" s="161"/>
      <c r="AHI23" s="161"/>
      <c r="AHJ23" s="161"/>
      <c r="AHK23" s="161"/>
      <c r="AHL23" s="161"/>
      <c r="AHM23" s="161"/>
      <c r="AHN23" s="161"/>
      <c r="AHO23" s="161"/>
      <c r="AHP23" s="161"/>
      <c r="AHQ23" s="161"/>
      <c r="AHR23" s="161"/>
      <c r="AHS23" s="161"/>
      <c r="AHT23" s="161"/>
      <c r="AHU23" s="161"/>
      <c r="AHV23" s="161"/>
      <c r="AHW23" s="161"/>
      <c r="AHX23" s="161"/>
      <c r="AHY23" s="161"/>
      <c r="AHZ23" s="161"/>
      <c r="AIA23" s="161"/>
      <c r="AIB23" s="161"/>
      <c r="AIC23" s="161"/>
      <c r="AID23" s="161"/>
      <c r="AIE23" s="161"/>
      <c r="AIF23" s="161"/>
    </row>
    <row r="24" spans="1:916" s="21" customFormat="1" ht="12.75">
      <c r="B24" s="309" t="s">
        <v>141</v>
      </c>
      <c r="C24" s="146" t="s">
        <v>1811</v>
      </c>
      <c r="D24" s="508"/>
      <c r="E24" s="324"/>
      <c r="F24" s="144">
        <f>'CBA {G}'!A$16</f>
        <v>5</v>
      </c>
      <c r="G24" s="325" t="s">
        <v>365</v>
      </c>
      <c r="H24" s="258">
        <f>'CBA {G}'!A$10</f>
        <v>2845</v>
      </c>
      <c r="I24" s="259">
        <f>'CBA {G}'!A$8</f>
        <v>42645</v>
      </c>
      <c r="J24" s="259">
        <f>'CBA {G}'!A$12</f>
        <v>0</v>
      </c>
      <c r="K24" s="259">
        <f>'CBA {G}'!A$14</f>
        <v>0</v>
      </c>
      <c r="L24" s="259">
        <f>SUM('CBA {G}'!Q$5:Q$1000)</f>
        <v>0</v>
      </c>
      <c r="M24" s="259"/>
      <c r="N24" s="260">
        <f>'CBA {G}'!A$18</f>
        <v>42645</v>
      </c>
      <c r="O24" s="259">
        <f>'CBA {G}'!A$20</f>
        <v>42645</v>
      </c>
      <c r="P24" s="259">
        <f>SUM('CBA {G}'!R$5:R$1000)</f>
        <v>0</v>
      </c>
      <c r="Q24" s="261">
        <f t="shared" si="8"/>
        <v>39866.317659156768</v>
      </c>
      <c r="R24" s="261">
        <f t="shared" si="9"/>
        <v>39866.317659156768</v>
      </c>
      <c r="S24" s="259">
        <f>SUM('CBA {G}'!AM$5:AM$1000)</f>
        <v>9937.9396591560362</v>
      </c>
      <c r="T24" s="259">
        <f>SUM('CBA {G}'!AD$5:AD$1000)</f>
        <v>0</v>
      </c>
      <c r="U24" s="133">
        <f>IFERROR(S24/Q24,0)</f>
        <v>0.24928160519168047</v>
      </c>
      <c r="V24" s="133">
        <f>IFERROR(((S24*1.1)+(T24))/R24,0)</f>
        <v>0.27420976571084849</v>
      </c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  <c r="PJ24" s="161"/>
      <c r="PK24" s="161"/>
      <c r="PL24" s="161"/>
      <c r="PM24" s="161"/>
      <c r="PN24" s="161"/>
      <c r="PO24" s="161"/>
      <c r="PP24" s="161"/>
      <c r="PQ24" s="161"/>
      <c r="PR24" s="161"/>
      <c r="PS24" s="161"/>
      <c r="PT24" s="161"/>
      <c r="PU24" s="161"/>
      <c r="PV24" s="161"/>
      <c r="PW24" s="161"/>
      <c r="PX24" s="161"/>
      <c r="PY24" s="161"/>
      <c r="PZ24" s="161"/>
      <c r="QA24" s="161"/>
      <c r="QB24" s="161"/>
      <c r="QC24" s="161"/>
      <c r="QD24" s="161"/>
      <c r="QE24" s="161"/>
      <c r="QF24" s="161"/>
      <c r="QG24" s="161"/>
      <c r="QH24" s="161"/>
      <c r="QI24" s="161"/>
      <c r="QJ24" s="161"/>
      <c r="QK24" s="161"/>
      <c r="QL24" s="161"/>
      <c r="QM24" s="161"/>
      <c r="QN24" s="161"/>
      <c r="QO24" s="161"/>
      <c r="QP24" s="161"/>
      <c r="QQ24" s="161"/>
      <c r="QR24" s="161"/>
      <c r="QS24" s="161"/>
      <c r="QT24" s="161"/>
      <c r="QU24" s="161"/>
      <c r="QV24" s="161"/>
      <c r="QW24" s="161"/>
      <c r="QX24" s="161"/>
      <c r="QY24" s="161"/>
      <c r="QZ24" s="161"/>
      <c r="RA24" s="161"/>
      <c r="RB24" s="161"/>
      <c r="RC24" s="161"/>
      <c r="RD24" s="161"/>
      <c r="RE24" s="161"/>
      <c r="RF24" s="161"/>
      <c r="RG24" s="161"/>
      <c r="RH24" s="161"/>
      <c r="RI24" s="161"/>
      <c r="RJ24" s="161"/>
      <c r="RK24" s="161"/>
      <c r="RL24" s="161"/>
      <c r="RM24" s="161"/>
      <c r="RN24" s="161"/>
      <c r="RO24" s="161"/>
      <c r="RP24" s="161"/>
      <c r="RQ24" s="161"/>
      <c r="RR24" s="161"/>
      <c r="RS24" s="161"/>
      <c r="RT24" s="161"/>
      <c r="RU24" s="161"/>
      <c r="RV24" s="161"/>
      <c r="RW24" s="161"/>
      <c r="RX24" s="161"/>
      <c r="RY24" s="161"/>
      <c r="RZ24" s="161"/>
      <c r="SA24" s="161"/>
      <c r="SB24" s="161"/>
      <c r="SC24" s="161"/>
      <c r="SD24" s="161"/>
      <c r="SE24" s="161"/>
      <c r="SF24" s="161"/>
      <c r="SG24" s="161"/>
      <c r="SH24" s="161"/>
      <c r="SI24" s="161"/>
      <c r="SJ24" s="161"/>
      <c r="SK24" s="161"/>
      <c r="SL24" s="161"/>
      <c r="SM24" s="161"/>
      <c r="SN24" s="161"/>
      <c r="SO24" s="161"/>
      <c r="SP24" s="161"/>
      <c r="SQ24" s="161"/>
      <c r="SR24" s="161"/>
      <c r="SS24" s="161"/>
      <c r="ST24" s="161"/>
      <c r="SU24" s="161"/>
      <c r="SV24" s="161"/>
      <c r="SW24" s="161"/>
      <c r="SX24" s="161"/>
      <c r="SY24" s="161"/>
      <c r="SZ24" s="161"/>
      <c r="TA24" s="161"/>
      <c r="TB24" s="161"/>
      <c r="TC24" s="161"/>
      <c r="TD24" s="161"/>
      <c r="TE24" s="161"/>
      <c r="TF24" s="161"/>
      <c r="TG24" s="161"/>
      <c r="TH24" s="161"/>
      <c r="TI24" s="161"/>
      <c r="TJ24" s="161"/>
      <c r="TK24" s="161"/>
      <c r="TL24" s="161"/>
      <c r="TM24" s="161"/>
      <c r="TN24" s="161"/>
      <c r="TO24" s="161"/>
      <c r="TP24" s="161"/>
      <c r="TQ24" s="161"/>
      <c r="TR24" s="161"/>
      <c r="TS24" s="161"/>
      <c r="TT24" s="161"/>
      <c r="TU24" s="161"/>
      <c r="TV24" s="161"/>
      <c r="TW24" s="161"/>
      <c r="TX24" s="161"/>
      <c r="TY24" s="161"/>
      <c r="TZ24" s="161"/>
      <c r="UA24" s="161"/>
      <c r="UB24" s="161"/>
      <c r="UC24" s="161"/>
      <c r="UD24" s="161"/>
      <c r="UE24" s="161"/>
      <c r="UF24" s="161"/>
      <c r="UG24" s="161"/>
      <c r="UH24" s="161"/>
      <c r="UI24" s="161"/>
      <c r="UJ24" s="161"/>
      <c r="UK24" s="161"/>
      <c r="UL24" s="161"/>
      <c r="UM24" s="161"/>
      <c r="UN24" s="161"/>
      <c r="UO24" s="161"/>
      <c r="UP24" s="161"/>
      <c r="UQ24" s="161"/>
      <c r="UR24" s="161"/>
      <c r="US24" s="161"/>
      <c r="UT24" s="161"/>
      <c r="UU24" s="161"/>
      <c r="UV24" s="161"/>
      <c r="UW24" s="161"/>
      <c r="UX24" s="161"/>
      <c r="UY24" s="161"/>
      <c r="UZ24" s="161"/>
      <c r="VA24" s="161"/>
      <c r="VB24" s="161"/>
      <c r="VC24" s="161"/>
      <c r="VD24" s="161"/>
      <c r="VE24" s="161"/>
      <c r="VF24" s="161"/>
      <c r="VG24" s="161"/>
      <c r="VH24" s="161"/>
      <c r="VI24" s="161"/>
      <c r="VJ24" s="161"/>
      <c r="VK24" s="161"/>
      <c r="VL24" s="161"/>
      <c r="VM24" s="161"/>
      <c r="VN24" s="161"/>
      <c r="VO24" s="161"/>
      <c r="VP24" s="161"/>
      <c r="VQ24" s="161"/>
      <c r="VR24" s="161"/>
      <c r="VS24" s="161"/>
      <c r="VT24" s="161"/>
      <c r="VU24" s="161"/>
      <c r="VV24" s="161"/>
      <c r="VW24" s="161"/>
      <c r="VX24" s="161"/>
      <c r="VY24" s="161"/>
      <c r="VZ24" s="161"/>
      <c r="WA24" s="161"/>
      <c r="WB24" s="161"/>
      <c r="WC24" s="161"/>
      <c r="WD24" s="161"/>
      <c r="WE24" s="161"/>
      <c r="WF24" s="161"/>
      <c r="WG24" s="161"/>
      <c r="WH24" s="161"/>
      <c r="WI24" s="161"/>
      <c r="WJ24" s="161"/>
      <c r="WK24" s="161"/>
      <c r="WL24" s="161"/>
      <c r="WM24" s="161"/>
      <c r="WN24" s="161"/>
      <c r="WO24" s="161"/>
      <c r="WP24" s="161"/>
      <c r="WQ24" s="161"/>
      <c r="WR24" s="161"/>
      <c r="WS24" s="161"/>
      <c r="WT24" s="161"/>
      <c r="WU24" s="161"/>
      <c r="WV24" s="161"/>
      <c r="WW24" s="161"/>
      <c r="WX24" s="161"/>
      <c r="WY24" s="161"/>
      <c r="WZ24" s="161"/>
      <c r="XA24" s="161"/>
      <c r="XB24" s="161"/>
      <c r="XC24" s="161"/>
      <c r="XD24" s="161"/>
      <c r="XE24" s="161"/>
      <c r="XF24" s="161"/>
      <c r="XG24" s="161"/>
      <c r="XH24" s="161"/>
      <c r="XI24" s="161"/>
      <c r="XJ24" s="161"/>
      <c r="XK24" s="161"/>
      <c r="XL24" s="161"/>
      <c r="XM24" s="161"/>
      <c r="XN24" s="161"/>
      <c r="XO24" s="161"/>
      <c r="XP24" s="161"/>
      <c r="XQ24" s="161"/>
      <c r="XR24" s="161"/>
      <c r="XS24" s="161"/>
      <c r="XT24" s="161"/>
      <c r="XU24" s="161"/>
      <c r="XV24" s="161"/>
      <c r="XW24" s="161"/>
      <c r="XX24" s="161"/>
      <c r="XY24" s="161"/>
      <c r="XZ24" s="161"/>
      <c r="YA24" s="161"/>
      <c r="YB24" s="161"/>
      <c r="YC24" s="161"/>
      <c r="YD24" s="161"/>
      <c r="YE24" s="161"/>
      <c r="YF24" s="161"/>
      <c r="YG24" s="161"/>
      <c r="YH24" s="161"/>
      <c r="YI24" s="161"/>
      <c r="YJ24" s="161"/>
      <c r="YK24" s="161"/>
      <c r="YL24" s="161"/>
      <c r="YM24" s="161"/>
      <c r="YN24" s="161"/>
      <c r="YO24" s="161"/>
      <c r="YP24" s="161"/>
      <c r="YQ24" s="161"/>
      <c r="YR24" s="161"/>
      <c r="YS24" s="161"/>
      <c r="YT24" s="161"/>
      <c r="YU24" s="161"/>
      <c r="YV24" s="161"/>
      <c r="YW24" s="161"/>
      <c r="YX24" s="161"/>
      <c r="YY24" s="161"/>
      <c r="YZ24" s="161"/>
      <c r="ZA24" s="161"/>
      <c r="ZB24" s="161"/>
      <c r="ZC24" s="161"/>
      <c r="ZD24" s="161"/>
      <c r="ZE24" s="161"/>
      <c r="ZF24" s="161"/>
      <c r="ZG24" s="161"/>
      <c r="ZH24" s="161"/>
      <c r="ZI24" s="161"/>
      <c r="ZJ24" s="161"/>
      <c r="ZK24" s="161"/>
      <c r="ZL24" s="161"/>
      <c r="ZM24" s="161"/>
      <c r="ZN24" s="161"/>
      <c r="ZO24" s="161"/>
      <c r="ZP24" s="161"/>
      <c r="ZQ24" s="161"/>
      <c r="ZR24" s="161"/>
      <c r="ZS24" s="161"/>
      <c r="ZT24" s="161"/>
      <c r="ZU24" s="161"/>
      <c r="ZV24" s="161"/>
      <c r="ZW24" s="161"/>
      <c r="ZX24" s="161"/>
      <c r="ZY24" s="161"/>
      <c r="ZZ24" s="161"/>
      <c r="AAA24" s="161"/>
      <c r="AAB24" s="161"/>
      <c r="AAC24" s="161"/>
      <c r="AAD24" s="161"/>
      <c r="AAE24" s="161"/>
      <c r="AAF24" s="161"/>
      <c r="AAG24" s="161"/>
      <c r="AAH24" s="161"/>
      <c r="AAI24" s="161"/>
      <c r="AAJ24" s="161"/>
      <c r="AAK24" s="161"/>
      <c r="AAL24" s="161"/>
      <c r="AAM24" s="161"/>
      <c r="AAN24" s="161"/>
      <c r="AAO24" s="161"/>
      <c r="AAP24" s="161"/>
      <c r="AAQ24" s="161"/>
      <c r="AAR24" s="161"/>
      <c r="AAS24" s="161"/>
      <c r="AAT24" s="161"/>
      <c r="AAU24" s="161"/>
      <c r="AAV24" s="161"/>
      <c r="AAW24" s="161"/>
      <c r="AAX24" s="161"/>
      <c r="AAY24" s="161"/>
      <c r="AAZ24" s="161"/>
      <c r="ABA24" s="161"/>
      <c r="ABB24" s="161"/>
      <c r="ABC24" s="161"/>
      <c r="ABD24" s="161"/>
      <c r="ABE24" s="161"/>
      <c r="ABF24" s="161"/>
      <c r="ABG24" s="161"/>
      <c r="ABH24" s="161"/>
      <c r="ABI24" s="161"/>
      <c r="ABJ24" s="161"/>
      <c r="ABK24" s="161"/>
      <c r="ABL24" s="161"/>
      <c r="ABM24" s="161"/>
      <c r="ABN24" s="161"/>
      <c r="ABO24" s="161"/>
      <c r="ABP24" s="161"/>
      <c r="ABQ24" s="161"/>
      <c r="ABR24" s="161"/>
      <c r="ABS24" s="161"/>
      <c r="ABT24" s="161"/>
      <c r="ABU24" s="161"/>
      <c r="ABV24" s="161"/>
      <c r="ABW24" s="161"/>
      <c r="ABX24" s="161"/>
      <c r="ABY24" s="161"/>
      <c r="ABZ24" s="161"/>
      <c r="ACA24" s="161"/>
      <c r="ACB24" s="161"/>
      <c r="ACC24" s="161"/>
      <c r="ACD24" s="161"/>
      <c r="ACE24" s="161"/>
      <c r="ACF24" s="161"/>
      <c r="ACG24" s="161"/>
      <c r="ACH24" s="161"/>
      <c r="ACI24" s="161"/>
      <c r="ACJ24" s="161"/>
      <c r="ACK24" s="161"/>
      <c r="ACL24" s="161"/>
      <c r="ACM24" s="161"/>
      <c r="ACN24" s="161"/>
      <c r="ACO24" s="161"/>
      <c r="ACP24" s="161"/>
      <c r="ACQ24" s="161"/>
      <c r="ACR24" s="161"/>
      <c r="ACS24" s="161"/>
      <c r="ACT24" s="161"/>
      <c r="ACU24" s="161"/>
      <c r="ACV24" s="161"/>
      <c r="ACW24" s="161"/>
      <c r="ACX24" s="161"/>
      <c r="ACY24" s="161"/>
      <c r="ACZ24" s="161"/>
      <c r="ADA24" s="161"/>
      <c r="ADB24" s="161"/>
      <c r="ADC24" s="161"/>
      <c r="ADD24" s="161"/>
      <c r="ADE24" s="161"/>
      <c r="ADF24" s="161"/>
      <c r="ADG24" s="161"/>
      <c r="ADH24" s="161"/>
      <c r="ADI24" s="161"/>
      <c r="ADJ24" s="161"/>
      <c r="ADK24" s="161"/>
      <c r="ADL24" s="161"/>
      <c r="ADM24" s="161"/>
      <c r="ADN24" s="161"/>
      <c r="ADO24" s="161"/>
      <c r="ADP24" s="161"/>
      <c r="ADQ24" s="161"/>
      <c r="ADR24" s="161"/>
      <c r="ADS24" s="161"/>
      <c r="ADT24" s="161"/>
      <c r="ADU24" s="161"/>
      <c r="ADV24" s="161"/>
      <c r="ADW24" s="161"/>
      <c r="ADX24" s="161"/>
      <c r="ADY24" s="161"/>
      <c r="ADZ24" s="161"/>
      <c r="AEA24" s="161"/>
      <c r="AEB24" s="161"/>
      <c r="AEC24" s="161"/>
      <c r="AED24" s="161"/>
      <c r="AEE24" s="161"/>
      <c r="AEF24" s="161"/>
      <c r="AEG24" s="161"/>
      <c r="AEH24" s="161"/>
      <c r="AEI24" s="161"/>
      <c r="AEJ24" s="161"/>
      <c r="AEK24" s="161"/>
      <c r="AEL24" s="161"/>
      <c r="AEM24" s="161"/>
      <c r="AEN24" s="161"/>
      <c r="AEO24" s="161"/>
      <c r="AEP24" s="161"/>
      <c r="AEQ24" s="161"/>
      <c r="AER24" s="161"/>
      <c r="AES24" s="161"/>
      <c r="AET24" s="161"/>
      <c r="AEU24" s="161"/>
      <c r="AEV24" s="161"/>
      <c r="AEW24" s="161"/>
      <c r="AEX24" s="161"/>
      <c r="AEY24" s="161"/>
      <c r="AEZ24" s="161"/>
      <c r="AFA24" s="161"/>
      <c r="AFB24" s="161"/>
      <c r="AFC24" s="161"/>
      <c r="AFD24" s="161"/>
      <c r="AFE24" s="161"/>
      <c r="AFF24" s="161"/>
      <c r="AFG24" s="161"/>
      <c r="AFH24" s="161"/>
      <c r="AFI24" s="161"/>
      <c r="AFJ24" s="161"/>
      <c r="AFK24" s="161"/>
      <c r="AFL24" s="161"/>
      <c r="AFM24" s="161"/>
      <c r="AFN24" s="161"/>
      <c r="AFO24" s="161"/>
      <c r="AFP24" s="161"/>
      <c r="AFQ24" s="161"/>
      <c r="AFR24" s="161"/>
      <c r="AFS24" s="161"/>
      <c r="AFT24" s="161"/>
      <c r="AFU24" s="161"/>
      <c r="AFV24" s="161"/>
      <c r="AFW24" s="161"/>
      <c r="AFX24" s="161"/>
      <c r="AFY24" s="161"/>
      <c r="AFZ24" s="161"/>
      <c r="AGA24" s="161"/>
      <c r="AGB24" s="161"/>
      <c r="AGC24" s="161"/>
      <c r="AGD24" s="161"/>
      <c r="AGE24" s="161"/>
      <c r="AGF24" s="161"/>
      <c r="AGG24" s="161"/>
      <c r="AGH24" s="161"/>
      <c r="AGI24" s="161"/>
      <c r="AGJ24" s="161"/>
      <c r="AGK24" s="161"/>
      <c r="AGL24" s="161"/>
      <c r="AGM24" s="161"/>
      <c r="AGN24" s="161"/>
      <c r="AGO24" s="161"/>
      <c r="AGP24" s="161"/>
      <c r="AGQ24" s="161"/>
      <c r="AGR24" s="161"/>
      <c r="AGS24" s="161"/>
      <c r="AGT24" s="161"/>
      <c r="AGU24" s="161"/>
      <c r="AGV24" s="161"/>
      <c r="AGW24" s="161"/>
      <c r="AGX24" s="161"/>
      <c r="AGY24" s="161"/>
      <c r="AGZ24" s="161"/>
      <c r="AHA24" s="161"/>
      <c r="AHB24" s="161"/>
      <c r="AHC24" s="161"/>
      <c r="AHD24" s="161"/>
      <c r="AHE24" s="161"/>
      <c r="AHF24" s="161"/>
      <c r="AHG24" s="161"/>
      <c r="AHH24" s="161"/>
      <c r="AHI24" s="161"/>
      <c r="AHJ24" s="161"/>
      <c r="AHK24" s="161"/>
      <c r="AHL24" s="161"/>
      <c r="AHM24" s="161"/>
      <c r="AHN24" s="161"/>
      <c r="AHO24" s="161"/>
      <c r="AHP24" s="161"/>
      <c r="AHQ24" s="161"/>
      <c r="AHR24" s="161"/>
      <c r="AHS24" s="161"/>
      <c r="AHT24" s="161"/>
      <c r="AHU24" s="161"/>
      <c r="AHV24" s="161"/>
      <c r="AHW24" s="161"/>
      <c r="AHX24" s="161"/>
      <c r="AHY24" s="161"/>
      <c r="AHZ24" s="161"/>
      <c r="AIA24" s="161"/>
      <c r="AIB24" s="161"/>
      <c r="AIC24" s="161"/>
      <c r="AID24" s="161"/>
      <c r="AIE24" s="161"/>
      <c r="AIF24" s="161"/>
    </row>
    <row r="25" spans="1:916" s="21" customFormat="1" ht="12.75">
      <c r="B25" s="309" t="s">
        <v>141</v>
      </c>
      <c r="C25" s="146" t="s">
        <v>1805</v>
      </c>
      <c r="D25" s="508"/>
      <c r="E25" s="324"/>
      <c r="F25" s="144">
        <f>IFERROR('Industrial EM {G}'!A$16,0)</f>
        <v>0</v>
      </c>
      <c r="G25" s="325" t="s">
        <v>365</v>
      </c>
      <c r="H25" s="258">
        <f>'Industrial EM {G}'!A$10</f>
        <v>0</v>
      </c>
      <c r="I25" s="259">
        <f>'Industrial EM {G}'!A$8</f>
        <v>581.18999999999994</v>
      </c>
      <c r="J25" s="259">
        <f>'Industrial EM {G}'!A$12</f>
        <v>0</v>
      </c>
      <c r="K25" s="259">
        <f>'Industrial EM {G}'!A$14</f>
        <v>0</v>
      </c>
      <c r="L25" s="259">
        <f>SUM('Industrial EM {G}'!Q$5:Q$1000)</f>
        <v>0</v>
      </c>
      <c r="M25" s="259"/>
      <c r="N25" s="260">
        <f>'Industrial EM {G}'!A$18</f>
        <v>581.18999999999994</v>
      </c>
      <c r="O25" s="259">
        <f>'Industrial EM {G}'!A$20</f>
        <v>581.18999999999994</v>
      </c>
      <c r="P25" s="259">
        <f>SUM('Industrial EM {G}'!R$5:R$1000)</f>
        <v>0</v>
      </c>
      <c r="Q25" s="261">
        <f t="shared" si="8"/>
        <v>543.32055716556033</v>
      </c>
      <c r="R25" s="261">
        <f t="shared" si="9"/>
        <v>543.32055716556033</v>
      </c>
      <c r="S25" s="259">
        <f>SUM('Industrial EM {G}'!AM$5:AM$1000)</f>
        <v>0</v>
      </c>
      <c r="T25" s="259">
        <f>SUM('Industrial EM {G}'!AD$5:AD$1000)</f>
        <v>0</v>
      </c>
      <c r="U25" s="133">
        <f>IFERROR(S25/Q25,0)</f>
        <v>0</v>
      </c>
      <c r="V25" s="133">
        <f>IFERROR(((S25*1.1)+(T25))/R25,0)</f>
        <v>0</v>
      </c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  <c r="PJ25" s="161"/>
      <c r="PK25" s="161"/>
      <c r="PL25" s="161"/>
      <c r="PM25" s="161"/>
      <c r="PN25" s="161"/>
      <c r="PO25" s="161"/>
      <c r="PP25" s="161"/>
      <c r="PQ25" s="161"/>
      <c r="PR25" s="161"/>
      <c r="PS25" s="161"/>
      <c r="PT25" s="161"/>
      <c r="PU25" s="161"/>
      <c r="PV25" s="161"/>
      <c r="PW25" s="161"/>
      <c r="PX25" s="161"/>
      <c r="PY25" s="161"/>
      <c r="PZ25" s="161"/>
      <c r="QA25" s="161"/>
      <c r="QB25" s="161"/>
      <c r="QC25" s="161"/>
      <c r="QD25" s="161"/>
      <c r="QE25" s="161"/>
      <c r="QF25" s="161"/>
      <c r="QG25" s="161"/>
      <c r="QH25" s="161"/>
      <c r="QI25" s="161"/>
      <c r="QJ25" s="161"/>
      <c r="QK25" s="161"/>
      <c r="QL25" s="161"/>
      <c r="QM25" s="161"/>
      <c r="QN25" s="161"/>
      <c r="QO25" s="161"/>
      <c r="QP25" s="161"/>
      <c r="QQ25" s="161"/>
      <c r="QR25" s="161"/>
      <c r="QS25" s="161"/>
      <c r="QT25" s="161"/>
      <c r="QU25" s="161"/>
      <c r="QV25" s="161"/>
      <c r="QW25" s="161"/>
      <c r="QX25" s="161"/>
      <c r="QY25" s="161"/>
      <c r="QZ25" s="161"/>
      <c r="RA25" s="161"/>
      <c r="RB25" s="161"/>
      <c r="RC25" s="161"/>
      <c r="RD25" s="161"/>
      <c r="RE25" s="161"/>
      <c r="RF25" s="161"/>
      <c r="RG25" s="161"/>
      <c r="RH25" s="161"/>
      <c r="RI25" s="161"/>
      <c r="RJ25" s="161"/>
      <c r="RK25" s="161"/>
      <c r="RL25" s="161"/>
      <c r="RM25" s="161"/>
      <c r="RN25" s="161"/>
      <c r="RO25" s="161"/>
      <c r="RP25" s="161"/>
      <c r="RQ25" s="161"/>
      <c r="RR25" s="161"/>
      <c r="RS25" s="161"/>
      <c r="RT25" s="161"/>
      <c r="RU25" s="161"/>
      <c r="RV25" s="161"/>
      <c r="RW25" s="161"/>
      <c r="RX25" s="161"/>
      <c r="RY25" s="161"/>
      <c r="RZ25" s="161"/>
      <c r="SA25" s="161"/>
      <c r="SB25" s="161"/>
      <c r="SC25" s="161"/>
      <c r="SD25" s="161"/>
      <c r="SE25" s="161"/>
      <c r="SF25" s="161"/>
      <c r="SG25" s="161"/>
      <c r="SH25" s="161"/>
      <c r="SI25" s="161"/>
      <c r="SJ25" s="161"/>
      <c r="SK25" s="161"/>
      <c r="SL25" s="161"/>
      <c r="SM25" s="161"/>
      <c r="SN25" s="161"/>
      <c r="SO25" s="161"/>
      <c r="SP25" s="161"/>
      <c r="SQ25" s="161"/>
      <c r="SR25" s="161"/>
      <c r="SS25" s="161"/>
      <c r="ST25" s="161"/>
      <c r="SU25" s="161"/>
      <c r="SV25" s="161"/>
      <c r="SW25" s="161"/>
      <c r="SX25" s="161"/>
      <c r="SY25" s="161"/>
      <c r="SZ25" s="161"/>
      <c r="TA25" s="161"/>
      <c r="TB25" s="161"/>
      <c r="TC25" s="161"/>
      <c r="TD25" s="161"/>
      <c r="TE25" s="161"/>
      <c r="TF25" s="161"/>
      <c r="TG25" s="161"/>
      <c r="TH25" s="161"/>
      <c r="TI25" s="161"/>
      <c r="TJ25" s="161"/>
      <c r="TK25" s="161"/>
      <c r="TL25" s="161"/>
      <c r="TM25" s="161"/>
      <c r="TN25" s="161"/>
      <c r="TO25" s="161"/>
      <c r="TP25" s="161"/>
      <c r="TQ25" s="161"/>
      <c r="TR25" s="161"/>
      <c r="TS25" s="161"/>
      <c r="TT25" s="161"/>
      <c r="TU25" s="161"/>
      <c r="TV25" s="161"/>
      <c r="TW25" s="161"/>
      <c r="TX25" s="161"/>
      <c r="TY25" s="161"/>
      <c r="TZ25" s="161"/>
      <c r="UA25" s="161"/>
      <c r="UB25" s="161"/>
      <c r="UC25" s="161"/>
      <c r="UD25" s="161"/>
      <c r="UE25" s="161"/>
      <c r="UF25" s="161"/>
      <c r="UG25" s="161"/>
      <c r="UH25" s="161"/>
      <c r="UI25" s="161"/>
      <c r="UJ25" s="161"/>
      <c r="UK25" s="161"/>
      <c r="UL25" s="161"/>
      <c r="UM25" s="161"/>
      <c r="UN25" s="161"/>
      <c r="UO25" s="161"/>
      <c r="UP25" s="161"/>
      <c r="UQ25" s="161"/>
      <c r="UR25" s="161"/>
      <c r="US25" s="161"/>
      <c r="UT25" s="161"/>
      <c r="UU25" s="161"/>
      <c r="UV25" s="161"/>
      <c r="UW25" s="161"/>
      <c r="UX25" s="161"/>
      <c r="UY25" s="161"/>
      <c r="UZ25" s="161"/>
      <c r="VA25" s="161"/>
      <c r="VB25" s="161"/>
      <c r="VC25" s="161"/>
      <c r="VD25" s="161"/>
      <c r="VE25" s="161"/>
      <c r="VF25" s="161"/>
      <c r="VG25" s="161"/>
      <c r="VH25" s="161"/>
      <c r="VI25" s="161"/>
      <c r="VJ25" s="161"/>
      <c r="VK25" s="161"/>
      <c r="VL25" s="161"/>
      <c r="VM25" s="161"/>
      <c r="VN25" s="161"/>
      <c r="VO25" s="161"/>
      <c r="VP25" s="161"/>
      <c r="VQ25" s="161"/>
      <c r="VR25" s="161"/>
      <c r="VS25" s="161"/>
      <c r="VT25" s="161"/>
      <c r="VU25" s="161"/>
      <c r="VV25" s="161"/>
      <c r="VW25" s="161"/>
      <c r="VX25" s="161"/>
      <c r="VY25" s="161"/>
      <c r="VZ25" s="161"/>
      <c r="WA25" s="161"/>
      <c r="WB25" s="161"/>
      <c r="WC25" s="161"/>
      <c r="WD25" s="161"/>
      <c r="WE25" s="161"/>
      <c r="WF25" s="161"/>
      <c r="WG25" s="161"/>
      <c r="WH25" s="161"/>
      <c r="WI25" s="161"/>
      <c r="WJ25" s="161"/>
      <c r="WK25" s="161"/>
      <c r="WL25" s="161"/>
      <c r="WM25" s="161"/>
      <c r="WN25" s="161"/>
      <c r="WO25" s="161"/>
      <c r="WP25" s="161"/>
      <c r="WQ25" s="161"/>
      <c r="WR25" s="161"/>
      <c r="WS25" s="161"/>
      <c r="WT25" s="161"/>
      <c r="WU25" s="161"/>
      <c r="WV25" s="161"/>
      <c r="WW25" s="161"/>
      <c r="WX25" s="161"/>
      <c r="WY25" s="161"/>
      <c r="WZ25" s="161"/>
      <c r="XA25" s="161"/>
      <c r="XB25" s="161"/>
      <c r="XC25" s="161"/>
      <c r="XD25" s="161"/>
      <c r="XE25" s="161"/>
      <c r="XF25" s="161"/>
      <c r="XG25" s="161"/>
      <c r="XH25" s="161"/>
      <c r="XI25" s="161"/>
      <c r="XJ25" s="161"/>
      <c r="XK25" s="161"/>
      <c r="XL25" s="161"/>
      <c r="XM25" s="161"/>
      <c r="XN25" s="161"/>
      <c r="XO25" s="161"/>
      <c r="XP25" s="161"/>
      <c r="XQ25" s="161"/>
      <c r="XR25" s="161"/>
      <c r="XS25" s="161"/>
      <c r="XT25" s="161"/>
      <c r="XU25" s="161"/>
      <c r="XV25" s="161"/>
      <c r="XW25" s="161"/>
      <c r="XX25" s="161"/>
      <c r="XY25" s="161"/>
      <c r="XZ25" s="161"/>
      <c r="YA25" s="161"/>
      <c r="YB25" s="161"/>
      <c r="YC25" s="161"/>
      <c r="YD25" s="161"/>
      <c r="YE25" s="161"/>
      <c r="YF25" s="161"/>
      <c r="YG25" s="161"/>
      <c r="YH25" s="161"/>
      <c r="YI25" s="161"/>
      <c r="YJ25" s="161"/>
      <c r="YK25" s="161"/>
      <c r="YL25" s="161"/>
      <c r="YM25" s="161"/>
      <c r="YN25" s="161"/>
      <c r="YO25" s="161"/>
      <c r="YP25" s="161"/>
      <c r="YQ25" s="161"/>
      <c r="YR25" s="161"/>
      <c r="YS25" s="161"/>
      <c r="YT25" s="161"/>
      <c r="YU25" s="161"/>
      <c r="YV25" s="161"/>
      <c r="YW25" s="161"/>
      <c r="YX25" s="161"/>
      <c r="YY25" s="161"/>
      <c r="YZ25" s="161"/>
      <c r="ZA25" s="161"/>
      <c r="ZB25" s="161"/>
      <c r="ZC25" s="161"/>
      <c r="ZD25" s="161"/>
      <c r="ZE25" s="161"/>
      <c r="ZF25" s="161"/>
      <c r="ZG25" s="161"/>
      <c r="ZH25" s="161"/>
      <c r="ZI25" s="161"/>
      <c r="ZJ25" s="161"/>
      <c r="ZK25" s="161"/>
      <c r="ZL25" s="161"/>
      <c r="ZM25" s="161"/>
      <c r="ZN25" s="161"/>
      <c r="ZO25" s="161"/>
      <c r="ZP25" s="161"/>
      <c r="ZQ25" s="161"/>
      <c r="ZR25" s="161"/>
      <c r="ZS25" s="161"/>
      <c r="ZT25" s="161"/>
      <c r="ZU25" s="161"/>
      <c r="ZV25" s="161"/>
      <c r="ZW25" s="161"/>
      <c r="ZX25" s="161"/>
      <c r="ZY25" s="161"/>
      <c r="ZZ25" s="161"/>
      <c r="AAA25" s="161"/>
      <c r="AAB25" s="161"/>
      <c r="AAC25" s="161"/>
      <c r="AAD25" s="161"/>
      <c r="AAE25" s="161"/>
      <c r="AAF25" s="161"/>
      <c r="AAG25" s="161"/>
      <c r="AAH25" s="161"/>
      <c r="AAI25" s="161"/>
      <c r="AAJ25" s="161"/>
      <c r="AAK25" s="161"/>
      <c r="AAL25" s="161"/>
      <c r="AAM25" s="161"/>
      <c r="AAN25" s="161"/>
      <c r="AAO25" s="161"/>
      <c r="AAP25" s="161"/>
      <c r="AAQ25" s="161"/>
      <c r="AAR25" s="161"/>
      <c r="AAS25" s="161"/>
      <c r="AAT25" s="161"/>
      <c r="AAU25" s="161"/>
      <c r="AAV25" s="161"/>
      <c r="AAW25" s="161"/>
      <c r="AAX25" s="161"/>
      <c r="AAY25" s="161"/>
      <c r="AAZ25" s="161"/>
      <c r="ABA25" s="161"/>
      <c r="ABB25" s="161"/>
      <c r="ABC25" s="161"/>
      <c r="ABD25" s="161"/>
      <c r="ABE25" s="161"/>
      <c r="ABF25" s="161"/>
      <c r="ABG25" s="161"/>
      <c r="ABH25" s="161"/>
      <c r="ABI25" s="161"/>
      <c r="ABJ25" s="161"/>
      <c r="ABK25" s="161"/>
      <c r="ABL25" s="161"/>
      <c r="ABM25" s="161"/>
      <c r="ABN25" s="161"/>
      <c r="ABO25" s="161"/>
      <c r="ABP25" s="161"/>
      <c r="ABQ25" s="161"/>
      <c r="ABR25" s="161"/>
      <c r="ABS25" s="161"/>
      <c r="ABT25" s="161"/>
      <c r="ABU25" s="161"/>
      <c r="ABV25" s="161"/>
      <c r="ABW25" s="161"/>
      <c r="ABX25" s="161"/>
      <c r="ABY25" s="161"/>
      <c r="ABZ25" s="161"/>
      <c r="ACA25" s="161"/>
      <c r="ACB25" s="161"/>
      <c r="ACC25" s="161"/>
      <c r="ACD25" s="161"/>
      <c r="ACE25" s="161"/>
      <c r="ACF25" s="161"/>
      <c r="ACG25" s="161"/>
      <c r="ACH25" s="161"/>
      <c r="ACI25" s="161"/>
      <c r="ACJ25" s="161"/>
      <c r="ACK25" s="161"/>
      <c r="ACL25" s="161"/>
      <c r="ACM25" s="161"/>
      <c r="ACN25" s="161"/>
      <c r="ACO25" s="161"/>
      <c r="ACP25" s="161"/>
      <c r="ACQ25" s="161"/>
      <c r="ACR25" s="161"/>
      <c r="ACS25" s="161"/>
      <c r="ACT25" s="161"/>
      <c r="ACU25" s="161"/>
      <c r="ACV25" s="161"/>
      <c r="ACW25" s="161"/>
      <c r="ACX25" s="161"/>
      <c r="ACY25" s="161"/>
      <c r="ACZ25" s="161"/>
      <c r="ADA25" s="161"/>
      <c r="ADB25" s="161"/>
      <c r="ADC25" s="161"/>
      <c r="ADD25" s="161"/>
      <c r="ADE25" s="161"/>
      <c r="ADF25" s="161"/>
      <c r="ADG25" s="161"/>
      <c r="ADH25" s="161"/>
      <c r="ADI25" s="161"/>
      <c r="ADJ25" s="161"/>
      <c r="ADK25" s="161"/>
      <c r="ADL25" s="161"/>
      <c r="ADM25" s="161"/>
      <c r="ADN25" s="161"/>
      <c r="ADO25" s="161"/>
      <c r="ADP25" s="161"/>
      <c r="ADQ25" s="161"/>
      <c r="ADR25" s="161"/>
      <c r="ADS25" s="161"/>
      <c r="ADT25" s="161"/>
      <c r="ADU25" s="161"/>
      <c r="ADV25" s="161"/>
      <c r="ADW25" s="161"/>
      <c r="ADX25" s="161"/>
      <c r="ADY25" s="161"/>
      <c r="ADZ25" s="161"/>
      <c r="AEA25" s="161"/>
      <c r="AEB25" s="161"/>
      <c r="AEC25" s="161"/>
      <c r="AED25" s="161"/>
      <c r="AEE25" s="161"/>
      <c r="AEF25" s="161"/>
      <c r="AEG25" s="161"/>
      <c r="AEH25" s="161"/>
      <c r="AEI25" s="161"/>
      <c r="AEJ25" s="161"/>
      <c r="AEK25" s="161"/>
      <c r="AEL25" s="161"/>
      <c r="AEM25" s="161"/>
      <c r="AEN25" s="161"/>
      <c r="AEO25" s="161"/>
      <c r="AEP25" s="161"/>
      <c r="AEQ25" s="161"/>
      <c r="AER25" s="161"/>
      <c r="AES25" s="161"/>
      <c r="AET25" s="161"/>
      <c r="AEU25" s="161"/>
      <c r="AEV25" s="161"/>
      <c r="AEW25" s="161"/>
      <c r="AEX25" s="161"/>
      <c r="AEY25" s="161"/>
      <c r="AEZ25" s="161"/>
      <c r="AFA25" s="161"/>
      <c r="AFB25" s="161"/>
      <c r="AFC25" s="161"/>
      <c r="AFD25" s="161"/>
      <c r="AFE25" s="161"/>
      <c r="AFF25" s="161"/>
      <c r="AFG25" s="161"/>
      <c r="AFH25" s="161"/>
      <c r="AFI25" s="161"/>
      <c r="AFJ25" s="161"/>
      <c r="AFK25" s="161"/>
      <c r="AFL25" s="161"/>
      <c r="AFM25" s="161"/>
      <c r="AFN25" s="161"/>
      <c r="AFO25" s="161"/>
      <c r="AFP25" s="161"/>
      <c r="AFQ25" s="161"/>
      <c r="AFR25" s="161"/>
      <c r="AFS25" s="161"/>
      <c r="AFT25" s="161"/>
      <c r="AFU25" s="161"/>
      <c r="AFV25" s="161"/>
      <c r="AFW25" s="161"/>
      <c r="AFX25" s="161"/>
      <c r="AFY25" s="161"/>
      <c r="AFZ25" s="161"/>
      <c r="AGA25" s="161"/>
      <c r="AGB25" s="161"/>
      <c r="AGC25" s="161"/>
      <c r="AGD25" s="161"/>
      <c r="AGE25" s="161"/>
      <c r="AGF25" s="161"/>
      <c r="AGG25" s="161"/>
      <c r="AGH25" s="161"/>
      <c r="AGI25" s="161"/>
      <c r="AGJ25" s="161"/>
      <c r="AGK25" s="161"/>
      <c r="AGL25" s="161"/>
      <c r="AGM25" s="161"/>
      <c r="AGN25" s="161"/>
      <c r="AGO25" s="161"/>
      <c r="AGP25" s="161"/>
      <c r="AGQ25" s="161"/>
      <c r="AGR25" s="161"/>
      <c r="AGS25" s="161"/>
      <c r="AGT25" s="161"/>
      <c r="AGU25" s="161"/>
      <c r="AGV25" s="161"/>
      <c r="AGW25" s="161"/>
      <c r="AGX25" s="161"/>
      <c r="AGY25" s="161"/>
      <c r="AGZ25" s="161"/>
      <c r="AHA25" s="161"/>
      <c r="AHB25" s="161"/>
      <c r="AHC25" s="161"/>
      <c r="AHD25" s="161"/>
      <c r="AHE25" s="161"/>
      <c r="AHF25" s="161"/>
      <c r="AHG25" s="161"/>
      <c r="AHH25" s="161"/>
      <c r="AHI25" s="161"/>
      <c r="AHJ25" s="161"/>
      <c r="AHK25" s="161"/>
      <c r="AHL25" s="161"/>
      <c r="AHM25" s="161"/>
      <c r="AHN25" s="161"/>
      <c r="AHO25" s="161"/>
      <c r="AHP25" s="161"/>
      <c r="AHQ25" s="161"/>
      <c r="AHR25" s="161"/>
      <c r="AHS25" s="161"/>
      <c r="AHT25" s="161"/>
      <c r="AHU25" s="161"/>
      <c r="AHV25" s="161"/>
      <c r="AHW25" s="161"/>
      <c r="AHX25" s="161"/>
      <c r="AHY25" s="161"/>
      <c r="AHZ25" s="161"/>
      <c r="AIA25" s="161"/>
      <c r="AIB25" s="161"/>
      <c r="AIC25" s="161"/>
      <c r="AID25" s="161"/>
      <c r="AIE25" s="161"/>
      <c r="AIF25" s="161"/>
    </row>
    <row r="26" spans="1:916" s="21" customFormat="1" ht="12.75">
      <c r="B26" s="309" t="s">
        <v>123</v>
      </c>
      <c r="C26" s="174" t="s">
        <v>385</v>
      </c>
      <c r="D26" s="174"/>
      <c r="E26" s="324"/>
      <c r="F26" s="144">
        <f>'CI New Construction {G}'!A$16</f>
        <v>15.797833046047772</v>
      </c>
      <c r="G26" s="325" t="s">
        <v>365</v>
      </c>
      <c r="H26" s="258">
        <f>'CI New Construction {G}'!A$10</f>
        <v>85281</v>
      </c>
      <c r="I26" s="259">
        <f>'CI New Construction {G}'!A$8</f>
        <v>119245.34999999998</v>
      </c>
      <c r="J26" s="259">
        <f>'CI New Construction {G}'!A$12</f>
        <v>429718</v>
      </c>
      <c r="K26" s="259">
        <f>'CI New Construction {G}'!A$14</f>
        <v>62574</v>
      </c>
      <c r="L26" s="259">
        <f>SUM('CI New Construction {G}'!Q$5:Q$1000)</f>
        <v>492292</v>
      </c>
      <c r="M26" s="259"/>
      <c r="N26" s="260">
        <f>'CI New Construction {G}'!A$18</f>
        <v>548963.35</v>
      </c>
      <c r="O26" s="259">
        <f>'CI New Construction {G}'!A$20</f>
        <v>611537.35</v>
      </c>
      <c r="P26" s="259">
        <f>SUM('CI New Construction {G}'!R$5:R$1000)</f>
        <v>0</v>
      </c>
      <c r="Q26" s="261">
        <f t="shared" si="8"/>
        <v>513193.74591006816</v>
      </c>
      <c r="R26" s="261">
        <f t="shared" si="9"/>
        <v>571690.52070674009</v>
      </c>
      <c r="S26" s="259">
        <f>SUM('CI New Construction {G}'!AM$5:AM$1000)</f>
        <v>908682.20886549191</v>
      </c>
      <c r="T26" s="259">
        <f>SUM('CI New Construction {G}'!AD$5:AD$1000)</f>
        <v>0</v>
      </c>
      <c r="U26" s="133">
        <f t="shared" si="10"/>
        <v>1.7706416263005842</v>
      </c>
      <c r="V26" s="133">
        <f t="shared" si="11"/>
        <v>1.7484117604685283</v>
      </c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  <c r="PJ26" s="161"/>
      <c r="PK26" s="161"/>
      <c r="PL26" s="161"/>
      <c r="PM26" s="161"/>
      <c r="PN26" s="161"/>
      <c r="PO26" s="161"/>
      <c r="PP26" s="161"/>
      <c r="PQ26" s="161"/>
      <c r="PR26" s="161"/>
      <c r="PS26" s="161"/>
      <c r="PT26" s="161"/>
      <c r="PU26" s="161"/>
      <c r="PV26" s="161"/>
      <c r="PW26" s="161"/>
      <c r="PX26" s="161"/>
      <c r="PY26" s="161"/>
      <c r="PZ26" s="161"/>
      <c r="QA26" s="161"/>
      <c r="QB26" s="161"/>
      <c r="QC26" s="161"/>
      <c r="QD26" s="161"/>
      <c r="QE26" s="161"/>
      <c r="QF26" s="161"/>
      <c r="QG26" s="161"/>
      <c r="QH26" s="161"/>
      <c r="QI26" s="161"/>
      <c r="QJ26" s="161"/>
      <c r="QK26" s="161"/>
      <c r="QL26" s="161"/>
      <c r="QM26" s="161"/>
      <c r="QN26" s="161"/>
      <c r="QO26" s="161"/>
      <c r="QP26" s="161"/>
      <c r="QQ26" s="161"/>
      <c r="QR26" s="161"/>
      <c r="QS26" s="161"/>
      <c r="QT26" s="161"/>
      <c r="QU26" s="161"/>
      <c r="QV26" s="161"/>
      <c r="QW26" s="161"/>
      <c r="QX26" s="161"/>
      <c r="QY26" s="161"/>
      <c r="QZ26" s="161"/>
      <c r="RA26" s="161"/>
      <c r="RB26" s="161"/>
      <c r="RC26" s="161"/>
      <c r="RD26" s="161"/>
      <c r="RE26" s="161"/>
      <c r="RF26" s="161"/>
      <c r="RG26" s="161"/>
      <c r="RH26" s="161"/>
      <c r="RI26" s="161"/>
      <c r="RJ26" s="161"/>
      <c r="RK26" s="161"/>
      <c r="RL26" s="161"/>
      <c r="RM26" s="161"/>
      <c r="RN26" s="161"/>
      <c r="RO26" s="161"/>
      <c r="RP26" s="161"/>
      <c r="RQ26" s="161"/>
      <c r="RR26" s="161"/>
      <c r="RS26" s="161"/>
      <c r="RT26" s="161"/>
      <c r="RU26" s="161"/>
      <c r="RV26" s="161"/>
      <c r="RW26" s="161"/>
      <c r="RX26" s="161"/>
      <c r="RY26" s="161"/>
      <c r="RZ26" s="161"/>
      <c r="SA26" s="161"/>
      <c r="SB26" s="161"/>
      <c r="SC26" s="161"/>
      <c r="SD26" s="161"/>
      <c r="SE26" s="161"/>
      <c r="SF26" s="161"/>
      <c r="SG26" s="161"/>
      <c r="SH26" s="161"/>
      <c r="SI26" s="161"/>
      <c r="SJ26" s="161"/>
      <c r="SK26" s="161"/>
      <c r="SL26" s="161"/>
      <c r="SM26" s="161"/>
      <c r="SN26" s="161"/>
      <c r="SO26" s="161"/>
      <c r="SP26" s="161"/>
      <c r="SQ26" s="161"/>
      <c r="SR26" s="161"/>
      <c r="SS26" s="161"/>
      <c r="ST26" s="161"/>
      <c r="SU26" s="161"/>
      <c r="SV26" s="161"/>
      <c r="SW26" s="161"/>
      <c r="SX26" s="161"/>
      <c r="SY26" s="161"/>
      <c r="SZ26" s="161"/>
      <c r="TA26" s="161"/>
      <c r="TB26" s="161"/>
      <c r="TC26" s="161"/>
      <c r="TD26" s="161"/>
      <c r="TE26" s="161"/>
      <c r="TF26" s="161"/>
      <c r="TG26" s="161"/>
      <c r="TH26" s="161"/>
      <c r="TI26" s="161"/>
      <c r="TJ26" s="161"/>
      <c r="TK26" s="161"/>
      <c r="TL26" s="161"/>
      <c r="TM26" s="161"/>
      <c r="TN26" s="161"/>
      <c r="TO26" s="161"/>
      <c r="TP26" s="161"/>
      <c r="TQ26" s="161"/>
      <c r="TR26" s="161"/>
      <c r="TS26" s="161"/>
      <c r="TT26" s="161"/>
      <c r="TU26" s="161"/>
      <c r="TV26" s="161"/>
      <c r="TW26" s="161"/>
      <c r="TX26" s="161"/>
      <c r="TY26" s="161"/>
      <c r="TZ26" s="161"/>
      <c r="UA26" s="161"/>
      <c r="UB26" s="161"/>
      <c r="UC26" s="161"/>
      <c r="UD26" s="161"/>
      <c r="UE26" s="161"/>
      <c r="UF26" s="161"/>
      <c r="UG26" s="161"/>
      <c r="UH26" s="161"/>
      <c r="UI26" s="161"/>
      <c r="UJ26" s="161"/>
      <c r="UK26" s="161"/>
      <c r="UL26" s="161"/>
      <c r="UM26" s="161"/>
      <c r="UN26" s="161"/>
      <c r="UO26" s="161"/>
      <c r="UP26" s="161"/>
      <c r="UQ26" s="161"/>
      <c r="UR26" s="161"/>
      <c r="US26" s="161"/>
      <c r="UT26" s="161"/>
      <c r="UU26" s="161"/>
      <c r="UV26" s="161"/>
      <c r="UW26" s="161"/>
      <c r="UX26" s="161"/>
      <c r="UY26" s="161"/>
      <c r="UZ26" s="161"/>
      <c r="VA26" s="161"/>
      <c r="VB26" s="161"/>
      <c r="VC26" s="161"/>
      <c r="VD26" s="161"/>
      <c r="VE26" s="161"/>
      <c r="VF26" s="161"/>
      <c r="VG26" s="161"/>
      <c r="VH26" s="161"/>
      <c r="VI26" s="161"/>
      <c r="VJ26" s="161"/>
      <c r="VK26" s="161"/>
      <c r="VL26" s="161"/>
      <c r="VM26" s="161"/>
      <c r="VN26" s="161"/>
      <c r="VO26" s="161"/>
      <c r="VP26" s="161"/>
      <c r="VQ26" s="161"/>
      <c r="VR26" s="161"/>
      <c r="VS26" s="161"/>
      <c r="VT26" s="161"/>
      <c r="VU26" s="161"/>
      <c r="VV26" s="161"/>
      <c r="VW26" s="161"/>
      <c r="VX26" s="161"/>
      <c r="VY26" s="161"/>
      <c r="VZ26" s="161"/>
      <c r="WA26" s="161"/>
      <c r="WB26" s="161"/>
      <c r="WC26" s="161"/>
      <c r="WD26" s="161"/>
      <c r="WE26" s="161"/>
      <c r="WF26" s="161"/>
      <c r="WG26" s="161"/>
      <c r="WH26" s="161"/>
      <c r="WI26" s="161"/>
      <c r="WJ26" s="161"/>
      <c r="WK26" s="161"/>
      <c r="WL26" s="161"/>
      <c r="WM26" s="161"/>
      <c r="WN26" s="161"/>
      <c r="WO26" s="161"/>
      <c r="WP26" s="161"/>
      <c r="WQ26" s="161"/>
      <c r="WR26" s="161"/>
      <c r="WS26" s="161"/>
      <c r="WT26" s="161"/>
      <c r="WU26" s="161"/>
      <c r="WV26" s="161"/>
      <c r="WW26" s="161"/>
      <c r="WX26" s="161"/>
      <c r="WY26" s="161"/>
      <c r="WZ26" s="161"/>
      <c r="XA26" s="161"/>
      <c r="XB26" s="161"/>
      <c r="XC26" s="161"/>
      <c r="XD26" s="161"/>
      <c r="XE26" s="161"/>
      <c r="XF26" s="161"/>
      <c r="XG26" s="161"/>
      <c r="XH26" s="161"/>
      <c r="XI26" s="161"/>
      <c r="XJ26" s="161"/>
      <c r="XK26" s="161"/>
      <c r="XL26" s="161"/>
      <c r="XM26" s="161"/>
      <c r="XN26" s="161"/>
      <c r="XO26" s="161"/>
      <c r="XP26" s="161"/>
      <c r="XQ26" s="161"/>
      <c r="XR26" s="161"/>
      <c r="XS26" s="161"/>
      <c r="XT26" s="161"/>
      <c r="XU26" s="161"/>
      <c r="XV26" s="161"/>
      <c r="XW26" s="161"/>
      <c r="XX26" s="161"/>
      <c r="XY26" s="161"/>
      <c r="XZ26" s="161"/>
      <c r="YA26" s="161"/>
      <c r="YB26" s="161"/>
      <c r="YC26" s="161"/>
      <c r="YD26" s="161"/>
      <c r="YE26" s="161"/>
      <c r="YF26" s="161"/>
      <c r="YG26" s="161"/>
      <c r="YH26" s="161"/>
      <c r="YI26" s="161"/>
      <c r="YJ26" s="161"/>
      <c r="YK26" s="161"/>
      <c r="YL26" s="161"/>
      <c r="YM26" s="161"/>
      <c r="YN26" s="161"/>
      <c r="YO26" s="161"/>
      <c r="YP26" s="161"/>
      <c r="YQ26" s="161"/>
      <c r="YR26" s="161"/>
      <c r="YS26" s="161"/>
      <c r="YT26" s="161"/>
      <c r="YU26" s="161"/>
      <c r="YV26" s="161"/>
      <c r="YW26" s="161"/>
      <c r="YX26" s="161"/>
      <c r="YY26" s="161"/>
      <c r="YZ26" s="161"/>
      <c r="ZA26" s="161"/>
      <c r="ZB26" s="161"/>
      <c r="ZC26" s="161"/>
      <c r="ZD26" s="161"/>
      <c r="ZE26" s="161"/>
      <c r="ZF26" s="161"/>
      <c r="ZG26" s="161"/>
      <c r="ZH26" s="161"/>
      <c r="ZI26" s="161"/>
      <c r="ZJ26" s="161"/>
      <c r="ZK26" s="161"/>
      <c r="ZL26" s="161"/>
      <c r="ZM26" s="161"/>
      <c r="ZN26" s="161"/>
      <c r="ZO26" s="161"/>
      <c r="ZP26" s="161"/>
      <c r="ZQ26" s="161"/>
      <c r="ZR26" s="161"/>
      <c r="ZS26" s="161"/>
      <c r="ZT26" s="161"/>
      <c r="ZU26" s="161"/>
      <c r="ZV26" s="161"/>
      <c r="ZW26" s="161"/>
      <c r="ZX26" s="161"/>
      <c r="ZY26" s="161"/>
      <c r="ZZ26" s="161"/>
      <c r="AAA26" s="161"/>
      <c r="AAB26" s="161"/>
      <c r="AAC26" s="161"/>
      <c r="AAD26" s="161"/>
      <c r="AAE26" s="161"/>
      <c r="AAF26" s="161"/>
      <c r="AAG26" s="161"/>
      <c r="AAH26" s="161"/>
      <c r="AAI26" s="161"/>
      <c r="AAJ26" s="161"/>
      <c r="AAK26" s="161"/>
      <c r="AAL26" s="161"/>
      <c r="AAM26" s="161"/>
      <c r="AAN26" s="161"/>
      <c r="AAO26" s="161"/>
      <c r="AAP26" s="161"/>
      <c r="AAQ26" s="161"/>
      <c r="AAR26" s="161"/>
      <c r="AAS26" s="161"/>
      <c r="AAT26" s="161"/>
      <c r="AAU26" s="161"/>
      <c r="AAV26" s="161"/>
      <c r="AAW26" s="161"/>
      <c r="AAX26" s="161"/>
      <c r="AAY26" s="161"/>
      <c r="AAZ26" s="161"/>
      <c r="ABA26" s="161"/>
      <c r="ABB26" s="161"/>
      <c r="ABC26" s="161"/>
      <c r="ABD26" s="161"/>
      <c r="ABE26" s="161"/>
      <c r="ABF26" s="161"/>
      <c r="ABG26" s="161"/>
      <c r="ABH26" s="161"/>
      <c r="ABI26" s="161"/>
      <c r="ABJ26" s="161"/>
      <c r="ABK26" s="161"/>
      <c r="ABL26" s="161"/>
      <c r="ABM26" s="161"/>
      <c r="ABN26" s="161"/>
      <c r="ABO26" s="161"/>
      <c r="ABP26" s="161"/>
      <c r="ABQ26" s="161"/>
      <c r="ABR26" s="161"/>
      <c r="ABS26" s="161"/>
      <c r="ABT26" s="161"/>
      <c r="ABU26" s="161"/>
      <c r="ABV26" s="161"/>
      <c r="ABW26" s="161"/>
      <c r="ABX26" s="161"/>
      <c r="ABY26" s="161"/>
      <c r="ABZ26" s="161"/>
      <c r="ACA26" s="161"/>
      <c r="ACB26" s="161"/>
      <c r="ACC26" s="161"/>
      <c r="ACD26" s="161"/>
      <c r="ACE26" s="161"/>
      <c r="ACF26" s="161"/>
      <c r="ACG26" s="161"/>
      <c r="ACH26" s="161"/>
      <c r="ACI26" s="161"/>
      <c r="ACJ26" s="161"/>
      <c r="ACK26" s="161"/>
      <c r="ACL26" s="161"/>
      <c r="ACM26" s="161"/>
      <c r="ACN26" s="161"/>
      <c r="ACO26" s="161"/>
      <c r="ACP26" s="161"/>
      <c r="ACQ26" s="161"/>
      <c r="ACR26" s="161"/>
      <c r="ACS26" s="161"/>
      <c r="ACT26" s="161"/>
      <c r="ACU26" s="161"/>
      <c r="ACV26" s="161"/>
      <c r="ACW26" s="161"/>
      <c r="ACX26" s="161"/>
      <c r="ACY26" s="161"/>
      <c r="ACZ26" s="161"/>
      <c r="ADA26" s="161"/>
      <c r="ADB26" s="161"/>
      <c r="ADC26" s="161"/>
      <c r="ADD26" s="161"/>
      <c r="ADE26" s="161"/>
      <c r="ADF26" s="161"/>
      <c r="ADG26" s="161"/>
      <c r="ADH26" s="161"/>
      <c r="ADI26" s="161"/>
      <c r="ADJ26" s="161"/>
      <c r="ADK26" s="161"/>
      <c r="ADL26" s="161"/>
      <c r="ADM26" s="161"/>
      <c r="ADN26" s="161"/>
      <c r="ADO26" s="161"/>
      <c r="ADP26" s="161"/>
      <c r="ADQ26" s="161"/>
      <c r="ADR26" s="161"/>
      <c r="ADS26" s="161"/>
      <c r="ADT26" s="161"/>
      <c r="ADU26" s="161"/>
      <c r="ADV26" s="161"/>
      <c r="ADW26" s="161"/>
      <c r="ADX26" s="161"/>
      <c r="ADY26" s="161"/>
      <c r="ADZ26" s="161"/>
      <c r="AEA26" s="161"/>
      <c r="AEB26" s="161"/>
      <c r="AEC26" s="161"/>
      <c r="AED26" s="161"/>
      <c r="AEE26" s="161"/>
      <c r="AEF26" s="161"/>
      <c r="AEG26" s="161"/>
      <c r="AEH26" s="161"/>
      <c r="AEI26" s="161"/>
      <c r="AEJ26" s="161"/>
      <c r="AEK26" s="161"/>
      <c r="AEL26" s="161"/>
      <c r="AEM26" s="161"/>
      <c r="AEN26" s="161"/>
      <c r="AEO26" s="161"/>
      <c r="AEP26" s="161"/>
      <c r="AEQ26" s="161"/>
      <c r="AER26" s="161"/>
      <c r="AES26" s="161"/>
      <c r="AET26" s="161"/>
      <c r="AEU26" s="161"/>
      <c r="AEV26" s="161"/>
      <c r="AEW26" s="161"/>
      <c r="AEX26" s="161"/>
      <c r="AEY26" s="161"/>
      <c r="AEZ26" s="161"/>
      <c r="AFA26" s="161"/>
      <c r="AFB26" s="161"/>
      <c r="AFC26" s="161"/>
      <c r="AFD26" s="161"/>
      <c r="AFE26" s="161"/>
      <c r="AFF26" s="161"/>
      <c r="AFG26" s="161"/>
      <c r="AFH26" s="161"/>
      <c r="AFI26" s="161"/>
      <c r="AFJ26" s="161"/>
      <c r="AFK26" s="161"/>
      <c r="AFL26" s="161"/>
      <c r="AFM26" s="161"/>
      <c r="AFN26" s="161"/>
      <c r="AFO26" s="161"/>
      <c r="AFP26" s="161"/>
      <c r="AFQ26" s="161"/>
      <c r="AFR26" s="161"/>
      <c r="AFS26" s="161"/>
      <c r="AFT26" s="161"/>
      <c r="AFU26" s="161"/>
      <c r="AFV26" s="161"/>
      <c r="AFW26" s="161"/>
      <c r="AFX26" s="161"/>
      <c r="AFY26" s="161"/>
      <c r="AFZ26" s="161"/>
      <c r="AGA26" s="161"/>
      <c r="AGB26" s="161"/>
      <c r="AGC26" s="161"/>
      <c r="AGD26" s="161"/>
      <c r="AGE26" s="161"/>
      <c r="AGF26" s="161"/>
      <c r="AGG26" s="161"/>
      <c r="AGH26" s="161"/>
      <c r="AGI26" s="161"/>
      <c r="AGJ26" s="161"/>
      <c r="AGK26" s="161"/>
      <c r="AGL26" s="161"/>
      <c r="AGM26" s="161"/>
      <c r="AGN26" s="161"/>
      <c r="AGO26" s="161"/>
      <c r="AGP26" s="161"/>
      <c r="AGQ26" s="161"/>
      <c r="AGR26" s="161"/>
      <c r="AGS26" s="161"/>
      <c r="AGT26" s="161"/>
      <c r="AGU26" s="161"/>
      <c r="AGV26" s="161"/>
      <c r="AGW26" s="161"/>
      <c r="AGX26" s="161"/>
      <c r="AGY26" s="161"/>
      <c r="AGZ26" s="161"/>
      <c r="AHA26" s="161"/>
      <c r="AHB26" s="161"/>
      <c r="AHC26" s="161"/>
      <c r="AHD26" s="161"/>
      <c r="AHE26" s="161"/>
      <c r="AHF26" s="161"/>
      <c r="AHG26" s="161"/>
      <c r="AHH26" s="161"/>
      <c r="AHI26" s="161"/>
      <c r="AHJ26" s="161"/>
      <c r="AHK26" s="161"/>
      <c r="AHL26" s="161"/>
      <c r="AHM26" s="161"/>
      <c r="AHN26" s="161"/>
      <c r="AHO26" s="161"/>
      <c r="AHP26" s="161"/>
      <c r="AHQ26" s="161"/>
      <c r="AHR26" s="161"/>
      <c r="AHS26" s="161"/>
      <c r="AHT26" s="161"/>
      <c r="AHU26" s="161"/>
      <c r="AHV26" s="161"/>
      <c r="AHW26" s="161"/>
      <c r="AHX26" s="161"/>
      <c r="AHY26" s="161"/>
      <c r="AHZ26" s="161"/>
      <c r="AIA26" s="161"/>
      <c r="AIB26" s="161"/>
      <c r="AIC26" s="161"/>
      <c r="AID26" s="161"/>
      <c r="AIE26" s="161"/>
      <c r="AIF26" s="161"/>
    </row>
    <row r="27" spans="1:916" s="21" customFormat="1" ht="12.75">
      <c r="B27" s="309" t="s">
        <v>112</v>
      </c>
      <c r="C27" s="174" t="s">
        <v>386</v>
      </c>
      <c r="D27" s="174"/>
      <c r="E27" s="324"/>
      <c r="F27" s="144">
        <f>'Com SEM {G}'!A$16</f>
        <v>2.9999999999999996</v>
      </c>
      <c r="G27" s="325" t="s">
        <v>452</v>
      </c>
      <c r="H27" s="258">
        <f>'Com SEM {G}'!A$10</f>
        <v>830954</v>
      </c>
      <c r="I27" s="259">
        <f>'Com SEM {G}'!A$8</f>
        <v>766385.58000000019</v>
      </c>
      <c r="J27" s="259">
        <f>'Com SEM {G}'!A$12</f>
        <v>143240</v>
      </c>
      <c r="K27" s="259">
        <f>'Com SEM {G}'!A$14</f>
        <v>94939</v>
      </c>
      <c r="L27" s="259">
        <f>SUM('Com SEM {G}'!Q$5:Q$1000)</f>
        <v>238179</v>
      </c>
      <c r="M27" s="259"/>
      <c r="N27" s="260">
        <f>'Com SEM {G}'!A$18</f>
        <v>1026378.5800000002</v>
      </c>
      <c r="O27" s="259">
        <f>'Com SEM {G}'!A$20</f>
        <v>1004564.5800000002</v>
      </c>
      <c r="P27" s="259">
        <f>SUM('Com SEM {G}'!R$5:R$1000)</f>
        <v>0</v>
      </c>
      <c r="Q27" s="261">
        <f t="shared" si="8"/>
        <v>959501.33682340849</v>
      </c>
      <c r="R27" s="261">
        <f t="shared" si="9"/>
        <v>939108.70337477804</v>
      </c>
      <c r="S27" s="259">
        <f>SUM('Com SEM {G}'!AM$5:AM$1000)</f>
        <v>2033227.4579301483</v>
      </c>
      <c r="T27" s="259">
        <f>SUM('Com SEM {G}'!AD$5:AD$1000)</f>
        <v>0</v>
      </c>
      <c r="U27" s="133">
        <f t="shared" si="10"/>
        <v>2.1190459876392582</v>
      </c>
      <c r="V27" s="133">
        <f t="shared" si="11"/>
        <v>2.3815669002809829</v>
      </c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  <c r="PJ27" s="161"/>
      <c r="PK27" s="161"/>
      <c r="PL27" s="161"/>
      <c r="PM27" s="161"/>
      <c r="PN27" s="161"/>
      <c r="PO27" s="161"/>
      <c r="PP27" s="161"/>
      <c r="PQ27" s="161"/>
      <c r="PR27" s="161"/>
      <c r="PS27" s="161"/>
      <c r="PT27" s="161"/>
      <c r="PU27" s="161"/>
      <c r="PV27" s="161"/>
      <c r="PW27" s="161"/>
      <c r="PX27" s="161"/>
      <c r="PY27" s="161"/>
      <c r="PZ27" s="161"/>
      <c r="QA27" s="161"/>
      <c r="QB27" s="161"/>
      <c r="QC27" s="161"/>
      <c r="QD27" s="161"/>
      <c r="QE27" s="161"/>
      <c r="QF27" s="161"/>
      <c r="QG27" s="161"/>
      <c r="QH27" s="161"/>
      <c r="QI27" s="161"/>
      <c r="QJ27" s="161"/>
      <c r="QK27" s="161"/>
      <c r="QL27" s="161"/>
      <c r="QM27" s="161"/>
      <c r="QN27" s="161"/>
      <c r="QO27" s="161"/>
      <c r="QP27" s="161"/>
      <c r="QQ27" s="161"/>
      <c r="QR27" s="161"/>
      <c r="QS27" s="161"/>
      <c r="QT27" s="161"/>
      <c r="QU27" s="161"/>
      <c r="QV27" s="161"/>
      <c r="QW27" s="161"/>
      <c r="QX27" s="161"/>
      <c r="QY27" s="161"/>
      <c r="QZ27" s="161"/>
      <c r="RA27" s="161"/>
      <c r="RB27" s="161"/>
      <c r="RC27" s="161"/>
      <c r="RD27" s="161"/>
      <c r="RE27" s="161"/>
      <c r="RF27" s="161"/>
      <c r="RG27" s="161"/>
      <c r="RH27" s="161"/>
      <c r="RI27" s="161"/>
      <c r="RJ27" s="161"/>
      <c r="RK27" s="161"/>
      <c r="RL27" s="161"/>
      <c r="RM27" s="161"/>
      <c r="RN27" s="161"/>
      <c r="RO27" s="161"/>
      <c r="RP27" s="161"/>
      <c r="RQ27" s="161"/>
      <c r="RR27" s="161"/>
      <c r="RS27" s="161"/>
      <c r="RT27" s="161"/>
      <c r="RU27" s="161"/>
      <c r="RV27" s="161"/>
      <c r="RW27" s="161"/>
      <c r="RX27" s="161"/>
      <c r="RY27" s="161"/>
      <c r="RZ27" s="161"/>
      <c r="SA27" s="161"/>
      <c r="SB27" s="161"/>
      <c r="SC27" s="161"/>
      <c r="SD27" s="161"/>
      <c r="SE27" s="161"/>
      <c r="SF27" s="161"/>
      <c r="SG27" s="161"/>
      <c r="SH27" s="161"/>
      <c r="SI27" s="161"/>
      <c r="SJ27" s="161"/>
      <c r="SK27" s="161"/>
      <c r="SL27" s="161"/>
      <c r="SM27" s="161"/>
      <c r="SN27" s="161"/>
      <c r="SO27" s="161"/>
      <c r="SP27" s="161"/>
      <c r="SQ27" s="161"/>
      <c r="SR27" s="161"/>
      <c r="SS27" s="161"/>
      <c r="ST27" s="161"/>
      <c r="SU27" s="161"/>
      <c r="SV27" s="161"/>
      <c r="SW27" s="161"/>
      <c r="SX27" s="161"/>
      <c r="SY27" s="161"/>
      <c r="SZ27" s="161"/>
      <c r="TA27" s="161"/>
      <c r="TB27" s="161"/>
      <c r="TC27" s="161"/>
      <c r="TD27" s="161"/>
      <c r="TE27" s="161"/>
      <c r="TF27" s="161"/>
      <c r="TG27" s="161"/>
      <c r="TH27" s="161"/>
      <c r="TI27" s="161"/>
      <c r="TJ27" s="161"/>
      <c r="TK27" s="161"/>
      <c r="TL27" s="161"/>
      <c r="TM27" s="161"/>
      <c r="TN27" s="161"/>
      <c r="TO27" s="161"/>
      <c r="TP27" s="161"/>
      <c r="TQ27" s="161"/>
      <c r="TR27" s="161"/>
      <c r="TS27" s="161"/>
      <c r="TT27" s="161"/>
      <c r="TU27" s="161"/>
      <c r="TV27" s="161"/>
      <c r="TW27" s="161"/>
      <c r="TX27" s="161"/>
      <c r="TY27" s="161"/>
      <c r="TZ27" s="161"/>
      <c r="UA27" s="161"/>
      <c r="UB27" s="161"/>
      <c r="UC27" s="161"/>
      <c r="UD27" s="161"/>
      <c r="UE27" s="161"/>
      <c r="UF27" s="161"/>
      <c r="UG27" s="161"/>
      <c r="UH27" s="161"/>
      <c r="UI27" s="161"/>
      <c r="UJ27" s="161"/>
      <c r="UK27" s="161"/>
      <c r="UL27" s="161"/>
      <c r="UM27" s="161"/>
      <c r="UN27" s="161"/>
      <c r="UO27" s="161"/>
      <c r="UP27" s="161"/>
      <c r="UQ27" s="161"/>
      <c r="UR27" s="161"/>
      <c r="US27" s="161"/>
      <c r="UT27" s="161"/>
      <c r="UU27" s="161"/>
      <c r="UV27" s="161"/>
      <c r="UW27" s="161"/>
      <c r="UX27" s="161"/>
      <c r="UY27" s="161"/>
      <c r="UZ27" s="161"/>
      <c r="VA27" s="161"/>
      <c r="VB27" s="161"/>
      <c r="VC27" s="161"/>
      <c r="VD27" s="161"/>
      <c r="VE27" s="161"/>
      <c r="VF27" s="161"/>
      <c r="VG27" s="161"/>
      <c r="VH27" s="161"/>
      <c r="VI27" s="161"/>
      <c r="VJ27" s="161"/>
      <c r="VK27" s="161"/>
      <c r="VL27" s="161"/>
      <c r="VM27" s="161"/>
      <c r="VN27" s="161"/>
      <c r="VO27" s="161"/>
      <c r="VP27" s="161"/>
      <c r="VQ27" s="161"/>
      <c r="VR27" s="161"/>
      <c r="VS27" s="161"/>
      <c r="VT27" s="161"/>
      <c r="VU27" s="161"/>
      <c r="VV27" s="161"/>
      <c r="VW27" s="161"/>
      <c r="VX27" s="161"/>
      <c r="VY27" s="161"/>
      <c r="VZ27" s="161"/>
      <c r="WA27" s="161"/>
      <c r="WB27" s="161"/>
      <c r="WC27" s="161"/>
      <c r="WD27" s="161"/>
      <c r="WE27" s="161"/>
      <c r="WF27" s="161"/>
      <c r="WG27" s="161"/>
      <c r="WH27" s="161"/>
      <c r="WI27" s="161"/>
      <c r="WJ27" s="161"/>
      <c r="WK27" s="161"/>
      <c r="WL27" s="161"/>
      <c r="WM27" s="161"/>
      <c r="WN27" s="161"/>
      <c r="WO27" s="161"/>
      <c r="WP27" s="161"/>
      <c r="WQ27" s="161"/>
      <c r="WR27" s="161"/>
      <c r="WS27" s="161"/>
      <c r="WT27" s="161"/>
      <c r="WU27" s="161"/>
      <c r="WV27" s="161"/>
      <c r="WW27" s="161"/>
      <c r="WX27" s="161"/>
      <c r="WY27" s="161"/>
      <c r="WZ27" s="161"/>
      <c r="XA27" s="161"/>
      <c r="XB27" s="161"/>
      <c r="XC27" s="161"/>
      <c r="XD27" s="161"/>
      <c r="XE27" s="161"/>
      <c r="XF27" s="161"/>
      <c r="XG27" s="161"/>
      <c r="XH27" s="161"/>
      <c r="XI27" s="161"/>
      <c r="XJ27" s="161"/>
      <c r="XK27" s="161"/>
      <c r="XL27" s="161"/>
      <c r="XM27" s="161"/>
      <c r="XN27" s="161"/>
      <c r="XO27" s="161"/>
      <c r="XP27" s="161"/>
      <c r="XQ27" s="161"/>
      <c r="XR27" s="161"/>
      <c r="XS27" s="161"/>
      <c r="XT27" s="161"/>
      <c r="XU27" s="161"/>
      <c r="XV27" s="161"/>
      <c r="XW27" s="161"/>
      <c r="XX27" s="161"/>
      <c r="XY27" s="161"/>
      <c r="XZ27" s="161"/>
      <c r="YA27" s="161"/>
      <c r="YB27" s="161"/>
      <c r="YC27" s="161"/>
      <c r="YD27" s="161"/>
      <c r="YE27" s="161"/>
      <c r="YF27" s="161"/>
      <c r="YG27" s="161"/>
      <c r="YH27" s="161"/>
      <c r="YI27" s="161"/>
      <c r="YJ27" s="161"/>
      <c r="YK27" s="161"/>
      <c r="YL27" s="161"/>
      <c r="YM27" s="161"/>
      <c r="YN27" s="161"/>
      <c r="YO27" s="161"/>
      <c r="YP27" s="161"/>
      <c r="YQ27" s="161"/>
      <c r="YR27" s="161"/>
      <c r="YS27" s="161"/>
      <c r="YT27" s="161"/>
      <c r="YU27" s="161"/>
      <c r="YV27" s="161"/>
      <c r="YW27" s="161"/>
      <c r="YX27" s="161"/>
      <c r="YY27" s="161"/>
      <c r="YZ27" s="161"/>
      <c r="ZA27" s="161"/>
      <c r="ZB27" s="161"/>
      <c r="ZC27" s="161"/>
      <c r="ZD27" s="161"/>
      <c r="ZE27" s="161"/>
      <c r="ZF27" s="161"/>
      <c r="ZG27" s="161"/>
      <c r="ZH27" s="161"/>
      <c r="ZI27" s="161"/>
      <c r="ZJ27" s="161"/>
      <c r="ZK27" s="161"/>
      <c r="ZL27" s="161"/>
      <c r="ZM27" s="161"/>
      <c r="ZN27" s="161"/>
      <c r="ZO27" s="161"/>
      <c r="ZP27" s="161"/>
      <c r="ZQ27" s="161"/>
      <c r="ZR27" s="161"/>
      <c r="ZS27" s="161"/>
      <c r="ZT27" s="161"/>
      <c r="ZU27" s="161"/>
      <c r="ZV27" s="161"/>
      <c r="ZW27" s="161"/>
      <c r="ZX27" s="161"/>
      <c r="ZY27" s="161"/>
      <c r="ZZ27" s="161"/>
      <c r="AAA27" s="161"/>
      <c r="AAB27" s="161"/>
      <c r="AAC27" s="161"/>
      <c r="AAD27" s="161"/>
      <c r="AAE27" s="161"/>
      <c r="AAF27" s="161"/>
      <c r="AAG27" s="161"/>
      <c r="AAH27" s="161"/>
      <c r="AAI27" s="161"/>
      <c r="AAJ27" s="161"/>
      <c r="AAK27" s="161"/>
      <c r="AAL27" s="161"/>
      <c r="AAM27" s="161"/>
      <c r="AAN27" s="161"/>
      <c r="AAO27" s="161"/>
      <c r="AAP27" s="161"/>
      <c r="AAQ27" s="161"/>
      <c r="AAR27" s="161"/>
      <c r="AAS27" s="161"/>
      <c r="AAT27" s="161"/>
      <c r="AAU27" s="161"/>
      <c r="AAV27" s="161"/>
      <c r="AAW27" s="161"/>
      <c r="AAX27" s="161"/>
      <c r="AAY27" s="161"/>
      <c r="AAZ27" s="161"/>
      <c r="ABA27" s="161"/>
      <c r="ABB27" s="161"/>
      <c r="ABC27" s="161"/>
      <c r="ABD27" s="161"/>
      <c r="ABE27" s="161"/>
      <c r="ABF27" s="161"/>
      <c r="ABG27" s="161"/>
      <c r="ABH27" s="161"/>
      <c r="ABI27" s="161"/>
      <c r="ABJ27" s="161"/>
      <c r="ABK27" s="161"/>
      <c r="ABL27" s="161"/>
      <c r="ABM27" s="161"/>
      <c r="ABN27" s="161"/>
      <c r="ABO27" s="161"/>
      <c r="ABP27" s="161"/>
      <c r="ABQ27" s="161"/>
      <c r="ABR27" s="161"/>
      <c r="ABS27" s="161"/>
      <c r="ABT27" s="161"/>
      <c r="ABU27" s="161"/>
      <c r="ABV27" s="161"/>
      <c r="ABW27" s="161"/>
      <c r="ABX27" s="161"/>
      <c r="ABY27" s="161"/>
      <c r="ABZ27" s="161"/>
      <c r="ACA27" s="161"/>
      <c r="ACB27" s="161"/>
      <c r="ACC27" s="161"/>
      <c r="ACD27" s="161"/>
      <c r="ACE27" s="161"/>
      <c r="ACF27" s="161"/>
      <c r="ACG27" s="161"/>
      <c r="ACH27" s="161"/>
      <c r="ACI27" s="161"/>
      <c r="ACJ27" s="161"/>
      <c r="ACK27" s="161"/>
      <c r="ACL27" s="161"/>
      <c r="ACM27" s="161"/>
      <c r="ACN27" s="161"/>
      <c r="ACO27" s="161"/>
      <c r="ACP27" s="161"/>
      <c r="ACQ27" s="161"/>
      <c r="ACR27" s="161"/>
      <c r="ACS27" s="161"/>
      <c r="ACT27" s="161"/>
      <c r="ACU27" s="161"/>
      <c r="ACV27" s="161"/>
      <c r="ACW27" s="161"/>
      <c r="ACX27" s="161"/>
      <c r="ACY27" s="161"/>
      <c r="ACZ27" s="161"/>
      <c r="ADA27" s="161"/>
      <c r="ADB27" s="161"/>
      <c r="ADC27" s="161"/>
      <c r="ADD27" s="161"/>
      <c r="ADE27" s="161"/>
      <c r="ADF27" s="161"/>
      <c r="ADG27" s="161"/>
      <c r="ADH27" s="161"/>
      <c r="ADI27" s="161"/>
      <c r="ADJ27" s="161"/>
      <c r="ADK27" s="161"/>
      <c r="ADL27" s="161"/>
      <c r="ADM27" s="161"/>
      <c r="ADN27" s="161"/>
      <c r="ADO27" s="161"/>
      <c r="ADP27" s="161"/>
      <c r="ADQ27" s="161"/>
      <c r="ADR27" s="161"/>
      <c r="ADS27" s="161"/>
      <c r="ADT27" s="161"/>
      <c r="ADU27" s="161"/>
      <c r="ADV27" s="161"/>
      <c r="ADW27" s="161"/>
      <c r="ADX27" s="161"/>
      <c r="ADY27" s="161"/>
      <c r="ADZ27" s="161"/>
      <c r="AEA27" s="161"/>
      <c r="AEB27" s="161"/>
      <c r="AEC27" s="161"/>
      <c r="AED27" s="161"/>
      <c r="AEE27" s="161"/>
      <c r="AEF27" s="161"/>
      <c r="AEG27" s="161"/>
      <c r="AEH27" s="161"/>
      <c r="AEI27" s="161"/>
      <c r="AEJ27" s="161"/>
      <c r="AEK27" s="161"/>
      <c r="AEL27" s="161"/>
      <c r="AEM27" s="161"/>
      <c r="AEN27" s="161"/>
      <c r="AEO27" s="161"/>
      <c r="AEP27" s="161"/>
      <c r="AEQ27" s="161"/>
      <c r="AER27" s="161"/>
      <c r="AES27" s="161"/>
      <c r="AET27" s="161"/>
      <c r="AEU27" s="161"/>
      <c r="AEV27" s="161"/>
      <c r="AEW27" s="161"/>
      <c r="AEX27" s="161"/>
      <c r="AEY27" s="161"/>
      <c r="AEZ27" s="161"/>
      <c r="AFA27" s="161"/>
      <c r="AFB27" s="161"/>
      <c r="AFC27" s="161"/>
      <c r="AFD27" s="161"/>
      <c r="AFE27" s="161"/>
      <c r="AFF27" s="161"/>
      <c r="AFG27" s="161"/>
      <c r="AFH27" s="161"/>
      <c r="AFI27" s="161"/>
      <c r="AFJ27" s="161"/>
      <c r="AFK27" s="161"/>
      <c r="AFL27" s="161"/>
      <c r="AFM27" s="161"/>
      <c r="AFN27" s="161"/>
      <c r="AFO27" s="161"/>
      <c r="AFP27" s="161"/>
      <c r="AFQ27" s="161"/>
      <c r="AFR27" s="161"/>
      <c r="AFS27" s="161"/>
      <c r="AFT27" s="161"/>
      <c r="AFU27" s="161"/>
      <c r="AFV27" s="161"/>
      <c r="AFW27" s="161"/>
      <c r="AFX27" s="161"/>
      <c r="AFY27" s="161"/>
      <c r="AFZ27" s="161"/>
      <c r="AGA27" s="161"/>
      <c r="AGB27" s="161"/>
      <c r="AGC27" s="161"/>
      <c r="AGD27" s="161"/>
      <c r="AGE27" s="161"/>
      <c r="AGF27" s="161"/>
      <c r="AGG27" s="161"/>
      <c r="AGH27" s="161"/>
      <c r="AGI27" s="161"/>
      <c r="AGJ27" s="161"/>
      <c r="AGK27" s="161"/>
      <c r="AGL27" s="161"/>
      <c r="AGM27" s="161"/>
      <c r="AGN27" s="161"/>
      <c r="AGO27" s="161"/>
      <c r="AGP27" s="161"/>
      <c r="AGQ27" s="161"/>
      <c r="AGR27" s="161"/>
      <c r="AGS27" s="161"/>
      <c r="AGT27" s="161"/>
      <c r="AGU27" s="161"/>
      <c r="AGV27" s="161"/>
      <c r="AGW27" s="161"/>
      <c r="AGX27" s="161"/>
      <c r="AGY27" s="161"/>
      <c r="AGZ27" s="161"/>
      <c r="AHA27" s="161"/>
      <c r="AHB27" s="161"/>
      <c r="AHC27" s="161"/>
      <c r="AHD27" s="161"/>
      <c r="AHE27" s="161"/>
      <c r="AHF27" s="161"/>
      <c r="AHG27" s="161"/>
      <c r="AHH27" s="161"/>
      <c r="AHI27" s="161"/>
      <c r="AHJ27" s="161"/>
      <c r="AHK27" s="161"/>
      <c r="AHL27" s="161"/>
      <c r="AHM27" s="161"/>
      <c r="AHN27" s="161"/>
      <c r="AHO27" s="161"/>
      <c r="AHP27" s="161"/>
      <c r="AHQ27" s="161"/>
      <c r="AHR27" s="161"/>
      <c r="AHS27" s="161"/>
      <c r="AHT27" s="161"/>
      <c r="AHU27" s="161"/>
      <c r="AHV27" s="161"/>
      <c r="AHW27" s="161"/>
      <c r="AHX27" s="161"/>
      <c r="AHY27" s="161"/>
      <c r="AHZ27" s="161"/>
      <c r="AIA27" s="161"/>
      <c r="AIB27" s="161"/>
      <c r="AIC27" s="161"/>
      <c r="AID27" s="161"/>
      <c r="AIE27" s="161"/>
      <c r="AIF27" s="161"/>
    </row>
    <row r="28" spans="1:916" s="21" customFormat="1">
      <c r="B28" s="313" t="s">
        <v>112</v>
      </c>
      <c r="C28" s="174" t="s">
        <v>387</v>
      </c>
      <c r="D28" s="174"/>
      <c r="E28" s="324"/>
      <c r="F28" s="144">
        <f>IFERROR('P4P {G}'!A$16,0)</f>
        <v>0</v>
      </c>
      <c r="G28" s="325" t="s">
        <v>452</v>
      </c>
      <c r="H28" s="258">
        <f>'P4P {G}'!A$10</f>
        <v>0</v>
      </c>
      <c r="I28" s="259">
        <f>'P4P {G}'!A$8</f>
        <v>2854.83</v>
      </c>
      <c r="J28" s="259">
        <f>'P4P {G}'!A$12</f>
        <v>0</v>
      </c>
      <c r="K28" s="259">
        <f>'P4P {G}'!A$14</f>
        <v>0</v>
      </c>
      <c r="L28" s="259">
        <f>SUM('P4P {G}'!Q$5:Q$1000)</f>
        <v>0</v>
      </c>
      <c r="M28" s="259"/>
      <c r="N28" s="260">
        <f>'P4P {G}'!A$18</f>
        <v>2854.83</v>
      </c>
      <c r="O28" s="259">
        <f>'P4P {G}'!A$20</f>
        <v>2854.83</v>
      </c>
      <c r="P28" s="259">
        <f>SUM('P4P {G}'!R$5:R$1000)</f>
        <v>0</v>
      </c>
      <c r="Q28" s="261">
        <f t="shared" si="8"/>
        <v>2668.8136860802092</v>
      </c>
      <c r="R28" s="261">
        <f t="shared" si="9"/>
        <v>2668.8136860802092</v>
      </c>
      <c r="S28" s="259">
        <f>SUM('P4P {G}'!AM$5:AM$1000)</f>
        <v>0</v>
      </c>
      <c r="T28" s="259">
        <f>SUM('P4P {G}'!AD$5:AD$1000)</f>
        <v>0</v>
      </c>
      <c r="U28" s="133">
        <f t="shared" si="10"/>
        <v>0</v>
      </c>
      <c r="V28" s="133">
        <f t="shared" si="11"/>
        <v>0</v>
      </c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  <c r="PJ28" s="161"/>
      <c r="PK28" s="161"/>
      <c r="PL28" s="161"/>
      <c r="PM28" s="161"/>
      <c r="PN28" s="161"/>
      <c r="PO28" s="161"/>
      <c r="PP28" s="161"/>
      <c r="PQ28" s="161"/>
      <c r="PR28" s="161"/>
      <c r="PS28" s="161"/>
      <c r="PT28" s="161"/>
      <c r="PU28" s="161"/>
      <c r="PV28" s="161"/>
      <c r="PW28" s="161"/>
      <c r="PX28" s="161"/>
      <c r="PY28" s="161"/>
      <c r="PZ28" s="161"/>
      <c r="QA28" s="161"/>
      <c r="QB28" s="161"/>
      <c r="QC28" s="161"/>
      <c r="QD28" s="161"/>
      <c r="QE28" s="161"/>
      <c r="QF28" s="161"/>
      <c r="QG28" s="161"/>
      <c r="QH28" s="161"/>
      <c r="QI28" s="161"/>
      <c r="QJ28" s="161"/>
      <c r="QK28" s="161"/>
      <c r="QL28" s="161"/>
      <c r="QM28" s="161"/>
      <c r="QN28" s="161"/>
      <c r="QO28" s="161"/>
      <c r="QP28" s="161"/>
      <c r="QQ28" s="161"/>
      <c r="QR28" s="161"/>
      <c r="QS28" s="161"/>
      <c r="QT28" s="161"/>
      <c r="QU28" s="161"/>
      <c r="QV28" s="161"/>
      <c r="QW28" s="161"/>
      <c r="QX28" s="161"/>
      <c r="QY28" s="161"/>
      <c r="QZ28" s="161"/>
      <c r="RA28" s="161"/>
      <c r="RB28" s="161"/>
      <c r="RC28" s="161"/>
      <c r="RD28" s="161"/>
      <c r="RE28" s="161"/>
      <c r="RF28" s="161"/>
      <c r="RG28" s="161"/>
      <c r="RH28" s="161"/>
      <c r="RI28" s="161"/>
      <c r="RJ28" s="161"/>
      <c r="RK28" s="161"/>
      <c r="RL28" s="161"/>
      <c r="RM28" s="161"/>
      <c r="RN28" s="161"/>
      <c r="RO28" s="161"/>
      <c r="RP28" s="161"/>
      <c r="RQ28" s="161"/>
      <c r="RR28" s="161"/>
      <c r="RS28" s="161"/>
      <c r="RT28" s="161"/>
      <c r="RU28" s="161"/>
      <c r="RV28" s="161"/>
      <c r="RW28" s="161"/>
      <c r="RX28" s="161"/>
      <c r="RY28" s="161"/>
      <c r="RZ28" s="161"/>
      <c r="SA28" s="161"/>
      <c r="SB28" s="161"/>
      <c r="SC28" s="161"/>
      <c r="SD28" s="161"/>
      <c r="SE28" s="161"/>
      <c r="SF28" s="161"/>
      <c r="SG28" s="161"/>
      <c r="SH28" s="161"/>
      <c r="SI28" s="161"/>
      <c r="SJ28" s="161"/>
      <c r="SK28" s="161"/>
      <c r="SL28" s="161"/>
      <c r="SM28" s="161"/>
      <c r="SN28" s="161"/>
      <c r="SO28" s="161"/>
      <c r="SP28" s="161"/>
      <c r="SQ28" s="161"/>
      <c r="SR28" s="161"/>
      <c r="SS28" s="161"/>
      <c r="ST28" s="161"/>
      <c r="SU28" s="161"/>
      <c r="SV28" s="161"/>
      <c r="SW28" s="161"/>
      <c r="SX28" s="161"/>
      <c r="SY28" s="161"/>
      <c r="SZ28" s="161"/>
      <c r="TA28" s="161"/>
      <c r="TB28" s="161"/>
      <c r="TC28" s="161"/>
      <c r="TD28" s="161"/>
      <c r="TE28" s="161"/>
      <c r="TF28" s="161"/>
      <c r="TG28" s="161"/>
      <c r="TH28" s="161"/>
      <c r="TI28" s="161"/>
      <c r="TJ28" s="161"/>
      <c r="TK28" s="161"/>
      <c r="TL28" s="161"/>
      <c r="TM28" s="161"/>
      <c r="TN28" s="161"/>
      <c r="TO28" s="161"/>
      <c r="TP28" s="161"/>
      <c r="TQ28" s="161"/>
      <c r="TR28" s="161"/>
      <c r="TS28" s="161"/>
      <c r="TT28" s="161"/>
      <c r="TU28" s="161"/>
      <c r="TV28" s="161"/>
      <c r="TW28" s="161"/>
      <c r="TX28" s="161"/>
      <c r="TY28" s="161"/>
      <c r="TZ28" s="161"/>
      <c r="UA28" s="161"/>
      <c r="UB28" s="161"/>
      <c r="UC28" s="161"/>
      <c r="UD28" s="161"/>
      <c r="UE28" s="161"/>
      <c r="UF28" s="161"/>
      <c r="UG28" s="161"/>
      <c r="UH28" s="161"/>
      <c r="UI28" s="161"/>
      <c r="UJ28" s="161"/>
      <c r="UK28" s="161"/>
      <c r="UL28" s="161"/>
      <c r="UM28" s="161"/>
      <c r="UN28" s="161"/>
      <c r="UO28" s="161"/>
      <c r="UP28" s="161"/>
      <c r="UQ28" s="161"/>
      <c r="UR28" s="161"/>
      <c r="US28" s="161"/>
      <c r="UT28" s="161"/>
      <c r="UU28" s="161"/>
      <c r="UV28" s="161"/>
      <c r="UW28" s="161"/>
      <c r="UX28" s="161"/>
      <c r="UY28" s="161"/>
      <c r="UZ28" s="161"/>
      <c r="VA28" s="161"/>
      <c r="VB28" s="161"/>
      <c r="VC28" s="161"/>
      <c r="VD28" s="161"/>
      <c r="VE28" s="161"/>
      <c r="VF28" s="161"/>
      <c r="VG28" s="161"/>
      <c r="VH28" s="161"/>
      <c r="VI28" s="161"/>
      <c r="VJ28" s="161"/>
      <c r="VK28" s="161"/>
      <c r="VL28" s="161"/>
      <c r="VM28" s="161"/>
      <c r="VN28" s="161"/>
      <c r="VO28" s="161"/>
      <c r="VP28" s="161"/>
      <c r="VQ28" s="161"/>
      <c r="VR28" s="161"/>
      <c r="VS28" s="161"/>
      <c r="VT28" s="161"/>
      <c r="VU28" s="161"/>
      <c r="VV28" s="161"/>
      <c r="VW28" s="161"/>
      <c r="VX28" s="161"/>
      <c r="VY28" s="161"/>
      <c r="VZ28" s="161"/>
      <c r="WA28" s="161"/>
      <c r="WB28" s="161"/>
      <c r="WC28" s="161"/>
      <c r="WD28" s="161"/>
      <c r="WE28" s="161"/>
      <c r="WF28" s="161"/>
      <c r="WG28" s="161"/>
      <c r="WH28" s="161"/>
      <c r="WI28" s="161"/>
      <c r="WJ28" s="161"/>
      <c r="WK28" s="161"/>
      <c r="WL28" s="161"/>
      <c r="WM28" s="161"/>
      <c r="WN28" s="161"/>
      <c r="WO28" s="161"/>
      <c r="WP28" s="161"/>
      <c r="WQ28" s="161"/>
      <c r="WR28" s="161"/>
      <c r="WS28" s="161"/>
      <c r="WT28" s="161"/>
      <c r="WU28" s="161"/>
      <c r="WV28" s="161"/>
      <c r="WW28" s="161"/>
      <c r="WX28" s="161"/>
      <c r="WY28" s="161"/>
      <c r="WZ28" s="161"/>
      <c r="XA28" s="161"/>
      <c r="XB28" s="161"/>
      <c r="XC28" s="161"/>
      <c r="XD28" s="161"/>
      <c r="XE28" s="161"/>
      <c r="XF28" s="161"/>
      <c r="XG28" s="161"/>
      <c r="XH28" s="161"/>
      <c r="XI28" s="161"/>
      <c r="XJ28" s="161"/>
      <c r="XK28" s="161"/>
      <c r="XL28" s="161"/>
      <c r="XM28" s="161"/>
      <c r="XN28" s="161"/>
      <c r="XO28" s="161"/>
      <c r="XP28" s="161"/>
      <c r="XQ28" s="161"/>
      <c r="XR28" s="161"/>
      <c r="XS28" s="161"/>
      <c r="XT28" s="161"/>
      <c r="XU28" s="161"/>
      <c r="XV28" s="161"/>
      <c r="XW28" s="161"/>
      <c r="XX28" s="161"/>
      <c r="XY28" s="161"/>
      <c r="XZ28" s="161"/>
      <c r="YA28" s="161"/>
      <c r="YB28" s="161"/>
      <c r="YC28" s="161"/>
      <c r="YD28" s="161"/>
      <c r="YE28" s="161"/>
      <c r="YF28" s="161"/>
      <c r="YG28" s="161"/>
      <c r="YH28" s="161"/>
      <c r="YI28" s="161"/>
      <c r="YJ28" s="161"/>
      <c r="YK28" s="161"/>
      <c r="YL28" s="161"/>
      <c r="YM28" s="161"/>
      <c r="YN28" s="161"/>
      <c r="YO28" s="161"/>
      <c r="YP28" s="161"/>
      <c r="YQ28" s="161"/>
      <c r="YR28" s="161"/>
      <c r="YS28" s="161"/>
      <c r="YT28" s="161"/>
      <c r="YU28" s="161"/>
      <c r="YV28" s="161"/>
      <c r="YW28" s="161"/>
      <c r="YX28" s="161"/>
      <c r="YY28" s="161"/>
      <c r="YZ28" s="161"/>
      <c r="ZA28" s="161"/>
      <c r="ZB28" s="161"/>
      <c r="ZC28" s="161"/>
      <c r="ZD28" s="161"/>
      <c r="ZE28" s="161"/>
      <c r="ZF28" s="161"/>
      <c r="ZG28" s="161"/>
      <c r="ZH28" s="161"/>
      <c r="ZI28" s="161"/>
      <c r="ZJ28" s="161"/>
      <c r="ZK28" s="161"/>
      <c r="ZL28" s="161"/>
      <c r="ZM28" s="161"/>
      <c r="ZN28" s="161"/>
      <c r="ZO28" s="161"/>
      <c r="ZP28" s="161"/>
      <c r="ZQ28" s="161"/>
      <c r="ZR28" s="161"/>
      <c r="ZS28" s="161"/>
      <c r="ZT28" s="161"/>
      <c r="ZU28" s="161"/>
      <c r="ZV28" s="161"/>
      <c r="ZW28" s="161"/>
      <c r="ZX28" s="161"/>
      <c r="ZY28" s="161"/>
      <c r="ZZ28" s="161"/>
      <c r="AAA28" s="161"/>
      <c r="AAB28" s="161"/>
      <c r="AAC28" s="161"/>
      <c r="AAD28" s="161"/>
      <c r="AAE28" s="161"/>
      <c r="AAF28" s="161"/>
      <c r="AAG28" s="161"/>
      <c r="AAH28" s="161"/>
      <c r="AAI28" s="161"/>
      <c r="AAJ28" s="161"/>
      <c r="AAK28" s="161"/>
      <c r="AAL28" s="161"/>
      <c r="AAM28" s="161"/>
      <c r="AAN28" s="161"/>
      <c r="AAO28" s="161"/>
      <c r="AAP28" s="161"/>
      <c r="AAQ28" s="161"/>
      <c r="AAR28" s="161"/>
      <c r="AAS28" s="161"/>
      <c r="AAT28" s="161"/>
      <c r="AAU28" s="161"/>
      <c r="AAV28" s="161"/>
      <c r="AAW28" s="161"/>
      <c r="AAX28" s="161"/>
      <c r="AAY28" s="161"/>
      <c r="AAZ28" s="161"/>
      <c r="ABA28" s="161"/>
      <c r="ABB28" s="161"/>
      <c r="ABC28" s="161"/>
      <c r="ABD28" s="161"/>
      <c r="ABE28" s="161"/>
      <c r="ABF28" s="161"/>
      <c r="ABG28" s="161"/>
      <c r="ABH28" s="161"/>
      <c r="ABI28" s="161"/>
      <c r="ABJ28" s="161"/>
      <c r="ABK28" s="161"/>
      <c r="ABL28" s="161"/>
      <c r="ABM28" s="161"/>
      <c r="ABN28" s="161"/>
      <c r="ABO28" s="161"/>
      <c r="ABP28" s="161"/>
      <c r="ABQ28" s="161"/>
      <c r="ABR28" s="161"/>
      <c r="ABS28" s="161"/>
      <c r="ABT28" s="161"/>
      <c r="ABU28" s="161"/>
      <c r="ABV28" s="161"/>
      <c r="ABW28" s="161"/>
      <c r="ABX28" s="161"/>
      <c r="ABY28" s="161"/>
      <c r="ABZ28" s="161"/>
      <c r="ACA28" s="161"/>
      <c r="ACB28" s="161"/>
      <c r="ACC28" s="161"/>
      <c r="ACD28" s="161"/>
      <c r="ACE28" s="161"/>
      <c r="ACF28" s="161"/>
      <c r="ACG28" s="161"/>
      <c r="ACH28" s="161"/>
      <c r="ACI28" s="161"/>
      <c r="ACJ28" s="161"/>
      <c r="ACK28" s="161"/>
      <c r="ACL28" s="161"/>
      <c r="ACM28" s="161"/>
      <c r="ACN28" s="161"/>
      <c r="ACO28" s="161"/>
      <c r="ACP28" s="161"/>
      <c r="ACQ28" s="161"/>
      <c r="ACR28" s="161"/>
      <c r="ACS28" s="161"/>
      <c r="ACT28" s="161"/>
      <c r="ACU28" s="161"/>
      <c r="ACV28" s="161"/>
      <c r="ACW28" s="161"/>
      <c r="ACX28" s="161"/>
      <c r="ACY28" s="161"/>
      <c r="ACZ28" s="161"/>
      <c r="ADA28" s="161"/>
      <c r="ADB28" s="161"/>
      <c r="ADC28" s="161"/>
      <c r="ADD28" s="161"/>
      <c r="ADE28" s="161"/>
      <c r="ADF28" s="161"/>
      <c r="ADG28" s="161"/>
      <c r="ADH28" s="161"/>
      <c r="ADI28" s="161"/>
      <c r="ADJ28" s="161"/>
      <c r="ADK28" s="161"/>
      <c r="ADL28" s="161"/>
      <c r="ADM28" s="161"/>
      <c r="ADN28" s="161"/>
      <c r="ADO28" s="161"/>
      <c r="ADP28" s="161"/>
      <c r="ADQ28" s="161"/>
      <c r="ADR28" s="161"/>
      <c r="ADS28" s="161"/>
      <c r="ADT28" s="161"/>
      <c r="ADU28" s="161"/>
      <c r="ADV28" s="161"/>
      <c r="ADW28" s="161"/>
      <c r="ADX28" s="161"/>
      <c r="ADY28" s="161"/>
      <c r="ADZ28" s="161"/>
      <c r="AEA28" s="161"/>
      <c r="AEB28" s="161"/>
      <c r="AEC28" s="161"/>
      <c r="AED28" s="161"/>
      <c r="AEE28" s="161"/>
      <c r="AEF28" s="161"/>
      <c r="AEG28" s="161"/>
      <c r="AEH28" s="161"/>
      <c r="AEI28" s="161"/>
      <c r="AEJ28" s="161"/>
      <c r="AEK28" s="161"/>
      <c r="AEL28" s="161"/>
      <c r="AEM28" s="161"/>
      <c r="AEN28" s="161"/>
      <c r="AEO28" s="161"/>
      <c r="AEP28" s="161"/>
      <c r="AEQ28" s="161"/>
      <c r="AER28" s="161"/>
      <c r="AES28" s="161"/>
      <c r="AET28" s="161"/>
      <c r="AEU28" s="161"/>
      <c r="AEV28" s="161"/>
      <c r="AEW28" s="161"/>
      <c r="AEX28" s="161"/>
      <c r="AEY28" s="161"/>
      <c r="AEZ28" s="161"/>
      <c r="AFA28" s="161"/>
      <c r="AFB28" s="161"/>
      <c r="AFC28" s="161"/>
      <c r="AFD28" s="161"/>
      <c r="AFE28" s="161"/>
      <c r="AFF28" s="161"/>
      <c r="AFG28" s="161"/>
      <c r="AFH28" s="161"/>
      <c r="AFI28" s="161"/>
      <c r="AFJ28" s="161"/>
      <c r="AFK28" s="161"/>
      <c r="AFL28" s="161"/>
      <c r="AFM28" s="161"/>
      <c r="AFN28" s="161"/>
      <c r="AFO28" s="161"/>
      <c r="AFP28" s="161"/>
      <c r="AFQ28" s="161"/>
      <c r="AFR28" s="161"/>
      <c r="AFS28" s="161"/>
      <c r="AFT28" s="161"/>
      <c r="AFU28" s="161"/>
      <c r="AFV28" s="161"/>
      <c r="AFW28" s="161"/>
      <c r="AFX28" s="161"/>
      <c r="AFY28" s="161"/>
      <c r="AFZ28" s="161"/>
      <c r="AGA28" s="161"/>
      <c r="AGB28" s="161"/>
      <c r="AGC28" s="161"/>
      <c r="AGD28" s="161"/>
      <c r="AGE28" s="161"/>
      <c r="AGF28" s="161"/>
      <c r="AGG28" s="161"/>
      <c r="AGH28" s="161"/>
      <c r="AGI28" s="161"/>
      <c r="AGJ28" s="161"/>
      <c r="AGK28" s="161"/>
      <c r="AGL28" s="161"/>
      <c r="AGM28" s="161"/>
      <c r="AGN28" s="161"/>
      <c r="AGO28" s="161"/>
      <c r="AGP28" s="161"/>
      <c r="AGQ28" s="161"/>
      <c r="AGR28" s="161"/>
      <c r="AGS28" s="161"/>
      <c r="AGT28" s="161"/>
      <c r="AGU28" s="161"/>
      <c r="AGV28" s="161"/>
      <c r="AGW28" s="161"/>
      <c r="AGX28" s="161"/>
      <c r="AGY28" s="161"/>
      <c r="AGZ28" s="161"/>
      <c r="AHA28" s="161"/>
      <c r="AHB28" s="161"/>
      <c r="AHC28" s="161"/>
      <c r="AHD28" s="161"/>
      <c r="AHE28" s="161"/>
      <c r="AHF28" s="161"/>
      <c r="AHG28" s="161"/>
      <c r="AHH28" s="161"/>
      <c r="AHI28" s="161"/>
      <c r="AHJ28" s="161"/>
      <c r="AHK28" s="161"/>
      <c r="AHL28" s="161"/>
      <c r="AHM28" s="161"/>
      <c r="AHN28" s="161"/>
      <c r="AHO28" s="161"/>
      <c r="AHP28" s="161"/>
      <c r="AHQ28" s="161"/>
      <c r="AHR28" s="161"/>
      <c r="AHS28" s="161"/>
      <c r="AHT28" s="161"/>
      <c r="AHU28" s="161"/>
      <c r="AHV28" s="161"/>
      <c r="AHW28" s="161"/>
      <c r="AHX28" s="161"/>
      <c r="AHY28" s="161"/>
      <c r="AHZ28" s="161"/>
      <c r="AIA28" s="161"/>
      <c r="AIB28" s="161"/>
      <c r="AIC28" s="161"/>
      <c r="AID28" s="161"/>
      <c r="AIE28" s="161"/>
      <c r="AIF28" s="161"/>
    </row>
    <row r="29" spans="1:916" s="21" customFormat="1">
      <c r="B29" s="305" t="s">
        <v>31</v>
      </c>
      <c r="C29" s="503" t="s">
        <v>453</v>
      </c>
      <c r="D29" s="306"/>
      <c r="E29" s="326"/>
      <c r="F29" s="305"/>
      <c r="G29" s="305"/>
      <c r="H29" s="327">
        <f>SUM(H30:H33)</f>
        <v>1298846.7000000002</v>
      </c>
      <c r="I29" s="328">
        <f>SUM(I30:I33)</f>
        <v>1557540.9500000004</v>
      </c>
      <c r="J29" s="305">
        <f>SUM(J30:J33)</f>
        <v>2070437.3699999999</v>
      </c>
      <c r="K29" s="327">
        <f>SUM(K30:K33)</f>
        <v>735619.82999999891</v>
      </c>
      <c r="L29" s="327">
        <f>SUM(L30:L33)</f>
        <v>2806057.1999999988</v>
      </c>
      <c r="M29" s="305"/>
      <c r="N29" s="327">
        <f t="shared" ref="N29:T29" si="12">SUM(N30:N33)</f>
        <v>5311744.7800000012</v>
      </c>
      <c r="O29" s="305">
        <f t="shared" si="12"/>
        <v>4363598.1499999985</v>
      </c>
      <c r="P29" s="330">
        <f>SUM(P30:P33)</f>
        <v>75889.59</v>
      </c>
      <c r="Q29" s="329">
        <f t="shared" si="12"/>
        <v>4965639.693371973</v>
      </c>
      <c r="R29" s="329">
        <f t="shared" si="12"/>
        <v>4079272.8335047192</v>
      </c>
      <c r="S29" s="305">
        <f t="shared" si="12"/>
        <v>10450345.247365423</v>
      </c>
      <c r="T29" s="330">
        <f t="shared" si="12"/>
        <v>4526507.7925468897</v>
      </c>
      <c r="U29" s="505">
        <f>S29/Q29</f>
        <v>2.1045315191342446</v>
      </c>
      <c r="V29" s="505">
        <f>(S29*1.1+T29)/R29</f>
        <v>3.9276332372413552</v>
      </c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  <c r="PJ29" s="161"/>
      <c r="PK29" s="161"/>
      <c r="PL29" s="161"/>
      <c r="PM29" s="161"/>
      <c r="PN29" s="161"/>
      <c r="PO29" s="161"/>
      <c r="PP29" s="161"/>
      <c r="PQ29" s="161"/>
      <c r="PR29" s="161"/>
      <c r="PS29" s="161"/>
      <c r="PT29" s="161"/>
      <c r="PU29" s="161"/>
      <c r="PV29" s="161"/>
      <c r="PW29" s="161"/>
      <c r="PX29" s="161"/>
      <c r="PY29" s="161"/>
      <c r="PZ29" s="161"/>
      <c r="QA29" s="161"/>
      <c r="QB29" s="161"/>
      <c r="QC29" s="161"/>
      <c r="QD29" s="161"/>
      <c r="QE29" s="161"/>
      <c r="QF29" s="161"/>
      <c r="QG29" s="161"/>
      <c r="QH29" s="161"/>
      <c r="QI29" s="161"/>
      <c r="QJ29" s="161"/>
      <c r="QK29" s="161"/>
      <c r="QL29" s="161"/>
      <c r="QM29" s="161"/>
      <c r="QN29" s="161"/>
      <c r="QO29" s="161"/>
      <c r="QP29" s="161"/>
      <c r="QQ29" s="161"/>
      <c r="QR29" s="161"/>
      <c r="QS29" s="161"/>
      <c r="QT29" s="161"/>
      <c r="QU29" s="161"/>
      <c r="QV29" s="161"/>
      <c r="QW29" s="161"/>
      <c r="QX29" s="161"/>
      <c r="QY29" s="161"/>
      <c r="QZ29" s="161"/>
      <c r="RA29" s="161"/>
      <c r="RB29" s="161"/>
      <c r="RC29" s="161"/>
      <c r="RD29" s="161"/>
      <c r="RE29" s="161"/>
      <c r="RF29" s="161"/>
      <c r="RG29" s="161"/>
      <c r="RH29" s="161"/>
      <c r="RI29" s="161"/>
      <c r="RJ29" s="161"/>
      <c r="RK29" s="161"/>
      <c r="RL29" s="161"/>
      <c r="RM29" s="161"/>
      <c r="RN29" s="161"/>
      <c r="RO29" s="161"/>
      <c r="RP29" s="161"/>
      <c r="RQ29" s="161"/>
      <c r="RR29" s="161"/>
      <c r="RS29" s="161"/>
      <c r="RT29" s="161"/>
      <c r="RU29" s="161"/>
      <c r="RV29" s="161"/>
      <c r="RW29" s="161"/>
      <c r="RX29" s="161"/>
      <c r="RY29" s="161"/>
      <c r="RZ29" s="161"/>
      <c r="SA29" s="161"/>
      <c r="SB29" s="161"/>
      <c r="SC29" s="161"/>
      <c r="SD29" s="161"/>
      <c r="SE29" s="161"/>
      <c r="SF29" s="161"/>
      <c r="SG29" s="161"/>
      <c r="SH29" s="161"/>
      <c r="SI29" s="161"/>
      <c r="SJ29" s="161"/>
      <c r="SK29" s="161"/>
      <c r="SL29" s="161"/>
      <c r="SM29" s="161"/>
      <c r="SN29" s="161"/>
      <c r="SO29" s="161"/>
      <c r="SP29" s="161"/>
      <c r="SQ29" s="161"/>
      <c r="SR29" s="161"/>
      <c r="SS29" s="161"/>
      <c r="ST29" s="161"/>
      <c r="SU29" s="161"/>
      <c r="SV29" s="161"/>
      <c r="SW29" s="161"/>
      <c r="SX29" s="161"/>
      <c r="SY29" s="161"/>
      <c r="SZ29" s="161"/>
      <c r="TA29" s="161"/>
      <c r="TB29" s="161"/>
      <c r="TC29" s="161"/>
      <c r="TD29" s="161"/>
      <c r="TE29" s="161"/>
      <c r="TF29" s="161"/>
      <c r="TG29" s="161"/>
      <c r="TH29" s="161"/>
      <c r="TI29" s="161"/>
      <c r="TJ29" s="161"/>
      <c r="TK29" s="161"/>
      <c r="TL29" s="161"/>
      <c r="TM29" s="161"/>
      <c r="TN29" s="161"/>
      <c r="TO29" s="161"/>
      <c r="TP29" s="161"/>
      <c r="TQ29" s="161"/>
      <c r="TR29" s="161"/>
      <c r="TS29" s="161"/>
      <c r="TT29" s="161"/>
      <c r="TU29" s="161"/>
      <c r="TV29" s="161"/>
      <c r="TW29" s="161"/>
      <c r="TX29" s="161"/>
      <c r="TY29" s="161"/>
      <c r="TZ29" s="161"/>
      <c r="UA29" s="161"/>
      <c r="UB29" s="161"/>
      <c r="UC29" s="161"/>
      <c r="UD29" s="161"/>
      <c r="UE29" s="161"/>
      <c r="UF29" s="161"/>
      <c r="UG29" s="161"/>
      <c r="UH29" s="161"/>
      <c r="UI29" s="161"/>
      <c r="UJ29" s="161"/>
      <c r="UK29" s="161"/>
      <c r="UL29" s="161"/>
      <c r="UM29" s="161"/>
      <c r="UN29" s="161"/>
      <c r="UO29" s="161"/>
      <c r="UP29" s="161"/>
      <c r="UQ29" s="161"/>
      <c r="UR29" s="161"/>
      <c r="US29" s="161"/>
      <c r="UT29" s="161"/>
      <c r="UU29" s="161"/>
      <c r="UV29" s="161"/>
      <c r="UW29" s="161"/>
      <c r="UX29" s="161"/>
      <c r="UY29" s="161"/>
      <c r="UZ29" s="161"/>
      <c r="VA29" s="161"/>
      <c r="VB29" s="161"/>
      <c r="VC29" s="161"/>
      <c r="VD29" s="161"/>
      <c r="VE29" s="161"/>
      <c r="VF29" s="161"/>
      <c r="VG29" s="161"/>
      <c r="VH29" s="161"/>
      <c r="VI29" s="161"/>
      <c r="VJ29" s="161"/>
      <c r="VK29" s="161"/>
      <c r="VL29" s="161"/>
      <c r="VM29" s="161"/>
      <c r="VN29" s="161"/>
      <c r="VO29" s="161"/>
      <c r="VP29" s="161"/>
      <c r="VQ29" s="161"/>
      <c r="VR29" s="161"/>
      <c r="VS29" s="161"/>
      <c r="VT29" s="161"/>
      <c r="VU29" s="161"/>
      <c r="VV29" s="161"/>
      <c r="VW29" s="161"/>
      <c r="VX29" s="161"/>
      <c r="VY29" s="161"/>
      <c r="VZ29" s="161"/>
      <c r="WA29" s="161"/>
      <c r="WB29" s="161"/>
      <c r="WC29" s="161"/>
      <c r="WD29" s="161"/>
      <c r="WE29" s="161"/>
      <c r="WF29" s="161"/>
      <c r="WG29" s="161"/>
      <c r="WH29" s="161"/>
      <c r="WI29" s="161"/>
      <c r="WJ29" s="161"/>
      <c r="WK29" s="161"/>
      <c r="WL29" s="161"/>
      <c r="WM29" s="161"/>
      <c r="WN29" s="161"/>
      <c r="WO29" s="161"/>
      <c r="WP29" s="161"/>
      <c r="WQ29" s="161"/>
      <c r="WR29" s="161"/>
      <c r="WS29" s="161"/>
      <c r="WT29" s="161"/>
      <c r="WU29" s="161"/>
      <c r="WV29" s="161"/>
      <c r="WW29" s="161"/>
      <c r="WX29" s="161"/>
      <c r="WY29" s="161"/>
      <c r="WZ29" s="161"/>
      <c r="XA29" s="161"/>
      <c r="XB29" s="161"/>
      <c r="XC29" s="161"/>
      <c r="XD29" s="161"/>
      <c r="XE29" s="161"/>
      <c r="XF29" s="161"/>
      <c r="XG29" s="161"/>
      <c r="XH29" s="161"/>
      <c r="XI29" s="161"/>
      <c r="XJ29" s="161"/>
      <c r="XK29" s="161"/>
      <c r="XL29" s="161"/>
      <c r="XM29" s="161"/>
      <c r="XN29" s="161"/>
      <c r="XO29" s="161"/>
      <c r="XP29" s="161"/>
      <c r="XQ29" s="161"/>
      <c r="XR29" s="161"/>
      <c r="XS29" s="161"/>
      <c r="XT29" s="161"/>
      <c r="XU29" s="161"/>
      <c r="XV29" s="161"/>
      <c r="XW29" s="161"/>
      <c r="XX29" s="161"/>
      <c r="XY29" s="161"/>
      <c r="XZ29" s="161"/>
      <c r="YA29" s="161"/>
      <c r="YB29" s="161"/>
      <c r="YC29" s="161"/>
      <c r="YD29" s="161"/>
      <c r="YE29" s="161"/>
      <c r="YF29" s="161"/>
      <c r="YG29" s="161"/>
      <c r="YH29" s="161"/>
      <c r="YI29" s="161"/>
      <c r="YJ29" s="161"/>
      <c r="YK29" s="161"/>
      <c r="YL29" s="161"/>
      <c r="YM29" s="161"/>
      <c r="YN29" s="161"/>
      <c r="YO29" s="161"/>
      <c r="YP29" s="161"/>
      <c r="YQ29" s="161"/>
      <c r="YR29" s="161"/>
      <c r="YS29" s="161"/>
      <c r="YT29" s="161"/>
      <c r="YU29" s="161"/>
      <c r="YV29" s="161"/>
      <c r="YW29" s="161"/>
      <c r="YX29" s="161"/>
      <c r="YY29" s="161"/>
      <c r="YZ29" s="161"/>
      <c r="ZA29" s="161"/>
      <c r="ZB29" s="161"/>
      <c r="ZC29" s="161"/>
      <c r="ZD29" s="161"/>
      <c r="ZE29" s="161"/>
      <c r="ZF29" s="161"/>
      <c r="ZG29" s="161"/>
      <c r="ZH29" s="161"/>
      <c r="ZI29" s="161"/>
      <c r="ZJ29" s="161"/>
      <c r="ZK29" s="161"/>
      <c r="ZL29" s="161"/>
      <c r="ZM29" s="161"/>
      <c r="ZN29" s="161"/>
      <c r="ZO29" s="161"/>
      <c r="ZP29" s="161"/>
      <c r="ZQ29" s="161"/>
      <c r="ZR29" s="161"/>
      <c r="ZS29" s="161"/>
      <c r="ZT29" s="161"/>
      <c r="ZU29" s="161"/>
      <c r="ZV29" s="161"/>
      <c r="ZW29" s="161"/>
      <c r="ZX29" s="161"/>
      <c r="ZY29" s="161"/>
      <c r="ZZ29" s="161"/>
      <c r="AAA29" s="161"/>
      <c r="AAB29" s="161"/>
      <c r="AAC29" s="161"/>
      <c r="AAD29" s="161"/>
      <c r="AAE29" s="161"/>
      <c r="AAF29" s="161"/>
      <c r="AAG29" s="161"/>
      <c r="AAH29" s="161"/>
      <c r="AAI29" s="161"/>
      <c r="AAJ29" s="161"/>
      <c r="AAK29" s="161"/>
      <c r="AAL29" s="161"/>
      <c r="AAM29" s="161"/>
      <c r="AAN29" s="161"/>
      <c r="AAO29" s="161"/>
      <c r="AAP29" s="161"/>
      <c r="AAQ29" s="161"/>
      <c r="AAR29" s="161"/>
      <c r="AAS29" s="161"/>
      <c r="AAT29" s="161"/>
      <c r="AAU29" s="161"/>
      <c r="AAV29" s="161"/>
      <c r="AAW29" s="161"/>
      <c r="AAX29" s="161"/>
      <c r="AAY29" s="161"/>
      <c r="AAZ29" s="161"/>
      <c r="ABA29" s="161"/>
      <c r="ABB29" s="161"/>
      <c r="ABC29" s="161"/>
      <c r="ABD29" s="161"/>
      <c r="ABE29" s="161"/>
      <c r="ABF29" s="161"/>
      <c r="ABG29" s="161"/>
      <c r="ABH29" s="161"/>
      <c r="ABI29" s="161"/>
      <c r="ABJ29" s="161"/>
      <c r="ABK29" s="161"/>
      <c r="ABL29" s="161"/>
      <c r="ABM29" s="161"/>
      <c r="ABN29" s="161"/>
      <c r="ABO29" s="161"/>
      <c r="ABP29" s="161"/>
      <c r="ABQ29" s="161"/>
      <c r="ABR29" s="161"/>
      <c r="ABS29" s="161"/>
      <c r="ABT29" s="161"/>
      <c r="ABU29" s="161"/>
      <c r="ABV29" s="161"/>
      <c r="ABW29" s="161"/>
      <c r="ABX29" s="161"/>
      <c r="ABY29" s="161"/>
      <c r="ABZ29" s="161"/>
      <c r="ACA29" s="161"/>
      <c r="ACB29" s="161"/>
      <c r="ACC29" s="161"/>
      <c r="ACD29" s="161"/>
      <c r="ACE29" s="161"/>
      <c r="ACF29" s="161"/>
      <c r="ACG29" s="161"/>
      <c r="ACH29" s="161"/>
      <c r="ACI29" s="161"/>
      <c r="ACJ29" s="161"/>
      <c r="ACK29" s="161"/>
      <c r="ACL29" s="161"/>
      <c r="ACM29" s="161"/>
      <c r="ACN29" s="161"/>
      <c r="ACO29" s="161"/>
      <c r="ACP29" s="161"/>
      <c r="ACQ29" s="161"/>
      <c r="ACR29" s="161"/>
      <c r="ACS29" s="161"/>
      <c r="ACT29" s="161"/>
      <c r="ACU29" s="161"/>
      <c r="ACV29" s="161"/>
      <c r="ACW29" s="161"/>
      <c r="ACX29" s="161"/>
      <c r="ACY29" s="161"/>
      <c r="ACZ29" s="161"/>
      <c r="ADA29" s="161"/>
      <c r="ADB29" s="161"/>
      <c r="ADC29" s="161"/>
      <c r="ADD29" s="161"/>
      <c r="ADE29" s="161"/>
      <c r="ADF29" s="161"/>
      <c r="ADG29" s="161"/>
      <c r="ADH29" s="161"/>
      <c r="ADI29" s="161"/>
      <c r="ADJ29" s="161"/>
      <c r="ADK29" s="161"/>
      <c r="ADL29" s="161"/>
      <c r="ADM29" s="161"/>
      <c r="ADN29" s="161"/>
      <c r="ADO29" s="161"/>
      <c r="ADP29" s="161"/>
      <c r="ADQ29" s="161"/>
      <c r="ADR29" s="161"/>
      <c r="ADS29" s="161"/>
      <c r="ADT29" s="161"/>
      <c r="ADU29" s="161"/>
      <c r="ADV29" s="161"/>
      <c r="ADW29" s="161"/>
      <c r="ADX29" s="161"/>
      <c r="ADY29" s="161"/>
      <c r="ADZ29" s="161"/>
      <c r="AEA29" s="161"/>
      <c r="AEB29" s="161"/>
      <c r="AEC29" s="161"/>
      <c r="AED29" s="161"/>
      <c r="AEE29" s="161"/>
      <c r="AEF29" s="161"/>
      <c r="AEG29" s="161"/>
      <c r="AEH29" s="161"/>
      <c r="AEI29" s="161"/>
      <c r="AEJ29" s="161"/>
      <c r="AEK29" s="161"/>
      <c r="AEL29" s="161"/>
      <c r="AEM29" s="161"/>
      <c r="AEN29" s="161"/>
      <c r="AEO29" s="161"/>
      <c r="AEP29" s="161"/>
      <c r="AEQ29" s="161"/>
      <c r="AER29" s="161"/>
      <c r="AES29" s="161"/>
      <c r="AET29" s="161"/>
      <c r="AEU29" s="161"/>
      <c r="AEV29" s="161"/>
      <c r="AEW29" s="161"/>
      <c r="AEX29" s="161"/>
      <c r="AEY29" s="161"/>
      <c r="AEZ29" s="161"/>
      <c r="AFA29" s="161"/>
      <c r="AFB29" s="161"/>
      <c r="AFC29" s="161"/>
      <c r="AFD29" s="161"/>
      <c r="AFE29" s="161"/>
      <c r="AFF29" s="161"/>
      <c r="AFG29" s="161"/>
      <c r="AFH29" s="161"/>
      <c r="AFI29" s="161"/>
      <c r="AFJ29" s="161"/>
      <c r="AFK29" s="161"/>
      <c r="AFL29" s="161"/>
      <c r="AFM29" s="161"/>
      <c r="AFN29" s="161"/>
      <c r="AFO29" s="161"/>
      <c r="AFP29" s="161"/>
      <c r="AFQ29" s="161"/>
      <c r="AFR29" s="161"/>
      <c r="AFS29" s="161"/>
      <c r="AFT29" s="161"/>
      <c r="AFU29" s="161"/>
      <c r="AFV29" s="161"/>
      <c r="AFW29" s="161"/>
      <c r="AFX29" s="161"/>
      <c r="AFY29" s="161"/>
      <c r="AFZ29" s="161"/>
      <c r="AGA29" s="161"/>
      <c r="AGB29" s="161"/>
      <c r="AGC29" s="161"/>
      <c r="AGD29" s="161"/>
      <c r="AGE29" s="161"/>
      <c r="AGF29" s="161"/>
      <c r="AGG29" s="161"/>
      <c r="AGH29" s="161"/>
      <c r="AGI29" s="161"/>
      <c r="AGJ29" s="161"/>
      <c r="AGK29" s="161"/>
      <c r="AGL29" s="161"/>
      <c r="AGM29" s="161"/>
      <c r="AGN29" s="161"/>
      <c r="AGO29" s="161"/>
      <c r="AGP29" s="161"/>
      <c r="AGQ29" s="161"/>
      <c r="AGR29" s="161"/>
      <c r="AGS29" s="161"/>
      <c r="AGT29" s="161"/>
      <c r="AGU29" s="161"/>
      <c r="AGV29" s="161"/>
      <c r="AGW29" s="161"/>
      <c r="AGX29" s="161"/>
      <c r="AGY29" s="161"/>
      <c r="AGZ29" s="161"/>
      <c r="AHA29" s="161"/>
      <c r="AHB29" s="161"/>
      <c r="AHC29" s="161"/>
      <c r="AHD29" s="161"/>
      <c r="AHE29" s="161"/>
      <c r="AHF29" s="161"/>
      <c r="AHG29" s="161"/>
      <c r="AHH29" s="161"/>
      <c r="AHI29" s="161"/>
      <c r="AHJ29" s="161"/>
      <c r="AHK29" s="161"/>
      <c r="AHL29" s="161"/>
      <c r="AHM29" s="161"/>
      <c r="AHN29" s="161"/>
      <c r="AHO29" s="161"/>
      <c r="AHP29" s="161"/>
      <c r="AHQ29" s="161"/>
      <c r="AHR29" s="161"/>
      <c r="AHS29" s="161"/>
      <c r="AHT29" s="161"/>
      <c r="AHU29" s="161"/>
      <c r="AHV29" s="161"/>
      <c r="AHW29" s="161"/>
      <c r="AHX29" s="161"/>
      <c r="AHY29" s="161"/>
      <c r="AHZ29" s="161"/>
      <c r="AIA29" s="161"/>
      <c r="AIB29" s="161"/>
      <c r="AIC29" s="161"/>
      <c r="AID29" s="161"/>
      <c r="AIE29" s="161"/>
      <c r="AIF29" s="161"/>
    </row>
    <row r="30" spans="1:916" s="21" customFormat="1" ht="13.5" customHeight="1">
      <c r="A30" s="331"/>
      <c r="B30" s="309" t="s">
        <v>31</v>
      </c>
      <c r="C30" s="146" t="s">
        <v>454</v>
      </c>
      <c r="D30" s="146"/>
      <c r="E30" s="324"/>
      <c r="F30" s="144">
        <f>'Commercial Kitchen Laundry {G}'!A$16</f>
        <v>12.10154126566708</v>
      </c>
      <c r="G30" s="325" t="s">
        <v>452</v>
      </c>
      <c r="H30" s="258">
        <f>'Commercial Kitchen Laundry {G}'!A$10</f>
        <v>232053.44</v>
      </c>
      <c r="I30" s="259">
        <f>'Commercial Kitchen Laundry {G}'!A$8</f>
        <v>774722.0900000002</v>
      </c>
      <c r="J30" s="259">
        <f>'Commercial Kitchen Laundry {G}'!A$12</f>
        <v>515935</v>
      </c>
      <c r="K30" s="259">
        <f>'Commercial Kitchen Laundry {G}'!A$14</f>
        <v>37184.379999999997</v>
      </c>
      <c r="L30" s="259">
        <f>SUM('Commercial Kitchen Laundry {G}'!Q$5:Q$999)</f>
        <v>553119.38</v>
      </c>
      <c r="M30" s="259"/>
      <c r="N30" s="260">
        <f>'Commercial Kitchen Laundry {G}'!A$18</f>
        <v>1549528.2000000002</v>
      </c>
      <c r="O30" s="259">
        <f>'Commercial Kitchen Laundry {G}'!A$20</f>
        <v>1327841.4700000002</v>
      </c>
      <c r="P30" s="259">
        <f>SUM('Commercial Kitchen Laundry {G}'!R$5:R$999)</f>
        <v>75756.899999999994</v>
      </c>
      <c r="Q30" s="261">
        <f t="shared" ref="Q30:R33" si="13">N30/(1+ElecDiscountRate)^1</f>
        <v>1448563.3355146304</v>
      </c>
      <c r="R30" s="261">
        <f t="shared" si="13"/>
        <v>1241321.3704777041</v>
      </c>
      <c r="S30" s="259">
        <f>SUM('Commercial Kitchen Laundry {G}'!AM$5:AM$999)</f>
        <v>1946495.534593967</v>
      </c>
      <c r="T30" s="259">
        <f>SUM('Commercial Kitchen Laundry {G}'!AD$5:AD$999)</f>
        <v>4519041.7701335885</v>
      </c>
      <c r="U30" s="133">
        <f>IFERROR(S30/Q30,0)</f>
        <v>1.3437420973398009</v>
      </c>
      <c r="V30" s="133">
        <f>IFERROR(((S30*1.1)+(T30))/R30,0)</f>
        <v>5.3654009482039919</v>
      </c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  <c r="PJ30" s="161"/>
      <c r="PK30" s="161"/>
      <c r="PL30" s="161"/>
      <c r="PM30" s="161"/>
      <c r="PN30" s="161"/>
      <c r="PO30" s="161"/>
      <c r="PP30" s="161"/>
      <c r="PQ30" s="161"/>
      <c r="PR30" s="161"/>
      <c r="PS30" s="161"/>
      <c r="PT30" s="161"/>
      <c r="PU30" s="161"/>
      <c r="PV30" s="161"/>
      <c r="PW30" s="161"/>
      <c r="PX30" s="161"/>
      <c r="PY30" s="161"/>
      <c r="PZ30" s="161"/>
      <c r="QA30" s="161"/>
      <c r="QB30" s="161"/>
      <c r="QC30" s="161"/>
      <c r="QD30" s="161"/>
      <c r="QE30" s="161"/>
      <c r="QF30" s="161"/>
      <c r="QG30" s="161"/>
      <c r="QH30" s="161"/>
      <c r="QI30" s="161"/>
      <c r="QJ30" s="161"/>
      <c r="QK30" s="161"/>
      <c r="QL30" s="161"/>
      <c r="QM30" s="161"/>
      <c r="QN30" s="161"/>
      <c r="QO30" s="161"/>
      <c r="QP30" s="161"/>
      <c r="QQ30" s="161"/>
      <c r="QR30" s="161"/>
      <c r="QS30" s="161"/>
      <c r="QT30" s="161"/>
      <c r="QU30" s="161"/>
      <c r="QV30" s="161"/>
      <c r="QW30" s="161"/>
      <c r="QX30" s="161"/>
      <c r="QY30" s="161"/>
      <c r="QZ30" s="161"/>
      <c r="RA30" s="161"/>
      <c r="RB30" s="161"/>
      <c r="RC30" s="161"/>
      <c r="RD30" s="161"/>
      <c r="RE30" s="161"/>
      <c r="RF30" s="161"/>
      <c r="RG30" s="161"/>
      <c r="RH30" s="161"/>
      <c r="RI30" s="161"/>
      <c r="RJ30" s="161"/>
      <c r="RK30" s="161"/>
      <c r="RL30" s="161"/>
      <c r="RM30" s="161"/>
      <c r="RN30" s="161"/>
      <c r="RO30" s="161"/>
      <c r="RP30" s="161"/>
      <c r="RQ30" s="161"/>
      <c r="RR30" s="161"/>
      <c r="RS30" s="161"/>
      <c r="RT30" s="161"/>
      <c r="RU30" s="161"/>
      <c r="RV30" s="161"/>
      <c r="RW30" s="161"/>
      <c r="RX30" s="161"/>
      <c r="RY30" s="161"/>
      <c r="RZ30" s="161"/>
      <c r="SA30" s="161"/>
      <c r="SB30" s="161"/>
      <c r="SC30" s="161"/>
      <c r="SD30" s="161"/>
      <c r="SE30" s="161"/>
      <c r="SF30" s="161"/>
      <c r="SG30" s="161"/>
      <c r="SH30" s="161"/>
      <c r="SI30" s="161"/>
      <c r="SJ30" s="161"/>
      <c r="SK30" s="161"/>
      <c r="SL30" s="161"/>
      <c r="SM30" s="161"/>
      <c r="SN30" s="161"/>
      <c r="SO30" s="161"/>
      <c r="SP30" s="161"/>
      <c r="SQ30" s="161"/>
      <c r="SR30" s="161"/>
      <c r="SS30" s="161"/>
      <c r="ST30" s="161"/>
      <c r="SU30" s="161"/>
      <c r="SV30" s="161"/>
      <c r="SW30" s="161"/>
      <c r="SX30" s="161"/>
      <c r="SY30" s="161"/>
      <c r="SZ30" s="161"/>
      <c r="TA30" s="161"/>
      <c r="TB30" s="161"/>
      <c r="TC30" s="161"/>
      <c r="TD30" s="161"/>
      <c r="TE30" s="161"/>
      <c r="TF30" s="161"/>
      <c r="TG30" s="161"/>
      <c r="TH30" s="161"/>
      <c r="TI30" s="161"/>
      <c r="TJ30" s="161"/>
      <c r="TK30" s="161"/>
      <c r="TL30" s="161"/>
      <c r="TM30" s="161"/>
      <c r="TN30" s="161"/>
      <c r="TO30" s="161"/>
      <c r="TP30" s="161"/>
      <c r="TQ30" s="161"/>
      <c r="TR30" s="161"/>
      <c r="TS30" s="161"/>
      <c r="TT30" s="161"/>
      <c r="TU30" s="161"/>
      <c r="TV30" s="161"/>
      <c r="TW30" s="161"/>
      <c r="TX30" s="161"/>
      <c r="TY30" s="161"/>
      <c r="TZ30" s="161"/>
      <c r="UA30" s="161"/>
      <c r="UB30" s="161"/>
      <c r="UC30" s="161"/>
      <c r="UD30" s="161"/>
      <c r="UE30" s="161"/>
      <c r="UF30" s="161"/>
      <c r="UG30" s="161"/>
      <c r="UH30" s="161"/>
      <c r="UI30" s="161"/>
      <c r="UJ30" s="161"/>
      <c r="UK30" s="161"/>
      <c r="UL30" s="161"/>
      <c r="UM30" s="161"/>
      <c r="UN30" s="161"/>
      <c r="UO30" s="161"/>
      <c r="UP30" s="161"/>
      <c r="UQ30" s="161"/>
      <c r="UR30" s="161"/>
      <c r="US30" s="161"/>
      <c r="UT30" s="161"/>
      <c r="UU30" s="161"/>
      <c r="UV30" s="161"/>
      <c r="UW30" s="161"/>
      <c r="UX30" s="161"/>
      <c r="UY30" s="161"/>
      <c r="UZ30" s="161"/>
      <c r="VA30" s="161"/>
      <c r="VB30" s="161"/>
      <c r="VC30" s="161"/>
      <c r="VD30" s="161"/>
      <c r="VE30" s="161"/>
      <c r="VF30" s="161"/>
      <c r="VG30" s="161"/>
      <c r="VH30" s="161"/>
      <c r="VI30" s="161"/>
      <c r="VJ30" s="161"/>
      <c r="VK30" s="161"/>
      <c r="VL30" s="161"/>
      <c r="VM30" s="161"/>
      <c r="VN30" s="161"/>
      <c r="VO30" s="161"/>
      <c r="VP30" s="161"/>
      <c r="VQ30" s="161"/>
      <c r="VR30" s="161"/>
      <c r="VS30" s="161"/>
      <c r="VT30" s="161"/>
      <c r="VU30" s="161"/>
      <c r="VV30" s="161"/>
      <c r="VW30" s="161"/>
      <c r="VX30" s="161"/>
      <c r="VY30" s="161"/>
      <c r="VZ30" s="161"/>
      <c r="WA30" s="161"/>
      <c r="WB30" s="161"/>
      <c r="WC30" s="161"/>
      <c r="WD30" s="161"/>
      <c r="WE30" s="161"/>
      <c r="WF30" s="161"/>
      <c r="WG30" s="161"/>
      <c r="WH30" s="161"/>
      <c r="WI30" s="161"/>
      <c r="WJ30" s="161"/>
      <c r="WK30" s="161"/>
      <c r="WL30" s="161"/>
      <c r="WM30" s="161"/>
      <c r="WN30" s="161"/>
      <c r="WO30" s="161"/>
      <c r="WP30" s="161"/>
      <c r="WQ30" s="161"/>
      <c r="WR30" s="161"/>
      <c r="WS30" s="161"/>
      <c r="WT30" s="161"/>
      <c r="WU30" s="161"/>
      <c r="WV30" s="161"/>
      <c r="WW30" s="161"/>
      <c r="WX30" s="161"/>
      <c r="WY30" s="161"/>
      <c r="WZ30" s="161"/>
      <c r="XA30" s="161"/>
      <c r="XB30" s="161"/>
      <c r="XC30" s="161"/>
      <c r="XD30" s="161"/>
      <c r="XE30" s="161"/>
      <c r="XF30" s="161"/>
      <c r="XG30" s="161"/>
      <c r="XH30" s="161"/>
      <c r="XI30" s="161"/>
      <c r="XJ30" s="161"/>
      <c r="XK30" s="161"/>
      <c r="XL30" s="161"/>
      <c r="XM30" s="161"/>
      <c r="XN30" s="161"/>
      <c r="XO30" s="161"/>
      <c r="XP30" s="161"/>
      <c r="XQ30" s="161"/>
      <c r="XR30" s="161"/>
      <c r="XS30" s="161"/>
      <c r="XT30" s="161"/>
      <c r="XU30" s="161"/>
      <c r="XV30" s="161"/>
      <c r="XW30" s="161"/>
      <c r="XX30" s="161"/>
      <c r="XY30" s="161"/>
      <c r="XZ30" s="161"/>
      <c r="YA30" s="161"/>
      <c r="YB30" s="161"/>
      <c r="YC30" s="161"/>
      <c r="YD30" s="161"/>
      <c r="YE30" s="161"/>
      <c r="YF30" s="161"/>
      <c r="YG30" s="161"/>
      <c r="YH30" s="161"/>
      <c r="YI30" s="161"/>
      <c r="YJ30" s="161"/>
      <c r="YK30" s="161"/>
      <c r="YL30" s="161"/>
      <c r="YM30" s="161"/>
      <c r="YN30" s="161"/>
      <c r="YO30" s="161"/>
      <c r="YP30" s="161"/>
      <c r="YQ30" s="161"/>
      <c r="YR30" s="161"/>
      <c r="YS30" s="161"/>
      <c r="YT30" s="161"/>
      <c r="YU30" s="161"/>
      <c r="YV30" s="161"/>
      <c r="YW30" s="161"/>
      <c r="YX30" s="161"/>
      <c r="YY30" s="161"/>
      <c r="YZ30" s="161"/>
      <c r="ZA30" s="161"/>
      <c r="ZB30" s="161"/>
      <c r="ZC30" s="161"/>
      <c r="ZD30" s="161"/>
      <c r="ZE30" s="161"/>
      <c r="ZF30" s="161"/>
      <c r="ZG30" s="161"/>
      <c r="ZH30" s="161"/>
      <c r="ZI30" s="161"/>
      <c r="ZJ30" s="161"/>
      <c r="ZK30" s="161"/>
      <c r="ZL30" s="161"/>
      <c r="ZM30" s="161"/>
      <c r="ZN30" s="161"/>
      <c r="ZO30" s="161"/>
      <c r="ZP30" s="161"/>
      <c r="ZQ30" s="161"/>
      <c r="ZR30" s="161"/>
      <c r="ZS30" s="161"/>
      <c r="ZT30" s="161"/>
      <c r="ZU30" s="161"/>
      <c r="ZV30" s="161"/>
      <c r="ZW30" s="161"/>
      <c r="ZX30" s="161"/>
      <c r="ZY30" s="161"/>
      <c r="ZZ30" s="161"/>
      <c r="AAA30" s="161"/>
      <c r="AAB30" s="161"/>
      <c r="AAC30" s="161"/>
      <c r="AAD30" s="161"/>
      <c r="AAE30" s="161"/>
      <c r="AAF30" s="161"/>
      <c r="AAG30" s="161"/>
      <c r="AAH30" s="161"/>
      <c r="AAI30" s="161"/>
      <c r="AAJ30" s="161"/>
      <c r="AAK30" s="161"/>
      <c r="AAL30" s="161"/>
      <c r="AAM30" s="161"/>
      <c r="AAN30" s="161"/>
      <c r="AAO30" s="161"/>
      <c r="AAP30" s="161"/>
      <c r="AAQ30" s="161"/>
      <c r="AAR30" s="161"/>
      <c r="AAS30" s="161"/>
      <c r="AAT30" s="161"/>
      <c r="AAU30" s="161"/>
      <c r="AAV30" s="161"/>
      <c r="AAW30" s="161"/>
      <c r="AAX30" s="161"/>
      <c r="AAY30" s="161"/>
      <c r="AAZ30" s="161"/>
      <c r="ABA30" s="161"/>
      <c r="ABB30" s="161"/>
      <c r="ABC30" s="161"/>
      <c r="ABD30" s="161"/>
      <c r="ABE30" s="161"/>
      <c r="ABF30" s="161"/>
      <c r="ABG30" s="161"/>
      <c r="ABH30" s="161"/>
      <c r="ABI30" s="161"/>
      <c r="ABJ30" s="161"/>
      <c r="ABK30" s="161"/>
      <c r="ABL30" s="161"/>
      <c r="ABM30" s="161"/>
      <c r="ABN30" s="161"/>
      <c r="ABO30" s="161"/>
      <c r="ABP30" s="161"/>
      <c r="ABQ30" s="161"/>
      <c r="ABR30" s="161"/>
      <c r="ABS30" s="161"/>
      <c r="ABT30" s="161"/>
      <c r="ABU30" s="161"/>
      <c r="ABV30" s="161"/>
      <c r="ABW30" s="161"/>
      <c r="ABX30" s="161"/>
      <c r="ABY30" s="161"/>
      <c r="ABZ30" s="161"/>
      <c r="ACA30" s="161"/>
      <c r="ACB30" s="161"/>
      <c r="ACC30" s="161"/>
      <c r="ACD30" s="161"/>
      <c r="ACE30" s="161"/>
      <c r="ACF30" s="161"/>
      <c r="ACG30" s="161"/>
      <c r="ACH30" s="161"/>
      <c r="ACI30" s="161"/>
      <c r="ACJ30" s="161"/>
      <c r="ACK30" s="161"/>
      <c r="ACL30" s="161"/>
      <c r="ACM30" s="161"/>
      <c r="ACN30" s="161"/>
      <c r="ACO30" s="161"/>
      <c r="ACP30" s="161"/>
      <c r="ACQ30" s="161"/>
      <c r="ACR30" s="161"/>
      <c r="ACS30" s="161"/>
      <c r="ACT30" s="161"/>
      <c r="ACU30" s="161"/>
      <c r="ACV30" s="161"/>
      <c r="ACW30" s="161"/>
      <c r="ACX30" s="161"/>
      <c r="ACY30" s="161"/>
      <c r="ACZ30" s="161"/>
      <c r="ADA30" s="161"/>
      <c r="ADB30" s="161"/>
      <c r="ADC30" s="161"/>
      <c r="ADD30" s="161"/>
      <c r="ADE30" s="161"/>
      <c r="ADF30" s="161"/>
      <c r="ADG30" s="161"/>
      <c r="ADH30" s="161"/>
      <c r="ADI30" s="161"/>
      <c r="ADJ30" s="161"/>
      <c r="ADK30" s="161"/>
      <c r="ADL30" s="161"/>
      <c r="ADM30" s="161"/>
      <c r="ADN30" s="161"/>
      <c r="ADO30" s="161"/>
      <c r="ADP30" s="161"/>
      <c r="ADQ30" s="161"/>
      <c r="ADR30" s="161"/>
      <c r="ADS30" s="161"/>
      <c r="ADT30" s="161"/>
      <c r="ADU30" s="161"/>
      <c r="ADV30" s="161"/>
      <c r="ADW30" s="161"/>
      <c r="ADX30" s="161"/>
      <c r="ADY30" s="161"/>
      <c r="ADZ30" s="161"/>
      <c r="AEA30" s="161"/>
      <c r="AEB30" s="161"/>
      <c r="AEC30" s="161"/>
      <c r="AED30" s="161"/>
      <c r="AEE30" s="161"/>
      <c r="AEF30" s="161"/>
      <c r="AEG30" s="161"/>
      <c r="AEH30" s="161"/>
      <c r="AEI30" s="161"/>
      <c r="AEJ30" s="161"/>
      <c r="AEK30" s="161"/>
      <c r="AEL30" s="161"/>
      <c r="AEM30" s="161"/>
      <c r="AEN30" s="161"/>
      <c r="AEO30" s="161"/>
      <c r="AEP30" s="161"/>
      <c r="AEQ30" s="161"/>
      <c r="AER30" s="161"/>
      <c r="AES30" s="161"/>
      <c r="AET30" s="161"/>
      <c r="AEU30" s="161"/>
      <c r="AEV30" s="161"/>
      <c r="AEW30" s="161"/>
      <c r="AEX30" s="161"/>
      <c r="AEY30" s="161"/>
      <c r="AEZ30" s="161"/>
      <c r="AFA30" s="161"/>
      <c r="AFB30" s="161"/>
      <c r="AFC30" s="161"/>
      <c r="AFD30" s="161"/>
      <c r="AFE30" s="161"/>
      <c r="AFF30" s="161"/>
      <c r="AFG30" s="161"/>
      <c r="AFH30" s="161"/>
      <c r="AFI30" s="161"/>
      <c r="AFJ30" s="161"/>
      <c r="AFK30" s="161"/>
      <c r="AFL30" s="161"/>
      <c r="AFM30" s="161"/>
      <c r="AFN30" s="161"/>
      <c r="AFO30" s="161"/>
      <c r="AFP30" s="161"/>
      <c r="AFQ30" s="161"/>
      <c r="AFR30" s="161"/>
      <c r="AFS30" s="161"/>
      <c r="AFT30" s="161"/>
      <c r="AFU30" s="161"/>
      <c r="AFV30" s="161"/>
      <c r="AFW30" s="161"/>
      <c r="AFX30" s="161"/>
      <c r="AFY30" s="161"/>
      <c r="AFZ30" s="161"/>
      <c r="AGA30" s="161"/>
      <c r="AGB30" s="161"/>
      <c r="AGC30" s="161"/>
      <c r="AGD30" s="161"/>
      <c r="AGE30" s="161"/>
      <c r="AGF30" s="161"/>
      <c r="AGG30" s="161"/>
      <c r="AGH30" s="161"/>
      <c r="AGI30" s="161"/>
      <c r="AGJ30" s="161"/>
      <c r="AGK30" s="161"/>
      <c r="AGL30" s="161"/>
      <c r="AGM30" s="161"/>
      <c r="AGN30" s="161"/>
      <c r="AGO30" s="161"/>
      <c r="AGP30" s="161"/>
      <c r="AGQ30" s="161"/>
      <c r="AGR30" s="161"/>
      <c r="AGS30" s="161"/>
      <c r="AGT30" s="161"/>
      <c r="AGU30" s="161"/>
      <c r="AGV30" s="161"/>
      <c r="AGW30" s="161"/>
      <c r="AGX30" s="161"/>
      <c r="AGY30" s="161"/>
      <c r="AGZ30" s="161"/>
      <c r="AHA30" s="161"/>
      <c r="AHB30" s="161"/>
      <c r="AHC30" s="161"/>
      <c r="AHD30" s="161"/>
      <c r="AHE30" s="161"/>
      <c r="AHF30" s="161"/>
      <c r="AHG30" s="161"/>
      <c r="AHH30" s="161"/>
      <c r="AHI30" s="161"/>
      <c r="AHJ30" s="161"/>
      <c r="AHK30" s="161"/>
      <c r="AHL30" s="161"/>
      <c r="AHM30" s="161"/>
      <c r="AHN30" s="161"/>
      <c r="AHO30" s="161"/>
      <c r="AHP30" s="161"/>
      <c r="AHQ30" s="161"/>
      <c r="AHR30" s="161"/>
      <c r="AHS30" s="161"/>
      <c r="AHT30" s="161"/>
      <c r="AHU30" s="161"/>
      <c r="AHV30" s="161"/>
      <c r="AHW30" s="161"/>
      <c r="AHX30" s="161"/>
      <c r="AHY30" s="161"/>
      <c r="AHZ30" s="161"/>
      <c r="AIA30" s="161"/>
      <c r="AIB30" s="161"/>
      <c r="AIC30" s="161"/>
      <c r="AID30" s="161"/>
      <c r="AIE30" s="161"/>
      <c r="AIF30" s="161"/>
    </row>
    <row r="31" spans="1:916" s="21" customFormat="1" ht="12.75">
      <c r="A31" s="331"/>
      <c r="B31" s="309" t="s">
        <v>31</v>
      </c>
      <c r="C31" s="146" t="s">
        <v>455</v>
      </c>
      <c r="D31" s="146"/>
      <c r="E31" s="324"/>
      <c r="F31" s="144">
        <f>'Commercial HVAC {G}'!A$16</f>
        <v>13.870777820667282</v>
      </c>
      <c r="G31" s="325" t="s">
        <v>365</v>
      </c>
      <c r="H31" s="258">
        <f>'Commercial HVAC {G}'!A$10</f>
        <v>15388.380000000001</v>
      </c>
      <c r="I31" s="259">
        <f>'Commercial HVAC {G}'!A$8</f>
        <v>49042.77</v>
      </c>
      <c r="J31" s="259">
        <f>'Commercial HVAC {G}'!A$12</f>
        <v>2250</v>
      </c>
      <c r="K31" s="259">
        <f>'Commercial HVAC {G}'!A$14</f>
        <v>15205.949999999999</v>
      </c>
      <c r="L31" s="259">
        <f>SUM('Commercial HVAC {G}'!Q$5:Q$999)</f>
        <v>17455.949999999997</v>
      </c>
      <c r="M31" s="259"/>
      <c r="N31" s="260">
        <f>'Commercial HVAC {G}'!A$18</f>
        <v>51292.77</v>
      </c>
      <c r="O31" s="259">
        <f>'Commercial HVAC {G}'!A$20</f>
        <v>66498.720000000001</v>
      </c>
      <c r="P31" s="259">
        <f>SUM('Commercial HVAC {G}'!R$5:R$999)</f>
        <v>0</v>
      </c>
      <c r="Q31" s="261">
        <f t="shared" si="13"/>
        <v>47950.612321211549</v>
      </c>
      <c r="R31" s="261">
        <f t="shared" si="13"/>
        <v>62165.766102645597</v>
      </c>
      <c r="S31" s="259">
        <f>SUM('Commercial HVAC {G}'!AM$5:AM$999)</f>
        <v>142894.6384086624</v>
      </c>
      <c r="T31" s="259">
        <f>SUM('Commercial HVAC {G}'!AD$5:AD$999)</f>
        <v>0</v>
      </c>
      <c r="U31" s="133">
        <f>IFERROR(S31/Q31,0)</f>
        <v>2.9800378241562346</v>
      </c>
      <c r="V31" s="133">
        <f>IFERROR(((S31*1.1)+(T31))/R31,0)</f>
        <v>2.5284672272837856</v>
      </c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  <c r="PJ31" s="161"/>
      <c r="PK31" s="161"/>
      <c r="PL31" s="161"/>
      <c r="PM31" s="161"/>
      <c r="PN31" s="161"/>
      <c r="PO31" s="161"/>
      <c r="PP31" s="161"/>
      <c r="PQ31" s="161"/>
      <c r="PR31" s="161"/>
      <c r="PS31" s="161"/>
      <c r="PT31" s="161"/>
      <c r="PU31" s="161"/>
      <c r="PV31" s="161"/>
      <c r="PW31" s="161"/>
      <c r="PX31" s="161"/>
      <c r="PY31" s="161"/>
      <c r="PZ31" s="161"/>
      <c r="QA31" s="161"/>
      <c r="QB31" s="161"/>
      <c r="QC31" s="161"/>
      <c r="QD31" s="161"/>
      <c r="QE31" s="161"/>
      <c r="QF31" s="161"/>
      <c r="QG31" s="161"/>
      <c r="QH31" s="161"/>
      <c r="QI31" s="161"/>
      <c r="QJ31" s="161"/>
      <c r="QK31" s="161"/>
      <c r="QL31" s="161"/>
      <c r="QM31" s="161"/>
      <c r="QN31" s="161"/>
      <c r="QO31" s="161"/>
      <c r="QP31" s="161"/>
      <c r="QQ31" s="161"/>
      <c r="QR31" s="161"/>
      <c r="QS31" s="161"/>
      <c r="QT31" s="161"/>
      <c r="QU31" s="161"/>
      <c r="QV31" s="161"/>
      <c r="QW31" s="161"/>
      <c r="QX31" s="161"/>
      <c r="QY31" s="161"/>
      <c r="QZ31" s="161"/>
      <c r="RA31" s="161"/>
      <c r="RB31" s="161"/>
      <c r="RC31" s="161"/>
      <c r="RD31" s="161"/>
      <c r="RE31" s="161"/>
      <c r="RF31" s="161"/>
      <c r="RG31" s="161"/>
      <c r="RH31" s="161"/>
      <c r="RI31" s="161"/>
      <c r="RJ31" s="161"/>
      <c r="RK31" s="161"/>
      <c r="RL31" s="161"/>
      <c r="RM31" s="161"/>
      <c r="RN31" s="161"/>
      <c r="RO31" s="161"/>
      <c r="RP31" s="161"/>
      <c r="RQ31" s="161"/>
      <c r="RR31" s="161"/>
      <c r="RS31" s="161"/>
      <c r="RT31" s="161"/>
      <c r="RU31" s="161"/>
      <c r="RV31" s="161"/>
      <c r="RW31" s="161"/>
      <c r="RX31" s="161"/>
      <c r="RY31" s="161"/>
      <c r="RZ31" s="161"/>
      <c r="SA31" s="161"/>
      <c r="SB31" s="161"/>
      <c r="SC31" s="161"/>
      <c r="SD31" s="161"/>
      <c r="SE31" s="161"/>
      <c r="SF31" s="161"/>
      <c r="SG31" s="161"/>
      <c r="SH31" s="161"/>
      <c r="SI31" s="161"/>
      <c r="SJ31" s="161"/>
      <c r="SK31" s="161"/>
      <c r="SL31" s="161"/>
      <c r="SM31" s="161"/>
      <c r="SN31" s="161"/>
      <c r="SO31" s="161"/>
      <c r="SP31" s="161"/>
      <c r="SQ31" s="161"/>
      <c r="SR31" s="161"/>
      <c r="SS31" s="161"/>
      <c r="ST31" s="161"/>
      <c r="SU31" s="161"/>
      <c r="SV31" s="161"/>
      <c r="SW31" s="161"/>
      <c r="SX31" s="161"/>
      <c r="SY31" s="161"/>
      <c r="SZ31" s="161"/>
      <c r="TA31" s="161"/>
      <c r="TB31" s="161"/>
      <c r="TC31" s="161"/>
      <c r="TD31" s="161"/>
      <c r="TE31" s="161"/>
      <c r="TF31" s="161"/>
      <c r="TG31" s="161"/>
      <c r="TH31" s="161"/>
      <c r="TI31" s="161"/>
      <c r="TJ31" s="161"/>
      <c r="TK31" s="161"/>
      <c r="TL31" s="161"/>
      <c r="TM31" s="161"/>
      <c r="TN31" s="161"/>
      <c r="TO31" s="161"/>
      <c r="TP31" s="161"/>
      <c r="TQ31" s="161"/>
      <c r="TR31" s="161"/>
      <c r="TS31" s="161"/>
      <c r="TT31" s="161"/>
      <c r="TU31" s="161"/>
      <c r="TV31" s="161"/>
      <c r="TW31" s="161"/>
      <c r="TX31" s="161"/>
      <c r="TY31" s="161"/>
      <c r="TZ31" s="161"/>
      <c r="UA31" s="161"/>
      <c r="UB31" s="161"/>
      <c r="UC31" s="161"/>
      <c r="UD31" s="161"/>
      <c r="UE31" s="161"/>
      <c r="UF31" s="161"/>
      <c r="UG31" s="161"/>
      <c r="UH31" s="161"/>
      <c r="UI31" s="161"/>
      <c r="UJ31" s="161"/>
      <c r="UK31" s="161"/>
      <c r="UL31" s="161"/>
      <c r="UM31" s="161"/>
      <c r="UN31" s="161"/>
      <c r="UO31" s="161"/>
      <c r="UP31" s="161"/>
      <c r="UQ31" s="161"/>
      <c r="UR31" s="161"/>
      <c r="US31" s="161"/>
      <c r="UT31" s="161"/>
      <c r="UU31" s="161"/>
      <c r="UV31" s="161"/>
      <c r="UW31" s="161"/>
      <c r="UX31" s="161"/>
      <c r="UY31" s="161"/>
      <c r="UZ31" s="161"/>
      <c r="VA31" s="161"/>
      <c r="VB31" s="161"/>
      <c r="VC31" s="161"/>
      <c r="VD31" s="161"/>
      <c r="VE31" s="161"/>
      <c r="VF31" s="161"/>
      <c r="VG31" s="161"/>
      <c r="VH31" s="161"/>
      <c r="VI31" s="161"/>
      <c r="VJ31" s="161"/>
      <c r="VK31" s="161"/>
      <c r="VL31" s="161"/>
      <c r="VM31" s="161"/>
      <c r="VN31" s="161"/>
      <c r="VO31" s="161"/>
      <c r="VP31" s="161"/>
      <c r="VQ31" s="161"/>
      <c r="VR31" s="161"/>
      <c r="VS31" s="161"/>
      <c r="VT31" s="161"/>
      <c r="VU31" s="161"/>
      <c r="VV31" s="161"/>
      <c r="VW31" s="161"/>
      <c r="VX31" s="161"/>
      <c r="VY31" s="161"/>
      <c r="VZ31" s="161"/>
      <c r="WA31" s="161"/>
      <c r="WB31" s="161"/>
      <c r="WC31" s="161"/>
      <c r="WD31" s="161"/>
      <c r="WE31" s="161"/>
      <c r="WF31" s="161"/>
      <c r="WG31" s="161"/>
      <c r="WH31" s="161"/>
      <c r="WI31" s="161"/>
      <c r="WJ31" s="161"/>
      <c r="WK31" s="161"/>
      <c r="WL31" s="161"/>
      <c r="WM31" s="161"/>
      <c r="WN31" s="161"/>
      <c r="WO31" s="161"/>
      <c r="WP31" s="161"/>
      <c r="WQ31" s="161"/>
      <c r="WR31" s="161"/>
      <c r="WS31" s="161"/>
      <c r="WT31" s="161"/>
      <c r="WU31" s="161"/>
      <c r="WV31" s="161"/>
      <c r="WW31" s="161"/>
      <c r="WX31" s="161"/>
      <c r="WY31" s="161"/>
      <c r="WZ31" s="161"/>
      <c r="XA31" s="161"/>
      <c r="XB31" s="161"/>
      <c r="XC31" s="161"/>
      <c r="XD31" s="161"/>
      <c r="XE31" s="161"/>
      <c r="XF31" s="161"/>
      <c r="XG31" s="161"/>
      <c r="XH31" s="161"/>
      <c r="XI31" s="161"/>
      <c r="XJ31" s="161"/>
      <c r="XK31" s="161"/>
      <c r="XL31" s="161"/>
      <c r="XM31" s="161"/>
      <c r="XN31" s="161"/>
      <c r="XO31" s="161"/>
      <c r="XP31" s="161"/>
      <c r="XQ31" s="161"/>
      <c r="XR31" s="161"/>
      <c r="XS31" s="161"/>
      <c r="XT31" s="161"/>
      <c r="XU31" s="161"/>
      <c r="XV31" s="161"/>
      <c r="XW31" s="161"/>
      <c r="XX31" s="161"/>
      <c r="XY31" s="161"/>
      <c r="XZ31" s="161"/>
      <c r="YA31" s="161"/>
      <c r="YB31" s="161"/>
      <c r="YC31" s="161"/>
      <c r="YD31" s="161"/>
      <c r="YE31" s="161"/>
      <c r="YF31" s="161"/>
      <c r="YG31" s="161"/>
      <c r="YH31" s="161"/>
      <c r="YI31" s="161"/>
      <c r="YJ31" s="161"/>
      <c r="YK31" s="161"/>
      <c r="YL31" s="161"/>
      <c r="YM31" s="161"/>
      <c r="YN31" s="161"/>
      <c r="YO31" s="161"/>
      <c r="YP31" s="161"/>
      <c r="YQ31" s="161"/>
      <c r="YR31" s="161"/>
      <c r="YS31" s="161"/>
      <c r="YT31" s="161"/>
      <c r="YU31" s="161"/>
      <c r="YV31" s="161"/>
      <c r="YW31" s="161"/>
      <c r="YX31" s="161"/>
      <c r="YY31" s="161"/>
      <c r="YZ31" s="161"/>
      <c r="ZA31" s="161"/>
      <c r="ZB31" s="161"/>
      <c r="ZC31" s="161"/>
      <c r="ZD31" s="161"/>
      <c r="ZE31" s="161"/>
      <c r="ZF31" s="161"/>
      <c r="ZG31" s="161"/>
      <c r="ZH31" s="161"/>
      <c r="ZI31" s="161"/>
      <c r="ZJ31" s="161"/>
      <c r="ZK31" s="161"/>
      <c r="ZL31" s="161"/>
      <c r="ZM31" s="161"/>
      <c r="ZN31" s="161"/>
      <c r="ZO31" s="161"/>
      <c r="ZP31" s="161"/>
      <c r="ZQ31" s="161"/>
      <c r="ZR31" s="161"/>
      <c r="ZS31" s="161"/>
      <c r="ZT31" s="161"/>
      <c r="ZU31" s="161"/>
      <c r="ZV31" s="161"/>
      <c r="ZW31" s="161"/>
      <c r="ZX31" s="161"/>
      <c r="ZY31" s="161"/>
      <c r="ZZ31" s="161"/>
      <c r="AAA31" s="161"/>
      <c r="AAB31" s="161"/>
      <c r="AAC31" s="161"/>
      <c r="AAD31" s="161"/>
      <c r="AAE31" s="161"/>
      <c r="AAF31" s="161"/>
      <c r="AAG31" s="161"/>
      <c r="AAH31" s="161"/>
      <c r="AAI31" s="161"/>
      <c r="AAJ31" s="161"/>
      <c r="AAK31" s="161"/>
      <c r="AAL31" s="161"/>
      <c r="AAM31" s="161"/>
      <c r="AAN31" s="161"/>
      <c r="AAO31" s="161"/>
      <c r="AAP31" s="161"/>
      <c r="AAQ31" s="161"/>
      <c r="AAR31" s="161"/>
      <c r="AAS31" s="161"/>
      <c r="AAT31" s="161"/>
      <c r="AAU31" s="161"/>
      <c r="AAV31" s="161"/>
      <c r="AAW31" s="161"/>
      <c r="AAX31" s="161"/>
      <c r="AAY31" s="161"/>
      <c r="AAZ31" s="161"/>
      <c r="ABA31" s="161"/>
      <c r="ABB31" s="161"/>
      <c r="ABC31" s="161"/>
      <c r="ABD31" s="161"/>
      <c r="ABE31" s="161"/>
      <c r="ABF31" s="161"/>
      <c r="ABG31" s="161"/>
      <c r="ABH31" s="161"/>
      <c r="ABI31" s="161"/>
      <c r="ABJ31" s="161"/>
      <c r="ABK31" s="161"/>
      <c r="ABL31" s="161"/>
      <c r="ABM31" s="161"/>
      <c r="ABN31" s="161"/>
      <c r="ABO31" s="161"/>
      <c r="ABP31" s="161"/>
      <c r="ABQ31" s="161"/>
      <c r="ABR31" s="161"/>
      <c r="ABS31" s="161"/>
      <c r="ABT31" s="161"/>
      <c r="ABU31" s="161"/>
      <c r="ABV31" s="161"/>
      <c r="ABW31" s="161"/>
      <c r="ABX31" s="161"/>
      <c r="ABY31" s="161"/>
      <c r="ABZ31" s="161"/>
      <c r="ACA31" s="161"/>
      <c r="ACB31" s="161"/>
      <c r="ACC31" s="161"/>
      <c r="ACD31" s="161"/>
      <c r="ACE31" s="161"/>
      <c r="ACF31" s="161"/>
      <c r="ACG31" s="161"/>
      <c r="ACH31" s="161"/>
      <c r="ACI31" s="161"/>
      <c r="ACJ31" s="161"/>
      <c r="ACK31" s="161"/>
      <c r="ACL31" s="161"/>
      <c r="ACM31" s="161"/>
      <c r="ACN31" s="161"/>
      <c r="ACO31" s="161"/>
      <c r="ACP31" s="161"/>
      <c r="ACQ31" s="161"/>
      <c r="ACR31" s="161"/>
      <c r="ACS31" s="161"/>
      <c r="ACT31" s="161"/>
      <c r="ACU31" s="161"/>
      <c r="ACV31" s="161"/>
      <c r="ACW31" s="161"/>
      <c r="ACX31" s="161"/>
      <c r="ACY31" s="161"/>
      <c r="ACZ31" s="161"/>
      <c r="ADA31" s="161"/>
      <c r="ADB31" s="161"/>
      <c r="ADC31" s="161"/>
      <c r="ADD31" s="161"/>
      <c r="ADE31" s="161"/>
      <c r="ADF31" s="161"/>
      <c r="ADG31" s="161"/>
      <c r="ADH31" s="161"/>
      <c r="ADI31" s="161"/>
      <c r="ADJ31" s="161"/>
      <c r="ADK31" s="161"/>
      <c r="ADL31" s="161"/>
      <c r="ADM31" s="161"/>
      <c r="ADN31" s="161"/>
      <c r="ADO31" s="161"/>
      <c r="ADP31" s="161"/>
      <c r="ADQ31" s="161"/>
      <c r="ADR31" s="161"/>
      <c r="ADS31" s="161"/>
      <c r="ADT31" s="161"/>
      <c r="ADU31" s="161"/>
      <c r="ADV31" s="161"/>
      <c r="ADW31" s="161"/>
      <c r="ADX31" s="161"/>
      <c r="ADY31" s="161"/>
      <c r="ADZ31" s="161"/>
      <c r="AEA31" s="161"/>
      <c r="AEB31" s="161"/>
      <c r="AEC31" s="161"/>
      <c r="AED31" s="161"/>
      <c r="AEE31" s="161"/>
      <c r="AEF31" s="161"/>
      <c r="AEG31" s="161"/>
      <c r="AEH31" s="161"/>
      <c r="AEI31" s="161"/>
      <c r="AEJ31" s="161"/>
      <c r="AEK31" s="161"/>
      <c r="AEL31" s="161"/>
      <c r="AEM31" s="161"/>
      <c r="AEN31" s="161"/>
      <c r="AEO31" s="161"/>
      <c r="AEP31" s="161"/>
      <c r="AEQ31" s="161"/>
      <c r="AER31" s="161"/>
      <c r="AES31" s="161"/>
      <c r="AET31" s="161"/>
      <c r="AEU31" s="161"/>
      <c r="AEV31" s="161"/>
      <c r="AEW31" s="161"/>
      <c r="AEX31" s="161"/>
      <c r="AEY31" s="161"/>
      <c r="AEZ31" s="161"/>
      <c r="AFA31" s="161"/>
      <c r="AFB31" s="161"/>
      <c r="AFC31" s="161"/>
      <c r="AFD31" s="161"/>
      <c r="AFE31" s="161"/>
      <c r="AFF31" s="161"/>
      <c r="AFG31" s="161"/>
      <c r="AFH31" s="161"/>
      <c r="AFI31" s="161"/>
      <c r="AFJ31" s="161"/>
      <c r="AFK31" s="161"/>
      <c r="AFL31" s="161"/>
      <c r="AFM31" s="161"/>
      <c r="AFN31" s="161"/>
      <c r="AFO31" s="161"/>
      <c r="AFP31" s="161"/>
      <c r="AFQ31" s="161"/>
      <c r="AFR31" s="161"/>
      <c r="AFS31" s="161"/>
      <c r="AFT31" s="161"/>
      <c r="AFU31" s="161"/>
      <c r="AFV31" s="161"/>
      <c r="AFW31" s="161"/>
      <c r="AFX31" s="161"/>
      <c r="AFY31" s="161"/>
      <c r="AFZ31" s="161"/>
      <c r="AGA31" s="161"/>
      <c r="AGB31" s="161"/>
      <c r="AGC31" s="161"/>
      <c r="AGD31" s="161"/>
      <c r="AGE31" s="161"/>
      <c r="AGF31" s="161"/>
      <c r="AGG31" s="161"/>
      <c r="AGH31" s="161"/>
      <c r="AGI31" s="161"/>
      <c r="AGJ31" s="161"/>
      <c r="AGK31" s="161"/>
      <c r="AGL31" s="161"/>
      <c r="AGM31" s="161"/>
      <c r="AGN31" s="161"/>
      <c r="AGO31" s="161"/>
      <c r="AGP31" s="161"/>
      <c r="AGQ31" s="161"/>
      <c r="AGR31" s="161"/>
      <c r="AGS31" s="161"/>
      <c r="AGT31" s="161"/>
      <c r="AGU31" s="161"/>
      <c r="AGV31" s="161"/>
      <c r="AGW31" s="161"/>
      <c r="AGX31" s="161"/>
      <c r="AGY31" s="161"/>
      <c r="AGZ31" s="161"/>
      <c r="AHA31" s="161"/>
      <c r="AHB31" s="161"/>
      <c r="AHC31" s="161"/>
      <c r="AHD31" s="161"/>
      <c r="AHE31" s="161"/>
      <c r="AHF31" s="161"/>
      <c r="AHG31" s="161"/>
      <c r="AHH31" s="161"/>
      <c r="AHI31" s="161"/>
      <c r="AHJ31" s="161"/>
      <c r="AHK31" s="161"/>
      <c r="AHL31" s="161"/>
      <c r="AHM31" s="161"/>
      <c r="AHN31" s="161"/>
      <c r="AHO31" s="161"/>
      <c r="AHP31" s="161"/>
      <c r="AHQ31" s="161"/>
      <c r="AHR31" s="161"/>
      <c r="AHS31" s="161"/>
      <c r="AHT31" s="161"/>
      <c r="AHU31" s="161"/>
      <c r="AHV31" s="161"/>
      <c r="AHW31" s="161"/>
      <c r="AHX31" s="161"/>
      <c r="AHY31" s="161"/>
      <c r="AHZ31" s="161"/>
      <c r="AIA31" s="161"/>
      <c r="AIB31" s="161"/>
      <c r="AIC31" s="161"/>
      <c r="AID31" s="161"/>
      <c r="AIE31" s="161"/>
      <c r="AIF31" s="161"/>
    </row>
    <row r="32" spans="1:916" s="21" customFormat="1" ht="12.75">
      <c r="A32" s="331"/>
      <c r="B32" s="309" t="s">
        <v>31</v>
      </c>
      <c r="C32" s="146" t="s">
        <v>394</v>
      </c>
      <c r="D32" s="146"/>
      <c r="E32" s="324"/>
      <c r="F32" s="144">
        <f>'Commercial Midstream {G}'!A$16</f>
        <v>11.375947288594819</v>
      </c>
      <c r="G32" s="325" t="s">
        <v>365</v>
      </c>
      <c r="H32" s="258">
        <f>'Commercial Midstream {G}'!A$10</f>
        <v>1049542.8800000001</v>
      </c>
      <c r="I32" s="259">
        <f>'Commercial Midstream {G}'!A$8</f>
        <v>722319.02</v>
      </c>
      <c r="J32" s="259">
        <f>'Commercial Midstream {G}'!A$12</f>
        <v>1546791.3499999999</v>
      </c>
      <c r="K32" s="259">
        <f>'Commercial Midstream {G}'!A$14</f>
        <v>662109.49999999895</v>
      </c>
      <c r="L32" s="259">
        <f>SUM('Commercial Midstream {G}'!Q$5:Q$1000)</f>
        <v>2208900.8499999987</v>
      </c>
      <c r="M32" s="259"/>
      <c r="N32" s="260">
        <f>'Commercial Midstream {G}'!A$18</f>
        <v>3676313.24</v>
      </c>
      <c r="O32" s="259">
        <f>'Commercial Midstream {G}'!A$20</f>
        <v>2931219.8699999987</v>
      </c>
      <c r="P32" s="259">
        <f>SUM('Commercial Midstream {G}'!R$5:R$1000)</f>
        <v>0</v>
      </c>
      <c r="Q32" s="261">
        <f t="shared" si="13"/>
        <v>3436770.3468262129</v>
      </c>
      <c r="R32" s="261">
        <f t="shared" si="13"/>
        <v>2740226.1101243324</v>
      </c>
      <c r="S32" s="259">
        <f>SUM('Commercial Midstream {G}'!AM$5:AM$1000)</f>
        <v>8343237.3919532225</v>
      </c>
      <c r="T32" s="259">
        <f>SUM('Commercial Midstream {G}'!AD$5:AD$1000)</f>
        <v>0</v>
      </c>
      <c r="U32" s="133">
        <f>IFERROR(S32/Q32,0)</f>
        <v>2.4276389022205196</v>
      </c>
      <c r="V32" s="133">
        <f>IFERROR(((S32*1.1)+(T32))/R32,0)</f>
        <v>3.3491984830157433</v>
      </c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  <c r="PJ32" s="161"/>
      <c r="PK32" s="161"/>
      <c r="PL32" s="161"/>
      <c r="PM32" s="161"/>
      <c r="PN32" s="161"/>
      <c r="PO32" s="161"/>
      <c r="PP32" s="161"/>
      <c r="PQ32" s="161"/>
      <c r="PR32" s="161"/>
      <c r="PS32" s="161"/>
      <c r="PT32" s="161"/>
      <c r="PU32" s="161"/>
      <c r="PV32" s="161"/>
      <c r="PW32" s="161"/>
      <c r="PX32" s="161"/>
      <c r="PY32" s="161"/>
      <c r="PZ32" s="161"/>
      <c r="QA32" s="161"/>
      <c r="QB32" s="161"/>
      <c r="QC32" s="161"/>
      <c r="QD32" s="161"/>
      <c r="QE32" s="161"/>
      <c r="QF32" s="161"/>
      <c r="QG32" s="161"/>
      <c r="QH32" s="161"/>
      <c r="QI32" s="161"/>
      <c r="QJ32" s="161"/>
      <c r="QK32" s="161"/>
      <c r="QL32" s="161"/>
      <c r="QM32" s="161"/>
      <c r="QN32" s="161"/>
      <c r="QO32" s="161"/>
      <c r="QP32" s="161"/>
      <c r="QQ32" s="161"/>
      <c r="QR32" s="161"/>
      <c r="QS32" s="161"/>
      <c r="QT32" s="161"/>
      <c r="QU32" s="161"/>
      <c r="QV32" s="161"/>
      <c r="QW32" s="161"/>
      <c r="QX32" s="161"/>
      <c r="QY32" s="161"/>
      <c r="QZ32" s="161"/>
      <c r="RA32" s="161"/>
      <c r="RB32" s="161"/>
      <c r="RC32" s="161"/>
      <c r="RD32" s="161"/>
      <c r="RE32" s="161"/>
      <c r="RF32" s="161"/>
      <c r="RG32" s="161"/>
      <c r="RH32" s="161"/>
      <c r="RI32" s="161"/>
      <c r="RJ32" s="161"/>
      <c r="RK32" s="161"/>
      <c r="RL32" s="161"/>
      <c r="RM32" s="161"/>
      <c r="RN32" s="161"/>
      <c r="RO32" s="161"/>
      <c r="RP32" s="161"/>
      <c r="RQ32" s="161"/>
      <c r="RR32" s="161"/>
      <c r="RS32" s="161"/>
      <c r="RT32" s="161"/>
      <c r="RU32" s="161"/>
      <c r="RV32" s="161"/>
      <c r="RW32" s="161"/>
      <c r="RX32" s="161"/>
      <c r="RY32" s="161"/>
      <c r="RZ32" s="161"/>
      <c r="SA32" s="161"/>
      <c r="SB32" s="161"/>
      <c r="SC32" s="161"/>
      <c r="SD32" s="161"/>
      <c r="SE32" s="161"/>
      <c r="SF32" s="161"/>
      <c r="SG32" s="161"/>
      <c r="SH32" s="161"/>
      <c r="SI32" s="161"/>
      <c r="SJ32" s="161"/>
      <c r="SK32" s="161"/>
      <c r="SL32" s="161"/>
      <c r="SM32" s="161"/>
      <c r="SN32" s="161"/>
      <c r="SO32" s="161"/>
      <c r="SP32" s="161"/>
      <c r="SQ32" s="161"/>
      <c r="SR32" s="161"/>
      <c r="SS32" s="161"/>
      <c r="ST32" s="161"/>
      <c r="SU32" s="161"/>
      <c r="SV32" s="161"/>
      <c r="SW32" s="161"/>
      <c r="SX32" s="161"/>
      <c r="SY32" s="161"/>
      <c r="SZ32" s="161"/>
      <c r="TA32" s="161"/>
      <c r="TB32" s="161"/>
      <c r="TC32" s="161"/>
      <c r="TD32" s="161"/>
      <c r="TE32" s="161"/>
      <c r="TF32" s="161"/>
      <c r="TG32" s="161"/>
      <c r="TH32" s="161"/>
      <c r="TI32" s="161"/>
      <c r="TJ32" s="161"/>
      <c r="TK32" s="161"/>
      <c r="TL32" s="161"/>
      <c r="TM32" s="161"/>
      <c r="TN32" s="161"/>
      <c r="TO32" s="161"/>
      <c r="TP32" s="161"/>
      <c r="TQ32" s="161"/>
      <c r="TR32" s="161"/>
      <c r="TS32" s="161"/>
      <c r="TT32" s="161"/>
      <c r="TU32" s="161"/>
      <c r="TV32" s="161"/>
      <c r="TW32" s="161"/>
      <c r="TX32" s="161"/>
      <c r="TY32" s="161"/>
      <c r="TZ32" s="161"/>
      <c r="UA32" s="161"/>
      <c r="UB32" s="161"/>
      <c r="UC32" s="161"/>
      <c r="UD32" s="161"/>
      <c r="UE32" s="161"/>
      <c r="UF32" s="161"/>
      <c r="UG32" s="161"/>
      <c r="UH32" s="161"/>
      <c r="UI32" s="161"/>
      <c r="UJ32" s="161"/>
      <c r="UK32" s="161"/>
      <c r="UL32" s="161"/>
      <c r="UM32" s="161"/>
      <c r="UN32" s="161"/>
      <c r="UO32" s="161"/>
      <c r="UP32" s="161"/>
      <c r="UQ32" s="161"/>
      <c r="UR32" s="161"/>
      <c r="US32" s="161"/>
      <c r="UT32" s="161"/>
      <c r="UU32" s="161"/>
      <c r="UV32" s="161"/>
      <c r="UW32" s="161"/>
      <c r="UX32" s="161"/>
      <c r="UY32" s="161"/>
      <c r="UZ32" s="161"/>
      <c r="VA32" s="161"/>
      <c r="VB32" s="161"/>
      <c r="VC32" s="161"/>
      <c r="VD32" s="161"/>
      <c r="VE32" s="161"/>
      <c r="VF32" s="161"/>
      <c r="VG32" s="161"/>
      <c r="VH32" s="161"/>
      <c r="VI32" s="161"/>
      <c r="VJ32" s="161"/>
      <c r="VK32" s="161"/>
      <c r="VL32" s="161"/>
      <c r="VM32" s="161"/>
      <c r="VN32" s="161"/>
      <c r="VO32" s="161"/>
      <c r="VP32" s="161"/>
      <c r="VQ32" s="161"/>
      <c r="VR32" s="161"/>
      <c r="VS32" s="161"/>
      <c r="VT32" s="161"/>
      <c r="VU32" s="161"/>
      <c r="VV32" s="161"/>
      <c r="VW32" s="161"/>
      <c r="VX32" s="161"/>
      <c r="VY32" s="161"/>
      <c r="VZ32" s="161"/>
      <c r="WA32" s="161"/>
      <c r="WB32" s="161"/>
      <c r="WC32" s="161"/>
      <c r="WD32" s="161"/>
      <c r="WE32" s="161"/>
      <c r="WF32" s="161"/>
      <c r="WG32" s="161"/>
      <c r="WH32" s="161"/>
      <c r="WI32" s="161"/>
      <c r="WJ32" s="161"/>
      <c r="WK32" s="161"/>
      <c r="WL32" s="161"/>
      <c r="WM32" s="161"/>
      <c r="WN32" s="161"/>
      <c r="WO32" s="161"/>
      <c r="WP32" s="161"/>
      <c r="WQ32" s="161"/>
      <c r="WR32" s="161"/>
      <c r="WS32" s="161"/>
      <c r="WT32" s="161"/>
      <c r="WU32" s="161"/>
      <c r="WV32" s="161"/>
      <c r="WW32" s="161"/>
      <c r="WX32" s="161"/>
      <c r="WY32" s="161"/>
      <c r="WZ32" s="161"/>
      <c r="XA32" s="161"/>
      <c r="XB32" s="161"/>
      <c r="XC32" s="161"/>
      <c r="XD32" s="161"/>
      <c r="XE32" s="161"/>
      <c r="XF32" s="161"/>
      <c r="XG32" s="161"/>
      <c r="XH32" s="161"/>
      <c r="XI32" s="161"/>
      <c r="XJ32" s="161"/>
      <c r="XK32" s="161"/>
      <c r="XL32" s="161"/>
      <c r="XM32" s="161"/>
      <c r="XN32" s="161"/>
      <c r="XO32" s="161"/>
      <c r="XP32" s="161"/>
      <c r="XQ32" s="161"/>
      <c r="XR32" s="161"/>
      <c r="XS32" s="161"/>
      <c r="XT32" s="161"/>
      <c r="XU32" s="161"/>
      <c r="XV32" s="161"/>
      <c r="XW32" s="161"/>
      <c r="XX32" s="161"/>
      <c r="XY32" s="161"/>
      <c r="XZ32" s="161"/>
      <c r="YA32" s="161"/>
      <c r="YB32" s="161"/>
      <c r="YC32" s="161"/>
      <c r="YD32" s="161"/>
      <c r="YE32" s="161"/>
      <c r="YF32" s="161"/>
      <c r="YG32" s="161"/>
      <c r="YH32" s="161"/>
      <c r="YI32" s="161"/>
      <c r="YJ32" s="161"/>
      <c r="YK32" s="161"/>
      <c r="YL32" s="161"/>
      <c r="YM32" s="161"/>
      <c r="YN32" s="161"/>
      <c r="YO32" s="161"/>
      <c r="YP32" s="161"/>
      <c r="YQ32" s="161"/>
      <c r="YR32" s="161"/>
      <c r="YS32" s="161"/>
      <c r="YT32" s="161"/>
      <c r="YU32" s="161"/>
      <c r="YV32" s="161"/>
      <c r="YW32" s="161"/>
      <c r="YX32" s="161"/>
      <c r="YY32" s="161"/>
      <c r="YZ32" s="161"/>
      <c r="ZA32" s="161"/>
      <c r="ZB32" s="161"/>
      <c r="ZC32" s="161"/>
      <c r="ZD32" s="161"/>
      <c r="ZE32" s="161"/>
      <c r="ZF32" s="161"/>
      <c r="ZG32" s="161"/>
      <c r="ZH32" s="161"/>
      <c r="ZI32" s="161"/>
      <c r="ZJ32" s="161"/>
      <c r="ZK32" s="161"/>
      <c r="ZL32" s="161"/>
      <c r="ZM32" s="161"/>
      <c r="ZN32" s="161"/>
      <c r="ZO32" s="161"/>
      <c r="ZP32" s="161"/>
      <c r="ZQ32" s="161"/>
      <c r="ZR32" s="161"/>
      <c r="ZS32" s="161"/>
      <c r="ZT32" s="161"/>
      <c r="ZU32" s="161"/>
      <c r="ZV32" s="161"/>
      <c r="ZW32" s="161"/>
      <c r="ZX32" s="161"/>
      <c r="ZY32" s="161"/>
      <c r="ZZ32" s="161"/>
      <c r="AAA32" s="161"/>
      <c r="AAB32" s="161"/>
      <c r="AAC32" s="161"/>
      <c r="AAD32" s="161"/>
      <c r="AAE32" s="161"/>
      <c r="AAF32" s="161"/>
      <c r="AAG32" s="161"/>
      <c r="AAH32" s="161"/>
      <c r="AAI32" s="161"/>
      <c r="AAJ32" s="161"/>
      <c r="AAK32" s="161"/>
      <c r="AAL32" s="161"/>
      <c r="AAM32" s="161"/>
      <c r="AAN32" s="161"/>
      <c r="AAO32" s="161"/>
      <c r="AAP32" s="161"/>
      <c r="AAQ32" s="161"/>
      <c r="AAR32" s="161"/>
      <c r="AAS32" s="161"/>
      <c r="AAT32" s="161"/>
      <c r="AAU32" s="161"/>
      <c r="AAV32" s="161"/>
      <c r="AAW32" s="161"/>
      <c r="AAX32" s="161"/>
      <c r="AAY32" s="161"/>
      <c r="AAZ32" s="161"/>
      <c r="ABA32" s="161"/>
      <c r="ABB32" s="161"/>
      <c r="ABC32" s="161"/>
      <c r="ABD32" s="161"/>
      <c r="ABE32" s="161"/>
      <c r="ABF32" s="161"/>
      <c r="ABG32" s="161"/>
      <c r="ABH32" s="161"/>
      <c r="ABI32" s="161"/>
      <c r="ABJ32" s="161"/>
      <c r="ABK32" s="161"/>
      <c r="ABL32" s="161"/>
      <c r="ABM32" s="161"/>
      <c r="ABN32" s="161"/>
      <c r="ABO32" s="161"/>
      <c r="ABP32" s="161"/>
      <c r="ABQ32" s="161"/>
      <c r="ABR32" s="161"/>
      <c r="ABS32" s="161"/>
      <c r="ABT32" s="161"/>
      <c r="ABU32" s="161"/>
      <c r="ABV32" s="161"/>
      <c r="ABW32" s="161"/>
      <c r="ABX32" s="161"/>
      <c r="ABY32" s="161"/>
      <c r="ABZ32" s="161"/>
      <c r="ACA32" s="161"/>
      <c r="ACB32" s="161"/>
      <c r="ACC32" s="161"/>
      <c r="ACD32" s="161"/>
      <c r="ACE32" s="161"/>
      <c r="ACF32" s="161"/>
      <c r="ACG32" s="161"/>
      <c r="ACH32" s="161"/>
      <c r="ACI32" s="161"/>
      <c r="ACJ32" s="161"/>
      <c r="ACK32" s="161"/>
      <c r="ACL32" s="161"/>
      <c r="ACM32" s="161"/>
      <c r="ACN32" s="161"/>
      <c r="ACO32" s="161"/>
      <c r="ACP32" s="161"/>
      <c r="ACQ32" s="161"/>
      <c r="ACR32" s="161"/>
      <c r="ACS32" s="161"/>
      <c r="ACT32" s="161"/>
      <c r="ACU32" s="161"/>
      <c r="ACV32" s="161"/>
      <c r="ACW32" s="161"/>
      <c r="ACX32" s="161"/>
      <c r="ACY32" s="161"/>
      <c r="ACZ32" s="161"/>
      <c r="ADA32" s="161"/>
      <c r="ADB32" s="161"/>
      <c r="ADC32" s="161"/>
      <c r="ADD32" s="161"/>
      <c r="ADE32" s="161"/>
      <c r="ADF32" s="161"/>
      <c r="ADG32" s="161"/>
      <c r="ADH32" s="161"/>
      <c r="ADI32" s="161"/>
      <c r="ADJ32" s="161"/>
      <c r="ADK32" s="161"/>
      <c r="ADL32" s="161"/>
      <c r="ADM32" s="161"/>
      <c r="ADN32" s="161"/>
      <c r="ADO32" s="161"/>
      <c r="ADP32" s="161"/>
      <c r="ADQ32" s="161"/>
      <c r="ADR32" s="161"/>
      <c r="ADS32" s="161"/>
      <c r="ADT32" s="161"/>
      <c r="ADU32" s="161"/>
      <c r="ADV32" s="161"/>
      <c r="ADW32" s="161"/>
      <c r="ADX32" s="161"/>
      <c r="ADY32" s="161"/>
      <c r="ADZ32" s="161"/>
      <c r="AEA32" s="161"/>
      <c r="AEB32" s="161"/>
      <c r="AEC32" s="161"/>
      <c r="AED32" s="161"/>
      <c r="AEE32" s="161"/>
      <c r="AEF32" s="161"/>
      <c r="AEG32" s="161"/>
      <c r="AEH32" s="161"/>
      <c r="AEI32" s="161"/>
      <c r="AEJ32" s="161"/>
      <c r="AEK32" s="161"/>
      <c r="AEL32" s="161"/>
      <c r="AEM32" s="161"/>
      <c r="AEN32" s="161"/>
      <c r="AEO32" s="161"/>
      <c r="AEP32" s="161"/>
      <c r="AEQ32" s="161"/>
      <c r="AER32" s="161"/>
      <c r="AES32" s="161"/>
      <c r="AET32" s="161"/>
      <c r="AEU32" s="161"/>
      <c r="AEV32" s="161"/>
      <c r="AEW32" s="161"/>
      <c r="AEX32" s="161"/>
      <c r="AEY32" s="161"/>
      <c r="AEZ32" s="161"/>
      <c r="AFA32" s="161"/>
      <c r="AFB32" s="161"/>
      <c r="AFC32" s="161"/>
      <c r="AFD32" s="161"/>
      <c r="AFE32" s="161"/>
      <c r="AFF32" s="161"/>
      <c r="AFG32" s="161"/>
      <c r="AFH32" s="161"/>
      <c r="AFI32" s="161"/>
      <c r="AFJ32" s="161"/>
      <c r="AFK32" s="161"/>
      <c r="AFL32" s="161"/>
      <c r="AFM32" s="161"/>
      <c r="AFN32" s="161"/>
      <c r="AFO32" s="161"/>
      <c r="AFP32" s="161"/>
      <c r="AFQ32" s="161"/>
      <c r="AFR32" s="161"/>
      <c r="AFS32" s="161"/>
      <c r="AFT32" s="161"/>
      <c r="AFU32" s="161"/>
      <c r="AFV32" s="161"/>
      <c r="AFW32" s="161"/>
      <c r="AFX32" s="161"/>
      <c r="AFY32" s="161"/>
      <c r="AFZ32" s="161"/>
      <c r="AGA32" s="161"/>
      <c r="AGB32" s="161"/>
      <c r="AGC32" s="161"/>
      <c r="AGD32" s="161"/>
      <c r="AGE32" s="161"/>
      <c r="AGF32" s="161"/>
      <c r="AGG32" s="161"/>
      <c r="AGH32" s="161"/>
      <c r="AGI32" s="161"/>
      <c r="AGJ32" s="161"/>
      <c r="AGK32" s="161"/>
      <c r="AGL32" s="161"/>
      <c r="AGM32" s="161"/>
      <c r="AGN32" s="161"/>
      <c r="AGO32" s="161"/>
      <c r="AGP32" s="161"/>
      <c r="AGQ32" s="161"/>
      <c r="AGR32" s="161"/>
      <c r="AGS32" s="161"/>
      <c r="AGT32" s="161"/>
      <c r="AGU32" s="161"/>
      <c r="AGV32" s="161"/>
      <c r="AGW32" s="161"/>
      <c r="AGX32" s="161"/>
      <c r="AGY32" s="161"/>
      <c r="AGZ32" s="161"/>
      <c r="AHA32" s="161"/>
      <c r="AHB32" s="161"/>
      <c r="AHC32" s="161"/>
      <c r="AHD32" s="161"/>
      <c r="AHE32" s="161"/>
      <c r="AHF32" s="161"/>
      <c r="AHG32" s="161"/>
      <c r="AHH32" s="161"/>
      <c r="AHI32" s="161"/>
      <c r="AHJ32" s="161"/>
      <c r="AHK32" s="161"/>
      <c r="AHL32" s="161"/>
      <c r="AHM32" s="161"/>
      <c r="AHN32" s="161"/>
      <c r="AHO32" s="161"/>
      <c r="AHP32" s="161"/>
      <c r="AHQ32" s="161"/>
      <c r="AHR32" s="161"/>
      <c r="AHS32" s="161"/>
      <c r="AHT32" s="161"/>
      <c r="AHU32" s="161"/>
      <c r="AHV32" s="161"/>
      <c r="AHW32" s="161"/>
      <c r="AHX32" s="161"/>
      <c r="AHY32" s="161"/>
      <c r="AHZ32" s="161"/>
      <c r="AIA32" s="161"/>
      <c r="AIB32" s="161"/>
      <c r="AIC32" s="161"/>
      <c r="AID32" s="161"/>
      <c r="AIE32" s="161"/>
      <c r="AIF32" s="161"/>
    </row>
    <row r="33" spans="1:916" s="21" customFormat="1" ht="12.75">
      <c r="A33" s="331"/>
      <c r="B33" s="309" t="s">
        <v>31</v>
      </c>
      <c r="C33" s="146" t="s">
        <v>395</v>
      </c>
      <c r="D33" s="146"/>
      <c r="E33" s="324"/>
      <c r="F33" s="144">
        <f>'SBDI {G}'!A$16</f>
        <v>14.635875402792694</v>
      </c>
      <c r="G33" s="325" t="s">
        <v>261</v>
      </c>
      <c r="H33" s="258">
        <f>'SBDI {G}'!A$10</f>
        <v>1862</v>
      </c>
      <c r="I33" s="259">
        <f>'SBDI {G}'!A$8</f>
        <v>11457.07</v>
      </c>
      <c r="J33" s="259">
        <f>'SBDI {G}'!A$12</f>
        <v>5461.02</v>
      </c>
      <c r="K33" s="259">
        <f>'SBDI {G}'!A$14</f>
        <v>21120</v>
      </c>
      <c r="L33" s="259">
        <f>SUM('SBDI {G}'!Q$5:Q$999)</f>
        <v>26581.02</v>
      </c>
      <c r="M33" s="259"/>
      <c r="N33" s="260">
        <f>'SBDI {G}'!A$18</f>
        <v>34610.57</v>
      </c>
      <c r="O33" s="259">
        <f>'SBDI {G}'!A$20</f>
        <v>38038.089999999997</v>
      </c>
      <c r="P33" s="259">
        <f>SUM('SBDI {G}'!R$5:R$999)</f>
        <v>132.69</v>
      </c>
      <c r="Q33" s="261">
        <f t="shared" si="13"/>
        <v>32355.398709918667</v>
      </c>
      <c r="R33" s="261">
        <f t="shared" si="13"/>
        <v>35559.586800037388</v>
      </c>
      <c r="S33" s="259">
        <f>SUM('SBDI {G}'!AM$5:AM$999)</f>
        <v>17717.6824095704</v>
      </c>
      <c r="T33" s="259">
        <f>SUM('SBDI {G}'!AD$5:AD$999)</f>
        <v>7466.022413300997</v>
      </c>
      <c r="U33" s="133">
        <f>IFERROR(S33/Q33,0)</f>
        <v>0.54759586084590506</v>
      </c>
      <c r="V33" s="133">
        <f>IFERROR(((S33*1.1)+(T33))/R33,0)</f>
        <v>0.75803673466194765</v>
      </c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  <c r="PJ33" s="161"/>
      <c r="PK33" s="161"/>
      <c r="PL33" s="161"/>
      <c r="PM33" s="161"/>
      <c r="PN33" s="161"/>
      <c r="PO33" s="161"/>
      <c r="PP33" s="161"/>
      <c r="PQ33" s="161"/>
      <c r="PR33" s="161"/>
      <c r="PS33" s="161"/>
      <c r="PT33" s="161"/>
      <c r="PU33" s="161"/>
      <c r="PV33" s="161"/>
      <c r="PW33" s="161"/>
      <c r="PX33" s="161"/>
      <c r="PY33" s="161"/>
      <c r="PZ33" s="161"/>
      <c r="QA33" s="161"/>
      <c r="QB33" s="161"/>
      <c r="QC33" s="161"/>
      <c r="QD33" s="161"/>
      <c r="QE33" s="161"/>
      <c r="QF33" s="161"/>
      <c r="QG33" s="161"/>
      <c r="QH33" s="161"/>
      <c r="QI33" s="161"/>
      <c r="QJ33" s="161"/>
      <c r="QK33" s="161"/>
      <c r="QL33" s="161"/>
      <c r="QM33" s="161"/>
      <c r="QN33" s="161"/>
      <c r="QO33" s="161"/>
      <c r="QP33" s="161"/>
      <c r="QQ33" s="161"/>
      <c r="QR33" s="161"/>
      <c r="QS33" s="161"/>
      <c r="QT33" s="161"/>
      <c r="QU33" s="161"/>
      <c r="QV33" s="161"/>
      <c r="QW33" s="161"/>
      <c r="QX33" s="161"/>
      <c r="QY33" s="161"/>
      <c r="QZ33" s="161"/>
      <c r="RA33" s="161"/>
      <c r="RB33" s="161"/>
      <c r="RC33" s="161"/>
      <c r="RD33" s="161"/>
      <c r="RE33" s="161"/>
      <c r="RF33" s="161"/>
      <c r="RG33" s="161"/>
      <c r="RH33" s="161"/>
      <c r="RI33" s="161"/>
      <c r="RJ33" s="161"/>
      <c r="RK33" s="161"/>
      <c r="RL33" s="161"/>
      <c r="RM33" s="161"/>
      <c r="RN33" s="161"/>
      <c r="RO33" s="161"/>
      <c r="RP33" s="161"/>
      <c r="RQ33" s="161"/>
      <c r="RR33" s="161"/>
      <c r="RS33" s="161"/>
      <c r="RT33" s="161"/>
      <c r="RU33" s="161"/>
      <c r="RV33" s="161"/>
      <c r="RW33" s="161"/>
      <c r="RX33" s="161"/>
      <c r="RY33" s="161"/>
      <c r="RZ33" s="161"/>
      <c r="SA33" s="161"/>
      <c r="SB33" s="161"/>
      <c r="SC33" s="161"/>
      <c r="SD33" s="161"/>
      <c r="SE33" s="161"/>
      <c r="SF33" s="161"/>
      <c r="SG33" s="161"/>
      <c r="SH33" s="161"/>
      <c r="SI33" s="161"/>
      <c r="SJ33" s="161"/>
      <c r="SK33" s="161"/>
      <c r="SL33" s="161"/>
      <c r="SM33" s="161"/>
      <c r="SN33" s="161"/>
      <c r="SO33" s="161"/>
      <c r="SP33" s="161"/>
      <c r="SQ33" s="161"/>
      <c r="SR33" s="161"/>
      <c r="SS33" s="161"/>
      <c r="ST33" s="161"/>
      <c r="SU33" s="161"/>
      <c r="SV33" s="161"/>
      <c r="SW33" s="161"/>
      <c r="SX33" s="161"/>
      <c r="SY33" s="161"/>
      <c r="SZ33" s="161"/>
      <c r="TA33" s="161"/>
      <c r="TB33" s="161"/>
      <c r="TC33" s="161"/>
      <c r="TD33" s="161"/>
      <c r="TE33" s="161"/>
      <c r="TF33" s="161"/>
      <c r="TG33" s="161"/>
      <c r="TH33" s="161"/>
      <c r="TI33" s="161"/>
      <c r="TJ33" s="161"/>
      <c r="TK33" s="161"/>
      <c r="TL33" s="161"/>
      <c r="TM33" s="161"/>
      <c r="TN33" s="161"/>
      <c r="TO33" s="161"/>
      <c r="TP33" s="161"/>
      <c r="TQ33" s="161"/>
      <c r="TR33" s="161"/>
      <c r="TS33" s="161"/>
      <c r="TT33" s="161"/>
      <c r="TU33" s="161"/>
      <c r="TV33" s="161"/>
      <c r="TW33" s="161"/>
      <c r="TX33" s="161"/>
      <c r="TY33" s="161"/>
      <c r="TZ33" s="161"/>
      <c r="UA33" s="161"/>
      <c r="UB33" s="161"/>
      <c r="UC33" s="161"/>
      <c r="UD33" s="161"/>
      <c r="UE33" s="161"/>
      <c r="UF33" s="161"/>
      <c r="UG33" s="161"/>
      <c r="UH33" s="161"/>
      <c r="UI33" s="161"/>
      <c r="UJ33" s="161"/>
      <c r="UK33" s="161"/>
      <c r="UL33" s="161"/>
      <c r="UM33" s="161"/>
      <c r="UN33" s="161"/>
      <c r="UO33" s="161"/>
      <c r="UP33" s="161"/>
      <c r="UQ33" s="161"/>
      <c r="UR33" s="161"/>
      <c r="US33" s="161"/>
      <c r="UT33" s="161"/>
      <c r="UU33" s="161"/>
      <c r="UV33" s="161"/>
      <c r="UW33" s="161"/>
      <c r="UX33" s="161"/>
      <c r="UY33" s="161"/>
      <c r="UZ33" s="161"/>
      <c r="VA33" s="161"/>
      <c r="VB33" s="161"/>
      <c r="VC33" s="161"/>
      <c r="VD33" s="161"/>
      <c r="VE33" s="161"/>
      <c r="VF33" s="161"/>
      <c r="VG33" s="161"/>
      <c r="VH33" s="161"/>
      <c r="VI33" s="161"/>
      <c r="VJ33" s="161"/>
      <c r="VK33" s="161"/>
      <c r="VL33" s="161"/>
      <c r="VM33" s="161"/>
      <c r="VN33" s="161"/>
      <c r="VO33" s="161"/>
      <c r="VP33" s="161"/>
      <c r="VQ33" s="161"/>
      <c r="VR33" s="161"/>
      <c r="VS33" s="161"/>
      <c r="VT33" s="161"/>
      <c r="VU33" s="161"/>
      <c r="VV33" s="161"/>
      <c r="VW33" s="161"/>
      <c r="VX33" s="161"/>
      <c r="VY33" s="161"/>
      <c r="VZ33" s="161"/>
      <c r="WA33" s="161"/>
      <c r="WB33" s="161"/>
      <c r="WC33" s="161"/>
      <c r="WD33" s="161"/>
      <c r="WE33" s="161"/>
      <c r="WF33" s="161"/>
      <c r="WG33" s="161"/>
      <c r="WH33" s="161"/>
      <c r="WI33" s="161"/>
      <c r="WJ33" s="161"/>
      <c r="WK33" s="161"/>
      <c r="WL33" s="161"/>
      <c r="WM33" s="161"/>
      <c r="WN33" s="161"/>
      <c r="WO33" s="161"/>
      <c r="WP33" s="161"/>
      <c r="WQ33" s="161"/>
      <c r="WR33" s="161"/>
      <c r="WS33" s="161"/>
      <c r="WT33" s="161"/>
      <c r="WU33" s="161"/>
      <c r="WV33" s="161"/>
      <c r="WW33" s="161"/>
      <c r="WX33" s="161"/>
      <c r="WY33" s="161"/>
      <c r="WZ33" s="161"/>
      <c r="XA33" s="161"/>
      <c r="XB33" s="161"/>
      <c r="XC33" s="161"/>
      <c r="XD33" s="161"/>
      <c r="XE33" s="161"/>
      <c r="XF33" s="161"/>
      <c r="XG33" s="161"/>
      <c r="XH33" s="161"/>
      <c r="XI33" s="161"/>
      <c r="XJ33" s="161"/>
      <c r="XK33" s="161"/>
      <c r="XL33" s="161"/>
      <c r="XM33" s="161"/>
      <c r="XN33" s="161"/>
      <c r="XO33" s="161"/>
      <c r="XP33" s="161"/>
      <c r="XQ33" s="161"/>
      <c r="XR33" s="161"/>
      <c r="XS33" s="161"/>
      <c r="XT33" s="161"/>
      <c r="XU33" s="161"/>
      <c r="XV33" s="161"/>
      <c r="XW33" s="161"/>
      <c r="XX33" s="161"/>
      <c r="XY33" s="161"/>
      <c r="XZ33" s="161"/>
      <c r="YA33" s="161"/>
      <c r="YB33" s="161"/>
      <c r="YC33" s="161"/>
      <c r="YD33" s="161"/>
      <c r="YE33" s="161"/>
      <c r="YF33" s="161"/>
      <c r="YG33" s="161"/>
      <c r="YH33" s="161"/>
      <c r="YI33" s="161"/>
      <c r="YJ33" s="161"/>
      <c r="YK33" s="161"/>
      <c r="YL33" s="161"/>
      <c r="YM33" s="161"/>
      <c r="YN33" s="161"/>
      <c r="YO33" s="161"/>
      <c r="YP33" s="161"/>
      <c r="YQ33" s="161"/>
      <c r="YR33" s="161"/>
      <c r="YS33" s="161"/>
      <c r="YT33" s="161"/>
      <c r="YU33" s="161"/>
      <c r="YV33" s="161"/>
      <c r="YW33" s="161"/>
      <c r="YX33" s="161"/>
      <c r="YY33" s="161"/>
      <c r="YZ33" s="161"/>
      <c r="ZA33" s="161"/>
      <c r="ZB33" s="161"/>
      <c r="ZC33" s="161"/>
      <c r="ZD33" s="161"/>
      <c r="ZE33" s="161"/>
      <c r="ZF33" s="161"/>
      <c r="ZG33" s="161"/>
      <c r="ZH33" s="161"/>
      <c r="ZI33" s="161"/>
      <c r="ZJ33" s="161"/>
      <c r="ZK33" s="161"/>
      <c r="ZL33" s="161"/>
      <c r="ZM33" s="161"/>
      <c r="ZN33" s="161"/>
      <c r="ZO33" s="161"/>
      <c r="ZP33" s="161"/>
      <c r="ZQ33" s="161"/>
      <c r="ZR33" s="161"/>
      <c r="ZS33" s="161"/>
      <c r="ZT33" s="161"/>
      <c r="ZU33" s="161"/>
      <c r="ZV33" s="161"/>
      <c r="ZW33" s="161"/>
      <c r="ZX33" s="161"/>
      <c r="ZY33" s="161"/>
      <c r="ZZ33" s="161"/>
      <c r="AAA33" s="161"/>
      <c r="AAB33" s="161"/>
      <c r="AAC33" s="161"/>
      <c r="AAD33" s="161"/>
      <c r="AAE33" s="161"/>
      <c r="AAF33" s="161"/>
      <c r="AAG33" s="161"/>
      <c r="AAH33" s="161"/>
      <c r="AAI33" s="161"/>
      <c r="AAJ33" s="161"/>
      <c r="AAK33" s="161"/>
      <c r="AAL33" s="161"/>
      <c r="AAM33" s="161"/>
      <c r="AAN33" s="161"/>
      <c r="AAO33" s="161"/>
      <c r="AAP33" s="161"/>
      <c r="AAQ33" s="161"/>
      <c r="AAR33" s="161"/>
      <c r="AAS33" s="161"/>
      <c r="AAT33" s="161"/>
      <c r="AAU33" s="161"/>
      <c r="AAV33" s="161"/>
      <c r="AAW33" s="161"/>
      <c r="AAX33" s="161"/>
      <c r="AAY33" s="161"/>
      <c r="AAZ33" s="161"/>
      <c r="ABA33" s="161"/>
      <c r="ABB33" s="161"/>
      <c r="ABC33" s="161"/>
      <c r="ABD33" s="161"/>
      <c r="ABE33" s="161"/>
      <c r="ABF33" s="161"/>
      <c r="ABG33" s="161"/>
      <c r="ABH33" s="161"/>
      <c r="ABI33" s="161"/>
      <c r="ABJ33" s="161"/>
      <c r="ABK33" s="161"/>
      <c r="ABL33" s="161"/>
      <c r="ABM33" s="161"/>
      <c r="ABN33" s="161"/>
      <c r="ABO33" s="161"/>
      <c r="ABP33" s="161"/>
      <c r="ABQ33" s="161"/>
      <c r="ABR33" s="161"/>
      <c r="ABS33" s="161"/>
      <c r="ABT33" s="161"/>
      <c r="ABU33" s="161"/>
      <c r="ABV33" s="161"/>
      <c r="ABW33" s="161"/>
      <c r="ABX33" s="161"/>
      <c r="ABY33" s="161"/>
      <c r="ABZ33" s="161"/>
      <c r="ACA33" s="161"/>
      <c r="ACB33" s="161"/>
      <c r="ACC33" s="161"/>
      <c r="ACD33" s="161"/>
      <c r="ACE33" s="161"/>
      <c r="ACF33" s="161"/>
      <c r="ACG33" s="161"/>
      <c r="ACH33" s="161"/>
      <c r="ACI33" s="161"/>
      <c r="ACJ33" s="161"/>
      <c r="ACK33" s="161"/>
      <c r="ACL33" s="161"/>
      <c r="ACM33" s="161"/>
      <c r="ACN33" s="161"/>
      <c r="ACO33" s="161"/>
      <c r="ACP33" s="161"/>
      <c r="ACQ33" s="161"/>
      <c r="ACR33" s="161"/>
      <c r="ACS33" s="161"/>
      <c r="ACT33" s="161"/>
      <c r="ACU33" s="161"/>
      <c r="ACV33" s="161"/>
      <c r="ACW33" s="161"/>
      <c r="ACX33" s="161"/>
      <c r="ACY33" s="161"/>
      <c r="ACZ33" s="161"/>
      <c r="ADA33" s="161"/>
      <c r="ADB33" s="161"/>
      <c r="ADC33" s="161"/>
      <c r="ADD33" s="161"/>
      <c r="ADE33" s="161"/>
      <c r="ADF33" s="161"/>
      <c r="ADG33" s="161"/>
      <c r="ADH33" s="161"/>
      <c r="ADI33" s="161"/>
      <c r="ADJ33" s="161"/>
      <c r="ADK33" s="161"/>
      <c r="ADL33" s="161"/>
      <c r="ADM33" s="161"/>
      <c r="ADN33" s="161"/>
      <c r="ADO33" s="161"/>
      <c r="ADP33" s="161"/>
      <c r="ADQ33" s="161"/>
      <c r="ADR33" s="161"/>
      <c r="ADS33" s="161"/>
      <c r="ADT33" s="161"/>
      <c r="ADU33" s="161"/>
      <c r="ADV33" s="161"/>
      <c r="ADW33" s="161"/>
      <c r="ADX33" s="161"/>
      <c r="ADY33" s="161"/>
      <c r="ADZ33" s="161"/>
      <c r="AEA33" s="161"/>
      <c r="AEB33" s="161"/>
      <c r="AEC33" s="161"/>
      <c r="AED33" s="161"/>
      <c r="AEE33" s="161"/>
      <c r="AEF33" s="161"/>
      <c r="AEG33" s="161"/>
      <c r="AEH33" s="161"/>
      <c r="AEI33" s="161"/>
      <c r="AEJ33" s="161"/>
      <c r="AEK33" s="161"/>
      <c r="AEL33" s="161"/>
      <c r="AEM33" s="161"/>
      <c r="AEN33" s="161"/>
      <c r="AEO33" s="161"/>
      <c r="AEP33" s="161"/>
      <c r="AEQ33" s="161"/>
      <c r="AER33" s="161"/>
      <c r="AES33" s="161"/>
      <c r="AET33" s="161"/>
      <c r="AEU33" s="161"/>
      <c r="AEV33" s="161"/>
      <c r="AEW33" s="161"/>
      <c r="AEX33" s="161"/>
      <c r="AEY33" s="161"/>
      <c r="AEZ33" s="161"/>
      <c r="AFA33" s="161"/>
      <c r="AFB33" s="161"/>
      <c r="AFC33" s="161"/>
      <c r="AFD33" s="161"/>
      <c r="AFE33" s="161"/>
      <c r="AFF33" s="161"/>
      <c r="AFG33" s="161"/>
      <c r="AFH33" s="161"/>
      <c r="AFI33" s="161"/>
      <c r="AFJ33" s="161"/>
      <c r="AFK33" s="161"/>
      <c r="AFL33" s="161"/>
      <c r="AFM33" s="161"/>
      <c r="AFN33" s="161"/>
      <c r="AFO33" s="161"/>
      <c r="AFP33" s="161"/>
      <c r="AFQ33" s="161"/>
      <c r="AFR33" s="161"/>
      <c r="AFS33" s="161"/>
      <c r="AFT33" s="161"/>
      <c r="AFU33" s="161"/>
      <c r="AFV33" s="161"/>
      <c r="AFW33" s="161"/>
      <c r="AFX33" s="161"/>
      <c r="AFY33" s="161"/>
      <c r="AFZ33" s="161"/>
      <c r="AGA33" s="161"/>
      <c r="AGB33" s="161"/>
      <c r="AGC33" s="161"/>
      <c r="AGD33" s="161"/>
      <c r="AGE33" s="161"/>
      <c r="AGF33" s="161"/>
      <c r="AGG33" s="161"/>
      <c r="AGH33" s="161"/>
      <c r="AGI33" s="161"/>
      <c r="AGJ33" s="161"/>
      <c r="AGK33" s="161"/>
      <c r="AGL33" s="161"/>
      <c r="AGM33" s="161"/>
      <c r="AGN33" s="161"/>
      <c r="AGO33" s="161"/>
      <c r="AGP33" s="161"/>
      <c r="AGQ33" s="161"/>
      <c r="AGR33" s="161"/>
      <c r="AGS33" s="161"/>
      <c r="AGT33" s="161"/>
      <c r="AGU33" s="161"/>
      <c r="AGV33" s="161"/>
      <c r="AGW33" s="161"/>
      <c r="AGX33" s="161"/>
      <c r="AGY33" s="161"/>
      <c r="AGZ33" s="161"/>
      <c r="AHA33" s="161"/>
      <c r="AHB33" s="161"/>
      <c r="AHC33" s="161"/>
      <c r="AHD33" s="161"/>
      <c r="AHE33" s="161"/>
      <c r="AHF33" s="161"/>
      <c r="AHG33" s="161"/>
      <c r="AHH33" s="161"/>
      <c r="AHI33" s="161"/>
      <c r="AHJ33" s="161"/>
      <c r="AHK33" s="161"/>
      <c r="AHL33" s="161"/>
      <c r="AHM33" s="161"/>
      <c r="AHN33" s="161"/>
      <c r="AHO33" s="161"/>
      <c r="AHP33" s="161"/>
      <c r="AHQ33" s="161"/>
      <c r="AHR33" s="161"/>
      <c r="AHS33" s="161"/>
      <c r="AHT33" s="161"/>
      <c r="AHU33" s="161"/>
      <c r="AHV33" s="161"/>
      <c r="AHW33" s="161"/>
      <c r="AHX33" s="161"/>
      <c r="AHY33" s="161"/>
      <c r="AHZ33" s="161"/>
      <c r="AIA33" s="161"/>
      <c r="AIB33" s="161"/>
      <c r="AIC33" s="161"/>
      <c r="AID33" s="161"/>
      <c r="AIE33" s="161"/>
      <c r="AIF33" s="161"/>
    </row>
    <row r="34" spans="1:916" s="21" customFormat="1" ht="12.75">
      <c r="B34" s="316" t="s">
        <v>456</v>
      </c>
      <c r="C34" s="317"/>
      <c r="D34" s="316"/>
      <c r="E34" s="316"/>
      <c r="F34" s="332"/>
      <c r="G34" s="332"/>
      <c r="H34" s="333">
        <f>SUM(H23:H28,H30:H33)</f>
        <v>2966190.4</v>
      </c>
      <c r="I34" s="334">
        <f>SUM(I23:I28,I30:I33)</f>
        <v>3316266.0000000005</v>
      </c>
      <c r="J34" s="334">
        <f>SUM(J23:J28,J30:J33)</f>
        <v>5215133.4999999991</v>
      </c>
      <c r="K34" s="334">
        <f>SUM(K23:K28,K30:K33)</f>
        <v>4588557.7699999986</v>
      </c>
      <c r="L34" s="334">
        <f>SUM(L23:L28,L30:L33)</f>
        <v>9803691.2699999996</v>
      </c>
      <c r="M34" s="335"/>
      <c r="N34" s="333">
        <f>SUM(N23:N28,N30:N33)</f>
        <v>10335279.280000001</v>
      </c>
      <c r="O34" s="334">
        <f>SUM(O23:O28,O30:O33)</f>
        <v>13119957.270000001</v>
      </c>
      <c r="P34" s="334">
        <f>SUM(P23:P27,P30:P33)</f>
        <v>75889.59</v>
      </c>
      <c r="Q34" s="334">
        <f>SUM(Q23:Q28,Q30:Q33)</f>
        <v>9661848.4434888288</v>
      </c>
      <c r="R34" s="334">
        <f>SUM(R23:R28,R30:R33)</f>
        <v>12265081.116200801</v>
      </c>
      <c r="S34" s="334">
        <f>SUM(S23:S28,S30:S33)</f>
        <v>21445209.704775795</v>
      </c>
      <c r="T34" s="334">
        <f>SUM(T23:T27,T30:T33)</f>
        <v>4526507.7925468897</v>
      </c>
      <c r="U34" s="506">
        <f>S34/Q34</f>
        <v>2.2195762881405821</v>
      </c>
      <c r="V34" s="506">
        <f>(S34*1.1+T34)/R34</f>
        <v>2.2923809636009547</v>
      </c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  <c r="PJ34" s="161"/>
      <c r="PK34" s="161"/>
      <c r="PL34" s="161"/>
      <c r="PM34" s="161"/>
      <c r="PN34" s="161"/>
      <c r="PO34" s="161"/>
      <c r="PP34" s="161"/>
      <c r="PQ34" s="161"/>
      <c r="PR34" s="161"/>
      <c r="PS34" s="161"/>
      <c r="PT34" s="161"/>
      <c r="PU34" s="161"/>
      <c r="PV34" s="161"/>
      <c r="PW34" s="161"/>
      <c r="PX34" s="161"/>
      <c r="PY34" s="161"/>
      <c r="PZ34" s="161"/>
      <c r="QA34" s="161"/>
      <c r="QB34" s="161"/>
      <c r="QC34" s="161"/>
      <c r="QD34" s="161"/>
      <c r="QE34" s="161"/>
      <c r="QF34" s="161"/>
      <c r="QG34" s="161"/>
      <c r="QH34" s="161"/>
      <c r="QI34" s="161"/>
      <c r="QJ34" s="161"/>
      <c r="QK34" s="161"/>
      <c r="QL34" s="161"/>
      <c r="QM34" s="161"/>
      <c r="QN34" s="161"/>
      <c r="QO34" s="161"/>
      <c r="QP34" s="161"/>
      <c r="QQ34" s="161"/>
      <c r="QR34" s="161"/>
      <c r="QS34" s="161"/>
      <c r="QT34" s="161"/>
      <c r="QU34" s="161"/>
      <c r="QV34" s="161"/>
      <c r="QW34" s="161"/>
      <c r="QX34" s="161"/>
      <c r="QY34" s="161"/>
      <c r="QZ34" s="161"/>
      <c r="RA34" s="161"/>
      <c r="RB34" s="161"/>
      <c r="RC34" s="161"/>
      <c r="RD34" s="161"/>
      <c r="RE34" s="161"/>
      <c r="RF34" s="161"/>
      <c r="RG34" s="161"/>
      <c r="RH34" s="161"/>
      <c r="RI34" s="161"/>
      <c r="RJ34" s="161"/>
      <c r="RK34" s="161"/>
      <c r="RL34" s="161"/>
      <c r="RM34" s="161"/>
      <c r="RN34" s="161"/>
      <c r="RO34" s="161"/>
      <c r="RP34" s="161"/>
      <c r="RQ34" s="161"/>
      <c r="RR34" s="161"/>
      <c r="RS34" s="161"/>
      <c r="RT34" s="161"/>
      <c r="RU34" s="161"/>
      <c r="RV34" s="161"/>
      <c r="RW34" s="161"/>
      <c r="RX34" s="161"/>
      <c r="RY34" s="161"/>
      <c r="RZ34" s="161"/>
      <c r="SA34" s="161"/>
      <c r="SB34" s="161"/>
      <c r="SC34" s="161"/>
      <c r="SD34" s="161"/>
      <c r="SE34" s="161"/>
      <c r="SF34" s="161"/>
      <c r="SG34" s="161"/>
      <c r="SH34" s="161"/>
      <c r="SI34" s="161"/>
      <c r="SJ34" s="161"/>
      <c r="SK34" s="161"/>
      <c r="SL34" s="161"/>
      <c r="SM34" s="161"/>
      <c r="SN34" s="161"/>
      <c r="SO34" s="161"/>
      <c r="SP34" s="161"/>
      <c r="SQ34" s="161"/>
      <c r="SR34" s="161"/>
      <c r="SS34" s="161"/>
      <c r="ST34" s="161"/>
      <c r="SU34" s="161"/>
      <c r="SV34" s="161"/>
      <c r="SW34" s="161"/>
      <c r="SX34" s="161"/>
      <c r="SY34" s="161"/>
      <c r="SZ34" s="161"/>
      <c r="TA34" s="161"/>
      <c r="TB34" s="161"/>
      <c r="TC34" s="161"/>
      <c r="TD34" s="161"/>
      <c r="TE34" s="161"/>
      <c r="TF34" s="161"/>
      <c r="TG34" s="161"/>
      <c r="TH34" s="161"/>
      <c r="TI34" s="161"/>
      <c r="TJ34" s="161"/>
      <c r="TK34" s="161"/>
      <c r="TL34" s="161"/>
      <c r="TM34" s="161"/>
      <c r="TN34" s="161"/>
      <c r="TO34" s="161"/>
      <c r="TP34" s="161"/>
      <c r="TQ34" s="161"/>
      <c r="TR34" s="161"/>
      <c r="TS34" s="161"/>
      <c r="TT34" s="161"/>
      <c r="TU34" s="161"/>
      <c r="TV34" s="161"/>
      <c r="TW34" s="161"/>
      <c r="TX34" s="161"/>
      <c r="TY34" s="161"/>
      <c r="TZ34" s="161"/>
      <c r="UA34" s="161"/>
      <c r="UB34" s="161"/>
      <c r="UC34" s="161"/>
      <c r="UD34" s="161"/>
      <c r="UE34" s="161"/>
      <c r="UF34" s="161"/>
      <c r="UG34" s="161"/>
      <c r="UH34" s="161"/>
      <c r="UI34" s="161"/>
      <c r="UJ34" s="161"/>
      <c r="UK34" s="161"/>
      <c r="UL34" s="161"/>
      <c r="UM34" s="161"/>
      <c r="UN34" s="161"/>
      <c r="UO34" s="161"/>
      <c r="UP34" s="161"/>
      <c r="UQ34" s="161"/>
      <c r="UR34" s="161"/>
      <c r="US34" s="161"/>
      <c r="UT34" s="161"/>
      <c r="UU34" s="161"/>
      <c r="UV34" s="161"/>
      <c r="UW34" s="161"/>
      <c r="UX34" s="161"/>
      <c r="UY34" s="161"/>
      <c r="UZ34" s="161"/>
      <c r="VA34" s="161"/>
      <c r="VB34" s="161"/>
      <c r="VC34" s="161"/>
      <c r="VD34" s="161"/>
      <c r="VE34" s="161"/>
      <c r="VF34" s="161"/>
      <c r="VG34" s="161"/>
      <c r="VH34" s="161"/>
      <c r="VI34" s="161"/>
      <c r="VJ34" s="161"/>
      <c r="VK34" s="161"/>
      <c r="VL34" s="161"/>
      <c r="VM34" s="161"/>
      <c r="VN34" s="161"/>
      <c r="VO34" s="161"/>
      <c r="VP34" s="161"/>
      <c r="VQ34" s="161"/>
      <c r="VR34" s="161"/>
      <c r="VS34" s="161"/>
      <c r="VT34" s="161"/>
      <c r="VU34" s="161"/>
      <c r="VV34" s="161"/>
      <c r="VW34" s="161"/>
      <c r="VX34" s="161"/>
      <c r="VY34" s="161"/>
      <c r="VZ34" s="161"/>
      <c r="WA34" s="161"/>
      <c r="WB34" s="161"/>
      <c r="WC34" s="161"/>
      <c r="WD34" s="161"/>
      <c r="WE34" s="161"/>
      <c r="WF34" s="161"/>
      <c r="WG34" s="161"/>
      <c r="WH34" s="161"/>
      <c r="WI34" s="161"/>
      <c r="WJ34" s="161"/>
      <c r="WK34" s="161"/>
      <c r="WL34" s="161"/>
      <c r="WM34" s="161"/>
      <c r="WN34" s="161"/>
      <c r="WO34" s="161"/>
      <c r="WP34" s="161"/>
      <c r="WQ34" s="161"/>
      <c r="WR34" s="161"/>
      <c r="WS34" s="161"/>
      <c r="WT34" s="161"/>
      <c r="WU34" s="161"/>
      <c r="WV34" s="161"/>
      <c r="WW34" s="161"/>
      <c r="WX34" s="161"/>
      <c r="WY34" s="161"/>
      <c r="WZ34" s="161"/>
      <c r="XA34" s="161"/>
      <c r="XB34" s="161"/>
      <c r="XC34" s="161"/>
      <c r="XD34" s="161"/>
      <c r="XE34" s="161"/>
      <c r="XF34" s="161"/>
      <c r="XG34" s="161"/>
      <c r="XH34" s="161"/>
      <c r="XI34" s="161"/>
      <c r="XJ34" s="161"/>
      <c r="XK34" s="161"/>
      <c r="XL34" s="161"/>
      <c r="XM34" s="161"/>
      <c r="XN34" s="161"/>
      <c r="XO34" s="161"/>
      <c r="XP34" s="161"/>
      <c r="XQ34" s="161"/>
      <c r="XR34" s="161"/>
      <c r="XS34" s="161"/>
      <c r="XT34" s="161"/>
      <c r="XU34" s="161"/>
      <c r="XV34" s="161"/>
      <c r="XW34" s="161"/>
      <c r="XX34" s="161"/>
      <c r="XY34" s="161"/>
      <c r="XZ34" s="161"/>
      <c r="YA34" s="161"/>
      <c r="YB34" s="161"/>
      <c r="YC34" s="161"/>
      <c r="YD34" s="161"/>
      <c r="YE34" s="161"/>
      <c r="YF34" s="161"/>
      <c r="YG34" s="161"/>
      <c r="YH34" s="161"/>
      <c r="YI34" s="161"/>
      <c r="YJ34" s="161"/>
      <c r="YK34" s="161"/>
      <c r="YL34" s="161"/>
      <c r="YM34" s="161"/>
      <c r="YN34" s="161"/>
      <c r="YO34" s="161"/>
      <c r="YP34" s="161"/>
      <c r="YQ34" s="161"/>
      <c r="YR34" s="161"/>
      <c r="YS34" s="161"/>
      <c r="YT34" s="161"/>
      <c r="YU34" s="161"/>
      <c r="YV34" s="161"/>
      <c r="YW34" s="161"/>
      <c r="YX34" s="161"/>
      <c r="YY34" s="161"/>
      <c r="YZ34" s="161"/>
      <c r="ZA34" s="161"/>
      <c r="ZB34" s="161"/>
      <c r="ZC34" s="161"/>
      <c r="ZD34" s="161"/>
      <c r="ZE34" s="161"/>
      <c r="ZF34" s="161"/>
      <c r="ZG34" s="161"/>
      <c r="ZH34" s="161"/>
      <c r="ZI34" s="161"/>
      <c r="ZJ34" s="161"/>
      <c r="ZK34" s="161"/>
      <c r="ZL34" s="161"/>
      <c r="ZM34" s="161"/>
      <c r="ZN34" s="161"/>
      <c r="ZO34" s="161"/>
      <c r="ZP34" s="161"/>
      <c r="ZQ34" s="161"/>
      <c r="ZR34" s="161"/>
      <c r="ZS34" s="161"/>
      <c r="ZT34" s="161"/>
      <c r="ZU34" s="161"/>
      <c r="ZV34" s="161"/>
      <c r="ZW34" s="161"/>
      <c r="ZX34" s="161"/>
      <c r="ZY34" s="161"/>
      <c r="ZZ34" s="161"/>
      <c r="AAA34" s="161"/>
      <c r="AAB34" s="161"/>
      <c r="AAC34" s="161"/>
      <c r="AAD34" s="161"/>
      <c r="AAE34" s="161"/>
      <c r="AAF34" s="161"/>
      <c r="AAG34" s="161"/>
      <c r="AAH34" s="161"/>
      <c r="AAI34" s="161"/>
      <c r="AAJ34" s="161"/>
      <c r="AAK34" s="161"/>
      <c r="AAL34" s="161"/>
      <c r="AAM34" s="161"/>
      <c r="AAN34" s="161"/>
      <c r="AAO34" s="161"/>
      <c r="AAP34" s="161"/>
      <c r="AAQ34" s="161"/>
      <c r="AAR34" s="161"/>
      <c r="AAS34" s="161"/>
      <c r="AAT34" s="161"/>
      <c r="AAU34" s="161"/>
      <c r="AAV34" s="161"/>
      <c r="AAW34" s="161"/>
      <c r="AAX34" s="161"/>
      <c r="AAY34" s="161"/>
      <c r="AAZ34" s="161"/>
      <c r="ABA34" s="161"/>
      <c r="ABB34" s="161"/>
      <c r="ABC34" s="161"/>
      <c r="ABD34" s="161"/>
      <c r="ABE34" s="161"/>
      <c r="ABF34" s="161"/>
      <c r="ABG34" s="161"/>
      <c r="ABH34" s="161"/>
      <c r="ABI34" s="161"/>
      <c r="ABJ34" s="161"/>
      <c r="ABK34" s="161"/>
      <c r="ABL34" s="161"/>
      <c r="ABM34" s="161"/>
      <c r="ABN34" s="161"/>
      <c r="ABO34" s="161"/>
      <c r="ABP34" s="161"/>
      <c r="ABQ34" s="161"/>
      <c r="ABR34" s="161"/>
      <c r="ABS34" s="161"/>
      <c r="ABT34" s="161"/>
      <c r="ABU34" s="161"/>
      <c r="ABV34" s="161"/>
      <c r="ABW34" s="161"/>
      <c r="ABX34" s="161"/>
      <c r="ABY34" s="161"/>
      <c r="ABZ34" s="161"/>
      <c r="ACA34" s="161"/>
      <c r="ACB34" s="161"/>
      <c r="ACC34" s="161"/>
      <c r="ACD34" s="161"/>
      <c r="ACE34" s="161"/>
      <c r="ACF34" s="161"/>
      <c r="ACG34" s="161"/>
      <c r="ACH34" s="161"/>
      <c r="ACI34" s="161"/>
      <c r="ACJ34" s="161"/>
      <c r="ACK34" s="161"/>
      <c r="ACL34" s="161"/>
      <c r="ACM34" s="161"/>
      <c r="ACN34" s="161"/>
      <c r="ACO34" s="161"/>
      <c r="ACP34" s="161"/>
      <c r="ACQ34" s="161"/>
      <c r="ACR34" s="161"/>
      <c r="ACS34" s="161"/>
      <c r="ACT34" s="161"/>
      <c r="ACU34" s="161"/>
      <c r="ACV34" s="161"/>
      <c r="ACW34" s="161"/>
      <c r="ACX34" s="161"/>
      <c r="ACY34" s="161"/>
      <c r="ACZ34" s="161"/>
      <c r="ADA34" s="161"/>
      <c r="ADB34" s="161"/>
      <c r="ADC34" s="161"/>
      <c r="ADD34" s="161"/>
      <c r="ADE34" s="161"/>
      <c r="ADF34" s="161"/>
      <c r="ADG34" s="161"/>
      <c r="ADH34" s="161"/>
      <c r="ADI34" s="161"/>
      <c r="ADJ34" s="161"/>
      <c r="ADK34" s="161"/>
      <c r="ADL34" s="161"/>
      <c r="ADM34" s="161"/>
      <c r="ADN34" s="161"/>
      <c r="ADO34" s="161"/>
      <c r="ADP34" s="161"/>
      <c r="ADQ34" s="161"/>
      <c r="ADR34" s="161"/>
      <c r="ADS34" s="161"/>
      <c r="ADT34" s="161"/>
      <c r="ADU34" s="161"/>
      <c r="ADV34" s="161"/>
      <c r="ADW34" s="161"/>
      <c r="ADX34" s="161"/>
      <c r="ADY34" s="161"/>
      <c r="ADZ34" s="161"/>
      <c r="AEA34" s="161"/>
      <c r="AEB34" s="161"/>
      <c r="AEC34" s="161"/>
      <c r="AED34" s="161"/>
      <c r="AEE34" s="161"/>
      <c r="AEF34" s="161"/>
      <c r="AEG34" s="161"/>
      <c r="AEH34" s="161"/>
      <c r="AEI34" s="161"/>
      <c r="AEJ34" s="161"/>
      <c r="AEK34" s="161"/>
      <c r="AEL34" s="161"/>
      <c r="AEM34" s="161"/>
      <c r="AEN34" s="161"/>
      <c r="AEO34" s="161"/>
      <c r="AEP34" s="161"/>
      <c r="AEQ34" s="161"/>
      <c r="AER34" s="161"/>
      <c r="AES34" s="161"/>
      <c r="AET34" s="161"/>
      <c r="AEU34" s="161"/>
      <c r="AEV34" s="161"/>
      <c r="AEW34" s="161"/>
      <c r="AEX34" s="161"/>
      <c r="AEY34" s="161"/>
      <c r="AEZ34" s="161"/>
      <c r="AFA34" s="161"/>
      <c r="AFB34" s="161"/>
      <c r="AFC34" s="161"/>
      <c r="AFD34" s="161"/>
      <c r="AFE34" s="161"/>
      <c r="AFF34" s="161"/>
      <c r="AFG34" s="161"/>
      <c r="AFH34" s="161"/>
      <c r="AFI34" s="161"/>
      <c r="AFJ34" s="161"/>
      <c r="AFK34" s="161"/>
      <c r="AFL34" s="161"/>
      <c r="AFM34" s="161"/>
      <c r="AFN34" s="161"/>
      <c r="AFO34" s="161"/>
      <c r="AFP34" s="161"/>
      <c r="AFQ34" s="161"/>
      <c r="AFR34" s="161"/>
      <c r="AFS34" s="161"/>
      <c r="AFT34" s="161"/>
      <c r="AFU34" s="161"/>
      <c r="AFV34" s="161"/>
      <c r="AFW34" s="161"/>
      <c r="AFX34" s="161"/>
      <c r="AFY34" s="161"/>
      <c r="AFZ34" s="161"/>
      <c r="AGA34" s="161"/>
      <c r="AGB34" s="161"/>
      <c r="AGC34" s="161"/>
      <c r="AGD34" s="161"/>
      <c r="AGE34" s="161"/>
      <c r="AGF34" s="161"/>
      <c r="AGG34" s="161"/>
      <c r="AGH34" s="161"/>
      <c r="AGI34" s="161"/>
      <c r="AGJ34" s="161"/>
      <c r="AGK34" s="161"/>
      <c r="AGL34" s="161"/>
      <c r="AGM34" s="161"/>
      <c r="AGN34" s="161"/>
      <c r="AGO34" s="161"/>
      <c r="AGP34" s="161"/>
      <c r="AGQ34" s="161"/>
      <c r="AGR34" s="161"/>
      <c r="AGS34" s="161"/>
      <c r="AGT34" s="161"/>
      <c r="AGU34" s="161"/>
      <c r="AGV34" s="161"/>
      <c r="AGW34" s="161"/>
      <c r="AGX34" s="161"/>
      <c r="AGY34" s="161"/>
      <c r="AGZ34" s="161"/>
      <c r="AHA34" s="161"/>
      <c r="AHB34" s="161"/>
      <c r="AHC34" s="161"/>
      <c r="AHD34" s="161"/>
      <c r="AHE34" s="161"/>
      <c r="AHF34" s="161"/>
      <c r="AHG34" s="161"/>
      <c r="AHH34" s="161"/>
      <c r="AHI34" s="161"/>
      <c r="AHJ34" s="161"/>
      <c r="AHK34" s="161"/>
      <c r="AHL34" s="161"/>
      <c r="AHM34" s="161"/>
      <c r="AHN34" s="161"/>
      <c r="AHO34" s="161"/>
      <c r="AHP34" s="161"/>
      <c r="AHQ34" s="161"/>
      <c r="AHR34" s="161"/>
      <c r="AHS34" s="161"/>
      <c r="AHT34" s="161"/>
      <c r="AHU34" s="161"/>
      <c r="AHV34" s="161"/>
      <c r="AHW34" s="161"/>
      <c r="AHX34" s="161"/>
      <c r="AHY34" s="161"/>
      <c r="AHZ34" s="161"/>
      <c r="AIA34" s="161"/>
      <c r="AIB34" s="161"/>
      <c r="AIC34" s="161"/>
      <c r="AID34" s="161"/>
      <c r="AIE34" s="161"/>
      <c r="AIF34" s="161"/>
    </row>
    <row r="35" spans="1:916" s="322" customFormat="1">
      <c r="A35" s="308"/>
      <c r="B35" s="309" t="s">
        <v>457</v>
      </c>
      <c r="C35" s="336" t="s">
        <v>458</v>
      </c>
      <c r="D35" s="336"/>
      <c r="E35" s="337"/>
      <c r="F35" s="325">
        <v>5</v>
      </c>
      <c r="G35" s="338" t="s">
        <v>256</v>
      </c>
      <c r="H35" s="339">
        <f>'G245 NEEA GAS'!A$10</f>
        <v>0</v>
      </c>
      <c r="I35" s="259">
        <f>'G245 NEEA GAS'!A$8</f>
        <v>731802.91999999993</v>
      </c>
      <c r="J35" s="259">
        <f>'G245 NEEA GAS'!A$12</f>
        <v>0</v>
      </c>
      <c r="K35" s="259">
        <f>'G245 NEEA GAS'!A$14</f>
        <v>0</v>
      </c>
      <c r="L35" s="259">
        <f>SUM('G245 NEEA GAS'!Q$5:Q$999)</f>
        <v>0</v>
      </c>
      <c r="M35" s="342"/>
      <c r="N35" s="260">
        <f>'G245 NEEA GAS'!A$18</f>
        <v>1563521.19</v>
      </c>
      <c r="O35" s="259">
        <f>'G245 NEEA GAS'!A$20</f>
        <v>731802.91999999993</v>
      </c>
      <c r="P35" s="259">
        <f>SUM('SBDI {G}'!R$5:R$999)</f>
        <v>132.69</v>
      </c>
      <c r="Q35" s="261">
        <f>N35/(1+ElecDiscountRate)^1</f>
        <v>1461644.5638964195</v>
      </c>
      <c r="R35" s="261">
        <f>O35/(1+ElecDiscountRate)^1</f>
        <v>684119.77189866302</v>
      </c>
      <c r="S35" s="259">
        <f>SUM('G245 NEEA GAS'!AM$5:AM$999)</f>
        <v>0</v>
      </c>
      <c r="T35" s="259">
        <f>SUM('G245 NEEA GAS'!AD$5:AD$999)</f>
        <v>0</v>
      </c>
      <c r="U35" s="507">
        <f>S35/Q35</f>
        <v>0</v>
      </c>
      <c r="V35" s="507">
        <f>((S35*1.1)+(T35))/R35</f>
        <v>0</v>
      </c>
      <c r="W35" s="21"/>
      <c r="X35" s="161">
        <v>18230660</v>
      </c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  <c r="PJ35" s="161"/>
      <c r="PK35" s="161"/>
      <c r="PL35" s="161"/>
      <c r="PM35" s="161"/>
      <c r="PN35" s="161"/>
      <c r="PO35" s="161"/>
      <c r="PP35" s="161"/>
      <c r="PQ35" s="161"/>
      <c r="PR35" s="161"/>
      <c r="PS35" s="161"/>
      <c r="PT35" s="161"/>
      <c r="PU35" s="161"/>
      <c r="PV35" s="161"/>
      <c r="PW35" s="161"/>
      <c r="PX35" s="161"/>
      <c r="PY35" s="161"/>
      <c r="PZ35" s="161"/>
      <c r="QA35" s="161"/>
      <c r="QB35" s="161"/>
      <c r="QC35" s="161"/>
      <c r="QD35" s="161"/>
      <c r="QE35" s="161"/>
      <c r="QF35" s="161"/>
      <c r="QG35" s="161"/>
      <c r="QH35" s="161"/>
      <c r="QI35" s="161"/>
      <c r="QJ35" s="161"/>
      <c r="QK35" s="161"/>
      <c r="QL35" s="161"/>
      <c r="QM35" s="161"/>
      <c r="QN35" s="161"/>
      <c r="QO35" s="161"/>
      <c r="QP35" s="161"/>
      <c r="QQ35" s="161"/>
      <c r="QR35" s="161"/>
      <c r="QS35" s="161"/>
      <c r="QT35" s="161"/>
      <c r="QU35" s="161"/>
      <c r="QV35" s="161"/>
      <c r="QW35" s="161"/>
      <c r="QX35" s="161"/>
      <c r="QY35" s="161"/>
      <c r="QZ35" s="161"/>
      <c r="RA35" s="161"/>
      <c r="RB35" s="161"/>
      <c r="RC35" s="161"/>
      <c r="RD35" s="161"/>
      <c r="RE35" s="161"/>
      <c r="RF35" s="161"/>
      <c r="RG35" s="161"/>
      <c r="RH35" s="161"/>
      <c r="RI35" s="161"/>
      <c r="RJ35" s="161"/>
      <c r="RK35" s="161"/>
      <c r="RL35" s="161"/>
      <c r="RM35" s="161"/>
      <c r="RN35" s="161"/>
      <c r="RO35" s="161"/>
      <c r="RP35" s="161"/>
      <c r="RQ35" s="161"/>
      <c r="RR35" s="161"/>
      <c r="RS35" s="161"/>
      <c r="RT35" s="161"/>
      <c r="RU35" s="161"/>
      <c r="RV35" s="161"/>
      <c r="RW35" s="161"/>
      <c r="RX35" s="161"/>
      <c r="RY35" s="161"/>
      <c r="RZ35" s="161"/>
      <c r="SA35" s="161"/>
      <c r="SB35" s="161"/>
      <c r="SC35" s="161"/>
      <c r="SD35" s="161"/>
      <c r="SE35" s="161"/>
      <c r="SF35" s="161"/>
      <c r="SG35" s="161"/>
      <c r="SH35" s="161"/>
      <c r="SI35" s="161"/>
      <c r="SJ35" s="161"/>
      <c r="SK35" s="161"/>
      <c r="SL35" s="161"/>
      <c r="SM35" s="161"/>
      <c r="SN35" s="161"/>
      <c r="SO35" s="161"/>
      <c r="SP35" s="161"/>
      <c r="SQ35" s="161"/>
      <c r="SR35" s="161"/>
      <c r="SS35" s="161"/>
      <c r="ST35" s="161"/>
      <c r="SU35" s="161"/>
      <c r="SV35" s="161"/>
      <c r="SW35" s="161"/>
      <c r="SX35" s="161"/>
      <c r="SY35" s="161"/>
      <c r="SZ35" s="161"/>
      <c r="TA35" s="161"/>
      <c r="TB35" s="161"/>
      <c r="TC35" s="161"/>
      <c r="TD35" s="161"/>
      <c r="TE35" s="161"/>
      <c r="TF35" s="161"/>
      <c r="TG35" s="161"/>
      <c r="TH35" s="161"/>
      <c r="TI35" s="161"/>
      <c r="TJ35" s="161"/>
      <c r="TK35" s="161"/>
      <c r="TL35" s="161"/>
      <c r="TM35" s="161"/>
      <c r="TN35" s="161"/>
      <c r="TO35" s="161"/>
      <c r="TP35" s="161"/>
      <c r="TQ35" s="161"/>
      <c r="TR35" s="161"/>
      <c r="TS35" s="161"/>
      <c r="TT35" s="161"/>
      <c r="TU35" s="161"/>
      <c r="TV35" s="161"/>
      <c r="TW35" s="161"/>
      <c r="TX35" s="161"/>
      <c r="TY35" s="161"/>
      <c r="TZ35" s="161"/>
      <c r="UA35" s="161"/>
      <c r="UB35" s="161"/>
      <c r="UC35" s="161"/>
      <c r="UD35" s="161"/>
      <c r="UE35" s="161"/>
      <c r="UF35" s="161"/>
      <c r="UG35" s="161"/>
      <c r="UH35" s="161"/>
      <c r="UI35" s="161"/>
      <c r="UJ35" s="161"/>
      <c r="UK35" s="161"/>
      <c r="UL35" s="161"/>
      <c r="UM35" s="161"/>
      <c r="UN35" s="161"/>
      <c r="UO35" s="161"/>
      <c r="UP35" s="161"/>
      <c r="UQ35" s="161"/>
      <c r="UR35" s="161"/>
      <c r="US35" s="161"/>
      <c r="UT35" s="161"/>
      <c r="UU35" s="161"/>
      <c r="UV35" s="161"/>
      <c r="UW35" s="161"/>
      <c r="UX35" s="161"/>
      <c r="UY35" s="161"/>
      <c r="UZ35" s="161"/>
      <c r="VA35" s="161"/>
      <c r="VB35" s="161"/>
      <c r="VC35" s="161"/>
      <c r="VD35" s="161"/>
      <c r="VE35" s="161"/>
      <c r="VF35" s="161"/>
      <c r="VG35" s="161"/>
      <c r="VH35" s="161"/>
      <c r="VI35" s="161"/>
      <c r="VJ35" s="161"/>
      <c r="VK35" s="161"/>
      <c r="VL35" s="161"/>
      <c r="VM35" s="161"/>
      <c r="VN35" s="161"/>
      <c r="VO35" s="161"/>
      <c r="VP35" s="161"/>
      <c r="VQ35" s="161"/>
      <c r="VR35" s="161"/>
      <c r="VS35" s="161"/>
      <c r="VT35" s="161"/>
      <c r="VU35" s="161"/>
      <c r="VV35" s="161"/>
      <c r="VW35" s="161"/>
      <c r="VX35" s="161"/>
      <c r="VY35" s="161"/>
      <c r="VZ35" s="161"/>
      <c r="WA35" s="161"/>
      <c r="WB35" s="161"/>
      <c r="WC35" s="161"/>
      <c r="WD35" s="161"/>
      <c r="WE35" s="161"/>
      <c r="WF35" s="161"/>
      <c r="WG35" s="161"/>
      <c r="WH35" s="161"/>
      <c r="WI35" s="161"/>
      <c r="WJ35" s="161"/>
      <c r="WK35" s="161"/>
      <c r="WL35" s="161"/>
      <c r="WM35" s="161"/>
      <c r="WN35" s="161"/>
      <c r="WO35" s="161"/>
      <c r="WP35" s="161"/>
      <c r="WQ35" s="161"/>
      <c r="WR35" s="161"/>
      <c r="WS35" s="161"/>
      <c r="WT35" s="161"/>
      <c r="WU35" s="161"/>
      <c r="WV35" s="161"/>
      <c r="WW35" s="161"/>
      <c r="WX35" s="161"/>
      <c r="WY35" s="161"/>
      <c r="WZ35" s="161"/>
      <c r="XA35" s="161"/>
      <c r="XB35" s="161"/>
      <c r="XC35" s="161"/>
      <c r="XD35" s="161"/>
      <c r="XE35" s="161"/>
      <c r="XF35" s="161"/>
      <c r="XG35" s="161"/>
      <c r="XH35" s="161"/>
      <c r="XI35" s="161"/>
      <c r="XJ35" s="161"/>
      <c r="XK35" s="161"/>
      <c r="XL35" s="161"/>
      <c r="XM35" s="161"/>
      <c r="XN35" s="161"/>
      <c r="XO35" s="161"/>
      <c r="XP35" s="161"/>
      <c r="XQ35" s="161"/>
      <c r="XR35" s="161"/>
      <c r="XS35" s="161"/>
      <c r="XT35" s="161"/>
      <c r="XU35" s="161"/>
      <c r="XV35" s="161"/>
      <c r="XW35" s="161"/>
      <c r="XX35" s="161"/>
      <c r="XY35" s="161"/>
      <c r="XZ35" s="161"/>
      <c r="YA35" s="161"/>
      <c r="YB35" s="161"/>
      <c r="YC35" s="161"/>
      <c r="YD35" s="161"/>
      <c r="YE35" s="161"/>
      <c r="YF35" s="161"/>
      <c r="YG35" s="161"/>
      <c r="YH35" s="161"/>
      <c r="YI35" s="161"/>
      <c r="YJ35" s="161"/>
      <c r="YK35" s="161"/>
      <c r="YL35" s="161"/>
      <c r="YM35" s="161"/>
      <c r="YN35" s="161"/>
      <c r="YO35" s="161"/>
      <c r="YP35" s="161"/>
      <c r="YQ35" s="161"/>
      <c r="YR35" s="161"/>
      <c r="YS35" s="161"/>
      <c r="YT35" s="161"/>
      <c r="YU35" s="161"/>
      <c r="YV35" s="161"/>
      <c r="YW35" s="161"/>
      <c r="YX35" s="161"/>
      <c r="YY35" s="161"/>
      <c r="YZ35" s="161"/>
      <c r="ZA35" s="161"/>
      <c r="ZB35" s="161"/>
      <c r="ZC35" s="161"/>
      <c r="ZD35" s="161"/>
      <c r="ZE35" s="161"/>
      <c r="ZF35" s="161"/>
      <c r="ZG35" s="161"/>
      <c r="ZH35" s="161"/>
      <c r="ZI35" s="161"/>
      <c r="ZJ35" s="161"/>
      <c r="ZK35" s="161"/>
      <c r="ZL35" s="161"/>
      <c r="ZM35" s="161"/>
      <c r="ZN35" s="161"/>
      <c r="ZO35" s="161"/>
      <c r="ZP35" s="161"/>
      <c r="ZQ35" s="161"/>
      <c r="ZR35" s="161"/>
      <c r="ZS35" s="161"/>
      <c r="ZT35" s="161"/>
      <c r="ZU35" s="161"/>
      <c r="ZV35" s="161"/>
      <c r="ZW35" s="161"/>
      <c r="ZX35" s="161"/>
      <c r="ZY35" s="161"/>
      <c r="ZZ35" s="161"/>
      <c r="AAA35" s="161"/>
      <c r="AAB35" s="161"/>
      <c r="AAC35" s="161"/>
      <c r="AAD35" s="161"/>
      <c r="AAE35" s="161"/>
      <c r="AAF35" s="161"/>
      <c r="AAG35" s="161"/>
      <c r="AAH35" s="161"/>
      <c r="AAI35" s="161"/>
      <c r="AAJ35" s="161"/>
      <c r="AAK35" s="161"/>
      <c r="AAL35" s="161"/>
      <c r="AAM35" s="161"/>
      <c r="AAN35" s="161"/>
      <c r="AAO35" s="161"/>
      <c r="AAP35" s="161"/>
      <c r="AAQ35" s="161"/>
      <c r="AAR35" s="161"/>
      <c r="AAS35" s="161"/>
      <c r="AAT35" s="161"/>
      <c r="AAU35" s="161"/>
      <c r="AAV35" s="161"/>
      <c r="AAW35" s="161"/>
      <c r="AAX35" s="161"/>
      <c r="AAY35" s="161"/>
      <c r="AAZ35" s="161"/>
      <c r="ABA35" s="161"/>
      <c r="ABB35" s="161"/>
      <c r="ABC35" s="161"/>
      <c r="ABD35" s="161"/>
      <c r="ABE35" s="161"/>
      <c r="ABF35" s="161"/>
      <c r="ABG35" s="161"/>
      <c r="ABH35" s="161"/>
      <c r="ABI35" s="161"/>
      <c r="ABJ35" s="161"/>
      <c r="ABK35" s="161"/>
      <c r="ABL35" s="161"/>
      <c r="ABM35" s="161"/>
      <c r="ABN35" s="161"/>
      <c r="ABO35" s="161"/>
      <c r="ABP35" s="161"/>
      <c r="ABQ35" s="161"/>
      <c r="ABR35" s="161"/>
      <c r="ABS35" s="161"/>
      <c r="ABT35" s="161"/>
      <c r="ABU35" s="161"/>
      <c r="ABV35" s="161"/>
      <c r="ABW35" s="161"/>
      <c r="ABX35" s="161"/>
      <c r="ABY35" s="161"/>
      <c r="ABZ35" s="161"/>
      <c r="ACA35" s="161"/>
      <c r="ACB35" s="161"/>
      <c r="ACC35" s="161"/>
      <c r="ACD35" s="161"/>
      <c r="ACE35" s="161"/>
      <c r="ACF35" s="161"/>
      <c r="ACG35" s="161"/>
      <c r="ACH35" s="161"/>
      <c r="ACI35" s="161"/>
      <c r="ACJ35" s="161"/>
      <c r="ACK35" s="161"/>
      <c r="ACL35" s="161"/>
      <c r="ACM35" s="161"/>
      <c r="ACN35" s="161"/>
      <c r="ACO35" s="161"/>
      <c r="ACP35" s="161"/>
      <c r="ACQ35" s="161"/>
      <c r="ACR35" s="161"/>
      <c r="ACS35" s="161"/>
      <c r="ACT35" s="161"/>
      <c r="ACU35" s="161"/>
      <c r="ACV35" s="161"/>
      <c r="ACW35" s="161"/>
      <c r="ACX35" s="161"/>
      <c r="ACY35" s="161"/>
      <c r="ACZ35" s="161"/>
      <c r="ADA35" s="161"/>
      <c r="ADB35" s="161"/>
      <c r="ADC35" s="161"/>
      <c r="ADD35" s="161"/>
      <c r="ADE35" s="161"/>
      <c r="ADF35" s="161"/>
      <c r="ADG35" s="161"/>
      <c r="ADH35" s="161"/>
      <c r="ADI35" s="161"/>
      <c r="ADJ35" s="161"/>
      <c r="ADK35" s="161"/>
      <c r="ADL35" s="161"/>
      <c r="ADM35" s="161"/>
      <c r="ADN35" s="161"/>
      <c r="ADO35" s="161"/>
      <c r="ADP35" s="161"/>
      <c r="ADQ35" s="161"/>
      <c r="ADR35" s="161"/>
      <c r="ADS35" s="161"/>
      <c r="ADT35" s="161"/>
      <c r="ADU35" s="161"/>
      <c r="ADV35" s="161"/>
      <c r="ADW35" s="161"/>
      <c r="ADX35" s="161"/>
      <c r="ADY35" s="161"/>
      <c r="ADZ35" s="161"/>
      <c r="AEA35" s="161"/>
      <c r="AEB35" s="161"/>
      <c r="AEC35" s="161"/>
      <c r="AED35" s="161"/>
      <c r="AEE35" s="161"/>
      <c r="AEF35" s="161"/>
      <c r="AEG35" s="161"/>
      <c r="AEH35" s="161"/>
      <c r="AEI35" s="161"/>
      <c r="AEJ35" s="161"/>
      <c r="AEK35" s="161"/>
      <c r="AEL35" s="161"/>
      <c r="AEM35" s="161"/>
      <c r="AEN35" s="161"/>
      <c r="AEO35" s="161"/>
      <c r="AEP35" s="161"/>
      <c r="AEQ35" s="161"/>
      <c r="AER35" s="161"/>
      <c r="AES35" s="161"/>
      <c r="AET35" s="161"/>
      <c r="AEU35" s="161"/>
      <c r="AEV35" s="161"/>
      <c r="AEW35" s="161"/>
      <c r="AEX35" s="161"/>
      <c r="AEY35" s="161"/>
      <c r="AEZ35" s="161"/>
      <c r="AFA35" s="161"/>
      <c r="AFB35" s="161"/>
      <c r="AFC35" s="161"/>
      <c r="AFD35" s="161"/>
      <c r="AFE35" s="161"/>
      <c r="AFF35" s="161"/>
      <c r="AFG35" s="161"/>
      <c r="AFH35" s="161"/>
      <c r="AFI35" s="161"/>
      <c r="AFJ35" s="161"/>
      <c r="AFK35" s="161"/>
      <c r="AFL35" s="161"/>
      <c r="AFM35" s="161"/>
      <c r="AFN35" s="161"/>
      <c r="AFO35" s="161"/>
      <c r="AFP35" s="161"/>
      <c r="AFQ35" s="161"/>
      <c r="AFR35" s="161"/>
      <c r="AFS35" s="161"/>
      <c r="AFT35" s="161"/>
      <c r="AFU35" s="161"/>
      <c r="AFV35" s="161"/>
      <c r="AFW35" s="161"/>
      <c r="AFX35" s="161"/>
      <c r="AFY35" s="161"/>
      <c r="AFZ35" s="161"/>
      <c r="AGA35" s="161"/>
      <c r="AGB35" s="161"/>
      <c r="AGC35" s="161"/>
      <c r="AGD35" s="161"/>
      <c r="AGE35" s="161"/>
      <c r="AGF35" s="161"/>
      <c r="AGG35" s="161"/>
      <c r="AGH35" s="161"/>
      <c r="AGI35" s="161"/>
      <c r="AGJ35" s="161"/>
      <c r="AGK35" s="161"/>
      <c r="AGL35" s="161"/>
      <c r="AGM35" s="161"/>
      <c r="AGN35" s="161"/>
      <c r="AGO35" s="161"/>
      <c r="AGP35" s="161"/>
      <c r="AGQ35" s="161"/>
      <c r="AGR35" s="161"/>
      <c r="AGS35" s="161"/>
      <c r="AGT35" s="161"/>
      <c r="AGU35" s="161"/>
      <c r="AGV35" s="161"/>
      <c r="AGW35" s="161"/>
      <c r="AGX35" s="161"/>
      <c r="AGY35" s="161"/>
      <c r="AGZ35" s="161"/>
      <c r="AHA35" s="161"/>
      <c r="AHB35" s="161"/>
      <c r="AHC35" s="161"/>
      <c r="AHD35" s="161"/>
      <c r="AHE35" s="161"/>
      <c r="AHF35" s="161"/>
      <c r="AHG35" s="161"/>
      <c r="AHH35" s="161"/>
      <c r="AHI35" s="161"/>
      <c r="AHJ35" s="161"/>
      <c r="AHK35" s="161"/>
      <c r="AHL35" s="161"/>
      <c r="AHM35" s="161"/>
      <c r="AHN35" s="161"/>
      <c r="AHO35" s="161"/>
      <c r="AHP35" s="161"/>
      <c r="AHQ35" s="161"/>
      <c r="AHR35" s="161"/>
      <c r="AHS35" s="161"/>
      <c r="AHT35" s="161"/>
      <c r="AHU35" s="161"/>
      <c r="AHV35" s="161"/>
      <c r="AHW35" s="161"/>
      <c r="AHX35" s="161"/>
      <c r="AHY35" s="161"/>
      <c r="AHZ35" s="161"/>
      <c r="AIA35" s="161"/>
      <c r="AIB35" s="161"/>
      <c r="AIC35" s="161"/>
      <c r="AID35" s="161"/>
      <c r="AIE35" s="161"/>
      <c r="AIF35" s="161"/>
    </row>
    <row r="36" spans="1:916" s="322" customFormat="1">
      <c r="A36" s="308"/>
      <c r="B36" s="313" t="s">
        <v>177</v>
      </c>
      <c r="C36" s="336" t="s">
        <v>406</v>
      </c>
      <c r="D36" s="336"/>
      <c r="E36" s="337"/>
      <c r="F36" s="325">
        <f>IFERROR('TDSM {G}'!A$16,0)</f>
        <v>0</v>
      </c>
      <c r="G36" s="338" t="s">
        <v>261</v>
      </c>
      <c r="H36" s="339">
        <f>'TDSM {G}'!A$10</f>
        <v>0</v>
      </c>
      <c r="I36" s="223">
        <f>'TDSM {G}'!A$8</f>
        <v>10978.16</v>
      </c>
      <c r="J36" s="223">
        <f>'TDSM {G}'!A$12</f>
        <v>0</v>
      </c>
      <c r="K36" s="340">
        <f>'TDSM {G}'!A$14</f>
        <v>0</v>
      </c>
      <c r="L36" s="341">
        <f>SUM('TDSM {G}'!Q$5:Q$999)</f>
        <v>0</v>
      </c>
      <c r="M36" s="342"/>
      <c r="N36" s="343">
        <f>'TDSM {G}'!A$18</f>
        <v>10978.16</v>
      </c>
      <c r="O36" s="342">
        <f>'TDSM {G}'!A$20</f>
        <v>10978.16</v>
      </c>
      <c r="P36" s="345">
        <f>SUM('TDSM {G}'!R$5:R$999)</f>
        <v>0</v>
      </c>
      <c r="Q36" s="344">
        <f>N36/(1+ElecDiscountRate)^1</f>
        <v>10262.840048611759</v>
      </c>
      <c r="R36" s="344">
        <f>O36/(1+ElecDiscountRate)^1</f>
        <v>10262.840048611759</v>
      </c>
      <c r="S36" s="344">
        <f>SUM('TDSM {G}'!AM$5:AM$999)</f>
        <v>0</v>
      </c>
      <c r="T36" s="345">
        <f>SUM('TDSM {G}'!AD$5:AD$999)</f>
        <v>0</v>
      </c>
      <c r="U36" s="507">
        <f>S36/Q36</f>
        <v>0</v>
      </c>
      <c r="V36" s="507">
        <f>((S36*1.1)+(T36))/R36</f>
        <v>0</v>
      </c>
      <c r="W36" s="21"/>
      <c r="X36" s="161">
        <v>18230218</v>
      </c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  <c r="PJ36" s="161"/>
      <c r="PK36" s="161"/>
      <c r="PL36" s="161"/>
      <c r="PM36" s="161"/>
      <c r="PN36" s="161"/>
      <c r="PO36" s="161"/>
      <c r="PP36" s="161"/>
      <c r="PQ36" s="161"/>
      <c r="PR36" s="161"/>
      <c r="PS36" s="161"/>
      <c r="PT36" s="161"/>
      <c r="PU36" s="161"/>
      <c r="PV36" s="161"/>
      <c r="PW36" s="161"/>
      <c r="PX36" s="161"/>
      <c r="PY36" s="161"/>
      <c r="PZ36" s="161"/>
      <c r="QA36" s="161"/>
      <c r="QB36" s="161"/>
      <c r="QC36" s="161"/>
      <c r="QD36" s="161"/>
      <c r="QE36" s="161"/>
      <c r="QF36" s="161"/>
      <c r="QG36" s="161"/>
      <c r="QH36" s="161"/>
      <c r="QI36" s="161"/>
      <c r="QJ36" s="161"/>
      <c r="QK36" s="161"/>
      <c r="QL36" s="161"/>
      <c r="QM36" s="161"/>
      <c r="QN36" s="161"/>
      <c r="QO36" s="161"/>
      <c r="QP36" s="161"/>
      <c r="QQ36" s="161"/>
      <c r="QR36" s="161"/>
      <c r="QS36" s="161"/>
      <c r="QT36" s="161"/>
      <c r="QU36" s="161"/>
      <c r="QV36" s="161"/>
      <c r="QW36" s="161"/>
      <c r="QX36" s="161"/>
      <c r="QY36" s="161"/>
      <c r="QZ36" s="161"/>
      <c r="RA36" s="161"/>
      <c r="RB36" s="161"/>
      <c r="RC36" s="161"/>
      <c r="RD36" s="161"/>
      <c r="RE36" s="161"/>
      <c r="RF36" s="161"/>
      <c r="RG36" s="161"/>
      <c r="RH36" s="161"/>
      <c r="RI36" s="161"/>
      <c r="RJ36" s="161"/>
      <c r="RK36" s="161"/>
      <c r="RL36" s="161"/>
      <c r="RM36" s="161"/>
      <c r="RN36" s="161"/>
      <c r="RO36" s="161"/>
      <c r="RP36" s="161"/>
      <c r="RQ36" s="161"/>
      <c r="RR36" s="161"/>
      <c r="RS36" s="161"/>
      <c r="RT36" s="161"/>
      <c r="RU36" s="161"/>
      <c r="RV36" s="161"/>
      <c r="RW36" s="161"/>
      <c r="RX36" s="161"/>
      <c r="RY36" s="161"/>
      <c r="RZ36" s="161"/>
      <c r="SA36" s="161"/>
      <c r="SB36" s="161"/>
      <c r="SC36" s="161"/>
      <c r="SD36" s="161"/>
      <c r="SE36" s="161"/>
      <c r="SF36" s="161"/>
      <c r="SG36" s="161"/>
      <c r="SH36" s="161"/>
      <c r="SI36" s="161"/>
      <c r="SJ36" s="161"/>
      <c r="SK36" s="161"/>
      <c r="SL36" s="161"/>
      <c r="SM36" s="161"/>
      <c r="SN36" s="161"/>
      <c r="SO36" s="161"/>
      <c r="SP36" s="161"/>
      <c r="SQ36" s="161"/>
      <c r="SR36" s="161"/>
      <c r="SS36" s="161"/>
      <c r="ST36" s="161"/>
      <c r="SU36" s="161"/>
      <c r="SV36" s="161"/>
      <c r="SW36" s="161"/>
      <c r="SX36" s="161"/>
      <c r="SY36" s="161"/>
      <c r="SZ36" s="161"/>
      <c r="TA36" s="161"/>
      <c r="TB36" s="161"/>
      <c r="TC36" s="161"/>
      <c r="TD36" s="161"/>
      <c r="TE36" s="161"/>
      <c r="TF36" s="161"/>
      <c r="TG36" s="161"/>
      <c r="TH36" s="161"/>
      <c r="TI36" s="161"/>
      <c r="TJ36" s="161"/>
      <c r="TK36" s="161"/>
      <c r="TL36" s="161"/>
      <c r="TM36" s="161"/>
      <c r="TN36" s="161"/>
      <c r="TO36" s="161"/>
      <c r="TP36" s="161"/>
      <c r="TQ36" s="161"/>
      <c r="TR36" s="161"/>
      <c r="TS36" s="161"/>
      <c r="TT36" s="161"/>
      <c r="TU36" s="161"/>
      <c r="TV36" s="161"/>
      <c r="TW36" s="161"/>
      <c r="TX36" s="161"/>
      <c r="TY36" s="161"/>
      <c r="TZ36" s="161"/>
      <c r="UA36" s="161"/>
      <c r="UB36" s="161"/>
      <c r="UC36" s="161"/>
      <c r="UD36" s="161"/>
      <c r="UE36" s="161"/>
      <c r="UF36" s="161"/>
      <c r="UG36" s="161"/>
      <c r="UH36" s="161"/>
      <c r="UI36" s="161"/>
      <c r="UJ36" s="161"/>
      <c r="UK36" s="161"/>
      <c r="UL36" s="161"/>
      <c r="UM36" s="161"/>
      <c r="UN36" s="161"/>
      <c r="UO36" s="161"/>
      <c r="UP36" s="161"/>
      <c r="UQ36" s="161"/>
      <c r="UR36" s="161"/>
      <c r="US36" s="161"/>
      <c r="UT36" s="161"/>
      <c r="UU36" s="161"/>
      <c r="UV36" s="161"/>
      <c r="UW36" s="161"/>
      <c r="UX36" s="161"/>
      <c r="UY36" s="161"/>
      <c r="UZ36" s="161"/>
      <c r="VA36" s="161"/>
      <c r="VB36" s="161"/>
      <c r="VC36" s="161"/>
      <c r="VD36" s="161"/>
      <c r="VE36" s="161"/>
      <c r="VF36" s="161"/>
      <c r="VG36" s="161"/>
      <c r="VH36" s="161"/>
      <c r="VI36" s="161"/>
      <c r="VJ36" s="161"/>
      <c r="VK36" s="161"/>
      <c r="VL36" s="161"/>
      <c r="VM36" s="161"/>
      <c r="VN36" s="161"/>
      <c r="VO36" s="161"/>
      <c r="VP36" s="161"/>
      <c r="VQ36" s="161"/>
      <c r="VR36" s="161"/>
      <c r="VS36" s="161"/>
      <c r="VT36" s="161"/>
      <c r="VU36" s="161"/>
      <c r="VV36" s="161"/>
      <c r="VW36" s="161"/>
      <c r="VX36" s="161"/>
      <c r="VY36" s="161"/>
      <c r="VZ36" s="161"/>
      <c r="WA36" s="161"/>
      <c r="WB36" s="161"/>
      <c r="WC36" s="161"/>
      <c r="WD36" s="161"/>
      <c r="WE36" s="161"/>
      <c r="WF36" s="161"/>
      <c r="WG36" s="161"/>
      <c r="WH36" s="161"/>
      <c r="WI36" s="161"/>
      <c r="WJ36" s="161"/>
      <c r="WK36" s="161"/>
      <c r="WL36" s="161"/>
      <c r="WM36" s="161"/>
      <c r="WN36" s="161"/>
      <c r="WO36" s="161"/>
      <c r="WP36" s="161"/>
      <c r="WQ36" s="161"/>
      <c r="WR36" s="161"/>
      <c r="WS36" s="161"/>
      <c r="WT36" s="161"/>
      <c r="WU36" s="161"/>
      <c r="WV36" s="161"/>
      <c r="WW36" s="161"/>
      <c r="WX36" s="161"/>
      <c r="WY36" s="161"/>
      <c r="WZ36" s="161"/>
      <c r="XA36" s="161"/>
      <c r="XB36" s="161"/>
      <c r="XC36" s="161"/>
      <c r="XD36" s="161"/>
      <c r="XE36" s="161"/>
      <c r="XF36" s="161"/>
      <c r="XG36" s="161"/>
      <c r="XH36" s="161"/>
      <c r="XI36" s="161"/>
      <c r="XJ36" s="161"/>
      <c r="XK36" s="161"/>
      <c r="XL36" s="161"/>
      <c r="XM36" s="161"/>
      <c r="XN36" s="161"/>
      <c r="XO36" s="161"/>
      <c r="XP36" s="161"/>
      <c r="XQ36" s="161"/>
      <c r="XR36" s="161"/>
      <c r="XS36" s="161"/>
      <c r="XT36" s="161"/>
      <c r="XU36" s="161"/>
      <c r="XV36" s="161"/>
      <c r="XW36" s="161"/>
      <c r="XX36" s="161"/>
      <c r="XY36" s="161"/>
      <c r="XZ36" s="161"/>
      <c r="YA36" s="161"/>
      <c r="YB36" s="161"/>
      <c r="YC36" s="161"/>
      <c r="YD36" s="161"/>
      <c r="YE36" s="161"/>
      <c r="YF36" s="161"/>
      <c r="YG36" s="161"/>
      <c r="YH36" s="161"/>
      <c r="YI36" s="161"/>
      <c r="YJ36" s="161"/>
      <c r="YK36" s="161"/>
      <c r="YL36" s="161"/>
      <c r="YM36" s="161"/>
      <c r="YN36" s="161"/>
      <c r="YO36" s="161"/>
      <c r="YP36" s="161"/>
      <c r="YQ36" s="161"/>
      <c r="YR36" s="161"/>
      <c r="YS36" s="161"/>
      <c r="YT36" s="161"/>
      <c r="YU36" s="161"/>
      <c r="YV36" s="161"/>
      <c r="YW36" s="161"/>
      <c r="YX36" s="161"/>
      <c r="YY36" s="161"/>
      <c r="YZ36" s="161"/>
      <c r="ZA36" s="161"/>
      <c r="ZB36" s="161"/>
      <c r="ZC36" s="161"/>
      <c r="ZD36" s="161"/>
      <c r="ZE36" s="161"/>
      <c r="ZF36" s="161"/>
      <c r="ZG36" s="161"/>
      <c r="ZH36" s="161"/>
      <c r="ZI36" s="161"/>
      <c r="ZJ36" s="161"/>
      <c r="ZK36" s="161"/>
      <c r="ZL36" s="161"/>
      <c r="ZM36" s="161"/>
      <c r="ZN36" s="161"/>
      <c r="ZO36" s="161"/>
      <c r="ZP36" s="161"/>
      <c r="ZQ36" s="161"/>
      <c r="ZR36" s="161"/>
      <c r="ZS36" s="161"/>
      <c r="ZT36" s="161"/>
      <c r="ZU36" s="161"/>
      <c r="ZV36" s="161"/>
      <c r="ZW36" s="161"/>
      <c r="ZX36" s="161"/>
      <c r="ZY36" s="161"/>
      <c r="ZZ36" s="161"/>
      <c r="AAA36" s="161"/>
      <c r="AAB36" s="161"/>
      <c r="AAC36" s="161"/>
      <c r="AAD36" s="161"/>
      <c r="AAE36" s="161"/>
      <c r="AAF36" s="161"/>
      <c r="AAG36" s="161"/>
      <c r="AAH36" s="161"/>
      <c r="AAI36" s="161"/>
      <c r="AAJ36" s="161"/>
      <c r="AAK36" s="161"/>
      <c r="AAL36" s="161"/>
      <c r="AAM36" s="161"/>
      <c r="AAN36" s="161"/>
      <c r="AAO36" s="161"/>
      <c r="AAP36" s="161"/>
      <c r="AAQ36" s="161"/>
      <c r="AAR36" s="161"/>
      <c r="AAS36" s="161"/>
      <c r="AAT36" s="161"/>
      <c r="AAU36" s="161"/>
      <c r="AAV36" s="161"/>
      <c r="AAW36" s="161"/>
      <c r="AAX36" s="161"/>
      <c r="AAY36" s="161"/>
      <c r="AAZ36" s="161"/>
      <c r="ABA36" s="161"/>
      <c r="ABB36" s="161"/>
      <c r="ABC36" s="161"/>
      <c r="ABD36" s="161"/>
      <c r="ABE36" s="161"/>
      <c r="ABF36" s="161"/>
      <c r="ABG36" s="161"/>
      <c r="ABH36" s="161"/>
      <c r="ABI36" s="161"/>
      <c r="ABJ36" s="161"/>
      <c r="ABK36" s="161"/>
      <c r="ABL36" s="161"/>
      <c r="ABM36" s="161"/>
      <c r="ABN36" s="161"/>
      <c r="ABO36" s="161"/>
      <c r="ABP36" s="161"/>
      <c r="ABQ36" s="161"/>
      <c r="ABR36" s="161"/>
      <c r="ABS36" s="161"/>
      <c r="ABT36" s="161"/>
      <c r="ABU36" s="161"/>
      <c r="ABV36" s="161"/>
      <c r="ABW36" s="161"/>
      <c r="ABX36" s="161"/>
      <c r="ABY36" s="161"/>
      <c r="ABZ36" s="161"/>
      <c r="ACA36" s="161"/>
      <c r="ACB36" s="161"/>
      <c r="ACC36" s="161"/>
      <c r="ACD36" s="161"/>
      <c r="ACE36" s="161"/>
      <c r="ACF36" s="161"/>
      <c r="ACG36" s="161"/>
      <c r="ACH36" s="161"/>
      <c r="ACI36" s="161"/>
      <c r="ACJ36" s="161"/>
      <c r="ACK36" s="161"/>
      <c r="ACL36" s="161"/>
      <c r="ACM36" s="161"/>
      <c r="ACN36" s="161"/>
      <c r="ACO36" s="161"/>
      <c r="ACP36" s="161"/>
      <c r="ACQ36" s="161"/>
      <c r="ACR36" s="161"/>
      <c r="ACS36" s="161"/>
      <c r="ACT36" s="161"/>
      <c r="ACU36" s="161"/>
      <c r="ACV36" s="161"/>
      <c r="ACW36" s="161"/>
      <c r="ACX36" s="161"/>
      <c r="ACY36" s="161"/>
      <c r="ACZ36" s="161"/>
      <c r="ADA36" s="161"/>
      <c r="ADB36" s="161"/>
      <c r="ADC36" s="161"/>
      <c r="ADD36" s="161"/>
      <c r="ADE36" s="161"/>
      <c r="ADF36" s="161"/>
      <c r="ADG36" s="161"/>
      <c r="ADH36" s="161"/>
      <c r="ADI36" s="161"/>
      <c r="ADJ36" s="161"/>
      <c r="ADK36" s="161"/>
      <c r="ADL36" s="161"/>
      <c r="ADM36" s="161"/>
      <c r="ADN36" s="161"/>
      <c r="ADO36" s="161"/>
      <c r="ADP36" s="161"/>
      <c r="ADQ36" s="161"/>
      <c r="ADR36" s="161"/>
      <c r="ADS36" s="161"/>
      <c r="ADT36" s="161"/>
      <c r="ADU36" s="161"/>
      <c r="ADV36" s="161"/>
      <c r="ADW36" s="161"/>
      <c r="ADX36" s="161"/>
      <c r="ADY36" s="161"/>
      <c r="ADZ36" s="161"/>
      <c r="AEA36" s="161"/>
      <c r="AEB36" s="161"/>
      <c r="AEC36" s="161"/>
      <c r="AED36" s="161"/>
      <c r="AEE36" s="161"/>
      <c r="AEF36" s="161"/>
      <c r="AEG36" s="161"/>
      <c r="AEH36" s="161"/>
      <c r="AEI36" s="161"/>
      <c r="AEJ36" s="161"/>
      <c r="AEK36" s="161"/>
      <c r="AEL36" s="161"/>
      <c r="AEM36" s="161"/>
      <c r="AEN36" s="161"/>
      <c r="AEO36" s="161"/>
      <c r="AEP36" s="161"/>
      <c r="AEQ36" s="161"/>
      <c r="AER36" s="161"/>
      <c r="AES36" s="161"/>
      <c r="AET36" s="161"/>
      <c r="AEU36" s="161"/>
      <c r="AEV36" s="161"/>
      <c r="AEW36" s="161"/>
      <c r="AEX36" s="161"/>
      <c r="AEY36" s="161"/>
      <c r="AEZ36" s="161"/>
      <c r="AFA36" s="161"/>
      <c r="AFB36" s="161"/>
      <c r="AFC36" s="161"/>
      <c r="AFD36" s="161"/>
      <c r="AFE36" s="161"/>
      <c r="AFF36" s="161"/>
      <c r="AFG36" s="161"/>
      <c r="AFH36" s="161"/>
      <c r="AFI36" s="161"/>
      <c r="AFJ36" s="161"/>
      <c r="AFK36" s="161"/>
      <c r="AFL36" s="161"/>
      <c r="AFM36" s="161"/>
      <c r="AFN36" s="161"/>
      <c r="AFO36" s="161"/>
      <c r="AFP36" s="161"/>
      <c r="AFQ36" s="161"/>
      <c r="AFR36" s="161"/>
      <c r="AFS36" s="161"/>
      <c r="AFT36" s="161"/>
      <c r="AFU36" s="161"/>
      <c r="AFV36" s="161"/>
      <c r="AFW36" s="161"/>
      <c r="AFX36" s="161"/>
      <c r="AFY36" s="161"/>
      <c r="AFZ36" s="161"/>
      <c r="AGA36" s="161"/>
      <c r="AGB36" s="161"/>
      <c r="AGC36" s="161"/>
      <c r="AGD36" s="161"/>
      <c r="AGE36" s="161"/>
      <c r="AGF36" s="161"/>
      <c r="AGG36" s="161"/>
      <c r="AGH36" s="161"/>
      <c r="AGI36" s="161"/>
      <c r="AGJ36" s="161"/>
      <c r="AGK36" s="161"/>
      <c r="AGL36" s="161"/>
      <c r="AGM36" s="161"/>
      <c r="AGN36" s="161"/>
      <c r="AGO36" s="161"/>
      <c r="AGP36" s="161"/>
      <c r="AGQ36" s="161"/>
      <c r="AGR36" s="161"/>
      <c r="AGS36" s="161"/>
      <c r="AGT36" s="161"/>
      <c r="AGU36" s="161"/>
      <c r="AGV36" s="161"/>
      <c r="AGW36" s="161"/>
      <c r="AGX36" s="161"/>
      <c r="AGY36" s="161"/>
      <c r="AGZ36" s="161"/>
      <c r="AHA36" s="161"/>
      <c r="AHB36" s="161"/>
      <c r="AHC36" s="161"/>
      <c r="AHD36" s="161"/>
      <c r="AHE36" s="161"/>
      <c r="AHF36" s="161"/>
      <c r="AHG36" s="161"/>
      <c r="AHH36" s="161"/>
      <c r="AHI36" s="161"/>
      <c r="AHJ36" s="161"/>
      <c r="AHK36" s="161"/>
      <c r="AHL36" s="161"/>
      <c r="AHM36" s="161"/>
      <c r="AHN36" s="161"/>
      <c r="AHO36" s="161"/>
      <c r="AHP36" s="161"/>
      <c r="AHQ36" s="161"/>
      <c r="AHR36" s="161"/>
      <c r="AHS36" s="161"/>
      <c r="AHT36" s="161"/>
      <c r="AHU36" s="161"/>
      <c r="AHV36" s="161"/>
      <c r="AHW36" s="161"/>
      <c r="AHX36" s="161"/>
      <c r="AHY36" s="161"/>
      <c r="AHZ36" s="161"/>
      <c r="AIA36" s="161"/>
      <c r="AIB36" s="161"/>
      <c r="AIC36" s="161"/>
      <c r="AID36" s="161"/>
      <c r="AIE36" s="161"/>
      <c r="AIF36" s="161"/>
    </row>
    <row r="37" spans="1:916" s="21" customFormat="1" ht="12.75">
      <c r="B37" s="316" t="s">
        <v>459</v>
      </c>
      <c r="C37" s="317"/>
      <c r="D37" s="316"/>
      <c r="E37" s="316"/>
      <c r="F37" s="332"/>
      <c r="G37" s="332"/>
      <c r="H37" s="346">
        <v>0</v>
      </c>
      <c r="I37" s="347">
        <f t="shared" ref="I37:N37" si="14">SUM(I35:I36)</f>
        <v>742781.08</v>
      </c>
      <c r="J37" s="347">
        <f t="shared" si="14"/>
        <v>0</v>
      </c>
      <c r="K37" s="347">
        <f t="shared" si="14"/>
        <v>0</v>
      </c>
      <c r="L37" s="347">
        <f t="shared" si="14"/>
        <v>0</v>
      </c>
      <c r="M37" s="347">
        <f t="shared" si="14"/>
        <v>0</v>
      </c>
      <c r="N37" s="347">
        <f t="shared" si="14"/>
        <v>1574499.3499999999</v>
      </c>
      <c r="O37" s="347">
        <f t="shared" ref="O37:T37" si="15">SUM(O35:O36)</f>
        <v>742781.08</v>
      </c>
      <c r="P37" s="347">
        <f>SUM(P35:P36)</f>
        <v>132.69</v>
      </c>
      <c r="Q37" s="347">
        <f t="shared" si="15"/>
        <v>1471907.4039450313</v>
      </c>
      <c r="R37" s="347">
        <f t="shared" si="15"/>
        <v>694382.61194727477</v>
      </c>
      <c r="S37" s="347">
        <f t="shared" si="15"/>
        <v>0</v>
      </c>
      <c r="T37" s="347">
        <f t="shared" si="15"/>
        <v>0</v>
      </c>
      <c r="U37" s="506">
        <f>S37/Q37</f>
        <v>0</v>
      </c>
      <c r="V37" s="506">
        <f>(S37*1.1+T37)/R37</f>
        <v>0</v>
      </c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  <c r="PJ37" s="161"/>
      <c r="PK37" s="161"/>
      <c r="PL37" s="161"/>
      <c r="PM37" s="161"/>
      <c r="PN37" s="161"/>
      <c r="PO37" s="161"/>
      <c r="PP37" s="161"/>
      <c r="PQ37" s="161"/>
      <c r="PR37" s="161"/>
      <c r="PS37" s="161"/>
      <c r="PT37" s="161"/>
      <c r="PU37" s="161"/>
      <c r="PV37" s="161"/>
      <c r="PW37" s="161"/>
      <c r="PX37" s="161"/>
      <c r="PY37" s="161"/>
      <c r="PZ37" s="161"/>
      <c r="QA37" s="161"/>
      <c r="QB37" s="161"/>
      <c r="QC37" s="161"/>
      <c r="QD37" s="161"/>
      <c r="QE37" s="161"/>
      <c r="QF37" s="161"/>
      <c r="QG37" s="161"/>
      <c r="QH37" s="161"/>
      <c r="QI37" s="161"/>
      <c r="QJ37" s="161"/>
      <c r="QK37" s="161"/>
      <c r="QL37" s="161"/>
      <c r="QM37" s="161"/>
      <c r="QN37" s="161"/>
      <c r="QO37" s="161"/>
      <c r="QP37" s="161"/>
      <c r="QQ37" s="161"/>
      <c r="QR37" s="161"/>
      <c r="QS37" s="161"/>
      <c r="QT37" s="161"/>
      <c r="QU37" s="161"/>
      <c r="QV37" s="161"/>
      <c r="QW37" s="161"/>
      <c r="QX37" s="161"/>
      <c r="QY37" s="161"/>
      <c r="QZ37" s="161"/>
      <c r="RA37" s="161"/>
      <c r="RB37" s="161"/>
      <c r="RC37" s="161"/>
      <c r="RD37" s="161"/>
      <c r="RE37" s="161"/>
      <c r="RF37" s="161"/>
      <c r="RG37" s="161"/>
      <c r="RH37" s="161"/>
      <c r="RI37" s="161"/>
      <c r="RJ37" s="161"/>
      <c r="RK37" s="161"/>
      <c r="RL37" s="161"/>
      <c r="RM37" s="161"/>
      <c r="RN37" s="161"/>
      <c r="RO37" s="161"/>
      <c r="RP37" s="161"/>
      <c r="RQ37" s="161"/>
      <c r="RR37" s="161"/>
      <c r="RS37" s="161"/>
      <c r="RT37" s="161"/>
      <c r="RU37" s="161"/>
      <c r="RV37" s="161"/>
      <c r="RW37" s="161"/>
      <c r="RX37" s="161"/>
      <c r="RY37" s="161"/>
      <c r="RZ37" s="161"/>
      <c r="SA37" s="161"/>
      <c r="SB37" s="161"/>
      <c r="SC37" s="161"/>
      <c r="SD37" s="161"/>
      <c r="SE37" s="161"/>
      <c r="SF37" s="161"/>
      <c r="SG37" s="161"/>
      <c r="SH37" s="161"/>
      <c r="SI37" s="161"/>
      <c r="SJ37" s="161"/>
      <c r="SK37" s="161"/>
      <c r="SL37" s="161"/>
      <c r="SM37" s="161"/>
      <c r="SN37" s="161"/>
      <c r="SO37" s="161"/>
      <c r="SP37" s="161"/>
      <c r="SQ37" s="161"/>
      <c r="SR37" s="161"/>
      <c r="SS37" s="161"/>
      <c r="ST37" s="161"/>
      <c r="SU37" s="161"/>
      <c r="SV37" s="161"/>
      <c r="SW37" s="161"/>
      <c r="SX37" s="161"/>
      <c r="SY37" s="161"/>
      <c r="SZ37" s="161"/>
      <c r="TA37" s="161"/>
      <c r="TB37" s="161"/>
      <c r="TC37" s="161"/>
      <c r="TD37" s="161"/>
      <c r="TE37" s="161"/>
      <c r="TF37" s="161"/>
      <c r="TG37" s="161"/>
      <c r="TH37" s="161"/>
      <c r="TI37" s="161"/>
      <c r="TJ37" s="161"/>
      <c r="TK37" s="161"/>
      <c r="TL37" s="161"/>
      <c r="TM37" s="161"/>
      <c r="TN37" s="161"/>
      <c r="TO37" s="161"/>
      <c r="TP37" s="161"/>
      <c r="TQ37" s="161"/>
      <c r="TR37" s="161"/>
      <c r="TS37" s="161"/>
      <c r="TT37" s="161"/>
      <c r="TU37" s="161"/>
      <c r="TV37" s="161"/>
      <c r="TW37" s="161"/>
      <c r="TX37" s="161"/>
      <c r="TY37" s="161"/>
      <c r="TZ37" s="161"/>
      <c r="UA37" s="161"/>
      <c r="UB37" s="161"/>
      <c r="UC37" s="161"/>
      <c r="UD37" s="161"/>
      <c r="UE37" s="161"/>
      <c r="UF37" s="161"/>
      <c r="UG37" s="161"/>
      <c r="UH37" s="161"/>
      <c r="UI37" s="161"/>
      <c r="UJ37" s="161"/>
      <c r="UK37" s="161"/>
      <c r="UL37" s="161"/>
      <c r="UM37" s="161"/>
      <c r="UN37" s="161"/>
      <c r="UO37" s="161"/>
      <c r="UP37" s="161"/>
      <c r="UQ37" s="161"/>
      <c r="UR37" s="161"/>
      <c r="US37" s="161"/>
      <c r="UT37" s="161"/>
      <c r="UU37" s="161"/>
      <c r="UV37" s="161"/>
      <c r="UW37" s="161"/>
      <c r="UX37" s="161"/>
      <c r="UY37" s="161"/>
      <c r="UZ37" s="161"/>
      <c r="VA37" s="161"/>
      <c r="VB37" s="161"/>
      <c r="VC37" s="161"/>
      <c r="VD37" s="161"/>
      <c r="VE37" s="161"/>
      <c r="VF37" s="161"/>
      <c r="VG37" s="161"/>
      <c r="VH37" s="161"/>
      <c r="VI37" s="161"/>
      <c r="VJ37" s="161"/>
      <c r="VK37" s="161"/>
      <c r="VL37" s="161"/>
      <c r="VM37" s="161"/>
      <c r="VN37" s="161"/>
      <c r="VO37" s="161"/>
      <c r="VP37" s="161"/>
      <c r="VQ37" s="161"/>
      <c r="VR37" s="161"/>
      <c r="VS37" s="161"/>
      <c r="VT37" s="161"/>
      <c r="VU37" s="161"/>
      <c r="VV37" s="161"/>
      <c r="VW37" s="161"/>
      <c r="VX37" s="161"/>
      <c r="VY37" s="161"/>
      <c r="VZ37" s="161"/>
      <c r="WA37" s="161"/>
      <c r="WB37" s="161"/>
      <c r="WC37" s="161"/>
      <c r="WD37" s="161"/>
      <c r="WE37" s="161"/>
      <c r="WF37" s="161"/>
      <c r="WG37" s="161"/>
      <c r="WH37" s="161"/>
      <c r="WI37" s="161"/>
      <c r="WJ37" s="161"/>
      <c r="WK37" s="161"/>
      <c r="WL37" s="161"/>
      <c r="WM37" s="161"/>
      <c r="WN37" s="161"/>
      <c r="WO37" s="161"/>
      <c r="WP37" s="161"/>
      <c r="WQ37" s="161"/>
      <c r="WR37" s="161"/>
      <c r="WS37" s="161"/>
      <c r="WT37" s="161"/>
      <c r="WU37" s="161"/>
      <c r="WV37" s="161"/>
      <c r="WW37" s="161"/>
      <c r="WX37" s="161"/>
      <c r="WY37" s="161"/>
      <c r="WZ37" s="161"/>
      <c r="XA37" s="161"/>
      <c r="XB37" s="161"/>
      <c r="XC37" s="161"/>
      <c r="XD37" s="161"/>
      <c r="XE37" s="161"/>
      <c r="XF37" s="161"/>
      <c r="XG37" s="161"/>
      <c r="XH37" s="161"/>
      <c r="XI37" s="161"/>
      <c r="XJ37" s="161"/>
      <c r="XK37" s="161"/>
      <c r="XL37" s="161"/>
      <c r="XM37" s="161"/>
      <c r="XN37" s="161"/>
      <c r="XO37" s="161"/>
      <c r="XP37" s="161"/>
      <c r="XQ37" s="161"/>
      <c r="XR37" s="161"/>
      <c r="XS37" s="161"/>
      <c r="XT37" s="161"/>
      <c r="XU37" s="161"/>
      <c r="XV37" s="161"/>
      <c r="XW37" s="161"/>
      <c r="XX37" s="161"/>
      <c r="XY37" s="161"/>
      <c r="XZ37" s="161"/>
      <c r="YA37" s="161"/>
      <c r="YB37" s="161"/>
      <c r="YC37" s="161"/>
      <c r="YD37" s="161"/>
      <c r="YE37" s="161"/>
      <c r="YF37" s="161"/>
      <c r="YG37" s="161"/>
      <c r="YH37" s="161"/>
      <c r="YI37" s="161"/>
      <c r="YJ37" s="161"/>
      <c r="YK37" s="161"/>
      <c r="YL37" s="161"/>
      <c r="YM37" s="161"/>
      <c r="YN37" s="161"/>
      <c r="YO37" s="161"/>
      <c r="YP37" s="161"/>
      <c r="YQ37" s="161"/>
      <c r="YR37" s="161"/>
      <c r="YS37" s="161"/>
      <c r="YT37" s="161"/>
      <c r="YU37" s="161"/>
      <c r="YV37" s="161"/>
      <c r="YW37" s="161"/>
      <c r="YX37" s="161"/>
      <c r="YY37" s="161"/>
      <c r="YZ37" s="161"/>
      <c r="ZA37" s="161"/>
      <c r="ZB37" s="161"/>
      <c r="ZC37" s="161"/>
      <c r="ZD37" s="161"/>
      <c r="ZE37" s="161"/>
      <c r="ZF37" s="161"/>
      <c r="ZG37" s="161"/>
      <c r="ZH37" s="161"/>
      <c r="ZI37" s="161"/>
      <c r="ZJ37" s="161"/>
      <c r="ZK37" s="161"/>
      <c r="ZL37" s="161"/>
      <c r="ZM37" s="161"/>
      <c r="ZN37" s="161"/>
      <c r="ZO37" s="161"/>
      <c r="ZP37" s="161"/>
      <c r="ZQ37" s="161"/>
      <c r="ZR37" s="161"/>
      <c r="ZS37" s="161"/>
      <c r="ZT37" s="161"/>
      <c r="ZU37" s="161"/>
      <c r="ZV37" s="161"/>
      <c r="ZW37" s="161"/>
      <c r="ZX37" s="161"/>
      <c r="ZY37" s="161"/>
      <c r="ZZ37" s="161"/>
      <c r="AAA37" s="161"/>
      <c r="AAB37" s="161"/>
      <c r="AAC37" s="161"/>
      <c r="AAD37" s="161"/>
      <c r="AAE37" s="161"/>
      <c r="AAF37" s="161"/>
      <c r="AAG37" s="161"/>
      <c r="AAH37" s="161"/>
      <c r="AAI37" s="161"/>
      <c r="AAJ37" s="161"/>
      <c r="AAK37" s="161"/>
      <c r="AAL37" s="161"/>
      <c r="AAM37" s="161"/>
      <c r="AAN37" s="161"/>
      <c r="AAO37" s="161"/>
      <c r="AAP37" s="161"/>
      <c r="AAQ37" s="161"/>
      <c r="AAR37" s="161"/>
      <c r="AAS37" s="161"/>
      <c r="AAT37" s="161"/>
      <c r="AAU37" s="161"/>
      <c r="AAV37" s="161"/>
      <c r="AAW37" s="161"/>
      <c r="AAX37" s="161"/>
      <c r="AAY37" s="161"/>
      <c r="AAZ37" s="161"/>
      <c r="ABA37" s="161"/>
      <c r="ABB37" s="161"/>
      <c r="ABC37" s="161"/>
      <c r="ABD37" s="161"/>
      <c r="ABE37" s="161"/>
      <c r="ABF37" s="161"/>
      <c r="ABG37" s="161"/>
      <c r="ABH37" s="161"/>
      <c r="ABI37" s="161"/>
      <c r="ABJ37" s="161"/>
      <c r="ABK37" s="161"/>
      <c r="ABL37" s="161"/>
      <c r="ABM37" s="161"/>
      <c r="ABN37" s="161"/>
      <c r="ABO37" s="161"/>
      <c r="ABP37" s="161"/>
      <c r="ABQ37" s="161"/>
      <c r="ABR37" s="161"/>
      <c r="ABS37" s="161"/>
      <c r="ABT37" s="161"/>
      <c r="ABU37" s="161"/>
      <c r="ABV37" s="161"/>
      <c r="ABW37" s="161"/>
      <c r="ABX37" s="161"/>
      <c r="ABY37" s="161"/>
      <c r="ABZ37" s="161"/>
      <c r="ACA37" s="161"/>
      <c r="ACB37" s="161"/>
      <c r="ACC37" s="161"/>
      <c r="ACD37" s="161"/>
      <c r="ACE37" s="161"/>
      <c r="ACF37" s="161"/>
      <c r="ACG37" s="161"/>
      <c r="ACH37" s="161"/>
      <c r="ACI37" s="161"/>
      <c r="ACJ37" s="161"/>
      <c r="ACK37" s="161"/>
      <c r="ACL37" s="161"/>
      <c r="ACM37" s="161"/>
      <c r="ACN37" s="161"/>
      <c r="ACO37" s="161"/>
      <c r="ACP37" s="161"/>
      <c r="ACQ37" s="161"/>
      <c r="ACR37" s="161"/>
      <c r="ACS37" s="161"/>
      <c r="ACT37" s="161"/>
      <c r="ACU37" s="161"/>
      <c r="ACV37" s="161"/>
      <c r="ACW37" s="161"/>
      <c r="ACX37" s="161"/>
      <c r="ACY37" s="161"/>
      <c r="ACZ37" s="161"/>
      <c r="ADA37" s="161"/>
      <c r="ADB37" s="161"/>
      <c r="ADC37" s="161"/>
      <c r="ADD37" s="161"/>
      <c r="ADE37" s="161"/>
      <c r="ADF37" s="161"/>
      <c r="ADG37" s="161"/>
      <c r="ADH37" s="161"/>
      <c r="ADI37" s="161"/>
      <c r="ADJ37" s="161"/>
      <c r="ADK37" s="161"/>
      <c r="ADL37" s="161"/>
      <c r="ADM37" s="161"/>
      <c r="ADN37" s="161"/>
      <c r="ADO37" s="161"/>
      <c r="ADP37" s="161"/>
      <c r="ADQ37" s="161"/>
      <c r="ADR37" s="161"/>
      <c r="ADS37" s="161"/>
      <c r="ADT37" s="161"/>
      <c r="ADU37" s="161"/>
      <c r="ADV37" s="161"/>
      <c r="ADW37" s="161"/>
      <c r="ADX37" s="161"/>
      <c r="ADY37" s="161"/>
      <c r="ADZ37" s="161"/>
      <c r="AEA37" s="161"/>
      <c r="AEB37" s="161"/>
      <c r="AEC37" s="161"/>
      <c r="AED37" s="161"/>
      <c r="AEE37" s="161"/>
      <c r="AEF37" s="161"/>
      <c r="AEG37" s="161"/>
      <c r="AEH37" s="161"/>
      <c r="AEI37" s="161"/>
      <c r="AEJ37" s="161"/>
      <c r="AEK37" s="161"/>
      <c r="AEL37" s="161"/>
      <c r="AEM37" s="161"/>
      <c r="AEN37" s="161"/>
      <c r="AEO37" s="161"/>
      <c r="AEP37" s="161"/>
      <c r="AEQ37" s="161"/>
      <c r="AER37" s="161"/>
      <c r="AES37" s="161"/>
      <c r="AET37" s="161"/>
      <c r="AEU37" s="161"/>
      <c r="AEV37" s="161"/>
      <c r="AEW37" s="161"/>
      <c r="AEX37" s="161"/>
      <c r="AEY37" s="161"/>
      <c r="AEZ37" s="161"/>
      <c r="AFA37" s="161"/>
      <c r="AFB37" s="161"/>
      <c r="AFC37" s="161"/>
      <c r="AFD37" s="161"/>
      <c r="AFE37" s="161"/>
      <c r="AFF37" s="161"/>
      <c r="AFG37" s="161"/>
      <c r="AFH37" s="161"/>
      <c r="AFI37" s="161"/>
      <c r="AFJ37" s="161"/>
      <c r="AFK37" s="161"/>
      <c r="AFL37" s="161"/>
      <c r="AFM37" s="161"/>
      <c r="AFN37" s="161"/>
      <c r="AFO37" s="161"/>
      <c r="AFP37" s="161"/>
      <c r="AFQ37" s="161"/>
      <c r="AFR37" s="161"/>
      <c r="AFS37" s="161"/>
      <c r="AFT37" s="161"/>
      <c r="AFU37" s="161"/>
      <c r="AFV37" s="161"/>
      <c r="AFW37" s="161"/>
      <c r="AFX37" s="161"/>
      <c r="AFY37" s="161"/>
      <c r="AFZ37" s="161"/>
      <c r="AGA37" s="161"/>
      <c r="AGB37" s="161"/>
      <c r="AGC37" s="161"/>
      <c r="AGD37" s="161"/>
      <c r="AGE37" s="161"/>
      <c r="AGF37" s="161"/>
      <c r="AGG37" s="161"/>
      <c r="AGH37" s="161"/>
      <c r="AGI37" s="161"/>
      <c r="AGJ37" s="161"/>
      <c r="AGK37" s="161"/>
      <c r="AGL37" s="161"/>
      <c r="AGM37" s="161"/>
      <c r="AGN37" s="161"/>
      <c r="AGO37" s="161"/>
      <c r="AGP37" s="161"/>
      <c r="AGQ37" s="161"/>
      <c r="AGR37" s="161"/>
      <c r="AGS37" s="161"/>
      <c r="AGT37" s="161"/>
      <c r="AGU37" s="161"/>
      <c r="AGV37" s="161"/>
      <c r="AGW37" s="161"/>
      <c r="AGX37" s="161"/>
      <c r="AGY37" s="161"/>
      <c r="AGZ37" s="161"/>
      <c r="AHA37" s="161"/>
      <c r="AHB37" s="161"/>
      <c r="AHC37" s="161"/>
      <c r="AHD37" s="161"/>
      <c r="AHE37" s="161"/>
      <c r="AHF37" s="161"/>
      <c r="AHG37" s="161"/>
      <c r="AHH37" s="161"/>
      <c r="AHI37" s="161"/>
      <c r="AHJ37" s="161"/>
      <c r="AHK37" s="161"/>
      <c r="AHL37" s="161"/>
      <c r="AHM37" s="161"/>
      <c r="AHN37" s="161"/>
      <c r="AHO37" s="161"/>
      <c r="AHP37" s="161"/>
      <c r="AHQ37" s="161"/>
      <c r="AHR37" s="161"/>
      <c r="AHS37" s="161"/>
      <c r="AHT37" s="161"/>
      <c r="AHU37" s="161"/>
      <c r="AHV37" s="161"/>
      <c r="AHW37" s="161"/>
      <c r="AHX37" s="161"/>
      <c r="AHY37" s="161"/>
      <c r="AHZ37" s="161"/>
      <c r="AIA37" s="161"/>
      <c r="AIB37" s="161"/>
      <c r="AIC37" s="161"/>
      <c r="AID37" s="161"/>
      <c r="AIE37" s="161"/>
      <c r="AIF37" s="161"/>
    </row>
    <row r="38" spans="1:916" s="21" customFormat="1">
      <c r="A38" s="308"/>
      <c r="B38" s="309" t="s">
        <v>323</v>
      </c>
      <c r="C38" s="131" t="s">
        <v>399</v>
      </c>
      <c r="D38" s="348"/>
      <c r="E38" s="337"/>
      <c r="F38" s="170"/>
      <c r="G38" s="325"/>
      <c r="H38" s="325">
        <f>'G249 Res Gas Pilot'!A10</f>
        <v>10200</v>
      </c>
      <c r="I38" s="223">
        <f>'G249 Res Gas Pilot'!A8</f>
        <v>54570.320000000007</v>
      </c>
      <c r="J38" s="223">
        <v>0</v>
      </c>
      <c r="K38" s="223">
        <v>0</v>
      </c>
      <c r="L38" s="349">
        <v>0</v>
      </c>
      <c r="M38" s="342"/>
      <c r="N38" s="350">
        <f>'G249 Res Gas Pilot'!A$18</f>
        <v>74400.320000000007</v>
      </c>
      <c r="O38" s="342">
        <f>'G249 Res Gas Pilot'!A$20</f>
        <v>54570.320000000007</v>
      </c>
      <c r="P38" s="259">
        <f>SUM('G249 Res Gas Pilot'!R$5:R$1000)</f>
        <v>0</v>
      </c>
      <c r="Q38" s="344">
        <f>N38/(1+GasDiscountRate)^1</f>
        <v>69552.510049546603</v>
      </c>
      <c r="R38" s="344">
        <f>O38/(1+GasDiscountRate)^1</f>
        <v>51014.602224922877</v>
      </c>
      <c r="S38" s="259">
        <f>SUM('G249 Res Gas Pilot'!AM$5:AM$1000)</f>
        <v>40979.779671820113</v>
      </c>
      <c r="T38" s="259">
        <f>SUM('G249 Res Gas Pilot'!AD$5:AD$1000)</f>
        <v>0</v>
      </c>
      <c r="U38" s="507">
        <f>IFERROR(S38/Q38,0)</f>
        <v>0.58919195932149182</v>
      </c>
      <c r="V38" s="507">
        <f>IFERROR(((S38*1.1)+(T38))/R38,0)</f>
        <v>0.88362460301571577</v>
      </c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  <c r="PJ38" s="161"/>
      <c r="PK38" s="161"/>
      <c r="PL38" s="161"/>
      <c r="PM38" s="161"/>
      <c r="PN38" s="161"/>
      <c r="PO38" s="161"/>
      <c r="PP38" s="161"/>
      <c r="PQ38" s="161"/>
      <c r="PR38" s="161"/>
      <c r="PS38" s="161"/>
      <c r="PT38" s="161"/>
      <c r="PU38" s="161"/>
      <c r="PV38" s="161"/>
      <c r="PW38" s="161"/>
      <c r="PX38" s="161"/>
      <c r="PY38" s="161"/>
      <c r="PZ38" s="161"/>
      <c r="QA38" s="161"/>
      <c r="QB38" s="161"/>
      <c r="QC38" s="161"/>
      <c r="QD38" s="161"/>
      <c r="QE38" s="161"/>
      <c r="QF38" s="161"/>
      <c r="QG38" s="161"/>
      <c r="QH38" s="161"/>
      <c r="QI38" s="161"/>
      <c r="QJ38" s="161"/>
      <c r="QK38" s="161"/>
      <c r="QL38" s="161"/>
      <c r="QM38" s="161"/>
      <c r="QN38" s="161"/>
      <c r="QO38" s="161"/>
      <c r="QP38" s="161"/>
      <c r="QQ38" s="161"/>
      <c r="QR38" s="161"/>
      <c r="QS38" s="161"/>
      <c r="QT38" s="161"/>
      <c r="QU38" s="161"/>
      <c r="QV38" s="161"/>
      <c r="QW38" s="161"/>
      <c r="QX38" s="161"/>
      <c r="QY38" s="161"/>
      <c r="QZ38" s="161"/>
      <c r="RA38" s="161"/>
      <c r="RB38" s="161"/>
      <c r="RC38" s="161"/>
      <c r="RD38" s="161"/>
      <c r="RE38" s="161"/>
      <c r="RF38" s="161"/>
      <c r="RG38" s="161"/>
      <c r="RH38" s="161"/>
      <c r="RI38" s="161"/>
      <c r="RJ38" s="161"/>
      <c r="RK38" s="161"/>
      <c r="RL38" s="161"/>
      <c r="RM38" s="161"/>
      <c r="RN38" s="161"/>
      <c r="RO38" s="161"/>
      <c r="RP38" s="161"/>
      <c r="RQ38" s="161"/>
      <c r="RR38" s="161"/>
      <c r="RS38" s="161"/>
      <c r="RT38" s="161"/>
      <c r="RU38" s="161"/>
      <c r="RV38" s="161"/>
      <c r="RW38" s="161"/>
      <c r="RX38" s="161"/>
      <c r="RY38" s="161"/>
      <c r="RZ38" s="161"/>
      <c r="SA38" s="161"/>
      <c r="SB38" s="161"/>
      <c r="SC38" s="161"/>
      <c r="SD38" s="161"/>
      <c r="SE38" s="161"/>
      <c r="SF38" s="161"/>
      <c r="SG38" s="161"/>
      <c r="SH38" s="161"/>
      <c r="SI38" s="161"/>
      <c r="SJ38" s="161"/>
      <c r="SK38" s="161"/>
      <c r="SL38" s="161"/>
      <c r="SM38" s="161"/>
      <c r="SN38" s="161"/>
      <c r="SO38" s="161"/>
      <c r="SP38" s="161"/>
      <c r="SQ38" s="161"/>
      <c r="SR38" s="161"/>
      <c r="SS38" s="161"/>
      <c r="ST38" s="161"/>
      <c r="SU38" s="161"/>
      <c r="SV38" s="161"/>
      <c r="SW38" s="161"/>
      <c r="SX38" s="161"/>
      <c r="SY38" s="161"/>
      <c r="SZ38" s="161"/>
      <c r="TA38" s="161"/>
      <c r="TB38" s="161"/>
      <c r="TC38" s="161"/>
      <c r="TD38" s="161"/>
      <c r="TE38" s="161"/>
      <c r="TF38" s="161"/>
      <c r="TG38" s="161"/>
      <c r="TH38" s="161"/>
      <c r="TI38" s="161"/>
      <c r="TJ38" s="161"/>
      <c r="TK38" s="161"/>
      <c r="TL38" s="161"/>
      <c r="TM38" s="161"/>
      <c r="TN38" s="161"/>
      <c r="TO38" s="161"/>
      <c r="TP38" s="161"/>
      <c r="TQ38" s="161"/>
      <c r="TR38" s="161"/>
      <c r="TS38" s="161"/>
      <c r="TT38" s="161"/>
      <c r="TU38" s="161"/>
      <c r="TV38" s="161"/>
      <c r="TW38" s="161"/>
      <c r="TX38" s="161"/>
      <c r="TY38" s="161"/>
      <c r="TZ38" s="161"/>
      <c r="UA38" s="161"/>
      <c r="UB38" s="161"/>
      <c r="UC38" s="161"/>
      <c r="UD38" s="161"/>
      <c r="UE38" s="161"/>
      <c r="UF38" s="161"/>
      <c r="UG38" s="161"/>
      <c r="UH38" s="161"/>
      <c r="UI38" s="161"/>
      <c r="UJ38" s="161"/>
      <c r="UK38" s="161"/>
      <c r="UL38" s="161"/>
      <c r="UM38" s="161"/>
      <c r="UN38" s="161"/>
      <c r="UO38" s="161"/>
      <c r="UP38" s="161"/>
      <c r="UQ38" s="161"/>
      <c r="UR38" s="161"/>
      <c r="US38" s="161"/>
      <c r="UT38" s="161"/>
      <c r="UU38" s="161"/>
      <c r="UV38" s="161"/>
      <c r="UW38" s="161"/>
      <c r="UX38" s="161"/>
      <c r="UY38" s="161"/>
      <c r="UZ38" s="161"/>
      <c r="VA38" s="161"/>
      <c r="VB38" s="161"/>
      <c r="VC38" s="161"/>
      <c r="VD38" s="161"/>
      <c r="VE38" s="161"/>
      <c r="VF38" s="161"/>
      <c r="VG38" s="161"/>
      <c r="VH38" s="161"/>
      <c r="VI38" s="161"/>
      <c r="VJ38" s="161"/>
      <c r="VK38" s="161"/>
      <c r="VL38" s="161"/>
      <c r="VM38" s="161"/>
      <c r="VN38" s="161"/>
      <c r="VO38" s="161"/>
      <c r="VP38" s="161"/>
      <c r="VQ38" s="161"/>
      <c r="VR38" s="161"/>
      <c r="VS38" s="161"/>
      <c r="VT38" s="161"/>
      <c r="VU38" s="161"/>
      <c r="VV38" s="161"/>
      <c r="VW38" s="161"/>
      <c r="VX38" s="161"/>
      <c r="VY38" s="161"/>
      <c r="VZ38" s="161"/>
      <c r="WA38" s="161"/>
      <c r="WB38" s="161"/>
      <c r="WC38" s="161"/>
      <c r="WD38" s="161"/>
      <c r="WE38" s="161"/>
      <c r="WF38" s="161"/>
      <c r="WG38" s="161"/>
      <c r="WH38" s="161"/>
      <c r="WI38" s="161"/>
      <c r="WJ38" s="161"/>
      <c r="WK38" s="161"/>
      <c r="WL38" s="161"/>
      <c r="WM38" s="161"/>
      <c r="WN38" s="161"/>
      <c r="WO38" s="161"/>
      <c r="WP38" s="161"/>
      <c r="WQ38" s="161"/>
      <c r="WR38" s="161"/>
      <c r="WS38" s="161"/>
      <c r="WT38" s="161"/>
      <c r="WU38" s="161"/>
      <c r="WV38" s="161"/>
      <c r="WW38" s="161"/>
      <c r="WX38" s="161"/>
      <c r="WY38" s="161"/>
      <c r="WZ38" s="161"/>
      <c r="XA38" s="161"/>
      <c r="XB38" s="161"/>
      <c r="XC38" s="161"/>
      <c r="XD38" s="161"/>
      <c r="XE38" s="161"/>
      <c r="XF38" s="161"/>
      <c r="XG38" s="161"/>
      <c r="XH38" s="161"/>
      <c r="XI38" s="161"/>
      <c r="XJ38" s="161"/>
      <c r="XK38" s="161"/>
      <c r="XL38" s="161"/>
      <c r="XM38" s="161"/>
      <c r="XN38" s="161"/>
      <c r="XO38" s="161"/>
      <c r="XP38" s="161"/>
      <c r="XQ38" s="161"/>
      <c r="XR38" s="161"/>
      <c r="XS38" s="161"/>
      <c r="XT38" s="161"/>
      <c r="XU38" s="161"/>
      <c r="XV38" s="161"/>
      <c r="XW38" s="161"/>
      <c r="XX38" s="161"/>
      <c r="XY38" s="161"/>
      <c r="XZ38" s="161"/>
      <c r="YA38" s="161"/>
      <c r="YB38" s="161"/>
      <c r="YC38" s="161"/>
      <c r="YD38" s="161"/>
      <c r="YE38" s="161"/>
      <c r="YF38" s="161"/>
      <c r="YG38" s="161"/>
      <c r="YH38" s="161"/>
      <c r="YI38" s="161"/>
      <c r="YJ38" s="161"/>
      <c r="YK38" s="161"/>
      <c r="YL38" s="161"/>
      <c r="YM38" s="161"/>
      <c r="YN38" s="161"/>
      <c r="YO38" s="161"/>
      <c r="YP38" s="161"/>
      <c r="YQ38" s="161"/>
      <c r="YR38" s="161"/>
      <c r="YS38" s="161"/>
      <c r="YT38" s="161"/>
      <c r="YU38" s="161"/>
      <c r="YV38" s="161"/>
      <c r="YW38" s="161"/>
      <c r="YX38" s="161"/>
      <c r="YY38" s="161"/>
      <c r="YZ38" s="161"/>
      <c r="ZA38" s="161"/>
      <c r="ZB38" s="161"/>
      <c r="ZC38" s="161"/>
      <c r="ZD38" s="161"/>
      <c r="ZE38" s="161"/>
      <c r="ZF38" s="161"/>
      <c r="ZG38" s="161"/>
      <c r="ZH38" s="161"/>
      <c r="ZI38" s="161"/>
      <c r="ZJ38" s="161"/>
      <c r="ZK38" s="161"/>
      <c r="ZL38" s="161"/>
      <c r="ZM38" s="161"/>
      <c r="ZN38" s="161"/>
      <c r="ZO38" s="161"/>
      <c r="ZP38" s="161"/>
      <c r="ZQ38" s="161"/>
      <c r="ZR38" s="161"/>
      <c r="ZS38" s="161"/>
      <c r="ZT38" s="161"/>
      <c r="ZU38" s="161"/>
      <c r="ZV38" s="161"/>
      <c r="ZW38" s="161"/>
      <c r="ZX38" s="161"/>
      <c r="ZY38" s="161"/>
      <c r="ZZ38" s="161"/>
      <c r="AAA38" s="161"/>
      <c r="AAB38" s="161"/>
      <c r="AAC38" s="161"/>
      <c r="AAD38" s="161"/>
      <c r="AAE38" s="161"/>
      <c r="AAF38" s="161"/>
      <c r="AAG38" s="161"/>
      <c r="AAH38" s="161"/>
      <c r="AAI38" s="161"/>
      <c r="AAJ38" s="161"/>
      <c r="AAK38" s="161"/>
      <c r="AAL38" s="161"/>
      <c r="AAM38" s="161"/>
      <c r="AAN38" s="161"/>
      <c r="AAO38" s="161"/>
      <c r="AAP38" s="161"/>
      <c r="AAQ38" s="161"/>
      <c r="AAR38" s="161"/>
      <c r="AAS38" s="161"/>
      <c r="AAT38" s="161"/>
      <c r="AAU38" s="161"/>
      <c r="AAV38" s="161"/>
      <c r="AAW38" s="161"/>
      <c r="AAX38" s="161"/>
      <c r="AAY38" s="161"/>
      <c r="AAZ38" s="161"/>
      <c r="ABA38" s="161"/>
      <c r="ABB38" s="161"/>
      <c r="ABC38" s="161"/>
      <c r="ABD38" s="161"/>
      <c r="ABE38" s="161"/>
      <c r="ABF38" s="161"/>
      <c r="ABG38" s="161"/>
      <c r="ABH38" s="161"/>
      <c r="ABI38" s="161"/>
      <c r="ABJ38" s="161"/>
      <c r="ABK38" s="161"/>
      <c r="ABL38" s="161"/>
      <c r="ABM38" s="161"/>
      <c r="ABN38" s="161"/>
      <c r="ABO38" s="161"/>
      <c r="ABP38" s="161"/>
      <c r="ABQ38" s="161"/>
      <c r="ABR38" s="161"/>
      <c r="ABS38" s="161"/>
      <c r="ABT38" s="161"/>
      <c r="ABU38" s="161"/>
      <c r="ABV38" s="161"/>
      <c r="ABW38" s="161"/>
      <c r="ABX38" s="161"/>
      <c r="ABY38" s="161"/>
      <c r="ABZ38" s="161"/>
      <c r="ACA38" s="161"/>
      <c r="ACB38" s="161"/>
      <c r="ACC38" s="161"/>
      <c r="ACD38" s="161"/>
      <c r="ACE38" s="161"/>
      <c r="ACF38" s="161"/>
      <c r="ACG38" s="161"/>
      <c r="ACH38" s="161"/>
      <c r="ACI38" s="161"/>
      <c r="ACJ38" s="161"/>
      <c r="ACK38" s="161"/>
      <c r="ACL38" s="161"/>
      <c r="ACM38" s="161"/>
      <c r="ACN38" s="161"/>
      <c r="ACO38" s="161"/>
      <c r="ACP38" s="161"/>
      <c r="ACQ38" s="161"/>
      <c r="ACR38" s="161"/>
      <c r="ACS38" s="161"/>
      <c r="ACT38" s="161"/>
      <c r="ACU38" s="161"/>
      <c r="ACV38" s="161"/>
      <c r="ACW38" s="161"/>
      <c r="ACX38" s="161"/>
      <c r="ACY38" s="161"/>
      <c r="ACZ38" s="161"/>
      <c r="ADA38" s="161"/>
      <c r="ADB38" s="161"/>
      <c r="ADC38" s="161"/>
      <c r="ADD38" s="161"/>
      <c r="ADE38" s="161"/>
      <c r="ADF38" s="161"/>
      <c r="ADG38" s="161"/>
      <c r="ADH38" s="161"/>
      <c r="ADI38" s="161"/>
      <c r="ADJ38" s="161"/>
      <c r="ADK38" s="161"/>
      <c r="ADL38" s="161"/>
      <c r="ADM38" s="161"/>
      <c r="ADN38" s="161"/>
      <c r="ADO38" s="161"/>
      <c r="ADP38" s="161"/>
      <c r="ADQ38" s="161"/>
      <c r="ADR38" s="161"/>
      <c r="ADS38" s="161"/>
      <c r="ADT38" s="161"/>
      <c r="ADU38" s="161"/>
      <c r="ADV38" s="161"/>
      <c r="ADW38" s="161"/>
      <c r="ADX38" s="161"/>
      <c r="ADY38" s="161"/>
      <c r="ADZ38" s="161"/>
      <c r="AEA38" s="161"/>
      <c r="AEB38" s="161"/>
      <c r="AEC38" s="161"/>
      <c r="AED38" s="161"/>
      <c r="AEE38" s="161"/>
      <c r="AEF38" s="161"/>
      <c r="AEG38" s="161"/>
      <c r="AEH38" s="161"/>
      <c r="AEI38" s="161"/>
      <c r="AEJ38" s="161"/>
      <c r="AEK38" s="161"/>
      <c r="AEL38" s="161"/>
      <c r="AEM38" s="161"/>
      <c r="AEN38" s="161"/>
      <c r="AEO38" s="161"/>
      <c r="AEP38" s="161"/>
      <c r="AEQ38" s="161"/>
      <c r="AER38" s="161"/>
      <c r="AES38" s="161"/>
      <c r="AET38" s="161"/>
      <c r="AEU38" s="161"/>
      <c r="AEV38" s="161"/>
      <c r="AEW38" s="161"/>
      <c r="AEX38" s="161"/>
      <c r="AEY38" s="161"/>
      <c r="AEZ38" s="161"/>
      <c r="AFA38" s="161"/>
      <c r="AFB38" s="161"/>
      <c r="AFC38" s="161"/>
      <c r="AFD38" s="161"/>
      <c r="AFE38" s="161"/>
      <c r="AFF38" s="161"/>
      <c r="AFG38" s="161"/>
      <c r="AFH38" s="161"/>
      <c r="AFI38" s="161"/>
      <c r="AFJ38" s="161"/>
      <c r="AFK38" s="161"/>
      <c r="AFL38" s="161"/>
      <c r="AFM38" s="161"/>
      <c r="AFN38" s="161"/>
      <c r="AFO38" s="161"/>
      <c r="AFP38" s="161"/>
      <c r="AFQ38" s="161"/>
      <c r="AFR38" s="161"/>
      <c r="AFS38" s="161"/>
      <c r="AFT38" s="161"/>
      <c r="AFU38" s="161"/>
      <c r="AFV38" s="161"/>
      <c r="AFW38" s="161"/>
      <c r="AFX38" s="161"/>
      <c r="AFY38" s="161"/>
      <c r="AFZ38" s="161"/>
      <c r="AGA38" s="161"/>
      <c r="AGB38" s="161"/>
      <c r="AGC38" s="161"/>
      <c r="AGD38" s="161"/>
      <c r="AGE38" s="161"/>
      <c r="AGF38" s="161"/>
      <c r="AGG38" s="161"/>
      <c r="AGH38" s="161"/>
      <c r="AGI38" s="161"/>
      <c r="AGJ38" s="161"/>
      <c r="AGK38" s="161"/>
      <c r="AGL38" s="161"/>
      <c r="AGM38" s="161"/>
      <c r="AGN38" s="161"/>
      <c r="AGO38" s="161"/>
      <c r="AGP38" s="161"/>
      <c r="AGQ38" s="161"/>
      <c r="AGR38" s="161"/>
      <c r="AGS38" s="161"/>
      <c r="AGT38" s="161"/>
      <c r="AGU38" s="161"/>
      <c r="AGV38" s="161"/>
      <c r="AGW38" s="161"/>
      <c r="AGX38" s="161"/>
      <c r="AGY38" s="161"/>
      <c r="AGZ38" s="161"/>
      <c r="AHA38" s="161"/>
      <c r="AHB38" s="161"/>
      <c r="AHC38" s="161"/>
      <c r="AHD38" s="161"/>
      <c r="AHE38" s="161"/>
      <c r="AHF38" s="161"/>
      <c r="AHG38" s="161"/>
      <c r="AHH38" s="161"/>
      <c r="AHI38" s="161"/>
      <c r="AHJ38" s="161"/>
      <c r="AHK38" s="161"/>
      <c r="AHL38" s="161"/>
      <c r="AHM38" s="161"/>
      <c r="AHN38" s="161"/>
      <c r="AHO38" s="161"/>
      <c r="AHP38" s="161"/>
      <c r="AHQ38" s="161"/>
      <c r="AHR38" s="161"/>
      <c r="AHS38" s="161"/>
      <c r="AHT38" s="161"/>
      <c r="AHU38" s="161"/>
      <c r="AHV38" s="161"/>
      <c r="AHW38" s="161"/>
      <c r="AHX38" s="161"/>
      <c r="AHY38" s="161"/>
      <c r="AHZ38" s="161"/>
      <c r="AIA38" s="161"/>
      <c r="AIB38" s="161"/>
      <c r="AIC38" s="161"/>
      <c r="AID38" s="161"/>
      <c r="AIE38" s="161"/>
      <c r="AIF38" s="161"/>
    </row>
    <row r="39" spans="1:916" s="352" customFormat="1">
      <c r="A39" s="21"/>
      <c r="B39" s="313" t="s">
        <v>323</v>
      </c>
      <c r="C39" s="131" t="s">
        <v>460</v>
      </c>
      <c r="D39" s="348"/>
      <c r="E39" s="337"/>
      <c r="F39" s="170"/>
      <c r="G39" s="351"/>
      <c r="H39" s="325">
        <f>'G249 Com Gas Pilot'!A10</f>
        <v>0</v>
      </c>
      <c r="I39" s="223">
        <f>'G249 Com Gas Pilot'!A8</f>
        <v>828.63</v>
      </c>
      <c r="J39" s="223">
        <v>0</v>
      </c>
      <c r="K39" s="223">
        <v>0</v>
      </c>
      <c r="L39" s="349">
        <v>0</v>
      </c>
      <c r="M39" s="342"/>
      <c r="N39" s="350">
        <f>'G249 Com Gas Pilot'!A$18</f>
        <v>828.63</v>
      </c>
      <c r="O39" s="342">
        <f>'G249 Com Gas Pilot'!A$20</f>
        <v>828.63</v>
      </c>
      <c r="P39" s="259">
        <f>SUM('G249 Com Gas Pilot'!R$5:R$1000)</f>
        <v>0</v>
      </c>
      <c r="Q39" s="344">
        <f>N39/(1+GasDiscountRate)^1</f>
        <v>774.63774890156117</v>
      </c>
      <c r="R39" s="344">
        <f>O39/(1+GasDiscountRate)^1</f>
        <v>774.63774890156117</v>
      </c>
      <c r="S39" s="259">
        <f>SUM('G249 Com Gas Pilot'!AM$5:AM$1000)</f>
        <v>0</v>
      </c>
      <c r="T39" s="259">
        <f>SUM('G249 Com Gas Pilot'!AD$5:AD$1000)</f>
        <v>0</v>
      </c>
      <c r="U39" s="507">
        <f>IFERROR(S39/Q39,0)</f>
        <v>0</v>
      </c>
      <c r="V39" s="507">
        <f>IFERROR(((S39*1.1)+(T39))/R39,0)</f>
        <v>0</v>
      </c>
      <c r="W39" s="2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  <c r="PJ39" s="161"/>
      <c r="PK39" s="161"/>
      <c r="PL39" s="161"/>
      <c r="PM39" s="161"/>
      <c r="PN39" s="161"/>
      <c r="PO39" s="161"/>
      <c r="PP39" s="161"/>
      <c r="PQ39" s="161"/>
      <c r="PR39" s="161"/>
      <c r="PS39" s="161"/>
      <c r="PT39" s="161"/>
      <c r="PU39" s="161"/>
      <c r="PV39" s="161"/>
      <c r="PW39" s="161"/>
      <c r="PX39" s="161"/>
      <c r="PY39" s="161"/>
      <c r="PZ39" s="161"/>
      <c r="QA39" s="161"/>
      <c r="QB39" s="161"/>
      <c r="QC39" s="161"/>
      <c r="QD39" s="161"/>
      <c r="QE39" s="161"/>
      <c r="QF39" s="161"/>
      <c r="QG39" s="161"/>
      <c r="QH39" s="161"/>
      <c r="QI39" s="161"/>
      <c r="QJ39" s="161"/>
      <c r="QK39" s="161"/>
      <c r="QL39" s="161"/>
      <c r="QM39" s="161"/>
      <c r="QN39" s="161"/>
      <c r="QO39" s="161"/>
      <c r="QP39" s="161"/>
      <c r="QQ39" s="161"/>
      <c r="QR39" s="161"/>
      <c r="QS39" s="161"/>
      <c r="QT39" s="161"/>
      <c r="QU39" s="161"/>
      <c r="QV39" s="161"/>
      <c r="QW39" s="161"/>
      <c r="QX39" s="161"/>
      <c r="QY39" s="161"/>
      <c r="QZ39" s="161"/>
      <c r="RA39" s="161"/>
      <c r="RB39" s="161"/>
      <c r="RC39" s="161"/>
      <c r="RD39" s="161"/>
      <c r="RE39" s="161"/>
      <c r="RF39" s="161"/>
      <c r="RG39" s="161"/>
      <c r="RH39" s="161"/>
      <c r="RI39" s="161"/>
      <c r="RJ39" s="161"/>
      <c r="RK39" s="161"/>
      <c r="RL39" s="161"/>
      <c r="RM39" s="161"/>
      <c r="RN39" s="161"/>
      <c r="RO39" s="161"/>
      <c r="RP39" s="161"/>
      <c r="RQ39" s="161"/>
      <c r="RR39" s="161"/>
      <c r="RS39" s="161"/>
      <c r="RT39" s="161"/>
      <c r="RU39" s="161"/>
      <c r="RV39" s="161"/>
      <c r="RW39" s="161"/>
      <c r="RX39" s="161"/>
      <c r="RY39" s="161"/>
      <c r="RZ39" s="161"/>
      <c r="SA39" s="161"/>
      <c r="SB39" s="161"/>
      <c r="SC39" s="161"/>
      <c r="SD39" s="161"/>
      <c r="SE39" s="161"/>
      <c r="SF39" s="161"/>
      <c r="SG39" s="161"/>
      <c r="SH39" s="161"/>
      <c r="SI39" s="161"/>
      <c r="SJ39" s="161"/>
      <c r="SK39" s="161"/>
      <c r="SL39" s="161"/>
      <c r="SM39" s="161"/>
      <c r="SN39" s="161"/>
      <c r="SO39" s="161"/>
      <c r="SP39" s="161"/>
      <c r="SQ39" s="161"/>
      <c r="SR39" s="161"/>
      <c r="SS39" s="161"/>
      <c r="ST39" s="161"/>
      <c r="SU39" s="161"/>
      <c r="SV39" s="161"/>
      <c r="SW39" s="161"/>
      <c r="SX39" s="161"/>
      <c r="SY39" s="161"/>
      <c r="SZ39" s="161"/>
      <c r="TA39" s="161"/>
      <c r="TB39" s="161"/>
      <c r="TC39" s="161"/>
      <c r="TD39" s="161"/>
      <c r="TE39" s="161"/>
      <c r="TF39" s="161"/>
      <c r="TG39" s="161"/>
      <c r="TH39" s="161"/>
      <c r="TI39" s="161"/>
      <c r="TJ39" s="161"/>
      <c r="TK39" s="161"/>
      <c r="TL39" s="161"/>
      <c r="TM39" s="161"/>
      <c r="TN39" s="161"/>
      <c r="TO39" s="161"/>
      <c r="TP39" s="161"/>
      <c r="TQ39" s="161"/>
      <c r="TR39" s="161"/>
      <c r="TS39" s="161"/>
      <c r="TT39" s="161"/>
      <c r="TU39" s="161"/>
      <c r="TV39" s="161"/>
      <c r="TW39" s="161"/>
      <c r="TX39" s="161"/>
      <c r="TY39" s="161"/>
      <c r="TZ39" s="161"/>
      <c r="UA39" s="161"/>
      <c r="UB39" s="161"/>
      <c r="UC39" s="161"/>
      <c r="UD39" s="161"/>
      <c r="UE39" s="161"/>
      <c r="UF39" s="161"/>
      <c r="UG39" s="161"/>
      <c r="UH39" s="161"/>
      <c r="UI39" s="161"/>
      <c r="UJ39" s="161"/>
      <c r="UK39" s="161"/>
      <c r="UL39" s="161"/>
      <c r="UM39" s="161"/>
      <c r="UN39" s="161"/>
      <c r="UO39" s="161"/>
      <c r="UP39" s="161"/>
      <c r="UQ39" s="161"/>
      <c r="UR39" s="161"/>
      <c r="US39" s="161"/>
      <c r="UT39" s="161"/>
      <c r="UU39" s="161"/>
      <c r="UV39" s="161"/>
      <c r="UW39" s="161"/>
      <c r="UX39" s="161"/>
      <c r="UY39" s="161"/>
      <c r="UZ39" s="161"/>
      <c r="VA39" s="161"/>
      <c r="VB39" s="161"/>
      <c r="VC39" s="161"/>
      <c r="VD39" s="161"/>
      <c r="VE39" s="161"/>
      <c r="VF39" s="161"/>
      <c r="VG39" s="161"/>
      <c r="VH39" s="161"/>
      <c r="VI39" s="161"/>
      <c r="VJ39" s="161"/>
      <c r="VK39" s="161"/>
      <c r="VL39" s="161"/>
      <c r="VM39" s="161"/>
      <c r="VN39" s="161"/>
      <c r="VO39" s="161"/>
      <c r="VP39" s="161"/>
      <c r="VQ39" s="161"/>
      <c r="VR39" s="161"/>
      <c r="VS39" s="161"/>
      <c r="VT39" s="161"/>
      <c r="VU39" s="161"/>
      <c r="VV39" s="161"/>
      <c r="VW39" s="161"/>
      <c r="VX39" s="161"/>
      <c r="VY39" s="161"/>
      <c r="VZ39" s="161"/>
      <c r="WA39" s="161"/>
      <c r="WB39" s="161"/>
      <c r="WC39" s="161"/>
      <c r="WD39" s="161"/>
      <c r="WE39" s="161"/>
      <c r="WF39" s="161"/>
      <c r="WG39" s="161"/>
      <c r="WH39" s="161"/>
      <c r="WI39" s="161"/>
      <c r="WJ39" s="161"/>
      <c r="WK39" s="161"/>
      <c r="WL39" s="161"/>
      <c r="WM39" s="161"/>
      <c r="WN39" s="161"/>
      <c r="WO39" s="161"/>
      <c r="WP39" s="161"/>
      <c r="WQ39" s="161"/>
      <c r="WR39" s="161"/>
      <c r="WS39" s="161"/>
      <c r="WT39" s="161"/>
      <c r="WU39" s="161"/>
      <c r="WV39" s="161"/>
      <c r="WW39" s="161"/>
      <c r="WX39" s="161"/>
      <c r="WY39" s="161"/>
      <c r="WZ39" s="161"/>
      <c r="XA39" s="161"/>
      <c r="XB39" s="161"/>
      <c r="XC39" s="161"/>
      <c r="XD39" s="161"/>
      <c r="XE39" s="161"/>
      <c r="XF39" s="161"/>
      <c r="XG39" s="161"/>
      <c r="XH39" s="161"/>
      <c r="XI39" s="161"/>
      <c r="XJ39" s="161"/>
      <c r="XK39" s="161"/>
      <c r="XL39" s="161"/>
      <c r="XM39" s="161"/>
      <c r="XN39" s="161"/>
      <c r="XO39" s="161"/>
      <c r="XP39" s="161"/>
      <c r="XQ39" s="161"/>
      <c r="XR39" s="161"/>
      <c r="XS39" s="161"/>
      <c r="XT39" s="161"/>
      <c r="XU39" s="161"/>
      <c r="XV39" s="161"/>
      <c r="XW39" s="161"/>
      <c r="XX39" s="161"/>
      <c r="XY39" s="161"/>
      <c r="XZ39" s="161"/>
      <c r="YA39" s="161"/>
      <c r="YB39" s="161"/>
      <c r="YC39" s="161"/>
      <c r="YD39" s="161"/>
      <c r="YE39" s="161"/>
      <c r="YF39" s="161"/>
      <c r="YG39" s="161"/>
      <c r="YH39" s="161"/>
      <c r="YI39" s="161"/>
      <c r="YJ39" s="161"/>
      <c r="YK39" s="161"/>
      <c r="YL39" s="161"/>
      <c r="YM39" s="161"/>
      <c r="YN39" s="161"/>
      <c r="YO39" s="161"/>
      <c r="YP39" s="161"/>
      <c r="YQ39" s="161"/>
      <c r="YR39" s="161"/>
      <c r="YS39" s="161"/>
      <c r="YT39" s="161"/>
      <c r="YU39" s="161"/>
      <c r="YV39" s="161"/>
      <c r="YW39" s="161"/>
      <c r="YX39" s="161"/>
      <c r="YY39" s="161"/>
      <c r="YZ39" s="161"/>
      <c r="ZA39" s="161"/>
      <c r="ZB39" s="161"/>
      <c r="ZC39" s="161"/>
      <c r="ZD39" s="161"/>
      <c r="ZE39" s="161"/>
      <c r="ZF39" s="161"/>
      <c r="ZG39" s="161"/>
      <c r="ZH39" s="161"/>
      <c r="ZI39" s="161"/>
      <c r="ZJ39" s="161"/>
      <c r="ZK39" s="161"/>
      <c r="ZL39" s="161"/>
      <c r="ZM39" s="161"/>
      <c r="ZN39" s="161"/>
      <c r="ZO39" s="161"/>
      <c r="ZP39" s="161"/>
      <c r="ZQ39" s="161"/>
      <c r="ZR39" s="161"/>
      <c r="ZS39" s="161"/>
      <c r="ZT39" s="161"/>
      <c r="ZU39" s="161"/>
      <c r="ZV39" s="161"/>
      <c r="ZW39" s="161"/>
      <c r="ZX39" s="161"/>
      <c r="ZY39" s="161"/>
      <c r="ZZ39" s="161"/>
      <c r="AAA39" s="161"/>
      <c r="AAB39" s="161"/>
      <c r="AAC39" s="161"/>
      <c r="AAD39" s="161"/>
      <c r="AAE39" s="161"/>
      <c r="AAF39" s="161"/>
      <c r="AAG39" s="161"/>
      <c r="AAH39" s="161"/>
      <c r="AAI39" s="161"/>
      <c r="AAJ39" s="161"/>
      <c r="AAK39" s="161"/>
      <c r="AAL39" s="161"/>
      <c r="AAM39" s="161"/>
      <c r="AAN39" s="161"/>
      <c r="AAO39" s="161"/>
      <c r="AAP39" s="161"/>
      <c r="AAQ39" s="161"/>
      <c r="AAR39" s="161"/>
      <c r="AAS39" s="161"/>
      <c r="AAT39" s="161"/>
      <c r="AAU39" s="161"/>
      <c r="AAV39" s="161"/>
      <c r="AAW39" s="161"/>
      <c r="AAX39" s="161"/>
      <c r="AAY39" s="161"/>
      <c r="AAZ39" s="161"/>
      <c r="ABA39" s="161"/>
      <c r="ABB39" s="161"/>
      <c r="ABC39" s="161"/>
      <c r="ABD39" s="161"/>
      <c r="ABE39" s="161"/>
      <c r="ABF39" s="161"/>
      <c r="ABG39" s="161"/>
      <c r="ABH39" s="161"/>
      <c r="ABI39" s="161"/>
      <c r="ABJ39" s="161"/>
      <c r="ABK39" s="161"/>
      <c r="ABL39" s="161"/>
      <c r="ABM39" s="161"/>
      <c r="ABN39" s="161"/>
      <c r="ABO39" s="161"/>
      <c r="ABP39" s="161"/>
      <c r="ABQ39" s="161"/>
      <c r="ABR39" s="161"/>
      <c r="ABS39" s="161"/>
      <c r="ABT39" s="161"/>
      <c r="ABU39" s="161"/>
      <c r="ABV39" s="161"/>
      <c r="ABW39" s="161"/>
      <c r="ABX39" s="161"/>
      <c r="ABY39" s="161"/>
      <c r="ABZ39" s="161"/>
      <c r="ACA39" s="161"/>
      <c r="ACB39" s="161"/>
      <c r="ACC39" s="161"/>
      <c r="ACD39" s="161"/>
      <c r="ACE39" s="161"/>
      <c r="ACF39" s="161"/>
      <c r="ACG39" s="161"/>
      <c r="ACH39" s="161"/>
      <c r="ACI39" s="161"/>
      <c r="ACJ39" s="161"/>
      <c r="ACK39" s="161"/>
      <c r="ACL39" s="161"/>
      <c r="ACM39" s="161"/>
      <c r="ACN39" s="161"/>
      <c r="ACO39" s="161"/>
      <c r="ACP39" s="161"/>
      <c r="ACQ39" s="161"/>
      <c r="ACR39" s="161"/>
      <c r="ACS39" s="161"/>
      <c r="ACT39" s="161"/>
      <c r="ACU39" s="161"/>
      <c r="ACV39" s="161"/>
      <c r="ACW39" s="161"/>
      <c r="ACX39" s="161"/>
      <c r="ACY39" s="161"/>
      <c r="ACZ39" s="161"/>
      <c r="ADA39" s="161"/>
      <c r="ADB39" s="161"/>
      <c r="ADC39" s="161"/>
      <c r="ADD39" s="161"/>
      <c r="ADE39" s="161"/>
      <c r="ADF39" s="161"/>
      <c r="ADG39" s="161"/>
      <c r="ADH39" s="161"/>
      <c r="ADI39" s="161"/>
      <c r="ADJ39" s="161"/>
      <c r="ADK39" s="161"/>
      <c r="ADL39" s="161"/>
      <c r="ADM39" s="161"/>
      <c r="ADN39" s="161"/>
      <c r="ADO39" s="161"/>
      <c r="ADP39" s="161"/>
      <c r="ADQ39" s="161"/>
      <c r="ADR39" s="161"/>
      <c r="ADS39" s="161"/>
      <c r="ADT39" s="161"/>
      <c r="ADU39" s="161"/>
      <c r="ADV39" s="161"/>
      <c r="ADW39" s="161"/>
      <c r="ADX39" s="161"/>
      <c r="ADY39" s="161"/>
      <c r="ADZ39" s="161"/>
      <c r="AEA39" s="161"/>
      <c r="AEB39" s="161"/>
      <c r="AEC39" s="161"/>
      <c r="AED39" s="161"/>
      <c r="AEE39" s="161"/>
      <c r="AEF39" s="161"/>
      <c r="AEG39" s="161"/>
      <c r="AEH39" s="161"/>
      <c r="AEI39" s="161"/>
      <c r="AEJ39" s="161"/>
      <c r="AEK39" s="161"/>
      <c r="AEL39" s="161"/>
      <c r="AEM39" s="161"/>
      <c r="AEN39" s="161"/>
      <c r="AEO39" s="161"/>
      <c r="AEP39" s="161"/>
      <c r="AEQ39" s="161"/>
      <c r="AER39" s="161"/>
      <c r="AES39" s="161"/>
      <c r="AET39" s="161"/>
      <c r="AEU39" s="161"/>
      <c r="AEV39" s="161"/>
      <c r="AEW39" s="161"/>
      <c r="AEX39" s="161"/>
      <c r="AEY39" s="161"/>
      <c r="AEZ39" s="161"/>
      <c r="AFA39" s="161"/>
      <c r="AFB39" s="161"/>
      <c r="AFC39" s="161"/>
      <c r="AFD39" s="161"/>
      <c r="AFE39" s="161"/>
      <c r="AFF39" s="161"/>
      <c r="AFG39" s="161"/>
      <c r="AFH39" s="161"/>
      <c r="AFI39" s="161"/>
      <c r="AFJ39" s="161"/>
      <c r="AFK39" s="161"/>
      <c r="AFL39" s="161"/>
      <c r="AFM39" s="161"/>
      <c r="AFN39" s="161"/>
      <c r="AFO39" s="161"/>
      <c r="AFP39" s="161"/>
      <c r="AFQ39" s="161"/>
      <c r="AFR39" s="161"/>
      <c r="AFS39" s="161"/>
      <c r="AFT39" s="161"/>
      <c r="AFU39" s="161"/>
      <c r="AFV39" s="161"/>
      <c r="AFW39" s="161"/>
      <c r="AFX39" s="161"/>
      <c r="AFY39" s="161"/>
      <c r="AFZ39" s="161"/>
      <c r="AGA39" s="161"/>
      <c r="AGB39" s="161"/>
      <c r="AGC39" s="161"/>
      <c r="AGD39" s="161"/>
      <c r="AGE39" s="161"/>
      <c r="AGF39" s="161"/>
      <c r="AGG39" s="161"/>
      <c r="AGH39" s="161"/>
      <c r="AGI39" s="161"/>
      <c r="AGJ39" s="161"/>
      <c r="AGK39" s="161"/>
      <c r="AGL39" s="161"/>
      <c r="AGM39" s="161"/>
      <c r="AGN39" s="161"/>
      <c r="AGO39" s="161"/>
      <c r="AGP39" s="161"/>
      <c r="AGQ39" s="161"/>
      <c r="AGR39" s="161"/>
      <c r="AGS39" s="161"/>
      <c r="AGT39" s="161"/>
      <c r="AGU39" s="161"/>
      <c r="AGV39" s="161"/>
      <c r="AGW39" s="161"/>
      <c r="AGX39" s="161"/>
      <c r="AGY39" s="161"/>
      <c r="AGZ39" s="161"/>
      <c r="AHA39" s="161"/>
      <c r="AHB39" s="161"/>
      <c r="AHC39" s="161"/>
      <c r="AHD39" s="161"/>
      <c r="AHE39" s="161"/>
      <c r="AHF39" s="161"/>
      <c r="AHG39" s="161"/>
      <c r="AHH39" s="161"/>
      <c r="AHI39" s="161"/>
      <c r="AHJ39" s="161"/>
      <c r="AHK39" s="161"/>
      <c r="AHL39" s="161"/>
      <c r="AHM39" s="161"/>
      <c r="AHN39" s="161"/>
      <c r="AHO39" s="161"/>
      <c r="AHP39" s="161"/>
      <c r="AHQ39" s="161"/>
      <c r="AHR39" s="161"/>
      <c r="AHS39" s="161"/>
      <c r="AHT39" s="161"/>
      <c r="AHU39" s="161"/>
      <c r="AHV39" s="161"/>
      <c r="AHW39" s="161"/>
      <c r="AHX39" s="161"/>
      <c r="AHY39" s="161"/>
      <c r="AHZ39" s="161"/>
      <c r="AIA39" s="161"/>
      <c r="AIB39" s="161"/>
      <c r="AIC39" s="161"/>
      <c r="AID39" s="161"/>
      <c r="AIE39" s="161"/>
      <c r="AIF39" s="161"/>
    </row>
    <row r="40" spans="1:916" s="21" customFormat="1" ht="12.75">
      <c r="B40" s="316" t="s">
        <v>401</v>
      </c>
      <c r="C40" s="316"/>
      <c r="D40" s="316"/>
      <c r="E40" s="353"/>
      <c r="F40" s="316"/>
      <c r="G40" s="332"/>
      <c r="H40" s="334">
        <f>SUM(H38:H39)</f>
        <v>10200</v>
      </c>
      <c r="I40" s="354">
        <f t="shared" ref="I40:T40" si="16">SUM(I38:I39)</f>
        <v>55398.950000000004</v>
      </c>
      <c r="J40" s="355">
        <f t="shared" si="16"/>
        <v>0</v>
      </c>
      <c r="K40" s="355">
        <f t="shared" si="16"/>
        <v>0</v>
      </c>
      <c r="L40" s="355">
        <f t="shared" si="16"/>
        <v>0</v>
      </c>
      <c r="M40" s="355">
        <f t="shared" si="16"/>
        <v>0</v>
      </c>
      <c r="N40" s="356">
        <f t="shared" si="16"/>
        <v>75228.950000000012</v>
      </c>
      <c r="O40" s="354">
        <f t="shared" si="16"/>
        <v>55398.950000000004</v>
      </c>
      <c r="P40" s="355">
        <f>SUM(P38:P39)</f>
        <v>0</v>
      </c>
      <c r="Q40" s="354">
        <f t="shared" si="16"/>
        <v>70327.147798448161</v>
      </c>
      <c r="R40" s="354">
        <f t="shared" si="16"/>
        <v>51789.239973824435</v>
      </c>
      <c r="S40" s="355">
        <f t="shared" si="16"/>
        <v>40979.779671820113</v>
      </c>
      <c r="T40" s="355">
        <f t="shared" si="16"/>
        <v>0</v>
      </c>
      <c r="U40" s="506">
        <f>S40/Q40</f>
        <v>0.58270214212674742</v>
      </c>
      <c r="V40" s="506">
        <f>(S40*1.1+T40)/R40</f>
        <v>0.87040778474033498</v>
      </c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  <c r="PJ40" s="161"/>
      <c r="PK40" s="161"/>
      <c r="PL40" s="161"/>
      <c r="PM40" s="161"/>
      <c r="PN40" s="161"/>
      <c r="PO40" s="161"/>
      <c r="PP40" s="161"/>
      <c r="PQ40" s="161"/>
      <c r="PR40" s="161"/>
      <c r="PS40" s="161"/>
      <c r="PT40" s="161"/>
      <c r="PU40" s="161"/>
      <c r="PV40" s="161"/>
      <c r="PW40" s="161"/>
      <c r="PX40" s="161"/>
      <c r="PY40" s="161"/>
      <c r="PZ40" s="161"/>
      <c r="QA40" s="161"/>
      <c r="QB40" s="161"/>
      <c r="QC40" s="161"/>
      <c r="QD40" s="161"/>
      <c r="QE40" s="161"/>
      <c r="QF40" s="161"/>
      <c r="QG40" s="161"/>
      <c r="QH40" s="161"/>
      <c r="QI40" s="161"/>
      <c r="QJ40" s="161"/>
      <c r="QK40" s="161"/>
      <c r="QL40" s="161"/>
      <c r="QM40" s="161"/>
      <c r="QN40" s="161"/>
      <c r="QO40" s="161"/>
      <c r="QP40" s="161"/>
      <c r="QQ40" s="161"/>
      <c r="QR40" s="161"/>
      <c r="QS40" s="161"/>
      <c r="QT40" s="161"/>
      <c r="QU40" s="161"/>
      <c r="QV40" s="161"/>
      <c r="QW40" s="161"/>
      <c r="QX40" s="161"/>
      <c r="QY40" s="161"/>
      <c r="QZ40" s="161"/>
      <c r="RA40" s="161"/>
      <c r="RB40" s="161"/>
      <c r="RC40" s="161"/>
      <c r="RD40" s="161"/>
      <c r="RE40" s="161"/>
      <c r="RF40" s="161"/>
      <c r="RG40" s="161"/>
      <c r="RH40" s="161"/>
      <c r="RI40" s="161"/>
      <c r="RJ40" s="161"/>
      <c r="RK40" s="161"/>
      <c r="RL40" s="161"/>
      <c r="RM40" s="161"/>
      <c r="RN40" s="161"/>
      <c r="RO40" s="161"/>
      <c r="RP40" s="161"/>
      <c r="RQ40" s="161"/>
      <c r="RR40" s="161"/>
      <c r="RS40" s="161"/>
      <c r="RT40" s="161"/>
      <c r="RU40" s="161"/>
      <c r="RV40" s="161"/>
      <c r="RW40" s="161"/>
      <c r="RX40" s="161"/>
      <c r="RY40" s="161"/>
      <c r="RZ40" s="161"/>
      <c r="SA40" s="161"/>
      <c r="SB40" s="161"/>
      <c r="SC40" s="161"/>
      <c r="SD40" s="161"/>
      <c r="SE40" s="161"/>
      <c r="SF40" s="161"/>
      <c r="SG40" s="161"/>
      <c r="SH40" s="161"/>
      <c r="SI40" s="161"/>
      <c r="SJ40" s="161"/>
      <c r="SK40" s="161"/>
      <c r="SL40" s="161"/>
      <c r="SM40" s="161"/>
      <c r="SN40" s="161"/>
      <c r="SO40" s="161"/>
      <c r="SP40" s="161"/>
      <c r="SQ40" s="161"/>
      <c r="SR40" s="161"/>
      <c r="SS40" s="161"/>
      <c r="ST40" s="161"/>
      <c r="SU40" s="161"/>
      <c r="SV40" s="161"/>
      <c r="SW40" s="161"/>
      <c r="SX40" s="161"/>
      <c r="SY40" s="161"/>
      <c r="SZ40" s="161"/>
      <c r="TA40" s="161"/>
      <c r="TB40" s="161"/>
      <c r="TC40" s="161"/>
      <c r="TD40" s="161"/>
      <c r="TE40" s="161"/>
      <c r="TF40" s="161"/>
      <c r="TG40" s="161"/>
      <c r="TH40" s="161"/>
      <c r="TI40" s="161"/>
      <c r="TJ40" s="161"/>
      <c r="TK40" s="161"/>
      <c r="TL40" s="161"/>
      <c r="TM40" s="161"/>
      <c r="TN40" s="161"/>
      <c r="TO40" s="161"/>
      <c r="TP40" s="161"/>
      <c r="TQ40" s="161"/>
      <c r="TR40" s="161"/>
      <c r="TS40" s="161"/>
      <c r="TT40" s="161"/>
      <c r="TU40" s="161"/>
      <c r="TV40" s="161"/>
      <c r="TW40" s="161"/>
      <c r="TX40" s="161"/>
      <c r="TY40" s="161"/>
      <c r="TZ40" s="161"/>
      <c r="UA40" s="161"/>
      <c r="UB40" s="161"/>
      <c r="UC40" s="161"/>
      <c r="UD40" s="161"/>
      <c r="UE40" s="161"/>
      <c r="UF40" s="161"/>
      <c r="UG40" s="161"/>
      <c r="UH40" s="161"/>
      <c r="UI40" s="161"/>
      <c r="UJ40" s="161"/>
      <c r="UK40" s="161"/>
      <c r="UL40" s="161"/>
      <c r="UM40" s="161"/>
      <c r="UN40" s="161"/>
      <c r="UO40" s="161"/>
      <c r="UP40" s="161"/>
      <c r="UQ40" s="161"/>
      <c r="UR40" s="161"/>
      <c r="US40" s="161"/>
      <c r="UT40" s="161"/>
      <c r="UU40" s="161"/>
      <c r="UV40" s="161"/>
      <c r="UW40" s="161"/>
      <c r="UX40" s="161"/>
      <c r="UY40" s="161"/>
      <c r="UZ40" s="161"/>
      <c r="VA40" s="161"/>
      <c r="VB40" s="161"/>
      <c r="VC40" s="161"/>
      <c r="VD40" s="161"/>
      <c r="VE40" s="161"/>
      <c r="VF40" s="161"/>
      <c r="VG40" s="161"/>
      <c r="VH40" s="161"/>
      <c r="VI40" s="161"/>
      <c r="VJ40" s="161"/>
      <c r="VK40" s="161"/>
      <c r="VL40" s="161"/>
      <c r="VM40" s="161"/>
      <c r="VN40" s="161"/>
      <c r="VO40" s="161"/>
      <c r="VP40" s="161"/>
      <c r="VQ40" s="161"/>
      <c r="VR40" s="161"/>
      <c r="VS40" s="161"/>
      <c r="VT40" s="161"/>
      <c r="VU40" s="161"/>
      <c r="VV40" s="161"/>
      <c r="VW40" s="161"/>
      <c r="VX40" s="161"/>
      <c r="VY40" s="161"/>
      <c r="VZ40" s="161"/>
      <c r="WA40" s="161"/>
      <c r="WB40" s="161"/>
      <c r="WC40" s="161"/>
      <c r="WD40" s="161"/>
      <c r="WE40" s="161"/>
      <c r="WF40" s="161"/>
      <c r="WG40" s="161"/>
      <c r="WH40" s="161"/>
      <c r="WI40" s="161"/>
      <c r="WJ40" s="161"/>
      <c r="WK40" s="161"/>
      <c r="WL40" s="161"/>
      <c r="WM40" s="161"/>
      <c r="WN40" s="161"/>
      <c r="WO40" s="161"/>
      <c r="WP40" s="161"/>
      <c r="WQ40" s="161"/>
      <c r="WR40" s="161"/>
      <c r="WS40" s="161"/>
      <c r="WT40" s="161"/>
      <c r="WU40" s="161"/>
      <c r="WV40" s="161"/>
      <c r="WW40" s="161"/>
      <c r="WX40" s="161"/>
      <c r="WY40" s="161"/>
      <c r="WZ40" s="161"/>
      <c r="XA40" s="161"/>
      <c r="XB40" s="161"/>
      <c r="XC40" s="161"/>
      <c r="XD40" s="161"/>
      <c r="XE40" s="161"/>
      <c r="XF40" s="161"/>
      <c r="XG40" s="161"/>
      <c r="XH40" s="161"/>
      <c r="XI40" s="161"/>
      <c r="XJ40" s="161"/>
      <c r="XK40" s="161"/>
      <c r="XL40" s="161"/>
      <c r="XM40" s="161"/>
      <c r="XN40" s="161"/>
      <c r="XO40" s="161"/>
      <c r="XP40" s="161"/>
      <c r="XQ40" s="161"/>
      <c r="XR40" s="161"/>
      <c r="XS40" s="161"/>
      <c r="XT40" s="161"/>
      <c r="XU40" s="161"/>
      <c r="XV40" s="161"/>
      <c r="XW40" s="161"/>
      <c r="XX40" s="161"/>
      <c r="XY40" s="161"/>
      <c r="XZ40" s="161"/>
      <c r="YA40" s="161"/>
      <c r="YB40" s="161"/>
      <c r="YC40" s="161"/>
      <c r="YD40" s="161"/>
      <c r="YE40" s="161"/>
      <c r="YF40" s="161"/>
      <c r="YG40" s="161"/>
      <c r="YH40" s="161"/>
      <c r="YI40" s="161"/>
      <c r="YJ40" s="161"/>
      <c r="YK40" s="161"/>
      <c r="YL40" s="161"/>
      <c r="YM40" s="161"/>
      <c r="YN40" s="161"/>
      <c r="YO40" s="161"/>
      <c r="YP40" s="161"/>
      <c r="YQ40" s="161"/>
      <c r="YR40" s="161"/>
      <c r="YS40" s="161"/>
      <c r="YT40" s="161"/>
      <c r="YU40" s="161"/>
      <c r="YV40" s="161"/>
      <c r="YW40" s="161"/>
      <c r="YX40" s="161"/>
      <c r="YY40" s="161"/>
      <c r="YZ40" s="161"/>
      <c r="ZA40" s="161"/>
      <c r="ZB40" s="161"/>
      <c r="ZC40" s="161"/>
      <c r="ZD40" s="161"/>
      <c r="ZE40" s="161"/>
      <c r="ZF40" s="161"/>
      <c r="ZG40" s="161"/>
      <c r="ZH40" s="161"/>
      <c r="ZI40" s="161"/>
      <c r="ZJ40" s="161"/>
      <c r="ZK40" s="161"/>
      <c r="ZL40" s="161"/>
      <c r="ZM40" s="161"/>
      <c r="ZN40" s="161"/>
      <c r="ZO40" s="161"/>
      <c r="ZP40" s="161"/>
      <c r="ZQ40" s="161"/>
      <c r="ZR40" s="161"/>
      <c r="ZS40" s="161"/>
      <c r="ZT40" s="161"/>
      <c r="ZU40" s="161"/>
      <c r="ZV40" s="161"/>
      <c r="ZW40" s="161"/>
      <c r="ZX40" s="161"/>
      <c r="ZY40" s="161"/>
      <c r="ZZ40" s="161"/>
      <c r="AAA40" s="161"/>
      <c r="AAB40" s="161"/>
      <c r="AAC40" s="161"/>
      <c r="AAD40" s="161"/>
      <c r="AAE40" s="161"/>
      <c r="AAF40" s="161"/>
      <c r="AAG40" s="161"/>
      <c r="AAH40" s="161"/>
      <c r="AAI40" s="161"/>
      <c r="AAJ40" s="161"/>
      <c r="AAK40" s="161"/>
      <c r="AAL40" s="161"/>
      <c r="AAM40" s="161"/>
      <c r="AAN40" s="161"/>
      <c r="AAO40" s="161"/>
      <c r="AAP40" s="161"/>
      <c r="AAQ40" s="161"/>
      <c r="AAR40" s="161"/>
      <c r="AAS40" s="161"/>
      <c r="AAT40" s="161"/>
      <c r="AAU40" s="161"/>
      <c r="AAV40" s="161"/>
      <c r="AAW40" s="161"/>
      <c r="AAX40" s="161"/>
      <c r="AAY40" s="161"/>
      <c r="AAZ40" s="161"/>
      <c r="ABA40" s="161"/>
      <c r="ABB40" s="161"/>
      <c r="ABC40" s="161"/>
      <c r="ABD40" s="161"/>
      <c r="ABE40" s="161"/>
      <c r="ABF40" s="161"/>
      <c r="ABG40" s="161"/>
      <c r="ABH40" s="161"/>
      <c r="ABI40" s="161"/>
      <c r="ABJ40" s="161"/>
      <c r="ABK40" s="161"/>
      <c r="ABL40" s="161"/>
      <c r="ABM40" s="161"/>
      <c r="ABN40" s="161"/>
      <c r="ABO40" s="161"/>
      <c r="ABP40" s="161"/>
      <c r="ABQ40" s="161"/>
      <c r="ABR40" s="161"/>
      <c r="ABS40" s="161"/>
      <c r="ABT40" s="161"/>
      <c r="ABU40" s="161"/>
      <c r="ABV40" s="161"/>
      <c r="ABW40" s="161"/>
      <c r="ABX40" s="161"/>
      <c r="ABY40" s="161"/>
      <c r="ABZ40" s="161"/>
      <c r="ACA40" s="161"/>
      <c r="ACB40" s="161"/>
      <c r="ACC40" s="161"/>
      <c r="ACD40" s="161"/>
      <c r="ACE40" s="161"/>
      <c r="ACF40" s="161"/>
      <c r="ACG40" s="161"/>
      <c r="ACH40" s="161"/>
      <c r="ACI40" s="161"/>
      <c r="ACJ40" s="161"/>
      <c r="ACK40" s="161"/>
      <c r="ACL40" s="161"/>
      <c r="ACM40" s="161"/>
      <c r="ACN40" s="161"/>
      <c r="ACO40" s="161"/>
      <c r="ACP40" s="161"/>
      <c r="ACQ40" s="161"/>
      <c r="ACR40" s="161"/>
      <c r="ACS40" s="161"/>
      <c r="ACT40" s="161"/>
      <c r="ACU40" s="161"/>
      <c r="ACV40" s="161"/>
      <c r="ACW40" s="161"/>
      <c r="ACX40" s="161"/>
      <c r="ACY40" s="161"/>
      <c r="ACZ40" s="161"/>
      <c r="ADA40" s="161"/>
      <c r="ADB40" s="161"/>
      <c r="ADC40" s="161"/>
      <c r="ADD40" s="161"/>
      <c r="ADE40" s="161"/>
      <c r="ADF40" s="161"/>
      <c r="ADG40" s="161"/>
      <c r="ADH40" s="161"/>
      <c r="ADI40" s="161"/>
      <c r="ADJ40" s="161"/>
      <c r="ADK40" s="161"/>
      <c r="ADL40" s="161"/>
      <c r="ADM40" s="161"/>
      <c r="ADN40" s="161"/>
      <c r="ADO40" s="161"/>
      <c r="ADP40" s="161"/>
      <c r="ADQ40" s="161"/>
      <c r="ADR40" s="161"/>
      <c r="ADS40" s="161"/>
      <c r="ADT40" s="161"/>
      <c r="ADU40" s="161"/>
      <c r="ADV40" s="161"/>
      <c r="ADW40" s="161"/>
      <c r="ADX40" s="161"/>
      <c r="ADY40" s="161"/>
      <c r="ADZ40" s="161"/>
      <c r="AEA40" s="161"/>
      <c r="AEB40" s="161"/>
      <c r="AEC40" s="161"/>
      <c r="AED40" s="161"/>
      <c r="AEE40" s="161"/>
      <c r="AEF40" s="161"/>
      <c r="AEG40" s="161"/>
      <c r="AEH40" s="161"/>
      <c r="AEI40" s="161"/>
      <c r="AEJ40" s="161"/>
      <c r="AEK40" s="161"/>
      <c r="AEL40" s="161"/>
      <c r="AEM40" s="161"/>
      <c r="AEN40" s="161"/>
      <c r="AEO40" s="161"/>
      <c r="AEP40" s="161"/>
      <c r="AEQ40" s="161"/>
      <c r="AER40" s="161"/>
      <c r="AES40" s="161"/>
      <c r="AET40" s="161"/>
      <c r="AEU40" s="161"/>
      <c r="AEV40" s="161"/>
      <c r="AEW40" s="161"/>
      <c r="AEX40" s="161"/>
      <c r="AEY40" s="161"/>
      <c r="AEZ40" s="161"/>
      <c r="AFA40" s="161"/>
      <c r="AFB40" s="161"/>
      <c r="AFC40" s="161"/>
      <c r="AFD40" s="161"/>
      <c r="AFE40" s="161"/>
      <c r="AFF40" s="161"/>
      <c r="AFG40" s="161"/>
      <c r="AFH40" s="161"/>
      <c r="AFI40" s="161"/>
      <c r="AFJ40" s="161"/>
      <c r="AFK40" s="161"/>
      <c r="AFL40" s="161"/>
      <c r="AFM40" s="161"/>
      <c r="AFN40" s="161"/>
      <c r="AFO40" s="161"/>
      <c r="AFP40" s="161"/>
      <c r="AFQ40" s="161"/>
      <c r="AFR40" s="161"/>
      <c r="AFS40" s="161"/>
      <c r="AFT40" s="161"/>
      <c r="AFU40" s="161"/>
      <c r="AFV40" s="161"/>
      <c r="AFW40" s="161"/>
      <c r="AFX40" s="161"/>
      <c r="AFY40" s="161"/>
      <c r="AFZ40" s="161"/>
      <c r="AGA40" s="161"/>
      <c r="AGB40" s="161"/>
      <c r="AGC40" s="161"/>
      <c r="AGD40" s="161"/>
      <c r="AGE40" s="161"/>
      <c r="AGF40" s="161"/>
      <c r="AGG40" s="161"/>
      <c r="AGH40" s="161"/>
      <c r="AGI40" s="161"/>
      <c r="AGJ40" s="161"/>
      <c r="AGK40" s="161"/>
      <c r="AGL40" s="161"/>
      <c r="AGM40" s="161"/>
      <c r="AGN40" s="161"/>
      <c r="AGO40" s="161"/>
      <c r="AGP40" s="161"/>
      <c r="AGQ40" s="161"/>
      <c r="AGR40" s="161"/>
      <c r="AGS40" s="161"/>
      <c r="AGT40" s="161"/>
      <c r="AGU40" s="161"/>
      <c r="AGV40" s="161"/>
      <c r="AGW40" s="161"/>
      <c r="AGX40" s="161"/>
      <c r="AGY40" s="161"/>
      <c r="AGZ40" s="161"/>
      <c r="AHA40" s="161"/>
      <c r="AHB40" s="161"/>
      <c r="AHC40" s="161"/>
      <c r="AHD40" s="161"/>
      <c r="AHE40" s="161"/>
      <c r="AHF40" s="161"/>
      <c r="AHG40" s="161"/>
      <c r="AHH40" s="161"/>
      <c r="AHI40" s="161"/>
      <c r="AHJ40" s="161"/>
      <c r="AHK40" s="161"/>
      <c r="AHL40" s="161"/>
      <c r="AHM40" s="161"/>
      <c r="AHN40" s="161"/>
      <c r="AHO40" s="161"/>
      <c r="AHP40" s="161"/>
      <c r="AHQ40" s="161"/>
      <c r="AHR40" s="161"/>
      <c r="AHS40" s="161"/>
      <c r="AHT40" s="161"/>
      <c r="AHU40" s="161"/>
      <c r="AHV40" s="161"/>
      <c r="AHW40" s="161"/>
      <c r="AHX40" s="161"/>
      <c r="AHY40" s="161"/>
      <c r="AHZ40" s="161"/>
      <c r="AIA40" s="161"/>
      <c r="AIB40" s="161"/>
      <c r="AIC40" s="161"/>
      <c r="AID40" s="161"/>
      <c r="AIE40" s="161"/>
      <c r="AIF40" s="161"/>
    </row>
    <row r="41" spans="1:916" s="102" customFormat="1">
      <c r="B41" s="191"/>
      <c r="C41" s="357" t="s">
        <v>408</v>
      </c>
      <c r="D41" s="357"/>
      <c r="E41" s="358"/>
      <c r="F41" s="358"/>
      <c r="G41" s="359"/>
      <c r="H41" s="360"/>
      <c r="I41" s="361"/>
      <c r="J41" s="362"/>
      <c r="K41" s="363"/>
      <c r="L41" s="363"/>
      <c r="M41" s="363"/>
      <c r="N41" s="364"/>
      <c r="O41" s="365"/>
      <c r="P41" s="365"/>
      <c r="Q41" s="365"/>
      <c r="R41" s="365"/>
      <c r="S41" s="366"/>
      <c r="T41" s="367"/>
      <c r="U41" s="368"/>
      <c r="V41" s="368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  <c r="HT41" s="106"/>
      <c r="HU41" s="106"/>
      <c r="HV41" s="106"/>
      <c r="HW41" s="106"/>
      <c r="HX41" s="106"/>
      <c r="HY41" s="106"/>
      <c r="HZ41" s="106"/>
      <c r="IA41" s="106"/>
      <c r="IB41" s="106"/>
      <c r="IC41" s="106"/>
      <c r="ID41" s="106"/>
      <c r="IE41" s="106"/>
      <c r="IF41" s="106"/>
      <c r="IG41" s="106"/>
      <c r="IH41" s="106"/>
      <c r="II41" s="106"/>
      <c r="IJ41" s="106"/>
      <c r="IK41" s="106"/>
      <c r="IL41" s="106"/>
      <c r="IM41" s="106"/>
      <c r="IN41" s="106"/>
      <c r="IO41" s="106"/>
      <c r="IP41" s="106"/>
      <c r="IQ41" s="106"/>
      <c r="IR41" s="106"/>
      <c r="IS41" s="106"/>
      <c r="IT41" s="106"/>
      <c r="IU41" s="106"/>
      <c r="IV41" s="106"/>
      <c r="IW41" s="106"/>
      <c r="IX41" s="106"/>
      <c r="IY41" s="106"/>
      <c r="IZ41" s="106"/>
      <c r="JA41" s="106"/>
      <c r="JB41" s="106"/>
      <c r="JC41" s="106"/>
      <c r="JD41" s="106"/>
      <c r="JE41" s="106"/>
      <c r="JF41" s="106"/>
      <c r="JG41" s="106"/>
      <c r="JH41" s="106"/>
      <c r="JI41" s="106"/>
      <c r="JJ41" s="106"/>
      <c r="JK41" s="106"/>
      <c r="JL41" s="106"/>
      <c r="JM41" s="106"/>
      <c r="JN41" s="106"/>
      <c r="JO41" s="106"/>
      <c r="JP41" s="106"/>
      <c r="JQ41" s="106"/>
      <c r="JR41" s="106"/>
      <c r="JS41" s="106"/>
      <c r="JT41" s="106"/>
      <c r="JU41" s="106"/>
      <c r="JV41" s="106"/>
      <c r="JW41" s="106"/>
      <c r="JX41" s="106"/>
      <c r="JY41" s="106"/>
      <c r="JZ41" s="106"/>
      <c r="KA41" s="106"/>
      <c r="KB41" s="106"/>
      <c r="KC41" s="106"/>
      <c r="KD41" s="106"/>
      <c r="KE41" s="106"/>
      <c r="KF41" s="106"/>
      <c r="KG41" s="106"/>
      <c r="KH41" s="106"/>
      <c r="KI41" s="106"/>
      <c r="KJ41" s="106"/>
      <c r="KK41" s="106"/>
      <c r="KL41" s="106"/>
      <c r="KM41" s="106"/>
      <c r="KN41" s="106"/>
      <c r="KO41" s="106"/>
      <c r="KP41" s="106"/>
      <c r="KQ41" s="106"/>
      <c r="KR41" s="106"/>
      <c r="KS41" s="106"/>
      <c r="KT41" s="106"/>
      <c r="KU41" s="106"/>
      <c r="KV41" s="106"/>
      <c r="KW41" s="106"/>
      <c r="KX41" s="106"/>
      <c r="KY41" s="106"/>
      <c r="KZ41" s="106"/>
      <c r="LA41" s="106"/>
      <c r="LB41" s="106"/>
      <c r="LC41" s="106"/>
      <c r="LD41" s="106"/>
      <c r="LE41" s="106"/>
      <c r="LF41" s="106"/>
      <c r="LG41" s="106"/>
      <c r="LH41" s="106"/>
      <c r="LI41" s="106"/>
      <c r="LJ41" s="106"/>
      <c r="LK41" s="106"/>
      <c r="LL41" s="106"/>
      <c r="LM41" s="106"/>
      <c r="LN41" s="106"/>
      <c r="LO41" s="106"/>
      <c r="LP41" s="106"/>
      <c r="LQ41" s="106"/>
      <c r="LR41" s="106"/>
      <c r="LS41" s="106"/>
      <c r="LT41" s="106"/>
      <c r="LU41" s="106"/>
      <c r="LV41" s="106"/>
      <c r="LW41" s="106"/>
      <c r="LX41" s="106"/>
      <c r="LY41" s="106"/>
      <c r="LZ41" s="106"/>
      <c r="MA41" s="106"/>
      <c r="MB41" s="106"/>
      <c r="MC41" s="106"/>
      <c r="MD41" s="106"/>
      <c r="ME41" s="106"/>
      <c r="MF41" s="106"/>
      <c r="MG41" s="106"/>
      <c r="MH41" s="106"/>
      <c r="MI41" s="106"/>
      <c r="MJ41" s="106"/>
      <c r="MK41" s="106"/>
      <c r="ML41" s="106"/>
      <c r="MM41" s="106"/>
      <c r="MN41" s="106"/>
      <c r="MO41" s="106"/>
      <c r="MP41" s="106"/>
      <c r="MQ41" s="106"/>
      <c r="MR41" s="106"/>
      <c r="MS41" s="106"/>
      <c r="MT41" s="106"/>
      <c r="MU41" s="106"/>
      <c r="MV41" s="106"/>
      <c r="MW41" s="106"/>
      <c r="MX41" s="106"/>
      <c r="MY41" s="106"/>
      <c r="MZ41" s="106"/>
      <c r="NA41" s="106"/>
      <c r="NB41" s="106"/>
      <c r="NC41" s="106"/>
      <c r="ND41" s="106"/>
      <c r="NE41" s="106"/>
      <c r="NF41" s="106"/>
      <c r="NG41" s="106"/>
      <c r="NH41" s="106"/>
      <c r="NI41" s="106"/>
      <c r="NJ41" s="106"/>
      <c r="NK41" s="106"/>
      <c r="NL41" s="106"/>
      <c r="NM41" s="106"/>
      <c r="NN41" s="106"/>
      <c r="NO41" s="106"/>
      <c r="NP41" s="106"/>
      <c r="NQ41" s="106"/>
      <c r="NR41" s="106"/>
      <c r="NS41" s="106"/>
      <c r="NT41" s="106"/>
      <c r="NU41" s="106"/>
      <c r="NV41" s="106"/>
      <c r="NW41" s="106"/>
      <c r="NX41" s="106"/>
      <c r="NY41" s="106"/>
      <c r="NZ41" s="106"/>
      <c r="OA41" s="106"/>
      <c r="OB41" s="106"/>
      <c r="OC41" s="106"/>
      <c r="OD41" s="106"/>
      <c r="OE41" s="106"/>
      <c r="OF41" s="106"/>
      <c r="OG41" s="106"/>
      <c r="OH41" s="106"/>
      <c r="OI41" s="106"/>
      <c r="OJ41" s="106"/>
      <c r="OK41" s="106"/>
      <c r="OL41" s="106"/>
      <c r="OM41" s="106"/>
      <c r="ON41" s="106"/>
      <c r="OO41" s="106"/>
      <c r="OP41" s="106"/>
      <c r="OQ41" s="106"/>
      <c r="OR41" s="106"/>
      <c r="OS41" s="106"/>
      <c r="OT41" s="106"/>
      <c r="OU41" s="106"/>
      <c r="OV41" s="106"/>
      <c r="OW41" s="106"/>
      <c r="OX41" s="106"/>
      <c r="OY41" s="106"/>
      <c r="OZ41" s="106"/>
      <c r="PA41" s="106"/>
      <c r="PB41" s="106"/>
      <c r="PC41" s="106"/>
      <c r="PD41" s="106"/>
      <c r="PE41" s="106"/>
      <c r="PF41" s="106"/>
      <c r="PG41" s="106"/>
      <c r="PH41" s="106"/>
      <c r="PI41" s="106"/>
    </row>
    <row r="42" spans="1:916" s="102" customFormat="1">
      <c r="B42" s="191"/>
      <c r="C42" s="192" t="s">
        <v>409</v>
      </c>
      <c r="D42" s="191">
        <v>18231005</v>
      </c>
      <c r="E42" s="191"/>
      <c r="F42" s="191"/>
      <c r="G42" s="193"/>
      <c r="H42" s="191"/>
      <c r="I42" s="194">
        <f>SUMIF('Program Costs'!D:D,'Gas CE'!D42,'Program Costs'!N:N)</f>
        <v>297496.19</v>
      </c>
      <c r="J42" s="194"/>
      <c r="K42" s="191"/>
      <c r="L42" s="191"/>
      <c r="M42" s="191"/>
      <c r="N42" s="350">
        <f>I42</f>
        <v>297496.19</v>
      </c>
      <c r="O42" s="194">
        <f t="shared" ref="O42:O53" si="17">I42</f>
        <v>297496.19</v>
      </c>
      <c r="P42" s="195"/>
      <c r="Q42" s="196">
        <f t="shared" ref="Q42:Q53" si="18">N42/(1+ElecDiscountRate)^1</f>
        <v>278111.79770028975</v>
      </c>
      <c r="R42" s="196">
        <f t="shared" ref="R42:R53" si="19">O42/(1+ElecDiscountRate)^1</f>
        <v>278111.79770028975</v>
      </c>
      <c r="S42" s="191"/>
      <c r="T42" s="197"/>
      <c r="U42" s="191"/>
      <c r="V42" s="198"/>
      <c r="W42" s="106"/>
      <c r="X42">
        <v>18231005</v>
      </c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  <c r="IV42" s="106"/>
      <c r="IW42" s="106"/>
      <c r="IX42" s="106"/>
      <c r="IY42" s="106"/>
      <c r="IZ42" s="106"/>
      <c r="JA42" s="106"/>
      <c r="JB42" s="106"/>
      <c r="JC42" s="106"/>
      <c r="JD42" s="106"/>
      <c r="JE42" s="106"/>
      <c r="JF42" s="106"/>
      <c r="JG42" s="106"/>
      <c r="JH42" s="106"/>
      <c r="JI42" s="106"/>
      <c r="JJ42" s="106"/>
      <c r="JK42" s="106"/>
      <c r="JL42" s="106"/>
      <c r="JM42" s="106"/>
      <c r="JN42" s="106"/>
      <c r="JO42" s="106"/>
      <c r="JP42" s="106"/>
      <c r="JQ42" s="106"/>
      <c r="JR42" s="106"/>
      <c r="JS42" s="106"/>
      <c r="JT42" s="106"/>
      <c r="JU42" s="106"/>
      <c r="JV42" s="106"/>
      <c r="JW42" s="106"/>
      <c r="JX42" s="106"/>
      <c r="JY42" s="106"/>
      <c r="JZ42" s="106"/>
      <c r="KA42" s="106"/>
      <c r="KB42" s="106"/>
      <c r="KC42" s="106"/>
      <c r="KD42" s="106"/>
      <c r="KE42" s="106"/>
      <c r="KF42" s="106"/>
      <c r="KG42" s="106"/>
      <c r="KH42" s="106"/>
      <c r="KI42" s="106"/>
      <c r="KJ42" s="106"/>
      <c r="KK42" s="106"/>
      <c r="KL42" s="106"/>
      <c r="KM42" s="106"/>
      <c r="KN42" s="106"/>
      <c r="KO42" s="106"/>
      <c r="KP42" s="106"/>
      <c r="KQ42" s="106"/>
      <c r="KR42" s="106"/>
      <c r="KS42" s="106"/>
      <c r="KT42" s="106"/>
      <c r="KU42" s="106"/>
      <c r="KV42" s="106"/>
      <c r="KW42" s="106"/>
      <c r="KX42" s="106"/>
      <c r="KY42" s="106"/>
      <c r="KZ42" s="106"/>
      <c r="LA42" s="106"/>
      <c r="LB42" s="106"/>
      <c r="LC42" s="106"/>
      <c r="LD42" s="106"/>
      <c r="LE42" s="106"/>
      <c r="LF42" s="106"/>
      <c r="LG42" s="106"/>
      <c r="LH42" s="106"/>
      <c r="LI42" s="106"/>
      <c r="LJ42" s="106"/>
      <c r="LK42" s="106"/>
      <c r="LL42" s="106"/>
      <c r="LM42" s="106"/>
      <c r="LN42" s="106"/>
      <c r="LO42" s="106"/>
      <c r="LP42" s="106"/>
      <c r="LQ42" s="106"/>
      <c r="LR42" s="106"/>
      <c r="LS42" s="106"/>
      <c r="LT42" s="106"/>
      <c r="LU42" s="106"/>
      <c r="LV42" s="106"/>
      <c r="LW42" s="106"/>
      <c r="LX42" s="106"/>
      <c r="LY42" s="106"/>
      <c r="LZ42" s="106"/>
      <c r="MA42" s="106"/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/>
      <c r="MZ42" s="106"/>
      <c r="NA42" s="106"/>
      <c r="NB42" s="106"/>
      <c r="NC42" s="106"/>
      <c r="ND42" s="106"/>
      <c r="NE42" s="106"/>
      <c r="NF42" s="106"/>
      <c r="NG42" s="106"/>
      <c r="NH42" s="106"/>
      <c r="NI42" s="106"/>
      <c r="NJ42" s="106"/>
      <c r="NK42" s="106"/>
      <c r="NL42" s="106"/>
      <c r="NM42" s="106"/>
      <c r="NN42" s="106"/>
      <c r="NO42" s="106"/>
      <c r="NP42" s="106"/>
      <c r="NQ42" s="106"/>
      <c r="NR42" s="106"/>
      <c r="NS42" s="106"/>
      <c r="NT42" s="106"/>
      <c r="NU42" s="106"/>
      <c r="NV42" s="106"/>
      <c r="NW42" s="106"/>
      <c r="NX42" s="106"/>
      <c r="NY42" s="106"/>
      <c r="NZ42" s="106"/>
      <c r="OA42" s="106"/>
      <c r="OB42" s="106"/>
      <c r="OC42" s="106"/>
      <c r="OD42" s="106"/>
      <c r="OE42" s="106"/>
      <c r="OF42" s="106"/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</row>
    <row r="43" spans="1:916" s="102" customFormat="1">
      <c r="B43" s="191"/>
      <c r="C43" s="199" t="s">
        <v>410</v>
      </c>
      <c r="D43" s="200">
        <v>18230659</v>
      </c>
      <c r="E43" s="201"/>
      <c r="F43" s="201"/>
      <c r="G43" s="202"/>
      <c r="H43" s="203"/>
      <c r="I43" s="194">
        <f>SUMIF('Program Costs'!D:D,'Gas CE'!D43,'Program Costs'!N:N)</f>
        <v>112950.68000000001</v>
      </c>
      <c r="J43" s="194"/>
      <c r="K43" s="204"/>
      <c r="L43" s="204"/>
      <c r="M43" s="204"/>
      <c r="N43" s="350">
        <f t="shared" ref="N43:N53" si="20">I43</f>
        <v>112950.68000000001</v>
      </c>
      <c r="O43" s="194">
        <f t="shared" si="17"/>
        <v>112950.68000000001</v>
      </c>
      <c r="P43" s="205"/>
      <c r="Q43" s="196">
        <f t="shared" si="18"/>
        <v>105590.98812751238</v>
      </c>
      <c r="R43" s="196">
        <f t="shared" si="19"/>
        <v>105590.98812751238</v>
      </c>
      <c r="S43" s="206"/>
      <c r="T43" s="206"/>
      <c r="U43" s="207"/>
      <c r="V43" s="207"/>
      <c r="W43" s="106"/>
      <c r="X43">
        <v>18230659</v>
      </c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/>
      <c r="IZ43" s="106"/>
      <c r="JA43" s="106"/>
      <c r="JB43" s="106"/>
      <c r="JC43" s="106"/>
      <c r="JD43" s="106"/>
      <c r="JE43" s="106"/>
      <c r="JF43" s="106"/>
      <c r="JG43" s="106"/>
      <c r="JH43" s="106"/>
      <c r="JI43" s="106"/>
      <c r="JJ43" s="106"/>
      <c r="JK43" s="106"/>
      <c r="JL43" s="106"/>
      <c r="JM43" s="106"/>
      <c r="JN43" s="106"/>
      <c r="JO43" s="106"/>
      <c r="JP43" s="106"/>
      <c r="JQ43" s="106"/>
      <c r="JR43" s="106"/>
      <c r="JS43" s="106"/>
      <c r="JT43" s="106"/>
      <c r="JU43" s="106"/>
      <c r="JV43" s="106"/>
      <c r="JW43" s="106"/>
      <c r="JX43" s="106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06"/>
      <c r="KU43" s="106"/>
      <c r="KV43" s="106"/>
      <c r="KW43" s="106"/>
      <c r="KX43" s="106"/>
      <c r="KY43" s="106"/>
      <c r="KZ43" s="106"/>
      <c r="LA43" s="106"/>
      <c r="LB43" s="106"/>
      <c r="LC43" s="106"/>
      <c r="LD43" s="106"/>
      <c r="LE43" s="106"/>
      <c r="LF43" s="106"/>
      <c r="LG43" s="106"/>
      <c r="LH43" s="106"/>
      <c r="LI43" s="106"/>
      <c r="LJ43" s="106"/>
      <c r="LK43" s="106"/>
      <c r="LL43" s="106"/>
      <c r="LM43" s="106"/>
      <c r="LN43" s="106"/>
      <c r="LO43" s="106"/>
      <c r="LP43" s="106"/>
      <c r="LQ43" s="106"/>
      <c r="LR43" s="106"/>
      <c r="LS43" s="106"/>
      <c r="LT43" s="106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</row>
    <row r="44" spans="1:916" s="102" customFormat="1">
      <c r="B44" s="191"/>
      <c r="C44" s="208" t="s">
        <v>411</v>
      </c>
      <c r="D44" s="209">
        <v>18230668</v>
      </c>
      <c r="E44" s="201"/>
      <c r="F44" s="201"/>
      <c r="G44" s="202"/>
      <c r="H44" s="203"/>
      <c r="I44" s="194">
        <f>SUMIF('Program Costs'!D:D,'Gas CE'!D44,'Program Costs'!N:N)</f>
        <v>133593.23000000001</v>
      </c>
      <c r="J44" s="194"/>
      <c r="K44" s="204"/>
      <c r="L44" s="204"/>
      <c r="M44" s="204"/>
      <c r="N44" s="350">
        <f t="shared" si="20"/>
        <v>133593.23000000001</v>
      </c>
      <c r="O44" s="194">
        <f t="shared" si="17"/>
        <v>133593.23000000001</v>
      </c>
      <c r="P44" s="196"/>
      <c r="Q44" s="196">
        <f t="shared" si="18"/>
        <v>124888.5014490044</v>
      </c>
      <c r="R44" s="196">
        <f t="shared" si="19"/>
        <v>124888.5014490044</v>
      </c>
      <c r="S44" s="206"/>
      <c r="T44" s="206"/>
      <c r="U44" s="207"/>
      <c r="V44" s="207"/>
      <c r="W44" s="106"/>
      <c r="X44">
        <v>18230668</v>
      </c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</row>
    <row r="45" spans="1:916" s="102" customFormat="1">
      <c r="B45" s="191"/>
      <c r="C45" s="192" t="s">
        <v>412</v>
      </c>
      <c r="D45" s="191">
        <v>18230688</v>
      </c>
      <c r="E45" s="191"/>
      <c r="F45" s="191"/>
      <c r="G45" s="191"/>
      <c r="H45" s="191"/>
      <c r="I45" s="194">
        <f>SUMIF('Program Costs'!D:D,'Gas CE'!D45,'Program Costs'!N:N)</f>
        <v>174898.61000000002</v>
      </c>
      <c r="J45" s="194"/>
      <c r="K45" s="191"/>
      <c r="L45" s="191"/>
      <c r="M45" s="191"/>
      <c r="N45" s="350">
        <f t="shared" si="20"/>
        <v>174898.61000000002</v>
      </c>
      <c r="O45" s="194">
        <f t="shared" si="17"/>
        <v>174898.61000000002</v>
      </c>
      <c r="P45" s="195"/>
      <c r="Q45" s="196">
        <f t="shared" si="18"/>
        <v>163502.48667850799</v>
      </c>
      <c r="R45" s="196">
        <f t="shared" si="19"/>
        <v>163502.48667850799</v>
      </c>
      <c r="S45" s="191"/>
      <c r="T45" s="197"/>
      <c r="U45" s="191"/>
      <c r="V45" s="198"/>
      <c r="W45" s="106"/>
      <c r="X45">
        <v>18230688</v>
      </c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916" s="214" customFormat="1">
      <c r="A46" s="210"/>
      <c r="B46" s="191"/>
      <c r="C46" s="211" t="s">
        <v>413</v>
      </c>
      <c r="D46" s="212">
        <v>18230698</v>
      </c>
      <c r="E46" s="191"/>
      <c r="F46" s="191"/>
      <c r="G46" s="191"/>
      <c r="H46" s="191"/>
      <c r="I46" s="194">
        <f>SUMIF('Program Costs'!D:D,'Gas CE'!D46,'Program Costs'!N:N)</f>
        <v>39559.259999999995</v>
      </c>
      <c r="J46" s="194"/>
      <c r="K46" s="191"/>
      <c r="L46" s="191"/>
      <c r="M46" s="191"/>
      <c r="N46" s="350">
        <f t="shared" si="20"/>
        <v>39559.259999999995</v>
      </c>
      <c r="O46" s="194">
        <f t="shared" si="17"/>
        <v>39559.259999999995</v>
      </c>
      <c r="P46" s="195"/>
      <c r="Q46" s="196">
        <f t="shared" si="18"/>
        <v>36981.639712068798</v>
      </c>
      <c r="R46" s="196">
        <f t="shared" si="19"/>
        <v>36981.639712068798</v>
      </c>
      <c r="S46" s="191"/>
      <c r="T46" s="197"/>
      <c r="U46" s="191"/>
      <c r="V46" s="198"/>
      <c r="W46" s="213"/>
      <c r="X46">
        <v>18230698</v>
      </c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3"/>
      <c r="BN46" s="213"/>
      <c r="BO46" s="213"/>
      <c r="BP46" s="213"/>
      <c r="BQ46" s="213"/>
      <c r="BR46" s="213"/>
      <c r="BS46" s="213"/>
      <c r="BT46" s="213"/>
      <c r="BU46" s="213"/>
      <c r="BV46" s="213"/>
      <c r="BW46" s="213"/>
      <c r="BX46" s="213"/>
      <c r="BY46" s="213"/>
      <c r="BZ46" s="213"/>
      <c r="CA46" s="213"/>
      <c r="CB46" s="213"/>
      <c r="CC46" s="213"/>
      <c r="CD46" s="213"/>
      <c r="CE46" s="213"/>
      <c r="CF46" s="213"/>
      <c r="CG46" s="213"/>
      <c r="CH46" s="213"/>
      <c r="CI46" s="213"/>
      <c r="CJ46" s="213"/>
      <c r="CK46" s="213"/>
      <c r="CL46" s="213"/>
      <c r="CM46" s="213"/>
      <c r="CN46" s="213"/>
      <c r="CO46" s="213"/>
      <c r="CP46" s="213"/>
      <c r="CQ46" s="213"/>
      <c r="CR46" s="213"/>
      <c r="CS46" s="213"/>
      <c r="CT46" s="213"/>
      <c r="CU46" s="213"/>
      <c r="CV46" s="213"/>
      <c r="CW46" s="213"/>
      <c r="CX46" s="213"/>
      <c r="CY46" s="213"/>
      <c r="CZ46" s="213"/>
      <c r="DA46" s="213"/>
      <c r="DB46" s="213"/>
      <c r="DC46" s="213"/>
      <c r="DD46" s="213"/>
      <c r="DE46" s="213"/>
      <c r="DF46" s="213"/>
      <c r="DG46" s="213"/>
      <c r="DH46" s="213"/>
      <c r="DI46" s="213"/>
      <c r="DJ46" s="213"/>
      <c r="DK46" s="213"/>
      <c r="DL46" s="213"/>
      <c r="DM46" s="213"/>
      <c r="DN46" s="213"/>
      <c r="DO46" s="213"/>
      <c r="DP46" s="213"/>
      <c r="DQ46" s="213"/>
      <c r="DR46" s="213"/>
      <c r="DS46" s="213"/>
      <c r="DT46" s="213"/>
      <c r="DU46" s="213"/>
      <c r="DV46" s="213"/>
      <c r="DW46" s="213"/>
      <c r="DX46" s="213"/>
      <c r="DY46" s="213"/>
      <c r="DZ46" s="213"/>
      <c r="EA46" s="213"/>
      <c r="EB46" s="213"/>
      <c r="EC46" s="213"/>
      <c r="ED46" s="213"/>
      <c r="EE46" s="213"/>
      <c r="EF46" s="213"/>
      <c r="EG46" s="213"/>
      <c r="EH46" s="213"/>
      <c r="EI46" s="213"/>
      <c r="EJ46" s="213"/>
      <c r="EK46" s="213"/>
      <c r="EL46" s="213"/>
      <c r="EM46" s="213"/>
      <c r="EN46" s="213"/>
      <c r="EO46" s="213"/>
      <c r="EP46" s="213"/>
      <c r="EQ46" s="213"/>
      <c r="ER46" s="213"/>
      <c r="ES46" s="213"/>
      <c r="ET46" s="213"/>
      <c r="EU46" s="213"/>
      <c r="EV46" s="213"/>
      <c r="EW46" s="213"/>
      <c r="EX46" s="213"/>
      <c r="EY46" s="213"/>
      <c r="EZ46" s="213"/>
      <c r="FA46" s="213"/>
      <c r="FB46" s="213"/>
      <c r="FC46" s="213"/>
      <c r="FD46" s="213"/>
      <c r="FE46" s="213"/>
      <c r="FF46" s="213"/>
      <c r="FG46" s="213"/>
      <c r="FH46" s="213"/>
      <c r="FI46" s="213"/>
      <c r="FJ46" s="213"/>
      <c r="FK46" s="213"/>
      <c r="FL46" s="213"/>
      <c r="FM46" s="213"/>
      <c r="FN46" s="213"/>
      <c r="FO46" s="213"/>
      <c r="FP46" s="213"/>
      <c r="FQ46" s="213"/>
      <c r="FR46" s="213"/>
      <c r="FS46" s="213"/>
      <c r="FT46" s="213"/>
      <c r="FU46" s="213"/>
      <c r="FV46" s="213"/>
      <c r="FW46" s="213"/>
      <c r="FX46" s="213"/>
      <c r="FY46" s="213"/>
      <c r="FZ46" s="213"/>
      <c r="GA46" s="213"/>
      <c r="GB46" s="213"/>
      <c r="GC46" s="213"/>
      <c r="GD46" s="213"/>
      <c r="GE46" s="213"/>
      <c r="GF46" s="213"/>
      <c r="GG46" s="213"/>
      <c r="GH46" s="213"/>
      <c r="GI46" s="213"/>
      <c r="GJ46" s="213"/>
      <c r="GK46" s="213"/>
      <c r="GL46" s="213"/>
      <c r="GM46" s="213"/>
      <c r="GN46" s="213"/>
      <c r="GO46" s="213"/>
      <c r="GP46" s="213"/>
      <c r="GQ46" s="213"/>
      <c r="GR46" s="213"/>
      <c r="GS46" s="213"/>
      <c r="GT46" s="213"/>
      <c r="GU46" s="213"/>
      <c r="GV46" s="213"/>
      <c r="GW46" s="213"/>
      <c r="GX46" s="213"/>
      <c r="GY46" s="213"/>
      <c r="GZ46" s="213"/>
      <c r="HA46" s="213"/>
      <c r="HB46" s="213"/>
      <c r="HC46" s="213"/>
      <c r="HD46" s="213"/>
      <c r="HE46" s="213"/>
      <c r="HF46" s="213"/>
      <c r="HG46" s="213"/>
      <c r="HH46" s="213"/>
      <c r="HI46" s="213"/>
      <c r="HJ46" s="213"/>
      <c r="HK46" s="213"/>
      <c r="HL46" s="213"/>
      <c r="HM46" s="213"/>
      <c r="HN46" s="213"/>
      <c r="HO46" s="213"/>
      <c r="HP46" s="213"/>
      <c r="HQ46" s="213"/>
      <c r="HR46" s="213"/>
      <c r="HS46" s="213"/>
      <c r="HT46" s="213"/>
      <c r="HU46" s="213"/>
      <c r="HV46" s="213"/>
      <c r="HW46" s="213"/>
      <c r="HX46" s="213"/>
      <c r="HY46" s="213"/>
      <c r="HZ46" s="213"/>
      <c r="IA46" s="213"/>
      <c r="IB46" s="213"/>
      <c r="IC46" s="213"/>
      <c r="ID46" s="213"/>
      <c r="IE46" s="213"/>
      <c r="IF46" s="213"/>
      <c r="IG46" s="213"/>
      <c r="IH46" s="213"/>
      <c r="II46" s="213"/>
      <c r="IJ46" s="213"/>
      <c r="IK46" s="213"/>
      <c r="IL46" s="213"/>
      <c r="IM46" s="213"/>
      <c r="IN46" s="213"/>
      <c r="IO46" s="213"/>
      <c r="IP46" s="213"/>
      <c r="IQ46" s="213"/>
      <c r="IR46" s="213"/>
      <c r="IS46" s="213"/>
      <c r="IT46" s="213"/>
      <c r="IU46" s="213"/>
      <c r="IV46" s="213"/>
      <c r="IW46" s="213"/>
      <c r="IX46" s="213"/>
      <c r="IY46" s="213"/>
      <c r="IZ46" s="213"/>
      <c r="JA46" s="213"/>
      <c r="JB46" s="213"/>
      <c r="JC46" s="213"/>
      <c r="JD46" s="213"/>
      <c r="JE46" s="213"/>
      <c r="JF46" s="213"/>
      <c r="JG46" s="213"/>
      <c r="JH46" s="213"/>
      <c r="JI46" s="213"/>
      <c r="JJ46" s="213"/>
      <c r="JK46" s="213"/>
      <c r="JL46" s="213"/>
      <c r="JM46" s="213"/>
      <c r="JN46" s="213"/>
      <c r="JO46" s="213"/>
      <c r="JP46" s="213"/>
      <c r="JQ46" s="213"/>
      <c r="JR46" s="213"/>
      <c r="JS46" s="213"/>
      <c r="JT46" s="213"/>
      <c r="JU46" s="213"/>
      <c r="JV46" s="213"/>
      <c r="JW46" s="213"/>
      <c r="JX46" s="213"/>
      <c r="JY46" s="213"/>
      <c r="JZ46" s="213"/>
      <c r="KA46" s="213"/>
      <c r="KB46" s="213"/>
      <c r="KC46" s="213"/>
      <c r="KD46" s="213"/>
      <c r="KE46" s="213"/>
      <c r="KF46" s="213"/>
      <c r="KG46" s="213"/>
      <c r="KH46" s="213"/>
      <c r="KI46" s="213"/>
      <c r="KJ46" s="213"/>
      <c r="KK46" s="213"/>
      <c r="KL46" s="213"/>
      <c r="KM46" s="213"/>
      <c r="KN46" s="213"/>
      <c r="KO46" s="213"/>
      <c r="KP46" s="213"/>
      <c r="KQ46" s="213"/>
      <c r="KR46" s="213"/>
      <c r="KS46" s="213"/>
      <c r="KT46" s="213"/>
      <c r="KU46" s="213"/>
      <c r="KV46" s="213"/>
      <c r="KW46" s="213"/>
      <c r="KX46" s="213"/>
      <c r="KY46" s="213"/>
      <c r="KZ46" s="213"/>
      <c r="LA46" s="213"/>
      <c r="LB46" s="213"/>
      <c r="LC46" s="213"/>
      <c r="LD46" s="213"/>
      <c r="LE46" s="213"/>
      <c r="LF46" s="213"/>
      <c r="LG46" s="213"/>
      <c r="LH46" s="213"/>
      <c r="LI46" s="213"/>
      <c r="LJ46" s="213"/>
      <c r="LK46" s="213"/>
      <c r="LL46" s="213"/>
      <c r="LM46" s="213"/>
      <c r="LN46" s="213"/>
      <c r="LO46" s="213"/>
      <c r="LP46" s="213"/>
      <c r="LQ46" s="213"/>
      <c r="LR46" s="213"/>
      <c r="LS46" s="213"/>
      <c r="LT46" s="213"/>
      <c r="LU46" s="213"/>
      <c r="LV46" s="213"/>
      <c r="LW46" s="213"/>
      <c r="LX46" s="213"/>
      <c r="LY46" s="213"/>
      <c r="LZ46" s="213"/>
      <c r="MA46" s="213"/>
      <c r="MB46" s="213"/>
      <c r="MC46" s="213"/>
      <c r="MD46" s="213"/>
      <c r="ME46" s="213"/>
      <c r="MF46" s="213"/>
      <c r="MG46" s="213"/>
      <c r="MH46" s="213"/>
      <c r="MI46" s="213"/>
      <c r="MJ46" s="213"/>
      <c r="MK46" s="213"/>
      <c r="ML46" s="213"/>
      <c r="MM46" s="213"/>
      <c r="MN46" s="213"/>
      <c r="MO46" s="213"/>
      <c r="MP46" s="213"/>
      <c r="MQ46" s="213"/>
      <c r="MR46" s="213"/>
      <c r="MS46" s="213"/>
      <c r="MT46" s="213"/>
      <c r="MU46" s="213"/>
      <c r="MV46" s="213"/>
      <c r="MW46" s="213"/>
      <c r="MX46" s="213"/>
      <c r="MY46" s="213"/>
      <c r="MZ46" s="213"/>
      <c r="NA46" s="213"/>
      <c r="NB46" s="213"/>
      <c r="NC46" s="213"/>
      <c r="ND46" s="213"/>
      <c r="NE46" s="213"/>
      <c r="NF46" s="213"/>
      <c r="NG46" s="213"/>
      <c r="NH46" s="213"/>
      <c r="NI46" s="213"/>
      <c r="NJ46" s="213"/>
      <c r="NK46" s="213"/>
      <c r="NL46" s="213"/>
      <c r="NM46" s="213"/>
      <c r="NN46" s="213"/>
      <c r="NO46" s="213"/>
      <c r="NP46" s="213"/>
      <c r="NQ46" s="213"/>
      <c r="NR46" s="213"/>
      <c r="NS46" s="213"/>
      <c r="NT46" s="213"/>
      <c r="NU46" s="213"/>
      <c r="NV46" s="213"/>
      <c r="NW46" s="213"/>
      <c r="NX46" s="213"/>
      <c r="NY46" s="213"/>
      <c r="NZ46" s="213"/>
      <c r="OA46" s="213"/>
      <c r="OB46" s="213"/>
      <c r="OC46" s="213"/>
      <c r="OD46" s="213"/>
      <c r="OE46" s="213"/>
      <c r="OF46" s="213"/>
      <c r="OG46" s="213"/>
      <c r="OH46" s="213"/>
      <c r="OI46" s="213"/>
      <c r="OJ46" s="213"/>
      <c r="OK46" s="213"/>
      <c r="OL46" s="213"/>
      <c r="OM46" s="213"/>
      <c r="ON46" s="213"/>
      <c r="OO46" s="213"/>
      <c r="OP46" s="213"/>
      <c r="OQ46" s="213"/>
      <c r="OR46" s="213"/>
      <c r="OS46" s="213"/>
      <c r="OT46" s="213"/>
      <c r="OU46" s="213"/>
      <c r="OV46" s="213"/>
      <c r="OW46" s="213"/>
      <c r="OX46" s="213"/>
      <c r="OY46" s="213"/>
      <c r="OZ46" s="213"/>
      <c r="PA46" s="213"/>
      <c r="PB46" s="213"/>
      <c r="PC46" s="213"/>
      <c r="PD46" s="213"/>
      <c r="PE46" s="213"/>
      <c r="PF46" s="213"/>
      <c r="PG46" s="213"/>
      <c r="PH46" s="213"/>
      <c r="PI46" s="213"/>
    </row>
    <row r="47" spans="1:916" s="102" customFormat="1">
      <c r="B47" s="191"/>
      <c r="C47" s="211" t="s">
        <v>414</v>
      </c>
      <c r="D47" s="212">
        <v>18231031</v>
      </c>
      <c r="E47" s="191"/>
      <c r="F47" s="191"/>
      <c r="G47" s="191"/>
      <c r="H47" s="191"/>
      <c r="I47" s="194">
        <f>SUMIF('Program Costs'!D:D,'Gas CE'!D47,'Program Costs'!N:N)</f>
        <v>-114464.12999999995</v>
      </c>
      <c r="J47" s="194"/>
      <c r="K47" s="191"/>
      <c r="L47" s="191"/>
      <c r="M47" s="191"/>
      <c r="N47" s="350">
        <f t="shared" si="20"/>
        <v>-114464.12999999995</v>
      </c>
      <c r="O47" s="194">
        <f t="shared" si="17"/>
        <v>-114464.12999999995</v>
      </c>
      <c r="P47" s="195"/>
      <c r="Q47" s="196">
        <f t="shared" si="18"/>
        <v>-107005.8240628213</v>
      </c>
      <c r="R47" s="196">
        <f t="shared" si="19"/>
        <v>-107005.8240628213</v>
      </c>
      <c r="S47" s="191"/>
      <c r="T47" s="197"/>
      <c r="U47" s="191"/>
      <c r="V47" s="198"/>
      <c r="W47" s="106"/>
      <c r="X47">
        <v>18231031</v>
      </c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</row>
    <row r="48" spans="1:916" s="102" customFormat="1">
      <c r="B48" s="191"/>
      <c r="C48" s="211" t="s">
        <v>415</v>
      </c>
      <c r="D48" s="212">
        <v>18230667</v>
      </c>
      <c r="E48" s="191"/>
      <c r="F48" s="191"/>
      <c r="G48" s="191"/>
      <c r="H48" s="191"/>
      <c r="I48" s="194">
        <f>SUMIF('Program Costs'!D:D,'Gas CE'!D48,'Program Costs'!N:N)</f>
        <v>429714.39000000007</v>
      </c>
      <c r="J48" s="194"/>
      <c r="K48" s="191"/>
      <c r="L48" s="191"/>
      <c r="M48" s="191"/>
      <c r="N48" s="350">
        <f t="shared" si="20"/>
        <v>429714.39000000007</v>
      </c>
      <c r="O48" s="194">
        <f t="shared" si="17"/>
        <v>429714.39000000007</v>
      </c>
      <c r="P48" s="195"/>
      <c r="Q48" s="196">
        <f t="shared" si="18"/>
        <v>401714.86398055532</v>
      </c>
      <c r="R48" s="196">
        <f t="shared" si="19"/>
        <v>401714.86398055532</v>
      </c>
      <c r="S48" s="191"/>
      <c r="T48" s="197"/>
      <c r="U48" s="191"/>
      <c r="V48" s="198"/>
      <c r="W48" s="106"/>
      <c r="X48">
        <v>18230667</v>
      </c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916" s="102" customFormat="1">
      <c r="B49" s="191"/>
      <c r="C49" s="215" t="s">
        <v>416</v>
      </c>
      <c r="D49" s="216">
        <v>18230704</v>
      </c>
      <c r="E49" s="201"/>
      <c r="F49" s="201"/>
      <c r="G49" s="202"/>
      <c r="H49" s="203"/>
      <c r="I49" s="194">
        <f>SUMIF('Program Costs'!D:D,'Gas CE'!D49,'Program Costs'!N:N)</f>
        <v>286118.09000000003</v>
      </c>
      <c r="J49" s="194"/>
      <c r="K49" s="204"/>
      <c r="L49" s="204"/>
      <c r="M49" s="204"/>
      <c r="N49" s="350">
        <f t="shared" si="20"/>
        <v>286118.09000000003</v>
      </c>
      <c r="O49" s="194">
        <f t="shared" si="17"/>
        <v>286118.09000000003</v>
      </c>
      <c r="P49" s="196"/>
      <c r="Q49" s="196">
        <f t="shared" si="18"/>
        <v>267475.07712442742</v>
      </c>
      <c r="R49" s="196">
        <f t="shared" si="19"/>
        <v>267475.07712442742</v>
      </c>
      <c r="S49" s="206"/>
      <c r="T49" s="206"/>
      <c r="U49" s="207"/>
      <c r="V49" s="207"/>
      <c r="W49" s="106"/>
      <c r="X49">
        <v>18230704</v>
      </c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916" s="102" customFormat="1">
      <c r="A50" s="134"/>
      <c r="B50" s="191"/>
      <c r="C50" s="192" t="s">
        <v>417</v>
      </c>
      <c r="D50" s="191">
        <v>18230657</v>
      </c>
      <c r="E50" s="191"/>
      <c r="F50" s="191"/>
      <c r="G50" s="191"/>
      <c r="H50" s="191"/>
      <c r="I50" s="194">
        <f>SUMIF('Program Costs'!D:D,'Gas CE'!D50,'Program Costs'!N:N)</f>
        <v>391137.31</v>
      </c>
      <c r="J50" s="194"/>
      <c r="K50" s="191"/>
      <c r="L50" s="191"/>
      <c r="M50" s="191"/>
      <c r="N50" s="350">
        <f t="shared" si="20"/>
        <v>391137.31</v>
      </c>
      <c r="O50" s="194">
        <f t="shared" si="17"/>
        <v>391137.31</v>
      </c>
      <c r="P50" s="195"/>
      <c r="Q50" s="196">
        <f t="shared" si="18"/>
        <v>365651.4069365242</v>
      </c>
      <c r="R50" s="196">
        <f t="shared" si="19"/>
        <v>365651.4069365242</v>
      </c>
      <c r="S50" s="191"/>
      <c r="T50" s="197"/>
      <c r="U50" s="191"/>
      <c r="V50" s="198"/>
      <c r="W50" s="106"/>
      <c r="X50">
        <v>18230657</v>
      </c>
      <c r="Y50"/>
      <c r="Z50"/>
      <c r="AA50"/>
      <c r="AB50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916" s="102" customFormat="1">
      <c r="B51" s="191"/>
      <c r="C51" s="215" t="s">
        <v>418</v>
      </c>
      <c r="D51" s="369" t="s">
        <v>461</v>
      </c>
      <c r="E51" s="201"/>
      <c r="F51" s="201"/>
      <c r="G51" s="202"/>
      <c r="H51" s="203"/>
      <c r="I51" s="194">
        <f>SUMIF('Program Costs'!D:D,'Gas CE'!X51,'Program Costs'!N:N)+SUMIF('Program Costs'!D:D,'Gas CE'!Y51,'Program Costs'!N:N)+SUMIF('Program Costs'!D:D,'Gas CE'!Z51,'Program Costs'!N:N)+SUMIF('Program Costs'!D:D,'Gas CE'!AA51,'Program Costs'!N:N)</f>
        <v>501228.02</v>
      </c>
      <c r="J51" s="194"/>
      <c r="K51" s="204"/>
      <c r="L51" s="204"/>
      <c r="M51" s="204"/>
      <c r="N51" s="350">
        <f t="shared" si="20"/>
        <v>501228.02</v>
      </c>
      <c r="O51" s="194">
        <f t="shared" si="17"/>
        <v>501228.02</v>
      </c>
      <c r="P51" s="196"/>
      <c r="Q51" s="196">
        <f t="shared" si="18"/>
        <v>468568.77629241842</v>
      </c>
      <c r="R51" s="196">
        <f t="shared" si="19"/>
        <v>468568.77629241842</v>
      </c>
      <c r="S51" s="206"/>
      <c r="T51" s="206"/>
      <c r="U51" s="207"/>
      <c r="V51" s="207"/>
      <c r="W51" s="106"/>
      <c r="X51">
        <v>18230665</v>
      </c>
      <c r="Y51">
        <v>18230737</v>
      </c>
      <c r="Z51">
        <v>18230690</v>
      </c>
      <c r="AA51">
        <v>18230662</v>
      </c>
      <c r="AB51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</row>
    <row r="52" spans="1:916" s="102" customFormat="1">
      <c r="B52" s="191"/>
      <c r="C52" s="192" t="s">
        <v>419</v>
      </c>
      <c r="D52" s="191">
        <v>18230732</v>
      </c>
      <c r="E52" s="201"/>
      <c r="F52" s="201"/>
      <c r="G52" s="202"/>
      <c r="H52" s="203"/>
      <c r="I52" s="194">
        <f>SUMIF('Program Costs'!D:D,'Gas CE'!D52,'Program Costs'!N:N)</f>
        <v>332664.81</v>
      </c>
      <c r="J52" s="194"/>
      <c r="K52" s="218"/>
      <c r="L52" s="218"/>
      <c r="M52" s="218"/>
      <c r="N52" s="350">
        <f t="shared" si="20"/>
        <v>332664.81</v>
      </c>
      <c r="O52" s="194">
        <f t="shared" si="17"/>
        <v>332664.81</v>
      </c>
      <c r="P52" s="219"/>
      <c r="Q52" s="196">
        <f t="shared" si="18"/>
        <v>310988.88473403757</v>
      </c>
      <c r="R52" s="196">
        <f t="shared" si="19"/>
        <v>310988.88473403757</v>
      </c>
      <c r="S52" s="219"/>
      <c r="T52" s="194"/>
      <c r="U52" s="207"/>
      <c r="V52" s="207"/>
      <c r="W52" s="106"/>
      <c r="X52">
        <v>18230732</v>
      </c>
      <c r="Y52"/>
      <c r="Z52"/>
      <c r="AA52"/>
      <c r="AB52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</row>
    <row r="53" spans="1:916" s="102" customFormat="1">
      <c r="B53" s="191"/>
      <c r="C53" s="215" t="s">
        <v>420</v>
      </c>
      <c r="D53" s="216">
        <v>18230675</v>
      </c>
      <c r="E53" s="201"/>
      <c r="F53" s="201"/>
      <c r="G53" s="202"/>
      <c r="H53" s="203"/>
      <c r="I53" s="194">
        <f>SUMIF('Program Costs'!D:D,'Gas CE'!D53,'Program Costs'!N:N)</f>
        <v>77327.249999999985</v>
      </c>
      <c r="J53" s="194"/>
      <c r="K53" s="204"/>
      <c r="L53" s="204"/>
      <c r="M53" s="204"/>
      <c r="N53" s="350">
        <f t="shared" si="20"/>
        <v>77327.249999999985</v>
      </c>
      <c r="O53" s="194">
        <f t="shared" si="17"/>
        <v>77327.249999999985</v>
      </c>
      <c r="P53" s="196"/>
      <c r="Q53" s="196">
        <f t="shared" si="18"/>
        <v>72288.725810975026</v>
      </c>
      <c r="R53" s="196">
        <f t="shared" si="19"/>
        <v>72288.725810975026</v>
      </c>
      <c r="S53" s="206"/>
      <c r="T53" s="206"/>
      <c r="U53" s="207"/>
      <c r="V53" s="207"/>
      <c r="W53" s="106"/>
      <c r="X53">
        <v>18230675</v>
      </c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</row>
    <row r="54" spans="1:916" s="102" customFormat="1">
      <c r="B54" s="191"/>
      <c r="C54" s="215" t="s">
        <v>2579</v>
      </c>
      <c r="D54" s="216">
        <v>18230685</v>
      </c>
      <c r="E54" s="201"/>
      <c r="F54" s="201"/>
      <c r="G54" s="202"/>
      <c r="H54" s="203"/>
      <c r="I54" s="194">
        <f>SUMIF('Program Costs'!D:D,'Gas CE'!D54,'Program Costs'!N:N)</f>
        <v>9.42</v>
      </c>
      <c r="J54" s="194"/>
      <c r="K54" s="204"/>
      <c r="L54" s="204"/>
      <c r="M54" s="204"/>
      <c r="N54" s="350">
        <f t="shared" ref="N54" si="21">I54</f>
        <v>9.42</v>
      </c>
      <c r="O54" s="194">
        <f t="shared" ref="O54" si="22">I54</f>
        <v>9.42</v>
      </c>
      <c r="P54" s="196"/>
      <c r="Q54" s="196">
        <f t="shared" ref="Q54" si="23">N54/(1+ElecDiscountRate)^1</f>
        <v>8.8062073478545386</v>
      </c>
      <c r="R54" s="196">
        <f t="shared" ref="R54" si="24">O54/(1+ElecDiscountRate)^1</f>
        <v>8.8062073478545386</v>
      </c>
      <c r="S54" s="206"/>
      <c r="T54" s="206"/>
      <c r="U54" s="207"/>
      <c r="V54" s="207"/>
      <c r="W54" s="106"/>
      <c r="X54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</row>
    <row r="55" spans="1:916" s="102" customFormat="1">
      <c r="B55" s="137"/>
      <c r="C55" s="137" t="s">
        <v>421</v>
      </c>
      <c r="D55" s="137"/>
      <c r="E55" s="137"/>
      <c r="F55" s="137"/>
      <c r="G55" s="137"/>
      <c r="H55" s="137">
        <f>SUM(H49:H53)</f>
        <v>0</v>
      </c>
      <c r="I55" s="221">
        <f>SUM(I42:I54)</f>
        <v>2662233.1300000004</v>
      </c>
      <c r="J55" s="137">
        <f>SUM(J42:J53)</f>
        <v>0</v>
      </c>
      <c r="K55" s="137">
        <f>SUM(K49:K53)</f>
        <v>0</v>
      </c>
      <c r="L55" s="137">
        <f>SUM(L49:L53)</f>
        <v>0</v>
      </c>
      <c r="M55" s="137">
        <f>SUM(M49:M53)</f>
        <v>0</v>
      </c>
      <c r="N55" s="370">
        <f>SUM(N42:N54)</f>
        <v>2662233.1300000004</v>
      </c>
      <c r="O55" s="370">
        <f t="shared" ref="O55:R55" si="25">SUM(O42:O54)</f>
        <v>2662233.1300000004</v>
      </c>
      <c r="P55" s="370">
        <f t="shared" si="25"/>
        <v>0</v>
      </c>
      <c r="Q55" s="370">
        <f t="shared" si="25"/>
        <v>2488766.1306908475</v>
      </c>
      <c r="R55" s="370">
        <f t="shared" si="25"/>
        <v>2488766.1306908475</v>
      </c>
      <c r="S55" s="137">
        <f>SUM(S49:S53)</f>
        <v>0</v>
      </c>
      <c r="T55" s="137">
        <f>SUM(T49:T53)</f>
        <v>0</v>
      </c>
      <c r="U55" s="137"/>
      <c r="V55" s="137"/>
      <c r="W55" s="106"/>
      <c r="X55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916" s="102" customFormat="1">
      <c r="B56" s="371"/>
      <c r="C56" s="208" t="s">
        <v>422</v>
      </c>
      <c r="D56" s="372">
        <v>18230703</v>
      </c>
      <c r="E56" s="373"/>
      <c r="F56" s="374"/>
      <c r="G56" s="160"/>
      <c r="H56" s="267"/>
      <c r="I56" s="194">
        <f>SUMIF('Program Costs'!D:D,'Gas CE'!D56,'Program Costs'!N:N)</f>
        <v>81567.28</v>
      </c>
      <c r="J56" s="265"/>
      <c r="K56" s="375"/>
      <c r="L56" s="375"/>
      <c r="M56" s="375"/>
      <c r="N56" s="376">
        <f>I56</f>
        <v>81567.28</v>
      </c>
      <c r="O56" s="222">
        <f>I56</f>
        <v>81567.28</v>
      </c>
      <c r="P56" s="268"/>
      <c r="Q56" s="377">
        <f t="shared" ref="Q56:R60" si="26">N56/(1+ElecDiscountRate)^1</f>
        <v>76252.482004300269</v>
      </c>
      <c r="R56" s="377">
        <f t="shared" si="26"/>
        <v>76252.482004300269</v>
      </c>
      <c r="S56" s="378"/>
      <c r="T56" s="379"/>
      <c r="U56" s="380"/>
      <c r="V56" s="380"/>
      <c r="W56" s="106"/>
      <c r="X56" s="106">
        <v>18230703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916" s="102" customFormat="1">
      <c r="A57" s="134"/>
      <c r="B57" s="371"/>
      <c r="C57" s="208" t="s">
        <v>423</v>
      </c>
      <c r="D57" s="372">
        <v>18230679</v>
      </c>
      <c r="E57" s="373"/>
      <c r="F57" s="374"/>
      <c r="G57" s="160"/>
      <c r="H57" s="267"/>
      <c r="I57" s="194">
        <f>SUMIF('Program Costs'!D:D,'Gas CE'!D57,'Program Costs'!N:N)</f>
        <v>74897.86</v>
      </c>
      <c r="J57" s="265"/>
      <c r="K57" s="375"/>
      <c r="L57" s="375"/>
      <c r="M57" s="375"/>
      <c r="N57" s="376">
        <f>I57</f>
        <v>74897.86</v>
      </c>
      <c r="O57" s="222">
        <f>I57</f>
        <v>74897.86</v>
      </c>
      <c r="P57" s="268"/>
      <c r="Q57" s="377">
        <f t="shared" si="26"/>
        <v>70017.631111526585</v>
      </c>
      <c r="R57" s="377">
        <f t="shared" si="26"/>
        <v>70017.631111526585</v>
      </c>
      <c r="S57" s="378"/>
      <c r="T57" s="379"/>
      <c r="U57" s="380"/>
      <c r="V57" s="380"/>
      <c r="W57" s="106"/>
      <c r="X57" s="106">
        <v>18230679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916" s="176" customFormat="1">
      <c r="A58" s="102"/>
      <c r="B58" s="371"/>
      <c r="C58" s="208" t="s">
        <v>424</v>
      </c>
      <c r="D58" s="372">
        <v>18230669</v>
      </c>
      <c r="E58" s="373"/>
      <c r="F58" s="374"/>
      <c r="G58" s="160"/>
      <c r="H58" s="267"/>
      <c r="I58" s="194">
        <f>SUMIF('Program Costs'!D:D,'Gas CE'!D58,'Program Costs'!N:N)</f>
        <v>48393.36</v>
      </c>
      <c r="J58" s="265"/>
      <c r="K58" s="375"/>
      <c r="L58" s="375"/>
      <c r="M58" s="375"/>
      <c r="N58" s="376">
        <f>I58</f>
        <v>48393.36</v>
      </c>
      <c r="O58" s="222">
        <f>I58</f>
        <v>48393.36</v>
      </c>
      <c r="P58" s="268"/>
      <c r="Q58" s="377">
        <f t="shared" si="26"/>
        <v>45240.123399083852</v>
      </c>
      <c r="R58" s="377">
        <f t="shared" si="26"/>
        <v>45240.123399083852</v>
      </c>
      <c r="S58" s="378"/>
      <c r="T58" s="379"/>
      <c r="U58" s="380"/>
      <c r="V58" s="380"/>
      <c r="W58" s="106"/>
      <c r="X58" s="106">
        <v>18230669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916" s="224" customFormat="1" ht="14.1" customHeight="1">
      <c r="A59" s="102"/>
      <c r="B59" s="371"/>
      <c r="C59" s="208" t="s">
        <v>425</v>
      </c>
      <c r="D59" s="372">
        <v>18230699</v>
      </c>
      <c r="E59" s="373"/>
      <c r="F59" s="374"/>
      <c r="G59" s="160"/>
      <c r="H59" s="267"/>
      <c r="I59" s="194">
        <f>SUMIF('Program Costs'!D:D,'Gas CE'!D59,'Program Costs'!N:N)</f>
        <v>672623.29</v>
      </c>
      <c r="J59" s="265"/>
      <c r="K59" s="375"/>
      <c r="L59" s="375"/>
      <c r="M59" s="375"/>
      <c r="N59" s="376">
        <f>I59</f>
        <v>672623.29</v>
      </c>
      <c r="O59" s="222">
        <f>I59</f>
        <v>672623.29</v>
      </c>
      <c r="P59" s="268"/>
      <c r="Q59" s="377">
        <f t="shared" si="26"/>
        <v>628796.19519491447</v>
      </c>
      <c r="R59" s="377">
        <f t="shared" si="26"/>
        <v>628796.19519491447</v>
      </c>
      <c r="S59" s="378"/>
      <c r="T59" s="379"/>
      <c r="U59" s="380"/>
      <c r="V59" s="380"/>
      <c r="W59" s="106"/>
      <c r="X59" s="106">
        <v>18230699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916" s="229" customFormat="1">
      <c r="A60" s="225"/>
      <c r="B60" s="137"/>
      <c r="C60" s="137" t="s">
        <v>427</v>
      </c>
      <c r="D60" s="137"/>
      <c r="E60" s="137"/>
      <c r="F60" s="137"/>
      <c r="G60" s="137"/>
      <c r="H60" s="137">
        <f t="shared" ref="H60:P60" si="27">SUM(H56:H59)</f>
        <v>0</v>
      </c>
      <c r="I60" s="221">
        <f t="shared" si="27"/>
        <v>877481.79</v>
      </c>
      <c r="J60" s="137">
        <f t="shared" si="27"/>
        <v>0</v>
      </c>
      <c r="K60" s="137">
        <f t="shared" si="27"/>
        <v>0</v>
      </c>
      <c r="L60" s="137">
        <f t="shared" si="27"/>
        <v>0</v>
      </c>
      <c r="M60" s="137">
        <f t="shared" si="27"/>
        <v>0</v>
      </c>
      <c r="N60" s="370">
        <f t="shared" si="27"/>
        <v>877481.79</v>
      </c>
      <c r="O60" s="221">
        <f t="shared" si="27"/>
        <v>877481.79</v>
      </c>
      <c r="P60" s="221">
        <f t="shared" si="27"/>
        <v>0</v>
      </c>
      <c r="Q60" s="221">
        <f t="shared" si="26"/>
        <v>820306.43170982518</v>
      </c>
      <c r="R60" s="221">
        <f t="shared" si="26"/>
        <v>820306.43170982518</v>
      </c>
      <c r="S60" s="137">
        <f>SUM(S56:S59)</f>
        <v>0</v>
      </c>
      <c r="T60" s="137">
        <f>SUM(T56:T59)</f>
        <v>0</v>
      </c>
      <c r="U60" s="137"/>
      <c r="V60" s="137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916" s="21" customFormat="1" ht="12.75">
      <c r="B61" s="316" t="s">
        <v>462</v>
      </c>
      <c r="C61" s="316"/>
      <c r="D61" s="316"/>
      <c r="E61" s="353"/>
      <c r="F61" s="317"/>
      <c r="G61" s="318"/>
      <c r="H61" s="381">
        <f>SUM(H59:H59)</f>
        <v>0</v>
      </c>
      <c r="I61" s="321">
        <f>I55+I60</f>
        <v>3539714.9200000004</v>
      </c>
      <c r="J61" s="321">
        <f t="shared" ref="J61:T61" si="28">J55+J60</f>
        <v>0</v>
      </c>
      <c r="K61" s="321">
        <f t="shared" si="28"/>
        <v>0</v>
      </c>
      <c r="L61" s="321">
        <f t="shared" si="28"/>
        <v>0</v>
      </c>
      <c r="M61" s="321">
        <f t="shared" si="28"/>
        <v>0</v>
      </c>
      <c r="N61" s="347">
        <f t="shared" si="28"/>
        <v>3539714.9200000004</v>
      </c>
      <c r="O61" s="321">
        <f t="shared" si="28"/>
        <v>3539714.9200000004</v>
      </c>
      <c r="P61" s="321">
        <f t="shared" si="28"/>
        <v>0</v>
      </c>
      <c r="Q61" s="321">
        <f t="shared" si="28"/>
        <v>3309072.5624006726</v>
      </c>
      <c r="R61" s="321">
        <f t="shared" si="28"/>
        <v>3309072.5624006726</v>
      </c>
      <c r="S61" s="321">
        <f t="shared" si="28"/>
        <v>0</v>
      </c>
      <c r="T61" s="321">
        <f t="shared" si="28"/>
        <v>0</v>
      </c>
      <c r="U61" s="321"/>
      <c r="V61" s="32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  <c r="CF61" s="161"/>
      <c r="CG61" s="161"/>
      <c r="CH61" s="161"/>
      <c r="CI61" s="161"/>
      <c r="CJ61" s="161"/>
      <c r="CK61" s="161"/>
      <c r="CL61" s="161"/>
      <c r="CM61" s="161"/>
      <c r="CN61" s="161"/>
      <c r="CO61" s="161"/>
      <c r="CP61" s="161"/>
      <c r="CQ61" s="161"/>
      <c r="CR61" s="161"/>
      <c r="CS61" s="161"/>
      <c r="CT61" s="161"/>
      <c r="CU61" s="161"/>
      <c r="CV61" s="161"/>
      <c r="CW61" s="161"/>
      <c r="CX61" s="161"/>
      <c r="CY61" s="161"/>
      <c r="CZ61" s="161"/>
      <c r="DA61" s="161"/>
      <c r="DB61" s="161"/>
      <c r="DC61" s="161"/>
      <c r="DD61" s="161"/>
      <c r="DE61" s="161"/>
      <c r="DF61" s="161"/>
      <c r="DG61" s="161"/>
      <c r="DH61" s="161"/>
      <c r="DI61" s="161"/>
      <c r="DJ61" s="161"/>
      <c r="DK61" s="161"/>
      <c r="DL61" s="161"/>
      <c r="DM61" s="161"/>
      <c r="DN61" s="161"/>
      <c r="DO61" s="161"/>
      <c r="DP61" s="161"/>
      <c r="DQ61" s="161"/>
      <c r="DR61" s="161"/>
      <c r="DS61" s="161"/>
      <c r="DT61" s="161"/>
      <c r="DU61" s="161"/>
      <c r="DV61" s="161"/>
      <c r="DW61" s="161"/>
      <c r="DX61" s="161"/>
      <c r="DY61" s="161"/>
      <c r="DZ61" s="161"/>
      <c r="EA61" s="161"/>
      <c r="EB61" s="161"/>
      <c r="EC61" s="161"/>
      <c r="ED61" s="161"/>
      <c r="EE61" s="161"/>
      <c r="EF61" s="161"/>
      <c r="EG61" s="161"/>
      <c r="EH61" s="161"/>
      <c r="EI61" s="161"/>
      <c r="EJ61" s="161"/>
      <c r="EK61" s="161"/>
      <c r="EL61" s="161"/>
      <c r="EM61" s="161"/>
      <c r="EN61" s="161"/>
      <c r="EO61" s="161"/>
      <c r="EP61" s="161"/>
      <c r="EQ61" s="161"/>
      <c r="ER61" s="161"/>
      <c r="ES61" s="161"/>
      <c r="ET61" s="161"/>
      <c r="EU61" s="161"/>
      <c r="EV61" s="161"/>
      <c r="EW61" s="161"/>
      <c r="EX61" s="161"/>
      <c r="EY61" s="161"/>
      <c r="EZ61" s="161"/>
      <c r="FA61" s="161"/>
      <c r="FB61" s="161"/>
      <c r="FC61" s="161"/>
      <c r="FD61" s="161"/>
      <c r="FE61" s="161"/>
      <c r="FF61" s="161"/>
      <c r="FG61" s="161"/>
      <c r="FH61" s="161"/>
      <c r="FI61" s="161"/>
      <c r="FJ61" s="161"/>
      <c r="FK61" s="161"/>
      <c r="FL61" s="161"/>
      <c r="FM61" s="161"/>
      <c r="FN61" s="161"/>
      <c r="FO61" s="161"/>
      <c r="FP61" s="161"/>
      <c r="FQ61" s="161"/>
      <c r="FR61" s="161"/>
      <c r="FS61" s="161"/>
      <c r="FT61" s="161"/>
      <c r="FU61" s="161"/>
      <c r="FV61" s="161"/>
      <c r="FW61" s="161"/>
      <c r="FX61" s="161"/>
      <c r="FY61" s="161"/>
      <c r="FZ61" s="161"/>
      <c r="GA61" s="161"/>
      <c r="GB61" s="161"/>
      <c r="GC61" s="161"/>
      <c r="GD61" s="161"/>
      <c r="GE61" s="161"/>
      <c r="GF61" s="161"/>
      <c r="GG61" s="161"/>
      <c r="GH61" s="161"/>
      <c r="GI61" s="161"/>
      <c r="GJ61" s="161"/>
      <c r="GK61" s="161"/>
      <c r="GL61" s="161"/>
      <c r="GM61" s="161"/>
      <c r="GN61" s="161"/>
      <c r="GO61" s="161"/>
      <c r="GP61" s="161"/>
      <c r="GQ61" s="161"/>
      <c r="GR61" s="161"/>
      <c r="GS61" s="161"/>
      <c r="GT61" s="161"/>
      <c r="GU61" s="161"/>
      <c r="GV61" s="161"/>
      <c r="GW61" s="161"/>
      <c r="GX61" s="161"/>
      <c r="GY61" s="161"/>
      <c r="GZ61" s="161"/>
      <c r="HA61" s="161"/>
      <c r="HB61" s="161"/>
      <c r="HC61" s="161"/>
      <c r="HD61" s="161"/>
      <c r="HE61" s="161"/>
      <c r="HF61" s="161"/>
      <c r="HG61" s="161"/>
      <c r="HH61" s="161"/>
      <c r="HI61" s="161"/>
      <c r="HJ61" s="161"/>
      <c r="HK61" s="161"/>
      <c r="HL61" s="161"/>
      <c r="HM61" s="161"/>
      <c r="HN61" s="161"/>
      <c r="HO61" s="161"/>
      <c r="HP61" s="161"/>
      <c r="HQ61" s="161"/>
      <c r="HR61" s="161"/>
      <c r="HS61" s="161"/>
      <c r="HT61" s="161"/>
      <c r="HU61" s="161"/>
      <c r="HV61" s="161"/>
      <c r="HW61" s="161"/>
      <c r="HX61" s="161"/>
      <c r="HY61" s="161"/>
      <c r="HZ61" s="161"/>
      <c r="IA61" s="161"/>
      <c r="IB61" s="161"/>
      <c r="IC61" s="161"/>
      <c r="ID61" s="161"/>
      <c r="IE61" s="161"/>
      <c r="IF61" s="161"/>
      <c r="IG61" s="161"/>
      <c r="IH61" s="161"/>
      <c r="II61" s="161"/>
      <c r="IJ61" s="161"/>
      <c r="IK61" s="161"/>
      <c r="IL61" s="161"/>
      <c r="IM61" s="161"/>
      <c r="IN61" s="161"/>
      <c r="IO61" s="161"/>
      <c r="IP61" s="161"/>
      <c r="IQ61" s="161"/>
      <c r="IR61" s="161"/>
      <c r="IS61" s="161"/>
      <c r="IT61" s="161"/>
      <c r="IU61" s="161"/>
      <c r="IV61" s="161"/>
      <c r="IW61" s="161"/>
      <c r="IX61" s="161"/>
      <c r="IY61" s="161"/>
      <c r="IZ61" s="161"/>
      <c r="JA61" s="161"/>
      <c r="JB61" s="161"/>
      <c r="JC61" s="161"/>
      <c r="JD61" s="161"/>
      <c r="JE61" s="161"/>
      <c r="JF61" s="161"/>
      <c r="JG61" s="161"/>
      <c r="JH61" s="161"/>
      <c r="JI61" s="161"/>
      <c r="JJ61" s="161"/>
      <c r="JK61" s="161"/>
      <c r="JL61" s="161"/>
      <c r="JM61" s="161"/>
      <c r="JN61" s="161"/>
      <c r="JO61" s="161"/>
      <c r="JP61" s="161"/>
      <c r="JQ61" s="161"/>
      <c r="JR61" s="161"/>
      <c r="JS61" s="161"/>
      <c r="JT61" s="161"/>
      <c r="JU61" s="161"/>
      <c r="JV61" s="161"/>
      <c r="JW61" s="161"/>
      <c r="JX61" s="161"/>
      <c r="JY61" s="161"/>
      <c r="JZ61" s="161"/>
      <c r="KA61" s="161"/>
      <c r="KB61" s="161"/>
      <c r="KC61" s="161"/>
      <c r="KD61" s="161"/>
      <c r="KE61" s="161"/>
      <c r="KF61" s="161"/>
      <c r="KG61" s="161"/>
      <c r="KH61" s="161"/>
      <c r="KI61" s="161"/>
      <c r="KJ61" s="161"/>
      <c r="KK61" s="161"/>
      <c r="KL61" s="161"/>
      <c r="KM61" s="161"/>
      <c r="KN61" s="161"/>
      <c r="KO61" s="161"/>
      <c r="KP61" s="161"/>
      <c r="KQ61" s="161"/>
      <c r="KR61" s="161"/>
      <c r="KS61" s="161"/>
      <c r="KT61" s="161"/>
      <c r="KU61" s="161"/>
      <c r="KV61" s="161"/>
      <c r="KW61" s="161"/>
      <c r="KX61" s="161"/>
      <c r="KY61" s="161"/>
      <c r="KZ61" s="161"/>
      <c r="LA61" s="161"/>
      <c r="LB61" s="161"/>
      <c r="LC61" s="161"/>
      <c r="LD61" s="161"/>
      <c r="LE61" s="161"/>
      <c r="LF61" s="161"/>
      <c r="LG61" s="161"/>
      <c r="LH61" s="161"/>
      <c r="LI61" s="161"/>
      <c r="LJ61" s="161"/>
      <c r="LK61" s="161"/>
      <c r="LL61" s="161"/>
      <c r="LM61" s="161"/>
      <c r="LN61" s="161"/>
      <c r="LO61" s="161"/>
      <c r="LP61" s="161"/>
      <c r="LQ61" s="161"/>
      <c r="LR61" s="161"/>
      <c r="LS61" s="161"/>
      <c r="LT61" s="161"/>
      <c r="LU61" s="161"/>
      <c r="LV61" s="161"/>
      <c r="LW61" s="161"/>
      <c r="LX61" s="161"/>
      <c r="LY61" s="161"/>
      <c r="LZ61" s="161"/>
      <c r="MA61" s="161"/>
      <c r="MB61" s="161"/>
      <c r="MC61" s="161"/>
      <c r="MD61" s="161"/>
      <c r="ME61" s="161"/>
      <c r="MF61" s="161"/>
      <c r="MG61" s="161"/>
      <c r="MH61" s="161"/>
      <c r="MI61" s="161"/>
      <c r="MJ61" s="161"/>
      <c r="MK61" s="161"/>
      <c r="ML61" s="161"/>
      <c r="MM61" s="161"/>
      <c r="MN61" s="161"/>
      <c r="MO61" s="161"/>
      <c r="MP61" s="161"/>
      <c r="MQ61" s="161"/>
      <c r="MR61" s="161"/>
      <c r="MS61" s="161"/>
      <c r="MT61" s="161"/>
      <c r="MU61" s="161"/>
      <c r="MV61" s="161"/>
      <c r="MW61" s="161"/>
      <c r="MX61" s="161"/>
      <c r="MY61" s="161"/>
      <c r="MZ61" s="161"/>
      <c r="NA61" s="161"/>
      <c r="NB61" s="161"/>
      <c r="NC61" s="161"/>
      <c r="ND61" s="161"/>
      <c r="NE61" s="161"/>
      <c r="NF61" s="161"/>
      <c r="NG61" s="161"/>
      <c r="NH61" s="161"/>
      <c r="NI61" s="161"/>
      <c r="NJ61" s="161"/>
      <c r="NK61" s="161"/>
      <c r="NL61" s="161"/>
      <c r="NM61" s="161"/>
      <c r="NN61" s="161"/>
      <c r="NO61" s="161"/>
      <c r="NP61" s="161"/>
      <c r="NQ61" s="161"/>
      <c r="NR61" s="161"/>
      <c r="NS61" s="161"/>
      <c r="NT61" s="161"/>
      <c r="NU61" s="161"/>
      <c r="NV61" s="161"/>
      <c r="NW61" s="161"/>
      <c r="NX61" s="161"/>
      <c r="NY61" s="161"/>
      <c r="NZ61" s="161"/>
      <c r="OA61" s="161"/>
      <c r="OB61" s="161"/>
      <c r="OC61" s="161"/>
      <c r="OD61" s="161"/>
      <c r="OE61" s="161"/>
      <c r="OF61" s="161"/>
      <c r="OG61" s="161"/>
      <c r="OH61" s="161"/>
      <c r="OI61" s="161"/>
      <c r="OJ61" s="161"/>
      <c r="OK61" s="161"/>
      <c r="OL61" s="161"/>
      <c r="OM61" s="161"/>
      <c r="ON61" s="161"/>
      <c r="OO61" s="161"/>
      <c r="OP61" s="161"/>
      <c r="OQ61" s="161"/>
      <c r="OR61" s="161"/>
      <c r="OS61" s="161"/>
      <c r="OT61" s="161"/>
      <c r="OU61" s="161"/>
      <c r="OV61" s="161"/>
      <c r="OW61" s="161"/>
      <c r="OX61" s="161"/>
      <c r="OY61" s="161"/>
      <c r="OZ61" s="161"/>
      <c r="PA61" s="161"/>
      <c r="PB61" s="161"/>
      <c r="PC61" s="161"/>
      <c r="PD61" s="161"/>
      <c r="PE61" s="161"/>
      <c r="PF61" s="161"/>
      <c r="PG61" s="161"/>
      <c r="PH61" s="161"/>
      <c r="PI61" s="161"/>
      <c r="PJ61" s="161"/>
      <c r="PK61" s="161"/>
      <c r="PL61" s="161"/>
      <c r="PM61" s="161"/>
      <c r="PN61" s="161"/>
      <c r="PO61" s="161"/>
      <c r="PP61" s="161"/>
      <c r="PQ61" s="161"/>
      <c r="PR61" s="161"/>
      <c r="PS61" s="161"/>
      <c r="PT61" s="161"/>
      <c r="PU61" s="161"/>
      <c r="PV61" s="161"/>
      <c r="PW61" s="161"/>
      <c r="PX61" s="161"/>
      <c r="PY61" s="161"/>
      <c r="PZ61" s="161"/>
      <c r="QA61" s="161"/>
      <c r="QB61" s="161"/>
      <c r="QC61" s="161"/>
      <c r="QD61" s="161"/>
      <c r="QE61" s="161"/>
      <c r="QF61" s="161"/>
      <c r="QG61" s="161"/>
      <c r="QH61" s="161"/>
      <c r="QI61" s="161"/>
      <c r="QJ61" s="161"/>
      <c r="QK61" s="161"/>
      <c r="QL61" s="161"/>
      <c r="QM61" s="161"/>
      <c r="QN61" s="161"/>
      <c r="QO61" s="161"/>
      <c r="QP61" s="161"/>
      <c r="QQ61" s="161"/>
      <c r="QR61" s="161"/>
      <c r="QS61" s="161"/>
      <c r="QT61" s="161"/>
      <c r="QU61" s="161"/>
      <c r="QV61" s="161"/>
      <c r="QW61" s="161"/>
      <c r="QX61" s="161"/>
      <c r="QY61" s="161"/>
      <c r="QZ61" s="161"/>
      <c r="RA61" s="161"/>
      <c r="RB61" s="161"/>
      <c r="RC61" s="161"/>
      <c r="RD61" s="161"/>
      <c r="RE61" s="161"/>
      <c r="RF61" s="161"/>
      <c r="RG61" s="161"/>
      <c r="RH61" s="161"/>
      <c r="RI61" s="161"/>
      <c r="RJ61" s="161"/>
      <c r="RK61" s="161"/>
      <c r="RL61" s="161"/>
      <c r="RM61" s="161"/>
      <c r="RN61" s="161"/>
      <c r="RO61" s="161"/>
      <c r="RP61" s="161"/>
      <c r="RQ61" s="161"/>
      <c r="RR61" s="161"/>
      <c r="RS61" s="161"/>
      <c r="RT61" s="161"/>
      <c r="RU61" s="161"/>
      <c r="RV61" s="161"/>
      <c r="RW61" s="161"/>
      <c r="RX61" s="161"/>
      <c r="RY61" s="161"/>
      <c r="RZ61" s="161"/>
      <c r="SA61" s="161"/>
      <c r="SB61" s="161"/>
      <c r="SC61" s="161"/>
      <c r="SD61" s="161"/>
      <c r="SE61" s="161"/>
      <c r="SF61" s="161"/>
      <c r="SG61" s="161"/>
      <c r="SH61" s="161"/>
      <c r="SI61" s="161"/>
      <c r="SJ61" s="161"/>
      <c r="SK61" s="161"/>
      <c r="SL61" s="161"/>
      <c r="SM61" s="161"/>
      <c r="SN61" s="161"/>
      <c r="SO61" s="161"/>
      <c r="SP61" s="161"/>
      <c r="SQ61" s="161"/>
      <c r="SR61" s="161"/>
      <c r="SS61" s="161"/>
      <c r="ST61" s="161"/>
      <c r="SU61" s="161"/>
      <c r="SV61" s="161"/>
      <c r="SW61" s="161"/>
      <c r="SX61" s="161"/>
      <c r="SY61" s="161"/>
      <c r="SZ61" s="161"/>
      <c r="TA61" s="161"/>
      <c r="TB61" s="161"/>
      <c r="TC61" s="161"/>
      <c r="TD61" s="161"/>
      <c r="TE61" s="161"/>
      <c r="TF61" s="161"/>
      <c r="TG61" s="161"/>
      <c r="TH61" s="161"/>
      <c r="TI61" s="161"/>
      <c r="TJ61" s="161"/>
      <c r="TK61" s="161"/>
      <c r="TL61" s="161"/>
      <c r="TM61" s="161"/>
      <c r="TN61" s="161"/>
      <c r="TO61" s="161"/>
      <c r="TP61" s="161"/>
      <c r="TQ61" s="161"/>
      <c r="TR61" s="161"/>
      <c r="TS61" s="161"/>
      <c r="TT61" s="161"/>
      <c r="TU61" s="161"/>
      <c r="TV61" s="161"/>
      <c r="TW61" s="161"/>
      <c r="TX61" s="161"/>
      <c r="TY61" s="161"/>
      <c r="TZ61" s="161"/>
      <c r="UA61" s="161"/>
      <c r="UB61" s="161"/>
      <c r="UC61" s="161"/>
      <c r="UD61" s="161"/>
      <c r="UE61" s="161"/>
      <c r="UF61" s="161"/>
      <c r="UG61" s="161"/>
      <c r="UH61" s="161"/>
      <c r="UI61" s="161"/>
      <c r="UJ61" s="161"/>
      <c r="UK61" s="161"/>
      <c r="UL61" s="161"/>
      <c r="UM61" s="161"/>
      <c r="UN61" s="161"/>
      <c r="UO61" s="161"/>
      <c r="UP61" s="161"/>
      <c r="UQ61" s="161"/>
      <c r="UR61" s="161"/>
      <c r="US61" s="161"/>
      <c r="UT61" s="161"/>
      <c r="UU61" s="161"/>
      <c r="UV61" s="161"/>
      <c r="UW61" s="161"/>
      <c r="UX61" s="161"/>
      <c r="UY61" s="161"/>
      <c r="UZ61" s="161"/>
      <c r="VA61" s="161"/>
      <c r="VB61" s="161"/>
      <c r="VC61" s="161"/>
      <c r="VD61" s="161"/>
      <c r="VE61" s="161"/>
      <c r="VF61" s="161"/>
      <c r="VG61" s="161"/>
      <c r="VH61" s="161"/>
      <c r="VI61" s="161"/>
      <c r="VJ61" s="161"/>
      <c r="VK61" s="161"/>
      <c r="VL61" s="161"/>
      <c r="VM61" s="161"/>
      <c r="VN61" s="161"/>
      <c r="VO61" s="161"/>
      <c r="VP61" s="161"/>
      <c r="VQ61" s="161"/>
      <c r="VR61" s="161"/>
      <c r="VS61" s="161"/>
      <c r="VT61" s="161"/>
      <c r="VU61" s="161"/>
      <c r="VV61" s="161"/>
      <c r="VW61" s="161"/>
      <c r="VX61" s="161"/>
      <c r="VY61" s="161"/>
      <c r="VZ61" s="161"/>
      <c r="WA61" s="161"/>
      <c r="WB61" s="161"/>
      <c r="WC61" s="161"/>
      <c r="WD61" s="161"/>
      <c r="WE61" s="161"/>
      <c r="WF61" s="161"/>
      <c r="WG61" s="161"/>
      <c r="WH61" s="161"/>
      <c r="WI61" s="161"/>
      <c r="WJ61" s="161"/>
      <c r="WK61" s="161"/>
      <c r="WL61" s="161"/>
      <c r="WM61" s="161"/>
      <c r="WN61" s="161"/>
      <c r="WO61" s="161"/>
      <c r="WP61" s="161"/>
      <c r="WQ61" s="161"/>
      <c r="WR61" s="161"/>
      <c r="WS61" s="161"/>
      <c r="WT61" s="161"/>
      <c r="WU61" s="161"/>
      <c r="WV61" s="161"/>
      <c r="WW61" s="161"/>
      <c r="WX61" s="161"/>
      <c r="WY61" s="161"/>
      <c r="WZ61" s="161"/>
      <c r="XA61" s="161"/>
      <c r="XB61" s="161"/>
      <c r="XC61" s="161"/>
      <c r="XD61" s="161"/>
      <c r="XE61" s="161"/>
      <c r="XF61" s="161"/>
      <c r="XG61" s="161"/>
      <c r="XH61" s="161"/>
      <c r="XI61" s="161"/>
      <c r="XJ61" s="161"/>
      <c r="XK61" s="161"/>
      <c r="XL61" s="161"/>
      <c r="XM61" s="161"/>
      <c r="XN61" s="161"/>
      <c r="XO61" s="161"/>
      <c r="XP61" s="161"/>
      <c r="XQ61" s="161"/>
      <c r="XR61" s="161"/>
      <c r="XS61" s="161"/>
      <c r="XT61" s="161"/>
      <c r="XU61" s="161"/>
      <c r="XV61" s="161"/>
      <c r="XW61" s="161"/>
      <c r="XX61" s="161"/>
      <c r="XY61" s="161"/>
      <c r="XZ61" s="161"/>
      <c r="YA61" s="161"/>
      <c r="YB61" s="161"/>
      <c r="YC61" s="161"/>
      <c r="YD61" s="161"/>
      <c r="YE61" s="161"/>
      <c r="YF61" s="161"/>
      <c r="YG61" s="161"/>
      <c r="YH61" s="161"/>
      <c r="YI61" s="161"/>
      <c r="YJ61" s="161"/>
      <c r="YK61" s="161"/>
      <c r="YL61" s="161"/>
      <c r="YM61" s="161"/>
      <c r="YN61" s="161"/>
      <c r="YO61" s="161"/>
      <c r="YP61" s="161"/>
      <c r="YQ61" s="161"/>
      <c r="YR61" s="161"/>
      <c r="YS61" s="161"/>
      <c r="YT61" s="161"/>
      <c r="YU61" s="161"/>
      <c r="YV61" s="161"/>
      <c r="YW61" s="161"/>
      <c r="YX61" s="161"/>
      <c r="YY61" s="161"/>
      <c r="YZ61" s="161"/>
      <c r="ZA61" s="161"/>
      <c r="ZB61" s="161"/>
      <c r="ZC61" s="161"/>
      <c r="ZD61" s="161"/>
      <c r="ZE61" s="161"/>
      <c r="ZF61" s="161"/>
      <c r="ZG61" s="161"/>
      <c r="ZH61" s="161"/>
      <c r="ZI61" s="161"/>
      <c r="ZJ61" s="161"/>
      <c r="ZK61" s="161"/>
      <c r="ZL61" s="161"/>
      <c r="ZM61" s="161"/>
      <c r="ZN61" s="161"/>
      <c r="ZO61" s="161"/>
      <c r="ZP61" s="161"/>
      <c r="ZQ61" s="161"/>
      <c r="ZR61" s="161"/>
      <c r="ZS61" s="161"/>
      <c r="ZT61" s="161"/>
      <c r="ZU61" s="161"/>
      <c r="ZV61" s="161"/>
      <c r="ZW61" s="161"/>
      <c r="ZX61" s="161"/>
      <c r="ZY61" s="161"/>
      <c r="ZZ61" s="161"/>
      <c r="AAA61" s="161"/>
      <c r="AAB61" s="161"/>
      <c r="AAC61" s="161"/>
      <c r="AAD61" s="161"/>
      <c r="AAE61" s="161"/>
      <c r="AAF61" s="161"/>
      <c r="AAG61" s="161"/>
      <c r="AAH61" s="161"/>
      <c r="AAI61" s="161"/>
      <c r="AAJ61" s="161"/>
      <c r="AAK61" s="161"/>
      <c r="AAL61" s="161"/>
      <c r="AAM61" s="161"/>
      <c r="AAN61" s="161"/>
      <c r="AAO61" s="161"/>
      <c r="AAP61" s="161"/>
      <c r="AAQ61" s="161"/>
      <c r="AAR61" s="161"/>
      <c r="AAS61" s="161"/>
      <c r="AAT61" s="161"/>
      <c r="AAU61" s="161"/>
      <c r="AAV61" s="161"/>
      <c r="AAW61" s="161"/>
      <c r="AAX61" s="161"/>
      <c r="AAY61" s="161"/>
      <c r="AAZ61" s="161"/>
      <c r="ABA61" s="161"/>
      <c r="ABB61" s="161"/>
      <c r="ABC61" s="161"/>
      <c r="ABD61" s="161"/>
      <c r="ABE61" s="161"/>
      <c r="ABF61" s="161"/>
      <c r="ABG61" s="161"/>
      <c r="ABH61" s="161"/>
      <c r="ABI61" s="161"/>
      <c r="ABJ61" s="161"/>
      <c r="ABK61" s="161"/>
      <c r="ABL61" s="161"/>
      <c r="ABM61" s="161"/>
      <c r="ABN61" s="161"/>
      <c r="ABO61" s="161"/>
      <c r="ABP61" s="161"/>
      <c r="ABQ61" s="161"/>
      <c r="ABR61" s="161"/>
      <c r="ABS61" s="161"/>
      <c r="ABT61" s="161"/>
      <c r="ABU61" s="161"/>
      <c r="ABV61" s="161"/>
      <c r="ABW61" s="161"/>
      <c r="ABX61" s="161"/>
      <c r="ABY61" s="161"/>
      <c r="ABZ61" s="161"/>
      <c r="ACA61" s="161"/>
      <c r="ACB61" s="161"/>
      <c r="ACC61" s="161"/>
      <c r="ACD61" s="161"/>
      <c r="ACE61" s="161"/>
      <c r="ACF61" s="161"/>
      <c r="ACG61" s="161"/>
      <c r="ACH61" s="161"/>
      <c r="ACI61" s="161"/>
      <c r="ACJ61" s="161"/>
      <c r="ACK61" s="161"/>
      <c r="ACL61" s="161"/>
      <c r="ACM61" s="161"/>
      <c r="ACN61" s="161"/>
      <c r="ACO61" s="161"/>
      <c r="ACP61" s="161"/>
      <c r="ACQ61" s="161"/>
      <c r="ACR61" s="161"/>
      <c r="ACS61" s="161"/>
      <c r="ACT61" s="161"/>
      <c r="ACU61" s="161"/>
      <c r="ACV61" s="161"/>
      <c r="ACW61" s="161"/>
      <c r="ACX61" s="161"/>
      <c r="ACY61" s="161"/>
      <c r="ACZ61" s="161"/>
      <c r="ADA61" s="161"/>
      <c r="ADB61" s="161"/>
      <c r="ADC61" s="161"/>
      <c r="ADD61" s="161"/>
      <c r="ADE61" s="161"/>
      <c r="ADF61" s="161"/>
      <c r="ADG61" s="161"/>
      <c r="ADH61" s="161"/>
      <c r="ADI61" s="161"/>
      <c r="ADJ61" s="161"/>
      <c r="ADK61" s="161"/>
      <c r="ADL61" s="161"/>
      <c r="ADM61" s="161"/>
      <c r="ADN61" s="161"/>
      <c r="ADO61" s="161"/>
      <c r="ADP61" s="161"/>
      <c r="ADQ61" s="161"/>
      <c r="ADR61" s="161"/>
      <c r="ADS61" s="161"/>
      <c r="ADT61" s="161"/>
      <c r="ADU61" s="161"/>
      <c r="ADV61" s="161"/>
      <c r="ADW61" s="161"/>
      <c r="ADX61" s="161"/>
      <c r="ADY61" s="161"/>
      <c r="ADZ61" s="161"/>
      <c r="AEA61" s="161"/>
      <c r="AEB61" s="161"/>
      <c r="AEC61" s="161"/>
      <c r="AED61" s="161"/>
      <c r="AEE61" s="161"/>
      <c r="AEF61" s="161"/>
      <c r="AEG61" s="161"/>
      <c r="AEH61" s="161"/>
      <c r="AEI61" s="161"/>
      <c r="AEJ61" s="161"/>
      <c r="AEK61" s="161"/>
      <c r="AEL61" s="161"/>
      <c r="AEM61" s="161"/>
      <c r="AEN61" s="161"/>
      <c r="AEO61" s="161"/>
      <c r="AEP61" s="161"/>
      <c r="AEQ61" s="161"/>
      <c r="AER61" s="161"/>
      <c r="AES61" s="161"/>
      <c r="AET61" s="161"/>
      <c r="AEU61" s="161"/>
      <c r="AEV61" s="161"/>
      <c r="AEW61" s="161"/>
      <c r="AEX61" s="161"/>
      <c r="AEY61" s="161"/>
      <c r="AEZ61" s="161"/>
      <c r="AFA61" s="161"/>
      <c r="AFB61" s="161"/>
      <c r="AFC61" s="161"/>
      <c r="AFD61" s="161"/>
      <c r="AFE61" s="161"/>
      <c r="AFF61" s="161"/>
      <c r="AFG61" s="161"/>
      <c r="AFH61" s="161"/>
      <c r="AFI61" s="161"/>
      <c r="AFJ61" s="161"/>
      <c r="AFK61" s="161"/>
      <c r="AFL61" s="161"/>
      <c r="AFM61" s="161"/>
      <c r="AFN61" s="161"/>
      <c r="AFO61" s="161"/>
      <c r="AFP61" s="161"/>
      <c r="AFQ61" s="161"/>
      <c r="AFR61" s="161"/>
      <c r="AFS61" s="161"/>
      <c r="AFT61" s="161"/>
      <c r="AFU61" s="161"/>
      <c r="AFV61" s="161"/>
      <c r="AFW61" s="161"/>
      <c r="AFX61" s="161"/>
      <c r="AFY61" s="161"/>
      <c r="AFZ61" s="161"/>
      <c r="AGA61" s="161"/>
      <c r="AGB61" s="161"/>
      <c r="AGC61" s="161"/>
      <c r="AGD61" s="161"/>
      <c r="AGE61" s="161"/>
      <c r="AGF61" s="161"/>
      <c r="AGG61" s="161"/>
      <c r="AGH61" s="161"/>
      <c r="AGI61" s="161"/>
      <c r="AGJ61" s="161"/>
      <c r="AGK61" s="161"/>
      <c r="AGL61" s="161"/>
      <c r="AGM61" s="161"/>
      <c r="AGN61" s="161"/>
      <c r="AGO61" s="161"/>
      <c r="AGP61" s="161"/>
      <c r="AGQ61" s="161"/>
      <c r="AGR61" s="161"/>
      <c r="AGS61" s="161"/>
      <c r="AGT61" s="161"/>
      <c r="AGU61" s="161"/>
      <c r="AGV61" s="161"/>
      <c r="AGW61" s="161"/>
      <c r="AGX61" s="161"/>
      <c r="AGY61" s="161"/>
      <c r="AGZ61" s="161"/>
      <c r="AHA61" s="161"/>
      <c r="AHB61" s="161"/>
      <c r="AHC61" s="161"/>
      <c r="AHD61" s="161"/>
      <c r="AHE61" s="161"/>
      <c r="AHF61" s="161"/>
      <c r="AHG61" s="161"/>
      <c r="AHH61" s="161"/>
      <c r="AHI61" s="161"/>
      <c r="AHJ61" s="161"/>
      <c r="AHK61" s="161"/>
      <c r="AHL61" s="161"/>
      <c r="AHM61" s="161"/>
      <c r="AHN61" s="161"/>
      <c r="AHO61" s="161"/>
      <c r="AHP61" s="161"/>
      <c r="AHQ61" s="161"/>
      <c r="AHR61" s="161"/>
      <c r="AHS61" s="161"/>
      <c r="AHT61" s="161"/>
      <c r="AHU61" s="161"/>
      <c r="AHV61" s="161"/>
      <c r="AHW61" s="161"/>
      <c r="AHX61" s="161"/>
      <c r="AHY61" s="161"/>
      <c r="AHZ61" s="161"/>
      <c r="AIA61" s="161"/>
      <c r="AIB61" s="161"/>
      <c r="AIC61" s="161"/>
      <c r="AID61" s="161"/>
      <c r="AIE61" s="161"/>
      <c r="AIF61" s="161"/>
    </row>
    <row r="62" spans="1:916" s="286" customFormat="1">
      <c r="A62" s="230"/>
      <c r="B62" s="382" t="s">
        <v>463</v>
      </c>
      <c r="C62" s="382"/>
      <c r="D62" s="382"/>
      <c r="E62" s="382"/>
      <c r="F62" s="382"/>
      <c r="G62" s="382"/>
      <c r="H62" s="383">
        <f t="shared" ref="H62:T62" si="29">SUM(H21,H34,H37,H40,H61)</f>
        <v>6752266.3800000008</v>
      </c>
      <c r="I62" s="383">
        <f t="shared" si="29"/>
        <v>10513803.790000001</v>
      </c>
      <c r="J62" s="383">
        <f t="shared" si="29"/>
        <v>16104093.269999996</v>
      </c>
      <c r="K62" s="383">
        <f t="shared" si="29"/>
        <v>22112015.099999979</v>
      </c>
      <c r="L62" s="383">
        <f t="shared" si="29"/>
        <v>38216108.369999975</v>
      </c>
      <c r="M62" s="383">
        <f t="shared" si="29"/>
        <v>0</v>
      </c>
      <c r="N62" s="384">
        <f t="shared" si="29"/>
        <v>29671642.290000003</v>
      </c>
      <c r="O62" s="383">
        <f t="shared" si="29"/>
        <v>48729912.159999974</v>
      </c>
      <c r="P62" s="383">
        <f t="shared" si="29"/>
        <v>76771.16</v>
      </c>
      <c r="Q62" s="383">
        <f t="shared" si="29"/>
        <v>27738283.902028605</v>
      </c>
      <c r="R62" s="383">
        <f t="shared" si="29"/>
        <v>45554746.340095311</v>
      </c>
      <c r="S62" s="383">
        <f t="shared" si="29"/>
        <v>59085026.531206399</v>
      </c>
      <c r="T62" s="383">
        <f t="shared" si="29"/>
        <v>7195385.8718468975</v>
      </c>
      <c r="U62" s="385">
        <f>S62/Q62</f>
        <v>2.1300894727263673</v>
      </c>
      <c r="V62" s="385">
        <f>(S62*1.1+T62)/R62</f>
        <v>1.5846628695336711</v>
      </c>
      <c r="W62" s="230"/>
      <c r="X62" s="239"/>
      <c r="Y62" s="239"/>
      <c r="Z62" s="239"/>
      <c r="AA62" s="239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  <c r="BP62" s="239"/>
      <c r="BQ62" s="239"/>
      <c r="BR62" s="239"/>
      <c r="BS62" s="239"/>
      <c r="BT62" s="239"/>
      <c r="BU62" s="239"/>
      <c r="BV62" s="239"/>
      <c r="BW62" s="239"/>
      <c r="BX62" s="239"/>
      <c r="BY62" s="239"/>
      <c r="BZ62" s="239"/>
      <c r="CA62" s="239"/>
      <c r="CB62" s="239"/>
      <c r="CC62" s="239"/>
      <c r="CD62" s="239"/>
      <c r="CE62" s="239"/>
      <c r="CF62" s="239"/>
      <c r="CG62" s="239"/>
      <c r="CH62" s="239"/>
      <c r="CI62" s="239"/>
      <c r="CJ62" s="239"/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39"/>
      <c r="EB62" s="239"/>
      <c r="EC62" s="239"/>
      <c r="ED62" s="239"/>
      <c r="EE62" s="239"/>
      <c r="EF62" s="239"/>
      <c r="EG62" s="239"/>
      <c r="EH62" s="239"/>
      <c r="EI62" s="239"/>
      <c r="EJ62" s="239"/>
      <c r="EK62" s="239"/>
      <c r="EL62" s="239"/>
      <c r="EM62" s="239"/>
      <c r="EN62" s="239"/>
      <c r="EO62" s="239"/>
      <c r="EP62" s="239"/>
      <c r="EQ62" s="239"/>
      <c r="ER62" s="239"/>
      <c r="ES62" s="239"/>
      <c r="ET62" s="239"/>
      <c r="EU62" s="239"/>
      <c r="EV62" s="239"/>
      <c r="EW62" s="239"/>
      <c r="EX62" s="239"/>
      <c r="EY62" s="239"/>
      <c r="EZ62" s="239"/>
      <c r="FA62" s="239"/>
      <c r="FB62" s="239"/>
      <c r="FC62" s="239"/>
      <c r="FD62" s="239"/>
      <c r="FE62" s="239"/>
      <c r="FF62" s="239"/>
      <c r="FG62" s="239"/>
      <c r="FH62" s="239"/>
      <c r="FI62" s="239"/>
      <c r="FJ62" s="239"/>
      <c r="FK62" s="239"/>
      <c r="FL62" s="239"/>
      <c r="FM62" s="239"/>
      <c r="FN62" s="239"/>
      <c r="FO62" s="239"/>
      <c r="FP62" s="239"/>
      <c r="FQ62" s="239"/>
      <c r="FR62" s="239"/>
      <c r="FS62" s="239"/>
      <c r="FT62" s="239"/>
      <c r="FU62" s="239"/>
      <c r="FV62" s="239"/>
      <c r="FW62" s="239"/>
      <c r="FX62" s="239"/>
      <c r="FY62" s="239"/>
      <c r="FZ62" s="239"/>
      <c r="GA62" s="239"/>
      <c r="GB62" s="239"/>
      <c r="GC62" s="239"/>
      <c r="GD62" s="239"/>
      <c r="GE62" s="239"/>
      <c r="GF62" s="239"/>
      <c r="GG62" s="239"/>
      <c r="GH62" s="239"/>
      <c r="GI62" s="239"/>
      <c r="GJ62" s="239"/>
      <c r="GK62" s="239"/>
      <c r="GL62" s="239"/>
      <c r="GM62" s="239"/>
      <c r="GN62" s="239"/>
      <c r="GO62" s="239"/>
      <c r="GP62" s="239"/>
      <c r="GQ62" s="239"/>
      <c r="GR62" s="239"/>
      <c r="GS62" s="239"/>
      <c r="GT62" s="239"/>
      <c r="GU62" s="239"/>
      <c r="GV62" s="239"/>
      <c r="GW62" s="239"/>
      <c r="GX62" s="239"/>
      <c r="GY62" s="239"/>
      <c r="GZ62" s="239"/>
      <c r="HA62" s="239"/>
      <c r="HB62" s="239"/>
      <c r="HC62" s="239"/>
      <c r="HD62" s="239"/>
      <c r="HE62" s="239"/>
      <c r="HF62" s="239"/>
      <c r="HG62" s="239"/>
      <c r="HH62" s="239"/>
      <c r="HI62" s="239"/>
      <c r="HJ62" s="239"/>
      <c r="HK62" s="239"/>
      <c r="HL62" s="239"/>
      <c r="HM62" s="239"/>
      <c r="HN62" s="239"/>
      <c r="HO62" s="239"/>
      <c r="HP62" s="239"/>
      <c r="HQ62" s="239"/>
      <c r="HR62" s="239"/>
      <c r="HS62" s="239"/>
      <c r="HT62" s="239"/>
      <c r="HU62" s="239"/>
      <c r="HV62" s="239"/>
      <c r="HW62" s="239"/>
      <c r="HX62" s="239"/>
      <c r="HY62" s="239"/>
      <c r="HZ62" s="239"/>
      <c r="IA62" s="239"/>
      <c r="IB62" s="239"/>
      <c r="IC62" s="239"/>
      <c r="ID62" s="239"/>
      <c r="IE62" s="239"/>
      <c r="IF62" s="239"/>
      <c r="IG62" s="239"/>
      <c r="IH62" s="239"/>
      <c r="II62" s="239"/>
      <c r="IJ62" s="239"/>
      <c r="IK62" s="239"/>
      <c r="IL62" s="239"/>
      <c r="IM62" s="239"/>
      <c r="IN62" s="239"/>
      <c r="IO62" s="239"/>
      <c r="IP62" s="239"/>
      <c r="IQ62" s="239"/>
      <c r="IR62" s="239"/>
      <c r="IS62" s="239"/>
      <c r="IT62" s="239"/>
      <c r="IU62" s="239"/>
      <c r="IV62" s="239"/>
      <c r="IW62" s="239"/>
      <c r="IX62" s="239"/>
      <c r="IY62" s="239"/>
      <c r="IZ62" s="239"/>
      <c r="JA62" s="239"/>
      <c r="JB62" s="239"/>
      <c r="JC62" s="239"/>
      <c r="JD62" s="239"/>
      <c r="JE62" s="239"/>
      <c r="JF62" s="239"/>
      <c r="JG62" s="239"/>
      <c r="JH62" s="239"/>
      <c r="JI62" s="239"/>
      <c r="JJ62" s="239"/>
      <c r="JK62" s="239"/>
      <c r="JL62" s="239"/>
      <c r="JM62" s="239"/>
      <c r="JN62" s="239"/>
      <c r="JO62" s="239"/>
      <c r="JP62" s="239"/>
      <c r="JQ62" s="239"/>
      <c r="JR62" s="239"/>
      <c r="JS62" s="239"/>
      <c r="JT62" s="239"/>
      <c r="JU62" s="239"/>
      <c r="JV62" s="239"/>
      <c r="JW62" s="239"/>
      <c r="JX62" s="239"/>
      <c r="JY62" s="239"/>
      <c r="JZ62" s="239"/>
      <c r="KA62" s="239"/>
      <c r="KB62" s="239"/>
      <c r="KC62" s="239"/>
      <c r="KD62" s="239"/>
      <c r="KE62" s="239"/>
      <c r="KF62" s="239"/>
      <c r="KG62" s="239"/>
      <c r="KH62" s="239"/>
      <c r="KI62" s="239"/>
      <c r="KJ62" s="239"/>
      <c r="KK62" s="239"/>
      <c r="KL62" s="239"/>
      <c r="KM62" s="239"/>
      <c r="KN62" s="239"/>
      <c r="KO62" s="239"/>
      <c r="KP62" s="239"/>
      <c r="KQ62" s="239"/>
      <c r="KR62" s="239"/>
      <c r="KS62" s="239"/>
      <c r="KT62" s="239"/>
      <c r="KU62" s="239"/>
      <c r="KV62" s="239"/>
      <c r="KW62" s="239"/>
      <c r="KX62" s="239"/>
      <c r="KY62" s="239"/>
      <c r="KZ62" s="239"/>
      <c r="LA62" s="239"/>
      <c r="LB62" s="239"/>
      <c r="LC62" s="239"/>
      <c r="LD62" s="239"/>
      <c r="LE62" s="239"/>
      <c r="LF62" s="239"/>
      <c r="LG62" s="239"/>
      <c r="LH62" s="239"/>
      <c r="LI62" s="239"/>
      <c r="LJ62" s="239"/>
      <c r="LK62" s="239"/>
      <c r="LL62" s="239"/>
      <c r="LM62" s="239"/>
      <c r="LN62" s="239"/>
      <c r="LO62" s="239"/>
      <c r="LP62" s="239"/>
      <c r="LQ62" s="239"/>
      <c r="LR62" s="239"/>
      <c r="LS62" s="239"/>
      <c r="LT62" s="239"/>
      <c r="LU62" s="239"/>
      <c r="LV62" s="239"/>
      <c r="LW62" s="239"/>
      <c r="LX62" s="239"/>
      <c r="LY62" s="239"/>
      <c r="LZ62" s="239"/>
      <c r="MA62" s="239"/>
      <c r="MB62" s="239"/>
      <c r="MC62" s="239"/>
      <c r="MD62" s="239"/>
      <c r="ME62" s="239"/>
      <c r="MF62" s="239"/>
      <c r="MG62" s="239"/>
      <c r="MH62" s="239"/>
      <c r="MI62" s="239"/>
      <c r="MJ62" s="239"/>
      <c r="MK62" s="239"/>
      <c r="ML62" s="239"/>
      <c r="MM62" s="239"/>
      <c r="MN62" s="239"/>
      <c r="MO62" s="239"/>
      <c r="MP62" s="239"/>
      <c r="MQ62" s="239"/>
      <c r="MR62" s="239"/>
      <c r="MS62" s="239"/>
      <c r="MT62" s="239"/>
      <c r="MU62" s="239"/>
      <c r="MV62" s="239"/>
      <c r="MW62" s="239"/>
      <c r="MX62" s="239"/>
      <c r="MY62" s="239"/>
      <c r="MZ62" s="239"/>
      <c r="NA62" s="239"/>
      <c r="NB62" s="239"/>
      <c r="NC62" s="239"/>
      <c r="ND62" s="239"/>
      <c r="NE62" s="239"/>
      <c r="NF62" s="239"/>
      <c r="NG62" s="239"/>
      <c r="NH62" s="239"/>
      <c r="NI62" s="239"/>
      <c r="NJ62" s="239"/>
      <c r="NK62" s="239"/>
      <c r="NL62" s="239"/>
      <c r="NM62" s="239"/>
      <c r="NN62" s="239"/>
      <c r="NO62" s="239"/>
      <c r="NP62" s="239"/>
      <c r="NQ62" s="239"/>
      <c r="NR62" s="239"/>
      <c r="NS62" s="239"/>
      <c r="NT62" s="239"/>
      <c r="NU62" s="239"/>
      <c r="NV62" s="239"/>
      <c r="NW62" s="239"/>
      <c r="NX62" s="239"/>
      <c r="NY62" s="239"/>
      <c r="NZ62" s="239"/>
      <c r="OA62" s="239"/>
      <c r="OB62" s="239"/>
      <c r="OC62" s="239"/>
      <c r="OD62" s="239"/>
      <c r="OE62" s="239"/>
      <c r="OF62" s="239"/>
      <c r="OG62" s="239"/>
      <c r="OH62" s="239"/>
      <c r="OI62" s="239"/>
      <c r="OJ62" s="239"/>
      <c r="OK62" s="239"/>
      <c r="OL62" s="239"/>
      <c r="OM62" s="239"/>
      <c r="ON62" s="239"/>
      <c r="OO62" s="239"/>
      <c r="OP62" s="239"/>
      <c r="OQ62" s="239"/>
      <c r="OR62" s="239"/>
      <c r="OS62" s="239"/>
      <c r="OT62" s="239"/>
      <c r="OU62" s="239"/>
      <c r="OV62" s="239"/>
      <c r="OW62" s="239"/>
      <c r="OX62" s="239"/>
      <c r="OY62" s="239"/>
      <c r="OZ62" s="239"/>
      <c r="PA62" s="239"/>
      <c r="PB62" s="239"/>
      <c r="PC62" s="239"/>
      <c r="PD62" s="239"/>
      <c r="PE62" s="239"/>
      <c r="PF62" s="239"/>
      <c r="PG62" s="239"/>
      <c r="PH62" s="239"/>
      <c r="PI62" s="239"/>
      <c r="PJ62" s="239"/>
      <c r="PK62" s="239"/>
      <c r="PL62" s="239"/>
      <c r="PM62" s="239"/>
      <c r="PN62" s="239"/>
      <c r="PO62" s="239"/>
      <c r="PP62" s="239"/>
      <c r="PQ62" s="239"/>
      <c r="PR62" s="239"/>
      <c r="PS62" s="239"/>
      <c r="PT62" s="239"/>
      <c r="PU62" s="239"/>
      <c r="PV62" s="239"/>
      <c r="PW62" s="239"/>
      <c r="PX62" s="239"/>
      <c r="PY62" s="239"/>
      <c r="PZ62" s="239"/>
      <c r="QA62" s="239"/>
      <c r="QB62" s="239"/>
      <c r="QC62" s="239"/>
      <c r="QD62" s="239"/>
      <c r="QE62" s="239"/>
      <c r="QF62" s="239"/>
      <c r="QG62" s="239"/>
      <c r="QH62" s="239"/>
      <c r="QI62" s="239"/>
      <c r="QJ62" s="239"/>
      <c r="QK62" s="239"/>
      <c r="QL62" s="239"/>
      <c r="QM62" s="239"/>
      <c r="QN62" s="239"/>
      <c r="QO62" s="239"/>
      <c r="QP62" s="239"/>
      <c r="QQ62" s="239"/>
      <c r="QR62" s="239"/>
      <c r="QS62" s="239"/>
      <c r="QT62" s="239"/>
      <c r="QU62" s="239"/>
      <c r="QV62" s="239"/>
      <c r="QW62" s="239"/>
      <c r="QX62" s="239"/>
      <c r="QY62" s="239"/>
      <c r="QZ62" s="239"/>
      <c r="RA62" s="239"/>
      <c r="RB62" s="239"/>
      <c r="RC62" s="239"/>
      <c r="RD62" s="239"/>
      <c r="RE62" s="239"/>
      <c r="RF62" s="239"/>
      <c r="RG62" s="239"/>
      <c r="RH62" s="239"/>
      <c r="RI62" s="239"/>
      <c r="RJ62" s="239"/>
      <c r="RK62" s="239"/>
      <c r="RL62" s="239"/>
      <c r="RM62" s="239"/>
      <c r="RN62" s="239"/>
      <c r="RO62" s="239"/>
      <c r="RP62" s="239"/>
      <c r="RQ62" s="239"/>
      <c r="RR62" s="239"/>
      <c r="RS62" s="239"/>
      <c r="RT62" s="239"/>
      <c r="RU62" s="239"/>
      <c r="RV62" s="239"/>
      <c r="RW62" s="239"/>
      <c r="RX62" s="239"/>
      <c r="RY62" s="239"/>
      <c r="RZ62" s="239"/>
      <c r="SA62" s="239"/>
      <c r="SB62" s="239"/>
      <c r="SC62" s="239"/>
      <c r="SD62" s="239"/>
      <c r="SE62" s="239"/>
      <c r="SF62" s="239"/>
      <c r="SG62" s="239"/>
      <c r="SH62" s="239"/>
      <c r="SI62" s="239"/>
      <c r="SJ62" s="239"/>
      <c r="SK62" s="239"/>
      <c r="SL62" s="239"/>
      <c r="SM62" s="239"/>
      <c r="SN62" s="239"/>
      <c r="SO62" s="239"/>
      <c r="SP62" s="239"/>
      <c r="SQ62" s="239"/>
      <c r="SR62" s="239"/>
      <c r="SS62" s="239"/>
      <c r="ST62" s="239"/>
      <c r="SU62" s="239"/>
      <c r="SV62" s="239"/>
      <c r="SW62" s="239"/>
      <c r="SX62" s="239"/>
      <c r="SY62" s="239"/>
      <c r="SZ62" s="239"/>
      <c r="TA62" s="239"/>
      <c r="TB62" s="239"/>
      <c r="TC62" s="239"/>
      <c r="TD62" s="239"/>
      <c r="TE62" s="239"/>
      <c r="TF62" s="239"/>
      <c r="TG62" s="239"/>
      <c r="TH62" s="239"/>
      <c r="TI62" s="239"/>
      <c r="TJ62" s="239"/>
      <c r="TK62" s="239"/>
      <c r="TL62" s="239"/>
      <c r="TM62" s="239"/>
      <c r="TN62" s="239"/>
      <c r="TO62" s="239"/>
      <c r="TP62" s="239"/>
      <c r="TQ62" s="239"/>
      <c r="TR62" s="239"/>
      <c r="TS62" s="239"/>
      <c r="TT62" s="239"/>
      <c r="TU62" s="239"/>
      <c r="TV62" s="239"/>
      <c r="TW62" s="239"/>
      <c r="TX62" s="239"/>
      <c r="TY62" s="239"/>
      <c r="TZ62" s="239"/>
      <c r="UA62" s="239"/>
      <c r="UB62" s="239"/>
      <c r="UC62" s="239"/>
      <c r="UD62" s="239"/>
      <c r="UE62" s="239"/>
      <c r="UF62" s="239"/>
      <c r="UG62" s="239"/>
      <c r="UH62" s="239"/>
      <c r="UI62" s="239"/>
      <c r="UJ62" s="239"/>
      <c r="UK62" s="239"/>
      <c r="UL62" s="239"/>
      <c r="UM62" s="239"/>
      <c r="UN62" s="239"/>
      <c r="UO62" s="239"/>
      <c r="UP62" s="239"/>
      <c r="UQ62" s="239"/>
      <c r="UR62" s="239"/>
      <c r="US62" s="239"/>
      <c r="UT62" s="239"/>
      <c r="UU62" s="239"/>
      <c r="UV62" s="239"/>
      <c r="UW62" s="239"/>
      <c r="UX62" s="239"/>
      <c r="UY62" s="239"/>
      <c r="UZ62" s="239"/>
      <c r="VA62" s="239"/>
      <c r="VB62" s="239"/>
      <c r="VC62" s="239"/>
      <c r="VD62" s="239"/>
      <c r="VE62" s="239"/>
      <c r="VF62" s="239"/>
      <c r="VG62" s="239"/>
      <c r="VH62" s="239"/>
      <c r="VI62" s="239"/>
      <c r="VJ62" s="239"/>
      <c r="VK62" s="239"/>
      <c r="VL62" s="239"/>
      <c r="VM62" s="239"/>
      <c r="VN62" s="239"/>
      <c r="VO62" s="239"/>
      <c r="VP62" s="239"/>
      <c r="VQ62" s="239"/>
      <c r="VR62" s="239"/>
      <c r="VS62" s="239"/>
      <c r="VT62" s="239"/>
      <c r="VU62" s="239"/>
      <c r="VV62" s="239"/>
      <c r="VW62" s="239"/>
      <c r="VX62" s="239"/>
      <c r="VY62" s="239"/>
      <c r="VZ62" s="239"/>
      <c r="WA62" s="239"/>
      <c r="WB62" s="239"/>
      <c r="WC62" s="239"/>
      <c r="WD62" s="239"/>
      <c r="WE62" s="239"/>
      <c r="WF62" s="239"/>
      <c r="WG62" s="239"/>
      <c r="WH62" s="239"/>
      <c r="WI62" s="239"/>
      <c r="WJ62" s="239"/>
      <c r="WK62" s="239"/>
      <c r="WL62" s="239"/>
      <c r="WM62" s="239"/>
      <c r="WN62" s="239"/>
      <c r="WO62" s="239"/>
      <c r="WP62" s="239"/>
      <c r="WQ62" s="239"/>
      <c r="WR62" s="239"/>
      <c r="WS62" s="239"/>
      <c r="WT62" s="239"/>
      <c r="WU62" s="239"/>
      <c r="WV62" s="239"/>
      <c r="WW62" s="239"/>
      <c r="WX62" s="239"/>
      <c r="WY62" s="239"/>
      <c r="WZ62" s="239"/>
      <c r="XA62" s="239"/>
      <c r="XB62" s="239"/>
      <c r="XC62" s="239"/>
      <c r="XD62" s="239"/>
      <c r="XE62" s="239"/>
      <c r="XF62" s="239"/>
      <c r="XG62" s="239"/>
      <c r="XH62" s="239"/>
      <c r="XI62" s="239"/>
      <c r="XJ62" s="239"/>
      <c r="XK62" s="239"/>
      <c r="XL62" s="239"/>
      <c r="XM62" s="239"/>
      <c r="XN62" s="239"/>
      <c r="XO62" s="239"/>
      <c r="XP62" s="239"/>
      <c r="XQ62" s="239"/>
      <c r="XR62" s="239"/>
      <c r="XS62" s="239"/>
      <c r="XT62" s="239"/>
      <c r="XU62" s="239"/>
      <c r="XV62" s="239"/>
      <c r="XW62" s="239"/>
      <c r="XX62" s="239"/>
      <c r="XY62" s="239"/>
      <c r="XZ62" s="239"/>
      <c r="YA62" s="239"/>
      <c r="YB62" s="239"/>
      <c r="YC62" s="239"/>
      <c r="YD62" s="239"/>
      <c r="YE62" s="239"/>
      <c r="YF62" s="239"/>
      <c r="YG62" s="239"/>
      <c r="YH62" s="239"/>
      <c r="YI62" s="239"/>
      <c r="YJ62" s="239"/>
      <c r="YK62" s="239"/>
      <c r="YL62" s="239"/>
      <c r="YM62" s="239"/>
      <c r="YN62" s="239"/>
      <c r="YO62" s="239"/>
      <c r="YP62" s="239"/>
      <c r="YQ62" s="239"/>
      <c r="YR62" s="239"/>
      <c r="YS62" s="239"/>
      <c r="YT62" s="239"/>
      <c r="YU62" s="239"/>
      <c r="YV62" s="239"/>
      <c r="YW62" s="239"/>
      <c r="YX62" s="239"/>
      <c r="YY62" s="239"/>
      <c r="YZ62" s="239"/>
      <c r="ZA62" s="239"/>
      <c r="ZB62" s="239"/>
      <c r="ZC62" s="239"/>
      <c r="ZD62" s="239"/>
      <c r="ZE62" s="239"/>
      <c r="ZF62" s="239"/>
      <c r="ZG62" s="239"/>
      <c r="ZH62" s="239"/>
      <c r="ZI62" s="239"/>
      <c r="ZJ62" s="239"/>
      <c r="ZK62" s="239"/>
      <c r="ZL62" s="239"/>
      <c r="ZM62" s="239"/>
      <c r="ZN62" s="239"/>
      <c r="ZO62" s="239"/>
      <c r="ZP62" s="239"/>
      <c r="ZQ62" s="239"/>
      <c r="ZR62" s="239"/>
      <c r="ZS62" s="239"/>
      <c r="ZT62" s="239"/>
      <c r="ZU62" s="239"/>
      <c r="ZV62" s="239"/>
      <c r="ZW62" s="239"/>
      <c r="ZX62" s="239"/>
      <c r="ZY62" s="239"/>
      <c r="ZZ62" s="239"/>
      <c r="AAA62" s="239"/>
      <c r="AAB62" s="239"/>
      <c r="AAC62" s="239"/>
      <c r="AAD62" s="239"/>
      <c r="AAE62" s="239"/>
      <c r="AAF62" s="239"/>
      <c r="AAG62" s="239"/>
      <c r="AAH62" s="239"/>
      <c r="AAI62" s="239"/>
      <c r="AAJ62" s="239"/>
      <c r="AAK62" s="239"/>
      <c r="AAL62" s="239"/>
      <c r="AAM62" s="239"/>
      <c r="AAN62" s="239"/>
      <c r="AAO62" s="239"/>
      <c r="AAP62" s="239"/>
      <c r="AAQ62" s="239"/>
      <c r="AAR62" s="239"/>
      <c r="AAS62" s="239"/>
      <c r="AAT62" s="239"/>
      <c r="AAU62" s="239"/>
      <c r="AAV62" s="239"/>
      <c r="AAW62" s="239"/>
      <c r="AAX62" s="239"/>
      <c r="AAY62" s="239"/>
      <c r="AAZ62" s="239"/>
      <c r="ABA62" s="239"/>
      <c r="ABB62" s="239"/>
      <c r="ABC62" s="239"/>
      <c r="ABD62" s="239"/>
      <c r="ABE62" s="239"/>
      <c r="ABF62" s="239"/>
      <c r="ABG62" s="239"/>
      <c r="ABH62" s="239"/>
      <c r="ABI62" s="239"/>
      <c r="ABJ62" s="239"/>
      <c r="ABK62" s="239"/>
      <c r="ABL62" s="239"/>
      <c r="ABM62" s="239"/>
      <c r="ABN62" s="239"/>
      <c r="ABO62" s="239"/>
      <c r="ABP62" s="239"/>
      <c r="ABQ62" s="239"/>
      <c r="ABR62" s="239"/>
      <c r="ABS62" s="239"/>
      <c r="ABT62" s="239"/>
      <c r="ABU62" s="239"/>
      <c r="ABV62" s="239"/>
      <c r="ABW62" s="239"/>
      <c r="ABX62" s="239"/>
      <c r="ABY62" s="239"/>
      <c r="ABZ62" s="239"/>
      <c r="ACA62" s="239"/>
      <c r="ACB62" s="239"/>
      <c r="ACC62" s="239"/>
      <c r="ACD62" s="239"/>
      <c r="ACE62" s="239"/>
      <c r="ACF62" s="239"/>
      <c r="ACG62" s="239"/>
      <c r="ACH62" s="239"/>
      <c r="ACI62" s="239"/>
      <c r="ACJ62" s="239"/>
      <c r="ACK62" s="239"/>
      <c r="ACL62" s="239"/>
      <c r="ACM62" s="239"/>
      <c r="ACN62" s="239"/>
      <c r="ACO62" s="239"/>
      <c r="ACP62" s="239"/>
      <c r="ACQ62" s="239"/>
      <c r="ACR62" s="239"/>
      <c r="ACS62" s="239"/>
      <c r="ACT62" s="239"/>
      <c r="ACU62" s="239"/>
      <c r="ACV62" s="239"/>
      <c r="ACW62" s="239"/>
      <c r="ACX62" s="239"/>
      <c r="ACY62" s="239"/>
      <c r="ACZ62" s="239"/>
      <c r="ADA62" s="239"/>
      <c r="ADB62" s="239"/>
      <c r="ADC62" s="239"/>
      <c r="ADD62" s="239"/>
      <c r="ADE62" s="239"/>
      <c r="ADF62" s="239"/>
      <c r="ADG62" s="239"/>
      <c r="ADH62" s="239"/>
      <c r="ADI62" s="239"/>
      <c r="ADJ62" s="239"/>
      <c r="ADK62" s="239"/>
      <c r="ADL62" s="239"/>
      <c r="ADM62" s="239"/>
      <c r="ADN62" s="239"/>
      <c r="ADO62" s="239"/>
      <c r="ADP62" s="239"/>
      <c r="ADQ62" s="239"/>
      <c r="ADR62" s="239"/>
      <c r="ADS62" s="239"/>
      <c r="ADT62" s="239"/>
      <c r="ADU62" s="239"/>
      <c r="ADV62" s="239"/>
      <c r="ADW62" s="239"/>
      <c r="ADX62" s="239"/>
      <c r="ADY62" s="239"/>
      <c r="ADZ62" s="239"/>
      <c r="AEA62" s="239"/>
      <c r="AEB62" s="239"/>
      <c r="AEC62" s="239"/>
      <c r="AED62" s="239"/>
      <c r="AEE62" s="239"/>
      <c r="AEF62" s="239"/>
      <c r="AEG62" s="239"/>
      <c r="AEH62" s="239"/>
      <c r="AEI62" s="239"/>
      <c r="AEJ62" s="239"/>
      <c r="AEK62" s="239"/>
      <c r="AEL62" s="239"/>
      <c r="AEM62" s="239"/>
      <c r="AEN62" s="239"/>
      <c r="AEO62" s="239"/>
      <c r="AEP62" s="239"/>
      <c r="AEQ62" s="239"/>
      <c r="AER62" s="239"/>
      <c r="AES62" s="239"/>
      <c r="AET62" s="239"/>
      <c r="AEU62" s="239"/>
      <c r="AEV62" s="239"/>
      <c r="AEW62" s="239"/>
      <c r="AEX62" s="239"/>
      <c r="AEY62" s="239"/>
      <c r="AEZ62" s="239"/>
      <c r="AFA62" s="239"/>
      <c r="AFB62" s="239"/>
      <c r="AFC62" s="239"/>
      <c r="AFD62" s="239"/>
      <c r="AFE62" s="239"/>
      <c r="AFF62" s="239"/>
      <c r="AFG62" s="239"/>
      <c r="AFH62" s="239"/>
      <c r="AFI62" s="239"/>
      <c r="AFJ62" s="239"/>
      <c r="AFK62" s="239"/>
      <c r="AFL62" s="239"/>
      <c r="AFM62" s="239"/>
      <c r="AFN62" s="239"/>
      <c r="AFO62" s="239"/>
      <c r="AFP62" s="239"/>
      <c r="AFQ62" s="239"/>
      <c r="AFR62" s="239"/>
      <c r="AFS62" s="239"/>
      <c r="AFT62" s="239"/>
      <c r="AFU62" s="239"/>
      <c r="AFV62" s="239"/>
      <c r="AFW62" s="239"/>
      <c r="AFX62" s="239"/>
      <c r="AFY62" s="239"/>
      <c r="AFZ62" s="239"/>
      <c r="AGA62" s="239"/>
      <c r="AGB62" s="239"/>
      <c r="AGC62" s="239"/>
      <c r="AGD62" s="239"/>
      <c r="AGE62" s="239"/>
      <c r="AGF62" s="239"/>
      <c r="AGG62" s="239"/>
      <c r="AGH62" s="239"/>
      <c r="AGI62" s="239"/>
      <c r="AGJ62" s="239"/>
      <c r="AGK62" s="239"/>
      <c r="AGL62" s="239"/>
      <c r="AGM62" s="239"/>
      <c r="AGN62" s="239"/>
      <c r="AGO62" s="239"/>
      <c r="AGP62" s="239"/>
      <c r="AGQ62" s="239"/>
      <c r="AGR62" s="239"/>
      <c r="AGS62" s="239"/>
      <c r="AGT62" s="239"/>
      <c r="AGU62" s="239"/>
      <c r="AGV62" s="239"/>
      <c r="AGW62" s="239"/>
      <c r="AGX62" s="239"/>
      <c r="AGY62" s="239"/>
      <c r="AGZ62" s="239"/>
      <c r="AHA62" s="239"/>
      <c r="AHB62" s="239"/>
      <c r="AHC62" s="239"/>
      <c r="AHD62" s="239"/>
      <c r="AHE62" s="239"/>
      <c r="AHF62" s="239"/>
      <c r="AHG62" s="239"/>
      <c r="AHH62" s="239"/>
      <c r="AHI62" s="239"/>
      <c r="AHJ62" s="239"/>
      <c r="AHK62" s="239"/>
      <c r="AHL62" s="239"/>
      <c r="AHM62" s="239"/>
      <c r="AHN62" s="239"/>
      <c r="AHO62" s="239"/>
      <c r="AHP62" s="239"/>
      <c r="AHQ62" s="239"/>
      <c r="AHR62" s="239"/>
      <c r="AHS62" s="239"/>
      <c r="AHT62" s="239"/>
      <c r="AHU62" s="239"/>
      <c r="AHV62" s="239"/>
      <c r="AHW62" s="239"/>
      <c r="AHX62" s="239"/>
      <c r="AHY62" s="239"/>
      <c r="AHZ62" s="239"/>
      <c r="AIA62" s="239"/>
      <c r="AIB62" s="239"/>
      <c r="AIC62" s="239"/>
      <c r="AID62" s="239"/>
      <c r="AIE62" s="239"/>
      <c r="AIF62" s="239"/>
    </row>
    <row r="63" spans="1:916" s="102" customFormat="1">
      <c r="B63" s="182"/>
      <c r="C63" s="183" t="s">
        <v>429</v>
      </c>
      <c r="D63" s="183"/>
      <c r="E63" s="184"/>
      <c r="F63" s="184"/>
      <c r="G63" s="185"/>
      <c r="H63" s="241"/>
      <c r="I63" s="242"/>
      <c r="J63" s="243"/>
      <c r="K63" s="186"/>
      <c r="L63" s="186"/>
      <c r="M63" s="186"/>
      <c r="N63" s="244"/>
      <c r="O63" s="187"/>
      <c r="P63" s="187"/>
      <c r="Q63" s="187"/>
      <c r="R63" s="187"/>
      <c r="S63" s="188"/>
      <c r="T63" s="189"/>
      <c r="U63" s="190"/>
      <c r="V63" s="190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916" s="247" customFormat="1">
      <c r="A64" s="102"/>
      <c r="B64" s="191"/>
      <c r="C64" s="245" t="s">
        <v>430</v>
      </c>
      <c r="D64" s="245"/>
      <c r="E64" s="245"/>
      <c r="F64" s="201"/>
      <c r="G64" s="202"/>
      <c r="H64" s="203"/>
      <c r="I64" s="194">
        <f>SUMIF('Program Costs'!D:D,'Gas CE'!D64,'Program Costs'!O:O)</f>
        <v>0</v>
      </c>
      <c r="J64" s="204"/>
      <c r="K64" s="204"/>
      <c r="L64" s="204" t="s">
        <v>298</v>
      </c>
      <c r="M64" s="204"/>
      <c r="N64" s="340">
        <f>I64</f>
        <v>0</v>
      </c>
      <c r="O64" s="223">
        <f>I64</f>
        <v>0</v>
      </c>
      <c r="P64" s="196">
        <v>0</v>
      </c>
      <c r="Q64" s="196">
        <f>N64/(1+ElecDiscountRate)^1</f>
        <v>0</v>
      </c>
      <c r="R64" s="196">
        <f>O64/(1+ElecDiscountRate)^1</f>
        <v>0</v>
      </c>
      <c r="S64" s="246"/>
      <c r="T64" s="206"/>
      <c r="U64" s="207"/>
      <c r="V64" s="207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916">
      <c r="B65" s="191"/>
      <c r="C65" s="245" t="s">
        <v>431</v>
      </c>
      <c r="D65" s="245">
        <v>18230217</v>
      </c>
      <c r="E65" s="245"/>
      <c r="F65" s="201"/>
      <c r="G65" s="202"/>
      <c r="H65" s="203"/>
      <c r="I65" s="194">
        <f>SUMIF('Program Costs'!D:D,'Gas CE'!D65,'Program Costs'!O:O)</f>
        <v>0</v>
      </c>
      <c r="J65" s="204"/>
      <c r="K65" s="204"/>
      <c r="L65" s="204"/>
      <c r="M65" s="204"/>
      <c r="N65" s="340">
        <f>I65</f>
        <v>0</v>
      </c>
      <c r="O65" s="223">
        <f>I65</f>
        <v>0</v>
      </c>
      <c r="P65" s="196"/>
      <c r="Q65" s="196">
        <f>N65/(1+ElecDiscountRate)^1</f>
        <v>0</v>
      </c>
      <c r="R65" s="196">
        <f>O65/(1+ElecDiscountRate)^1</f>
        <v>0</v>
      </c>
      <c r="S65" s="246"/>
      <c r="T65" s="206"/>
      <c r="U65" s="207"/>
      <c r="V65" s="207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  <c r="IO65" s="248"/>
      <c r="IP65" s="248"/>
      <c r="IQ65" s="248"/>
      <c r="IR65" s="248"/>
      <c r="IS65" s="248"/>
      <c r="IT65" s="248"/>
      <c r="IU65" s="248"/>
      <c r="IV65" s="248"/>
      <c r="IW65" s="248"/>
      <c r="IX65" s="248"/>
      <c r="IY65" s="248"/>
      <c r="IZ65" s="248"/>
      <c r="JA65" s="248"/>
      <c r="JB65" s="248"/>
      <c r="JC65" s="248"/>
      <c r="JD65" s="248"/>
      <c r="JE65" s="248"/>
      <c r="JF65" s="248"/>
      <c r="JG65" s="248"/>
      <c r="JH65" s="248"/>
      <c r="JI65" s="248"/>
      <c r="JJ65" s="248"/>
      <c r="JK65" s="248"/>
      <c r="JL65" s="248"/>
      <c r="JM65" s="248"/>
      <c r="JN65" s="248"/>
      <c r="JO65" s="248"/>
      <c r="JP65" s="248"/>
      <c r="JQ65" s="248"/>
      <c r="JR65" s="248"/>
      <c r="JS65" s="248"/>
      <c r="JT65" s="248"/>
      <c r="JU65" s="248"/>
      <c r="JV65" s="248"/>
      <c r="JW65" s="248"/>
      <c r="JX65" s="248"/>
      <c r="JY65" s="248"/>
      <c r="JZ65" s="248"/>
      <c r="KA65" s="248"/>
      <c r="KB65" s="248"/>
      <c r="KC65" s="248"/>
      <c r="KD65" s="248"/>
      <c r="KE65" s="248"/>
      <c r="KF65" s="248"/>
      <c r="KG65" s="248"/>
      <c r="KH65" s="248"/>
      <c r="KI65" s="248"/>
      <c r="KJ65" s="248"/>
      <c r="KK65" s="248"/>
      <c r="KL65" s="248"/>
      <c r="KM65" s="248"/>
      <c r="KN65" s="248"/>
      <c r="KO65" s="248"/>
      <c r="KP65" s="248"/>
      <c r="KQ65" s="248"/>
      <c r="KR65" s="248"/>
      <c r="KS65" s="248"/>
      <c r="KT65" s="248"/>
      <c r="KU65" s="248"/>
      <c r="KV65" s="248"/>
      <c r="KW65" s="248"/>
      <c r="KX65" s="248"/>
      <c r="KY65" s="248"/>
      <c r="KZ65" s="248"/>
      <c r="LA65" s="248"/>
      <c r="LB65" s="248"/>
      <c r="LC65" s="248"/>
      <c r="LD65" s="248"/>
      <c r="LE65" s="248"/>
      <c r="LF65" s="248"/>
      <c r="LG65" s="248"/>
      <c r="LH65" s="248"/>
      <c r="LI65" s="248"/>
      <c r="LJ65" s="248"/>
      <c r="LK65" s="248"/>
      <c r="LL65" s="248"/>
      <c r="LM65" s="248"/>
      <c r="LN65" s="248"/>
      <c r="LO65" s="248"/>
      <c r="LP65" s="248"/>
      <c r="LQ65" s="248"/>
      <c r="LR65" s="248"/>
      <c r="LS65" s="248"/>
      <c r="LT65" s="248"/>
      <c r="LU65" s="248"/>
      <c r="LV65" s="248"/>
      <c r="LW65" s="248"/>
      <c r="LX65" s="248"/>
      <c r="LY65" s="248"/>
      <c r="LZ65" s="248"/>
      <c r="MA65" s="248"/>
      <c r="MB65" s="248"/>
      <c r="MC65" s="248"/>
      <c r="MD65" s="248"/>
      <c r="ME65" s="248"/>
      <c r="MF65" s="248"/>
      <c r="MG65" s="248"/>
      <c r="MH65" s="248"/>
      <c r="MI65" s="248"/>
      <c r="MJ65" s="248"/>
      <c r="MK65" s="248"/>
      <c r="ML65" s="248"/>
      <c r="MM65" s="248"/>
      <c r="MN65" s="248"/>
      <c r="MO65" s="248"/>
      <c r="MP65" s="248"/>
      <c r="MQ65" s="248"/>
      <c r="MR65" s="248"/>
      <c r="MS65" s="248"/>
      <c r="MT65" s="248"/>
      <c r="MU65" s="248"/>
      <c r="MV65" s="248"/>
      <c r="MW65" s="248"/>
      <c r="MX65" s="248"/>
      <c r="MY65" s="248"/>
      <c r="MZ65" s="248"/>
      <c r="NA65" s="248"/>
      <c r="NB65" s="248"/>
      <c r="NC65" s="248"/>
      <c r="ND65" s="248"/>
      <c r="NE65" s="248"/>
      <c r="NF65" s="248"/>
      <c r="NG65" s="248"/>
      <c r="NH65" s="248"/>
      <c r="NI65" s="248"/>
      <c r="NJ65" s="248"/>
      <c r="NK65" s="248"/>
      <c r="NL65" s="248"/>
      <c r="NM65" s="248"/>
      <c r="NN65" s="248"/>
      <c r="NO65" s="248"/>
      <c r="NP65" s="248"/>
      <c r="NQ65" s="248"/>
      <c r="NR65" s="248"/>
      <c r="NS65" s="248"/>
      <c r="NT65" s="248"/>
      <c r="NU65" s="248"/>
      <c r="NV65" s="248"/>
      <c r="NW65" s="248"/>
      <c r="NX65" s="248"/>
      <c r="NY65" s="248"/>
      <c r="NZ65" s="248"/>
      <c r="OA65" s="248"/>
      <c r="OB65" s="248"/>
      <c r="OC65" s="248"/>
      <c r="OD65" s="248"/>
      <c r="OE65" s="248"/>
      <c r="OF65" s="248"/>
      <c r="OG65" s="248"/>
      <c r="OH65" s="248"/>
      <c r="OI65" s="248"/>
      <c r="OJ65" s="248"/>
      <c r="OK65" s="248"/>
      <c r="OL65" s="248"/>
      <c r="OM65" s="248"/>
      <c r="ON65" s="248"/>
      <c r="OO65" s="248"/>
      <c r="OP65" s="248"/>
      <c r="OQ65" s="248"/>
      <c r="OR65" s="248"/>
      <c r="OS65" s="248"/>
      <c r="OT65" s="248"/>
      <c r="OU65" s="248"/>
      <c r="OV65" s="248"/>
      <c r="OW65" s="248"/>
      <c r="OX65" s="248"/>
      <c r="OY65" s="248"/>
      <c r="OZ65" s="248"/>
      <c r="PA65" s="248"/>
      <c r="PB65" s="248"/>
      <c r="PC65" s="248"/>
      <c r="PD65" s="248"/>
      <c r="PE65" s="248"/>
      <c r="PF65" s="248"/>
      <c r="PG65" s="248"/>
      <c r="PH65" s="248"/>
      <c r="PI65" s="248"/>
      <c r="PJ65" s="248"/>
      <c r="PK65" s="248"/>
      <c r="PL65" s="248"/>
      <c r="PM65" s="248"/>
      <c r="PN65" s="248"/>
      <c r="PO65" s="248"/>
      <c r="PP65" s="248"/>
      <c r="PQ65" s="248"/>
      <c r="PR65" s="248"/>
      <c r="PS65" s="248"/>
      <c r="PT65" s="248"/>
      <c r="PU65" s="248"/>
      <c r="PV65" s="248"/>
      <c r="PW65" s="248"/>
      <c r="PX65" s="248"/>
      <c r="PY65" s="248"/>
      <c r="PZ65" s="248"/>
      <c r="QA65" s="248"/>
      <c r="QB65" s="248"/>
      <c r="QC65" s="248"/>
      <c r="QD65" s="248"/>
      <c r="QE65" s="248"/>
      <c r="QF65" s="248"/>
      <c r="QG65" s="248"/>
      <c r="QH65" s="248"/>
      <c r="QI65" s="248"/>
      <c r="QJ65" s="248"/>
      <c r="QK65" s="248"/>
      <c r="QL65" s="248"/>
      <c r="QM65" s="248"/>
      <c r="QN65" s="248"/>
      <c r="QO65" s="248"/>
      <c r="QP65" s="248"/>
      <c r="QQ65" s="248"/>
      <c r="QR65" s="248"/>
      <c r="QS65" s="248"/>
      <c r="QT65" s="248"/>
      <c r="QU65" s="248"/>
      <c r="QV65" s="248"/>
      <c r="QW65" s="248"/>
      <c r="QX65" s="248"/>
      <c r="QY65" s="248"/>
      <c r="QZ65" s="248"/>
      <c r="RA65" s="248"/>
      <c r="RB65" s="248"/>
      <c r="RC65" s="248"/>
      <c r="RD65" s="248"/>
      <c r="RE65" s="248"/>
      <c r="RF65" s="248"/>
      <c r="RG65" s="248"/>
      <c r="RH65" s="248"/>
      <c r="RI65" s="248"/>
      <c r="RJ65" s="248"/>
      <c r="RK65" s="248"/>
      <c r="RL65" s="248"/>
      <c r="RM65" s="248"/>
      <c r="RN65" s="248"/>
      <c r="RO65" s="248"/>
      <c r="RP65" s="248"/>
      <c r="RQ65" s="248"/>
      <c r="RR65" s="248"/>
      <c r="RS65" s="248"/>
      <c r="RT65" s="248"/>
      <c r="RU65" s="248"/>
      <c r="RV65" s="248"/>
      <c r="RW65" s="248"/>
      <c r="RX65" s="248"/>
      <c r="RY65" s="248"/>
      <c r="RZ65" s="248"/>
      <c r="SA65" s="248"/>
      <c r="SB65" s="248"/>
      <c r="SC65" s="248"/>
      <c r="SD65" s="248"/>
      <c r="SE65" s="248"/>
      <c r="SF65" s="248"/>
      <c r="SG65" s="248"/>
      <c r="SH65" s="248"/>
      <c r="SI65" s="248"/>
      <c r="SJ65" s="248"/>
      <c r="SK65" s="248"/>
      <c r="SL65" s="248"/>
      <c r="SM65" s="248"/>
      <c r="SN65" s="248"/>
      <c r="SO65" s="248"/>
      <c r="SP65" s="248"/>
      <c r="SQ65" s="248"/>
      <c r="SR65" s="248"/>
      <c r="SS65" s="248"/>
      <c r="ST65" s="248"/>
      <c r="SU65" s="248"/>
      <c r="SV65" s="248"/>
      <c r="SW65" s="248"/>
      <c r="SX65" s="248"/>
      <c r="SY65" s="248"/>
      <c r="SZ65" s="248"/>
      <c r="TA65" s="248"/>
      <c r="TB65" s="248"/>
      <c r="TC65" s="248"/>
      <c r="TD65" s="248"/>
      <c r="TE65" s="248"/>
      <c r="TF65" s="248"/>
      <c r="TG65" s="248"/>
      <c r="TH65" s="248"/>
      <c r="TI65" s="248"/>
      <c r="TJ65" s="248"/>
      <c r="TK65" s="248"/>
      <c r="TL65" s="248"/>
      <c r="TM65" s="248"/>
      <c r="TN65" s="248"/>
      <c r="TO65" s="248"/>
      <c r="TP65" s="248"/>
      <c r="TQ65" s="248"/>
      <c r="TR65" s="248"/>
      <c r="TS65" s="248"/>
      <c r="TT65" s="248"/>
      <c r="TU65" s="248"/>
      <c r="TV65" s="248"/>
      <c r="TW65" s="248"/>
      <c r="TX65" s="248"/>
      <c r="TY65" s="248"/>
      <c r="TZ65" s="248"/>
      <c r="UA65" s="248"/>
      <c r="UB65" s="248"/>
      <c r="UC65" s="248"/>
      <c r="UD65" s="248"/>
      <c r="UE65" s="248"/>
      <c r="UF65" s="248"/>
      <c r="UG65" s="248"/>
      <c r="UH65" s="248"/>
      <c r="UI65" s="248"/>
      <c r="UJ65" s="248"/>
      <c r="UK65" s="248"/>
      <c r="UL65" s="248"/>
      <c r="UM65" s="248"/>
      <c r="UN65" s="248"/>
      <c r="UO65" s="248"/>
      <c r="UP65" s="248"/>
      <c r="UQ65" s="248"/>
      <c r="UR65" s="248"/>
      <c r="US65" s="248"/>
      <c r="UT65" s="248"/>
      <c r="UU65" s="248"/>
      <c r="UV65" s="248"/>
      <c r="UW65" s="248"/>
      <c r="UX65" s="248"/>
      <c r="UY65" s="248"/>
      <c r="UZ65" s="248"/>
      <c r="VA65" s="248"/>
      <c r="VB65" s="248"/>
      <c r="VC65" s="248"/>
      <c r="VD65" s="248"/>
      <c r="VE65" s="248"/>
      <c r="VF65" s="248"/>
      <c r="VG65" s="248"/>
      <c r="VH65" s="248"/>
      <c r="VI65" s="248"/>
      <c r="VJ65" s="248"/>
      <c r="VK65" s="248"/>
      <c r="VL65" s="248"/>
      <c r="VM65" s="248"/>
      <c r="VN65" s="248"/>
      <c r="VO65" s="248"/>
      <c r="VP65" s="248"/>
      <c r="VQ65" s="248"/>
      <c r="VR65" s="248"/>
      <c r="VS65" s="248"/>
      <c r="VT65" s="248"/>
      <c r="VU65" s="248"/>
      <c r="VV65" s="248"/>
      <c r="VW65" s="248"/>
      <c r="VX65" s="248"/>
      <c r="VY65" s="248"/>
      <c r="VZ65" s="248"/>
      <c r="WA65" s="248"/>
      <c r="WB65" s="248"/>
      <c r="WC65" s="248"/>
      <c r="WD65" s="248"/>
      <c r="WE65" s="248"/>
      <c r="WF65" s="248"/>
      <c r="WG65" s="248"/>
      <c r="WH65" s="248"/>
      <c r="WI65" s="248"/>
      <c r="WJ65" s="248"/>
      <c r="WK65" s="248"/>
      <c r="WL65" s="248"/>
      <c r="WM65" s="248"/>
      <c r="WN65" s="248"/>
      <c r="WO65" s="248"/>
      <c r="WP65" s="248"/>
      <c r="WQ65" s="248"/>
      <c r="WR65" s="248"/>
      <c r="WS65" s="248"/>
      <c r="WT65" s="248"/>
      <c r="WU65" s="248"/>
      <c r="WV65" s="248"/>
      <c r="WW65" s="248"/>
      <c r="WX65" s="248"/>
      <c r="WY65" s="248"/>
      <c r="WZ65" s="248"/>
      <c r="XA65" s="248"/>
      <c r="XB65" s="248"/>
      <c r="XC65" s="248"/>
      <c r="XD65" s="248"/>
      <c r="XE65" s="248"/>
      <c r="XF65" s="248"/>
      <c r="XG65" s="248"/>
      <c r="XH65" s="248"/>
      <c r="XI65" s="248"/>
      <c r="XJ65" s="248"/>
      <c r="XK65" s="248"/>
      <c r="XL65" s="248"/>
      <c r="XM65" s="248"/>
      <c r="XN65" s="248"/>
      <c r="XO65" s="248"/>
      <c r="XP65" s="248"/>
      <c r="XQ65" s="248"/>
      <c r="XR65" s="248"/>
      <c r="XS65" s="248"/>
      <c r="XT65" s="248"/>
      <c r="XU65" s="248"/>
      <c r="XV65" s="248"/>
      <c r="XW65" s="248"/>
      <c r="XX65" s="248"/>
      <c r="XY65" s="248"/>
      <c r="XZ65" s="248"/>
      <c r="YA65" s="248"/>
      <c r="YB65" s="248"/>
      <c r="YC65" s="248"/>
      <c r="YD65" s="248"/>
      <c r="YE65" s="248"/>
      <c r="YF65" s="248"/>
      <c r="YG65" s="248"/>
      <c r="YH65" s="248"/>
      <c r="YI65" s="248"/>
      <c r="YJ65" s="248"/>
      <c r="YK65" s="248"/>
      <c r="YL65" s="248"/>
      <c r="YM65" s="248"/>
      <c r="YN65" s="248"/>
      <c r="YO65" s="248"/>
      <c r="YP65" s="248"/>
      <c r="YQ65" s="248"/>
      <c r="YR65" s="248"/>
      <c r="YS65" s="248"/>
      <c r="YT65" s="248"/>
      <c r="YU65" s="248"/>
      <c r="YV65" s="248"/>
      <c r="YW65" s="248"/>
      <c r="YX65" s="248"/>
      <c r="YY65" s="248"/>
      <c r="YZ65" s="248"/>
      <c r="ZA65" s="248"/>
      <c r="ZB65" s="248"/>
      <c r="ZC65" s="248"/>
      <c r="ZD65" s="248"/>
      <c r="ZE65" s="248"/>
      <c r="ZF65" s="248"/>
      <c r="ZG65" s="248"/>
      <c r="ZH65" s="248"/>
      <c r="ZI65" s="248"/>
      <c r="ZJ65" s="248"/>
      <c r="ZK65" s="248"/>
      <c r="ZL65" s="248"/>
      <c r="ZM65" s="248"/>
      <c r="ZN65" s="248"/>
      <c r="ZO65" s="248"/>
      <c r="ZP65" s="248"/>
      <c r="ZQ65" s="248"/>
      <c r="ZR65" s="248"/>
      <c r="ZS65" s="248"/>
      <c r="ZT65" s="248"/>
      <c r="ZU65" s="248"/>
      <c r="ZV65" s="248"/>
      <c r="ZW65" s="248"/>
      <c r="ZX65" s="248"/>
      <c r="ZY65" s="248"/>
      <c r="ZZ65" s="248"/>
      <c r="AAA65" s="248"/>
      <c r="AAB65" s="248"/>
      <c r="AAC65" s="248"/>
      <c r="AAD65" s="248"/>
      <c r="AAE65" s="248"/>
      <c r="AAF65" s="248"/>
      <c r="AAG65" s="248"/>
      <c r="AAH65" s="248"/>
      <c r="AAI65" s="248"/>
      <c r="AAJ65" s="248"/>
      <c r="AAK65" s="248"/>
      <c r="AAL65" s="248"/>
      <c r="AAM65" s="248"/>
      <c r="AAN65" s="248"/>
      <c r="AAO65" s="248"/>
      <c r="AAP65" s="248"/>
      <c r="AAQ65" s="248"/>
      <c r="AAR65" s="248"/>
      <c r="AAS65" s="248"/>
      <c r="AAT65" s="248"/>
      <c r="AAU65" s="248"/>
      <c r="AAV65" s="248"/>
      <c r="AAW65" s="248"/>
      <c r="AAX65" s="248"/>
      <c r="AAY65" s="248"/>
      <c r="AAZ65" s="248"/>
      <c r="ABA65" s="248"/>
      <c r="ABB65" s="248"/>
      <c r="ABC65" s="248"/>
      <c r="ABD65" s="248"/>
      <c r="ABE65" s="248"/>
      <c r="ABF65" s="248"/>
      <c r="ABG65" s="248"/>
      <c r="ABH65" s="248"/>
      <c r="ABI65" s="248"/>
      <c r="ABJ65" s="248"/>
      <c r="ABK65" s="248"/>
      <c r="ABL65" s="248"/>
      <c r="ABM65" s="248"/>
      <c r="ABN65" s="248"/>
      <c r="ABO65" s="248"/>
      <c r="ABP65" s="248"/>
      <c r="ABQ65" s="248"/>
      <c r="ABR65" s="248"/>
      <c r="ABS65" s="248"/>
      <c r="ABT65" s="248"/>
      <c r="ABU65" s="248"/>
      <c r="ABV65" s="248"/>
      <c r="ABW65" s="248"/>
      <c r="ABX65" s="248"/>
      <c r="ABY65" s="248"/>
      <c r="ABZ65" s="248"/>
      <c r="ACA65" s="248"/>
      <c r="ACB65" s="248"/>
      <c r="ACC65" s="248"/>
      <c r="ACD65" s="248"/>
      <c r="ACE65" s="248"/>
      <c r="ACF65" s="248"/>
      <c r="ACG65" s="248"/>
      <c r="ACH65" s="248"/>
      <c r="ACI65" s="248"/>
      <c r="ACJ65" s="248"/>
      <c r="ACK65" s="248"/>
      <c r="ACL65" s="248"/>
      <c r="ACM65" s="248"/>
      <c r="ACN65" s="248"/>
      <c r="ACO65" s="248"/>
      <c r="ACP65" s="248"/>
      <c r="ACQ65" s="248"/>
      <c r="ACR65" s="248"/>
      <c r="ACS65" s="248"/>
      <c r="ACT65" s="248"/>
      <c r="ACU65" s="248"/>
      <c r="ACV65" s="248"/>
      <c r="ACW65" s="248"/>
      <c r="ACX65" s="248"/>
      <c r="ACY65" s="248"/>
      <c r="ACZ65" s="248"/>
      <c r="ADA65" s="248"/>
      <c r="ADB65" s="248"/>
      <c r="ADC65" s="248"/>
      <c r="ADD65" s="248"/>
      <c r="ADE65" s="248"/>
      <c r="ADF65" s="248"/>
      <c r="ADG65" s="248"/>
      <c r="ADH65" s="248"/>
      <c r="ADI65" s="248"/>
      <c r="ADJ65" s="248"/>
      <c r="ADK65" s="248"/>
      <c r="ADL65" s="248"/>
      <c r="ADM65" s="248"/>
      <c r="ADN65" s="248"/>
      <c r="ADO65" s="248"/>
      <c r="ADP65" s="248"/>
      <c r="ADQ65" s="248"/>
      <c r="ADR65" s="248"/>
      <c r="ADS65" s="248"/>
      <c r="ADT65" s="248"/>
      <c r="ADU65" s="248"/>
      <c r="ADV65" s="248"/>
      <c r="ADW65" s="248"/>
      <c r="ADX65" s="248"/>
      <c r="ADY65" s="248"/>
      <c r="ADZ65" s="248"/>
      <c r="AEA65" s="248"/>
      <c r="AEB65" s="248"/>
      <c r="AEC65" s="248"/>
      <c r="AED65" s="248"/>
      <c r="AEE65" s="248"/>
      <c r="AEF65" s="248"/>
      <c r="AEG65" s="248"/>
      <c r="AEH65" s="248"/>
      <c r="AEI65" s="248"/>
      <c r="AEJ65" s="248"/>
      <c r="AEK65" s="248"/>
      <c r="AEL65" s="248"/>
      <c r="AEM65" s="248"/>
      <c r="AEN65" s="248"/>
      <c r="AEO65" s="248"/>
      <c r="AEP65" s="248"/>
      <c r="AEQ65" s="248"/>
      <c r="AER65" s="248"/>
      <c r="AES65" s="248"/>
      <c r="AET65" s="248"/>
      <c r="AEU65" s="248"/>
      <c r="AEV65" s="248"/>
      <c r="AEW65" s="248"/>
      <c r="AEX65" s="248"/>
      <c r="AEY65" s="248"/>
      <c r="AEZ65" s="248"/>
      <c r="AFA65" s="248"/>
      <c r="AFB65" s="248"/>
      <c r="AFC65" s="248"/>
      <c r="AFD65" s="248"/>
      <c r="AFE65" s="248"/>
      <c r="AFF65" s="248"/>
      <c r="AFG65" s="248"/>
      <c r="AFH65" s="248"/>
      <c r="AFI65" s="248"/>
      <c r="AFJ65" s="248"/>
      <c r="AFK65" s="248"/>
      <c r="AFL65" s="248"/>
      <c r="AFM65" s="248"/>
      <c r="AFN65" s="248"/>
      <c r="AFO65" s="248"/>
      <c r="AFP65" s="248"/>
      <c r="AFQ65" s="248"/>
      <c r="AFR65" s="248"/>
      <c r="AFS65" s="248"/>
      <c r="AFT65" s="248"/>
      <c r="AFU65" s="248"/>
      <c r="AFV65" s="248"/>
      <c r="AFW65" s="248"/>
      <c r="AFX65" s="248"/>
      <c r="AFY65" s="248"/>
      <c r="AFZ65" s="248"/>
      <c r="AGA65" s="248"/>
      <c r="AGB65" s="248"/>
      <c r="AGC65" s="248"/>
      <c r="AGD65" s="248"/>
      <c r="AGE65" s="248"/>
      <c r="AGF65" s="248"/>
      <c r="AGG65" s="248"/>
      <c r="AGH65" s="248"/>
      <c r="AGI65" s="248"/>
      <c r="AGJ65" s="248"/>
      <c r="AGK65" s="248"/>
      <c r="AGL65" s="248"/>
      <c r="AGM65" s="248"/>
      <c r="AGN65" s="248"/>
      <c r="AGO65" s="248"/>
      <c r="AGP65" s="248"/>
      <c r="AGQ65" s="248"/>
      <c r="AGR65" s="248"/>
      <c r="AGS65" s="248"/>
      <c r="AGT65" s="248"/>
      <c r="AGU65" s="248"/>
      <c r="AGV65" s="248"/>
      <c r="AGW65" s="248"/>
      <c r="AGX65" s="248"/>
      <c r="AGY65" s="248"/>
      <c r="AGZ65" s="248"/>
      <c r="AHA65" s="248"/>
      <c r="AHB65" s="248"/>
      <c r="AHC65" s="248"/>
      <c r="AHD65" s="248"/>
      <c r="AHE65" s="248"/>
      <c r="AHF65" s="248"/>
      <c r="AHG65" s="248"/>
      <c r="AHH65" s="248"/>
      <c r="AHI65" s="248"/>
      <c r="AHJ65" s="248"/>
      <c r="AHK65" s="248"/>
      <c r="AHL65" s="248"/>
      <c r="AHM65" s="248"/>
      <c r="AHN65" s="248"/>
      <c r="AHO65" s="248"/>
      <c r="AHP65" s="248"/>
      <c r="AHQ65" s="248"/>
      <c r="AHR65" s="248"/>
      <c r="AHS65" s="248"/>
      <c r="AHT65" s="248"/>
      <c r="AHU65" s="248"/>
      <c r="AHV65" s="248"/>
      <c r="AHW65" s="248"/>
      <c r="AHX65" s="248"/>
      <c r="AHY65" s="248"/>
      <c r="AHZ65" s="248"/>
      <c r="AIA65" s="248"/>
      <c r="AIB65" s="248"/>
      <c r="AIC65" s="248"/>
      <c r="AID65" s="248"/>
      <c r="AIE65" s="248"/>
      <c r="AIF65" s="248"/>
    </row>
    <row r="66" spans="1:916" ht="15.75">
      <c r="A66" s="249"/>
      <c r="B66" s="226"/>
      <c r="C66" s="226" t="s">
        <v>464</v>
      </c>
      <c r="D66" s="226"/>
      <c r="E66" s="226"/>
      <c r="F66" s="226"/>
      <c r="G66" s="226"/>
      <c r="H66" s="226"/>
      <c r="I66" s="228">
        <f>SUM(I64:I65)</f>
        <v>0</v>
      </c>
      <c r="J66" s="226">
        <f>SUM(J64:J65)</f>
        <v>0</v>
      </c>
      <c r="K66" s="226">
        <f>SUM(K64)</f>
        <v>0</v>
      </c>
      <c r="L66" s="226">
        <f>SUM(L64)</f>
        <v>0</v>
      </c>
      <c r="M66" s="226">
        <f>SUM(M64)</f>
        <v>0</v>
      </c>
      <c r="N66" s="386">
        <f>SUM(N64:N65)</f>
        <v>0</v>
      </c>
      <c r="O66" s="228">
        <f>SUM(O64:O65)</f>
        <v>0</v>
      </c>
      <c r="P66" s="228">
        <f>SUM(P64:P64)</f>
        <v>0</v>
      </c>
      <c r="Q66" s="228">
        <f>SUM(Q64:Q65)</f>
        <v>0</v>
      </c>
      <c r="R66" s="228">
        <f>SUM(R64:R65)</f>
        <v>0</v>
      </c>
      <c r="S66" s="226">
        <f>SUM(S64)</f>
        <v>0</v>
      </c>
      <c r="T66" s="226">
        <f>SUM(T64)</f>
        <v>0</v>
      </c>
      <c r="U66" s="226"/>
      <c r="V66" s="226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2"/>
      <c r="ER66" s="102"/>
      <c r="ES66" s="248"/>
      <c r="ET66" s="248"/>
      <c r="EU66" s="248"/>
      <c r="EV66" s="248"/>
      <c r="EW66" s="248"/>
      <c r="EX66" s="248"/>
      <c r="EY66" s="248"/>
      <c r="EZ66" s="248"/>
      <c r="FA66" s="248"/>
      <c r="FB66" s="248"/>
      <c r="FC66" s="248"/>
      <c r="FD66" s="248"/>
      <c r="FE66" s="248"/>
      <c r="FF66" s="248"/>
      <c r="FG66" s="248"/>
      <c r="FH66" s="248"/>
      <c r="FI66" s="248"/>
      <c r="FJ66" s="248"/>
      <c r="FK66" s="248"/>
      <c r="FL66" s="248"/>
      <c r="FM66" s="248"/>
      <c r="FN66" s="248"/>
      <c r="FO66" s="248"/>
      <c r="FP66" s="248"/>
      <c r="FQ66" s="248"/>
      <c r="FR66" s="248"/>
      <c r="FS66" s="248"/>
      <c r="FT66" s="248"/>
      <c r="FU66" s="248"/>
      <c r="FV66" s="248"/>
      <c r="FW66" s="248"/>
      <c r="FX66" s="248"/>
      <c r="FY66" s="248"/>
      <c r="FZ66" s="248"/>
      <c r="GA66" s="248"/>
      <c r="GB66" s="248"/>
      <c r="GC66" s="248"/>
      <c r="GD66" s="248"/>
      <c r="GE66" s="248"/>
      <c r="GF66" s="248"/>
      <c r="GG66" s="248"/>
      <c r="GH66" s="248"/>
      <c r="GI66" s="248"/>
      <c r="GJ66" s="248"/>
      <c r="GK66" s="248"/>
      <c r="GL66" s="248"/>
      <c r="GM66" s="248"/>
      <c r="GN66" s="248"/>
      <c r="GO66" s="248"/>
      <c r="GP66" s="248"/>
      <c r="GQ66" s="248"/>
      <c r="GR66" s="248"/>
      <c r="GS66" s="248"/>
      <c r="GT66" s="248"/>
      <c r="GU66" s="248"/>
      <c r="GV66" s="248"/>
      <c r="GW66" s="248"/>
      <c r="GX66" s="248"/>
      <c r="GY66" s="248"/>
      <c r="GZ66" s="248"/>
      <c r="HA66" s="248"/>
      <c r="HB66" s="248"/>
      <c r="HC66" s="248"/>
      <c r="HD66" s="248"/>
      <c r="HE66" s="248"/>
      <c r="HF66" s="248"/>
      <c r="HG66" s="248"/>
      <c r="HH66" s="248"/>
      <c r="HI66" s="248"/>
      <c r="HJ66" s="248"/>
      <c r="HK66" s="248"/>
      <c r="HL66" s="248"/>
      <c r="HM66" s="248"/>
      <c r="HN66" s="248"/>
      <c r="HO66" s="248"/>
      <c r="HP66" s="248"/>
      <c r="HQ66" s="248"/>
      <c r="HR66" s="248"/>
      <c r="HS66" s="248"/>
      <c r="HT66" s="248"/>
      <c r="HU66" s="248"/>
      <c r="HV66" s="248"/>
      <c r="HW66" s="248"/>
      <c r="HX66" s="248"/>
      <c r="HY66" s="248"/>
      <c r="HZ66" s="248"/>
      <c r="IA66" s="248"/>
      <c r="IB66" s="248"/>
      <c r="IC66" s="248"/>
      <c r="ID66" s="248"/>
      <c r="IE66" s="248"/>
      <c r="IF66" s="248"/>
      <c r="IG66" s="248"/>
      <c r="IH66" s="248"/>
      <c r="II66" s="248"/>
      <c r="IJ66" s="248"/>
      <c r="IK66" s="248"/>
      <c r="IL66" s="248"/>
      <c r="IM66" s="248"/>
      <c r="IN66" s="248"/>
      <c r="IO66" s="248"/>
      <c r="IP66" s="248"/>
      <c r="IQ66" s="248"/>
      <c r="IR66" s="248"/>
      <c r="IS66" s="248"/>
      <c r="IT66" s="248"/>
      <c r="IU66" s="248"/>
      <c r="IV66" s="248"/>
      <c r="IW66" s="248"/>
      <c r="IX66" s="248"/>
      <c r="IY66" s="248"/>
      <c r="IZ66" s="248"/>
      <c r="JA66" s="248"/>
      <c r="JB66" s="248"/>
      <c r="JC66" s="248"/>
      <c r="JD66" s="248"/>
      <c r="JE66" s="248"/>
      <c r="JF66" s="248"/>
      <c r="JG66" s="248"/>
      <c r="JH66" s="248"/>
      <c r="JI66" s="248"/>
      <c r="JJ66" s="248"/>
      <c r="JK66" s="248"/>
      <c r="JL66" s="248"/>
      <c r="JM66" s="248"/>
      <c r="JN66" s="248"/>
      <c r="JO66" s="248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248"/>
      <c r="LL66" s="248"/>
      <c r="LM66" s="248"/>
      <c r="LN66" s="248"/>
      <c r="LO66" s="248"/>
      <c r="LP66" s="248"/>
      <c r="LQ66" s="248"/>
      <c r="LR66" s="248"/>
      <c r="LS66" s="248"/>
      <c r="LT66" s="248"/>
      <c r="LU66" s="248"/>
      <c r="LV66" s="248"/>
      <c r="LW66" s="248"/>
      <c r="LX66" s="248"/>
      <c r="LY66" s="248"/>
      <c r="LZ66" s="248"/>
      <c r="MA66" s="248"/>
      <c r="MB66" s="248"/>
      <c r="MC66" s="248"/>
      <c r="MD66" s="248"/>
      <c r="ME66" s="248"/>
      <c r="MF66" s="248"/>
      <c r="MG66" s="248"/>
      <c r="MH66" s="248"/>
      <c r="MI66" s="248"/>
      <c r="MJ66" s="248"/>
      <c r="MK66" s="248"/>
      <c r="ML66" s="248"/>
      <c r="MM66" s="248"/>
      <c r="MN66" s="248"/>
      <c r="MO66" s="248"/>
      <c r="MP66" s="248"/>
      <c r="MQ66" s="248"/>
      <c r="MR66" s="248"/>
      <c r="MS66" s="248"/>
      <c r="MT66" s="248"/>
      <c r="MU66" s="248"/>
      <c r="MV66" s="248"/>
      <c r="MW66" s="248"/>
      <c r="MX66" s="248"/>
      <c r="MY66" s="248"/>
      <c r="MZ66" s="248"/>
      <c r="NA66" s="248"/>
      <c r="NB66" s="248"/>
      <c r="NC66" s="248"/>
      <c r="ND66" s="248"/>
      <c r="NE66" s="248"/>
      <c r="NF66" s="248"/>
      <c r="NG66" s="248"/>
      <c r="NH66" s="248"/>
      <c r="NI66" s="248"/>
      <c r="NJ66" s="248"/>
      <c r="NK66" s="248"/>
      <c r="NL66" s="248"/>
      <c r="NM66" s="248"/>
      <c r="NN66" s="248"/>
      <c r="NO66" s="248"/>
      <c r="NP66" s="248"/>
      <c r="NQ66" s="248"/>
      <c r="NR66" s="248"/>
      <c r="NS66" s="248"/>
      <c r="NT66" s="248"/>
      <c r="NU66" s="248"/>
      <c r="NV66" s="248"/>
      <c r="NW66" s="248"/>
      <c r="NX66" s="248"/>
      <c r="NY66" s="248"/>
      <c r="NZ66" s="248"/>
      <c r="OA66" s="248"/>
      <c r="OB66" s="248"/>
      <c r="OC66" s="248"/>
      <c r="OD66" s="248"/>
      <c r="OE66" s="248"/>
      <c r="OF66" s="248"/>
      <c r="OG66" s="248"/>
      <c r="OH66" s="248"/>
      <c r="OI66" s="248"/>
      <c r="OJ66" s="248"/>
      <c r="OK66" s="248"/>
      <c r="OL66" s="248"/>
      <c r="OM66" s="248"/>
      <c r="ON66" s="248"/>
      <c r="OO66" s="248"/>
      <c r="OP66" s="248"/>
      <c r="OQ66" s="248"/>
      <c r="OR66" s="248"/>
      <c r="OS66" s="248"/>
      <c r="OT66" s="248"/>
      <c r="OU66" s="248"/>
      <c r="OV66" s="248"/>
      <c r="OW66" s="248"/>
      <c r="OX66" s="248"/>
      <c r="OY66" s="248"/>
      <c r="OZ66" s="248"/>
      <c r="PA66" s="248"/>
      <c r="PB66" s="248"/>
      <c r="PC66" s="248"/>
      <c r="PD66" s="248"/>
      <c r="PE66" s="248"/>
      <c r="PF66" s="248"/>
      <c r="PG66" s="248"/>
      <c r="PH66" s="248"/>
      <c r="PI66" s="248"/>
      <c r="PJ66" s="248"/>
      <c r="PK66" s="248"/>
      <c r="PL66" s="248"/>
      <c r="PM66" s="248"/>
      <c r="PN66" s="248"/>
      <c r="PO66" s="248"/>
      <c r="PP66" s="248"/>
      <c r="PQ66" s="248"/>
      <c r="PR66" s="248"/>
      <c r="PS66" s="248"/>
      <c r="PT66" s="248"/>
      <c r="PU66" s="248"/>
      <c r="PV66" s="248"/>
      <c r="PW66" s="248"/>
      <c r="PX66" s="248"/>
      <c r="PY66" s="248"/>
      <c r="PZ66" s="248"/>
      <c r="QA66" s="248"/>
      <c r="QB66" s="248"/>
      <c r="QC66" s="248"/>
      <c r="QD66" s="248"/>
      <c r="QE66" s="248"/>
      <c r="QF66" s="248"/>
      <c r="QG66" s="248"/>
      <c r="QH66" s="248"/>
      <c r="QI66" s="248"/>
      <c r="QJ66" s="248"/>
      <c r="QK66" s="248"/>
      <c r="QL66" s="248"/>
      <c r="QM66" s="248"/>
      <c r="QN66" s="248"/>
      <c r="QO66" s="248"/>
      <c r="QP66" s="248"/>
      <c r="QQ66" s="248"/>
      <c r="QR66" s="248"/>
      <c r="QS66" s="248"/>
      <c r="QT66" s="248"/>
      <c r="QU66" s="248"/>
      <c r="QV66" s="248"/>
      <c r="QW66" s="248"/>
      <c r="QX66" s="248"/>
      <c r="QY66" s="248"/>
      <c r="QZ66" s="248"/>
      <c r="RA66" s="248"/>
      <c r="RB66" s="248"/>
      <c r="RC66" s="248"/>
      <c r="RD66" s="248"/>
      <c r="RE66" s="248"/>
      <c r="RF66" s="248"/>
      <c r="RG66" s="248"/>
      <c r="RH66" s="248"/>
      <c r="RI66" s="248"/>
      <c r="RJ66" s="248"/>
      <c r="RK66" s="248"/>
      <c r="RL66" s="248"/>
      <c r="RM66" s="248"/>
      <c r="RN66" s="248"/>
      <c r="RO66" s="248"/>
      <c r="RP66" s="248"/>
      <c r="RQ66" s="248"/>
      <c r="RR66" s="248"/>
      <c r="RS66" s="248"/>
      <c r="RT66" s="248"/>
      <c r="RU66" s="248"/>
      <c r="RV66" s="248"/>
      <c r="RW66" s="248"/>
      <c r="RX66" s="248"/>
      <c r="RY66" s="248"/>
      <c r="RZ66" s="248"/>
      <c r="SA66" s="248"/>
      <c r="SB66" s="248"/>
      <c r="SC66" s="248"/>
      <c r="SD66" s="248"/>
      <c r="SE66" s="248"/>
      <c r="SF66" s="248"/>
      <c r="SG66" s="248"/>
      <c r="SH66" s="248"/>
      <c r="SI66" s="248"/>
      <c r="SJ66" s="248"/>
      <c r="SK66" s="248"/>
      <c r="SL66" s="248"/>
      <c r="SM66" s="248"/>
      <c r="SN66" s="248"/>
      <c r="SO66" s="248"/>
      <c r="SP66" s="248"/>
      <c r="SQ66" s="248"/>
      <c r="SR66" s="248"/>
      <c r="SS66" s="248"/>
      <c r="ST66" s="248"/>
      <c r="SU66" s="248"/>
      <c r="SV66" s="248"/>
      <c r="SW66" s="248"/>
      <c r="SX66" s="248"/>
      <c r="SY66" s="248"/>
      <c r="SZ66" s="248"/>
      <c r="TA66" s="248"/>
      <c r="TB66" s="248"/>
      <c r="TC66" s="248"/>
      <c r="TD66" s="248"/>
      <c r="TE66" s="248"/>
      <c r="TF66" s="248"/>
      <c r="TG66" s="248"/>
      <c r="TH66" s="248"/>
      <c r="TI66" s="248"/>
      <c r="TJ66" s="248"/>
      <c r="TK66" s="248"/>
      <c r="TL66" s="248"/>
      <c r="TM66" s="248"/>
      <c r="TN66" s="248"/>
      <c r="TO66" s="248"/>
      <c r="TP66" s="248"/>
      <c r="TQ66" s="248"/>
      <c r="TR66" s="248"/>
      <c r="TS66" s="248"/>
      <c r="TT66" s="248"/>
      <c r="TU66" s="248"/>
      <c r="TV66" s="248"/>
      <c r="TW66" s="248"/>
      <c r="TX66" s="248"/>
      <c r="TY66" s="248"/>
      <c r="TZ66" s="248"/>
      <c r="UA66" s="248"/>
      <c r="UB66" s="248"/>
      <c r="UC66" s="248"/>
      <c r="UD66" s="248"/>
      <c r="UE66" s="248"/>
      <c r="UF66" s="248"/>
      <c r="UG66" s="248"/>
      <c r="UH66" s="248"/>
      <c r="UI66" s="248"/>
      <c r="UJ66" s="248"/>
      <c r="UK66" s="248"/>
      <c r="UL66" s="248"/>
      <c r="UM66" s="248"/>
      <c r="UN66" s="248"/>
      <c r="UO66" s="248"/>
      <c r="UP66" s="248"/>
      <c r="UQ66" s="248"/>
      <c r="UR66" s="248"/>
      <c r="US66" s="248"/>
      <c r="UT66" s="248"/>
      <c r="UU66" s="248"/>
      <c r="UV66" s="248"/>
      <c r="UW66" s="248"/>
      <c r="UX66" s="248"/>
      <c r="UY66" s="248"/>
      <c r="UZ66" s="248"/>
      <c r="VA66" s="248"/>
      <c r="VB66" s="248"/>
      <c r="VC66" s="248"/>
      <c r="VD66" s="248"/>
      <c r="VE66" s="248"/>
      <c r="VF66" s="248"/>
      <c r="VG66" s="248"/>
      <c r="VH66" s="248"/>
      <c r="VI66" s="248"/>
      <c r="VJ66" s="248"/>
      <c r="VK66" s="248"/>
      <c r="VL66" s="248"/>
      <c r="VM66" s="248"/>
      <c r="VN66" s="248"/>
      <c r="VO66" s="248"/>
      <c r="VP66" s="248"/>
      <c r="VQ66" s="248"/>
      <c r="VR66" s="248"/>
      <c r="VS66" s="248"/>
      <c r="VT66" s="248"/>
      <c r="VU66" s="248"/>
      <c r="VV66" s="248"/>
      <c r="VW66" s="248"/>
      <c r="VX66" s="248"/>
      <c r="VY66" s="248"/>
      <c r="VZ66" s="248"/>
      <c r="WA66" s="248"/>
      <c r="WB66" s="248"/>
      <c r="WC66" s="248"/>
      <c r="WD66" s="248"/>
      <c r="WE66" s="248"/>
      <c r="WF66" s="248"/>
      <c r="WG66" s="248"/>
      <c r="WH66" s="248"/>
      <c r="WI66" s="248"/>
      <c r="WJ66" s="248"/>
      <c r="WK66" s="248"/>
      <c r="WL66" s="248"/>
      <c r="WM66" s="248"/>
      <c r="WN66" s="248"/>
      <c r="WO66" s="248"/>
      <c r="WP66" s="248"/>
      <c r="WQ66" s="248"/>
      <c r="WR66" s="248"/>
      <c r="WS66" s="248"/>
      <c r="WT66" s="248"/>
      <c r="WU66" s="248"/>
      <c r="WV66" s="248"/>
      <c r="WW66" s="248"/>
      <c r="WX66" s="248"/>
      <c r="WY66" s="248"/>
      <c r="WZ66" s="248"/>
      <c r="XA66" s="248"/>
      <c r="XB66" s="248"/>
      <c r="XC66" s="248"/>
      <c r="XD66" s="248"/>
      <c r="XE66" s="248"/>
      <c r="XF66" s="248"/>
      <c r="XG66" s="248"/>
      <c r="XH66" s="248"/>
      <c r="XI66" s="248"/>
      <c r="XJ66" s="248"/>
      <c r="XK66" s="248"/>
      <c r="XL66" s="248"/>
      <c r="XM66" s="248"/>
      <c r="XN66" s="248"/>
      <c r="XO66" s="248"/>
      <c r="XP66" s="248"/>
      <c r="XQ66" s="248"/>
      <c r="XR66" s="248"/>
      <c r="XS66" s="248"/>
      <c r="XT66" s="248"/>
      <c r="XU66" s="248"/>
      <c r="XV66" s="248"/>
      <c r="XW66" s="248"/>
      <c r="XX66" s="248"/>
      <c r="XY66" s="248"/>
      <c r="XZ66" s="248"/>
      <c r="YA66" s="248"/>
      <c r="YB66" s="248"/>
      <c r="YC66" s="248"/>
      <c r="YD66" s="248"/>
      <c r="YE66" s="248"/>
      <c r="YF66" s="248"/>
      <c r="YG66" s="248"/>
      <c r="YH66" s="248"/>
      <c r="YI66" s="248"/>
      <c r="YJ66" s="248"/>
      <c r="YK66" s="248"/>
      <c r="YL66" s="248"/>
      <c r="YM66" s="248"/>
      <c r="YN66" s="248"/>
      <c r="YO66" s="248"/>
      <c r="YP66" s="248"/>
      <c r="YQ66" s="248"/>
      <c r="YR66" s="248"/>
      <c r="YS66" s="248"/>
      <c r="YT66" s="248"/>
      <c r="YU66" s="248"/>
      <c r="YV66" s="248"/>
      <c r="YW66" s="248"/>
      <c r="YX66" s="248"/>
      <c r="YY66" s="248"/>
      <c r="YZ66" s="248"/>
      <c r="ZA66" s="248"/>
      <c r="ZB66" s="248"/>
      <c r="ZC66" s="248"/>
      <c r="ZD66" s="248"/>
      <c r="ZE66" s="248"/>
      <c r="ZF66" s="248"/>
      <c r="ZG66" s="248"/>
      <c r="ZH66" s="248"/>
      <c r="ZI66" s="248"/>
      <c r="ZJ66" s="248"/>
      <c r="ZK66" s="248"/>
      <c r="ZL66" s="248"/>
      <c r="ZM66" s="248"/>
      <c r="ZN66" s="248"/>
      <c r="ZO66" s="248"/>
      <c r="ZP66" s="248"/>
      <c r="ZQ66" s="248"/>
      <c r="ZR66" s="248"/>
      <c r="ZS66" s="248"/>
      <c r="ZT66" s="248"/>
      <c r="ZU66" s="248"/>
      <c r="ZV66" s="248"/>
      <c r="ZW66" s="248"/>
      <c r="ZX66" s="248"/>
      <c r="ZY66" s="248"/>
      <c r="ZZ66" s="248"/>
      <c r="AAA66" s="248"/>
      <c r="AAB66" s="248"/>
      <c r="AAC66" s="248"/>
      <c r="AAD66" s="248"/>
      <c r="AAE66" s="248"/>
      <c r="AAF66" s="248"/>
      <c r="AAG66" s="248"/>
      <c r="AAH66" s="248"/>
      <c r="AAI66" s="248"/>
      <c r="AAJ66" s="248"/>
      <c r="AAK66" s="248"/>
      <c r="AAL66" s="248"/>
      <c r="AAM66" s="248"/>
      <c r="AAN66" s="248"/>
      <c r="AAO66" s="248"/>
      <c r="AAP66" s="248"/>
      <c r="AAQ66" s="248"/>
      <c r="AAR66" s="248"/>
      <c r="AAS66" s="248"/>
      <c r="AAT66" s="248"/>
      <c r="AAU66" s="248"/>
      <c r="AAV66" s="248"/>
      <c r="AAW66" s="248"/>
      <c r="AAX66" s="248"/>
      <c r="AAY66" s="248"/>
      <c r="AAZ66" s="248"/>
      <c r="ABA66" s="248"/>
      <c r="ABB66" s="248"/>
      <c r="ABC66" s="248"/>
      <c r="ABD66" s="248"/>
      <c r="ABE66" s="248"/>
      <c r="ABF66" s="248"/>
      <c r="ABG66" s="248"/>
      <c r="ABH66" s="248"/>
      <c r="ABI66" s="248"/>
      <c r="ABJ66" s="248"/>
      <c r="ABK66" s="248"/>
      <c r="ABL66" s="248"/>
      <c r="ABM66" s="248"/>
      <c r="ABN66" s="248"/>
      <c r="ABO66" s="248"/>
      <c r="ABP66" s="248"/>
      <c r="ABQ66" s="248"/>
      <c r="ABR66" s="248"/>
      <c r="ABS66" s="248"/>
      <c r="ABT66" s="248"/>
      <c r="ABU66" s="248"/>
      <c r="ABV66" s="248"/>
      <c r="ABW66" s="248"/>
      <c r="ABX66" s="248"/>
      <c r="ABY66" s="248"/>
      <c r="ABZ66" s="248"/>
      <c r="ACA66" s="248"/>
      <c r="ACB66" s="248"/>
      <c r="ACC66" s="248"/>
      <c r="ACD66" s="248"/>
      <c r="ACE66" s="248"/>
      <c r="ACF66" s="248"/>
      <c r="ACG66" s="248"/>
      <c r="ACH66" s="248"/>
      <c r="ACI66" s="248"/>
      <c r="ACJ66" s="248"/>
      <c r="ACK66" s="248"/>
      <c r="ACL66" s="248"/>
      <c r="ACM66" s="248"/>
      <c r="ACN66" s="248"/>
      <c r="ACO66" s="248"/>
      <c r="ACP66" s="248"/>
      <c r="ACQ66" s="248"/>
      <c r="ACR66" s="248"/>
      <c r="ACS66" s="248"/>
      <c r="ACT66" s="248"/>
      <c r="ACU66" s="248"/>
      <c r="ACV66" s="248"/>
      <c r="ACW66" s="248"/>
      <c r="ACX66" s="248"/>
      <c r="ACY66" s="248"/>
      <c r="ACZ66" s="248"/>
      <c r="ADA66" s="248"/>
      <c r="ADB66" s="248"/>
      <c r="ADC66" s="248"/>
      <c r="ADD66" s="248"/>
      <c r="ADE66" s="248"/>
      <c r="ADF66" s="248"/>
      <c r="ADG66" s="248"/>
      <c r="ADH66" s="248"/>
      <c r="ADI66" s="248"/>
      <c r="ADJ66" s="248"/>
      <c r="ADK66" s="248"/>
      <c r="ADL66" s="248"/>
      <c r="ADM66" s="248"/>
      <c r="ADN66" s="248"/>
      <c r="ADO66" s="248"/>
      <c r="ADP66" s="248"/>
      <c r="ADQ66" s="248"/>
      <c r="ADR66" s="248"/>
      <c r="ADS66" s="248"/>
      <c r="ADT66" s="248"/>
      <c r="ADU66" s="248"/>
      <c r="ADV66" s="248"/>
      <c r="ADW66" s="248"/>
      <c r="ADX66" s="248"/>
      <c r="ADY66" s="248"/>
      <c r="ADZ66" s="248"/>
      <c r="AEA66" s="248"/>
      <c r="AEB66" s="248"/>
      <c r="AEC66" s="248"/>
      <c r="AED66" s="248"/>
      <c r="AEE66" s="248"/>
      <c r="AEF66" s="248"/>
      <c r="AEG66" s="248"/>
      <c r="AEH66" s="248"/>
      <c r="AEI66" s="248"/>
      <c r="AEJ66" s="248"/>
      <c r="AEK66" s="248"/>
      <c r="AEL66" s="248"/>
      <c r="AEM66" s="248"/>
      <c r="AEN66" s="248"/>
      <c r="AEO66" s="248"/>
      <c r="AEP66" s="248"/>
      <c r="AEQ66" s="248"/>
      <c r="AER66" s="248"/>
      <c r="AES66" s="248"/>
      <c r="AET66" s="248"/>
      <c r="AEU66" s="248"/>
      <c r="AEV66" s="248"/>
      <c r="AEW66" s="248"/>
      <c r="AEX66" s="248"/>
      <c r="AEY66" s="248"/>
      <c r="AEZ66" s="248"/>
      <c r="AFA66" s="248"/>
      <c r="AFB66" s="248"/>
      <c r="AFC66" s="248"/>
      <c r="AFD66" s="248"/>
      <c r="AFE66" s="248"/>
      <c r="AFF66" s="248"/>
      <c r="AFG66" s="248"/>
      <c r="AFH66" s="248"/>
      <c r="AFI66" s="248"/>
      <c r="AFJ66" s="248"/>
      <c r="AFK66" s="248"/>
      <c r="AFL66" s="248"/>
      <c r="AFM66" s="248"/>
      <c r="AFN66" s="248"/>
      <c r="AFO66" s="248"/>
      <c r="AFP66" s="248"/>
      <c r="AFQ66" s="248"/>
      <c r="AFR66" s="248"/>
      <c r="AFS66" s="248"/>
      <c r="AFT66" s="248"/>
      <c r="AFU66" s="248"/>
      <c r="AFV66" s="248"/>
      <c r="AFW66" s="248"/>
      <c r="AFX66" s="248"/>
      <c r="AFY66" s="248"/>
      <c r="AFZ66" s="248"/>
      <c r="AGA66" s="248"/>
      <c r="AGB66" s="248"/>
      <c r="AGC66" s="248"/>
      <c r="AGD66" s="248"/>
      <c r="AGE66" s="248"/>
      <c r="AGF66" s="248"/>
      <c r="AGG66" s="248"/>
      <c r="AGH66" s="248"/>
      <c r="AGI66" s="248"/>
      <c r="AGJ66" s="248"/>
      <c r="AGK66" s="248"/>
      <c r="AGL66" s="248"/>
      <c r="AGM66" s="248"/>
      <c r="AGN66" s="248"/>
      <c r="AGO66" s="248"/>
      <c r="AGP66" s="248"/>
      <c r="AGQ66" s="248"/>
      <c r="AGR66" s="248"/>
      <c r="AGS66" s="248"/>
      <c r="AGT66" s="248"/>
      <c r="AGU66" s="248"/>
      <c r="AGV66" s="248"/>
      <c r="AGW66" s="248"/>
      <c r="AGX66" s="248"/>
      <c r="AGY66" s="248"/>
      <c r="AGZ66" s="248"/>
      <c r="AHA66" s="248"/>
      <c r="AHB66" s="248"/>
      <c r="AHC66" s="248"/>
      <c r="AHD66" s="248"/>
      <c r="AHE66" s="248"/>
      <c r="AHF66" s="248"/>
      <c r="AHG66" s="248"/>
      <c r="AHH66" s="248"/>
      <c r="AHI66" s="248"/>
      <c r="AHJ66" s="248"/>
      <c r="AHK66" s="248"/>
      <c r="AHL66" s="248"/>
      <c r="AHM66" s="248"/>
      <c r="AHN66" s="248"/>
      <c r="AHO66" s="248"/>
      <c r="AHP66" s="248"/>
      <c r="AHQ66" s="248"/>
      <c r="AHR66" s="248"/>
      <c r="AHS66" s="248"/>
      <c r="AHT66" s="248"/>
      <c r="AHU66" s="248"/>
      <c r="AHV66" s="248"/>
      <c r="AHW66" s="248"/>
      <c r="AHX66" s="248"/>
      <c r="AHY66" s="248"/>
      <c r="AHZ66" s="248"/>
      <c r="AIA66" s="248"/>
      <c r="AIB66" s="248"/>
      <c r="AIC66" s="248"/>
      <c r="AID66" s="248"/>
      <c r="AIE66" s="248"/>
      <c r="AIF66" s="248"/>
    </row>
    <row r="67" spans="1:916">
      <c r="C67" s="387"/>
      <c r="D67" s="387"/>
      <c r="E67" s="387"/>
      <c r="L67" s="388"/>
      <c r="N67" s="388"/>
      <c r="O67" s="388"/>
      <c r="W67" s="106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2"/>
      <c r="EI67" s="102"/>
      <c r="EJ67" s="102"/>
      <c r="EK67" s="102"/>
      <c r="EL67" s="102"/>
      <c r="EM67" s="102"/>
      <c r="EN67" s="102"/>
      <c r="EO67" s="102"/>
      <c r="EP67" s="102"/>
      <c r="EQ67" s="102"/>
      <c r="ER67" s="102"/>
      <c r="ES67" s="102"/>
      <c r="ET67" s="102"/>
      <c r="EU67" s="102"/>
      <c r="EV67" s="102"/>
      <c r="EW67" s="102"/>
      <c r="EX67" s="102"/>
      <c r="EY67" s="102"/>
      <c r="EZ67" s="102"/>
      <c r="FA67" s="102"/>
      <c r="FB67" s="102"/>
      <c r="FC67" s="102"/>
      <c r="FD67" s="102"/>
      <c r="FE67" s="102"/>
      <c r="FF67" s="102"/>
      <c r="FG67" s="102"/>
      <c r="FH67" s="102"/>
      <c r="FI67" s="102"/>
      <c r="FJ67" s="102"/>
      <c r="FK67" s="102"/>
      <c r="FL67" s="102"/>
      <c r="FM67" s="102"/>
      <c r="FN67" s="102"/>
      <c r="FO67" s="102"/>
      <c r="FP67" s="102"/>
      <c r="FQ67" s="102"/>
      <c r="FR67" s="102"/>
      <c r="FS67" s="102"/>
      <c r="FT67" s="102"/>
      <c r="FU67" s="102"/>
      <c r="FV67" s="248"/>
      <c r="FW67" s="248"/>
      <c r="FX67" s="248"/>
      <c r="FY67" s="248"/>
      <c r="FZ67" s="248"/>
      <c r="GA67" s="248"/>
      <c r="GB67" s="248"/>
      <c r="GC67" s="248"/>
      <c r="GD67" s="248"/>
      <c r="GE67" s="248"/>
      <c r="GF67" s="248"/>
      <c r="GG67" s="248"/>
      <c r="GH67" s="248"/>
      <c r="GI67" s="248"/>
      <c r="GJ67" s="248"/>
      <c r="GK67" s="248"/>
      <c r="GL67" s="248"/>
      <c r="GM67" s="248"/>
      <c r="GN67" s="248"/>
      <c r="GO67" s="248"/>
      <c r="GP67" s="248"/>
      <c r="GQ67" s="248"/>
      <c r="GR67" s="248"/>
      <c r="GS67" s="248"/>
      <c r="GT67" s="248"/>
      <c r="GU67" s="248"/>
      <c r="GV67" s="248"/>
      <c r="GW67" s="248"/>
      <c r="GX67" s="248"/>
      <c r="GY67" s="248"/>
      <c r="GZ67" s="248"/>
      <c r="HA67" s="248"/>
      <c r="HB67" s="248"/>
      <c r="HC67" s="248"/>
      <c r="HD67" s="248"/>
      <c r="HE67" s="248"/>
      <c r="HF67" s="248"/>
      <c r="HG67" s="248"/>
      <c r="HH67" s="248"/>
      <c r="HI67" s="248"/>
      <c r="HJ67" s="248"/>
      <c r="HK67" s="248"/>
      <c r="HL67" s="248"/>
      <c r="HM67" s="248"/>
      <c r="HN67" s="248"/>
      <c r="HO67" s="248"/>
      <c r="HP67" s="248"/>
      <c r="HQ67" s="248"/>
      <c r="HR67" s="248"/>
      <c r="HS67" s="248"/>
      <c r="HT67" s="248"/>
      <c r="HU67" s="248"/>
      <c r="HV67" s="248"/>
      <c r="HW67" s="248"/>
      <c r="HX67" s="248"/>
      <c r="HY67" s="248"/>
      <c r="HZ67" s="248"/>
      <c r="IA67" s="248"/>
      <c r="IB67" s="248"/>
      <c r="IC67" s="248"/>
      <c r="ID67" s="248"/>
      <c r="IE67" s="248"/>
      <c r="IF67" s="248"/>
      <c r="IG67" s="248"/>
      <c r="IH67" s="248"/>
      <c r="II67" s="248"/>
      <c r="IJ67" s="248"/>
      <c r="IK67" s="248"/>
      <c r="IL67" s="248"/>
      <c r="IM67" s="248"/>
      <c r="IN67" s="248"/>
      <c r="IO67" s="248"/>
      <c r="IP67" s="248"/>
      <c r="IQ67" s="248"/>
      <c r="IR67" s="248"/>
      <c r="IS67" s="248"/>
      <c r="IT67" s="248"/>
      <c r="IU67" s="248"/>
      <c r="IV67" s="248"/>
      <c r="IW67" s="248"/>
      <c r="IX67" s="248"/>
      <c r="IY67" s="248"/>
      <c r="IZ67" s="248"/>
      <c r="JA67" s="248"/>
      <c r="JB67" s="248"/>
      <c r="JC67" s="248"/>
      <c r="JD67" s="248"/>
      <c r="JE67" s="248"/>
      <c r="JF67" s="248"/>
      <c r="JG67" s="248"/>
      <c r="JH67" s="248"/>
      <c r="JI67" s="248"/>
      <c r="JJ67" s="248"/>
      <c r="JK67" s="248"/>
      <c r="JL67" s="248"/>
      <c r="JM67" s="248"/>
      <c r="JN67" s="248"/>
      <c r="JO67" s="248"/>
      <c r="JP67" s="248"/>
      <c r="JQ67" s="248"/>
      <c r="JR67" s="248"/>
      <c r="JS67" s="248"/>
      <c r="JT67" s="248"/>
      <c r="JU67" s="248"/>
      <c r="JV67" s="248"/>
      <c r="JW67" s="248"/>
      <c r="JX67" s="248"/>
      <c r="JY67" s="248"/>
      <c r="JZ67" s="248"/>
      <c r="KA67" s="248"/>
      <c r="KB67" s="248"/>
      <c r="KC67" s="248"/>
      <c r="KD67" s="248"/>
      <c r="KE67" s="248"/>
      <c r="KF67" s="248"/>
      <c r="KG67" s="248"/>
      <c r="KH67" s="248"/>
      <c r="KI67" s="248"/>
      <c r="KJ67" s="248"/>
      <c r="KK67" s="248"/>
      <c r="KL67" s="248"/>
      <c r="KM67" s="248"/>
      <c r="KN67" s="248"/>
      <c r="KO67" s="248"/>
      <c r="KP67" s="248"/>
      <c r="KQ67" s="248"/>
      <c r="KR67" s="248"/>
      <c r="KS67" s="248"/>
      <c r="KT67" s="248"/>
      <c r="KU67" s="248"/>
      <c r="KV67" s="248"/>
      <c r="KW67" s="248"/>
      <c r="KX67" s="248"/>
      <c r="KY67" s="248"/>
      <c r="KZ67" s="248"/>
      <c r="LA67" s="248"/>
      <c r="LB67" s="248"/>
      <c r="LC67" s="248"/>
      <c r="LD67" s="248"/>
      <c r="LE67" s="248"/>
      <c r="LF67" s="248"/>
      <c r="LG67" s="248"/>
      <c r="LH67" s="248"/>
      <c r="LI67" s="248"/>
      <c r="LJ67" s="248"/>
      <c r="LK67" s="248"/>
      <c r="LL67" s="248"/>
      <c r="LM67" s="248"/>
      <c r="LN67" s="248"/>
      <c r="LO67" s="248"/>
      <c r="LP67" s="248"/>
      <c r="LQ67" s="248"/>
      <c r="LR67" s="248"/>
      <c r="LS67" s="248"/>
      <c r="LT67" s="248"/>
      <c r="LU67" s="248"/>
      <c r="LV67" s="248"/>
      <c r="LW67" s="248"/>
      <c r="LX67" s="248"/>
      <c r="LY67" s="248"/>
      <c r="LZ67" s="248"/>
      <c r="MA67" s="248"/>
      <c r="MB67" s="248"/>
      <c r="MC67" s="248"/>
      <c r="MD67" s="248"/>
      <c r="ME67" s="248"/>
      <c r="MF67" s="248"/>
      <c r="MG67" s="248"/>
      <c r="MH67" s="248"/>
      <c r="MI67" s="248"/>
      <c r="MJ67" s="248"/>
      <c r="MK67" s="248"/>
      <c r="ML67" s="248"/>
      <c r="MM67" s="248"/>
      <c r="MN67" s="248"/>
      <c r="MO67" s="248"/>
      <c r="MP67" s="248"/>
      <c r="MQ67" s="248"/>
      <c r="MR67" s="248"/>
      <c r="MS67" s="248"/>
      <c r="MT67" s="248"/>
      <c r="MU67" s="248"/>
      <c r="MV67" s="248"/>
      <c r="MW67" s="248"/>
      <c r="MX67" s="248"/>
      <c r="MY67" s="248"/>
      <c r="MZ67" s="248"/>
      <c r="NA67" s="248"/>
      <c r="NB67" s="248"/>
      <c r="NC67" s="248"/>
      <c r="ND67" s="248"/>
      <c r="NE67" s="248"/>
      <c r="NF67" s="248"/>
      <c r="NG67" s="248"/>
      <c r="NH67" s="248"/>
      <c r="NI67" s="248"/>
      <c r="NJ67" s="248"/>
      <c r="NK67" s="248"/>
      <c r="NL67" s="248"/>
      <c r="NM67" s="248"/>
      <c r="NN67" s="248"/>
      <c r="NO67" s="248"/>
      <c r="NP67" s="248"/>
      <c r="NQ67" s="248"/>
      <c r="NR67" s="248"/>
      <c r="NS67" s="248"/>
      <c r="NT67" s="248"/>
      <c r="NU67" s="248"/>
      <c r="NV67" s="248"/>
      <c r="NW67" s="248"/>
      <c r="NX67" s="248"/>
      <c r="NY67" s="248"/>
      <c r="NZ67" s="248"/>
      <c r="OA67" s="248"/>
      <c r="OB67" s="248"/>
      <c r="OC67" s="248"/>
      <c r="OD67" s="248"/>
      <c r="OE67" s="248"/>
      <c r="OF67" s="248"/>
      <c r="OG67" s="248"/>
      <c r="OH67" s="248"/>
      <c r="OI67" s="248"/>
      <c r="OJ67" s="248"/>
      <c r="OK67" s="248"/>
      <c r="OL67" s="248"/>
      <c r="OM67" s="248"/>
      <c r="ON67" s="248"/>
      <c r="OO67" s="248"/>
      <c r="OP67" s="248"/>
      <c r="OQ67" s="248"/>
      <c r="OR67" s="248"/>
      <c r="OS67" s="248"/>
      <c r="OT67" s="248"/>
      <c r="OU67" s="248"/>
      <c r="OV67" s="248"/>
      <c r="OW67" s="248"/>
      <c r="OX67" s="248"/>
      <c r="OY67" s="248"/>
      <c r="OZ67" s="248"/>
      <c r="PA67" s="248"/>
      <c r="PB67" s="248"/>
      <c r="PC67" s="248"/>
      <c r="PD67" s="248"/>
      <c r="PE67" s="248"/>
      <c r="PF67" s="248"/>
      <c r="PG67" s="248"/>
      <c r="PH67" s="248"/>
      <c r="PI67" s="248"/>
      <c r="PJ67" s="248"/>
      <c r="PK67" s="248"/>
      <c r="PL67" s="248"/>
      <c r="PM67" s="248"/>
      <c r="PN67" s="248"/>
      <c r="PO67" s="248"/>
      <c r="PP67" s="248"/>
      <c r="PQ67" s="248"/>
      <c r="PR67" s="248"/>
      <c r="PS67" s="248"/>
      <c r="PT67" s="248"/>
      <c r="PU67" s="248"/>
      <c r="PV67" s="248"/>
      <c r="PW67" s="248"/>
      <c r="PX67" s="248"/>
      <c r="PY67" s="248"/>
      <c r="PZ67" s="248"/>
      <c r="QA67" s="248"/>
      <c r="QB67" s="248"/>
      <c r="QC67" s="248"/>
      <c r="QD67" s="248"/>
      <c r="QE67" s="248"/>
      <c r="QF67" s="248"/>
      <c r="QG67" s="248"/>
      <c r="QH67" s="248"/>
      <c r="QI67" s="248"/>
      <c r="QJ67" s="248"/>
      <c r="QK67" s="248"/>
      <c r="QL67" s="248"/>
      <c r="QM67" s="248"/>
      <c r="QN67" s="248"/>
      <c r="QO67" s="248"/>
      <c r="QP67" s="248"/>
      <c r="QQ67" s="248"/>
      <c r="QR67" s="248"/>
      <c r="QS67" s="248"/>
      <c r="QT67" s="248"/>
      <c r="QU67" s="248"/>
      <c r="QV67" s="248"/>
      <c r="QW67" s="248"/>
      <c r="QX67" s="248"/>
      <c r="QY67" s="248"/>
      <c r="QZ67" s="248"/>
      <c r="RA67" s="248"/>
      <c r="RB67" s="248"/>
      <c r="RC67" s="248"/>
      <c r="RD67" s="248"/>
      <c r="RE67" s="248"/>
      <c r="RF67" s="248"/>
      <c r="RG67" s="248"/>
      <c r="RH67" s="248"/>
      <c r="RI67" s="248"/>
      <c r="RJ67" s="248"/>
      <c r="RK67" s="248"/>
      <c r="RL67" s="248"/>
      <c r="RM67" s="248"/>
      <c r="RN67" s="248"/>
      <c r="RO67" s="248"/>
      <c r="RP67" s="248"/>
      <c r="RQ67" s="248"/>
      <c r="RR67" s="248"/>
      <c r="RS67" s="248"/>
      <c r="RT67" s="248"/>
      <c r="RU67" s="248"/>
      <c r="RV67" s="248"/>
      <c r="RW67" s="248"/>
      <c r="RX67" s="248"/>
      <c r="RY67" s="248"/>
      <c r="RZ67" s="248"/>
      <c r="SA67" s="248"/>
      <c r="SB67" s="248"/>
      <c r="SC67" s="248"/>
      <c r="SD67" s="248"/>
      <c r="SE67" s="248"/>
      <c r="SF67" s="248"/>
      <c r="SG67" s="248"/>
      <c r="SH67" s="248"/>
      <c r="SI67" s="248"/>
      <c r="SJ67" s="248"/>
      <c r="SK67" s="248"/>
      <c r="SL67" s="248"/>
      <c r="SM67" s="248"/>
      <c r="SN67" s="248"/>
      <c r="SO67" s="248"/>
      <c r="SP67" s="248"/>
      <c r="SQ67" s="248"/>
      <c r="SR67" s="248"/>
      <c r="SS67" s="248"/>
      <c r="ST67" s="248"/>
      <c r="SU67" s="248"/>
      <c r="SV67" s="248"/>
      <c r="SW67" s="248"/>
      <c r="SX67" s="248"/>
      <c r="SY67" s="248"/>
      <c r="SZ67" s="248"/>
      <c r="TA67" s="248"/>
      <c r="TB67" s="248"/>
      <c r="TC67" s="248"/>
      <c r="TD67" s="248"/>
      <c r="TE67" s="248"/>
      <c r="TF67" s="248"/>
      <c r="TG67" s="248"/>
      <c r="TH67" s="248"/>
      <c r="TI67" s="248"/>
      <c r="TJ67" s="248"/>
      <c r="TK67" s="248"/>
      <c r="TL67" s="248"/>
      <c r="TM67" s="248"/>
      <c r="TN67" s="248"/>
      <c r="TO67" s="248"/>
      <c r="TP67" s="248"/>
      <c r="TQ67" s="248"/>
      <c r="TR67" s="248"/>
      <c r="TS67" s="248"/>
      <c r="TT67" s="248"/>
      <c r="TU67" s="248"/>
      <c r="TV67" s="248"/>
      <c r="TW67" s="248"/>
      <c r="TX67" s="248"/>
      <c r="TY67" s="248"/>
      <c r="TZ67" s="248"/>
      <c r="UA67" s="248"/>
      <c r="UB67" s="248"/>
      <c r="UC67" s="248"/>
      <c r="UD67" s="248"/>
      <c r="UE67" s="248"/>
      <c r="UF67" s="248"/>
      <c r="UG67" s="248"/>
      <c r="UH67" s="248"/>
      <c r="UI67" s="248"/>
      <c r="UJ67" s="248"/>
      <c r="UK67" s="248"/>
      <c r="UL67" s="248"/>
      <c r="UM67" s="248"/>
      <c r="UN67" s="248"/>
      <c r="UO67" s="248"/>
      <c r="UP67" s="248"/>
      <c r="UQ67" s="248"/>
      <c r="UR67" s="248"/>
      <c r="US67" s="248"/>
      <c r="UT67" s="248"/>
      <c r="UU67" s="248"/>
      <c r="UV67" s="248"/>
      <c r="UW67" s="248"/>
      <c r="UX67" s="248"/>
      <c r="UY67" s="248"/>
      <c r="UZ67" s="248"/>
      <c r="VA67" s="248"/>
      <c r="VB67" s="248"/>
      <c r="VC67" s="248"/>
      <c r="VD67" s="248"/>
      <c r="VE67" s="248"/>
      <c r="VF67" s="248"/>
      <c r="VG67" s="248"/>
      <c r="VH67" s="248"/>
      <c r="VI67" s="248"/>
      <c r="VJ67" s="248"/>
      <c r="VK67" s="248"/>
      <c r="VL67" s="248"/>
      <c r="VM67" s="248"/>
      <c r="VN67" s="248"/>
      <c r="VO67" s="248"/>
      <c r="VP67" s="248"/>
      <c r="VQ67" s="248"/>
      <c r="VR67" s="248"/>
      <c r="VS67" s="248"/>
      <c r="VT67" s="248"/>
      <c r="VU67" s="248"/>
      <c r="VV67" s="248"/>
      <c r="VW67" s="248"/>
      <c r="VX67" s="248"/>
      <c r="VY67" s="248"/>
      <c r="VZ67" s="248"/>
      <c r="WA67" s="248"/>
      <c r="WB67" s="248"/>
      <c r="WC67" s="248"/>
      <c r="WD67" s="248"/>
      <c r="WE67" s="248"/>
      <c r="WF67" s="248"/>
      <c r="WG67" s="248"/>
      <c r="WH67" s="248"/>
      <c r="WI67" s="248"/>
      <c r="WJ67" s="248"/>
      <c r="WK67" s="248"/>
      <c r="WL67" s="248"/>
      <c r="WM67" s="248"/>
      <c r="WN67" s="248"/>
      <c r="WO67" s="248"/>
      <c r="WP67" s="248"/>
      <c r="WQ67" s="248"/>
      <c r="WR67" s="248"/>
      <c r="WS67" s="248"/>
      <c r="WT67" s="248"/>
      <c r="WU67" s="248"/>
      <c r="WV67" s="248"/>
      <c r="WW67" s="248"/>
      <c r="WX67" s="248"/>
      <c r="WY67" s="248"/>
      <c r="WZ67" s="248"/>
      <c r="XA67" s="248"/>
      <c r="XB67" s="248"/>
      <c r="XC67" s="248"/>
      <c r="XD67" s="248"/>
      <c r="XE67" s="248"/>
      <c r="XF67" s="248"/>
      <c r="XG67" s="248"/>
      <c r="XH67" s="248"/>
      <c r="XI67" s="248"/>
      <c r="XJ67" s="248"/>
      <c r="XK67" s="248"/>
      <c r="XL67" s="248"/>
      <c r="XM67" s="248"/>
      <c r="XN67" s="248"/>
      <c r="XO67" s="248"/>
      <c r="XP67" s="248"/>
      <c r="XQ67" s="248"/>
      <c r="XR67" s="248"/>
      <c r="XS67" s="248"/>
      <c r="XT67" s="248"/>
      <c r="XU67" s="248"/>
      <c r="XV67" s="248"/>
      <c r="XW67" s="248"/>
      <c r="XX67" s="248"/>
      <c r="XY67" s="248"/>
      <c r="XZ67" s="248"/>
      <c r="YA67" s="248"/>
      <c r="YB67" s="248"/>
      <c r="YC67" s="248"/>
      <c r="YD67" s="248"/>
      <c r="YE67" s="248"/>
      <c r="YF67" s="248"/>
      <c r="YG67" s="248"/>
      <c r="YH67" s="248"/>
      <c r="YI67" s="248"/>
      <c r="YJ67" s="248"/>
      <c r="YK67" s="248"/>
      <c r="YL67" s="248"/>
      <c r="YM67" s="248"/>
      <c r="YN67" s="248"/>
      <c r="YO67" s="248"/>
      <c r="YP67" s="248"/>
      <c r="YQ67" s="248"/>
      <c r="YR67" s="248"/>
      <c r="YS67" s="248"/>
      <c r="YT67" s="248"/>
      <c r="YU67" s="248"/>
      <c r="YV67" s="248"/>
      <c r="YW67" s="248"/>
      <c r="YX67" s="248"/>
      <c r="YY67" s="248"/>
      <c r="YZ67" s="248"/>
      <c r="ZA67" s="248"/>
      <c r="ZB67" s="248"/>
      <c r="ZC67" s="248"/>
      <c r="ZD67" s="248"/>
      <c r="ZE67" s="248"/>
      <c r="ZF67" s="248"/>
      <c r="ZG67" s="248"/>
      <c r="ZH67" s="248"/>
      <c r="ZI67" s="248"/>
      <c r="ZJ67" s="248"/>
      <c r="ZK67" s="248"/>
      <c r="ZL67" s="248"/>
      <c r="ZM67" s="248"/>
      <c r="ZN67" s="248"/>
      <c r="ZO67" s="248"/>
      <c r="ZP67" s="248"/>
      <c r="ZQ67" s="248"/>
      <c r="ZR67" s="248"/>
      <c r="ZS67" s="248"/>
      <c r="ZT67" s="248"/>
      <c r="ZU67" s="248"/>
      <c r="ZV67" s="248"/>
      <c r="ZW67" s="248"/>
      <c r="ZX67" s="248"/>
      <c r="ZY67" s="248"/>
      <c r="ZZ67" s="248"/>
      <c r="AAA67" s="248"/>
      <c r="AAB67" s="248"/>
      <c r="AAC67" s="248"/>
      <c r="AAD67" s="248"/>
      <c r="AAE67" s="248"/>
      <c r="AAF67" s="248"/>
      <c r="AAG67" s="248"/>
      <c r="AAH67" s="248"/>
      <c r="AAI67" s="248"/>
      <c r="AAJ67" s="248"/>
      <c r="AAK67" s="248"/>
      <c r="AAL67" s="248"/>
      <c r="AAM67" s="248"/>
      <c r="AAN67" s="248"/>
      <c r="AAO67" s="248"/>
      <c r="AAP67" s="248"/>
      <c r="AAQ67" s="248"/>
      <c r="AAR67" s="248"/>
      <c r="AAS67" s="248"/>
      <c r="AAT67" s="248"/>
      <c r="AAU67" s="248"/>
      <c r="AAV67" s="248"/>
      <c r="AAW67" s="248"/>
      <c r="AAX67" s="248"/>
      <c r="AAY67" s="248"/>
      <c r="AAZ67" s="248"/>
      <c r="ABA67" s="248"/>
      <c r="ABB67" s="248"/>
      <c r="ABC67" s="248"/>
      <c r="ABD67" s="248"/>
      <c r="ABE67" s="248"/>
      <c r="ABF67" s="248"/>
      <c r="ABG67" s="248"/>
      <c r="ABH67" s="248"/>
      <c r="ABI67" s="248"/>
      <c r="ABJ67" s="248"/>
      <c r="ABK67" s="248"/>
      <c r="ABL67" s="248"/>
      <c r="ABM67" s="248"/>
      <c r="ABN67" s="248"/>
      <c r="ABO67" s="248"/>
      <c r="ABP67" s="248"/>
      <c r="ABQ67" s="248"/>
      <c r="ABR67" s="248"/>
      <c r="ABS67" s="248"/>
      <c r="ABT67" s="248"/>
      <c r="ABU67" s="248"/>
      <c r="ABV67" s="248"/>
      <c r="ABW67" s="248"/>
      <c r="ABX67" s="248"/>
      <c r="ABY67" s="248"/>
      <c r="ABZ67" s="248"/>
      <c r="ACA67" s="248"/>
      <c r="ACB67" s="248"/>
      <c r="ACC67" s="248"/>
      <c r="ACD67" s="248"/>
      <c r="ACE67" s="248"/>
      <c r="ACF67" s="248"/>
      <c r="ACG67" s="248"/>
      <c r="ACH67" s="248"/>
      <c r="ACI67" s="248"/>
      <c r="ACJ67" s="248"/>
      <c r="ACK67" s="248"/>
      <c r="ACL67" s="248"/>
      <c r="ACM67" s="248"/>
      <c r="ACN67" s="248"/>
      <c r="ACO67" s="248"/>
      <c r="ACP67" s="248"/>
      <c r="ACQ67" s="248"/>
      <c r="ACR67" s="248"/>
      <c r="ACS67" s="248"/>
      <c r="ACT67" s="248"/>
      <c r="ACU67" s="248"/>
      <c r="ACV67" s="248"/>
      <c r="ACW67" s="248"/>
      <c r="ACX67" s="248"/>
      <c r="ACY67" s="248"/>
      <c r="ACZ67" s="248"/>
      <c r="ADA67" s="248"/>
      <c r="ADB67" s="248"/>
      <c r="ADC67" s="248"/>
      <c r="ADD67" s="248"/>
      <c r="ADE67" s="248"/>
      <c r="ADF67" s="248"/>
      <c r="ADG67" s="248"/>
      <c r="ADH67" s="248"/>
      <c r="ADI67" s="248"/>
      <c r="ADJ67" s="248"/>
      <c r="ADK67" s="248"/>
      <c r="ADL67" s="248"/>
      <c r="ADM67" s="248"/>
      <c r="ADN67" s="248"/>
      <c r="ADO67" s="248"/>
      <c r="ADP67" s="248"/>
      <c r="ADQ67" s="248"/>
      <c r="ADR67" s="248"/>
      <c r="ADS67" s="248"/>
      <c r="ADT67" s="248"/>
      <c r="ADU67" s="248"/>
      <c r="ADV67" s="248"/>
      <c r="ADW67" s="248"/>
      <c r="ADX67" s="248"/>
      <c r="ADY67" s="248"/>
      <c r="ADZ67" s="248"/>
      <c r="AEA67" s="248"/>
      <c r="AEB67" s="248"/>
      <c r="AEC67" s="248"/>
      <c r="AED67" s="248"/>
      <c r="AEE67" s="248"/>
      <c r="AEF67" s="248"/>
      <c r="AEG67" s="248"/>
      <c r="AEH67" s="248"/>
      <c r="AEI67" s="248"/>
      <c r="AEJ67" s="248"/>
      <c r="AEK67" s="248"/>
      <c r="AEL67" s="248"/>
      <c r="AEM67" s="248"/>
      <c r="AEN67" s="248"/>
      <c r="AEO67" s="248"/>
      <c r="AEP67" s="248"/>
      <c r="AEQ67" s="248"/>
      <c r="AER67" s="248"/>
      <c r="AES67" s="248"/>
      <c r="AET67" s="248"/>
      <c r="AEU67" s="248"/>
      <c r="AEV67" s="248"/>
      <c r="AEW67" s="248"/>
      <c r="AEX67" s="248"/>
      <c r="AEY67" s="248"/>
      <c r="AEZ67" s="248"/>
      <c r="AFA67" s="248"/>
      <c r="AFB67" s="248"/>
      <c r="AFC67" s="248"/>
      <c r="AFD67" s="248"/>
      <c r="AFE67" s="248"/>
      <c r="AFF67" s="248"/>
      <c r="AFG67" s="248"/>
      <c r="AFH67" s="248"/>
      <c r="AFI67" s="248"/>
      <c r="AFJ67" s="248"/>
      <c r="AFK67" s="248"/>
      <c r="AFL67" s="248"/>
      <c r="AFM67" s="248"/>
      <c r="AFN67" s="248"/>
      <c r="AFO67" s="248"/>
      <c r="AFP67" s="248"/>
      <c r="AFQ67" s="248"/>
      <c r="AFR67" s="248"/>
      <c r="AFS67" s="248"/>
      <c r="AFT67" s="248"/>
      <c r="AFU67" s="248"/>
      <c r="AFV67" s="248"/>
      <c r="AFW67" s="248"/>
      <c r="AFX67" s="248"/>
      <c r="AFY67" s="248"/>
      <c r="AFZ67" s="248"/>
      <c r="AGA67" s="248"/>
      <c r="AGB67" s="248"/>
      <c r="AGC67" s="248"/>
      <c r="AGD67" s="248"/>
      <c r="AGE67" s="248"/>
      <c r="AGF67" s="248"/>
      <c r="AGG67" s="248"/>
      <c r="AGH67" s="248"/>
      <c r="AGI67" s="248"/>
      <c r="AGJ67" s="248"/>
      <c r="AGK67" s="248"/>
      <c r="AGL67" s="248"/>
      <c r="AGM67" s="248"/>
      <c r="AGN67" s="248"/>
      <c r="AGO67" s="248"/>
      <c r="AGP67" s="248"/>
      <c r="AGQ67" s="248"/>
      <c r="AGR67" s="248"/>
      <c r="AGS67" s="248"/>
      <c r="AGT67" s="248"/>
      <c r="AGU67" s="248"/>
      <c r="AGV67" s="248"/>
      <c r="AGW67" s="248"/>
      <c r="AGX67" s="248"/>
      <c r="AGY67" s="248"/>
      <c r="AGZ67" s="248"/>
      <c r="AHA67" s="248"/>
      <c r="AHB67" s="248"/>
      <c r="AHC67" s="248"/>
      <c r="AHD67" s="248"/>
      <c r="AHE67" s="248"/>
      <c r="AHF67" s="248"/>
      <c r="AHG67" s="248"/>
      <c r="AHH67" s="248"/>
      <c r="AHI67" s="248"/>
      <c r="AHJ67" s="248"/>
      <c r="AHK67" s="248"/>
      <c r="AHL67" s="248"/>
      <c r="AHM67" s="248"/>
      <c r="AHN67" s="248"/>
      <c r="AHO67" s="248"/>
      <c r="AHP67" s="248"/>
      <c r="AHQ67" s="248"/>
      <c r="AHR67" s="248"/>
      <c r="AHS67" s="248"/>
      <c r="AHT67" s="248"/>
      <c r="AHU67" s="248"/>
      <c r="AHV67" s="248"/>
      <c r="AHW67" s="248"/>
      <c r="AHX67" s="248"/>
      <c r="AHY67" s="248"/>
      <c r="AHZ67" s="248"/>
      <c r="AIA67" s="248"/>
      <c r="AIB67" s="248"/>
      <c r="AIC67" s="248"/>
      <c r="AID67" s="248"/>
      <c r="AIE67" s="248"/>
      <c r="AIF67" s="248"/>
    </row>
    <row r="68" spans="1:916">
      <c r="J68" s="388"/>
      <c r="K68" s="388"/>
      <c r="L68" s="388"/>
      <c r="O68" s="388"/>
      <c r="W68" s="106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  <c r="EO68" s="102"/>
      <c r="EP68" s="102"/>
      <c r="EQ68" s="102"/>
      <c r="ER68" s="102"/>
      <c r="ES68" s="102"/>
      <c r="ET68" s="102"/>
      <c r="EU68" s="102"/>
      <c r="EV68" s="102"/>
      <c r="EW68" s="102"/>
      <c r="EX68" s="102"/>
      <c r="EY68" s="102"/>
      <c r="EZ68" s="102"/>
      <c r="FA68" s="102"/>
      <c r="FB68" s="102"/>
      <c r="FC68" s="102"/>
      <c r="FD68" s="102"/>
      <c r="FE68" s="102"/>
      <c r="FF68" s="102"/>
      <c r="FG68" s="102"/>
      <c r="FH68" s="102"/>
      <c r="FI68" s="102"/>
      <c r="FJ68" s="102"/>
      <c r="FK68" s="102"/>
      <c r="FL68" s="102"/>
      <c r="FM68" s="102"/>
      <c r="FN68" s="102"/>
      <c r="FO68" s="102"/>
      <c r="FP68" s="102"/>
      <c r="FQ68" s="102"/>
      <c r="FR68" s="102"/>
      <c r="FS68" s="102"/>
      <c r="FT68" s="102"/>
      <c r="FU68" s="102"/>
      <c r="FV68" s="248"/>
      <c r="FW68" s="248"/>
      <c r="FX68" s="248"/>
      <c r="FY68" s="248"/>
      <c r="FZ68" s="248"/>
      <c r="GA68" s="248"/>
      <c r="GB68" s="248"/>
      <c r="GC68" s="248"/>
      <c r="GD68" s="248"/>
      <c r="GE68" s="248"/>
      <c r="GF68" s="248"/>
      <c r="GG68" s="248"/>
      <c r="GH68" s="248"/>
      <c r="GI68" s="248"/>
      <c r="GJ68" s="248"/>
      <c r="GK68" s="248"/>
      <c r="GL68" s="248"/>
      <c r="GM68" s="248"/>
      <c r="GN68" s="248"/>
      <c r="GO68" s="248"/>
      <c r="GP68" s="248"/>
      <c r="GQ68" s="248"/>
      <c r="GR68" s="248"/>
      <c r="GS68" s="248"/>
      <c r="GT68" s="248"/>
      <c r="GU68" s="248"/>
      <c r="GV68" s="248"/>
      <c r="GW68" s="248"/>
      <c r="GX68" s="248"/>
      <c r="GY68" s="248"/>
      <c r="GZ68" s="248"/>
      <c r="HA68" s="248"/>
      <c r="HB68" s="248"/>
      <c r="HC68" s="248"/>
      <c r="HD68" s="248"/>
      <c r="HE68" s="248"/>
      <c r="HF68" s="248"/>
      <c r="HG68" s="248"/>
      <c r="HH68" s="248"/>
      <c r="HI68" s="248"/>
      <c r="HJ68" s="248"/>
      <c r="HK68" s="248"/>
      <c r="HL68" s="248"/>
      <c r="HM68" s="248"/>
      <c r="HN68" s="248"/>
      <c r="HO68" s="248"/>
      <c r="HP68" s="248"/>
      <c r="HQ68" s="248"/>
      <c r="HR68" s="248"/>
      <c r="HS68" s="248"/>
      <c r="HT68" s="248"/>
      <c r="HU68" s="248"/>
      <c r="HV68" s="248"/>
      <c r="HW68" s="248"/>
      <c r="HX68" s="248"/>
      <c r="HY68" s="248"/>
      <c r="HZ68" s="248"/>
      <c r="IA68" s="248"/>
      <c r="IB68" s="248"/>
      <c r="IC68" s="248"/>
      <c r="ID68" s="248"/>
      <c r="IE68" s="248"/>
      <c r="IF68" s="248"/>
      <c r="IG68" s="248"/>
      <c r="IH68" s="248"/>
      <c r="II68" s="248"/>
      <c r="IJ68" s="248"/>
      <c r="IK68" s="248"/>
      <c r="IL68" s="248"/>
      <c r="IM68" s="248"/>
      <c r="IN68" s="248"/>
      <c r="IO68" s="248"/>
      <c r="IP68" s="248"/>
      <c r="IQ68" s="248"/>
      <c r="IR68" s="248"/>
      <c r="IS68" s="248"/>
      <c r="IT68" s="248"/>
      <c r="IU68" s="248"/>
      <c r="IV68" s="248"/>
      <c r="IW68" s="248"/>
      <c r="IX68" s="248"/>
      <c r="IY68" s="248"/>
      <c r="IZ68" s="248"/>
      <c r="JA68" s="248"/>
      <c r="JB68" s="248"/>
      <c r="JC68" s="248"/>
      <c r="JD68" s="248"/>
      <c r="JE68" s="248"/>
      <c r="JF68" s="248"/>
      <c r="JG68" s="248"/>
      <c r="JH68" s="248"/>
      <c r="JI68" s="248"/>
      <c r="JJ68" s="248"/>
      <c r="JK68" s="248"/>
      <c r="JL68" s="248"/>
      <c r="JM68" s="248"/>
      <c r="JN68" s="248"/>
      <c r="JO68" s="248"/>
      <c r="JP68" s="248"/>
      <c r="JQ68" s="248"/>
      <c r="JR68" s="248"/>
      <c r="JS68" s="248"/>
      <c r="JT68" s="248"/>
      <c r="JU68" s="248"/>
      <c r="JV68" s="248"/>
      <c r="JW68" s="248"/>
      <c r="JX68" s="248"/>
      <c r="JY68" s="248"/>
      <c r="JZ68" s="248"/>
      <c r="KA68" s="248"/>
      <c r="KB68" s="248"/>
      <c r="KC68" s="248"/>
      <c r="KD68" s="248"/>
      <c r="KE68" s="248"/>
      <c r="KF68" s="248"/>
      <c r="KG68" s="248"/>
      <c r="KH68" s="248"/>
      <c r="KI68" s="248"/>
      <c r="KJ68" s="248"/>
      <c r="KK68" s="248"/>
      <c r="KL68" s="248"/>
      <c r="KM68" s="248"/>
      <c r="KN68" s="248"/>
      <c r="KO68" s="248"/>
      <c r="KP68" s="248"/>
      <c r="KQ68" s="248"/>
      <c r="KR68" s="248"/>
      <c r="KS68" s="248"/>
      <c r="KT68" s="248"/>
      <c r="KU68" s="248"/>
      <c r="KV68" s="248"/>
      <c r="KW68" s="248"/>
      <c r="KX68" s="248"/>
      <c r="KY68" s="248"/>
      <c r="KZ68" s="248"/>
      <c r="LA68" s="248"/>
      <c r="LB68" s="248"/>
      <c r="LC68" s="248"/>
      <c r="LD68" s="248"/>
      <c r="LE68" s="248"/>
      <c r="LF68" s="248"/>
      <c r="LG68" s="248"/>
      <c r="LH68" s="248"/>
      <c r="LI68" s="248"/>
      <c r="LJ68" s="248"/>
      <c r="LK68" s="248"/>
      <c r="LL68" s="248"/>
      <c r="LM68" s="248"/>
      <c r="LN68" s="248"/>
      <c r="LO68" s="248"/>
      <c r="LP68" s="248"/>
      <c r="LQ68" s="248"/>
      <c r="LR68" s="248"/>
      <c r="LS68" s="248"/>
      <c r="LT68" s="248"/>
      <c r="LU68" s="248"/>
      <c r="LV68" s="248"/>
      <c r="LW68" s="248"/>
      <c r="LX68" s="248"/>
      <c r="LY68" s="248"/>
      <c r="LZ68" s="248"/>
      <c r="MA68" s="248"/>
      <c r="MB68" s="248"/>
      <c r="MC68" s="248"/>
      <c r="MD68" s="248"/>
      <c r="ME68" s="248"/>
      <c r="MF68" s="248"/>
      <c r="MG68" s="248"/>
      <c r="MH68" s="248"/>
      <c r="MI68" s="248"/>
      <c r="MJ68" s="248"/>
      <c r="MK68" s="248"/>
      <c r="ML68" s="248"/>
      <c r="MM68" s="248"/>
      <c r="MN68" s="248"/>
      <c r="MO68" s="248"/>
      <c r="MP68" s="248"/>
      <c r="MQ68" s="248"/>
      <c r="MR68" s="248"/>
      <c r="MS68" s="248"/>
      <c r="MT68" s="248"/>
      <c r="MU68" s="248"/>
      <c r="MV68" s="248"/>
      <c r="MW68" s="248"/>
      <c r="MX68" s="248"/>
      <c r="MY68" s="248"/>
      <c r="MZ68" s="248"/>
      <c r="NA68" s="248"/>
      <c r="NB68" s="248"/>
      <c r="NC68" s="248"/>
      <c r="ND68" s="248"/>
      <c r="NE68" s="248"/>
      <c r="NF68" s="248"/>
      <c r="NG68" s="248"/>
      <c r="NH68" s="248"/>
      <c r="NI68" s="248"/>
      <c r="NJ68" s="248"/>
      <c r="NK68" s="248"/>
      <c r="NL68" s="248"/>
      <c r="NM68" s="248"/>
      <c r="NN68" s="248"/>
      <c r="NO68" s="248"/>
      <c r="NP68" s="248"/>
      <c r="NQ68" s="248"/>
      <c r="NR68" s="248"/>
      <c r="NS68" s="248"/>
      <c r="NT68" s="248"/>
      <c r="NU68" s="248"/>
      <c r="NV68" s="248"/>
      <c r="NW68" s="248"/>
      <c r="NX68" s="248"/>
      <c r="NY68" s="248"/>
      <c r="NZ68" s="248"/>
      <c r="OA68" s="248"/>
      <c r="OB68" s="248"/>
      <c r="OC68" s="248"/>
      <c r="OD68" s="248"/>
      <c r="OE68" s="248"/>
      <c r="OF68" s="248"/>
      <c r="OG68" s="248"/>
      <c r="OH68" s="248"/>
      <c r="OI68" s="248"/>
      <c r="OJ68" s="248"/>
      <c r="OK68" s="248"/>
      <c r="OL68" s="248"/>
      <c r="OM68" s="248"/>
      <c r="ON68" s="248"/>
      <c r="OO68" s="248"/>
      <c r="OP68" s="248"/>
      <c r="OQ68" s="248"/>
      <c r="OR68" s="248"/>
      <c r="OS68" s="248"/>
      <c r="OT68" s="248"/>
      <c r="OU68" s="248"/>
      <c r="OV68" s="248"/>
      <c r="OW68" s="248"/>
      <c r="OX68" s="248"/>
      <c r="OY68" s="248"/>
      <c r="OZ68" s="248"/>
      <c r="PA68" s="248"/>
      <c r="PB68" s="248"/>
      <c r="PC68" s="248"/>
      <c r="PD68" s="248"/>
      <c r="PE68" s="248"/>
      <c r="PF68" s="248"/>
      <c r="PG68" s="248"/>
      <c r="PH68" s="248"/>
      <c r="PI68" s="248"/>
      <c r="PJ68" s="248"/>
      <c r="PK68" s="248"/>
      <c r="PL68" s="248"/>
      <c r="PM68" s="248"/>
      <c r="PN68" s="248"/>
      <c r="PO68" s="248"/>
      <c r="PP68" s="248"/>
      <c r="PQ68" s="248"/>
      <c r="PR68" s="248"/>
      <c r="PS68" s="248"/>
      <c r="PT68" s="248"/>
      <c r="PU68" s="248"/>
      <c r="PV68" s="248"/>
      <c r="PW68" s="248"/>
      <c r="PX68" s="248"/>
      <c r="PY68" s="248"/>
      <c r="PZ68" s="248"/>
      <c r="QA68" s="248"/>
      <c r="QB68" s="248"/>
      <c r="QC68" s="248"/>
      <c r="QD68" s="248"/>
      <c r="QE68" s="248"/>
      <c r="QF68" s="248"/>
      <c r="QG68" s="248"/>
      <c r="QH68" s="248"/>
      <c r="QI68" s="248"/>
      <c r="QJ68" s="248"/>
      <c r="QK68" s="248"/>
      <c r="QL68" s="248"/>
      <c r="QM68" s="248"/>
      <c r="QN68" s="248"/>
      <c r="QO68" s="248"/>
      <c r="QP68" s="248"/>
      <c r="QQ68" s="248"/>
      <c r="QR68" s="248"/>
      <c r="QS68" s="248"/>
      <c r="QT68" s="248"/>
      <c r="QU68" s="248"/>
      <c r="QV68" s="248"/>
      <c r="QW68" s="248"/>
      <c r="QX68" s="248"/>
      <c r="QY68" s="248"/>
      <c r="QZ68" s="248"/>
      <c r="RA68" s="248"/>
      <c r="RB68" s="248"/>
      <c r="RC68" s="248"/>
      <c r="RD68" s="248"/>
      <c r="RE68" s="248"/>
      <c r="RF68" s="248"/>
      <c r="RG68" s="248"/>
      <c r="RH68" s="248"/>
      <c r="RI68" s="248"/>
      <c r="RJ68" s="248"/>
      <c r="RK68" s="248"/>
      <c r="RL68" s="248"/>
      <c r="RM68" s="248"/>
      <c r="RN68" s="248"/>
      <c r="RO68" s="248"/>
      <c r="RP68" s="248"/>
      <c r="RQ68" s="248"/>
      <c r="RR68" s="248"/>
      <c r="RS68" s="248"/>
      <c r="RT68" s="248"/>
      <c r="RU68" s="248"/>
      <c r="RV68" s="248"/>
      <c r="RW68" s="248"/>
      <c r="RX68" s="248"/>
      <c r="RY68" s="248"/>
      <c r="RZ68" s="248"/>
      <c r="SA68" s="248"/>
      <c r="SB68" s="248"/>
      <c r="SC68" s="248"/>
      <c r="SD68" s="248"/>
      <c r="SE68" s="248"/>
      <c r="SF68" s="248"/>
      <c r="SG68" s="248"/>
      <c r="SH68" s="248"/>
      <c r="SI68" s="248"/>
      <c r="SJ68" s="248"/>
      <c r="SK68" s="248"/>
      <c r="SL68" s="248"/>
      <c r="SM68" s="248"/>
      <c r="SN68" s="248"/>
      <c r="SO68" s="248"/>
      <c r="SP68" s="248"/>
      <c r="SQ68" s="248"/>
      <c r="SR68" s="248"/>
      <c r="SS68" s="248"/>
      <c r="ST68" s="248"/>
      <c r="SU68" s="248"/>
      <c r="SV68" s="248"/>
      <c r="SW68" s="248"/>
      <c r="SX68" s="248"/>
      <c r="SY68" s="248"/>
      <c r="SZ68" s="248"/>
      <c r="TA68" s="248"/>
      <c r="TB68" s="248"/>
      <c r="TC68" s="248"/>
      <c r="TD68" s="248"/>
      <c r="TE68" s="248"/>
      <c r="TF68" s="248"/>
      <c r="TG68" s="248"/>
      <c r="TH68" s="248"/>
      <c r="TI68" s="248"/>
      <c r="TJ68" s="248"/>
      <c r="TK68" s="248"/>
      <c r="TL68" s="248"/>
      <c r="TM68" s="248"/>
      <c r="TN68" s="248"/>
      <c r="TO68" s="248"/>
      <c r="TP68" s="248"/>
      <c r="TQ68" s="248"/>
      <c r="TR68" s="248"/>
      <c r="TS68" s="248"/>
      <c r="TT68" s="248"/>
      <c r="TU68" s="248"/>
      <c r="TV68" s="248"/>
      <c r="TW68" s="248"/>
      <c r="TX68" s="248"/>
      <c r="TY68" s="248"/>
      <c r="TZ68" s="248"/>
      <c r="UA68" s="248"/>
      <c r="UB68" s="248"/>
      <c r="UC68" s="248"/>
      <c r="UD68" s="248"/>
      <c r="UE68" s="248"/>
      <c r="UF68" s="248"/>
      <c r="UG68" s="248"/>
      <c r="UH68" s="248"/>
      <c r="UI68" s="248"/>
      <c r="UJ68" s="248"/>
      <c r="UK68" s="248"/>
      <c r="UL68" s="248"/>
      <c r="UM68" s="248"/>
      <c r="UN68" s="248"/>
      <c r="UO68" s="248"/>
      <c r="UP68" s="248"/>
      <c r="UQ68" s="248"/>
      <c r="UR68" s="248"/>
      <c r="US68" s="248"/>
      <c r="UT68" s="248"/>
      <c r="UU68" s="248"/>
      <c r="UV68" s="248"/>
      <c r="UW68" s="248"/>
      <c r="UX68" s="248"/>
      <c r="UY68" s="248"/>
      <c r="UZ68" s="248"/>
      <c r="VA68" s="248"/>
      <c r="VB68" s="248"/>
      <c r="VC68" s="248"/>
      <c r="VD68" s="248"/>
      <c r="VE68" s="248"/>
      <c r="VF68" s="248"/>
      <c r="VG68" s="248"/>
      <c r="VH68" s="248"/>
      <c r="VI68" s="248"/>
      <c r="VJ68" s="248"/>
      <c r="VK68" s="248"/>
      <c r="VL68" s="248"/>
      <c r="VM68" s="248"/>
      <c r="VN68" s="248"/>
      <c r="VO68" s="248"/>
      <c r="VP68" s="248"/>
      <c r="VQ68" s="248"/>
      <c r="VR68" s="248"/>
      <c r="VS68" s="248"/>
      <c r="VT68" s="248"/>
      <c r="VU68" s="248"/>
      <c r="VV68" s="248"/>
      <c r="VW68" s="248"/>
      <c r="VX68" s="248"/>
      <c r="VY68" s="248"/>
      <c r="VZ68" s="248"/>
      <c r="WA68" s="248"/>
      <c r="WB68" s="248"/>
      <c r="WC68" s="248"/>
      <c r="WD68" s="248"/>
      <c r="WE68" s="248"/>
      <c r="WF68" s="248"/>
      <c r="WG68" s="248"/>
      <c r="WH68" s="248"/>
      <c r="WI68" s="248"/>
      <c r="WJ68" s="248"/>
      <c r="WK68" s="248"/>
      <c r="WL68" s="248"/>
      <c r="WM68" s="248"/>
      <c r="WN68" s="248"/>
      <c r="WO68" s="248"/>
      <c r="WP68" s="248"/>
      <c r="WQ68" s="248"/>
      <c r="WR68" s="248"/>
      <c r="WS68" s="248"/>
      <c r="WT68" s="248"/>
      <c r="WU68" s="248"/>
      <c r="WV68" s="248"/>
      <c r="WW68" s="248"/>
      <c r="WX68" s="248"/>
      <c r="WY68" s="248"/>
      <c r="WZ68" s="248"/>
      <c r="XA68" s="248"/>
      <c r="XB68" s="248"/>
      <c r="XC68" s="248"/>
      <c r="XD68" s="248"/>
      <c r="XE68" s="248"/>
      <c r="XF68" s="248"/>
      <c r="XG68" s="248"/>
      <c r="XH68" s="248"/>
      <c r="XI68" s="248"/>
      <c r="XJ68" s="248"/>
      <c r="XK68" s="248"/>
      <c r="XL68" s="248"/>
      <c r="XM68" s="248"/>
      <c r="XN68" s="248"/>
      <c r="XO68" s="248"/>
      <c r="XP68" s="248"/>
      <c r="XQ68" s="248"/>
      <c r="XR68" s="248"/>
      <c r="XS68" s="248"/>
      <c r="XT68" s="248"/>
      <c r="XU68" s="248"/>
      <c r="XV68" s="248"/>
      <c r="XW68" s="248"/>
      <c r="XX68" s="248"/>
      <c r="XY68" s="248"/>
      <c r="XZ68" s="248"/>
      <c r="YA68" s="248"/>
      <c r="YB68" s="248"/>
      <c r="YC68" s="248"/>
      <c r="YD68" s="248"/>
      <c r="YE68" s="248"/>
      <c r="YF68" s="248"/>
      <c r="YG68" s="248"/>
      <c r="YH68" s="248"/>
      <c r="YI68" s="248"/>
      <c r="YJ68" s="248"/>
      <c r="YK68" s="248"/>
      <c r="YL68" s="248"/>
      <c r="YM68" s="248"/>
      <c r="YN68" s="248"/>
      <c r="YO68" s="248"/>
      <c r="YP68" s="248"/>
      <c r="YQ68" s="248"/>
      <c r="YR68" s="248"/>
      <c r="YS68" s="248"/>
      <c r="YT68" s="248"/>
      <c r="YU68" s="248"/>
      <c r="YV68" s="248"/>
      <c r="YW68" s="248"/>
      <c r="YX68" s="248"/>
      <c r="YY68" s="248"/>
      <c r="YZ68" s="248"/>
      <c r="ZA68" s="248"/>
      <c r="ZB68" s="248"/>
      <c r="ZC68" s="248"/>
      <c r="ZD68" s="248"/>
      <c r="ZE68" s="248"/>
      <c r="ZF68" s="248"/>
      <c r="ZG68" s="248"/>
      <c r="ZH68" s="248"/>
      <c r="ZI68" s="248"/>
      <c r="ZJ68" s="248"/>
      <c r="ZK68" s="248"/>
      <c r="ZL68" s="248"/>
      <c r="ZM68" s="248"/>
      <c r="ZN68" s="248"/>
      <c r="ZO68" s="248"/>
      <c r="ZP68" s="248"/>
      <c r="ZQ68" s="248"/>
      <c r="ZR68" s="248"/>
      <c r="ZS68" s="248"/>
      <c r="ZT68" s="248"/>
      <c r="ZU68" s="248"/>
      <c r="ZV68" s="248"/>
      <c r="ZW68" s="248"/>
      <c r="ZX68" s="248"/>
      <c r="ZY68" s="248"/>
      <c r="ZZ68" s="248"/>
      <c r="AAA68" s="248"/>
      <c r="AAB68" s="248"/>
      <c r="AAC68" s="248"/>
      <c r="AAD68" s="248"/>
      <c r="AAE68" s="248"/>
      <c r="AAF68" s="248"/>
      <c r="AAG68" s="248"/>
      <c r="AAH68" s="248"/>
      <c r="AAI68" s="248"/>
      <c r="AAJ68" s="248"/>
      <c r="AAK68" s="248"/>
      <c r="AAL68" s="248"/>
      <c r="AAM68" s="248"/>
      <c r="AAN68" s="248"/>
      <c r="AAO68" s="248"/>
      <c r="AAP68" s="248"/>
      <c r="AAQ68" s="248"/>
      <c r="AAR68" s="248"/>
      <c r="AAS68" s="248"/>
      <c r="AAT68" s="248"/>
      <c r="AAU68" s="248"/>
      <c r="AAV68" s="248"/>
      <c r="AAW68" s="248"/>
      <c r="AAX68" s="248"/>
      <c r="AAY68" s="248"/>
      <c r="AAZ68" s="248"/>
      <c r="ABA68" s="248"/>
      <c r="ABB68" s="248"/>
      <c r="ABC68" s="248"/>
      <c r="ABD68" s="248"/>
      <c r="ABE68" s="248"/>
      <c r="ABF68" s="248"/>
      <c r="ABG68" s="248"/>
      <c r="ABH68" s="248"/>
      <c r="ABI68" s="248"/>
      <c r="ABJ68" s="248"/>
      <c r="ABK68" s="248"/>
      <c r="ABL68" s="248"/>
      <c r="ABM68" s="248"/>
      <c r="ABN68" s="248"/>
      <c r="ABO68" s="248"/>
      <c r="ABP68" s="248"/>
      <c r="ABQ68" s="248"/>
      <c r="ABR68" s="248"/>
      <c r="ABS68" s="248"/>
      <c r="ABT68" s="248"/>
      <c r="ABU68" s="248"/>
      <c r="ABV68" s="248"/>
      <c r="ABW68" s="248"/>
      <c r="ABX68" s="248"/>
      <c r="ABY68" s="248"/>
      <c r="ABZ68" s="248"/>
      <c r="ACA68" s="248"/>
      <c r="ACB68" s="248"/>
      <c r="ACC68" s="248"/>
      <c r="ACD68" s="248"/>
      <c r="ACE68" s="248"/>
      <c r="ACF68" s="248"/>
      <c r="ACG68" s="248"/>
      <c r="ACH68" s="248"/>
      <c r="ACI68" s="248"/>
      <c r="ACJ68" s="248"/>
      <c r="ACK68" s="248"/>
      <c r="ACL68" s="248"/>
      <c r="ACM68" s="248"/>
      <c r="ACN68" s="248"/>
      <c r="ACO68" s="248"/>
      <c r="ACP68" s="248"/>
      <c r="ACQ68" s="248"/>
      <c r="ACR68" s="248"/>
      <c r="ACS68" s="248"/>
      <c r="ACT68" s="248"/>
      <c r="ACU68" s="248"/>
      <c r="ACV68" s="248"/>
      <c r="ACW68" s="248"/>
      <c r="ACX68" s="248"/>
      <c r="ACY68" s="248"/>
      <c r="ACZ68" s="248"/>
      <c r="ADA68" s="248"/>
      <c r="ADB68" s="248"/>
      <c r="ADC68" s="248"/>
      <c r="ADD68" s="248"/>
      <c r="ADE68" s="248"/>
      <c r="ADF68" s="248"/>
      <c r="ADG68" s="248"/>
      <c r="ADH68" s="248"/>
      <c r="ADI68" s="248"/>
      <c r="ADJ68" s="248"/>
      <c r="ADK68" s="248"/>
      <c r="ADL68" s="248"/>
      <c r="ADM68" s="248"/>
      <c r="ADN68" s="248"/>
      <c r="ADO68" s="248"/>
      <c r="ADP68" s="248"/>
      <c r="ADQ68" s="248"/>
      <c r="ADR68" s="248"/>
      <c r="ADS68" s="248"/>
      <c r="ADT68" s="248"/>
      <c r="ADU68" s="248"/>
      <c r="ADV68" s="248"/>
      <c r="ADW68" s="248"/>
      <c r="ADX68" s="248"/>
      <c r="ADY68" s="248"/>
      <c r="ADZ68" s="248"/>
      <c r="AEA68" s="248"/>
      <c r="AEB68" s="248"/>
      <c r="AEC68" s="248"/>
      <c r="AED68" s="248"/>
      <c r="AEE68" s="248"/>
      <c r="AEF68" s="248"/>
      <c r="AEG68" s="248"/>
      <c r="AEH68" s="248"/>
      <c r="AEI68" s="248"/>
      <c r="AEJ68" s="248"/>
      <c r="AEK68" s="248"/>
      <c r="AEL68" s="248"/>
      <c r="AEM68" s="248"/>
      <c r="AEN68" s="248"/>
      <c r="AEO68" s="248"/>
      <c r="AEP68" s="248"/>
      <c r="AEQ68" s="248"/>
      <c r="AER68" s="248"/>
      <c r="AES68" s="248"/>
      <c r="AET68" s="248"/>
      <c r="AEU68" s="248"/>
      <c r="AEV68" s="248"/>
      <c r="AEW68" s="248"/>
      <c r="AEX68" s="248"/>
      <c r="AEY68" s="248"/>
      <c r="AEZ68" s="248"/>
      <c r="AFA68" s="248"/>
      <c r="AFB68" s="248"/>
      <c r="AFC68" s="248"/>
      <c r="AFD68" s="248"/>
      <c r="AFE68" s="248"/>
      <c r="AFF68" s="248"/>
      <c r="AFG68" s="248"/>
      <c r="AFH68" s="248"/>
      <c r="AFI68" s="248"/>
      <c r="AFJ68" s="248"/>
      <c r="AFK68" s="248"/>
      <c r="AFL68" s="248"/>
      <c r="AFM68" s="248"/>
      <c r="AFN68" s="248"/>
      <c r="AFO68" s="248"/>
      <c r="AFP68" s="248"/>
      <c r="AFQ68" s="248"/>
      <c r="AFR68" s="248"/>
      <c r="AFS68" s="248"/>
      <c r="AFT68" s="248"/>
      <c r="AFU68" s="248"/>
      <c r="AFV68" s="248"/>
      <c r="AFW68" s="248"/>
      <c r="AFX68" s="248"/>
      <c r="AFY68" s="248"/>
      <c r="AFZ68" s="248"/>
      <c r="AGA68" s="248"/>
      <c r="AGB68" s="248"/>
      <c r="AGC68" s="248"/>
      <c r="AGD68" s="248"/>
      <c r="AGE68" s="248"/>
      <c r="AGF68" s="248"/>
      <c r="AGG68" s="248"/>
      <c r="AGH68" s="248"/>
      <c r="AGI68" s="248"/>
      <c r="AGJ68" s="248"/>
      <c r="AGK68" s="248"/>
      <c r="AGL68" s="248"/>
      <c r="AGM68" s="248"/>
      <c r="AGN68" s="248"/>
      <c r="AGO68" s="248"/>
      <c r="AGP68" s="248"/>
      <c r="AGQ68" s="248"/>
      <c r="AGR68" s="248"/>
      <c r="AGS68" s="248"/>
      <c r="AGT68" s="248"/>
      <c r="AGU68" s="248"/>
      <c r="AGV68" s="248"/>
      <c r="AGW68" s="248"/>
      <c r="AGX68" s="248"/>
      <c r="AGY68" s="248"/>
      <c r="AGZ68" s="248"/>
      <c r="AHA68" s="248"/>
      <c r="AHB68" s="248"/>
      <c r="AHC68" s="248"/>
      <c r="AHD68" s="248"/>
      <c r="AHE68" s="248"/>
      <c r="AHF68" s="248"/>
      <c r="AHG68" s="248"/>
      <c r="AHH68" s="248"/>
      <c r="AHI68" s="248"/>
      <c r="AHJ68" s="248"/>
      <c r="AHK68" s="248"/>
      <c r="AHL68" s="248"/>
      <c r="AHM68" s="248"/>
      <c r="AHN68" s="248"/>
      <c r="AHO68" s="248"/>
      <c r="AHP68" s="248"/>
      <c r="AHQ68" s="248"/>
      <c r="AHR68" s="248"/>
      <c r="AHS68" s="248"/>
      <c r="AHT68" s="248"/>
      <c r="AHU68" s="248"/>
      <c r="AHV68" s="248"/>
      <c r="AHW68" s="248"/>
      <c r="AHX68" s="248"/>
      <c r="AHY68" s="248"/>
      <c r="AHZ68" s="248"/>
      <c r="AIA68" s="248"/>
      <c r="AIB68" s="248"/>
      <c r="AIC68" s="248"/>
      <c r="AID68" s="248"/>
      <c r="AIE68" s="248"/>
      <c r="AIF68" s="248"/>
    </row>
    <row r="69" spans="1:916">
      <c r="B69" s="387"/>
      <c r="H69" s="253"/>
      <c r="I69" s="251"/>
      <c r="J69" s="102"/>
      <c r="Q69" s="156"/>
      <c r="R69" s="390"/>
      <c r="S69" s="102"/>
      <c r="T69" s="106"/>
      <c r="U69" s="106"/>
      <c r="V69" s="106"/>
      <c r="W69" s="106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02"/>
      <c r="EE69" s="102"/>
      <c r="EF69" s="102"/>
      <c r="EG69" s="102"/>
      <c r="EH69" s="102"/>
      <c r="EI69" s="102"/>
      <c r="EJ69" s="102"/>
      <c r="EK69" s="102"/>
      <c r="EL69" s="102"/>
      <c r="EM69" s="102"/>
      <c r="EN69" s="102"/>
      <c r="EO69" s="102"/>
      <c r="EP69" s="102"/>
      <c r="EQ69" s="102"/>
      <c r="ER69" s="102"/>
      <c r="ES69" s="102"/>
      <c r="ET69" s="102"/>
      <c r="EU69" s="102"/>
      <c r="EV69" s="102"/>
      <c r="EW69" s="102"/>
      <c r="EX69" s="102"/>
      <c r="EY69" s="102"/>
      <c r="EZ69" s="102"/>
      <c r="FA69" s="102"/>
      <c r="FB69" s="102"/>
      <c r="FC69" s="102"/>
      <c r="FD69" s="102"/>
      <c r="FE69" s="102"/>
      <c r="FF69" s="102"/>
      <c r="FG69" s="102"/>
      <c r="FH69" s="102"/>
      <c r="FI69" s="102"/>
      <c r="FJ69" s="102"/>
      <c r="FK69" s="102"/>
      <c r="FL69" s="102"/>
      <c r="FM69" s="102"/>
      <c r="FN69" s="102"/>
      <c r="FO69" s="102"/>
      <c r="FP69" s="102"/>
      <c r="FQ69" s="102"/>
      <c r="FR69" s="102"/>
      <c r="FS69" s="102"/>
      <c r="FT69" s="102"/>
      <c r="FU69" s="102"/>
      <c r="FV69" s="248"/>
      <c r="FW69" s="248"/>
      <c r="FX69" s="248"/>
      <c r="FY69" s="248"/>
      <c r="FZ69" s="248"/>
      <c r="GA69" s="248"/>
      <c r="GB69" s="248"/>
      <c r="GC69" s="248"/>
      <c r="GD69" s="248"/>
      <c r="GE69" s="248"/>
      <c r="GF69" s="248"/>
      <c r="GG69" s="248"/>
      <c r="GH69" s="248"/>
      <c r="GI69" s="248"/>
      <c r="GJ69" s="248"/>
      <c r="GK69" s="248"/>
      <c r="GL69" s="248"/>
      <c r="GM69" s="248"/>
      <c r="GN69" s="248"/>
      <c r="GO69" s="248"/>
      <c r="GP69" s="248"/>
      <c r="GQ69" s="248"/>
      <c r="GR69" s="248"/>
      <c r="GS69" s="248"/>
      <c r="GT69" s="248"/>
      <c r="GU69" s="248"/>
      <c r="GV69" s="248"/>
      <c r="GW69" s="248"/>
      <c r="GX69" s="248"/>
      <c r="GY69" s="248"/>
      <c r="GZ69" s="248"/>
      <c r="HA69" s="248"/>
      <c r="HB69" s="248"/>
      <c r="HC69" s="248"/>
      <c r="HD69" s="248"/>
      <c r="HE69" s="248"/>
      <c r="HF69" s="248"/>
      <c r="HG69" s="248"/>
      <c r="HH69" s="248"/>
      <c r="HI69" s="248"/>
      <c r="HJ69" s="248"/>
      <c r="HK69" s="248"/>
      <c r="HL69" s="248"/>
      <c r="HM69" s="248"/>
      <c r="HN69" s="248"/>
      <c r="HO69" s="248"/>
      <c r="HP69" s="248"/>
      <c r="HQ69" s="248"/>
      <c r="HR69" s="248"/>
      <c r="HS69" s="248"/>
      <c r="HT69" s="248"/>
      <c r="HU69" s="248"/>
      <c r="HV69" s="248"/>
      <c r="HW69" s="248"/>
      <c r="HX69" s="248"/>
      <c r="HY69" s="248"/>
      <c r="HZ69" s="248"/>
      <c r="IA69" s="248"/>
      <c r="IB69" s="248"/>
      <c r="IC69" s="248"/>
      <c r="ID69" s="248"/>
      <c r="IE69" s="248"/>
      <c r="IF69" s="248"/>
      <c r="IG69" s="248"/>
      <c r="IH69" s="248"/>
      <c r="II69" s="248"/>
      <c r="IJ69" s="248"/>
      <c r="IK69" s="248"/>
      <c r="IL69" s="248"/>
      <c r="IM69" s="248"/>
      <c r="IN69" s="248"/>
      <c r="IO69" s="248"/>
      <c r="IP69" s="248"/>
      <c r="IQ69" s="248"/>
      <c r="IR69" s="248"/>
      <c r="IS69" s="248"/>
      <c r="IT69" s="248"/>
      <c r="IU69" s="248"/>
      <c r="IV69" s="248"/>
      <c r="IW69" s="248"/>
      <c r="IX69" s="248"/>
      <c r="IY69" s="248"/>
      <c r="IZ69" s="248"/>
      <c r="JA69" s="248"/>
      <c r="JB69" s="248"/>
      <c r="JC69" s="248"/>
      <c r="JD69" s="248"/>
      <c r="JE69" s="248"/>
      <c r="JF69" s="248"/>
      <c r="JG69" s="248"/>
      <c r="JH69" s="248"/>
      <c r="JI69" s="248"/>
      <c r="JJ69" s="248"/>
      <c r="JK69" s="248"/>
      <c r="JL69" s="248"/>
      <c r="JM69" s="248"/>
      <c r="JN69" s="248"/>
      <c r="JO69" s="248"/>
      <c r="JP69" s="248"/>
      <c r="JQ69" s="248"/>
      <c r="JR69" s="248"/>
      <c r="JS69" s="248"/>
      <c r="JT69" s="248"/>
      <c r="JU69" s="248"/>
      <c r="JV69" s="248"/>
      <c r="JW69" s="248"/>
      <c r="JX69" s="248"/>
      <c r="JY69" s="248"/>
      <c r="JZ69" s="248"/>
      <c r="KA69" s="248"/>
      <c r="KB69" s="248"/>
      <c r="KC69" s="248"/>
      <c r="KD69" s="248"/>
      <c r="KE69" s="248"/>
      <c r="KF69" s="248"/>
      <c r="KG69" s="248"/>
      <c r="KH69" s="248"/>
      <c r="KI69" s="248"/>
      <c r="KJ69" s="248"/>
      <c r="KK69" s="248"/>
      <c r="KL69" s="248"/>
      <c r="KM69" s="248"/>
      <c r="KN69" s="248"/>
      <c r="KO69" s="248"/>
      <c r="KP69" s="248"/>
      <c r="KQ69" s="248"/>
      <c r="KR69" s="248"/>
      <c r="KS69" s="248"/>
      <c r="KT69" s="248"/>
      <c r="KU69" s="248"/>
      <c r="KV69" s="248"/>
      <c r="KW69" s="248"/>
      <c r="KX69" s="248"/>
      <c r="KY69" s="248"/>
      <c r="KZ69" s="248"/>
      <c r="LA69" s="248"/>
      <c r="LB69" s="248"/>
      <c r="LC69" s="248"/>
      <c r="LD69" s="248"/>
      <c r="LE69" s="248"/>
      <c r="LF69" s="248"/>
      <c r="LG69" s="248"/>
      <c r="LH69" s="248"/>
      <c r="LI69" s="248"/>
      <c r="LJ69" s="248"/>
      <c r="LK69" s="248"/>
      <c r="LL69" s="248"/>
      <c r="LM69" s="248"/>
      <c r="LN69" s="248"/>
      <c r="LO69" s="248"/>
      <c r="LP69" s="248"/>
      <c r="LQ69" s="248"/>
      <c r="LR69" s="248"/>
      <c r="LS69" s="248"/>
      <c r="LT69" s="248"/>
      <c r="LU69" s="248"/>
      <c r="LV69" s="248"/>
      <c r="LW69" s="248"/>
      <c r="LX69" s="248"/>
      <c r="LY69" s="248"/>
      <c r="LZ69" s="248"/>
      <c r="MA69" s="248"/>
      <c r="MB69" s="248"/>
      <c r="MC69" s="248"/>
      <c r="MD69" s="248"/>
      <c r="ME69" s="248"/>
      <c r="MF69" s="248"/>
      <c r="MG69" s="248"/>
      <c r="MH69" s="248"/>
      <c r="MI69" s="248"/>
      <c r="MJ69" s="248"/>
      <c r="MK69" s="248"/>
      <c r="ML69" s="248"/>
      <c r="MM69" s="248"/>
      <c r="MN69" s="248"/>
      <c r="MO69" s="248"/>
      <c r="MP69" s="248"/>
      <c r="MQ69" s="248"/>
      <c r="MR69" s="248"/>
      <c r="MS69" s="248"/>
      <c r="MT69" s="248"/>
      <c r="MU69" s="248"/>
      <c r="MV69" s="248"/>
      <c r="MW69" s="248"/>
      <c r="MX69" s="248"/>
      <c r="MY69" s="248"/>
      <c r="MZ69" s="248"/>
      <c r="NA69" s="248"/>
      <c r="NB69" s="248"/>
      <c r="NC69" s="248"/>
      <c r="ND69" s="248"/>
      <c r="NE69" s="248"/>
      <c r="NF69" s="248"/>
      <c r="NG69" s="248"/>
      <c r="NH69" s="248"/>
      <c r="NI69" s="248"/>
      <c r="NJ69" s="248"/>
      <c r="NK69" s="248"/>
      <c r="NL69" s="248"/>
      <c r="NM69" s="248"/>
      <c r="NN69" s="248"/>
      <c r="NO69" s="248"/>
      <c r="NP69" s="248"/>
      <c r="NQ69" s="248"/>
      <c r="NR69" s="248"/>
      <c r="NS69" s="248"/>
      <c r="NT69" s="248"/>
      <c r="NU69" s="248"/>
      <c r="NV69" s="248"/>
      <c r="NW69" s="248"/>
      <c r="NX69" s="248"/>
      <c r="NY69" s="248"/>
      <c r="NZ69" s="248"/>
      <c r="OA69" s="248"/>
      <c r="OB69" s="248"/>
      <c r="OC69" s="248"/>
      <c r="OD69" s="248"/>
      <c r="OE69" s="248"/>
      <c r="OF69" s="248"/>
      <c r="OG69" s="248"/>
      <c r="OH69" s="248"/>
      <c r="OI69" s="248"/>
      <c r="OJ69" s="248"/>
      <c r="OK69" s="248"/>
      <c r="OL69" s="248"/>
      <c r="OM69" s="248"/>
      <c r="ON69" s="248"/>
      <c r="OO69" s="248"/>
      <c r="OP69" s="248"/>
      <c r="OQ69" s="248"/>
      <c r="OR69" s="248"/>
      <c r="OS69" s="248"/>
      <c r="OT69" s="248"/>
      <c r="OU69" s="248"/>
      <c r="OV69" s="248"/>
      <c r="OW69" s="248"/>
      <c r="OX69" s="248"/>
      <c r="OY69" s="248"/>
      <c r="OZ69" s="248"/>
      <c r="PA69" s="248"/>
      <c r="PB69" s="248"/>
      <c r="PC69" s="248"/>
      <c r="PD69" s="248"/>
      <c r="PE69" s="248"/>
      <c r="PF69" s="248"/>
      <c r="PG69" s="248"/>
      <c r="PH69" s="248"/>
      <c r="PI69" s="248"/>
      <c r="PJ69" s="248"/>
      <c r="PK69" s="248"/>
      <c r="PL69" s="248"/>
      <c r="PM69" s="248"/>
      <c r="PN69" s="248"/>
      <c r="PO69" s="248"/>
      <c r="PP69" s="248"/>
      <c r="PQ69" s="248"/>
      <c r="PR69" s="248"/>
      <c r="PS69" s="248"/>
      <c r="PT69" s="248"/>
      <c r="PU69" s="248"/>
      <c r="PV69" s="248"/>
      <c r="PW69" s="248"/>
      <c r="PX69" s="248"/>
      <c r="PY69" s="248"/>
      <c r="PZ69" s="248"/>
      <c r="QA69" s="248"/>
      <c r="QB69" s="248"/>
      <c r="QC69" s="248"/>
      <c r="QD69" s="248"/>
      <c r="QE69" s="248"/>
      <c r="QF69" s="248"/>
      <c r="QG69" s="248"/>
      <c r="QH69" s="248"/>
      <c r="QI69" s="248"/>
      <c r="QJ69" s="248"/>
      <c r="QK69" s="248"/>
      <c r="QL69" s="248"/>
      <c r="QM69" s="248"/>
      <c r="QN69" s="248"/>
      <c r="QO69" s="248"/>
      <c r="QP69" s="248"/>
      <c r="QQ69" s="248"/>
      <c r="QR69" s="248"/>
      <c r="QS69" s="248"/>
      <c r="QT69" s="248"/>
      <c r="QU69" s="248"/>
      <c r="QV69" s="248"/>
      <c r="QW69" s="248"/>
      <c r="QX69" s="248"/>
      <c r="QY69" s="248"/>
      <c r="QZ69" s="248"/>
      <c r="RA69" s="248"/>
      <c r="RB69" s="248"/>
      <c r="RC69" s="248"/>
      <c r="RD69" s="248"/>
      <c r="RE69" s="248"/>
      <c r="RF69" s="248"/>
      <c r="RG69" s="248"/>
      <c r="RH69" s="248"/>
      <c r="RI69" s="248"/>
      <c r="RJ69" s="248"/>
      <c r="RK69" s="248"/>
      <c r="RL69" s="248"/>
      <c r="RM69" s="248"/>
      <c r="RN69" s="248"/>
      <c r="RO69" s="248"/>
      <c r="RP69" s="248"/>
      <c r="RQ69" s="248"/>
      <c r="RR69" s="248"/>
      <c r="RS69" s="248"/>
      <c r="RT69" s="248"/>
      <c r="RU69" s="248"/>
      <c r="RV69" s="248"/>
      <c r="RW69" s="248"/>
      <c r="RX69" s="248"/>
      <c r="RY69" s="248"/>
      <c r="RZ69" s="248"/>
      <c r="SA69" s="248"/>
      <c r="SB69" s="248"/>
      <c r="SC69" s="248"/>
      <c r="SD69" s="248"/>
      <c r="SE69" s="248"/>
      <c r="SF69" s="248"/>
      <c r="SG69" s="248"/>
      <c r="SH69" s="248"/>
      <c r="SI69" s="248"/>
      <c r="SJ69" s="248"/>
      <c r="SK69" s="248"/>
      <c r="SL69" s="248"/>
      <c r="SM69" s="248"/>
      <c r="SN69" s="248"/>
      <c r="SO69" s="248"/>
      <c r="SP69" s="248"/>
      <c r="SQ69" s="248"/>
      <c r="SR69" s="248"/>
      <c r="SS69" s="248"/>
      <c r="ST69" s="248"/>
      <c r="SU69" s="248"/>
      <c r="SV69" s="248"/>
      <c r="SW69" s="248"/>
      <c r="SX69" s="248"/>
      <c r="SY69" s="248"/>
      <c r="SZ69" s="248"/>
      <c r="TA69" s="248"/>
      <c r="TB69" s="248"/>
      <c r="TC69" s="248"/>
      <c r="TD69" s="248"/>
      <c r="TE69" s="248"/>
      <c r="TF69" s="248"/>
      <c r="TG69" s="248"/>
      <c r="TH69" s="248"/>
      <c r="TI69" s="248"/>
      <c r="TJ69" s="248"/>
      <c r="TK69" s="248"/>
      <c r="TL69" s="248"/>
      <c r="TM69" s="248"/>
      <c r="TN69" s="248"/>
      <c r="TO69" s="248"/>
      <c r="TP69" s="248"/>
      <c r="TQ69" s="248"/>
      <c r="TR69" s="248"/>
      <c r="TS69" s="248"/>
      <c r="TT69" s="248"/>
      <c r="TU69" s="248"/>
      <c r="TV69" s="248"/>
      <c r="TW69" s="248"/>
      <c r="TX69" s="248"/>
      <c r="TY69" s="248"/>
      <c r="TZ69" s="248"/>
      <c r="UA69" s="248"/>
      <c r="UB69" s="248"/>
      <c r="UC69" s="248"/>
      <c r="UD69" s="248"/>
      <c r="UE69" s="248"/>
      <c r="UF69" s="248"/>
      <c r="UG69" s="248"/>
      <c r="UH69" s="248"/>
      <c r="UI69" s="248"/>
      <c r="UJ69" s="248"/>
      <c r="UK69" s="248"/>
      <c r="UL69" s="248"/>
      <c r="UM69" s="248"/>
      <c r="UN69" s="248"/>
      <c r="UO69" s="248"/>
      <c r="UP69" s="248"/>
      <c r="UQ69" s="248"/>
      <c r="UR69" s="248"/>
      <c r="US69" s="248"/>
      <c r="UT69" s="248"/>
      <c r="UU69" s="248"/>
      <c r="UV69" s="248"/>
      <c r="UW69" s="248"/>
      <c r="UX69" s="248"/>
      <c r="UY69" s="248"/>
      <c r="UZ69" s="248"/>
      <c r="VA69" s="248"/>
      <c r="VB69" s="248"/>
      <c r="VC69" s="248"/>
      <c r="VD69" s="248"/>
      <c r="VE69" s="248"/>
      <c r="VF69" s="248"/>
      <c r="VG69" s="248"/>
      <c r="VH69" s="248"/>
      <c r="VI69" s="248"/>
      <c r="VJ69" s="248"/>
      <c r="VK69" s="248"/>
      <c r="VL69" s="248"/>
      <c r="VM69" s="248"/>
      <c r="VN69" s="248"/>
      <c r="VO69" s="248"/>
      <c r="VP69" s="248"/>
      <c r="VQ69" s="248"/>
      <c r="VR69" s="248"/>
      <c r="VS69" s="248"/>
      <c r="VT69" s="248"/>
      <c r="VU69" s="248"/>
      <c r="VV69" s="248"/>
      <c r="VW69" s="248"/>
      <c r="VX69" s="248"/>
      <c r="VY69" s="248"/>
      <c r="VZ69" s="248"/>
      <c r="WA69" s="248"/>
      <c r="WB69" s="248"/>
      <c r="WC69" s="248"/>
      <c r="WD69" s="248"/>
      <c r="WE69" s="248"/>
      <c r="WF69" s="248"/>
      <c r="WG69" s="248"/>
      <c r="WH69" s="248"/>
      <c r="WI69" s="248"/>
      <c r="WJ69" s="248"/>
      <c r="WK69" s="248"/>
      <c r="WL69" s="248"/>
      <c r="WM69" s="248"/>
      <c r="WN69" s="248"/>
      <c r="WO69" s="248"/>
      <c r="WP69" s="248"/>
      <c r="WQ69" s="248"/>
      <c r="WR69" s="248"/>
      <c r="WS69" s="248"/>
      <c r="WT69" s="248"/>
      <c r="WU69" s="248"/>
      <c r="WV69" s="248"/>
      <c r="WW69" s="248"/>
      <c r="WX69" s="248"/>
      <c r="WY69" s="248"/>
      <c r="WZ69" s="248"/>
      <c r="XA69" s="248"/>
      <c r="XB69" s="248"/>
      <c r="XC69" s="248"/>
      <c r="XD69" s="248"/>
      <c r="XE69" s="248"/>
      <c r="XF69" s="248"/>
      <c r="XG69" s="248"/>
      <c r="XH69" s="248"/>
      <c r="XI69" s="248"/>
      <c r="XJ69" s="248"/>
      <c r="XK69" s="248"/>
      <c r="XL69" s="248"/>
      <c r="XM69" s="248"/>
      <c r="XN69" s="248"/>
      <c r="XO69" s="248"/>
      <c r="XP69" s="248"/>
      <c r="XQ69" s="248"/>
      <c r="XR69" s="248"/>
      <c r="XS69" s="248"/>
      <c r="XT69" s="248"/>
      <c r="XU69" s="248"/>
      <c r="XV69" s="248"/>
      <c r="XW69" s="248"/>
      <c r="XX69" s="248"/>
      <c r="XY69" s="248"/>
      <c r="XZ69" s="248"/>
      <c r="YA69" s="248"/>
      <c r="YB69" s="248"/>
      <c r="YC69" s="248"/>
      <c r="YD69" s="248"/>
      <c r="YE69" s="248"/>
      <c r="YF69" s="248"/>
      <c r="YG69" s="248"/>
      <c r="YH69" s="248"/>
      <c r="YI69" s="248"/>
      <c r="YJ69" s="248"/>
      <c r="YK69" s="248"/>
      <c r="YL69" s="248"/>
      <c r="YM69" s="248"/>
      <c r="YN69" s="248"/>
      <c r="YO69" s="248"/>
      <c r="YP69" s="248"/>
      <c r="YQ69" s="248"/>
      <c r="YR69" s="248"/>
      <c r="YS69" s="248"/>
      <c r="YT69" s="248"/>
      <c r="YU69" s="248"/>
      <c r="YV69" s="248"/>
      <c r="YW69" s="248"/>
      <c r="YX69" s="248"/>
      <c r="YY69" s="248"/>
      <c r="YZ69" s="248"/>
      <c r="ZA69" s="248"/>
      <c r="ZB69" s="248"/>
      <c r="ZC69" s="248"/>
      <c r="ZD69" s="248"/>
      <c r="ZE69" s="248"/>
      <c r="ZF69" s="248"/>
      <c r="ZG69" s="248"/>
      <c r="ZH69" s="248"/>
      <c r="ZI69" s="248"/>
      <c r="ZJ69" s="248"/>
      <c r="ZK69" s="248"/>
      <c r="ZL69" s="248"/>
      <c r="ZM69" s="248"/>
      <c r="ZN69" s="248"/>
      <c r="ZO69" s="248"/>
      <c r="ZP69" s="248"/>
      <c r="ZQ69" s="248"/>
      <c r="ZR69" s="248"/>
      <c r="ZS69" s="248"/>
      <c r="ZT69" s="248"/>
      <c r="ZU69" s="248"/>
      <c r="ZV69" s="248"/>
      <c r="ZW69" s="248"/>
      <c r="ZX69" s="248"/>
      <c r="ZY69" s="248"/>
      <c r="ZZ69" s="248"/>
      <c r="AAA69" s="248"/>
      <c r="AAB69" s="248"/>
      <c r="AAC69" s="248"/>
      <c r="AAD69" s="248"/>
      <c r="AAE69" s="248"/>
      <c r="AAF69" s="248"/>
      <c r="AAG69" s="248"/>
      <c r="AAH69" s="248"/>
      <c r="AAI69" s="248"/>
      <c r="AAJ69" s="248"/>
      <c r="AAK69" s="248"/>
      <c r="AAL69" s="248"/>
      <c r="AAM69" s="248"/>
      <c r="AAN69" s="248"/>
      <c r="AAO69" s="248"/>
      <c r="AAP69" s="248"/>
      <c r="AAQ69" s="248"/>
      <c r="AAR69" s="248"/>
      <c r="AAS69" s="248"/>
      <c r="AAT69" s="248"/>
      <c r="AAU69" s="248"/>
      <c r="AAV69" s="248"/>
      <c r="AAW69" s="248"/>
      <c r="AAX69" s="248"/>
      <c r="AAY69" s="248"/>
      <c r="AAZ69" s="248"/>
      <c r="ABA69" s="248"/>
      <c r="ABB69" s="248"/>
      <c r="ABC69" s="248"/>
      <c r="ABD69" s="248"/>
      <c r="ABE69" s="248"/>
      <c r="ABF69" s="248"/>
      <c r="ABG69" s="248"/>
      <c r="ABH69" s="248"/>
      <c r="ABI69" s="248"/>
      <c r="ABJ69" s="248"/>
      <c r="ABK69" s="248"/>
      <c r="ABL69" s="248"/>
      <c r="ABM69" s="248"/>
      <c r="ABN69" s="248"/>
      <c r="ABO69" s="248"/>
      <c r="ABP69" s="248"/>
      <c r="ABQ69" s="248"/>
      <c r="ABR69" s="248"/>
      <c r="ABS69" s="248"/>
      <c r="ABT69" s="248"/>
      <c r="ABU69" s="248"/>
      <c r="ABV69" s="248"/>
      <c r="ABW69" s="248"/>
      <c r="ABX69" s="248"/>
      <c r="ABY69" s="248"/>
      <c r="ABZ69" s="248"/>
      <c r="ACA69" s="248"/>
      <c r="ACB69" s="248"/>
      <c r="ACC69" s="248"/>
      <c r="ACD69" s="248"/>
      <c r="ACE69" s="248"/>
      <c r="ACF69" s="248"/>
      <c r="ACG69" s="248"/>
      <c r="ACH69" s="248"/>
      <c r="ACI69" s="248"/>
      <c r="ACJ69" s="248"/>
      <c r="ACK69" s="248"/>
      <c r="ACL69" s="248"/>
      <c r="ACM69" s="248"/>
      <c r="ACN69" s="248"/>
      <c r="ACO69" s="248"/>
      <c r="ACP69" s="248"/>
      <c r="ACQ69" s="248"/>
      <c r="ACR69" s="248"/>
      <c r="ACS69" s="248"/>
      <c r="ACT69" s="248"/>
      <c r="ACU69" s="248"/>
      <c r="ACV69" s="248"/>
      <c r="ACW69" s="248"/>
      <c r="ACX69" s="248"/>
      <c r="ACY69" s="248"/>
      <c r="ACZ69" s="248"/>
      <c r="ADA69" s="248"/>
      <c r="ADB69" s="248"/>
      <c r="ADC69" s="248"/>
      <c r="ADD69" s="248"/>
      <c r="ADE69" s="248"/>
      <c r="ADF69" s="248"/>
      <c r="ADG69" s="248"/>
      <c r="ADH69" s="248"/>
      <c r="ADI69" s="248"/>
      <c r="ADJ69" s="248"/>
      <c r="ADK69" s="248"/>
      <c r="ADL69" s="248"/>
      <c r="ADM69" s="248"/>
      <c r="ADN69" s="248"/>
      <c r="ADO69" s="248"/>
      <c r="ADP69" s="248"/>
      <c r="ADQ69" s="248"/>
      <c r="ADR69" s="248"/>
      <c r="ADS69" s="248"/>
      <c r="ADT69" s="248"/>
      <c r="ADU69" s="248"/>
      <c r="ADV69" s="248"/>
      <c r="ADW69" s="248"/>
      <c r="ADX69" s="248"/>
      <c r="ADY69" s="248"/>
      <c r="ADZ69" s="248"/>
      <c r="AEA69" s="248"/>
      <c r="AEB69" s="248"/>
      <c r="AEC69" s="248"/>
      <c r="AED69" s="248"/>
      <c r="AEE69" s="248"/>
      <c r="AEF69" s="248"/>
      <c r="AEG69" s="248"/>
      <c r="AEH69" s="248"/>
      <c r="AEI69" s="248"/>
      <c r="AEJ69" s="248"/>
      <c r="AEK69" s="248"/>
      <c r="AEL69" s="248"/>
      <c r="AEM69" s="248"/>
      <c r="AEN69" s="248"/>
      <c r="AEO69" s="248"/>
      <c r="AEP69" s="248"/>
      <c r="AEQ69" s="248"/>
      <c r="AER69" s="248"/>
      <c r="AES69" s="248"/>
      <c r="AET69" s="248"/>
      <c r="AEU69" s="248"/>
      <c r="AEV69" s="248"/>
      <c r="AEW69" s="248"/>
      <c r="AEX69" s="248"/>
      <c r="AEY69" s="248"/>
      <c r="AEZ69" s="248"/>
      <c r="AFA69" s="248"/>
      <c r="AFB69" s="248"/>
      <c r="AFC69" s="248"/>
      <c r="AFD69" s="248"/>
      <c r="AFE69" s="248"/>
      <c r="AFF69" s="248"/>
      <c r="AFG69" s="248"/>
      <c r="AFH69" s="248"/>
      <c r="AFI69" s="248"/>
      <c r="AFJ69" s="248"/>
      <c r="AFK69" s="248"/>
      <c r="AFL69" s="248"/>
      <c r="AFM69" s="248"/>
      <c r="AFN69" s="248"/>
      <c r="AFO69" s="248"/>
      <c r="AFP69" s="248"/>
      <c r="AFQ69" s="248"/>
      <c r="AFR69" s="248"/>
      <c r="AFS69" s="248"/>
      <c r="AFT69" s="248"/>
      <c r="AFU69" s="248"/>
      <c r="AFV69" s="248"/>
      <c r="AFW69" s="248"/>
      <c r="AFX69" s="248"/>
      <c r="AFY69" s="248"/>
      <c r="AFZ69" s="248"/>
      <c r="AGA69" s="248"/>
      <c r="AGB69" s="248"/>
      <c r="AGC69" s="248"/>
      <c r="AGD69" s="248"/>
      <c r="AGE69" s="248"/>
      <c r="AGF69" s="248"/>
      <c r="AGG69" s="248"/>
      <c r="AGH69" s="248"/>
      <c r="AGI69" s="248"/>
      <c r="AGJ69" s="248"/>
      <c r="AGK69" s="248"/>
      <c r="AGL69" s="248"/>
      <c r="AGM69" s="248"/>
      <c r="AGN69" s="248"/>
      <c r="AGO69" s="248"/>
      <c r="AGP69" s="248"/>
      <c r="AGQ69" s="248"/>
      <c r="AGR69" s="248"/>
      <c r="AGS69" s="248"/>
      <c r="AGT69" s="248"/>
      <c r="AGU69" s="248"/>
      <c r="AGV69" s="248"/>
      <c r="AGW69" s="248"/>
      <c r="AGX69" s="248"/>
      <c r="AGY69" s="248"/>
      <c r="AGZ69" s="248"/>
      <c r="AHA69" s="248"/>
      <c r="AHB69" s="248"/>
      <c r="AHC69" s="248"/>
      <c r="AHD69" s="248"/>
      <c r="AHE69" s="248"/>
      <c r="AHF69" s="248"/>
      <c r="AHG69" s="248"/>
      <c r="AHH69" s="248"/>
      <c r="AHI69" s="248"/>
      <c r="AHJ69" s="248"/>
      <c r="AHK69" s="248"/>
      <c r="AHL69" s="248"/>
      <c r="AHM69" s="248"/>
      <c r="AHN69" s="248"/>
      <c r="AHO69" s="248"/>
      <c r="AHP69" s="248"/>
      <c r="AHQ69" s="248"/>
      <c r="AHR69" s="248"/>
      <c r="AHS69" s="248"/>
      <c r="AHT69" s="248"/>
      <c r="AHU69" s="248"/>
      <c r="AHV69" s="248"/>
      <c r="AHW69" s="248"/>
      <c r="AHX69" s="248"/>
      <c r="AHY69" s="248"/>
      <c r="AHZ69" s="248"/>
      <c r="AIA69" s="248"/>
      <c r="AIB69" s="248"/>
      <c r="AIC69" s="248"/>
      <c r="AID69" s="248"/>
      <c r="AIE69" s="248"/>
      <c r="AIF69" s="248"/>
    </row>
    <row r="70" spans="1:916">
      <c r="H70" s="253"/>
      <c r="I70" s="251"/>
      <c r="J70" s="102"/>
      <c r="Q70" s="102"/>
      <c r="R70" s="390"/>
      <c r="S70" s="102"/>
      <c r="T70" s="106"/>
      <c r="U70" s="106"/>
      <c r="V70" s="106"/>
      <c r="W70" s="106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EA70" s="102"/>
      <c r="EB70" s="102"/>
      <c r="EC70" s="102"/>
      <c r="ED70" s="102"/>
      <c r="EE70" s="102"/>
      <c r="EF70" s="102"/>
      <c r="EG70" s="102"/>
      <c r="EH70" s="102"/>
      <c r="EI70" s="102"/>
      <c r="EJ70" s="102"/>
      <c r="EK70" s="102"/>
      <c r="EL70" s="102"/>
      <c r="EM70" s="102"/>
      <c r="EN70" s="102"/>
      <c r="EO70" s="102"/>
      <c r="EP70" s="102"/>
      <c r="EQ70" s="102"/>
      <c r="ER70" s="102"/>
      <c r="ES70" s="102"/>
      <c r="ET70" s="102"/>
      <c r="EU70" s="102"/>
      <c r="EV70" s="102"/>
      <c r="EW70" s="102"/>
      <c r="EX70" s="102"/>
      <c r="EY70" s="102"/>
      <c r="EZ70" s="102"/>
      <c r="FA70" s="102"/>
      <c r="FB70" s="102"/>
      <c r="FC70" s="102"/>
      <c r="FD70" s="102"/>
      <c r="FE70" s="102"/>
      <c r="FF70" s="102"/>
      <c r="FG70" s="102"/>
      <c r="FH70" s="102"/>
      <c r="FI70" s="102"/>
      <c r="FJ70" s="102"/>
      <c r="FK70" s="102"/>
      <c r="FL70" s="102"/>
      <c r="FM70" s="102"/>
      <c r="FN70" s="102"/>
      <c r="FO70" s="102"/>
      <c r="FP70" s="102"/>
      <c r="FQ70" s="102"/>
      <c r="FR70" s="102"/>
      <c r="FS70" s="102"/>
      <c r="FT70" s="102"/>
      <c r="FU70" s="102"/>
      <c r="FV70" s="248"/>
      <c r="FW70" s="248"/>
      <c r="FX70" s="248"/>
      <c r="FY70" s="248"/>
      <c r="FZ70" s="248"/>
      <c r="GA70" s="248"/>
      <c r="GB70" s="248"/>
      <c r="GC70" s="248"/>
      <c r="GD70" s="248"/>
      <c r="GE70" s="248"/>
      <c r="GF70" s="248"/>
      <c r="GG70" s="248"/>
      <c r="GH70" s="248"/>
      <c r="GI70" s="248"/>
      <c r="GJ70" s="248"/>
      <c r="GK70" s="248"/>
      <c r="GL70" s="248"/>
      <c r="GM70" s="248"/>
      <c r="GN70" s="248"/>
      <c r="GO70" s="248"/>
      <c r="GP70" s="248"/>
      <c r="GQ70" s="248"/>
      <c r="GR70" s="248"/>
      <c r="GS70" s="248"/>
      <c r="GT70" s="248"/>
      <c r="GU70" s="248"/>
      <c r="GV70" s="248"/>
      <c r="GW70" s="248"/>
      <c r="GX70" s="248"/>
      <c r="GY70" s="248"/>
      <c r="GZ70" s="248"/>
      <c r="HA70" s="248"/>
      <c r="HB70" s="248"/>
      <c r="HC70" s="248"/>
      <c r="HD70" s="248"/>
      <c r="HE70" s="248"/>
      <c r="HF70" s="248"/>
      <c r="HG70" s="248"/>
      <c r="HH70" s="248"/>
      <c r="HI70" s="248"/>
      <c r="HJ70" s="248"/>
      <c r="HK70" s="248"/>
      <c r="HL70" s="248"/>
      <c r="HM70" s="248"/>
      <c r="HN70" s="248"/>
      <c r="HO70" s="248"/>
      <c r="HP70" s="248"/>
      <c r="HQ70" s="248"/>
      <c r="HR70" s="248"/>
      <c r="HS70" s="248"/>
      <c r="HT70" s="248"/>
      <c r="HU70" s="248"/>
      <c r="HV70" s="248"/>
      <c r="HW70" s="248"/>
      <c r="HX70" s="248"/>
      <c r="HY70" s="248"/>
      <c r="HZ70" s="248"/>
      <c r="IA70" s="248"/>
      <c r="IB70" s="248"/>
      <c r="IC70" s="248"/>
      <c r="ID70" s="248"/>
      <c r="IE70" s="248"/>
      <c r="IF70" s="248"/>
      <c r="IG70" s="248"/>
      <c r="IH70" s="248"/>
      <c r="II70" s="248"/>
      <c r="IJ70" s="248"/>
      <c r="IK70" s="248"/>
      <c r="IL70" s="248"/>
      <c r="IM70" s="248"/>
      <c r="IN70" s="248"/>
      <c r="IO70" s="248"/>
      <c r="IP70" s="248"/>
      <c r="IQ70" s="248"/>
      <c r="IR70" s="248"/>
      <c r="IS70" s="248"/>
      <c r="IT70" s="248"/>
      <c r="IU70" s="248"/>
      <c r="IV70" s="248"/>
      <c r="IW70" s="248"/>
      <c r="IX70" s="248"/>
      <c r="IY70" s="248"/>
      <c r="IZ70" s="248"/>
      <c r="JA70" s="248"/>
      <c r="JB70" s="248"/>
      <c r="JC70" s="248"/>
      <c r="JD70" s="248"/>
      <c r="JE70" s="248"/>
      <c r="JF70" s="248"/>
      <c r="JG70" s="248"/>
      <c r="JH70" s="248"/>
      <c r="JI70" s="248"/>
      <c r="JJ70" s="248"/>
      <c r="JK70" s="248"/>
      <c r="JL70" s="248"/>
      <c r="JM70" s="248"/>
      <c r="JN70" s="248"/>
      <c r="JO70" s="248"/>
      <c r="JP70" s="248"/>
      <c r="JQ70" s="248"/>
      <c r="JR70" s="248"/>
      <c r="JS70" s="248"/>
      <c r="JT70" s="248"/>
      <c r="JU70" s="248"/>
      <c r="JV70" s="248"/>
      <c r="JW70" s="248"/>
      <c r="JX70" s="248"/>
      <c r="JY70" s="248"/>
      <c r="JZ70" s="248"/>
      <c r="KA70" s="248"/>
      <c r="KB70" s="248"/>
      <c r="KC70" s="248"/>
      <c r="KD70" s="248"/>
      <c r="KE70" s="248"/>
      <c r="KF70" s="248"/>
      <c r="KG70" s="248"/>
      <c r="KH70" s="248"/>
      <c r="KI70" s="248"/>
      <c r="KJ70" s="248"/>
      <c r="KK70" s="248"/>
      <c r="KL70" s="248"/>
      <c r="KM70" s="248"/>
      <c r="KN70" s="248"/>
      <c r="KO70" s="248"/>
      <c r="KP70" s="248"/>
      <c r="KQ70" s="248"/>
      <c r="KR70" s="248"/>
      <c r="KS70" s="248"/>
      <c r="KT70" s="248"/>
      <c r="KU70" s="248"/>
      <c r="KV70" s="248"/>
      <c r="KW70" s="248"/>
      <c r="KX70" s="248"/>
      <c r="KY70" s="248"/>
      <c r="KZ70" s="248"/>
      <c r="LA70" s="248"/>
      <c r="LB70" s="248"/>
      <c r="LC70" s="248"/>
      <c r="LD70" s="248"/>
      <c r="LE70" s="248"/>
      <c r="LF70" s="248"/>
      <c r="LG70" s="248"/>
      <c r="LH70" s="248"/>
      <c r="LI70" s="248"/>
      <c r="LJ70" s="248"/>
      <c r="LK70" s="248"/>
      <c r="LL70" s="248"/>
      <c r="LM70" s="248"/>
      <c r="LN70" s="248"/>
      <c r="LO70" s="248"/>
      <c r="LP70" s="248"/>
      <c r="LQ70" s="248"/>
      <c r="LR70" s="248"/>
      <c r="LS70" s="248"/>
      <c r="LT70" s="248"/>
      <c r="LU70" s="248"/>
      <c r="LV70" s="248"/>
      <c r="LW70" s="248"/>
      <c r="LX70" s="248"/>
      <c r="LY70" s="248"/>
      <c r="LZ70" s="248"/>
      <c r="MA70" s="248"/>
      <c r="MB70" s="248"/>
      <c r="MC70" s="248"/>
      <c r="MD70" s="248"/>
      <c r="ME70" s="248"/>
      <c r="MF70" s="248"/>
      <c r="MG70" s="248"/>
      <c r="MH70" s="248"/>
      <c r="MI70" s="248"/>
      <c r="MJ70" s="248"/>
      <c r="MK70" s="248"/>
      <c r="ML70" s="248"/>
      <c r="MM70" s="248"/>
      <c r="MN70" s="248"/>
      <c r="MO70" s="248"/>
      <c r="MP70" s="248"/>
      <c r="MQ70" s="248"/>
      <c r="MR70" s="248"/>
      <c r="MS70" s="248"/>
      <c r="MT70" s="248"/>
      <c r="MU70" s="248"/>
      <c r="MV70" s="248"/>
      <c r="MW70" s="248"/>
      <c r="MX70" s="248"/>
      <c r="MY70" s="248"/>
      <c r="MZ70" s="248"/>
      <c r="NA70" s="248"/>
      <c r="NB70" s="248"/>
      <c r="NC70" s="248"/>
      <c r="ND70" s="248"/>
      <c r="NE70" s="248"/>
      <c r="NF70" s="248"/>
      <c r="NG70" s="248"/>
      <c r="NH70" s="248"/>
      <c r="NI70" s="248"/>
      <c r="NJ70" s="248"/>
      <c r="NK70" s="248"/>
      <c r="NL70" s="248"/>
      <c r="NM70" s="248"/>
      <c r="NN70" s="248"/>
      <c r="NO70" s="248"/>
      <c r="NP70" s="248"/>
      <c r="NQ70" s="248"/>
      <c r="NR70" s="248"/>
      <c r="NS70" s="248"/>
      <c r="NT70" s="248"/>
      <c r="NU70" s="248"/>
      <c r="NV70" s="248"/>
      <c r="NW70" s="248"/>
      <c r="NX70" s="248"/>
      <c r="NY70" s="248"/>
      <c r="NZ70" s="248"/>
      <c r="OA70" s="248"/>
      <c r="OB70" s="248"/>
      <c r="OC70" s="248"/>
      <c r="OD70" s="248"/>
      <c r="OE70" s="248"/>
      <c r="OF70" s="248"/>
      <c r="OG70" s="248"/>
      <c r="OH70" s="248"/>
      <c r="OI70" s="248"/>
      <c r="OJ70" s="248"/>
      <c r="OK70" s="248"/>
      <c r="OL70" s="248"/>
      <c r="OM70" s="248"/>
      <c r="ON70" s="248"/>
      <c r="OO70" s="248"/>
      <c r="OP70" s="248"/>
      <c r="OQ70" s="248"/>
      <c r="OR70" s="248"/>
      <c r="OS70" s="248"/>
      <c r="OT70" s="248"/>
      <c r="OU70" s="248"/>
      <c r="OV70" s="248"/>
      <c r="OW70" s="248"/>
      <c r="OX70" s="248"/>
      <c r="OY70" s="248"/>
      <c r="OZ70" s="248"/>
      <c r="PA70" s="248"/>
      <c r="PB70" s="248"/>
      <c r="PC70" s="248"/>
      <c r="PD70" s="248"/>
      <c r="PE70" s="248"/>
      <c r="PF70" s="248"/>
      <c r="PG70" s="248"/>
      <c r="PH70" s="248"/>
      <c r="PI70" s="248"/>
      <c r="PJ70" s="248"/>
      <c r="PK70" s="248"/>
      <c r="PL70" s="248"/>
      <c r="PM70" s="248"/>
      <c r="PN70" s="248"/>
      <c r="PO70" s="248"/>
      <c r="PP70" s="248"/>
      <c r="PQ70" s="248"/>
      <c r="PR70" s="248"/>
      <c r="PS70" s="248"/>
      <c r="PT70" s="248"/>
      <c r="PU70" s="248"/>
      <c r="PV70" s="248"/>
      <c r="PW70" s="248"/>
      <c r="PX70" s="248"/>
      <c r="PY70" s="248"/>
      <c r="PZ70" s="248"/>
      <c r="QA70" s="248"/>
      <c r="QB70" s="248"/>
      <c r="QC70" s="248"/>
      <c r="QD70" s="248"/>
      <c r="QE70" s="248"/>
      <c r="QF70" s="248"/>
      <c r="QG70" s="248"/>
      <c r="QH70" s="248"/>
      <c r="QI70" s="248"/>
      <c r="QJ70" s="248"/>
      <c r="QK70" s="248"/>
      <c r="QL70" s="248"/>
      <c r="QM70" s="248"/>
      <c r="QN70" s="248"/>
      <c r="QO70" s="248"/>
      <c r="QP70" s="248"/>
      <c r="QQ70" s="248"/>
      <c r="QR70" s="248"/>
      <c r="QS70" s="248"/>
      <c r="QT70" s="248"/>
      <c r="QU70" s="248"/>
      <c r="QV70" s="248"/>
      <c r="QW70" s="248"/>
      <c r="QX70" s="248"/>
      <c r="QY70" s="248"/>
      <c r="QZ70" s="248"/>
      <c r="RA70" s="248"/>
      <c r="RB70" s="248"/>
      <c r="RC70" s="248"/>
      <c r="RD70" s="248"/>
      <c r="RE70" s="248"/>
      <c r="RF70" s="248"/>
      <c r="RG70" s="248"/>
      <c r="RH70" s="248"/>
      <c r="RI70" s="248"/>
      <c r="RJ70" s="248"/>
      <c r="RK70" s="248"/>
      <c r="RL70" s="248"/>
      <c r="RM70" s="248"/>
      <c r="RN70" s="248"/>
      <c r="RO70" s="248"/>
      <c r="RP70" s="248"/>
      <c r="RQ70" s="248"/>
      <c r="RR70" s="248"/>
      <c r="RS70" s="248"/>
      <c r="RT70" s="248"/>
      <c r="RU70" s="248"/>
      <c r="RV70" s="248"/>
      <c r="RW70" s="248"/>
      <c r="RX70" s="248"/>
      <c r="RY70" s="248"/>
      <c r="RZ70" s="248"/>
      <c r="SA70" s="248"/>
      <c r="SB70" s="248"/>
      <c r="SC70" s="248"/>
      <c r="SD70" s="248"/>
      <c r="SE70" s="248"/>
      <c r="SF70" s="248"/>
      <c r="SG70" s="248"/>
      <c r="SH70" s="248"/>
      <c r="SI70" s="248"/>
      <c r="SJ70" s="248"/>
      <c r="SK70" s="248"/>
      <c r="SL70" s="248"/>
      <c r="SM70" s="248"/>
      <c r="SN70" s="248"/>
      <c r="SO70" s="248"/>
      <c r="SP70" s="248"/>
      <c r="SQ70" s="248"/>
      <c r="SR70" s="248"/>
      <c r="SS70" s="248"/>
      <c r="ST70" s="248"/>
      <c r="SU70" s="248"/>
      <c r="SV70" s="248"/>
      <c r="SW70" s="248"/>
      <c r="SX70" s="248"/>
      <c r="SY70" s="248"/>
      <c r="SZ70" s="248"/>
      <c r="TA70" s="248"/>
      <c r="TB70" s="248"/>
      <c r="TC70" s="248"/>
      <c r="TD70" s="248"/>
      <c r="TE70" s="248"/>
      <c r="TF70" s="248"/>
      <c r="TG70" s="248"/>
      <c r="TH70" s="248"/>
      <c r="TI70" s="248"/>
      <c r="TJ70" s="248"/>
      <c r="TK70" s="248"/>
      <c r="TL70" s="248"/>
      <c r="TM70" s="248"/>
      <c r="TN70" s="248"/>
      <c r="TO70" s="248"/>
      <c r="TP70" s="248"/>
      <c r="TQ70" s="248"/>
      <c r="TR70" s="248"/>
      <c r="TS70" s="248"/>
      <c r="TT70" s="248"/>
      <c r="TU70" s="248"/>
      <c r="TV70" s="248"/>
      <c r="TW70" s="248"/>
      <c r="TX70" s="248"/>
      <c r="TY70" s="248"/>
      <c r="TZ70" s="248"/>
      <c r="UA70" s="248"/>
      <c r="UB70" s="248"/>
      <c r="UC70" s="248"/>
      <c r="UD70" s="248"/>
      <c r="UE70" s="248"/>
      <c r="UF70" s="248"/>
      <c r="UG70" s="248"/>
      <c r="UH70" s="248"/>
      <c r="UI70" s="248"/>
      <c r="UJ70" s="248"/>
      <c r="UK70" s="248"/>
      <c r="UL70" s="248"/>
      <c r="UM70" s="248"/>
      <c r="UN70" s="248"/>
      <c r="UO70" s="248"/>
      <c r="UP70" s="248"/>
      <c r="UQ70" s="248"/>
      <c r="UR70" s="248"/>
      <c r="US70" s="248"/>
      <c r="UT70" s="248"/>
      <c r="UU70" s="248"/>
      <c r="UV70" s="248"/>
      <c r="UW70" s="248"/>
      <c r="UX70" s="248"/>
      <c r="UY70" s="248"/>
      <c r="UZ70" s="248"/>
      <c r="VA70" s="248"/>
      <c r="VB70" s="248"/>
      <c r="VC70" s="248"/>
      <c r="VD70" s="248"/>
      <c r="VE70" s="248"/>
      <c r="VF70" s="248"/>
      <c r="VG70" s="248"/>
      <c r="VH70" s="248"/>
      <c r="VI70" s="248"/>
      <c r="VJ70" s="248"/>
      <c r="VK70" s="248"/>
      <c r="VL70" s="248"/>
      <c r="VM70" s="248"/>
      <c r="VN70" s="248"/>
      <c r="VO70" s="248"/>
      <c r="VP70" s="248"/>
      <c r="VQ70" s="248"/>
      <c r="VR70" s="248"/>
      <c r="VS70" s="248"/>
      <c r="VT70" s="248"/>
      <c r="VU70" s="248"/>
      <c r="VV70" s="248"/>
      <c r="VW70" s="248"/>
      <c r="VX70" s="248"/>
      <c r="VY70" s="248"/>
      <c r="VZ70" s="248"/>
      <c r="WA70" s="248"/>
      <c r="WB70" s="248"/>
      <c r="WC70" s="248"/>
      <c r="WD70" s="248"/>
      <c r="WE70" s="248"/>
      <c r="WF70" s="248"/>
      <c r="WG70" s="248"/>
      <c r="WH70" s="248"/>
      <c r="WI70" s="248"/>
      <c r="WJ70" s="248"/>
      <c r="WK70" s="248"/>
      <c r="WL70" s="248"/>
      <c r="WM70" s="248"/>
      <c r="WN70" s="248"/>
      <c r="WO70" s="248"/>
      <c r="WP70" s="248"/>
      <c r="WQ70" s="248"/>
      <c r="WR70" s="248"/>
      <c r="WS70" s="248"/>
      <c r="WT70" s="248"/>
      <c r="WU70" s="248"/>
      <c r="WV70" s="248"/>
      <c r="WW70" s="248"/>
      <c r="WX70" s="248"/>
      <c r="WY70" s="248"/>
      <c r="WZ70" s="248"/>
      <c r="XA70" s="248"/>
      <c r="XB70" s="248"/>
      <c r="XC70" s="248"/>
      <c r="XD70" s="248"/>
      <c r="XE70" s="248"/>
      <c r="XF70" s="248"/>
      <c r="XG70" s="248"/>
      <c r="XH70" s="248"/>
      <c r="XI70" s="248"/>
      <c r="XJ70" s="248"/>
      <c r="XK70" s="248"/>
      <c r="XL70" s="248"/>
      <c r="XM70" s="248"/>
      <c r="XN70" s="248"/>
      <c r="XO70" s="248"/>
      <c r="XP70" s="248"/>
      <c r="XQ70" s="248"/>
      <c r="XR70" s="248"/>
      <c r="XS70" s="248"/>
      <c r="XT70" s="248"/>
      <c r="XU70" s="248"/>
      <c r="XV70" s="248"/>
      <c r="XW70" s="248"/>
      <c r="XX70" s="248"/>
      <c r="XY70" s="248"/>
      <c r="XZ70" s="248"/>
      <c r="YA70" s="248"/>
      <c r="YB70" s="248"/>
      <c r="YC70" s="248"/>
      <c r="YD70" s="248"/>
      <c r="YE70" s="248"/>
      <c r="YF70" s="248"/>
      <c r="YG70" s="248"/>
      <c r="YH70" s="248"/>
      <c r="YI70" s="248"/>
      <c r="YJ70" s="248"/>
      <c r="YK70" s="248"/>
      <c r="YL70" s="248"/>
      <c r="YM70" s="248"/>
      <c r="YN70" s="248"/>
      <c r="YO70" s="248"/>
      <c r="YP70" s="248"/>
      <c r="YQ70" s="248"/>
      <c r="YR70" s="248"/>
      <c r="YS70" s="248"/>
      <c r="YT70" s="248"/>
      <c r="YU70" s="248"/>
      <c r="YV70" s="248"/>
      <c r="YW70" s="248"/>
      <c r="YX70" s="248"/>
      <c r="YY70" s="248"/>
      <c r="YZ70" s="248"/>
      <c r="ZA70" s="248"/>
      <c r="ZB70" s="248"/>
      <c r="ZC70" s="248"/>
      <c r="ZD70" s="248"/>
      <c r="ZE70" s="248"/>
      <c r="ZF70" s="248"/>
      <c r="ZG70" s="248"/>
      <c r="ZH70" s="248"/>
      <c r="ZI70" s="248"/>
      <c r="ZJ70" s="248"/>
      <c r="ZK70" s="248"/>
      <c r="ZL70" s="248"/>
      <c r="ZM70" s="248"/>
      <c r="ZN70" s="248"/>
      <c r="ZO70" s="248"/>
      <c r="ZP70" s="248"/>
      <c r="ZQ70" s="248"/>
      <c r="ZR70" s="248"/>
      <c r="ZS70" s="248"/>
      <c r="ZT70" s="248"/>
      <c r="ZU70" s="248"/>
      <c r="ZV70" s="248"/>
      <c r="ZW70" s="248"/>
      <c r="ZX70" s="248"/>
      <c r="ZY70" s="248"/>
      <c r="ZZ70" s="248"/>
      <c r="AAA70" s="248"/>
      <c r="AAB70" s="248"/>
      <c r="AAC70" s="248"/>
      <c r="AAD70" s="248"/>
      <c r="AAE70" s="248"/>
      <c r="AAF70" s="248"/>
      <c r="AAG70" s="248"/>
      <c r="AAH70" s="248"/>
      <c r="AAI70" s="248"/>
      <c r="AAJ70" s="248"/>
      <c r="AAK70" s="248"/>
      <c r="AAL70" s="248"/>
      <c r="AAM70" s="248"/>
      <c r="AAN70" s="248"/>
      <c r="AAO70" s="248"/>
      <c r="AAP70" s="248"/>
      <c r="AAQ70" s="248"/>
      <c r="AAR70" s="248"/>
      <c r="AAS70" s="248"/>
      <c r="AAT70" s="248"/>
      <c r="AAU70" s="248"/>
      <c r="AAV70" s="248"/>
      <c r="AAW70" s="248"/>
      <c r="AAX70" s="248"/>
      <c r="AAY70" s="248"/>
      <c r="AAZ70" s="248"/>
      <c r="ABA70" s="248"/>
      <c r="ABB70" s="248"/>
      <c r="ABC70" s="248"/>
      <c r="ABD70" s="248"/>
      <c r="ABE70" s="248"/>
      <c r="ABF70" s="248"/>
      <c r="ABG70" s="248"/>
      <c r="ABH70" s="248"/>
      <c r="ABI70" s="248"/>
      <c r="ABJ70" s="248"/>
      <c r="ABK70" s="248"/>
      <c r="ABL70" s="248"/>
      <c r="ABM70" s="248"/>
      <c r="ABN70" s="248"/>
      <c r="ABO70" s="248"/>
      <c r="ABP70" s="248"/>
      <c r="ABQ70" s="248"/>
      <c r="ABR70" s="248"/>
      <c r="ABS70" s="248"/>
      <c r="ABT70" s="248"/>
      <c r="ABU70" s="248"/>
      <c r="ABV70" s="248"/>
      <c r="ABW70" s="248"/>
      <c r="ABX70" s="248"/>
      <c r="ABY70" s="248"/>
      <c r="ABZ70" s="248"/>
      <c r="ACA70" s="248"/>
      <c r="ACB70" s="248"/>
      <c r="ACC70" s="248"/>
      <c r="ACD70" s="248"/>
      <c r="ACE70" s="248"/>
      <c r="ACF70" s="248"/>
      <c r="ACG70" s="248"/>
      <c r="ACH70" s="248"/>
      <c r="ACI70" s="248"/>
      <c r="ACJ70" s="248"/>
      <c r="ACK70" s="248"/>
      <c r="ACL70" s="248"/>
      <c r="ACM70" s="248"/>
      <c r="ACN70" s="248"/>
      <c r="ACO70" s="248"/>
      <c r="ACP70" s="248"/>
      <c r="ACQ70" s="248"/>
      <c r="ACR70" s="248"/>
      <c r="ACS70" s="248"/>
      <c r="ACT70" s="248"/>
      <c r="ACU70" s="248"/>
      <c r="ACV70" s="248"/>
      <c r="ACW70" s="248"/>
      <c r="ACX70" s="248"/>
      <c r="ACY70" s="248"/>
      <c r="ACZ70" s="248"/>
      <c r="ADA70" s="248"/>
      <c r="ADB70" s="248"/>
      <c r="ADC70" s="248"/>
      <c r="ADD70" s="248"/>
      <c r="ADE70" s="248"/>
      <c r="ADF70" s="248"/>
      <c r="ADG70" s="248"/>
      <c r="ADH70" s="248"/>
      <c r="ADI70" s="248"/>
      <c r="ADJ70" s="248"/>
      <c r="ADK70" s="248"/>
      <c r="ADL70" s="248"/>
      <c r="ADM70" s="248"/>
      <c r="ADN70" s="248"/>
      <c r="ADO70" s="248"/>
      <c r="ADP70" s="248"/>
      <c r="ADQ70" s="248"/>
      <c r="ADR70" s="248"/>
      <c r="ADS70" s="248"/>
      <c r="ADT70" s="248"/>
      <c r="ADU70" s="248"/>
      <c r="ADV70" s="248"/>
      <c r="ADW70" s="248"/>
      <c r="ADX70" s="248"/>
      <c r="ADY70" s="248"/>
      <c r="ADZ70" s="248"/>
      <c r="AEA70" s="248"/>
      <c r="AEB70" s="248"/>
      <c r="AEC70" s="248"/>
      <c r="AED70" s="248"/>
      <c r="AEE70" s="248"/>
      <c r="AEF70" s="248"/>
      <c r="AEG70" s="248"/>
      <c r="AEH70" s="248"/>
      <c r="AEI70" s="248"/>
      <c r="AEJ70" s="248"/>
      <c r="AEK70" s="248"/>
      <c r="AEL70" s="248"/>
      <c r="AEM70" s="248"/>
      <c r="AEN70" s="248"/>
      <c r="AEO70" s="248"/>
      <c r="AEP70" s="248"/>
      <c r="AEQ70" s="248"/>
      <c r="AER70" s="248"/>
      <c r="AES70" s="248"/>
      <c r="AET70" s="248"/>
      <c r="AEU70" s="248"/>
      <c r="AEV70" s="248"/>
      <c r="AEW70" s="248"/>
      <c r="AEX70" s="248"/>
      <c r="AEY70" s="248"/>
      <c r="AEZ70" s="248"/>
      <c r="AFA70" s="248"/>
      <c r="AFB70" s="248"/>
      <c r="AFC70" s="248"/>
      <c r="AFD70" s="248"/>
      <c r="AFE70" s="248"/>
      <c r="AFF70" s="248"/>
      <c r="AFG70" s="248"/>
      <c r="AFH70" s="248"/>
      <c r="AFI70" s="248"/>
      <c r="AFJ70" s="248"/>
      <c r="AFK70" s="248"/>
      <c r="AFL70" s="248"/>
      <c r="AFM70" s="248"/>
      <c r="AFN70" s="248"/>
      <c r="AFO70" s="248"/>
      <c r="AFP70" s="248"/>
      <c r="AFQ70" s="248"/>
      <c r="AFR70" s="248"/>
      <c r="AFS70" s="248"/>
      <c r="AFT70" s="248"/>
      <c r="AFU70" s="248"/>
      <c r="AFV70" s="248"/>
      <c r="AFW70" s="248"/>
      <c r="AFX70" s="248"/>
      <c r="AFY70" s="248"/>
      <c r="AFZ70" s="248"/>
      <c r="AGA70" s="248"/>
      <c r="AGB70" s="248"/>
      <c r="AGC70" s="248"/>
      <c r="AGD70" s="248"/>
      <c r="AGE70" s="248"/>
      <c r="AGF70" s="248"/>
      <c r="AGG70" s="248"/>
      <c r="AGH70" s="248"/>
      <c r="AGI70" s="248"/>
      <c r="AGJ70" s="248"/>
      <c r="AGK70" s="248"/>
      <c r="AGL70" s="248"/>
      <c r="AGM70" s="248"/>
      <c r="AGN70" s="248"/>
      <c r="AGO70" s="248"/>
      <c r="AGP70" s="248"/>
      <c r="AGQ70" s="248"/>
      <c r="AGR70" s="248"/>
      <c r="AGS70" s="248"/>
      <c r="AGT70" s="248"/>
      <c r="AGU70" s="248"/>
      <c r="AGV70" s="248"/>
      <c r="AGW70" s="248"/>
      <c r="AGX70" s="248"/>
      <c r="AGY70" s="248"/>
      <c r="AGZ70" s="248"/>
      <c r="AHA70" s="248"/>
      <c r="AHB70" s="248"/>
      <c r="AHC70" s="248"/>
      <c r="AHD70" s="248"/>
      <c r="AHE70" s="248"/>
      <c r="AHF70" s="248"/>
      <c r="AHG70" s="248"/>
      <c r="AHH70" s="248"/>
      <c r="AHI70" s="248"/>
      <c r="AHJ70" s="248"/>
      <c r="AHK70" s="248"/>
      <c r="AHL70" s="248"/>
      <c r="AHM70" s="248"/>
      <c r="AHN70" s="248"/>
      <c r="AHO70" s="248"/>
      <c r="AHP70" s="248"/>
      <c r="AHQ70" s="248"/>
      <c r="AHR70" s="248"/>
      <c r="AHS70" s="248"/>
      <c r="AHT70" s="248"/>
      <c r="AHU70" s="248"/>
      <c r="AHV70" s="248"/>
      <c r="AHW70" s="248"/>
      <c r="AHX70" s="248"/>
      <c r="AHY70" s="248"/>
      <c r="AHZ70" s="248"/>
      <c r="AIA70" s="248"/>
      <c r="AIB70" s="248"/>
      <c r="AIC70" s="248"/>
      <c r="AID70" s="248"/>
      <c r="AIE70" s="248"/>
      <c r="AIF70" s="248"/>
    </row>
    <row r="71" spans="1:916">
      <c r="B71" s="387"/>
      <c r="H71" s="253"/>
      <c r="I71" s="251"/>
      <c r="J71" s="102"/>
      <c r="N71" s="388"/>
      <c r="Q71" s="102"/>
      <c r="R71" s="102"/>
      <c r="S71" s="102"/>
      <c r="T71" s="106"/>
      <c r="U71" s="106"/>
      <c r="V71" s="106"/>
      <c r="W71" s="106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EA71" s="102"/>
      <c r="EB71" s="102"/>
      <c r="EC71" s="102"/>
      <c r="ED71" s="102"/>
      <c r="EE71" s="102"/>
      <c r="EF71" s="102"/>
      <c r="EG71" s="102"/>
      <c r="EH71" s="102"/>
      <c r="EI71" s="102"/>
      <c r="EJ71" s="102"/>
      <c r="EK71" s="102"/>
      <c r="EL71" s="102"/>
      <c r="EM71" s="102"/>
      <c r="EN71" s="102"/>
      <c r="EO71" s="102"/>
      <c r="EP71" s="102"/>
      <c r="EQ71" s="102"/>
      <c r="ER71" s="102"/>
      <c r="ES71" s="102"/>
      <c r="ET71" s="102"/>
      <c r="EU71" s="102"/>
      <c r="EV71" s="102"/>
      <c r="EW71" s="102"/>
      <c r="EX71" s="102"/>
      <c r="EY71" s="102"/>
      <c r="EZ71" s="102"/>
      <c r="FA71" s="102"/>
      <c r="FB71" s="102"/>
      <c r="FC71" s="102"/>
      <c r="FD71" s="102"/>
      <c r="FE71" s="102"/>
      <c r="FF71" s="102"/>
      <c r="FG71" s="102"/>
      <c r="FH71" s="102"/>
      <c r="FI71" s="102"/>
      <c r="FJ71" s="102"/>
      <c r="FK71" s="102"/>
      <c r="FL71" s="102"/>
      <c r="FM71" s="102"/>
      <c r="FN71" s="102"/>
      <c r="FO71" s="102"/>
      <c r="FP71" s="102"/>
      <c r="FQ71" s="102"/>
      <c r="FR71" s="102"/>
      <c r="FS71" s="102"/>
      <c r="FT71" s="102"/>
      <c r="FU71" s="102"/>
      <c r="FV71" s="248"/>
      <c r="FW71" s="248"/>
      <c r="FX71" s="248"/>
      <c r="FY71" s="248"/>
      <c r="FZ71" s="248"/>
      <c r="GA71" s="248"/>
      <c r="GB71" s="248"/>
      <c r="GC71" s="248"/>
      <c r="GD71" s="248"/>
      <c r="GE71" s="248"/>
      <c r="GF71" s="248"/>
      <c r="GG71" s="248"/>
      <c r="GH71" s="248"/>
      <c r="GI71" s="248"/>
      <c r="GJ71" s="248"/>
      <c r="GK71" s="248"/>
      <c r="GL71" s="248"/>
      <c r="GM71" s="248"/>
      <c r="GN71" s="248"/>
      <c r="GO71" s="248"/>
      <c r="GP71" s="248"/>
      <c r="GQ71" s="248"/>
      <c r="GR71" s="248"/>
      <c r="GS71" s="248"/>
      <c r="GT71" s="248"/>
      <c r="GU71" s="248"/>
      <c r="GV71" s="248"/>
      <c r="GW71" s="248"/>
      <c r="GX71" s="248"/>
      <c r="GY71" s="248"/>
      <c r="GZ71" s="248"/>
      <c r="HA71" s="248"/>
      <c r="HB71" s="248"/>
      <c r="HC71" s="248"/>
      <c r="HD71" s="248"/>
      <c r="HE71" s="248"/>
      <c r="HF71" s="248"/>
      <c r="HG71" s="248"/>
      <c r="HH71" s="248"/>
      <c r="HI71" s="248"/>
      <c r="HJ71" s="248"/>
      <c r="HK71" s="248"/>
      <c r="HL71" s="248"/>
      <c r="HM71" s="248"/>
      <c r="HN71" s="248"/>
      <c r="HO71" s="248"/>
      <c r="HP71" s="248"/>
      <c r="HQ71" s="248"/>
      <c r="HR71" s="248"/>
      <c r="HS71" s="248"/>
      <c r="HT71" s="248"/>
      <c r="HU71" s="248"/>
      <c r="HV71" s="248"/>
      <c r="HW71" s="248"/>
      <c r="HX71" s="248"/>
      <c r="HY71" s="248"/>
      <c r="HZ71" s="248"/>
      <c r="IA71" s="248"/>
      <c r="IB71" s="248"/>
      <c r="IC71" s="248"/>
      <c r="ID71" s="248"/>
      <c r="IE71" s="248"/>
      <c r="IF71" s="248"/>
      <c r="IG71" s="248"/>
      <c r="IH71" s="248"/>
      <c r="II71" s="248"/>
      <c r="IJ71" s="248"/>
      <c r="IK71" s="248"/>
      <c r="IL71" s="248"/>
      <c r="IM71" s="248"/>
      <c r="IN71" s="248"/>
      <c r="IO71" s="248"/>
      <c r="IP71" s="248"/>
      <c r="IQ71" s="248"/>
      <c r="IR71" s="248"/>
      <c r="IS71" s="248"/>
      <c r="IT71" s="248"/>
      <c r="IU71" s="248"/>
      <c r="IV71" s="248"/>
      <c r="IW71" s="248"/>
      <c r="IX71" s="248"/>
      <c r="IY71" s="248"/>
      <c r="IZ71" s="248"/>
      <c r="JA71" s="248"/>
      <c r="JB71" s="248"/>
      <c r="JC71" s="248"/>
      <c r="JD71" s="248"/>
      <c r="JE71" s="248"/>
      <c r="JF71" s="248"/>
      <c r="JG71" s="248"/>
      <c r="JH71" s="248"/>
      <c r="JI71" s="248"/>
      <c r="JJ71" s="248"/>
      <c r="JK71" s="248"/>
      <c r="JL71" s="248"/>
      <c r="JM71" s="248"/>
      <c r="JN71" s="248"/>
      <c r="JO71" s="248"/>
      <c r="JP71" s="248"/>
      <c r="JQ71" s="248"/>
      <c r="JR71" s="248"/>
      <c r="JS71" s="248"/>
      <c r="JT71" s="248"/>
      <c r="JU71" s="248"/>
      <c r="JV71" s="248"/>
      <c r="JW71" s="248"/>
      <c r="JX71" s="248"/>
      <c r="JY71" s="248"/>
      <c r="JZ71" s="248"/>
      <c r="KA71" s="248"/>
      <c r="KB71" s="248"/>
      <c r="KC71" s="248"/>
      <c r="KD71" s="248"/>
      <c r="KE71" s="248"/>
      <c r="KF71" s="248"/>
      <c r="KG71" s="248"/>
      <c r="KH71" s="248"/>
      <c r="KI71" s="248"/>
      <c r="KJ71" s="248"/>
      <c r="KK71" s="248"/>
      <c r="KL71" s="248"/>
      <c r="KM71" s="248"/>
      <c r="KN71" s="248"/>
      <c r="KO71" s="248"/>
      <c r="KP71" s="248"/>
      <c r="KQ71" s="248"/>
      <c r="KR71" s="248"/>
      <c r="KS71" s="248"/>
      <c r="KT71" s="248"/>
      <c r="KU71" s="248"/>
      <c r="KV71" s="248"/>
      <c r="KW71" s="248"/>
      <c r="KX71" s="248"/>
      <c r="KY71" s="248"/>
      <c r="KZ71" s="248"/>
      <c r="LA71" s="248"/>
      <c r="LB71" s="248"/>
      <c r="LC71" s="248"/>
      <c r="LD71" s="248"/>
      <c r="LE71" s="248"/>
      <c r="LF71" s="248"/>
      <c r="LG71" s="248"/>
      <c r="LH71" s="248"/>
      <c r="LI71" s="248"/>
      <c r="LJ71" s="248"/>
      <c r="LK71" s="248"/>
      <c r="LL71" s="248"/>
      <c r="LM71" s="248"/>
      <c r="LN71" s="248"/>
      <c r="LO71" s="248"/>
      <c r="LP71" s="248"/>
      <c r="LQ71" s="248"/>
      <c r="LR71" s="248"/>
      <c r="LS71" s="248"/>
      <c r="LT71" s="248"/>
      <c r="LU71" s="248"/>
      <c r="LV71" s="248"/>
      <c r="LW71" s="248"/>
      <c r="LX71" s="248"/>
      <c r="LY71" s="248"/>
      <c r="LZ71" s="248"/>
      <c r="MA71" s="248"/>
      <c r="MB71" s="248"/>
      <c r="MC71" s="248"/>
      <c r="MD71" s="248"/>
      <c r="ME71" s="248"/>
      <c r="MF71" s="248"/>
      <c r="MG71" s="248"/>
      <c r="MH71" s="248"/>
      <c r="MI71" s="248"/>
      <c r="MJ71" s="248"/>
      <c r="MK71" s="248"/>
      <c r="ML71" s="248"/>
      <c r="MM71" s="248"/>
      <c r="MN71" s="248"/>
      <c r="MO71" s="248"/>
      <c r="MP71" s="248"/>
      <c r="MQ71" s="248"/>
      <c r="MR71" s="248"/>
      <c r="MS71" s="248"/>
      <c r="MT71" s="248"/>
      <c r="MU71" s="248"/>
      <c r="MV71" s="248"/>
      <c r="MW71" s="248"/>
      <c r="MX71" s="248"/>
      <c r="MY71" s="248"/>
      <c r="MZ71" s="248"/>
      <c r="NA71" s="248"/>
      <c r="NB71" s="248"/>
      <c r="NC71" s="248"/>
      <c r="ND71" s="248"/>
      <c r="NE71" s="248"/>
      <c r="NF71" s="248"/>
      <c r="NG71" s="248"/>
      <c r="NH71" s="248"/>
      <c r="NI71" s="248"/>
      <c r="NJ71" s="248"/>
      <c r="NK71" s="248"/>
      <c r="NL71" s="248"/>
      <c r="NM71" s="248"/>
      <c r="NN71" s="248"/>
      <c r="NO71" s="248"/>
      <c r="NP71" s="248"/>
      <c r="NQ71" s="248"/>
      <c r="NR71" s="248"/>
      <c r="NS71" s="248"/>
      <c r="NT71" s="248"/>
      <c r="NU71" s="248"/>
      <c r="NV71" s="248"/>
      <c r="NW71" s="248"/>
      <c r="NX71" s="248"/>
      <c r="NY71" s="248"/>
      <c r="NZ71" s="248"/>
      <c r="OA71" s="248"/>
      <c r="OB71" s="248"/>
      <c r="OC71" s="248"/>
      <c r="OD71" s="248"/>
      <c r="OE71" s="248"/>
      <c r="OF71" s="248"/>
      <c r="OG71" s="248"/>
      <c r="OH71" s="248"/>
      <c r="OI71" s="248"/>
      <c r="OJ71" s="248"/>
      <c r="OK71" s="248"/>
      <c r="OL71" s="248"/>
      <c r="OM71" s="248"/>
      <c r="ON71" s="248"/>
      <c r="OO71" s="248"/>
      <c r="OP71" s="248"/>
      <c r="OQ71" s="248"/>
      <c r="OR71" s="248"/>
      <c r="OS71" s="248"/>
      <c r="OT71" s="248"/>
      <c r="OU71" s="248"/>
      <c r="OV71" s="248"/>
      <c r="OW71" s="248"/>
      <c r="OX71" s="248"/>
      <c r="OY71" s="248"/>
      <c r="OZ71" s="248"/>
      <c r="PA71" s="248"/>
      <c r="PB71" s="248"/>
      <c r="PC71" s="248"/>
      <c r="PD71" s="248"/>
      <c r="PE71" s="248"/>
      <c r="PF71" s="248"/>
      <c r="PG71" s="248"/>
      <c r="PH71" s="248"/>
      <c r="PI71" s="248"/>
      <c r="PJ71" s="248"/>
      <c r="PK71" s="248"/>
      <c r="PL71" s="248"/>
      <c r="PM71" s="248"/>
      <c r="PN71" s="248"/>
      <c r="PO71" s="248"/>
      <c r="PP71" s="248"/>
      <c r="PQ71" s="248"/>
      <c r="PR71" s="248"/>
      <c r="PS71" s="248"/>
      <c r="PT71" s="248"/>
      <c r="PU71" s="248"/>
      <c r="PV71" s="248"/>
      <c r="PW71" s="248"/>
      <c r="PX71" s="248"/>
      <c r="PY71" s="248"/>
      <c r="PZ71" s="248"/>
      <c r="QA71" s="248"/>
      <c r="QB71" s="248"/>
      <c r="QC71" s="248"/>
      <c r="QD71" s="248"/>
      <c r="QE71" s="248"/>
      <c r="QF71" s="248"/>
      <c r="QG71" s="248"/>
      <c r="QH71" s="248"/>
      <c r="QI71" s="248"/>
      <c r="QJ71" s="248"/>
      <c r="QK71" s="248"/>
      <c r="QL71" s="248"/>
      <c r="QM71" s="248"/>
      <c r="QN71" s="248"/>
      <c r="QO71" s="248"/>
      <c r="QP71" s="248"/>
      <c r="QQ71" s="248"/>
      <c r="QR71" s="248"/>
      <c r="QS71" s="248"/>
      <c r="QT71" s="248"/>
      <c r="QU71" s="248"/>
      <c r="QV71" s="248"/>
      <c r="QW71" s="248"/>
      <c r="QX71" s="248"/>
      <c r="QY71" s="248"/>
      <c r="QZ71" s="248"/>
      <c r="RA71" s="248"/>
      <c r="RB71" s="248"/>
      <c r="RC71" s="248"/>
      <c r="RD71" s="248"/>
      <c r="RE71" s="248"/>
      <c r="RF71" s="248"/>
      <c r="RG71" s="248"/>
      <c r="RH71" s="248"/>
      <c r="RI71" s="248"/>
      <c r="RJ71" s="248"/>
      <c r="RK71" s="248"/>
      <c r="RL71" s="248"/>
      <c r="RM71" s="248"/>
      <c r="RN71" s="248"/>
      <c r="RO71" s="248"/>
      <c r="RP71" s="248"/>
      <c r="RQ71" s="248"/>
      <c r="RR71" s="248"/>
      <c r="RS71" s="248"/>
      <c r="RT71" s="248"/>
      <c r="RU71" s="248"/>
      <c r="RV71" s="248"/>
      <c r="RW71" s="248"/>
      <c r="RX71" s="248"/>
      <c r="RY71" s="248"/>
      <c r="RZ71" s="248"/>
      <c r="SA71" s="248"/>
      <c r="SB71" s="248"/>
      <c r="SC71" s="248"/>
      <c r="SD71" s="248"/>
      <c r="SE71" s="248"/>
      <c r="SF71" s="248"/>
      <c r="SG71" s="248"/>
      <c r="SH71" s="248"/>
      <c r="SI71" s="248"/>
      <c r="SJ71" s="248"/>
      <c r="SK71" s="248"/>
      <c r="SL71" s="248"/>
      <c r="SM71" s="248"/>
      <c r="SN71" s="248"/>
      <c r="SO71" s="248"/>
      <c r="SP71" s="248"/>
      <c r="SQ71" s="248"/>
      <c r="SR71" s="248"/>
      <c r="SS71" s="248"/>
      <c r="ST71" s="248"/>
      <c r="SU71" s="248"/>
      <c r="SV71" s="248"/>
      <c r="SW71" s="248"/>
      <c r="SX71" s="248"/>
      <c r="SY71" s="248"/>
      <c r="SZ71" s="248"/>
      <c r="TA71" s="248"/>
      <c r="TB71" s="248"/>
      <c r="TC71" s="248"/>
      <c r="TD71" s="248"/>
      <c r="TE71" s="248"/>
      <c r="TF71" s="248"/>
      <c r="TG71" s="248"/>
      <c r="TH71" s="248"/>
      <c r="TI71" s="248"/>
      <c r="TJ71" s="248"/>
      <c r="TK71" s="248"/>
      <c r="TL71" s="248"/>
      <c r="TM71" s="248"/>
      <c r="TN71" s="248"/>
      <c r="TO71" s="248"/>
      <c r="TP71" s="248"/>
      <c r="TQ71" s="248"/>
      <c r="TR71" s="248"/>
      <c r="TS71" s="248"/>
      <c r="TT71" s="248"/>
      <c r="TU71" s="248"/>
      <c r="TV71" s="248"/>
      <c r="TW71" s="248"/>
      <c r="TX71" s="248"/>
      <c r="TY71" s="248"/>
      <c r="TZ71" s="248"/>
      <c r="UA71" s="248"/>
      <c r="UB71" s="248"/>
      <c r="UC71" s="248"/>
      <c r="UD71" s="248"/>
      <c r="UE71" s="248"/>
      <c r="UF71" s="248"/>
      <c r="UG71" s="248"/>
      <c r="UH71" s="248"/>
      <c r="UI71" s="248"/>
      <c r="UJ71" s="248"/>
      <c r="UK71" s="248"/>
      <c r="UL71" s="248"/>
      <c r="UM71" s="248"/>
      <c r="UN71" s="248"/>
      <c r="UO71" s="248"/>
      <c r="UP71" s="248"/>
      <c r="UQ71" s="248"/>
      <c r="UR71" s="248"/>
      <c r="US71" s="248"/>
      <c r="UT71" s="248"/>
      <c r="UU71" s="248"/>
      <c r="UV71" s="248"/>
      <c r="UW71" s="248"/>
      <c r="UX71" s="248"/>
      <c r="UY71" s="248"/>
      <c r="UZ71" s="248"/>
      <c r="VA71" s="248"/>
      <c r="VB71" s="248"/>
      <c r="VC71" s="248"/>
      <c r="VD71" s="248"/>
      <c r="VE71" s="248"/>
      <c r="VF71" s="248"/>
      <c r="VG71" s="248"/>
      <c r="VH71" s="248"/>
      <c r="VI71" s="248"/>
      <c r="VJ71" s="248"/>
      <c r="VK71" s="248"/>
      <c r="VL71" s="248"/>
      <c r="VM71" s="248"/>
      <c r="VN71" s="248"/>
      <c r="VO71" s="248"/>
      <c r="VP71" s="248"/>
      <c r="VQ71" s="248"/>
      <c r="VR71" s="248"/>
      <c r="VS71" s="248"/>
      <c r="VT71" s="248"/>
      <c r="VU71" s="248"/>
      <c r="VV71" s="248"/>
      <c r="VW71" s="248"/>
      <c r="VX71" s="248"/>
      <c r="VY71" s="248"/>
      <c r="VZ71" s="248"/>
      <c r="WA71" s="248"/>
      <c r="WB71" s="248"/>
      <c r="WC71" s="248"/>
      <c r="WD71" s="248"/>
      <c r="WE71" s="248"/>
      <c r="WF71" s="248"/>
      <c r="WG71" s="248"/>
      <c r="WH71" s="248"/>
      <c r="WI71" s="248"/>
      <c r="WJ71" s="248"/>
      <c r="WK71" s="248"/>
      <c r="WL71" s="248"/>
      <c r="WM71" s="248"/>
      <c r="WN71" s="248"/>
      <c r="WO71" s="248"/>
      <c r="WP71" s="248"/>
      <c r="WQ71" s="248"/>
      <c r="WR71" s="248"/>
      <c r="WS71" s="248"/>
      <c r="WT71" s="248"/>
      <c r="WU71" s="248"/>
      <c r="WV71" s="248"/>
      <c r="WW71" s="248"/>
      <c r="WX71" s="248"/>
      <c r="WY71" s="248"/>
      <c r="WZ71" s="248"/>
      <c r="XA71" s="248"/>
      <c r="XB71" s="248"/>
      <c r="XC71" s="248"/>
      <c r="XD71" s="248"/>
      <c r="XE71" s="248"/>
      <c r="XF71" s="248"/>
      <c r="XG71" s="248"/>
      <c r="XH71" s="248"/>
      <c r="XI71" s="248"/>
      <c r="XJ71" s="248"/>
      <c r="XK71" s="248"/>
      <c r="XL71" s="248"/>
      <c r="XM71" s="248"/>
      <c r="XN71" s="248"/>
      <c r="XO71" s="248"/>
      <c r="XP71" s="248"/>
      <c r="XQ71" s="248"/>
      <c r="XR71" s="248"/>
      <c r="XS71" s="248"/>
      <c r="XT71" s="248"/>
      <c r="XU71" s="248"/>
      <c r="XV71" s="248"/>
      <c r="XW71" s="248"/>
      <c r="XX71" s="248"/>
      <c r="XY71" s="248"/>
      <c r="XZ71" s="248"/>
      <c r="YA71" s="248"/>
      <c r="YB71" s="248"/>
      <c r="YC71" s="248"/>
      <c r="YD71" s="248"/>
      <c r="YE71" s="248"/>
      <c r="YF71" s="248"/>
      <c r="YG71" s="248"/>
      <c r="YH71" s="248"/>
      <c r="YI71" s="248"/>
      <c r="YJ71" s="248"/>
      <c r="YK71" s="248"/>
      <c r="YL71" s="248"/>
      <c r="YM71" s="248"/>
      <c r="YN71" s="248"/>
      <c r="YO71" s="248"/>
      <c r="YP71" s="248"/>
      <c r="YQ71" s="248"/>
      <c r="YR71" s="248"/>
      <c r="YS71" s="248"/>
      <c r="YT71" s="248"/>
      <c r="YU71" s="248"/>
      <c r="YV71" s="248"/>
      <c r="YW71" s="248"/>
      <c r="YX71" s="248"/>
      <c r="YY71" s="248"/>
      <c r="YZ71" s="248"/>
      <c r="ZA71" s="248"/>
      <c r="ZB71" s="248"/>
      <c r="ZC71" s="248"/>
      <c r="ZD71" s="248"/>
      <c r="ZE71" s="248"/>
      <c r="ZF71" s="248"/>
      <c r="ZG71" s="248"/>
      <c r="ZH71" s="248"/>
      <c r="ZI71" s="248"/>
      <c r="ZJ71" s="248"/>
      <c r="ZK71" s="248"/>
      <c r="ZL71" s="248"/>
      <c r="ZM71" s="248"/>
      <c r="ZN71" s="248"/>
      <c r="ZO71" s="248"/>
      <c r="ZP71" s="248"/>
      <c r="ZQ71" s="248"/>
      <c r="ZR71" s="248"/>
      <c r="ZS71" s="248"/>
      <c r="ZT71" s="248"/>
      <c r="ZU71" s="248"/>
      <c r="ZV71" s="248"/>
      <c r="ZW71" s="248"/>
      <c r="ZX71" s="248"/>
      <c r="ZY71" s="248"/>
      <c r="ZZ71" s="248"/>
      <c r="AAA71" s="248"/>
      <c r="AAB71" s="248"/>
      <c r="AAC71" s="248"/>
      <c r="AAD71" s="248"/>
      <c r="AAE71" s="248"/>
      <c r="AAF71" s="248"/>
      <c r="AAG71" s="248"/>
      <c r="AAH71" s="248"/>
      <c r="AAI71" s="248"/>
      <c r="AAJ71" s="248"/>
      <c r="AAK71" s="248"/>
      <c r="AAL71" s="248"/>
      <c r="AAM71" s="248"/>
      <c r="AAN71" s="248"/>
      <c r="AAO71" s="248"/>
      <c r="AAP71" s="248"/>
      <c r="AAQ71" s="248"/>
      <c r="AAR71" s="248"/>
      <c r="AAS71" s="248"/>
      <c r="AAT71" s="248"/>
      <c r="AAU71" s="248"/>
      <c r="AAV71" s="248"/>
      <c r="AAW71" s="248"/>
      <c r="AAX71" s="248"/>
      <c r="AAY71" s="248"/>
      <c r="AAZ71" s="248"/>
      <c r="ABA71" s="248"/>
      <c r="ABB71" s="248"/>
      <c r="ABC71" s="248"/>
      <c r="ABD71" s="248"/>
      <c r="ABE71" s="248"/>
      <c r="ABF71" s="248"/>
      <c r="ABG71" s="248"/>
      <c r="ABH71" s="248"/>
      <c r="ABI71" s="248"/>
      <c r="ABJ71" s="248"/>
      <c r="ABK71" s="248"/>
      <c r="ABL71" s="248"/>
      <c r="ABM71" s="248"/>
      <c r="ABN71" s="248"/>
      <c r="ABO71" s="248"/>
      <c r="ABP71" s="248"/>
      <c r="ABQ71" s="248"/>
      <c r="ABR71" s="248"/>
      <c r="ABS71" s="248"/>
      <c r="ABT71" s="248"/>
      <c r="ABU71" s="248"/>
      <c r="ABV71" s="248"/>
      <c r="ABW71" s="248"/>
      <c r="ABX71" s="248"/>
      <c r="ABY71" s="248"/>
      <c r="ABZ71" s="248"/>
      <c r="ACA71" s="248"/>
      <c r="ACB71" s="248"/>
      <c r="ACC71" s="248"/>
      <c r="ACD71" s="248"/>
      <c r="ACE71" s="248"/>
      <c r="ACF71" s="248"/>
      <c r="ACG71" s="248"/>
      <c r="ACH71" s="248"/>
      <c r="ACI71" s="248"/>
      <c r="ACJ71" s="248"/>
      <c r="ACK71" s="248"/>
      <c r="ACL71" s="248"/>
      <c r="ACM71" s="248"/>
      <c r="ACN71" s="248"/>
      <c r="ACO71" s="248"/>
      <c r="ACP71" s="248"/>
      <c r="ACQ71" s="248"/>
      <c r="ACR71" s="248"/>
      <c r="ACS71" s="248"/>
      <c r="ACT71" s="248"/>
      <c r="ACU71" s="248"/>
      <c r="ACV71" s="248"/>
      <c r="ACW71" s="248"/>
      <c r="ACX71" s="248"/>
      <c r="ACY71" s="248"/>
      <c r="ACZ71" s="248"/>
      <c r="ADA71" s="248"/>
      <c r="ADB71" s="248"/>
      <c r="ADC71" s="248"/>
      <c r="ADD71" s="248"/>
      <c r="ADE71" s="248"/>
      <c r="ADF71" s="248"/>
      <c r="ADG71" s="248"/>
      <c r="ADH71" s="248"/>
      <c r="ADI71" s="248"/>
      <c r="ADJ71" s="248"/>
      <c r="ADK71" s="248"/>
      <c r="ADL71" s="248"/>
      <c r="ADM71" s="248"/>
      <c r="ADN71" s="248"/>
      <c r="ADO71" s="248"/>
      <c r="ADP71" s="248"/>
      <c r="ADQ71" s="248"/>
      <c r="ADR71" s="248"/>
      <c r="ADS71" s="248"/>
      <c r="ADT71" s="248"/>
      <c r="ADU71" s="248"/>
      <c r="ADV71" s="248"/>
      <c r="ADW71" s="248"/>
      <c r="ADX71" s="248"/>
      <c r="ADY71" s="248"/>
      <c r="ADZ71" s="248"/>
      <c r="AEA71" s="248"/>
      <c r="AEB71" s="248"/>
      <c r="AEC71" s="248"/>
      <c r="AED71" s="248"/>
      <c r="AEE71" s="248"/>
      <c r="AEF71" s="248"/>
      <c r="AEG71" s="248"/>
      <c r="AEH71" s="248"/>
      <c r="AEI71" s="248"/>
      <c r="AEJ71" s="248"/>
      <c r="AEK71" s="248"/>
      <c r="AEL71" s="248"/>
      <c r="AEM71" s="248"/>
      <c r="AEN71" s="248"/>
      <c r="AEO71" s="248"/>
      <c r="AEP71" s="248"/>
      <c r="AEQ71" s="248"/>
      <c r="AER71" s="248"/>
      <c r="AES71" s="248"/>
      <c r="AET71" s="248"/>
      <c r="AEU71" s="248"/>
      <c r="AEV71" s="248"/>
      <c r="AEW71" s="248"/>
      <c r="AEX71" s="248"/>
      <c r="AEY71" s="248"/>
      <c r="AEZ71" s="248"/>
      <c r="AFA71" s="248"/>
      <c r="AFB71" s="248"/>
      <c r="AFC71" s="248"/>
      <c r="AFD71" s="248"/>
      <c r="AFE71" s="248"/>
      <c r="AFF71" s="248"/>
      <c r="AFG71" s="248"/>
      <c r="AFH71" s="248"/>
      <c r="AFI71" s="248"/>
      <c r="AFJ71" s="248"/>
      <c r="AFK71" s="248"/>
      <c r="AFL71" s="248"/>
      <c r="AFM71" s="248"/>
      <c r="AFN71" s="248"/>
      <c r="AFO71" s="248"/>
      <c r="AFP71" s="248"/>
      <c r="AFQ71" s="248"/>
      <c r="AFR71" s="248"/>
      <c r="AFS71" s="248"/>
      <c r="AFT71" s="248"/>
      <c r="AFU71" s="248"/>
      <c r="AFV71" s="248"/>
      <c r="AFW71" s="248"/>
      <c r="AFX71" s="248"/>
      <c r="AFY71" s="248"/>
      <c r="AFZ71" s="248"/>
      <c r="AGA71" s="248"/>
      <c r="AGB71" s="248"/>
      <c r="AGC71" s="248"/>
      <c r="AGD71" s="248"/>
      <c r="AGE71" s="248"/>
      <c r="AGF71" s="248"/>
      <c r="AGG71" s="248"/>
      <c r="AGH71" s="248"/>
      <c r="AGI71" s="248"/>
      <c r="AGJ71" s="248"/>
      <c r="AGK71" s="248"/>
      <c r="AGL71" s="248"/>
      <c r="AGM71" s="248"/>
      <c r="AGN71" s="248"/>
      <c r="AGO71" s="248"/>
      <c r="AGP71" s="248"/>
      <c r="AGQ71" s="248"/>
      <c r="AGR71" s="248"/>
      <c r="AGS71" s="248"/>
      <c r="AGT71" s="248"/>
      <c r="AGU71" s="248"/>
      <c r="AGV71" s="248"/>
      <c r="AGW71" s="248"/>
      <c r="AGX71" s="248"/>
      <c r="AGY71" s="248"/>
      <c r="AGZ71" s="248"/>
      <c r="AHA71" s="248"/>
      <c r="AHB71" s="248"/>
      <c r="AHC71" s="248"/>
      <c r="AHD71" s="248"/>
      <c r="AHE71" s="248"/>
      <c r="AHF71" s="248"/>
      <c r="AHG71" s="248"/>
      <c r="AHH71" s="248"/>
      <c r="AHI71" s="248"/>
      <c r="AHJ71" s="248"/>
      <c r="AHK71" s="248"/>
      <c r="AHL71" s="248"/>
      <c r="AHM71" s="248"/>
      <c r="AHN71" s="248"/>
      <c r="AHO71" s="248"/>
      <c r="AHP71" s="248"/>
      <c r="AHQ71" s="248"/>
      <c r="AHR71" s="248"/>
      <c r="AHS71" s="248"/>
      <c r="AHT71" s="248"/>
      <c r="AHU71" s="248"/>
      <c r="AHV71" s="248"/>
      <c r="AHW71" s="248"/>
      <c r="AHX71" s="248"/>
      <c r="AHY71" s="248"/>
      <c r="AHZ71" s="248"/>
      <c r="AIA71" s="248"/>
      <c r="AIB71" s="248"/>
      <c r="AIC71" s="248"/>
      <c r="AID71" s="248"/>
      <c r="AIE71" s="248"/>
      <c r="AIF71" s="248"/>
    </row>
    <row r="72" spans="1:916">
      <c r="B72" s="387"/>
      <c r="H72" s="253"/>
      <c r="I72" s="251"/>
      <c r="J72" s="102"/>
      <c r="N72" s="388"/>
      <c r="O72" s="388"/>
      <c r="Q72" s="102"/>
      <c r="R72" s="390"/>
      <c r="S72" s="102"/>
      <c r="T72" s="106"/>
      <c r="U72" s="106"/>
      <c r="V72" s="106"/>
    </row>
    <row r="73" spans="1:916">
      <c r="B73" s="387"/>
      <c r="H73" s="253"/>
      <c r="I73" s="251"/>
      <c r="J73" s="102"/>
      <c r="N73" s="388"/>
      <c r="Q73" s="102"/>
      <c r="R73" s="102"/>
      <c r="S73" s="102"/>
      <c r="T73" s="106"/>
      <c r="U73" s="106"/>
      <c r="V73" s="106"/>
    </row>
    <row r="75" spans="1:916">
      <c r="I75" s="387"/>
      <c r="O75" s="387"/>
      <c r="W75" s="106"/>
      <c r="AIE75" s="248"/>
      <c r="AIF75" s="248"/>
    </row>
    <row r="76" spans="1:916">
      <c r="I76" s="391"/>
      <c r="J76" s="392"/>
      <c r="K76" s="392"/>
      <c r="L76" s="392"/>
      <c r="M76" s="392"/>
      <c r="P76" s="393"/>
      <c r="Q76" s="387"/>
      <c r="R76" s="389"/>
      <c r="T76" s="248"/>
      <c r="U76" s="102"/>
      <c r="V76" s="106"/>
    </row>
    <row r="90" spans="15:15">
      <c r="O90" s="387"/>
    </row>
  </sheetData>
  <mergeCells count="1">
    <mergeCell ref="A5:A6"/>
  </mergeCells>
  <conditionalFormatting sqref="G39">
    <cfRule type="containsBlanks" dxfId="327" priority="3">
      <formula>LEN(TRIM(G39))=0</formula>
    </cfRule>
    <cfRule type="notContainsBlanks" dxfId="326" priority="4">
      <formula>LEN(TRIM(G39))&gt;0</formula>
    </cfRule>
  </conditionalFormatting>
  <hyperlinks>
    <hyperlink ref="C6" location="'G201 LIW {G}'!A1" display="G201 LIW {G}"/>
    <hyperlink ref="C8" location="'SF Existing Space Heat {G}'!A1" display="SF Existing Space Heat"/>
    <hyperlink ref="C9" location="'SF Existing Water Heat {G}'!A1" display="SF Existing Water Heat"/>
    <hyperlink ref="C10" location="'Home Energy Assessments {G}'!A1" display="Home Energy Assessments"/>
    <hyperlink ref="C11" location="'Home Appliances {G}'!A1" display="Home Appliances"/>
    <hyperlink ref="C12" location="'Web Enabled Thermostats {G}'!A1" display="Web-Enabled Thermostats"/>
    <hyperlink ref="C13" location="'Residential Showerheads {G}'!A1" display="Residential Water Use Reducers"/>
    <hyperlink ref="C14" location="'SF Existing Weatherization {G}'!A1" display="SF Existing Weatherization"/>
    <hyperlink ref="C15" location="'Home Energy Reports {G}'!A1" display="Home Energy Reports"/>
    <hyperlink ref="C16" location="'Efficiency Boost {G}'!A1" display="Efficiency Boost"/>
    <hyperlink ref="C17" location="'SF New Construction {G}'!A1" display="Single Family New Construction"/>
    <hyperlink ref="C18" location="'Multi Family Retrofit {G}'!A1" display="Multi-Family Retrofit"/>
    <hyperlink ref="C19" location="'MF New Construction {G}'!A1" display="Multi-Family New Construction"/>
    <hyperlink ref="C23" location="'CI Retrofit {G}'!A1" display="Commercial/Industrial Retrofit"/>
    <hyperlink ref="C24" location="'CBA {G}'!A1" display="Clean Buildiings Accellerator"/>
    <hyperlink ref="C25" location="'Industrial EM {G}'!A1" display="Industrial Energy Management"/>
    <hyperlink ref="C26" location="'CI New Construction {G}'!A1" display="Commercial/Industrial New Construction"/>
    <hyperlink ref="C27" location="'Com SEM {G}'!A1" display="Commercial Strategic Energy Management"/>
    <hyperlink ref="C28" location="'P4P {G}'!A1" display="Pay for Performance"/>
    <hyperlink ref="C30" location="'Commercial Kitchen Laundry {G}'!A1" display="Commercial Kitchen &amp; Laundry"/>
    <hyperlink ref="C31" location="'Commercial HVAC {G}'!A1" display="Commercial HVAC"/>
    <hyperlink ref="C32" location="'Commercial Midstream {G}'!A1" display="Commercial Midstream"/>
    <hyperlink ref="C33" location="'SBDI {G}'!A1" display="Small Business Direct Install"/>
    <hyperlink ref="C35" location="'G245 NEEA GAS'!A1" display="NEEA Gas Market Transformation Study"/>
    <hyperlink ref="C36" location="'TDSM {G}'!A1" display="Targeted DSM Pilot"/>
    <hyperlink ref="C38" location="'G249 Res Gas Pilot'!A1" display="Residential Pilots"/>
    <hyperlink ref="C39" location="'G249 Com Gas Pilot'!A1" display="Commercial"/>
  </hyperlinks>
  <pageMargins left="0.7" right="0.7" top="0.75" bottom="0.75" header="0.3" footer="0.3"/>
  <pageSetup paperSize="4" orientation="landscape" horizontalDpi="90" verticalDpi="9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Between" id="{C0A540CE-1EFF-454E-B383-42783B17B94C}">
            <xm:f>'C:\Users\ahemst\AppData\Local\Microsoft\Windows\Temporary Internet Files\Content.Outlook\N7GW4G16\[Copy of 2017 Energy Efficiency Program Tracking - MASTER.xlsx]Elec Cost '!#REF!+3</xm:f>
            <xm:f>'C:\Users\ahemst\AppData\Local\Microsoft\Windows\Temporary Internet Files\Content.Outlook\N7GW4G16\[Copy of 2017 Energy Efficiency Program Tracking - MASTER.xlsx]Elec Cost '!#REF!-3</xm:f>
            <x14:dxf>
              <fill>
                <patternFill>
                  <bgColor rgb="FFFF0000"/>
                </patternFill>
              </fill>
            </x14:dxf>
          </x14:cfRule>
          <xm:sqref>A66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42578125" customWidth="1"/>
    <col min="13" max="13" width="13.42578125" customWidth="1"/>
    <col min="14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18230721</v>
      </c>
      <c r="D2" s="20" t="s">
        <v>135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133</v>
      </c>
      <c r="C5" s="98">
        <v>18230721</v>
      </c>
      <c r="D5" s="61" t="s">
        <v>135</v>
      </c>
      <c r="E5" s="38" t="s">
        <v>992</v>
      </c>
      <c r="F5" s="39" t="s">
        <v>993</v>
      </c>
      <c r="G5" s="39">
        <v>10</v>
      </c>
      <c r="H5" s="39"/>
      <c r="I5" s="40" t="s">
        <v>256</v>
      </c>
      <c r="J5" s="41">
        <v>1</v>
      </c>
      <c r="K5" s="41">
        <v>501405</v>
      </c>
      <c r="L5" s="41"/>
      <c r="M5" s="42">
        <v>122985</v>
      </c>
      <c r="N5" s="42">
        <v>122985</v>
      </c>
      <c r="O5" s="43">
        <v>501405</v>
      </c>
      <c r="P5" s="44">
        <v>122985</v>
      </c>
      <c r="Q5" s="44">
        <v>122985</v>
      </c>
      <c r="R5" s="45"/>
      <c r="S5" s="46"/>
      <c r="T5" s="39">
        <f t="shared" ref="T5:T24" si="0">G5+H5</f>
        <v>10</v>
      </c>
      <c r="U5" s="47">
        <f t="shared" ref="U5:U24" si="1">(O5/$A$10)*T5</f>
        <v>0.8904095114818884</v>
      </c>
      <c r="V5" s="48">
        <f t="shared" ref="V5:V24" si="2">N5-M5</f>
        <v>0</v>
      </c>
      <c r="W5" s="49">
        <f t="shared" ref="W5:W24" si="3">(O5/A$10)</f>
        <v>8.9040951148188843E-2</v>
      </c>
      <c r="X5" s="44">
        <f t="shared" ref="X5:X24" si="4">W5*A$8</f>
        <v>38830.453385262699</v>
      </c>
      <c r="Y5" s="44">
        <f t="shared" ref="Y5:Y24" si="5">Q5-P5</f>
        <v>0</v>
      </c>
      <c r="Z5" s="44">
        <f t="shared" ref="Z5:Z24" si="6">X5+(A$6*W5)</f>
        <v>230761.56440167082</v>
      </c>
      <c r="AA5" s="50">
        <f t="shared" ref="AA5:AA24" si="7">Q5+X5</f>
        <v>161815.45338526269</v>
      </c>
      <c r="AB5" s="51">
        <f t="shared" ref="AB5:AC20" si="8">Z5/(1+ElecDiscountRate)^1</f>
        <v>215725.49724377939</v>
      </c>
      <c r="AC5" s="44">
        <f t="shared" si="8"/>
        <v>151271.80834370633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0.70839718084543712</v>
      </c>
      <c r="AG5" s="44">
        <f t="shared" ref="AG5:AG24" si="10">AF5*J5*K5</f>
        <v>355193.8884618064</v>
      </c>
      <c r="AH5" s="52">
        <f>HLOOKUP(I5,ElecAvoidedCostsWOCC!$A$5:$Q$50,T5+1,FALSE)</f>
        <v>0.70839718084543712</v>
      </c>
      <c r="AI5" s="44">
        <f t="shared" ref="AI5:AI24" si="11">AH5*J5*L5</f>
        <v>0</v>
      </c>
      <c r="AJ5" s="44">
        <f>AG5+AI5</f>
        <v>355193.8884618064</v>
      </c>
      <c r="AK5" s="44">
        <f>HLOOKUP(I5,ElecAvoidedCostsWOCC!$A$5:$Q$50,G5+1,FALSE)*J5*L5</f>
        <v>0</v>
      </c>
      <c r="AL5" s="44">
        <f>AG5+AI5-AK5</f>
        <v>355193.8884618064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355193.8884618064</v>
      </c>
      <c r="AN5" s="48">
        <f>AM5*1.1+AD5+AE5</f>
        <v>390713.2773079871</v>
      </c>
      <c r="AO5" s="47">
        <f>IFERROR(AM5/AB5,0)</f>
        <v>1.6465086093203973</v>
      </c>
      <c r="AP5" s="47">
        <f>AN5/AC5</f>
        <v>2.5828558644598414</v>
      </c>
      <c r="AQ5">
        <v>2021</v>
      </c>
    </row>
    <row r="6" spans="1:43" ht="13.5" customHeight="1">
      <c r="A6" s="53">
        <f>SUMIF('Program Costs'!D:D,C2,'Program Costs'!L:L)</f>
        <v>2155537.52</v>
      </c>
      <c r="B6" s="97" t="s">
        <v>133</v>
      </c>
      <c r="C6" s="98">
        <v>18230721</v>
      </c>
      <c r="D6" s="61" t="s">
        <v>135</v>
      </c>
      <c r="E6" s="38" t="s">
        <v>992</v>
      </c>
      <c r="F6" s="39" t="s">
        <v>993</v>
      </c>
      <c r="G6" s="39">
        <v>7</v>
      </c>
      <c r="H6" s="39"/>
      <c r="I6" s="40" t="s">
        <v>256</v>
      </c>
      <c r="J6" s="41">
        <v>1</v>
      </c>
      <c r="K6" s="41">
        <v>1198017</v>
      </c>
      <c r="L6" s="41"/>
      <c r="M6" s="42">
        <v>157797</v>
      </c>
      <c r="N6" s="42">
        <v>157797</v>
      </c>
      <c r="O6" s="43">
        <v>1198017</v>
      </c>
      <c r="P6" s="44">
        <v>157797</v>
      </c>
      <c r="Q6" s="44">
        <v>157797</v>
      </c>
      <c r="R6" s="45"/>
      <c r="S6" s="46"/>
      <c r="T6" s="39">
        <f t="shared" si="0"/>
        <v>7</v>
      </c>
      <c r="U6" s="47">
        <f t="shared" si="1"/>
        <v>1.4892312844943674</v>
      </c>
      <c r="V6" s="48">
        <f t="shared" si="2"/>
        <v>0</v>
      </c>
      <c r="W6" s="49">
        <f t="shared" si="3"/>
        <v>0.2127473263563382</v>
      </c>
      <c r="X6" s="44">
        <f t="shared" si="4"/>
        <v>92778.379300669651</v>
      </c>
      <c r="Y6" s="44">
        <f t="shared" si="5"/>
        <v>0</v>
      </c>
      <c r="Z6" s="44">
        <f t="shared" si="6"/>
        <v>551363.22354144161</v>
      </c>
      <c r="AA6" s="50">
        <f t="shared" si="7"/>
        <v>250575.37930066965</v>
      </c>
      <c r="AB6" s="51">
        <f t="shared" si="8"/>
        <v>515437.24739781395</v>
      </c>
      <c r="AC6" s="44">
        <f t="shared" si="8"/>
        <v>234248.27456358756</v>
      </c>
      <c r="AD6" s="44">
        <f t="shared" si="9"/>
        <v>0</v>
      </c>
      <c r="AE6" s="44">
        <v>0</v>
      </c>
      <c r="AF6" s="52">
        <f>HLOOKUP(I6,ElecAvoidedCostsWOCC!$A$5:$Q$50,G6+1,FALSE)</f>
        <v>0.49980838947667638</v>
      </c>
      <c r="AG6" s="44">
        <f t="shared" si="10"/>
        <v>598778.94733567943</v>
      </c>
      <c r="AH6" s="52">
        <f>HLOOKUP(I6,ElecAvoidedCostsWOCC!$A$5:$Q$50,T6+1,FALSE)</f>
        <v>0.49980838947667638</v>
      </c>
      <c r="AI6" s="44">
        <f t="shared" si="11"/>
        <v>0</v>
      </c>
      <c r="AJ6" s="44">
        <f t="shared" ref="AJ6:AJ24" si="12">AG6+AI6</f>
        <v>598778.94733567943</v>
      </c>
      <c r="AK6" s="44">
        <f>HLOOKUP(I6,ElecAvoidedCostsWOCC!$A$5:$Q$50,G6+1,FALSE)*J6*L6</f>
        <v>0</v>
      </c>
      <c r="AL6" s="44">
        <f t="shared" ref="AL6:AL24" si="13">AG6+AI6-AK6</f>
        <v>598778.94733567943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598778.94733567943</v>
      </c>
      <c r="AN6" s="48">
        <f t="shared" ref="AN6:AN24" si="14">AM6*1.1+AD6+AE6</f>
        <v>658656.84206924739</v>
      </c>
      <c r="AO6" s="47">
        <f t="shared" ref="AO6:AO24" si="15">IFERROR(AM6/AB6,0)</f>
        <v>1.1616912637932479</v>
      </c>
      <c r="AP6" s="47">
        <f t="shared" ref="AP6:AP24" si="16">AN6/AC6</f>
        <v>2.8117895139093223</v>
      </c>
      <c r="AQ6">
        <v>2021</v>
      </c>
    </row>
    <row r="7" spans="1:43" ht="13.5" customHeight="1">
      <c r="A7" s="36" t="s">
        <v>249</v>
      </c>
      <c r="B7" s="97" t="s">
        <v>133</v>
      </c>
      <c r="C7" s="98">
        <v>18230721</v>
      </c>
      <c r="D7" s="61" t="s">
        <v>135</v>
      </c>
      <c r="E7" s="38" t="s">
        <v>992</v>
      </c>
      <c r="F7" s="39" t="s">
        <v>993</v>
      </c>
      <c r="G7" s="39">
        <v>10</v>
      </c>
      <c r="H7" s="39"/>
      <c r="I7" s="40" t="s">
        <v>256</v>
      </c>
      <c r="J7" s="41">
        <v>1</v>
      </c>
      <c r="K7" s="41">
        <v>388889</v>
      </c>
      <c r="L7" s="41"/>
      <c r="M7" s="42">
        <v>149256</v>
      </c>
      <c r="N7" s="42">
        <v>230151</v>
      </c>
      <c r="O7" s="43">
        <v>388889</v>
      </c>
      <c r="P7" s="44">
        <v>149256</v>
      </c>
      <c r="Q7" s="44">
        <v>230151</v>
      </c>
      <c r="R7" s="45"/>
      <c r="S7" s="46"/>
      <c r="T7" s="39">
        <f t="shared" si="0"/>
        <v>10</v>
      </c>
      <c r="U7" s="47">
        <f t="shared" si="1"/>
        <v>0.69060034206017118</v>
      </c>
      <c r="V7" s="48">
        <f t="shared" si="2"/>
        <v>80895</v>
      </c>
      <c r="W7" s="49">
        <f t="shared" si="3"/>
        <v>6.9060034206017112E-2</v>
      </c>
      <c r="X7" s="44">
        <f t="shared" si="4"/>
        <v>30116.844041326724</v>
      </c>
      <c r="Y7" s="44">
        <f t="shared" si="5"/>
        <v>80895</v>
      </c>
      <c r="Z7" s="44">
        <f t="shared" si="6"/>
        <v>178978.33890488002</v>
      </c>
      <c r="AA7" s="50">
        <f t="shared" si="7"/>
        <v>260267.84404132672</v>
      </c>
      <c r="AB7" s="51">
        <f t="shared" si="8"/>
        <v>167316.38674850893</v>
      </c>
      <c r="AC7" s="44">
        <f t="shared" si="8"/>
        <v>243309.19327038113</v>
      </c>
      <c r="AD7" s="44">
        <f t="shared" si="9"/>
        <v>0</v>
      </c>
      <c r="AE7" s="44">
        <v>0</v>
      </c>
      <c r="AF7" s="52">
        <f>HLOOKUP(I7,ElecAvoidedCostsWOCC!$A$5:$Q$50,G7+1,FALSE)</f>
        <v>0.70839718084543712</v>
      </c>
      <c r="AG7" s="44">
        <f t="shared" si="10"/>
        <v>275487.87126180122</v>
      </c>
      <c r="AH7" s="52">
        <f>HLOOKUP(I7,ElecAvoidedCostsWOCC!$A$5:$Q$50,T7+1,FALSE)</f>
        <v>0.70839718084543712</v>
      </c>
      <c r="AI7" s="44">
        <f t="shared" si="11"/>
        <v>0</v>
      </c>
      <c r="AJ7" s="44">
        <f t="shared" si="12"/>
        <v>275487.87126180122</v>
      </c>
      <c r="AK7" s="44">
        <f>HLOOKUP(I7,ElecAvoidedCostsWOCC!$A$5:$Q$50,G7+1,FALSE)*J7*L7</f>
        <v>0</v>
      </c>
      <c r="AL7" s="44">
        <f t="shared" si="13"/>
        <v>275487.87126180122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275487.87126180122</v>
      </c>
      <c r="AN7" s="48">
        <f t="shared" si="14"/>
        <v>303036.65838798136</v>
      </c>
      <c r="AO7" s="47">
        <f t="shared" si="15"/>
        <v>1.6465086093203976</v>
      </c>
      <c r="AP7" s="47">
        <f t="shared" si="16"/>
        <v>1.2454796890934867</v>
      </c>
      <c r="AQ7">
        <v>2021</v>
      </c>
    </row>
    <row r="8" spans="1:43" ht="13.5" customHeight="1">
      <c r="A8" s="53">
        <f>SUMIF('Program Costs'!D:D,C2,'Program Costs'!O:O)</f>
        <v>436096.56999999983</v>
      </c>
      <c r="B8" s="97" t="s">
        <v>133</v>
      </c>
      <c r="C8" s="98">
        <v>18230721</v>
      </c>
      <c r="D8" s="61" t="s">
        <v>135</v>
      </c>
      <c r="E8" s="38" t="s">
        <v>996</v>
      </c>
      <c r="F8" s="39" t="s">
        <v>997</v>
      </c>
      <c r="G8" s="39">
        <v>20</v>
      </c>
      <c r="H8" s="39"/>
      <c r="I8" s="40" t="s">
        <v>257</v>
      </c>
      <c r="J8" s="41">
        <v>1</v>
      </c>
      <c r="K8" s="41">
        <v>1181584</v>
      </c>
      <c r="L8" s="41"/>
      <c r="M8" s="42">
        <v>184740.43</v>
      </c>
      <c r="N8" s="42">
        <v>194571.43</v>
      </c>
      <c r="O8" s="43">
        <v>1181584</v>
      </c>
      <c r="P8" s="44">
        <v>184740.43</v>
      </c>
      <c r="Q8" s="44">
        <v>194571.43</v>
      </c>
      <c r="R8" s="45"/>
      <c r="S8" s="46"/>
      <c r="T8" s="39">
        <f t="shared" si="0"/>
        <v>20</v>
      </c>
      <c r="U8" s="47">
        <f t="shared" si="1"/>
        <v>4.1965821330653492</v>
      </c>
      <c r="V8" s="48">
        <f t="shared" si="2"/>
        <v>9831</v>
      </c>
      <c r="W8" s="49">
        <f t="shared" si="3"/>
        <v>0.20982910665326746</v>
      </c>
      <c r="X8" s="44">
        <f t="shared" si="4"/>
        <v>91505.753697654087</v>
      </c>
      <c r="Y8" s="44">
        <f t="shared" si="5"/>
        <v>9831</v>
      </c>
      <c r="Z8" s="44">
        <f t="shared" si="6"/>
        <v>543800.26587685372</v>
      </c>
      <c r="AA8" s="50">
        <f t="shared" si="7"/>
        <v>286077.18369765405</v>
      </c>
      <c r="AB8" s="51">
        <f t="shared" si="8"/>
        <v>508367.08037473465</v>
      </c>
      <c r="AC8" s="44">
        <f t="shared" si="8"/>
        <v>267436.83621356834</v>
      </c>
      <c r="AD8" s="44">
        <f t="shared" si="9"/>
        <v>0</v>
      </c>
      <c r="AE8" s="44">
        <v>0</v>
      </c>
      <c r="AF8" s="52">
        <f>HLOOKUP(I8,ElecAvoidedCostsWOCC!$A$5:$Q$50,G8+1,FALSE)</f>
        <v>1.3192527795896587</v>
      </c>
      <c r="AG8" s="44">
        <f t="shared" si="10"/>
        <v>1558807.9763186672</v>
      </c>
      <c r="AH8" s="52">
        <f>HLOOKUP(I8,ElecAvoidedCostsWOCC!$A$5:$Q$50,T8+1,FALSE)</f>
        <v>1.3192527795896587</v>
      </c>
      <c r="AI8" s="44">
        <f t="shared" si="11"/>
        <v>0</v>
      </c>
      <c r="AJ8" s="44">
        <f t="shared" si="12"/>
        <v>1558807.9763186672</v>
      </c>
      <c r="AK8" s="44">
        <f>HLOOKUP(I8,ElecAvoidedCostsWOCC!$A$5:$Q$50,G8+1,FALSE)*J8*L8</f>
        <v>0</v>
      </c>
      <c r="AL8" s="44">
        <f t="shared" si="13"/>
        <v>1558807.9763186672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1558807.9763186672</v>
      </c>
      <c r="AN8" s="48">
        <f t="shared" si="14"/>
        <v>1714688.7739505339</v>
      </c>
      <c r="AO8" s="47">
        <f t="shared" si="15"/>
        <v>3.0663039297698367</v>
      </c>
      <c r="AP8" s="47">
        <f t="shared" si="16"/>
        <v>6.4115654306545364</v>
      </c>
      <c r="AQ8">
        <v>2021</v>
      </c>
    </row>
    <row r="9" spans="1:43" ht="13.5" customHeight="1">
      <c r="A9" s="36" t="s">
        <v>250</v>
      </c>
      <c r="B9" s="97" t="s">
        <v>133</v>
      </c>
      <c r="C9" s="98">
        <v>18230721</v>
      </c>
      <c r="D9" s="61" t="s">
        <v>135</v>
      </c>
      <c r="E9" s="38" t="s">
        <v>996</v>
      </c>
      <c r="F9" s="39" t="s">
        <v>997</v>
      </c>
      <c r="G9" s="39">
        <v>15</v>
      </c>
      <c r="H9" s="39"/>
      <c r="I9" s="40" t="s">
        <v>257</v>
      </c>
      <c r="J9" s="41">
        <v>1</v>
      </c>
      <c r="K9" s="41">
        <v>341275</v>
      </c>
      <c r="L9" s="41"/>
      <c r="M9" s="42">
        <v>170638</v>
      </c>
      <c r="N9" s="42">
        <v>459514</v>
      </c>
      <c r="O9" s="43">
        <v>341275</v>
      </c>
      <c r="P9" s="44">
        <v>170638</v>
      </c>
      <c r="Q9" s="44">
        <v>459514</v>
      </c>
      <c r="R9" s="45"/>
      <c r="S9" s="46"/>
      <c r="T9" s="39">
        <f t="shared" si="0"/>
        <v>15</v>
      </c>
      <c r="U9" s="47">
        <f t="shared" si="1"/>
        <v>0.90906903410710338</v>
      </c>
      <c r="V9" s="48">
        <f t="shared" si="2"/>
        <v>288876</v>
      </c>
      <c r="W9" s="49">
        <f t="shared" si="3"/>
        <v>6.0604602273806894E-2</v>
      </c>
      <c r="X9" s="44">
        <f t="shared" si="4"/>
        <v>26429.459177821376</v>
      </c>
      <c r="Y9" s="44">
        <f t="shared" si="5"/>
        <v>288876</v>
      </c>
      <c r="Z9" s="44">
        <f t="shared" si="6"/>
        <v>157064.95326368944</v>
      </c>
      <c r="AA9" s="50">
        <f t="shared" si="7"/>
        <v>485943.45917782135</v>
      </c>
      <c r="AB9" s="51">
        <f t="shared" si="8"/>
        <v>146830.84347358084</v>
      </c>
      <c r="AC9" s="44">
        <f t="shared" si="8"/>
        <v>454280.13384857558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1.0545904948077327</v>
      </c>
      <c r="AG9" s="44">
        <f t="shared" si="10"/>
        <v>359905.37111550895</v>
      </c>
      <c r="AH9" s="52">
        <f>HLOOKUP(I9,ElecAvoidedCostsWOCC!$A$5:$Q$50,T9+1,FALSE)</f>
        <v>1.0545904948077327</v>
      </c>
      <c r="AI9" s="44">
        <f t="shared" si="11"/>
        <v>0</v>
      </c>
      <c r="AJ9" s="44">
        <f t="shared" si="12"/>
        <v>359905.37111550895</v>
      </c>
      <c r="AK9" s="44">
        <f>HLOOKUP(I9,ElecAvoidedCostsWOCC!$A$5:$Q$50,G9+1,FALSE)*J9*L9</f>
        <v>0</v>
      </c>
      <c r="AL9" s="44">
        <f t="shared" si="13"/>
        <v>359905.37111550895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359905.37111550895</v>
      </c>
      <c r="AN9" s="48">
        <f t="shared" si="14"/>
        <v>395895.90822705987</v>
      </c>
      <c r="AO9" s="47">
        <f t="shared" si="15"/>
        <v>2.4511564641407677</v>
      </c>
      <c r="AP9" s="47">
        <f t="shared" si="16"/>
        <v>0.87147968561403821</v>
      </c>
      <c r="AQ9">
        <v>2021</v>
      </c>
    </row>
    <row r="10" spans="1:43" ht="13.5" customHeight="1">
      <c r="A10" s="54">
        <f>SUM(O5:O999)</f>
        <v>5631173</v>
      </c>
      <c r="B10" s="97" t="s">
        <v>133</v>
      </c>
      <c r="C10" s="98">
        <v>18230721</v>
      </c>
      <c r="D10" s="61" t="s">
        <v>135</v>
      </c>
      <c r="E10" s="38" t="s">
        <v>1010</v>
      </c>
      <c r="F10" s="39" t="s">
        <v>1011</v>
      </c>
      <c r="G10" s="39">
        <v>15</v>
      </c>
      <c r="H10" s="39"/>
      <c r="I10" s="40" t="s">
        <v>256</v>
      </c>
      <c r="J10" s="41">
        <v>1</v>
      </c>
      <c r="K10" s="41">
        <v>953263</v>
      </c>
      <c r="L10" s="41"/>
      <c r="M10" s="42">
        <v>362967</v>
      </c>
      <c r="N10" s="42">
        <v>362967</v>
      </c>
      <c r="O10" s="43">
        <v>953263</v>
      </c>
      <c r="P10" s="44">
        <v>362967</v>
      </c>
      <c r="Q10" s="44">
        <v>362967</v>
      </c>
      <c r="R10" s="45"/>
      <c r="S10" s="46"/>
      <c r="T10" s="39">
        <f t="shared" si="0"/>
        <v>15</v>
      </c>
      <c r="U10" s="47">
        <f t="shared" si="1"/>
        <v>2.5392480394404506</v>
      </c>
      <c r="V10" s="48">
        <f t="shared" si="2"/>
        <v>0</v>
      </c>
      <c r="W10" s="49">
        <f t="shared" si="3"/>
        <v>0.16928320262936336</v>
      </c>
      <c r="X10" s="44">
        <f t="shared" si="4"/>
        <v>73823.824025280308</v>
      </c>
      <c r="Y10" s="44">
        <f t="shared" si="5"/>
        <v>0</v>
      </c>
      <c r="Z10" s="44">
        <f t="shared" si="6"/>
        <v>438720.11879863567</v>
      </c>
      <c r="AA10" s="50">
        <f t="shared" si="7"/>
        <v>436790.82402528031</v>
      </c>
      <c r="AB10" s="51">
        <f t="shared" si="8"/>
        <v>410133.7933987432</v>
      </c>
      <c r="AC10" s="44">
        <f t="shared" si="8"/>
        <v>408330.20849329745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1.0293963841416951</v>
      </c>
      <c r="AG10" s="44">
        <f t="shared" si="10"/>
        <v>981285.48533606471</v>
      </c>
      <c r="AH10" s="52">
        <f>HLOOKUP(I10,ElecAvoidedCostsWOCC!$A$5:$Q$50,T10+1,FALSE)</f>
        <v>1.0293963841416951</v>
      </c>
      <c r="AI10" s="44">
        <f t="shared" si="11"/>
        <v>0</v>
      </c>
      <c r="AJ10" s="44">
        <f t="shared" si="12"/>
        <v>981285.48533606471</v>
      </c>
      <c r="AK10" s="44">
        <f>HLOOKUP(I10,ElecAvoidedCostsWOCC!$A$5:$Q$50,G10+1,FALSE)*J10*L10</f>
        <v>0</v>
      </c>
      <c r="AL10" s="44">
        <f t="shared" si="13"/>
        <v>981285.48533606471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981285.48533606471</v>
      </c>
      <c r="AN10" s="48">
        <f t="shared" si="14"/>
        <v>1079414.0338696712</v>
      </c>
      <c r="AO10" s="47">
        <f t="shared" si="15"/>
        <v>2.3925984669642482</v>
      </c>
      <c r="AP10" s="47">
        <f t="shared" si="16"/>
        <v>2.6434831697919532</v>
      </c>
      <c r="AQ10">
        <v>2021</v>
      </c>
    </row>
    <row r="11" spans="1:43" ht="13.5" customHeight="1">
      <c r="A11" s="36" t="s">
        <v>251</v>
      </c>
      <c r="B11" s="97" t="s">
        <v>133</v>
      </c>
      <c r="C11" s="98">
        <v>18230721</v>
      </c>
      <c r="D11" s="61" t="s">
        <v>135</v>
      </c>
      <c r="E11" s="38" t="s">
        <v>1042</v>
      </c>
      <c r="F11" s="39" t="s">
        <v>1043</v>
      </c>
      <c r="G11" s="39">
        <v>15</v>
      </c>
      <c r="H11" s="39"/>
      <c r="I11" s="40" t="s">
        <v>256</v>
      </c>
      <c r="J11" s="41">
        <v>1</v>
      </c>
      <c r="K11" s="41">
        <v>272062</v>
      </c>
      <c r="L11" s="41"/>
      <c r="M11" s="42">
        <v>135553</v>
      </c>
      <c r="N11" s="42">
        <v>222672</v>
      </c>
      <c r="O11" s="43">
        <v>272062</v>
      </c>
      <c r="P11" s="44">
        <v>135553</v>
      </c>
      <c r="Q11" s="44">
        <v>222672</v>
      </c>
      <c r="R11" s="45"/>
      <c r="S11" s="46"/>
      <c r="T11" s="39">
        <f t="shared" si="0"/>
        <v>15</v>
      </c>
      <c r="U11" s="47">
        <f t="shared" si="1"/>
        <v>0.72470336109368338</v>
      </c>
      <c r="V11" s="48">
        <f t="shared" si="2"/>
        <v>87119</v>
      </c>
      <c r="W11" s="49">
        <f t="shared" si="3"/>
        <v>4.8313557406245558E-2</v>
      </c>
      <c r="X11" s="44">
        <f t="shared" si="4"/>
        <v>21069.376669361776</v>
      </c>
      <c r="Y11" s="44">
        <f t="shared" si="5"/>
        <v>87119</v>
      </c>
      <c r="Z11" s="44">
        <f t="shared" si="6"/>
        <v>125211.06238319796</v>
      </c>
      <c r="AA11" s="50">
        <f t="shared" si="7"/>
        <v>243741.37666936178</v>
      </c>
      <c r="AB11" s="51">
        <f t="shared" si="8"/>
        <v>117052.50292904361</v>
      </c>
      <c r="AC11" s="44">
        <f t="shared" si="8"/>
        <v>227859.5649895875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280059.63906235783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280059.63906235783</v>
      </c>
      <c r="AK11" s="44">
        <f>HLOOKUP(I11,ElecAvoidedCostsWOCC!$A$5:$Q$50,G11+1,FALSE)*J11*L11</f>
        <v>0</v>
      </c>
      <c r="AL11" s="44">
        <f t="shared" si="13"/>
        <v>280059.63906235783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280059.63906235783</v>
      </c>
      <c r="AN11" s="48">
        <f t="shared" si="14"/>
        <v>308065.60296859365</v>
      </c>
      <c r="AO11" s="47">
        <f t="shared" si="15"/>
        <v>2.3925984669642477</v>
      </c>
      <c r="AP11" s="47">
        <f t="shared" si="16"/>
        <v>1.3519976788451753</v>
      </c>
      <c r="AQ11">
        <v>2021</v>
      </c>
    </row>
    <row r="12" spans="1:43" ht="13.5" customHeight="1">
      <c r="A12" s="55">
        <f>SUM(P5:P1000)</f>
        <v>1574075.43</v>
      </c>
      <c r="B12" s="97" t="s">
        <v>133</v>
      </c>
      <c r="C12" s="98">
        <v>18230721</v>
      </c>
      <c r="D12" s="61" t="s">
        <v>135</v>
      </c>
      <c r="E12" s="38" t="s">
        <v>1022</v>
      </c>
      <c r="F12" s="39" t="s">
        <v>1023</v>
      </c>
      <c r="G12" s="39">
        <v>15</v>
      </c>
      <c r="H12" s="39"/>
      <c r="I12" s="40" t="s">
        <v>256</v>
      </c>
      <c r="J12" s="41">
        <v>1</v>
      </c>
      <c r="K12" s="41">
        <v>685091</v>
      </c>
      <c r="L12" s="41"/>
      <c r="M12" s="42">
        <v>226521</v>
      </c>
      <c r="N12" s="42">
        <v>257822</v>
      </c>
      <c r="O12" s="43">
        <v>685091</v>
      </c>
      <c r="P12" s="44">
        <v>226521</v>
      </c>
      <c r="Q12" s="44">
        <v>257822</v>
      </c>
      <c r="R12" s="45"/>
      <c r="S12" s="46"/>
      <c r="T12" s="39">
        <f t="shared" si="0"/>
        <v>15</v>
      </c>
      <c r="U12" s="47">
        <f t="shared" si="1"/>
        <v>1.8249066402328609</v>
      </c>
      <c r="V12" s="48">
        <f t="shared" si="2"/>
        <v>31301</v>
      </c>
      <c r="W12" s="49">
        <f t="shared" si="3"/>
        <v>0.12166044268219073</v>
      </c>
      <c r="X12" s="44">
        <f t="shared" si="4"/>
        <v>53055.701758384959</v>
      </c>
      <c r="Y12" s="44">
        <f t="shared" si="5"/>
        <v>31301</v>
      </c>
      <c r="Z12" s="44">
        <f t="shared" si="6"/>
        <v>315299.35065965651</v>
      </c>
      <c r="AA12" s="50">
        <f t="shared" si="7"/>
        <v>310877.70175838494</v>
      </c>
      <c r="AB12" s="51">
        <f t="shared" si="8"/>
        <v>294754.93190582079</v>
      </c>
      <c r="AC12" s="44">
        <f t="shared" si="8"/>
        <v>290621.39081834618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1.0293963841416951</v>
      </c>
      <c r="AG12" s="44">
        <f t="shared" si="10"/>
        <v>705230.19820801809</v>
      </c>
      <c r="AH12" s="52">
        <f>HLOOKUP(I12,ElecAvoidedCostsWOCC!$A$5:$Q$50,T12+1,FALSE)</f>
        <v>1.0293963841416951</v>
      </c>
      <c r="AI12" s="44">
        <f t="shared" si="11"/>
        <v>0</v>
      </c>
      <c r="AJ12" s="44">
        <f t="shared" si="12"/>
        <v>705230.19820801809</v>
      </c>
      <c r="AK12" s="44">
        <f>HLOOKUP(I12,ElecAvoidedCostsWOCC!$A$5:$Q$50,G12+1,FALSE)*J12*L12</f>
        <v>0</v>
      </c>
      <c r="AL12" s="44">
        <f t="shared" si="13"/>
        <v>705230.19820801809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705230.19820801809</v>
      </c>
      <c r="AN12" s="48">
        <f t="shared" si="14"/>
        <v>775753.21802882</v>
      </c>
      <c r="AO12" s="47">
        <f t="shared" si="15"/>
        <v>2.3925984669642477</v>
      </c>
      <c r="AP12" s="47">
        <f t="shared" si="16"/>
        <v>2.669291533718201</v>
      </c>
      <c r="AQ12">
        <v>2021</v>
      </c>
    </row>
    <row r="13" spans="1:43" ht="13.5" customHeight="1">
      <c r="A13" s="56" t="s">
        <v>252</v>
      </c>
      <c r="B13" s="97" t="s">
        <v>133</v>
      </c>
      <c r="C13" s="98">
        <v>18230721</v>
      </c>
      <c r="D13" s="61" t="s">
        <v>135</v>
      </c>
      <c r="E13" s="38" t="s">
        <v>1078</v>
      </c>
      <c r="F13" s="39" t="s">
        <v>1079</v>
      </c>
      <c r="G13" s="39">
        <v>5</v>
      </c>
      <c r="H13" s="39"/>
      <c r="I13" s="40" t="s">
        <v>256</v>
      </c>
      <c r="J13" s="41">
        <v>1</v>
      </c>
      <c r="K13" s="41"/>
      <c r="L13" s="41"/>
      <c r="M13" s="42">
        <v>14392</v>
      </c>
      <c r="N13" s="42">
        <v>14392</v>
      </c>
      <c r="O13" s="43">
        <v>0</v>
      </c>
      <c r="P13" s="44">
        <v>14392</v>
      </c>
      <c r="Q13" s="44">
        <v>14392</v>
      </c>
      <c r="R13" s="45"/>
      <c r="S13" s="46"/>
      <c r="T13" s="39">
        <f t="shared" si="0"/>
        <v>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14392</v>
      </c>
      <c r="AB13" s="51">
        <f t="shared" si="8"/>
        <v>0</v>
      </c>
      <c r="AC13" s="44">
        <f t="shared" si="8"/>
        <v>13454.239506403663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0.35807218478063102</v>
      </c>
      <c r="AG13" s="44">
        <f t="shared" si="10"/>
        <v>0</v>
      </c>
      <c r="AH13" s="52">
        <f>HLOOKUP(I13,ElecAvoidedCostsWOCC!$A$5:$Q$50,T13+1,FALSE)</f>
        <v>0.35807218478063102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  <c r="AQ13">
        <v>2021</v>
      </c>
    </row>
    <row r="14" spans="1:43" ht="13.5" customHeight="1">
      <c r="A14" s="55">
        <f>SUM(Y5:Y1000)</f>
        <v>504087.5</v>
      </c>
      <c r="B14" s="97" t="s">
        <v>133</v>
      </c>
      <c r="C14" s="100">
        <v>18230721</v>
      </c>
      <c r="D14" s="100" t="s">
        <v>135</v>
      </c>
      <c r="E14" s="38" t="s">
        <v>996</v>
      </c>
      <c r="F14" s="39" t="s">
        <v>997</v>
      </c>
      <c r="G14" s="39">
        <v>20</v>
      </c>
      <c r="H14" s="39"/>
      <c r="I14" s="40" t="s">
        <v>257</v>
      </c>
      <c r="J14" s="41">
        <v>1</v>
      </c>
      <c r="K14" s="41">
        <v>68916</v>
      </c>
      <c r="L14" s="41"/>
      <c r="M14" s="42">
        <v>28890</v>
      </c>
      <c r="N14" s="42">
        <v>31955</v>
      </c>
      <c r="O14" s="43">
        <v>68916</v>
      </c>
      <c r="P14" s="44">
        <v>28890</v>
      </c>
      <c r="Q14" s="44">
        <v>31955</v>
      </c>
      <c r="R14" s="45"/>
      <c r="S14" s="46"/>
      <c r="T14" s="39">
        <f t="shared" si="0"/>
        <v>20</v>
      </c>
      <c r="U14" s="47">
        <f t="shared" si="1"/>
        <v>0.24476605495870929</v>
      </c>
      <c r="V14" s="48">
        <f t="shared" si="2"/>
        <v>3065</v>
      </c>
      <c r="W14" s="49">
        <f t="shared" si="3"/>
        <v>1.2238302747935465E-2</v>
      </c>
      <c r="X14" s="44">
        <f t="shared" si="4"/>
        <v>5337.0818509962292</v>
      </c>
      <c r="Y14" s="44">
        <f t="shared" si="5"/>
        <v>3065</v>
      </c>
      <c r="Z14" s="44">
        <f t="shared" si="6"/>
        <v>31717.202605290226</v>
      </c>
      <c r="AA14" s="50">
        <f t="shared" si="7"/>
        <v>37292.081850996226</v>
      </c>
      <c r="AB14" s="51">
        <f t="shared" si="8"/>
        <v>29650.558666252429</v>
      </c>
      <c r="AC14" s="44">
        <f t="shared" si="8"/>
        <v>34862.187389918879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1.3192527795896587</v>
      </c>
      <c r="AG14" s="44">
        <f t="shared" si="10"/>
        <v>90917.624558200914</v>
      </c>
      <c r="AH14" s="52">
        <f>HLOOKUP(I14,ElecAvoidedCostsWOCC!$A$5:$Q$50,T14+1,FALSE)</f>
        <v>1.3192527795896587</v>
      </c>
      <c r="AI14" s="44">
        <f t="shared" si="11"/>
        <v>0</v>
      </c>
      <c r="AJ14" s="44">
        <f t="shared" si="12"/>
        <v>90917.624558200914</v>
      </c>
      <c r="AK14" s="44">
        <f>HLOOKUP(I14,ElecAvoidedCostsWOCC!$A$5:$Q$50,G14+1,FALSE)*J14*L14</f>
        <v>0</v>
      </c>
      <c r="AL14" s="44">
        <f t="shared" si="13"/>
        <v>90917.624558200914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90917.624558200914</v>
      </c>
      <c r="AN14" s="48">
        <f t="shared" si="14"/>
        <v>100009.38701402102</v>
      </c>
      <c r="AO14" s="47">
        <f t="shared" si="15"/>
        <v>3.0663039297698367</v>
      </c>
      <c r="AP14" s="47">
        <f t="shared" si="16"/>
        <v>2.8687065987988118</v>
      </c>
      <c r="AQ14">
        <v>2020</v>
      </c>
    </row>
    <row r="15" spans="1:43" ht="13.5" customHeight="1">
      <c r="A15" s="57" t="s">
        <v>253</v>
      </c>
      <c r="B15" s="97" t="s">
        <v>133</v>
      </c>
      <c r="C15" s="100">
        <v>18230721</v>
      </c>
      <c r="D15" s="100" t="s">
        <v>135</v>
      </c>
      <c r="E15" s="38" t="s">
        <v>996</v>
      </c>
      <c r="F15" s="39" t="s">
        <v>997</v>
      </c>
      <c r="G15" s="39">
        <v>20</v>
      </c>
      <c r="H15" s="39"/>
      <c r="I15" s="40" t="s">
        <v>257</v>
      </c>
      <c r="J15" s="41">
        <v>1</v>
      </c>
      <c r="K15" s="41">
        <v>40671</v>
      </c>
      <c r="L15" s="41"/>
      <c r="M15" s="42">
        <v>20336</v>
      </c>
      <c r="N15" s="42">
        <v>23336.5</v>
      </c>
      <c r="O15" s="43">
        <v>40671</v>
      </c>
      <c r="P15" s="44">
        <v>20336</v>
      </c>
      <c r="Q15" s="44">
        <v>23336.5</v>
      </c>
      <c r="R15" s="45"/>
      <c r="S15" s="46"/>
      <c r="T15" s="39">
        <f t="shared" si="0"/>
        <v>20</v>
      </c>
      <c r="U15" s="47">
        <f t="shared" si="1"/>
        <v>0.14444947793292801</v>
      </c>
      <c r="V15" s="48">
        <f t="shared" si="2"/>
        <v>3000.5</v>
      </c>
      <c r="W15" s="49">
        <f t="shared" si="3"/>
        <v>7.2224738966464004E-3</v>
      </c>
      <c r="X15" s="44">
        <f t="shared" si="4"/>
        <v>3149.6960932420284</v>
      </c>
      <c r="Y15" s="44">
        <f t="shared" si="5"/>
        <v>3000.5</v>
      </c>
      <c r="Z15" s="44">
        <f t="shared" si="6"/>
        <v>18718.009564683947</v>
      </c>
      <c r="AA15" s="50">
        <f t="shared" si="7"/>
        <v>26486.19609324203</v>
      </c>
      <c r="AB15" s="51">
        <f t="shared" si="8"/>
        <v>17498.372968761283</v>
      </c>
      <c r="AC15" s="44">
        <f t="shared" si="8"/>
        <v>24760.39645998133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1.3192527795896587</v>
      </c>
      <c r="AG15" s="44">
        <f t="shared" si="10"/>
        <v>53655.329798691011</v>
      </c>
      <c r="AH15" s="52">
        <f>HLOOKUP(I15,ElecAvoidedCostsWOCC!$A$5:$Q$50,T15+1,FALSE)</f>
        <v>1.3192527795896587</v>
      </c>
      <c r="AI15" s="44">
        <f t="shared" si="11"/>
        <v>0</v>
      </c>
      <c r="AJ15" s="44">
        <f t="shared" si="12"/>
        <v>53655.329798691011</v>
      </c>
      <c r="AK15" s="44">
        <f>HLOOKUP(I15,ElecAvoidedCostsWOCC!$A$5:$Q$50,G15+1,FALSE)*J15*L15</f>
        <v>0</v>
      </c>
      <c r="AL15" s="44">
        <f t="shared" si="13"/>
        <v>53655.329798691011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53655.329798691011</v>
      </c>
      <c r="AN15" s="48">
        <f t="shared" si="14"/>
        <v>59020.86277856012</v>
      </c>
      <c r="AO15" s="47">
        <f t="shared" si="15"/>
        <v>3.0663039297698371</v>
      </c>
      <c r="AP15" s="47">
        <f t="shared" si="16"/>
        <v>2.3836800381589942</v>
      </c>
      <c r="AQ15">
        <v>2020</v>
      </c>
    </row>
    <row r="16" spans="1:43" ht="13.5" customHeight="1">
      <c r="A16" s="54">
        <f>SUM(U5:U999)</f>
        <v>13.653965878867513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2591634.09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2514259.5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2.1707914399132382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2.4613556427867809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04" priority="4">
      <formula>ISTEXT(J5)</formula>
    </cfRule>
    <cfRule type="notContainsBlanks" dxfId="203" priority="5">
      <formula>LEN(TRIM(J5))&gt;0</formula>
    </cfRule>
  </conditionalFormatting>
  <conditionalFormatting sqref="M5:N24 R5:S24">
    <cfRule type="expression" dxfId="202" priority="2">
      <formula>ISTEXT(M5)</formula>
    </cfRule>
  </conditionalFormatting>
  <conditionalFormatting sqref="M5:N24 R5:S24">
    <cfRule type="notContainsBlanks" dxfId="201" priority="3">
      <formula>LEN(TRIM(M5))&gt;0</formula>
    </cfRule>
  </conditionalFormatting>
  <conditionalFormatting sqref="R5:S24">
    <cfRule type="expression" dxfId="2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62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18230714</v>
      </c>
      <c r="D2" s="20" t="s">
        <v>128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18230714</v>
      </c>
      <c r="D5" s="61" t="s">
        <v>128</v>
      </c>
      <c r="E5" s="38" t="s">
        <v>1082</v>
      </c>
      <c r="F5" s="39" t="s">
        <v>1083</v>
      </c>
      <c r="G5" s="39">
        <v>12</v>
      </c>
      <c r="H5" s="39"/>
      <c r="I5" s="40" t="s">
        <v>257</v>
      </c>
      <c r="J5" s="41">
        <v>6446</v>
      </c>
      <c r="K5" s="41">
        <v>110</v>
      </c>
      <c r="L5" s="41"/>
      <c r="M5" s="42">
        <v>6</v>
      </c>
      <c r="N5" s="42">
        <v>6</v>
      </c>
      <c r="O5" s="43">
        <v>709060</v>
      </c>
      <c r="P5" s="44">
        <v>36742.559999999998</v>
      </c>
      <c r="Q5" s="44">
        <v>38676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0.3873591495252513</v>
      </c>
      <c r="V5" s="48">
        <f t="shared" ref="V5:V24" si="2">N5-M5</f>
        <v>0</v>
      </c>
      <c r="W5" s="49">
        <f t="shared" ref="W5:W24" si="3">(O5/A$10)</f>
        <v>3.2279929127104277E-2</v>
      </c>
      <c r="X5" s="44">
        <f t="shared" ref="X5:X24" si="4">W5*A$8</f>
        <v>22263.972622653957</v>
      </c>
      <c r="Y5" s="44">
        <f t="shared" ref="Y5:Y24" si="5">Q5-P5</f>
        <v>1933.4400000000023</v>
      </c>
      <c r="Z5" s="44">
        <f t="shared" ref="Z5:Z24" si="6">X5+(A$6*W5)</f>
        <v>97831.925206203188</v>
      </c>
      <c r="AA5" s="50">
        <f t="shared" ref="AA5:AA24" si="7">Q5+X5</f>
        <v>60939.972622653957</v>
      </c>
      <c r="AB5" s="51">
        <f t="shared" ref="AB5:AC20" si="8">Z5/(1+ElecDiscountRate)^1</f>
        <v>91457.348047305961</v>
      </c>
      <c r="AC5" s="44">
        <f t="shared" si="8"/>
        <v>56969.218119710153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0.86650348716649883</v>
      </c>
      <c r="AG5" s="44">
        <f t="shared" ref="AG5:AG24" si="10">AF5*J5*K5</f>
        <v>614402.9626102777</v>
      </c>
      <c r="AH5" s="52">
        <f>HLOOKUP(I5,ElecAvoidedCostsWOCC!$A$5:$Q$50,T5+1,FALSE)</f>
        <v>0.86650348716649883</v>
      </c>
      <c r="AI5" s="44">
        <f t="shared" ref="AI5:AI24" si="11">AH5*J5*L5</f>
        <v>0</v>
      </c>
      <c r="AJ5" s="44">
        <f>AG5+AI5</f>
        <v>614402.9626102777</v>
      </c>
      <c r="AK5" s="44">
        <f>HLOOKUP(I5,ElecAvoidedCostsWOCC!$A$5:$Q$50,G5+1,FALSE)*J5*L5</f>
        <v>0</v>
      </c>
      <c r="AL5" s="44">
        <f>AG5+AI5-AK5</f>
        <v>614402.9626102777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614402.9626102777</v>
      </c>
      <c r="AN5" s="48">
        <f>AM5*1.1+AD5+AE5</f>
        <v>675843.2588713055</v>
      </c>
      <c r="AO5" s="47">
        <f>IFERROR(AM5/AB5,0)</f>
        <v>6.717917977377609</v>
      </c>
      <c r="AP5" s="47">
        <f>AN5/AC5</f>
        <v>11.863305854946917</v>
      </c>
      <c r="AQ5">
        <v>2021</v>
      </c>
    </row>
    <row r="6" spans="1:43" ht="13.5" customHeight="1">
      <c r="A6" s="53">
        <f>SUMIF('Program Costs'!C:C,D2,'Program Costs'!L:L)</f>
        <v>2341019.7799999998</v>
      </c>
      <c r="B6" s="97" t="s">
        <v>70</v>
      </c>
      <c r="C6" s="98">
        <v>18230714</v>
      </c>
      <c r="D6" s="61" t="s">
        <v>128</v>
      </c>
      <c r="E6" s="38" t="s">
        <v>1084</v>
      </c>
      <c r="F6" s="39" t="s">
        <v>1085</v>
      </c>
      <c r="G6" s="39">
        <v>3</v>
      </c>
      <c r="H6" s="39"/>
      <c r="I6" s="40" t="s">
        <v>257</v>
      </c>
      <c r="J6" s="41">
        <v>118</v>
      </c>
      <c r="K6" s="41">
        <v>57</v>
      </c>
      <c r="L6" s="41"/>
      <c r="M6" s="42">
        <v>2</v>
      </c>
      <c r="N6" s="42">
        <v>2</v>
      </c>
      <c r="O6" s="43">
        <v>6726</v>
      </c>
      <c r="P6" s="44">
        <v>236</v>
      </c>
      <c r="Q6" s="44">
        <v>236</v>
      </c>
      <c r="R6" s="45">
        <v>0</v>
      </c>
      <c r="S6" s="46">
        <v>0</v>
      </c>
      <c r="T6" s="39">
        <f t="shared" si="0"/>
        <v>3</v>
      </c>
      <c r="U6" s="47">
        <f t="shared" si="1"/>
        <v>9.1860267103871344E-4</v>
      </c>
      <c r="V6" s="48">
        <f t="shared" si="2"/>
        <v>0</v>
      </c>
      <c r="W6" s="49">
        <f t="shared" si="3"/>
        <v>3.0620089034623783E-4</v>
      </c>
      <c r="X6" s="44">
        <f t="shared" si="4"/>
        <v>211.1915491777431</v>
      </c>
      <c r="Y6" s="44">
        <f t="shared" si="5"/>
        <v>0</v>
      </c>
      <c r="Z6" s="44">
        <f t="shared" si="6"/>
        <v>928.01389013189691</v>
      </c>
      <c r="AA6" s="50">
        <f t="shared" si="7"/>
        <v>447.19154917774313</v>
      </c>
      <c r="AB6" s="51">
        <f t="shared" si="8"/>
        <v>867.54593823679238</v>
      </c>
      <c r="AC6" s="44">
        <f t="shared" si="8"/>
        <v>418.05323845727128</v>
      </c>
      <c r="AD6" s="44">
        <f t="shared" si="9"/>
        <v>0</v>
      </c>
      <c r="AE6" s="44">
        <v>0</v>
      </c>
      <c r="AF6" s="52">
        <f>HLOOKUP(I6,ElecAvoidedCostsWOCC!$A$5:$Q$50,G6+1,FALSE)</f>
        <v>0.22797487781098191</v>
      </c>
      <c r="AG6" s="44">
        <f t="shared" si="10"/>
        <v>1533.3590281566644</v>
      </c>
      <c r="AH6" s="52">
        <f>HLOOKUP(I6,ElecAvoidedCostsWOCC!$A$5:$Q$50,T6+1,FALSE)</f>
        <v>0.22797487781098191</v>
      </c>
      <c r="AI6" s="44">
        <f t="shared" si="11"/>
        <v>0</v>
      </c>
      <c r="AJ6" s="44">
        <f t="shared" ref="AJ6:AJ24" si="12">AG6+AI6</f>
        <v>1533.3590281566644</v>
      </c>
      <c r="AK6" s="44">
        <f>HLOOKUP(I6,ElecAvoidedCostsWOCC!$A$5:$Q$50,G6+1,FALSE)*J6*L6</f>
        <v>0</v>
      </c>
      <c r="AL6" s="44">
        <f t="shared" ref="AL6:AL24" si="13">AG6+AI6-AK6</f>
        <v>1533.3590281566644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1533.3590281566644</v>
      </c>
      <c r="AN6" s="48">
        <f t="shared" ref="AN6:AN24" si="14">AM6*1.1+AD6+AE6</f>
        <v>1686.6949309723309</v>
      </c>
      <c r="AO6" s="47">
        <f t="shared" ref="AO6:AO24" si="15">IFERROR(AM6/AB6,0)</f>
        <v>1.767467243605654</v>
      </c>
      <c r="AP6" s="47">
        <f t="shared" ref="AP6:AP24" si="16">AN6/AC6</f>
        <v>4.0346414662321193</v>
      </c>
      <c r="AQ6">
        <v>2021</v>
      </c>
    </row>
    <row r="7" spans="1:43" ht="13.5" customHeight="1">
      <c r="A7" s="36" t="s">
        <v>249</v>
      </c>
      <c r="B7" s="97" t="s">
        <v>70</v>
      </c>
      <c r="C7" s="98">
        <v>18230714</v>
      </c>
      <c r="D7" s="61" t="s">
        <v>128</v>
      </c>
      <c r="E7" s="38" t="s">
        <v>1086</v>
      </c>
      <c r="F7" s="39" t="s">
        <v>1087</v>
      </c>
      <c r="G7" s="39">
        <v>5</v>
      </c>
      <c r="H7" s="39"/>
      <c r="I7" s="40" t="s">
        <v>257</v>
      </c>
      <c r="J7" s="41">
        <v>1345</v>
      </c>
      <c r="K7" s="41">
        <v>79</v>
      </c>
      <c r="L7" s="41"/>
      <c r="M7" s="42">
        <v>2</v>
      </c>
      <c r="N7" s="42">
        <v>2</v>
      </c>
      <c r="O7" s="43">
        <v>106255</v>
      </c>
      <c r="P7" s="44">
        <v>2682.02</v>
      </c>
      <c r="Q7" s="44">
        <v>2690</v>
      </c>
      <c r="R7" s="45">
        <v>0</v>
      </c>
      <c r="S7" s="46">
        <v>0</v>
      </c>
      <c r="T7" s="39">
        <f t="shared" si="0"/>
        <v>5</v>
      </c>
      <c r="U7" s="47">
        <f t="shared" si="1"/>
        <v>2.4186273865402542E-2</v>
      </c>
      <c r="V7" s="48">
        <f t="shared" si="2"/>
        <v>0</v>
      </c>
      <c r="W7" s="49">
        <f t="shared" si="3"/>
        <v>4.8372547730805085E-3</v>
      </c>
      <c r="X7" s="44">
        <f t="shared" si="4"/>
        <v>3336.330368403374</v>
      </c>
      <c r="Y7" s="44">
        <f t="shared" si="5"/>
        <v>7.9800000000000182</v>
      </c>
      <c r="Z7" s="44">
        <f t="shared" si="6"/>
        <v>14660.439473084256</v>
      </c>
      <c r="AA7" s="50">
        <f t="shared" si="7"/>
        <v>6026.3303684033745</v>
      </c>
      <c r="AB7" s="51">
        <f t="shared" si="8"/>
        <v>13705.187877988459</v>
      </c>
      <c r="AC7" s="44">
        <f t="shared" si="8"/>
        <v>5633.6639884111191</v>
      </c>
      <c r="AD7" s="44">
        <f t="shared" si="9"/>
        <v>0</v>
      </c>
      <c r="AE7" s="44">
        <v>0</v>
      </c>
      <c r="AF7" s="52">
        <f>HLOOKUP(I7,ElecAvoidedCostsWOCC!$A$5:$Q$50,G7+1,FALSE)</f>
        <v>0.3694540986241362</v>
      </c>
      <c r="AG7" s="44">
        <f t="shared" si="10"/>
        <v>39256.345249307597</v>
      </c>
      <c r="AH7" s="52">
        <f>HLOOKUP(I7,ElecAvoidedCostsWOCC!$A$5:$Q$50,T7+1,FALSE)</f>
        <v>0.3694540986241362</v>
      </c>
      <c r="AI7" s="44">
        <f t="shared" si="11"/>
        <v>0</v>
      </c>
      <c r="AJ7" s="44">
        <f t="shared" si="12"/>
        <v>39256.345249307597</v>
      </c>
      <c r="AK7" s="44">
        <f>HLOOKUP(I7,ElecAvoidedCostsWOCC!$A$5:$Q$50,G7+1,FALSE)*J7*L7</f>
        <v>0</v>
      </c>
      <c r="AL7" s="44">
        <f t="shared" si="13"/>
        <v>39256.345249307597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39256.345249307589</v>
      </c>
      <c r="AN7" s="48">
        <f t="shared" si="14"/>
        <v>43181.979774238353</v>
      </c>
      <c r="AO7" s="47">
        <f t="shared" si="15"/>
        <v>2.8643419994523511</v>
      </c>
      <c r="AP7" s="47">
        <f t="shared" si="16"/>
        <v>7.6649902910551662</v>
      </c>
      <c r="AQ7">
        <v>2021</v>
      </c>
    </row>
    <row r="8" spans="1:43" ht="13.5" customHeight="1">
      <c r="A8" s="53">
        <f>SUMIF('Program Costs'!C:C,D2,'Program Costs'!O:O)</f>
        <v>689715.66000000015</v>
      </c>
      <c r="B8" s="97" t="s">
        <v>70</v>
      </c>
      <c r="C8" s="98">
        <v>18230714</v>
      </c>
      <c r="D8" s="61" t="s">
        <v>128</v>
      </c>
      <c r="E8" s="38" t="s">
        <v>1088</v>
      </c>
      <c r="F8" s="39" t="s">
        <v>1089</v>
      </c>
      <c r="G8" s="39">
        <v>5</v>
      </c>
      <c r="H8" s="39"/>
      <c r="I8" s="40" t="s">
        <v>257</v>
      </c>
      <c r="J8" s="41">
        <v>33</v>
      </c>
      <c r="K8" s="41">
        <v>99</v>
      </c>
      <c r="L8" s="41"/>
      <c r="M8" s="42">
        <v>4</v>
      </c>
      <c r="N8" s="42">
        <v>4</v>
      </c>
      <c r="O8" s="43">
        <v>3267</v>
      </c>
      <c r="P8" s="44">
        <v>132</v>
      </c>
      <c r="Q8" s="44">
        <v>132</v>
      </c>
      <c r="R8" s="45">
        <v>0</v>
      </c>
      <c r="S8" s="46">
        <v>0</v>
      </c>
      <c r="T8" s="39">
        <f t="shared" si="0"/>
        <v>5</v>
      </c>
      <c r="U8" s="47">
        <f t="shared" si="1"/>
        <v>7.4365024439574713E-4</v>
      </c>
      <c r="V8" s="48">
        <f t="shared" si="2"/>
        <v>0</v>
      </c>
      <c r="W8" s="49">
        <f t="shared" si="3"/>
        <v>1.4873004887914942E-4</v>
      </c>
      <c r="X8" s="44">
        <f t="shared" si="4"/>
        <v>102.58144382451482</v>
      </c>
      <c r="Y8" s="44">
        <f t="shared" si="5"/>
        <v>0</v>
      </c>
      <c r="Z8" s="44">
        <f t="shared" si="6"/>
        <v>450.76143013097044</v>
      </c>
      <c r="AA8" s="50">
        <f t="shared" si="7"/>
        <v>234.58144382451482</v>
      </c>
      <c r="AB8" s="51">
        <f t="shared" si="8"/>
        <v>421.39051148076135</v>
      </c>
      <c r="AC8" s="44">
        <f t="shared" si="8"/>
        <v>219.29647922269308</v>
      </c>
      <c r="AD8" s="44">
        <f t="shared" si="9"/>
        <v>0</v>
      </c>
      <c r="AE8" s="44">
        <v>0</v>
      </c>
      <c r="AF8" s="52">
        <f>HLOOKUP(I8,ElecAvoidedCostsWOCC!$A$5:$Q$50,G8+1,FALSE)</f>
        <v>0.3694540986241362</v>
      </c>
      <c r="AG8" s="44">
        <f t="shared" si="10"/>
        <v>1207.0065402050529</v>
      </c>
      <c r="AH8" s="52">
        <f>HLOOKUP(I8,ElecAvoidedCostsWOCC!$A$5:$Q$50,T8+1,FALSE)</f>
        <v>0.3694540986241362</v>
      </c>
      <c r="AI8" s="44">
        <f t="shared" si="11"/>
        <v>0</v>
      </c>
      <c r="AJ8" s="44">
        <f t="shared" si="12"/>
        <v>1207.0065402050529</v>
      </c>
      <c r="AK8" s="44">
        <f>HLOOKUP(I8,ElecAvoidedCostsWOCC!$A$5:$Q$50,G8+1,FALSE)*J8*L8</f>
        <v>0</v>
      </c>
      <c r="AL8" s="44">
        <f t="shared" si="13"/>
        <v>1207.0065402050529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1207.0065402050529</v>
      </c>
      <c r="AN8" s="48">
        <f t="shared" si="14"/>
        <v>1327.7071942255584</v>
      </c>
      <c r="AO8" s="47">
        <f t="shared" si="15"/>
        <v>2.8643419994523511</v>
      </c>
      <c r="AP8" s="47">
        <f t="shared" si="16"/>
        <v>6.0543935722619917</v>
      </c>
      <c r="AQ8">
        <v>2021</v>
      </c>
    </row>
    <row r="9" spans="1:43" ht="13.5" customHeight="1">
      <c r="A9" s="36" t="s">
        <v>250</v>
      </c>
      <c r="B9" s="97" t="s">
        <v>70</v>
      </c>
      <c r="C9" s="98">
        <v>18230714</v>
      </c>
      <c r="D9" s="61" t="s">
        <v>128</v>
      </c>
      <c r="E9" s="38" t="s">
        <v>1090</v>
      </c>
      <c r="F9" s="39" t="s">
        <v>1091</v>
      </c>
      <c r="G9" s="39">
        <v>5</v>
      </c>
      <c r="H9" s="39"/>
      <c r="I9" s="40" t="s">
        <v>257</v>
      </c>
      <c r="J9" s="41">
        <v>1805</v>
      </c>
      <c r="K9" s="41">
        <v>99</v>
      </c>
      <c r="L9" s="41"/>
      <c r="M9" s="42">
        <v>4</v>
      </c>
      <c r="N9" s="42">
        <v>4</v>
      </c>
      <c r="O9" s="43">
        <v>178695</v>
      </c>
      <c r="P9" s="44">
        <v>6998.8</v>
      </c>
      <c r="Q9" s="44">
        <v>7220</v>
      </c>
      <c r="R9" s="45">
        <v>0</v>
      </c>
      <c r="S9" s="46">
        <v>0</v>
      </c>
      <c r="T9" s="39">
        <f t="shared" si="0"/>
        <v>5</v>
      </c>
      <c r="U9" s="47">
        <f t="shared" si="1"/>
        <v>4.0675414882858286E-2</v>
      </c>
      <c r="V9" s="48">
        <f t="shared" si="2"/>
        <v>0</v>
      </c>
      <c r="W9" s="49">
        <f t="shared" si="3"/>
        <v>8.135082976571657E-3</v>
      </c>
      <c r="X9" s="44">
        <f t="shared" si="4"/>
        <v>5610.8941243408863</v>
      </c>
      <c r="Y9" s="44">
        <f t="shared" si="5"/>
        <v>221.19999999999982</v>
      </c>
      <c r="Z9" s="44">
        <f t="shared" si="6"/>
        <v>24655.284284436413</v>
      </c>
      <c r="AA9" s="50">
        <f t="shared" si="7"/>
        <v>12830.894124340886</v>
      </c>
      <c r="AB9" s="51">
        <f t="shared" si="8"/>
        <v>23048.784037053763</v>
      </c>
      <c r="AC9" s="44">
        <f t="shared" si="8"/>
        <v>11994.852878695789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0.3694540986241362</v>
      </c>
      <c r="AG9" s="44">
        <f t="shared" si="10"/>
        <v>66019.600153640014</v>
      </c>
      <c r="AH9" s="52">
        <f>HLOOKUP(I9,ElecAvoidedCostsWOCC!$A$5:$Q$50,T9+1,FALSE)</f>
        <v>0.3694540986241362</v>
      </c>
      <c r="AI9" s="44">
        <f t="shared" si="11"/>
        <v>0</v>
      </c>
      <c r="AJ9" s="44">
        <f t="shared" si="12"/>
        <v>66019.600153640014</v>
      </c>
      <c r="AK9" s="44">
        <f>HLOOKUP(I9,ElecAvoidedCostsWOCC!$A$5:$Q$50,G9+1,FALSE)*J9*L9</f>
        <v>0</v>
      </c>
      <c r="AL9" s="44">
        <f t="shared" si="13"/>
        <v>66019.600153640014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66019.600153640014</v>
      </c>
      <c r="AN9" s="48">
        <f t="shared" si="14"/>
        <v>72621.56016900402</v>
      </c>
      <c r="AO9" s="47">
        <f t="shared" si="15"/>
        <v>2.8643419994523511</v>
      </c>
      <c r="AP9" s="47">
        <f t="shared" si="16"/>
        <v>6.0543935722619908</v>
      </c>
      <c r="AQ9">
        <v>2021</v>
      </c>
    </row>
    <row r="10" spans="1:43" ht="13.5" customHeight="1">
      <c r="A10" s="54">
        <f>SUM(O5:O999)</f>
        <v>21965971.400000013</v>
      </c>
      <c r="B10" s="97" t="s">
        <v>70</v>
      </c>
      <c r="C10" s="98">
        <v>18230714</v>
      </c>
      <c r="D10" s="61" t="s">
        <v>128</v>
      </c>
      <c r="E10" s="38" t="s">
        <v>1092</v>
      </c>
      <c r="F10" s="39" t="s">
        <v>1093</v>
      </c>
      <c r="G10" s="39">
        <v>5</v>
      </c>
      <c r="H10" s="39"/>
      <c r="I10" s="40" t="s">
        <v>257</v>
      </c>
      <c r="J10" s="41">
        <v>398</v>
      </c>
      <c r="K10" s="41">
        <v>128</v>
      </c>
      <c r="L10" s="41"/>
      <c r="M10" s="42">
        <v>4</v>
      </c>
      <c r="N10" s="42">
        <v>4</v>
      </c>
      <c r="O10" s="43">
        <v>50944</v>
      </c>
      <c r="P10" s="44">
        <v>1592</v>
      </c>
      <c r="Q10" s="44">
        <v>1592</v>
      </c>
      <c r="R10" s="45">
        <v>0</v>
      </c>
      <c r="S10" s="46">
        <v>0</v>
      </c>
      <c r="T10" s="39">
        <f t="shared" si="0"/>
        <v>5</v>
      </c>
      <c r="U10" s="47">
        <f t="shared" si="1"/>
        <v>1.1596118166665729E-2</v>
      </c>
      <c r="V10" s="48">
        <f t="shared" si="2"/>
        <v>0</v>
      </c>
      <c r="W10" s="49">
        <f t="shared" si="3"/>
        <v>2.3192236333331459E-3</v>
      </c>
      <c r="X10" s="44">
        <f t="shared" si="4"/>
        <v>1599.6048589519692</v>
      </c>
      <c r="Y10" s="44">
        <f t="shared" si="5"/>
        <v>0</v>
      </c>
      <c r="Z10" s="44">
        <f t="shared" si="6"/>
        <v>7028.9532588283309</v>
      </c>
      <c r="AA10" s="50">
        <f t="shared" si="7"/>
        <v>3191.6048589519692</v>
      </c>
      <c r="AB10" s="51">
        <f t="shared" si="8"/>
        <v>6570.9575197048989</v>
      </c>
      <c r="AC10" s="44">
        <f t="shared" si="8"/>
        <v>2983.6448153238935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0.3694540986241362</v>
      </c>
      <c r="AG10" s="44">
        <f t="shared" si="10"/>
        <v>18821.469600307995</v>
      </c>
      <c r="AH10" s="52">
        <f>HLOOKUP(I10,ElecAvoidedCostsWOCC!$A$5:$Q$50,T10+1,FALSE)</f>
        <v>0.3694540986241362</v>
      </c>
      <c r="AI10" s="44">
        <f t="shared" si="11"/>
        <v>0</v>
      </c>
      <c r="AJ10" s="44">
        <f t="shared" si="12"/>
        <v>18821.469600307995</v>
      </c>
      <c r="AK10" s="44">
        <f>HLOOKUP(I10,ElecAvoidedCostsWOCC!$A$5:$Q$50,G10+1,FALSE)*J10*L10</f>
        <v>0</v>
      </c>
      <c r="AL10" s="44">
        <f t="shared" si="13"/>
        <v>18821.469600307995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18821.469600307995</v>
      </c>
      <c r="AN10" s="48">
        <f t="shared" si="14"/>
        <v>20703.616560338796</v>
      </c>
      <c r="AO10" s="47">
        <f t="shared" si="15"/>
        <v>2.8643419994523516</v>
      </c>
      <c r="AP10" s="47">
        <f t="shared" si="16"/>
        <v>6.9390352544665372</v>
      </c>
      <c r="AQ10">
        <v>2021</v>
      </c>
    </row>
    <row r="11" spans="1:43" ht="13.5" customHeight="1">
      <c r="A11" s="36" t="s">
        <v>251</v>
      </c>
      <c r="B11" s="97" t="s">
        <v>70</v>
      </c>
      <c r="C11" s="98">
        <v>18230714</v>
      </c>
      <c r="D11" s="61" t="s">
        <v>128</v>
      </c>
      <c r="E11" s="38" t="s">
        <v>1094</v>
      </c>
      <c r="F11" s="39" t="s">
        <v>1095</v>
      </c>
      <c r="G11" s="39">
        <v>5</v>
      </c>
      <c r="H11" s="39"/>
      <c r="I11" s="40" t="s">
        <v>257</v>
      </c>
      <c r="J11" s="41">
        <v>97</v>
      </c>
      <c r="K11" s="41">
        <v>94</v>
      </c>
      <c r="L11" s="41"/>
      <c r="M11" s="42">
        <v>3</v>
      </c>
      <c r="N11" s="42">
        <v>3</v>
      </c>
      <c r="O11" s="43">
        <v>9118</v>
      </c>
      <c r="P11" s="44">
        <v>291</v>
      </c>
      <c r="Q11" s="44">
        <v>291</v>
      </c>
      <c r="R11" s="45">
        <v>0</v>
      </c>
      <c r="S11" s="46">
        <v>0</v>
      </c>
      <c r="T11" s="39">
        <f t="shared" si="0"/>
        <v>5</v>
      </c>
      <c r="U11" s="47">
        <f t="shared" si="1"/>
        <v>2.0754829900215556E-3</v>
      </c>
      <c r="V11" s="48">
        <f t="shared" si="2"/>
        <v>0</v>
      </c>
      <c r="W11" s="49">
        <f t="shared" si="3"/>
        <v>4.1509659800431111E-4</v>
      </c>
      <c r="X11" s="44">
        <f t="shared" si="4"/>
        <v>286.29862405629819</v>
      </c>
      <c r="Y11" s="44">
        <f t="shared" si="5"/>
        <v>0</v>
      </c>
      <c r="Z11" s="44">
        <f t="shared" si="6"/>
        <v>1258.0479705950988</v>
      </c>
      <c r="AA11" s="50">
        <f t="shared" si="7"/>
        <v>577.29862405629819</v>
      </c>
      <c r="AB11" s="51">
        <f t="shared" si="8"/>
        <v>1176.0755077078609</v>
      </c>
      <c r="AC11" s="44">
        <f t="shared" si="8"/>
        <v>539.68273726867176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0.3694540986241362</v>
      </c>
      <c r="AG11" s="44">
        <f t="shared" si="10"/>
        <v>3368.6824712548737</v>
      </c>
      <c r="AH11" s="52">
        <f>HLOOKUP(I11,ElecAvoidedCostsWOCC!$A$5:$Q$50,T11+1,FALSE)</f>
        <v>0.3694540986241362</v>
      </c>
      <c r="AI11" s="44">
        <f t="shared" si="11"/>
        <v>0</v>
      </c>
      <c r="AJ11" s="44">
        <f t="shared" si="12"/>
        <v>3368.6824712548737</v>
      </c>
      <c r="AK11" s="44">
        <f>HLOOKUP(I11,ElecAvoidedCostsWOCC!$A$5:$Q$50,G11+1,FALSE)*J11*L11</f>
        <v>0</v>
      </c>
      <c r="AL11" s="44">
        <f t="shared" si="13"/>
        <v>3368.6824712548737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3368.6824712548741</v>
      </c>
      <c r="AN11" s="48">
        <f t="shared" si="14"/>
        <v>3705.550718380362</v>
      </c>
      <c r="AO11" s="47">
        <f t="shared" si="15"/>
        <v>2.864341999452352</v>
      </c>
      <c r="AP11" s="47">
        <f t="shared" si="16"/>
        <v>6.8661649937778488</v>
      </c>
      <c r="AQ11">
        <v>2021</v>
      </c>
    </row>
    <row r="12" spans="1:43" ht="13.5" customHeight="1">
      <c r="A12" s="55">
        <f>SUM(P5:P1000)</f>
        <v>1823132.46</v>
      </c>
      <c r="B12" s="97" t="s">
        <v>70</v>
      </c>
      <c r="C12" s="98">
        <v>18230714</v>
      </c>
      <c r="D12" s="61" t="s">
        <v>128</v>
      </c>
      <c r="E12" s="38" t="s">
        <v>1096</v>
      </c>
      <c r="F12" s="39" t="s">
        <v>1031</v>
      </c>
      <c r="G12" s="39">
        <v>12</v>
      </c>
      <c r="H12" s="39"/>
      <c r="I12" s="40" t="s">
        <v>257</v>
      </c>
      <c r="J12" s="41">
        <v>60750</v>
      </c>
      <c r="K12" s="41">
        <v>31.8</v>
      </c>
      <c r="L12" s="41"/>
      <c r="M12" s="42">
        <v>2</v>
      </c>
      <c r="N12" s="42">
        <v>2</v>
      </c>
      <c r="O12" s="43">
        <v>1931850</v>
      </c>
      <c r="P12" s="44">
        <v>221843.68</v>
      </c>
      <c r="Q12" s="44">
        <v>121500</v>
      </c>
      <c r="R12" s="45">
        <v>0</v>
      </c>
      <c r="S12" s="46">
        <v>0</v>
      </c>
      <c r="T12" s="39">
        <f t="shared" si="0"/>
        <v>12</v>
      </c>
      <c r="U12" s="47">
        <f t="shared" si="1"/>
        <v>1.0553687600631214</v>
      </c>
      <c r="V12" s="48">
        <f t="shared" si="2"/>
        <v>0</v>
      </c>
      <c r="W12" s="49">
        <f t="shared" si="3"/>
        <v>8.7947396671926775E-2</v>
      </c>
      <c r="X12" s="44">
        <f t="shared" si="4"/>
        <v>60658.696740859792</v>
      </c>
      <c r="Y12" s="44">
        <f t="shared" si="5"/>
        <v>-100343.67999999999</v>
      </c>
      <c r="Z12" s="44">
        <f t="shared" si="6"/>
        <v>266545.29194934655</v>
      </c>
      <c r="AA12" s="50">
        <f t="shared" si="7"/>
        <v>182158.6967408598</v>
      </c>
      <c r="AB12" s="51">
        <f t="shared" si="8"/>
        <v>249177.61236734272</v>
      </c>
      <c r="AC12" s="44">
        <f t="shared" si="8"/>
        <v>170289.51737950806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0.86650348716649883</v>
      </c>
      <c r="AG12" s="44">
        <f t="shared" si="10"/>
        <v>1673954.7616826009</v>
      </c>
      <c r="AH12" s="52">
        <f>HLOOKUP(I12,ElecAvoidedCostsWOCC!$A$5:$Q$50,T12+1,FALSE)</f>
        <v>0.86650348716649883</v>
      </c>
      <c r="AI12" s="44">
        <f t="shared" si="11"/>
        <v>0</v>
      </c>
      <c r="AJ12" s="44">
        <f t="shared" si="12"/>
        <v>1673954.7616826009</v>
      </c>
      <c r="AK12" s="44">
        <f>HLOOKUP(I12,ElecAvoidedCostsWOCC!$A$5:$Q$50,G12+1,FALSE)*J12*L12</f>
        <v>0</v>
      </c>
      <c r="AL12" s="44">
        <f t="shared" si="13"/>
        <v>1673954.7616826009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1673954.7616826009</v>
      </c>
      <c r="AN12" s="48">
        <f t="shared" si="14"/>
        <v>1841350.2378508612</v>
      </c>
      <c r="AO12" s="47">
        <f t="shared" si="15"/>
        <v>6.717917977377609</v>
      </c>
      <c r="AP12" s="47">
        <f t="shared" si="16"/>
        <v>10.81305688210519</v>
      </c>
      <c r="AQ12">
        <v>2021</v>
      </c>
    </row>
    <row r="13" spans="1:43" ht="13.5" customHeight="1">
      <c r="A13" s="56" t="s">
        <v>252</v>
      </c>
      <c r="B13" s="97" t="s">
        <v>70</v>
      </c>
      <c r="C13" s="98">
        <v>18230714</v>
      </c>
      <c r="D13" s="61" t="s">
        <v>128</v>
      </c>
      <c r="E13" s="38" t="s">
        <v>1030</v>
      </c>
      <c r="F13" s="39" t="s">
        <v>1031</v>
      </c>
      <c r="G13" s="39">
        <v>12</v>
      </c>
      <c r="H13" s="39"/>
      <c r="I13" s="40" t="s">
        <v>257</v>
      </c>
      <c r="J13" s="41">
        <v>98176</v>
      </c>
      <c r="K13" s="41">
        <v>79.2</v>
      </c>
      <c r="L13" s="41"/>
      <c r="M13" s="42">
        <v>4</v>
      </c>
      <c r="N13" s="42">
        <v>4</v>
      </c>
      <c r="O13" s="43">
        <v>7775539.2000000104</v>
      </c>
      <c r="P13" s="44">
        <v>391206.09</v>
      </c>
      <c r="Q13" s="44">
        <v>392704</v>
      </c>
      <c r="R13" s="45">
        <v>0</v>
      </c>
      <c r="S13" s="46">
        <v>0</v>
      </c>
      <c r="T13" s="39">
        <f t="shared" si="0"/>
        <v>12</v>
      </c>
      <c r="U13" s="47">
        <f t="shared" si="1"/>
        <v>4.2477734629118231</v>
      </c>
      <c r="V13" s="48">
        <f t="shared" si="2"/>
        <v>0</v>
      </c>
      <c r="W13" s="49">
        <f t="shared" si="3"/>
        <v>0.35398112190931857</v>
      </c>
      <c r="X13" s="44">
        <f t="shared" si="4"/>
        <v>244146.32312522616</v>
      </c>
      <c r="Y13" s="44">
        <f t="shared" si="5"/>
        <v>1497.9099999999744</v>
      </c>
      <c r="Z13" s="44">
        <f t="shared" si="6"/>
        <v>1072823.1312615322</v>
      </c>
      <c r="AA13" s="50">
        <f t="shared" si="7"/>
        <v>636850.32312522619</v>
      </c>
      <c r="AB13" s="51">
        <f t="shared" si="8"/>
        <v>1002919.6328517641</v>
      </c>
      <c r="AC13" s="44">
        <f t="shared" si="8"/>
        <v>595354.13959542499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0.86650348716649883</v>
      </c>
      <c r="AG13" s="44">
        <f t="shared" si="10"/>
        <v>6737531.8313998086</v>
      </c>
      <c r="AH13" s="52">
        <f>HLOOKUP(I13,ElecAvoidedCostsWOCC!$A$5:$Q$50,T13+1,FALSE)</f>
        <v>0.86650348716649883</v>
      </c>
      <c r="AI13" s="44">
        <f t="shared" si="11"/>
        <v>0</v>
      </c>
      <c r="AJ13" s="44">
        <f t="shared" si="12"/>
        <v>6737531.8313998086</v>
      </c>
      <c r="AK13" s="44">
        <f>HLOOKUP(I13,ElecAvoidedCostsWOCC!$A$5:$Q$50,G13+1,FALSE)*J13*L13</f>
        <v>0</v>
      </c>
      <c r="AL13" s="44">
        <f t="shared" si="13"/>
        <v>6737531.8313998086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6737531.8313998086</v>
      </c>
      <c r="AN13" s="48">
        <f t="shared" si="14"/>
        <v>7411285.0145397903</v>
      </c>
      <c r="AO13" s="47">
        <f t="shared" si="15"/>
        <v>6.7179179773776001</v>
      </c>
      <c r="AP13" s="47">
        <f t="shared" si="16"/>
        <v>12.448531926856434</v>
      </c>
      <c r="AQ13">
        <v>2021</v>
      </c>
    </row>
    <row r="14" spans="1:43" ht="13.5" customHeight="1">
      <c r="A14" s="55">
        <f>SUM(Y5:Y1000)</f>
        <v>1244954.56</v>
      </c>
      <c r="B14" s="97" t="s">
        <v>70</v>
      </c>
      <c r="C14" s="98">
        <v>18230714</v>
      </c>
      <c r="D14" s="61" t="s">
        <v>128</v>
      </c>
      <c r="E14" s="38" t="s">
        <v>1097</v>
      </c>
      <c r="F14" s="39" t="s">
        <v>1098</v>
      </c>
      <c r="G14" s="39">
        <v>10</v>
      </c>
      <c r="H14" s="39"/>
      <c r="I14" s="40" t="s">
        <v>257</v>
      </c>
      <c r="J14" s="41">
        <v>448</v>
      </c>
      <c r="K14" s="41">
        <v>679.3</v>
      </c>
      <c r="L14" s="41"/>
      <c r="M14" s="42">
        <v>150</v>
      </c>
      <c r="N14" s="42">
        <v>206.89</v>
      </c>
      <c r="O14" s="43">
        <v>304326.40000000002</v>
      </c>
      <c r="P14" s="44">
        <v>66620.69</v>
      </c>
      <c r="Q14" s="44">
        <v>92686.719999999899</v>
      </c>
      <c r="R14" s="45">
        <v>0</v>
      </c>
      <c r="S14" s="46">
        <v>0</v>
      </c>
      <c r="T14" s="39">
        <f t="shared" si="0"/>
        <v>10</v>
      </c>
      <c r="U14" s="47">
        <f t="shared" si="1"/>
        <v>0.13854447611636236</v>
      </c>
      <c r="V14" s="48">
        <f t="shared" si="2"/>
        <v>56.889999999999986</v>
      </c>
      <c r="W14" s="49">
        <f t="shared" si="3"/>
        <v>1.3854447611636235E-2</v>
      </c>
      <c r="X14" s="44">
        <f t="shared" si="4"/>
        <v>9555.6294783951125</v>
      </c>
      <c r="Y14" s="44">
        <f t="shared" si="5"/>
        <v>26066.029999999897</v>
      </c>
      <c r="Z14" s="44">
        <f t="shared" si="6"/>
        <v>41989.165378209291</v>
      </c>
      <c r="AA14" s="50">
        <f t="shared" si="7"/>
        <v>102242.34947839502</v>
      </c>
      <c r="AB14" s="51">
        <f t="shared" si="8"/>
        <v>39253.216208478349</v>
      </c>
      <c r="AC14" s="44">
        <f t="shared" si="8"/>
        <v>95580.395885196791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0.7278724357900942</v>
      </c>
      <c r="AG14" s="44">
        <f t="shared" si="10"/>
        <v>221510.79804323049</v>
      </c>
      <c r="AH14" s="52">
        <f>HLOOKUP(I14,ElecAvoidedCostsWOCC!$A$5:$Q$50,T14+1,FALSE)</f>
        <v>0.7278724357900942</v>
      </c>
      <c r="AI14" s="44">
        <f t="shared" si="11"/>
        <v>0</v>
      </c>
      <c r="AJ14" s="44">
        <f t="shared" si="12"/>
        <v>221510.79804323049</v>
      </c>
      <c r="AK14" s="44">
        <f>HLOOKUP(I14,ElecAvoidedCostsWOCC!$A$5:$Q$50,G14+1,FALSE)*J14*L14</f>
        <v>0</v>
      </c>
      <c r="AL14" s="44">
        <f t="shared" si="13"/>
        <v>221510.79804323049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221510.79804323049</v>
      </c>
      <c r="AN14" s="48">
        <f t="shared" si="14"/>
        <v>243661.87784755355</v>
      </c>
      <c r="AO14" s="47">
        <f t="shared" si="15"/>
        <v>5.6431248045194859</v>
      </c>
      <c r="AP14" s="47">
        <f t="shared" si="16"/>
        <v>2.5492871795615901</v>
      </c>
      <c r="AQ14">
        <v>2021</v>
      </c>
    </row>
    <row r="15" spans="1:43" ht="13.5" customHeight="1">
      <c r="A15" s="57" t="s">
        <v>253</v>
      </c>
      <c r="B15" s="97" t="s">
        <v>70</v>
      </c>
      <c r="C15" s="98">
        <v>18230714</v>
      </c>
      <c r="D15" s="61" t="s">
        <v>128</v>
      </c>
      <c r="E15" s="38" t="s">
        <v>1099</v>
      </c>
      <c r="F15" s="39" t="s">
        <v>1100</v>
      </c>
      <c r="G15" s="39">
        <v>10</v>
      </c>
      <c r="H15" s="39"/>
      <c r="I15" s="40" t="s">
        <v>257</v>
      </c>
      <c r="J15" s="41">
        <v>88</v>
      </c>
      <c r="K15" s="41">
        <v>2817.8</v>
      </c>
      <c r="L15" s="41"/>
      <c r="M15" s="42">
        <v>300</v>
      </c>
      <c r="N15" s="42">
        <v>693.27</v>
      </c>
      <c r="O15" s="43">
        <v>247966.4</v>
      </c>
      <c r="P15" s="44">
        <v>26320.3</v>
      </c>
      <c r="Q15" s="44">
        <v>61007.76</v>
      </c>
      <c r="R15" s="45">
        <v>0</v>
      </c>
      <c r="S15" s="46">
        <v>0</v>
      </c>
      <c r="T15" s="39">
        <f t="shared" si="0"/>
        <v>10</v>
      </c>
      <c r="U15" s="47">
        <f t="shared" si="1"/>
        <v>0.11288660787384976</v>
      </c>
      <c r="V15" s="48">
        <f t="shared" si="2"/>
        <v>393.27</v>
      </c>
      <c r="W15" s="49">
        <f t="shared" si="3"/>
        <v>1.1288660787384976E-2</v>
      </c>
      <c r="X15" s="44">
        <f t="shared" si="4"/>
        <v>7785.9661254873499</v>
      </c>
      <c r="Y15" s="44">
        <f t="shared" si="5"/>
        <v>34687.460000000006</v>
      </c>
      <c r="Z15" s="44">
        <f t="shared" si="6"/>
        <v>34212.944318465947</v>
      </c>
      <c r="AA15" s="50">
        <f t="shared" si="7"/>
        <v>68793.726125487359</v>
      </c>
      <c r="AB15" s="51">
        <f t="shared" si="8"/>
        <v>31983.681703716877</v>
      </c>
      <c r="AC15" s="44">
        <f t="shared" si="8"/>
        <v>64311.233173307803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0.7278724357900942</v>
      </c>
      <c r="AG15" s="44">
        <f t="shared" si="10"/>
        <v>180487.90756210082</v>
      </c>
      <c r="AH15" s="52">
        <f>HLOOKUP(I15,ElecAvoidedCostsWOCC!$A$5:$Q$50,T15+1,FALSE)</f>
        <v>0.7278724357900942</v>
      </c>
      <c r="AI15" s="44">
        <f t="shared" si="11"/>
        <v>0</v>
      </c>
      <c r="AJ15" s="44">
        <f t="shared" si="12"/>
        <v>180487.90756210082</v>
      </c>
      <c r="AK15" s="44">
        <f>HLOOKUP(I15,ElecAvoidedCostsWOCC!$A$5:$Q$50,G15+1,FALSE)*J15*L15</f>
        <v>0</v>
      </c>
      <c r="AL15" s="44">
        <f t="shared" si="13"/>
        <v>180487.90756210082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180487.90756210082</v>
      </c>
      <c r="AN15" s="48">
        <f t="shared" si="14"/>
        <v>198536.69831831093</v>
      </c>
      <c r="AO15" s="47">
        <f t="shared" si="15"/>
        <v>5.6431248045194877</v>
      </c>
      <c r="AP15" s="47">
        <f t="shared" si="16"/>
        <v>3.087123174629359</v>
      </c>
      <c r="AQ15">
        <v>2021</v>
      </c>
    </row>
    <row r="16" spans="1:43" ht="13.5" customHeight="1">
      <c r="A16" s="54">
        <f>SUM(U5:U999)</f>
        <v>11.678283082896121</v>
      </c>
      <c r="B16" s="97" t="s">
        <v>70</v>
      </c>
      <c r="C16" s="98">
        <v>18230714</v>
      </c>
      <c r="D16" s="61" t="s">
        <v>128</v>
      </c>
      <c r="E16" s="38" t="s">
        <v>1101</v>
      </c>
      <c r="F16" s="39" t="s">
        <v>1102</v>
      </c>
      <c r="G16" s="39">
        <v>10</v>
      </c>
      <c r="H16" s="39"/>
      <c r="I16" s="40" t="s">
        <v>257</v>
      </c>
      <c r="J16" s="41">
        <v>26</v>
      </c>
      <c r="K16" s="41">
        <v>232.3</v>
      </c>
      <c r="L16" s="41"/>
      <c r="M16" s="42">
        <v>40</v>
      </c>
      <c r="N16" s="42">
        <v>131.18</v>
      </c>
      <c r="O16" s="43">
        <v>6039.8</v>
      </c>
      <c r="P16" s="44">
        <v>1012.75</v>
      </c>
      <c r="Q16" s="44">
        <v>3410.68</v>
      </c>
      <c r="R16" s="45">
        <v>0</v>
      </c>
      <c r="S16" s="46">
        <v>0</v>
      </c>
      <c r="T16" s="39">
        <f t="shared" si="0"/>
        <v>10</v>
      </c>
      <c r="U16" s="47">
        <f t="shared" si="1"/>
        <v>2.7496166183663502E-3</v>
      </c>
      <c r="V16" s="48">
        <f t="shared" si="2"/>
        <v>91.18</v>
      </c>
      <c r="W16" s="49">
        <f t="shared" si="3"/>
        <v>2.7496166183663503E-4</v>
      </c>
      <c r="X16" s="44">
        <f t="shared" si="4"/>
        <v>189.64536406835157</v>
      </c>
      <c r="Y16" s="44">
        <f t="shared" si="5"/>
        <v>2397.9299999999998</v>
      </c>
      <c r="Z16" s="44">
        <f t="shared" si="6"/>
        <v>833.33605316958528</v>
      </c>
      <c r="AA16" s="50">
        <f t="shared" si="7"/>
        <v>3600.3253640683515</v>
      </c>
      <c r="AB16" s="51">
        <f t="shared" si="8"/>
        <v>779.03716291444812</v>
      </c>
      <c r="AC16" s="44">
        <f t="shared" si="8"/>
        <v>3365.7337235377686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0.7278724357900942</v>
      </c>
      <c r="AG16" s="44">
        <f t="shared" si="10"/>
        <v>4396.2039376850116</v>
      </c>
      <c r="AH16" s="52">
        <f>HLOOKUP(I16,ElecAvoidedCostsWOCC!$A$5:$Q$50,T16+1,FALSE)</f>
        <v>0.7278724357900942</v>
      </c>
      <c r="AI16" s="44">
        <f t="shared" si="11"/>
        <v>0</v>
      </c>
      <c r="AJ16" s="44">
        <f t="shared" si="12"/>
        <v>4396.2039376850116</v>
      </c>
      <c r="AK16" s="44">
        <f>HLOOKUP(I16,ElecAvoidedCostsWOCC!$A$5:$Q$50,G16+1,FALSE)*J16*L16</f>
        <v>0</v>
      </c>
      <c r="AL16" s="44">
        <f t="shared" si="13"/>
        <v>4396.2039376850116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4396.2039376850116</v>
      </c>
      <c r="AN16" s="48">
        <f t="shared" si="14"/>
        <v>4835.824331453513</v>
      </c>
      <c r="AO16" s="47">
        <f t="shared" si="15"/>
        <v>5.6431248045194877</v>
      </c>
      <c r="AP16" s="47">
        <f t="shared" si="16"/>
        <v>1.4367816139568261</v>
      </c>
      <c r="AQ16">
        <v>2021</v>
      </c>
    </row>
    <row r="17" spans="1:43" ht="13.5" customHeight="1">
      <c r="A17" s="58" t="s">
        <v>254</v>
      </c>
      <c r="B17" s="97" t="s">
        <v>70</v>
      </c>
      <c r="C17" s="98">
        <v>18230714</v>
      </c>
      <c r="D17" s="61" t="s">
        <v>128</v>
      </c>
      <c r="E17" s="38" t="s">
        <v>1103</v>
      </c>
      <c r="F17" s="39" t="s">
        <v>1104</v>
      </c>
      <c r="G17" s="39">
        <v>10</v>
      </c>
      <c r="H17" s="39"/>
      <c r="I17" s="40" t="s">
        <v>257</v>
      </c>
      <c r="J17" s="41">
        <v>641</v>
      </c>
      <c r="K17" s="41">
        <v>502.4</v>
      </c>
      <c r="L17" s="41"/>
      <c r="M17" s="42">
        <v>90</v>
      </c>
      <c r="N17" s="42">
        <v>215.58</v>
      </c>
      <c r="O17" s="43">
        <v>322038.40000000002</v>
      </c>
      <c r="P17" s="44">
        <v>42333.58</v>
      </c>
      <c r="Q17" s="44">
        <v>138186.78</v>
      </c>
      <c r="R17" s="45">
        <v>0</v>
      </c>
      <c r="S17" s="46">
        <v>0</v>
      </c>
      <c r="T17" s="39">
        <f t="shared" si="0"/>
        <v>10</v>
      </c>
      <c r="U17" s="47">
        <f t="shared" si="1"/>
        <v>0.14660785727873607</v>
      </c>
      <c r="V17" s="48">
        <f t="shared" si="2"/>
        <v>125.58000000000001</v>
      </c>
      <c r="W17" s="49">
        <f t="shared" si="3"/>
        <v>1.4660785727873606E-2</v>
      </c>
      <c r="X17" s="44">
        <f t="shared" si="4"/>
        <v>10111.773504418927</v>
      </c>
      <c r="Y17" s="44">
        <f t="shared" si="5"/>
        <v>95853.2</v>
      </c>
      <c r="Z17" s="44">
        <f t="shared" si="6"/>
        <v>44432.962883712731</v>
      </c>
      <c r="AA17" s="50">
        <f t="shared" si="7"/>
        <v>148298.55350441893</v>
      </c>
      <c r="AB17" s="51">
        <f t="shared" si="8"/>
        <v>41537.779642621972</v>
      </c>
      <c r="AC17" s="44">
        <f t="shared" si="8"/>
        <v>138635.64878416277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0.7278724357900942</v>
      </c>
      <c r="AG17" s="44">
        <f t="shared" si="10"/>
        <v>234402.87462594465</v>
      </c>
      <c r="AH17" s="52">
        <f>HLOOKUP(I17,ElecAvoidedCostsWOCC!$A$5:$Q$50,T17+1,FALSE)</f>
        <v>0.7278724357900942</v>
      </c>
      <c r="AI17" s="44">
        <f t="shared" si="11"/>
        <v>0</v>
      </c>
      <c r="AJ17" s="44">
        <f t="shared" si="12"/>
        <v>234402.87462594465</v>
      </c>
      <c r="AK17" s="44">
        <f>HLOOKUP(I17,ElecAvoidedCostsWOCC!$A$5:$Q$50,G17+1,FALSE)*J17*L17</f>
        <v>0</v>
      </c>
      <c r="AL17" s="44">
        <f t="shared" si="13"/>
        <v>234402.87462594465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234402.87462594468</v>
      </c>
      <c r="AN17" s="48">
        <f t="shared" si="14"/>
        <v>257843.16208853916</v>
      </c>
      <c r="AO17" s="47">
        <f t="shared" si="15"/>
        <v>5.6431248045194877</v>
      </c>
      <c r="AP17" s="47">
        <f t="shared" si="16"/>
        <v>1.8598619067305453</v>
      </c>
      <c r="AQ17">
        <v>2021</v>
      </c>
    </row>
    <row r="18" spans="1:43" ht="13.5" customHeight="1">
      <c r="A18" s="59">
        <f>A6+A8</f>
        <v>3030735.44</v>
      </c>
      <c r="B18" s="97" t="s">
        <v>70</v>
      </c>
      <c r="C18" s="98">
        <v>18230714</v>
      </c>
      <c r="D18" s="61" t="s">
        <v>128</v>
      </c>
      <c r="E18" s="38" t="s">
        <v>1105</v>
      </c>
      <c r="F18" s="39" t="s">
        <v>1106</v>
      </c>
      <c r="G18" s="39">
        <v>10</v>
      </c>
      <c r="H18" s="39"/>
      <c r="I18" s="40" t="s">
        <v>257</v>
      </c>
      <c r="J18" s="41">
        <v>569</v>
      </c>
      <c r="K18" s="41">
        <v>652</v>
      </c>
      <c r="L18" s="41"/>
      <c r="M18" s="42">
        <v>100</v>
      </c>
      <c r="N18" s="42">
        <v>241.93</v>
      </c>
      <c r="O18" s="43">
        <v>370988</v>
      </c>
      <c r="P18" s="44">
        <v>54091.519999999997</v>
      </c>
      <c r="Q18" s="44">
        <v>137658.17000000001</v>
      </c>
      <c r="R18" s="45">
        <v>0</v>
      </c>
      <c r="S18" s="46">
        <v>0</v>
      </c>
      <c r="T18" s="39">
        <f t="shared" si="0"/>
        <v>10</v>
      </c>
      <c r="U18" s="47">
        <f t="shared" si="1"/>
        <v>0.16889214378199535</v>
      </c>
      <c r="V18" s="48">
        <f t="shared" si="2"/>
        <v>141.93</v>
      </c>
      <c r="W18" s="49">
        <f t="shared" si="3"/>
        <v>1.6889214378199534E-2</v>
      </c>
      <c r="X18" s="44">
        <f t="shared" si="4"/>
        <v>11648.755641741383</v>
      </c>
      <c r="Y18" s="44">
        <f t="shared" si="5"/>
        <v>83566.650000000023</v>
      </c>
      <c r="Z18" s="44">
        <f t="shared" si="6"/>
        <v>51186.740569766887</v>
      </c>
      <c r="AA18" s="50">
        <f t="shared" si="7"/>
        <v>149306.9256417414</v>
      </c>
      <c r="AB18" s="51">
        <f t="shared" si="8"/>
        <v>47851.491604905001</v>
      </c>
      <c r="AC18" s="44">
        <f t="shared" si="8"/>
        <v>139578.31695030513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0.7278724357900942</v>
      </c>
      <c r="AG18" s="44">
        <f t="shared" si="10"/>
        <v>270031.93920889549</v>
      </c>
      <c r="AH18" s="52">
        <f>HLOOKUP(I18,ElecAvoidedCostsWOCC!$A$5:$Q$50,T18+1,FALSE)</f>
        <v>0.7278724357900942</v>
      </c>
      <c r="AI18" s="44">
        <f t="shared" si="11"/>
        <v>0</v>
      </c>
      <c r="AJ18" s="44">
        <f t="shared" si="12"/>
        <v>270031.93920889549</v>
      </c>
      <c r="AK18" s="44">
        <f>HLOOKUP(I18,ElecAvoidedCostsWOCC!$A$5:$Q$50,G18+1,FALSE)*J18*L18</f>
        <v>0</v>
      </c>
      <c r="AL18" s="44">
        <f t="shared" si="13"/>
        <v>270031.93920889549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270031.93920889549</v>
      </c>
      <c r="AN18" s="48">
        <f t="shared" si="14"/>
        <v>297035.13312978507</v>
      </c>
      <c r="AO18" s="47">
        <f t="shared" si="15"/>
        <v>5.6431248045194886</v>
      </c>
      <c r="AP18" s="47">
        <f t="shared" si="16"/>
        <v>2.1280893739071249</v>
      </c>
      <c r="AQ18">
        <v>2021</v>
      </c>
    </row>
    <row r="19" spans="1:43" ht="13.5" customHeight="1">
      <c r="A19" s="58" t="s">
        <v>231</v>
      </c>
      <c r="B19" s="97" t="s">
        <v>70</v>
      </c>
      <c r="C19" s="98">
        <v>18230714</v>
      </c>
      <c r="D19" s="61" t="s">
        <v>128</v>
      </c>
      <c r="E19" s="38" t="s">
        <v>1107</v>
      </c>
      <c r="F19" s="39" t="s">
        <v>1108</v>
      </c>
      <c r="G19" s="39">
        <v>10</v>
      </c>
      <c r="H19" s="39"/>
      <c r="I19" s="40" t="s">
        <v>257</v>
      </c>
      <c r="J19" s="41">
        <v>2377</v>
      </c>
      <c r="K19" s="41">
        <v>54</v>
      </c>
      <c r="L19" s="41"/>
      <c r="M19" s="42">
        <v>3</v>
      </c>
      <c r="N19" s="42">
        <v>20</v>
      </c>
      <c r="O19" s="43">
        <v>128358</v>
      </c>
      <c r="P19" s="44">
        <v>7109</v>
      </c>
      <c r="Q19" s="44">
        <v>47540</v>
      </c>
      <c r="R19" s="45">
        <v>0</v>
      </c>
      <c r="S19" s="46">
        <v>0</v>
      </c>
      <c r="T19" s="39">
        <f t="shared" si="0"/>
        <v>10</v>
      </c>
      <c r="U19" s="47">
        <f t="shared" si="1"/>
        <v>5.8434929948055894E-2</v>
      </c>
      <c r="V19" s="48">
        <f t="shared" si="2"/>
        <v>17</v>
      </c>
      <c r="W19" s="49">
        <f t="shared" si="3"/>
        <v>5.8434929948055891E-3</v>
      </c>
      <c r="X19" s="44">
        <f t="shared" si="4"/>
        <v>4030.3486276177141</v>
      </c>
      <c r="Y19" s="44">
        <f t="shared" si="5"/>
        <v>40431</v>
      </c>
      <c r="Z19" s="44">
        <f t="shared" si="6"/>
        <v>17710.081312749036</v>
      </c>
      <c r="AA19" s="50">
        <f t="shared" si="7"/>
        <v>51570.348627617714</v>
      </c>
      <c r="AB19" s="51">
        <f t="shared" si="8"/>
        <v>16556.119765120158</v>
      </c>
      <c r="AC19" s="44">
        <f t="shared" si="8"/>
        <v>48210.104354134535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0.7278724357900942</v>
      </c>
      <c r="AG19" s="44">
        <f t="shared" si="10"/>
        <v>93428.25011314491</v>
      </c>
      <c r="AH19" s="52">
        <f>HLOOKUP(I19,ElecAvoidedCostsWOCC!$A$5:$Q$50,T19+1,FALSE)</f>
        <v>0.7278724357900942</v>
      </c>
      <c r="AI19" s="44">
        <f t="shared" si="11"/>
        <v>0</v>
      </c>
      <c r="AJ19" s="44">
        <f t="shared" si="12"/>
        <v>93428.25011314491</v>
      </c>
      <c r="AK19" s="44">
        <f>HLOOKUP(I19,ElecAvoidedCostsWOCC!$A$5:$Q$50,G19+1,FALSE)*J19*L19</f>
        <v>0</v>
      </c>
      <c r="AL19" s="44">
        <f t="shared" si="13"/>
        <v>93428.25011314491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93428.25011314491</v>
      </c>
      <c r="AN19" s="48">
        <f t="shared" si="14"/>
        <v>102771.07512445941</v>
      </c>
      <c r="AO19" s="47">
        <f t="shared" si="15"/>
        <v>5.6431248045194868</v>
      </c>
      <c r="AP19" s="47">
        <f t="shared" si="16"/>
        <v>2.1317330983052662</v>
      </c>
      <c r="AQ19">
        <v>2021</v>
      </c>
    </row>
    <row r="20" spans="1:43" ht="13.5" customHeight="1">
      <c r="A20" s="59">
        <f>A8+SUM(Q5:Q906)</f>
        <v>3757802.68</v>
      </c>
      <c r="B20" s="97" t="s">
        <v>70</v>
      </c>
      <c r="C20" s="98">
        <v>18230714</v>
      </c>
      <c r="D20" s="61" t="s">
        <v>128</v>
      </c>
      <c r="E20" s="38" t="s">
        <v>1109</v>
      </c>
      <c r="F20" s="39" t="s">
        <v>1110</v>
      </c>
      <c r="G20" s="39">
        <v>12</v>
      </c>
      <c r="H20" s="39"/>
      <c r="I20" s="40" t="s">
        <v>257</v>
      </c>
      <c r="J20" s="41">
        <v>4511</v>
      </c>
      <c r="K20" s="41">
        <v>70.599999999999994</v>
      </c>
      <c r="L20" s="41"/>
      <c r="M20" s="42">
        <v>4</v>
      </c>
      <c r="N20" s="42">
        <v>20</v>
      </c>
      <c r="O20" s="43">
        <v>318476.59999999998</v>
      </c>
      <c r="P20" s="44">
        <v>18044</v>
      </c>
      <c r="Q20" s="44">
        <v>90220</v>
      </c>
      <c r="R20" s="45">
        <v>0</v>
      </c>
      <c r="S20" s="46">
        <v>0</v>
      </c>
      <c r="T20" s="39">
        <f t="shared" si="0"/>
        <v>12</v>
      </c>
      <c r="U20" s="47">
        <f t="shared" si="1"/>
        <v>0.17398361904450069</v>
      </c>
      <c r="V20" s="48">
        <f t="shared" si="2"/>
        <v>16</v>
      </c>
      <c r="W20" s="49">
        <f t="shared" si="3"/>
        <v>1.4498634920375057E-2</v>
      </c>
      <c r="X20" s="44">
        <f t="shared" si="4"/>
        <v>9999.9355532055324</v>
      </c>
      <c r="Y20" s="44">
        <f t="shared" si="5"/>
        <v>72176</v>
      </c>
      <c r="Z20" s="44">
        <f t="shared" si="6"/>
        <v>43941.526684802266</v>
      </c>
      <c r="AA20" s="50">
        <f t="shared" si="7"/>
        <v>100219.93555320553</v>
      </c>
      <c r="AB20" s="51">
        <f t="shared" si="8"/>
        <v>41078.364667478978</v>
      </c>
      <c r="AC20" s="44">
        <f t="shared" si="8"/>
        <v>93689.759328041066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0.86650348716649883</v>
      </c>
      <c r="AG20" s="44">
        <f t="shared" si="10"/>
        <v>275961.08448093012</v>
      </c>
      <c r="AH20" s="52">
        <f>HLOOKUP(I20,ElecAvoidedCostsWOCC!$A$5:$Q$50,T20+1,FALSE)</f>
        <v>0.86650348716649883</v>
      </c>
      <c r="AI20" s="44">
        <f t="shared" si="11"/>
        <v>0</v>
      </c>
      <c r="AJ20" s="44">
        <f t="shared" si="12"/>
        <v>275961.08448093012</v>
      </c>
      <c r="AK20" s="44">
        <f>HLOOKUP(I20,ElecAvoidedCostsWOCC!$A$5:$Q$50,G20+1,FALSE)*J20*L20</f>
        <v>0</v>
      </c>
      <c r="AL20" s="44">
        <f t="shared" si="13"/>
        <v>275961.08448093012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275961.08448093012</v>
      </c>
      <c r="AN20" s="48">
        <f t="shared" si="14"/>
        <v>303557.19292902318</v>
      </c>
      <c r="AO20" s="47">
        <f t="shared" si="15"/>
        <v>6.7179179773776063</v>
      </c>
      <c r="AP20" s="47">
        <f t="shared" si="16"/>
        <v>3.2400253251389173</v>
      </c>
      <c r="AQ20">
        <v>2021</v>
      </c>
    </row>
    <row r="21" spans="1:43" ht="13.5" customHeight="1">
      <c r="A21" s="58" t="s">
        <v>245</v>
      </c>
      <c r="B21" s="97" t="s">
        <v>70</v>
      </c>
      <c r="C21" s="98">
        <v>18230714</v>
      </c>
      <c r="D21" s="61" t="s">
        <v>128</v>
      </c>
      <c r="E21" s="38" t="s">
        <v>1111</v>
      </c>
      <c r="F21" s="39" t="s">
        <v>1112</v>
      </c>
      <c r="G21" s="39">
        <v>15</v>
      </c>
      <c r="H21" s="39"/>
      <c r="I21" s="40" t="s">
        <v>257</v>
      </c>
      <c r="J21" s="41">
        <v>17</v>
      </c>
      <c r="K21" s="41">
        <v>202</v>
      </c>
      <c r="L21" s="41"/>
      <c r="M21" s="42">
        <v>40</v>
      </c>
      <c r="N21" s="42">
        <v>255</v>
      </c>
      <c r="O21" s="43">
        <v>3434</v>
      </c>
      <c r="P21" s="44">
        <v>680</v>
      </c>
      <c r="Q21" s="44">
        <v>4335</v>
      </c>
      <c r="R21" s="45">
        <v>0</v>
      </c>
      <c r="S21" s="46">
        <v>0</v>
      </c>
      <c r="T21" s="39">
        <f t="shared" si="0"/>
        <v>15</v>
      </c>
      <c r="U21" s="47">
        <f t="shared" si="1"/>
        <v>2.3449907614830076E-3</v>
      </c>
      <c r="V21" s="48">
        <f t="shared" si="2"/>
        <v>215</v>
      </c>
      <c r="W21" s="49">
        <f t="shared" si="3"/>
        <v>1.563327174322005E-4</v>
      </c>
      <c r="X21" s="44">
        <f t="shared" si="4"/>
        <v>107.82512338334369</v>
      </c>
      <c r="Y21" s="44">
        <f t="shared" si="5"/>
        <v>3655</v>
      </c>
      <c r="Z21" s="44">
        <f t="shared" si="6"/>
        <v>473.80310715327585</v>
      </c>
      <c r="AA21" s="50">
        <f t="shared" si="7"/>
        <v>4442.8251233833435</v>
      </c>
      <c r="AB21" s="51">
        <f t="shared" ref="AB21:AC24" si="18">Z21/(1+ElecDiscountRate)^1</f>
        <v>442.93082841289691</v>
      </c>
      <c r="AC21" s="44">
        <f t="shared" si="18"/>
        <v>4153.3374996572338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1.0545904948077327</v>
      </c>
      <c r="AG21" s="44">
        <f t="shared" si="10"/>
        <v>3621.4637591697542</v>
      </c>
      <c r="AH21" s="52">
        <f>HLOOKUP(I21,ElecAvoidedCostsWOCC!$A$5:$Q$50,T21+1,FALSE)</f>
        <v>1.0545904948077327</v>
      </c>
      <c r="AI21" s="44">
        <f t="shared" si="11"/>
        <v>0</v>
      </c>
      <c r="AJ21" s="44">
        <f t="shared" si="12"/>
        <v>3621.4637591697542</v>
      </c>
      <c r="AK21" s="44">
        <f>HLOOKUP(I21,ElecAvoidedCostsWOCC!$A$5:$Q$50,G21+1,FALSE)*J21*L21</f>
        <v>0</v>
      </c>
      <c r="AL21" s="44">
        <f t="shared" si="13"/>
        <v>3621.4637591697542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3621.4637591697542</v>
      </c>
      <c r="AN21" s="48">
        <f t="shared" si="14"/>
        <v>3983.6101350867298</v>
      </c>
      <c r="AO21" s="47">
        <f t="shared" si="15"/>
        <v>8.1761384100224603</v>
      </c>
      <c r="AP21" s="47">
        <f t="shared" si="16"/>
        <v>0.95913470441915416</v>
      </c>
      <c r="AQ21">
        <v>2021</v>
      </c>
    </row>
    <row r="22" spans="1:43" ht="13.5" customHeight="1">
      <c r="A22" s="60">
        <f>(SUM(AM5:AM110)/(SUM(AB5:AB110)))</f>
        <v>6.5215907687770969</v>
      </c>
      <c r="B22" s="97" t="s">
        <v>70</v>
      </c>
      <c r="C22" s="98">
        <v>18230714</v>
      </c>
      <c r="D22" s="61" t="s">
        <v>128</v>
      </c>
      <c r="E22" s="38" t="s">
        <v>1113</v>
      </c>
      <c r="F22" s="39" t="s">
        <v>1114</v>
      </c>
      <c r="G22" s="39">
        <v>15</v>
      </c>
      <c r="H22" s="39"/>
      <c r="I22" s="40" t="s">
        <v>257</v>
      </c>
      <c r="J22" s="41">
        <v>291</v>
      </c>
      <c r="K22" s="41">
        <v>252</v>
      </c>
      <c r="L22" s="41"/>
      <c r="M22" s="42">
        <v>50</v>
      </c>
      <c r="N22" s="42">
        <v>329</v>
      </c>
      <c r="O22" s="43">
        <v>73332</v>
      </c>
      <c r="P22" s="44">
        <v>14240</v>
      </c>
      <c r="Q22" s="44">
        <v>95739</v>
      </c>
      <c r="R22" s="45">
        <v>0</v>
      </c>
      <c r="S22" s="46">
        <v>0</v>
      </c>
      <c r="T22" s="39">
        <f t="shared" si="0"/>
        <v>15</v>
      </c>
      <c r="U22" s="47">
        <f t="shared" si="1"/>
        <v>5.0076547035839233E-2</v>
      </c>
      <c r="V22" s="48">
        <f t="shared" si="2"/>
        <v>279</v>
      </c>
      <c r="W22" s="49">
        <f t="shared" si="3"/>
        <v>3.3384364690559488E-3</v>
      </c>
      <c r="X22" s="44">
        <f t="shared" si="4"/>
        <v>2302.5719126229938</v>
      </c>
      <c r="Y22" s="44">
        <f t="shared" si="5"/>
        <v>81499</v>
      </c>
      <c r="Z22" s="44">
        <f t="shared" si="6"/>
        <v>10117.917720956328</v>
      </c>
      <c r="AA22" s="50">
        <f t="shared" si="7"/>
        <v>98041.571912622996</v>
      </c>
      <c r="AB22" s="51">
        <f t="shared" si="18"/>
        <v>9458.6498279483276</v>
      </c>
      <c r="AC22" s="44">
        <f t="shared" si="18"/>
        <v>91653.334498105061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1.0545904948077327</v>
      </c>
      <c r="AG22" s="44">
        <f t="shared" si="10"/>
        <v>77335.23016524066</v>
      </c>
      <c r="AH22" s="52">
        <f>HLOOKUP(I22,ElecAvoidedCostsWOCC!$A$5:$Q$50,T22+1,FALSE)</f>
        <v>1.0545904948077327</v>
      </c>
      <c r="AI22" s="44">
        <f t="shared" si="11"/>
        <v>0</v>
      </c>
      <c r="AJ22" s="44">
        <f t="shared" si="12"/>
        <v>77335.23016524066</v>
      </c>
      <c r="AK22" s="44">
        <f>HLOOKUP(I22,ElecAvoidedCostsWOCC!$A$5:$Q$50,G22+1,FALSE)*J22*L22</f>
        <v>0</v>
      </c>
      <c r="AL22" s="44">
        <f t="shared" si="13"/>
        <v>77335.23016524066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77335.23016524066</v>
      </c>
      <c r="AN22" s="48">
        <f t="shared" si="14"/>
        <v>85068.75318176474</v>
      </c>
      <c r="AO22" s="47">
        <f t="shared" si="15"/>
        <v>8.1761384100224603</v>
      </c>
      <c r="AP22" s="47">
        <f t="shared" si="16"/>
        <v>0.92815775495351505</v>
      </c>
      <c r="AQ22">
        <v>2021</v>
      </c>
    </row>
    <row r="23" spans="1:43" ht="13.5" customHeight="1">
      <c r="A23" s="58" t="s">
        <v>246</v>
      </c>
      <c r="B23" s="97" t="s">
        <v>70</v>
      </c>
      <c r="C23" s="98">
        <v>18230714</v>
      </c>
      <c r="D23" s="61" t="s">
        <v>128</v>
      </c>
      <c r="E23" s="38" t="s">
        <v>1115</v>
      </c>
      <c r="F23" s="39" t="s">
        <v>1116</v>
      </c>
      <c r="G23" s="39">
        <v>15</v>
      </c>
      <c r="H23" s="39"/>
      <c r="I23" s="40" t="s">
        <v>257</v>
      </c>
      <c r="J23" s="41">
        <v>54</v>
      </c>
      <c r="K23" s="41">
        <v>352</v>
      </c>
      <c r="L23" s="41"/>
      <c r="M23" s="42">
        <v>70</v>
      </c>
      <c r="N23" s="42">
        <v>365</v>
      </c>
      <c r="O23" s="43">
        <v>19008</v>
      </c>
      <c r="P23" s="44">
        <v>3780</v>
      </c>
      <c r="Q23" s="44">
        <v>19710</v>
      </c>
      <c r="R23" s="45">
        <v>0</v>
      </c>
      <c r="S23" s="46">
        <v>0</v>
      </c>
      <c r="T23" s="39">
        <f t="shared" si="0"/>
        <v>15</v>
      </c>
      <c r="U23" s="47">
        <f t="shared" si="1"/>
        <v>1.2980076993089404E-2</v>
      </c>
      <c r="V23" s="48">
        <f t="shared" si="2"/>
        <v>295</v>
      </c>
      <c r="W23" s="49">
        <f t="shared" si="3"/>
        <v>8.6533846620596023E-4</v>
      </c>
      <c r="X23" s="44">
        <f t="shared" si="4"/>
        <v>596.83749134263167</v>
      </c>
      <c r="Y23" s="44">
        <f t="shared" si="5"/>
        <v>15930</v>
      </c>
      <c r="Z23" s="44">
        <f t="shared" si="6"/>
        <v>2622.6119571256459</v>
      </c>
      <c r="AA23" s="50">
        <f t="shared" si="7"/>
        <v>20306.837491342631</v>
      </c>
      <c r="AB23" s="51">
        <f t="shared" si="18"/>
        <v>2451.7266122517021</v>
      </c>
      <c r="AC23" s="44">
        <f t="shared" si="18"/>
        <v>18983.675321438375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1.0545904948077327</v>
      </c>
      <c r="AG23" s="44">
        <f t="shared" si="10"/>
        <v>20045.656125305384</v>
      </c>
      <c r="AH23" s="52">
        <f>HLOOKUP(I23,ElecAvoidedCostsWOCC!$A$5:$Q$50,T23+1,FALSE)</f>
        <v>1.0545904948077327</v>
      </c>
      <c r="AI23" s="44">
        <f t="shared" si="11"/>
        <v>0</v>
      </c>
      <c r="AJ23" s="44">
        <f t="shared" si="12"/>
        <v>20045.656125305384</v>
      </c>
      <c r="AK23" s="44">
        <f>HLOOKUP(I23,ElecAvoidedCostsWOCC!$A$5:$Q$50,G23+1,FALSE)*J23*L23</f>
        <v>0</v>
      </c>
      <c r="AL23" s="44">
        <f t="shared" si="13"/>
        <v>20045.656125305384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20045.656125305381</v>
      </c>
      <c r="AN23" s="48">
        <f t="shared" si="14"/>
        <v>22050.22173783592</v>
      </c>
      <c r="AO23" s="47">
        <f t="shared" si="15"/>
        <v>8.1761384100224586</v>
      </c>
      <c r="AP23" s="47">
        <f t="shared" si="16"/>
        <v>1.1615359704837807</v>
      </c>
      <c r="AQ23">
        <v>2021</v>
      </c>
    </row>
    <row r="24" spans="1:43" ht="13.5" customHeight="1">
      <c r="A24" s="60">
        <f>(SUM(AN5:AN110)/SUM(AC5:AC110))</f>
        <v>5.7857582599096329</v>
      </c>
      <c r="B24" s="97" t="s">
        <v>70</v>
      </c>
      <c r="C24" s="98">
        <v>18230714</v>
      </c>
      <c r="D24" s="61" t="s">
        <v>128</v>
      </c>
      <c r="E24" s="38" t="s">
        <v>1117</v>
      </c>
      <c r="F24" s="39" t="s">
        <v>1118</v>
      </c>
      <c r="G24" s="39">
        <v>15</v>
      </c>
      <c r="H24" s="39"/>
      <c r="I24" s="40" t="s">
        <v>257</v>
      </c>
      <c r="J24" s="41">
        <v>122</v>
      </c>
      <c r="K24" s="41">
        <v>533</v>
      </c>
      <c r="L24" s="41"/>
      <c r="M24" s="42">
        <v>110</v>
      </c>
      <c r="N24" s="42">
        <v>388</v>
      </c>
      <c r="O24" s="43">
        <v>65026</v>
      </c>
      <c r="P24" s="44">
        <v>13172.29</v>
      </c>
      <c r="Q24" s="44">
        <v>47336</v>
      </c>
      <c r="R24" s="45">
        <v>0</v>
      </c>
      <c r="S24" s="46">
        <v>0</v>
      </c>
      <c r="T24" s="39">
        <f t="shared" si="0"/>
        <v>15</v>
      </c>
      <c r="U24" s="47">
        <f t="shared" si="1"/>
        <v>4.4404592095571939E-2</v>
      </c>
      <c r="V24" s="48">
        <f t="shared" si="2"/>
        <v>278</v>
      </c>
      <c r="W24" s="49">
        <f t="shared" si="3"/>
        <v>2.9603061397047961E-3</v>
      </c>
      <c r="X24" s="44">
        <f t="shared" si="4"/>
        <v>2041.769502948546</v>
      </c>
      <c r="Y24" s="44">
        <f t="shared" si="5"/>
        <v>34163.71</v>
      </c>
      <c r="Z24" s="44">
        <f t="shared" si="6"/>
        <v>8971.9047308529171</v>
      </c>
      <c r="AA24" s="50">
        <f t="shared" si="7"/>
        <v>49377.769502948548</v>
      </c>
      <c r="AB24" s="51">
        <f t="shared" si="18"/>
        <v>8387.3092744254609</v>
      </c>
      <c r="AC24" s="44">
        <f t="shared" si="18"/>
        <v>46160.390299101193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1.0545904948077327</v>
      </c>
      <c r="AG24" s="44">
        <f t="shared" si="10"/>
        <v>68575.801515367639</v>
      </c>
      <c r="AH24" s="52">
        <f>HLOOKUP(I24,ElecAvoidedCostsWOCC!$A$5:$Q$50,T24+1,FALSE)</f>
        <v>1.0545904948077327</v>
      </c>
      <c r="AI24" s="44">
        <f t="shared" si="11"/>
        <v>0</v>
      </c>
      <c r="AJ24" s="44">
        <f t="shared" si="12"/>
        <v>68575.801515367639</v>
      </c>
      <c r="AK24" s="44">
        <f>HLOOKUP(I24,ElecAvoidedCostsWOCC!$A$5:$Q$50,G24+1,FALSE)*J24*L24</f>
        <v>0</v>
      </c>
      <c r="AL24" s="44">
        <f t="shared" si="13"/>
        <v>68575.801515367639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68575.801515367624</v>
      </c>
      <c r="AN24" s="48">
        <f t="shared" si="14"/>
        <v>75433.381666904388</v>
      </c>
      <c r="AO24" s="47">
        <f t="shared" si="15"/>
        <v>8.1761384100224603</v>
      </c>
      <c r="AP24" s="47">
        <f t="shared" si="16"/>
        <v>1.6341582291251378</v>
      </c>
      <c r="AQ24">
        <v>2021</v>
      </c>
    </row>
    <row r="25" spans="1:43" ht="13.5" customHeight="1">
      <c r="B25" s="97" t="s">
        <v>70</v>
      </c>
      <c r="C25" s="98">
        <v>18230714</v>
      </c>
      <c r="D25" s="61" t="s">
        <v>128</v>
      </c>
      <c r="E25" s="38" t="s">
        <v>1119</v>
      </c>
      <c r="F25" s="39" t="s">
        <v>1120</v>
      </c>
      <c r="G25" s="39">
        <v>15</v>
      </c>
      <c r="H25" s="39"/>
      <c r="I25" s="40" t="s">
        <v>257</v>
      </c>
      <c r="J25" s="41">
        <v>413</v>
      </c>
      <c r="K25" s="41">
        <v>857</v>
      </c>
      <c r="L25" s="41"/>
      <c r="M25" s="42">
        <v>175</v>
      </c>
      <c r="N25" s="42">
        <v>516</v>
      </c>
      <c r="O25" s="43">
        <v>353941</v>
      </c>
      <c r="P25" s="44">
        <v>69307.259999999995</v>
      </c>
      <c r="Q25" s="44">
        <v>213108</v>
      </c>
      <c r="R25" s="45">
        <v>0</v>
      </c>
      <c r="S25" s="46">
        <v>0</v>
      </c>
      <c r="T25" s="39">
        <f t="shared" ref="T25:T48" si="19">G25+H25</f>
        <v>15</v>
      </c>
      <c r="U25" s="47">
        <f t="shared" ref="U25:U48" si="20">(O25/$A$10)*T25</f>
        <v>0.24169725541935272</v>
      </c>
      <c r="V25" s="48">
        <f t="shared" ref="V25:V48" si="21">N25-M25</f>
        <v>341</v>
      </c>
      <c r="W25" s="49">
        <f t="shared" ref="W25:W48" si="22">(O25/A$10)</f>
        <v>1.6113150361290181E-2</v>
      </c>
      <c r="X25" s="44">
        <f t="shared" ref="X25:X48" si="23">W25*A$8</f>
        <v>11113.492136116498</v>
      </c>
      <c r="Y25" s="44">
        <f t="shared" ref="Y25:Y48" si="24">Q25-P25</f>
        <v>143800.74</v>
      </c>
      <c r="Z25" s="44">
        <f t="shared" ref="Z25:Z48" si="25">X25+(A$6*W25)</f>
        <v>48834.695850010954</v>
      </c>
      <c r="AA25" s="50">
        <f t="shared" ref="AA25:AA48" si="26">Q25+X25</f>
        <v>224221.49213611649</v>
      </c>
      <c r="AB25" s="51">
        <f t="shared" ref="AB25:AB48" si="27">Z25/(1+ElecDiscountRate)^1</f>
        <v>45652.702486688744</v>
      </c>
      <c r="AC25" s="44">
        <f t="shared" ref="AC25:AC48" si="28">AA25/(1+ElecDiscountRate)^1</f>
        <v>209611.56598683412</v>
      </c>
      <c r="AD25" s="44">
        <f t="shared" ref="AD25:AD48" si="29">-PV(ElecDiscountRate,T25,R25)*J25</f>
        <v>0</v>
      </c>
      <c r="AE25" s="44">
        <f t="shared" ref="AE25:AE48" si="30">-PV(ElecDiscountRate,T25,S25)*J25</f>
        <v>0</v>
      </c>
      <c r="AF25" s="52">
        <f>HLOOKUP(I25,ElecAvoidedCostsWOCC!$A$5:$Q$50,G25+1,FALSE)</f>
        <v>1.0545904948077327</v>
      </c>
      <c r="AG25" s="44">
        <f t="shared" ref="AG25:AG48" si="31">AF25*J25*K25</f>
        <v>373262.81432274368</v>
      </c>
      <c r="AH25" s="52">
        <f>HLOOKUP(I25,ElecAvoidedCostsWOCC!$A$5:$Q$50,T25+1,FALSE)</f>
        <v>1.0545904948077327</v>
      </c>
      <c r="AI25" s="44">
        <f t="shared" ref="AI25:AI48" si="32">AH25*J25*L25</f>
        <v>0</v>
      </c>
      <c r="AJ25" s="44">
        <f t="shared" ref="AJ25:AJ48" si="33">AG25+AI25</f>
        <v>373262.81432274368</v>
      </c>
      <c r="AK25" s="44">
        <f>HLOOKUP(I25,ElecAvoidedCostsWOCC!$A$5:$Q$50,G25+1,FALSE)*J25*L25</f>
        <v>0</v>
      </c>
      <c r="AL25" s="44">
        <f t="shared" ref="AL25:AL48" si="34">AG25+AI25-AK25</f>
        <v>373262.81432274368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373262.81432274374</v>
      </c>
      <c r="AN25" s="48">
        <f t="shared" ref="AN25:AN48" si="35">AM25*1.1+AD25+AE25</f>
        <v>410589.09575501812</v>
      </c>
      <c r="AO25" s="47">
        <f t="shared" ref="AO25:AO48" si="36">IFERROR(AM25/AB25,0)</f>
        <v>8.1761384100224603</v>
      </c>
      <c r="AP25" s="47">
        <f t="shared" ref="AP25:AP48" si="37">AN25/AC25</f>
        <v>1.9588093520603131</v>
      </c>
      <c r="AQ25">
        <v>2021</v>
      </c>
    </row>
    <row r="26" spans="1:43" ht="13.5" customHeight="1">
      <c r="B26" s="97" t="s">
        <v>70</v>
      </c>
      <c r="C26" s="98">
        <v>18230714</v>
      </c>
      <c r="D26" s="61" t="s">
        <v>128</v>
      </c>
      <c r="E26" s="38" t="s">
        <v>1121</v>
      </c>
      <c r="F26" s="39" t="s">
        <v>1122</v>
      </c>
      <c r="G26" s="39">
        <v>15</v>
      </c>
      <c r="H26" s="39"/>
      <c r="I26" s="40" t="s">
        <v>257</v>
      </c>
      <c r="J26" s="41">
        <v>40</v>
      </c>
      <c r="K26" s="41">
        <v>1042</v>
      </c>
      <c r="L26" s="41"/>
      <c r="M26" s="42">
        <v>210</v>
      </c>
      <c r="N26" s="42">
        <v>471</v>
      </c>
      <c r="O26" s="43">
        <v>41680</v>
      </c>
      <c r="P26" s="44">
        <v>8400</v>
      </c>
      <c r="Q26" s="44">
        <v>18840</v>
      </c>
      <c r="R26" s="45">
        <v>0</v>
      </c>
      <c r="S26" s="46">
        <v>0</v>
      </c>
      <c r="T26" s="39">
        <f t="shared" si="19"/>
        <v>15</v>
      </c>
      <c r="U26" s="47">
        <f t="shared" si="20"/>
        <v>2.8462205864476342E-2</v>
      </c>
      <c r="V26" s="48">
        <f t="shared" si="21"/>
        <v>261</v>
      </c>
      <c r="W26" s="49">
        <f t="shared" si="22"/>
        <v>1.8974803909650895E-3</v>
      </c>
      <c r="X26" s="44">
        <f t="shared" si="23"/>
        <v>1308.7219401915449</v>
      </c>
      <c r="Y26" s="44">
        <f t="shared" si="24"/>
        <v>10440</v>
      </c>
      <c r="Z26" s="44">
        <f t="shared" si="25"/>
        <v>5750.7610676029526</v>
      </c>
      <c r="AA26" s="50">
        <f t="shared" si="26"/>
        <v>20148.721940191546</v>
      </c>
      <c r="AB26" s="51">
        <f t="shared" si="27"/>
        <v>5376.0503576731344</v>
      </c>
      <c r="AC26" s="44">
        <f t="shared" si="28"/>
        <v>18835.862335413243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1.0545904948077327</v>
      </c>
      <c r="AG26" s="44">
        <f t="shared" si="31"/>
        <v>43955.331823586297</v>
      </c>
      <c r="AH26" s="52">
        <f>HLOOKUP(I26,ElecAvoidedCostsWOCC!$A$5:$Q$50,T26+1,FALSE)</f>
        <v>1.0545904948077327</v>
      </c>
      <c r="AI26" s="44">
        <f t="shared" si="32"/>
        <v>0</v>
      </c>
      <c r="AJ26" s="44">
        <f t="shared" si="33"/>
        <v>43955.331823586297</v>
      </c>
      <c r="AK26" s="44">
        <f>HLOOKUP(I26,ElecAvoidedCostsWOCC!$A$5:$Q$50,G26+1,FALSE)*J26*L26</f>
        <v>0</v>
      </c>
      <c r="AL26" s="44">
        <f t="shared" si="34"/>
        <v>43955.331823586297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43955.331823586304</v>
      </c>
      <c r="AN26" s="48">
        <f t="shared" si="35"/>
        <v>48350.865005944936</v>
      </c>
      <c r="AO26" s="47">
        <f t="shared" si="36"/>
        <v>8.1761384100224603</v>
      </c>
      <c r="AP26" s="47">
        <f t="shared" si="37"/>
        <v>2.5669578671235365</v>
      </c>
      <c r="AQ26">
        <v>2021</v>
      </c>
    </row>
    <row r="27" spans="1:43" ht="13.5" customHeight="1">
      <c r="B27" s="97" t="s">
        <v>70</v>
      </c>
      <c r="C27" s="98">
        <v>18230714</v>
      </c>
      <c r="D27" s="61" t="s">
        <v>128</v>
      </c>
      <c r="E27" s="38" t="s">
        <v>1123</v>
      </c>
      <c r="F27" s="39" t="s">
        <v>1124</v>
      </c>
      <c r="G27" s="39">
        <v>15</v>
      </c>
      <c r="H27" s="39"/>
      <c r="I27" s="40" t="s">
        <v>257</v>
      </c>
      <c r="J27" s="41">
        <v>265</v>
      </c>
      <c r="K27" s="41">
        <v>1230</v>
      </c>
      <c r="L27" s="41"/>
      <c r="M27" s="42">
        <v>250</v>
      </c>
      <c r="N27" s="42">
        <v>677</v>
      </c>
      <c r="O27" s="43">
        <v>325950</v>
      </c>
      <c r="P27" s="44">
        <v>65820</v>
      </c>
      <c r="Q27" s="44">
        <v>179405</v>
      </c>
      <c r="R27" s="45">
        <v>0</v>
      </c>
      <c r="S27" s="46">
        <v>0</v>
      </c>
      <c r="T27" s="39">
        <f t="shared" si="19"/>
        <v>15</v>
      </c>
      <c r="U27" s="47">
        <f t="shared" si="20"/>
        <v>0.22258291750302456</v>
      </c>
      <c r="V27" s="48">
        <f t="shared" si="21"/>
        <v>427</v>
      </c>
      <c r="W27" s="49">
        <f t="shared" si="22"/>
        <v>1.4838861166868304E-2</v>
      </c>
      <c r="X27" s="44">
        <f t="shared" si="23"/>
        <v>10234.594923354945</v>
      </c>
      <c r="Y27" s="44">
        <f t="shared" si="24"/>
        <v>113585</v>
      </c>
      <c r="Z27" s="44">
        <f t="shared" si="25"/>
        <v>44972.662427667521</v>
      </c>
      <c r="AA27" s="50">
        <f t="shared" si="26"/>
        <v>189639.59492335495</v>
      </c>
      <c r="AB27" s="51">
        <f t="shared" si="27"/>
        <v>42042.313197782103</v>
      </c>
      <c r="AC27" s="44">
        <f t="shared" si="28"/>
        <v>177282.97178961852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1.0545904948077327</v>
      </c>
      <c r="AG27" s="44">
        <f t="shared" si="31"/>
        <v>343743.77178258047</v>
      </c>
      <c r="AH27" s="52">
        <f>HLOOKUP(I27,ElecAvoidedCostsWOCC!$A$5:$Q$50,T27+1,FALSE)</f>
        <v>1.0545904948077327</v>
      </c>
      <c r="AI27" s="44">
        <f t="shared" si="32"/>
        <v>0</v>
      </c>
      <c r="AJ27" s="44">
        <f t="shared" si="33"/>
        <v>343743.77178258047</v>
      </c>
      <c r="AK27" s="44">
        <f>HLOOKUP(I27,ElecAvoidedCostsWOCC!$A$5:$Q$50,G27+1,FALSE)*J27*L27</f>
        <v>0</v>
      </c>
      <c r="AL27" s="44">
        <f t="shared" si="34"/>
        <v>343743.77178258047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343743.77178258053</v>
      </c>
      <c r="AN27" s="48">
        <f t="shared" si="35"/>
        <v>378118.14896083862</v>
      </c>
      <c r="AO27" s="47">
        <f t="shared" si="36"/>
        <v>8.1761384100224621</v>
      </c>
      <c r="AP27" s="47">
        <f t="shared" si="37"/>
        <v>2.1328509170612899</v>
      </c>
      <c r="AQ27">
        <v>2021</v>
      </c>
    </row>
    <row r="28" spans="1:43" ht="13.5" customHeight="1">
      <c r="B28" s="97" t="s">
        <v>70</v>
      </c>
      <c r="C28" s="98">
        <v>18230714</v>
      </c>
      <c r="D28" s="61" t="s">
        <v>128</v>
      </c>
      <c r="E28" s="38" t="s">
        <v>1125</v>
      </c>
      <c r="F28" s="39" t="s">
        <v>1126</v>
      </c>
      <c r="G28" s="39">
        <v>15</v>
      </c>
      <c r="H28" s="39"/>
      <c r="I28" s="40" t="s">
        <v>257</v>
      </c>
      <c r="J28" s="41">
        <v>354</v>
      </c>
      <c r="K28" s="41">
        <v>3204</v>
      </c>
      <c r="L28" s="41"/>
      <c r="M28" s="42">
        <v>645</v>
      </c>
      <c r="N28" s="42">
        <v>1203</v>
      </c>
      <c r="O28" s="43">
        <v>1134216</v>
      </c>
      <c r="P28" s="44">
        <v>211874.83</v>
      </c>
      <c r="Q28" s="44">
        <v>425862</v>
      </c>
      <c r="R28" s="45">
        <v>0</v>
      </c>
      <c r="S28" s="46">
        <v>0</v>
      </c>
      <c r="T28" s="39">
        <f t="shared" si="19"/>
        <v>15</v>
      </c>
      <c r="U28" s="47">
        <f t="shared" si="20"/>
        <v>0.77452709421264154</v>
      </c>
      <c r="V28" s="48">
        <f t="shared" si="21"/>
        <v>558</v>
      </c>
      <c r="W28" s="49">
        <f t="shared" si="22"/>
        <v>5.1635139614176102E-2</v>
      </c>
      <c r="X28" s="44">
        <f t="shared" si="23"/>
        <v>35613.564398183626</v>
      </c>
      <c r="Y28" s="44">
        <f t="shared" si="24"/>
        <v>213987.17</v>
      </c>
      <c r="Z28" s="44">
        <f t="shared" si="25"/>
        <v>156492.44757803145</v>
      </c>
      <c r="AA28" s="50">
        <f t="shared" si="26"/>
        <v>461475.5643981836</v>
      </c>
      <c r="AB28" s="51">
        <f t="shared" si="27"/>
        <v>146295.64137424645</v>
      </c>
      <c r="AC28" s="44">
        <f t="shared" si="28"/>
        <v>431406.52930558432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1.0545904948077327</v>
      </c>
      <c r="AG28" s="44">
        <f t="shared" si="31"/>
        <v>1196133.4126588474</v>
      </c>
      <c r="AH28" s="52">
        <f>HLOOKUP(I28,ElecAvoidedCostsWOCC!$A$5:$Q$50,T28+1,FALSE)</f>
        <v>1.0545904948077327</v>
      </c>
      <c r="AI28" s="44">
        <f t="shared" si="32"/>
        <v>0</v>
      </c>
      <c r="AJ28" s="44">
        <f t="shared" si="33"/>
        <v>1196133.4126588474</v>
      </c>
      <c r="AK28" s="44">
        <f>HLOOKUP(I28,ElecAvoidedCostsWOCC!$A$5:$Q$50,G28+1,FALSE)*J28*L28</f>
        <v>0</v>
      </c>
      <c r="AL28" s="44">
        <f t="shared" si="34"/>
        <v>1196133.4126588474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1196133.4126588474</v>
      </c>
      <c r="AN28" s="48">
        <f t="shared" si="35"/>
        <v>1315746.7539247323</v>
      </c>
      <c r="AO28" s="47">
        <f t="shared" si="36"/>
        <v>8.1761384100224603</v>
      </c>
      <c r="AP28" s="47">
        <f t="shared" si="37"/>
        <v>3.0498999540934872</v>
      </c>
      <c r="AQ28">
        <v>2021</v>
      </c>
    </row>
    <row r="29" spans="1:43">
      <c r="B29" s="97" t="s">
        <v>70</v>
      </c>
      <c r="C29" s="98">
        <v>18230714</v>
      </c>
      <c r="D29" s="61" t="s">
        <v>128</v>
      </c>
      <c r="E29" s="38" t="s">
        <v>1127</v>
      </c>
      <c r="F29" s="39" t="s">
        <v>1128</v>
      </c>
      <c r="G29" s="39">
        <v>15</v>
      </c>
      <c r="H29" s="39"/>
      <c r="I29" s="40" t="s">
        <v>257</v>
      </c>
      <c r="J29" s="41">
        <v>160</v>
      </c>
      <c r="K29" s="41">
        <v>234</v>
      </c>
      <c r="L29" s="41"/>
      <c r="M29" s="42">
        <v>20</v>
      </c>
      <c r="N29" s="42">
        <v>98</v>
      </c>
      <c r="O29" s="43">
        <v>37440</v>
      </c>
      <c r="P29" s="44">
        <v>3200</v>
      </c>
      <c r="Q29" s="44">
        <v>15680</v>
      </c>
      <c r="R29" s="45">
        <v>0</v>
      </c>
      <c r="S29" s="46">
        <v>0</v>
      </c>
      <c r="T29" s="39">
        <f t="shared" si="19"/>
        <v>15</v>
      </c>
      <c r="U29" s="47">
        <f t="shared" si="20"/>
        <v>2.5566818319721553E-2</v>
      </c>
      <c r="V29" s="48">
        <f t="shared" si="21"/>
        <v>78</v>
      </c>
      <c r="W29" s="49">
        <f t="shared" si="22"/>
        <v>1.7044545546481035E-3</v>
      </c>
      <c r="X29" s="44">
        <f t="shared" si="23"/>
        <v>1175.588998099123</v>
      </c>
      <c r="Y29" s="44">
        <f t="shared" si="24"/>
        <v>12480</v>
      </c>
      <c r="Z29" s="44">
        <f t="shared" si="25"/>
        <v>5165.7508246414236</v>
      </c>
      <c r="AA29" s="50">
        <f t="shared" si="26"/>
        <v>16855.588998099123</v>
      </c>
      <c r="AB29" s="51">
        <f t="shared" si="27"/>
        <v>4829.1584786775948</v>
      </c>
      <c r="AC29" s="44">
        <f t="shared" si="28"/>
        <v>15757.304850050596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1.0545904948077327</v>
      </c>
      <c r="AG29" s="44">
        <f t="shared" si="31"/>
        <v>39483.868125601512</v>
      </c>
      <c r="AH29" s="52">
        <f>HLOOKUP(I29,ElecAvoidedCostsWOCC!$A$5:$Q$50,T29+1,FALSE)</f>
        <v>1.0545904948077327</v>
      </c>
      <c r="AI29" s="44">
        <f t="shared" si="32"/>
        <v>0</v>
      </c>
      <c r="AJ29" s="44">
        <f t="shared" si="33"/>
        <v>39483.868125601512</v>
      </c>
      <c r="AK29" s="44">
        <f>HLOOKUP(I29,ElecAvoidedCostsWOCC!$A$5:$Q$50,G29+1,FALSE)*J29*L29</f>
        <v>0</v>
      </c>
      <c r="AL29" s="44">
        <f t="shared" si="34"/>
        <v>39483.868125601512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39483.868125601512</v>
      </c>
      <c r="AN29" s="48">
        <f t="shared" si="35"/>
        <v>43432.254938161663</v>
      </c>
      <c r="AO29" s="47">
        <f t="shared" si="36"/>
        <v>8.1761384100224603</v>
      </c>
      <c r="AP29" s="47">
        <f t="shared" si="37"/>
        <v>2.756325104544906</v>
      </c>
      <c r="AQ29">
        <v>2021</v>
      </c>
    </row>
    <row r="30" spans="1:43">
      <c r="B30" s="97" t="s">
        <v>70</v>
      </c>
      <c r="C30" s="98">
        <v>18230714</v>
      </c>
      <c r="D30" s="61" t="s">
        <v>128</v>
      </c>
      <c r="E30" s="38" t="s">
        <v>1129</v>
      </c>
      <c r="F30" s="39" t="s">
        <v>1130</v>
      </c>
      <c r="G30" s="39">
        <v>15</v>
      </c>
      <c r="H30" s="39"/>
      <c r="I30" s="40" t="s">
        <v>257</v>
      </c>
      <c r="J30" s="41">
        <v>74</v>
      </c>
      <c r="K30" s="41">
        <v>305</v>
      </c>
      <c r="L30" s="41"/>
      <c r="M30" s="42">
        <v>15</v>
      </c>
      <c r="N30" s="42">
        <v>89</v>
      </c>
      <c r="O30" s="43">
        <v>22570</v>
      </c>
      <c r="P30" s="44">
        <v>1110</v>
      </c>
      <c r="Q30" s="44">
        <v>6586</v>
      </c>
      <c r="R30" s="45">
        <v>0</v>
      </c>
      <c r="S30" s="46">
        <v>0</v>
      </c>
      <c r="T30" s="39">
        <f t="shared" si="19"/>
        <v>15</v>
      </c>
      <c r="U30" s="47">
        <f t="shared" si="20"/>
        <v>1.5412475680451801E-2</v>
      </c>
      <c r="V30" s="48">
        <f t="shared" si="21"/>
        <v>74</v>
      </c>
      <c r="W30" s="49">
        <f t="shared" si="22"/>
        <v>1.0274983786967868E-3</v>
      </c>
      <c r="X30" s="44">
        <f t="shared" si="23"/>
        <v>708.68172241178434</v>
      </c>
      <c r="Y30" s="44">
        <f t="shared" si="24"/>
        <v>5476</v>
      </c>
      <c r="Z30" s="44">
        <f t="shared" si="25"/>
        <v>3114.0757508588927</v>
      </c>
      <c r="AA30" s="50">
        <f t="shared" si="26"/>
        <v>7294.681722411784</v>
      </c>
      <c r="AB30" s="51">
        <f t="shared" si="27"/>
        <v>2911.1673841814454</v>
      </c>
      <c r="AC30" s="44">
        <f t="shared" si="28"/>
        <v>6819.3715269811937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1.0545904948077327</v>
      </c>
      <c r="AG30" s="44">
        <f t="shared" si="31"/>
        <v>23802.107467810525</v>
      </c>
      <c r="AH30" s="52">
        <f>HLOOKUP(I30,ElecAvoidedCostsWOCC!$A$5:$Q$50,T30+1,FALSE)</f>
        <v>1.0545904948077327</v>
      </c>
      <c r="AI30" s="44">
        <f t="shared" si="32"/>
        <v>0</v>
      </c>
      <c r="AJ30" s="44">
        <f t="shared" si="33"/>
        <v>23802.107467810525</v>
      </c>
      <c r="AK30" s="44">
        <f>HLOOKUP(I30,ElecAvoidedCostsWOCC!$A$5:$Q$50,G30+1,FALSE)*J30*L30</f>
        <v>0</v>
      </c>
      <c r="AL30" s="44">
        <f t="shared" si="34"/>
        <v>23802.107467810525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23802.107467810529</v>
      </c>
      <c r="AN30" s="48">
        <f t="shared" si="35"/>
        <v>26182.318214591585</v>
      </c>
      <c r="AO30" s="47">
        <f t="shared" si="36"/>
        <v>8.1761384100224603</v>
      </c>
      <c r="AP30" s="47">
        <f t="shared" si="37"/>
        <v>3.8394033982457034</v>
      </c>
      <c r="AQ30">
        <v>2021</v>
      </c>
    </row>
    <row r="31" spans="1:43">
      <c r="B31" s="97" t="s">
        <v>70</v>
      </c>
      <c r="C31" s="98">
        <v>18230714</v>
      </c>
      <c r="D31" s="61" t="s">
        <v>128</v>
      </c>
      <c r="E31" s="38" t="s">
        <v>1131</v>
      </c>
      <c r="F31" s="39" t="s">
        <v>1132</v>
      </c>
      <c r="G31" s="39">
        <v>15</v>
      </c>
      <c r="H31" s="39"/>
      <c r="I31" s="40" t="s">
        <v>257</v>
      </c>
      <c r="J31" s="41">
        <v>448</v>
      </c>
      <c r="K31" s="41">
        <v>107</v>
      </c>
      <c r="L31" s="41"/>
      <c r="M31" s="42">
        <v>30</v>
      </c>
      <c r="N31" s="42">
        <v>66</v>
      </c>
      <c r="O31" s="43">
        <v>47936</v>
      </c>
      <c r="P31" s="44">
        <v>4686.9399999999996</v>
      </c>
      <c r="Q31" s="44">
        <v>29568</v>
      </c>
      <c r="R31" s="45">
        <v>0</v>
      </c>
      <c r="S31" s="46">
        <v>0</v>
      </c>
      <c r="T31" s="39">
        <f t="shared" si="19"/>
        <v>15</v>
      </c>
      <c r="U31" s="47">
        <f t="shared" si="20"/>
        <v>3.2734268241831531E-2</v>
      </c>
      <c r="V31" s="48">
        <f t="shared" si="21"/>
        <v>36</v>
      </c>
      <c r="W31" s="49">
        <f t="shared" si="22"/>
        <v>2.1822845494554352E-3</v>
      </c>
      <c r="X31" s="44">
        <f t="shared" si="23"/>
        <v>1505.1558283354584</v>
      </c>
      <c r="Y31" s="44">
        <f t="shared" si="24"/>
        <v>24881.06</v>
      </c>
      <c r="Z31" s="44">
        <f t="shared" si="25"/>
        <v>6613.9271241990191</v>
      </c>
      <c r="AA31" s="50">
        <f t="shared" si="26"/>
        <v>31073.155828335457</v>
      </c>
      <c r="AB31" s="51">
        <f t="shared" si="27"/>
        <v>6182.9738470590055</v>
      </c>
      <c r="AC31" s="44">
        <f t="shared" si="28"/>
        <v>29048.47698264509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1.0545904948077327</v>
      </c>
      <c r="AG31" s="44">
        <f t="shared" si="31"/>
        <v>50552.849959103478</v>
      </c>
      <c r="AH31" s="52">
        <f>HLOOKUP(I31,ElecAvoidedCostsWOCC!$A$5:$Q$50,T31+1,FALSE)</f>
        <v>1.0545904948077327</v>
      </c>
      <c r="AI31" s="44">
        <f t="shared" si="32"/>
        <v>0</v>
      </c>
      <c r="AJ31" s="44">
        <f t="shared" si="33"/>
        <v>50552.849959103478</v>
      </c>
      <c r="AK31" s="44">
        <f>HLOOKUP(I31,ElecAvoidedCostsWOCC!$A$5:$Q$50,G31+1,FALSE)*J31*L31</f>
        <v>0</v>
      </c>
      <c r="AL31" s="44">
        <f t="shared" si="34"/>
        <v>50552.849959103478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50552.849959103478</v>
      </c>
      <c r="AN31" s="48">
        <f t="shared" si="35"/>
        <v>55608.134955013833</v>
      </c>
      <c r="AO31" s="47">
        <f t="shared" si="36"/>
        <v>8.1761384100224621</v>
      </c>
      <c r="AP31" s="47">
        <f t="shared" si="37"/>
        <v>1.9143218760913598</v>
      </c>
      <c r="AQ31">
        <v>2021</v>
      </c>
    </row>
    <row r="32" spans="1:43">
      <c r="B32" s="97" t="s">
        <v>70</v>
      </c>
      <c r="C32" s="98">
        <v>18230714</v>
      </c>
      <c r="D32" s="61" t="s">
        <v>128</v>
      </c>
      <c r="E32" s="38" t="s">
        <v>1133</v>
      </c>
      <c r="F32" s="39" t="s">
        <v>1134</v>
      </c>
      <c r="G32" s="39">
        <v>15</v>
      </c>
      <c r="H32" s="39"/>
      <c r="I32" s="40" t="s">
        <v>257</v>
      </c>
      <c r="J32" s="41">
        <v>2</v>
      </c>
      <c r="K32" s="41">
        <v>60</v>
      </c>
      <c r="L32" s="41"/>
      <c r="M32" s="42">
        <v>30</v>
      </c>
      <c r="N32" s="42">
        <v>45</v>
      </c>
      <c r="O32" s="43">
        <v>120</v>
      </c>
      <c r="P32" s="44">
        <v>60</v>
      </c>
      <c r="Q32" s="44">
        <v>90</v>
      </c>
      <c r="R32" s="45">
        <v>0</v>
      </c>
      <c r="S32" s="46">
        <v>0</v>
      </c>
      <c r="T32" s="39">
        <f t="shared" si="19"/>
        <v>15</v>
      </c>
      <c r="U32" s="47">
        <f t="shared" si="20"/>
        <v>8.1944930511928049E-5</v>
      </c>
      <c r="V32" s="48">
        <f t="shared" si="21"/>
        <v>15</v>
      </c>
      <c r="W32" s="49">
        <f t="shared" si="22"/>
        <v>5.46299536746187E-6</v>
      </c>
      <c r="X32" s="44">
        <f t="shared" si="23"/>
        <v>3.7679134554459068</v>
      </c>
      <c r="Y32" s="44">
        <f t="shared" si="24"/>
        <v>30</v>
      </c>
      <c r="Z32" s="44">
        <f t="shared" si="25"/>
        <v>16.556893668722513</v>
      </c>
      <c r="AA32" s="50">
        <f t="shared" si="26"/>
        <v>93.767913455445907</v>
      </c>
      <c r="AB32" s="51">
        <f t="shared" si="27"/>
        <v>15.478072047043574</v>
      </c>
      <c r="AC32" s="44">
        <f t="shared" si="28"/>
        <v>87.658141025938022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1.0545904948077327</v>
      </c>
      <c r="AG32" s="44">
        <f t="shared" si="31"/>
        <v>126.55085937692792</v>
      </c>
      <c r="AH32" s="52">
        <f>HLOOKUP(I32,ElecAvoidedCostsWOCC!$A$5:$Q$50,T32+1,FALSE)</f>
        <v>1.0545904948077327</v>
      </c>
      <c r="AI32" s="44">
        <f t="shared" si="32"/>
        <v>0</v>
      </c>
      <c r="AJ32" s="44">
        <f t="shared" si="33"/>
        <v>126.55085937692792</v>
      </c>
      <c r="AK32" s="44">
        <f>HLOOKUP(I32,ElecAvoidedCostsWOCC!$A$5:$Q$50,G32+1,FALSE)*J32*L32</f>
        <v>0</v>
      </c>
      <c r="AL32" s="44">
        <f t="shared" si="34"/>
        <v>126.55085937692792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126.55085937692792</v>
      </c>
      <c r="AN32" s="48">
        <f t="shared" si="35"/>
        <v>139.20594531462072</v>
      </c>
      <c r="AO32" s="47">
        <f t="shared" si="36"/>
        <v>8.1761384100224586</v>
      </c>
      <c r="AP32" s="47">
        <f t="shared" si="37"/>
        <v>1.5880549562810111</v>
      </c>
      <c r="AQ32">
        <v>2021</v>
      </c>
    </row>
    <row r="33" spans="2:43">
      <c r="B33" s="97" t="s">
        <v>70</v>
      </c>
      <c r="C33" s="98">
        <v>18230714</v>
      </c>
      <c r="D33" s="61" t="s">
        <v>128</v>
      </c>
      <c r="E33" s="38" t="s">
        <v>1135</v>
      </c>
      <c r="F33" s="39" t="s">
        <v>1136</v>
      </c>
      <c r="G33" s="39">
        <v>15</v>
      </c>
      <c r="H33" s="39"/>
      <c r="I33" s="40" t="s">
        <v>257</v>
      </c>
      <c r="J33" s="41">
        <v>17</v>
      </c>
      <c r="K33" s="41">
        <v>620</v>
      </c>
      <c r="L33" s="41"/>
      <c r="M33" s="42">
        <v>80</v>
      </c>
      <c r="N33" s="42">
        <v>201</v>
      </c>
      <c r="O33" s="43">
        <v>10540</v>
      </c>
      <c r="P33" s="44">
        <v>1360</v>
      </c>
      <c r="Q33" s="44">
        <v>3417</v>
      </c>
      <c r="R33" s="45">
        <v>0</v>
      </c>
      <c r="S33" s="46">
        <v>0</v>
      </c>
      <c r="T33" s="39">
        <f t="shared" si="19"/>
        <v>15</v>
      </c>
      <c r="U33" s="47">
        <f t="shared" si="20"/>
        <v>7.1974963966310139E-3</v>
      </c>
      <c r="V33" s="48">
        <f t="shared" si="21"/>
        <v>121</v>
      </c>
      <c r="W33" s="49">
        <f t="shared" si="22"/>
        <v>4.7983309310873425E-4</v>
      </c>
      <c r="X33" s="44">
        <f t="shared" si="23"/>
        <v>330.94839850333216</v>
      </c>
      <c r="Y33" s="44">
        <f t="shared" si="24"/>
        <v>2057</v>
      </c>
      <c r="Z33" s="44">
        <f t="shared" si="25"/>
        <v>1454.2471605694607</v>
      </c>
      <c r="AA33" s="50">
        <f t="shared" si="26"/>
        <v>3747.9483985033321</v>
      </c>
      <c r="AB33" s="51">
        <f t="shared" si="27"/>
        <v>1359.4906614653273</v>
      </c>
      <c r="AC33" s="44">
        <f t="shared" si="28"/>
        <v>3503.7378690318142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1.0545904948077327</v>
      </c>
      <c r="AG33" s="44">
        <f t="shared" si="31"/>
        <v>11115.383815273502</v>
      </c>
      <c r="AH33" s="52">
        <f>HLOOKUP(I33,ElecAvoidedCostsWOCC!$A$5:$Q$50,T33+1,FALSE)</f>
        <v>1.0545904948077327</v>
      </c>
      <c r="AI33" s="44">
        <f t="shared" si="32"/>
        <v>0</v>
      </c>
      <c r="AJ33" s="44">
        <f t="shared" si="33"/>
        <v>11115.383815273502</v>
      </c>
      <c r="AK33" s="44">
        <f>HLOOKUP(I33,ElecAvoidedCostsWOCC!$A$5:$Q$50,G33+1,FALSE)*J33*L33</f>
        <v>0</v>
      </c>
      <c r="AL33" s="44">
        <f t="shared" si="34"/>
        <v>11115.383815273502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11115.383815273502</v>
      </c>
      <c r="AN33" s="48">
        <f t="shared" si="35"/>
        <v>12226.922196800853</v>
      </c>
      <c r="AO33" s="47">
        <f t="shared" si="36"/>
        <v>8.1761384100224586</v>
      </c>
      <c r="AP33" s="47">
        <f t="shared" si="37"/>
        <v>3.4896794948246259</v>
      </c>
      <c r="AQ33">
        <v>2021</v>
      </c>
    </row>
    <row r="34" spans="2:43">
      <c r="B34" s="97" t="s">
        <v>70</v>
      </c>
      <c r="C34" s="98">
        <v>18230714</v>
      </c>
      <c r="D34" s="61" t="s">
        <v>128</v>
      </c>
      <c r="E34" s="38" t="s">
        <v>1137</v>
      </c>
      <c r="F34" s="39" t="s">
        <v>1138</v>
      </c>
      <c r="G34" s="39">
        <v>15</v>
      </c>
      <c r="H34" s="39"/>
      <c r="I34" s="40" t="s">
        <v>257</v>
      </c>
      <c r="J34" s="41">
        <v>299</v>
      </c>
      <c r="K34" s="41">
        <v>953</v>
      </c>
      <c r="L34" s="41"/>
      <c r="M34" s="42">
        <v>140</v>
      </c>
      <c r="N34" s="42">
        <v>352</v>
      </c>
      <c r="O34" s="43">
        <v>284947</v>
      </c>
      <c r="P34" s="44">
        <v>40183.83</v>
      </c>
      <c r="Q34" s="44">
        <v>105248</v>
      </c>
      <c r="R34" s="45">
        <v>0</v>
      </c>
      <c r="S34" s="46">
        <v>0</v>
      </c>
      <c r="T34" s="39">
        <f t="shared" si="19"/>
        <v>15</v>
      </c>
      <c r="U34" s="47">
        <f t="shared" si="20"/>
        <v>0.19458301762151969</v>
      </c>
      <c r="V34" s="48">
        <f t="shared" si="21"/>
        <v>212</v>
      </c>
      <c r="W34" s="49">
        <f t="shared" si="22"/>
        <v>1.2972201174767979E-2</v>
      </c>
      <c r="X34" s="44">
        <f t="shared" si="23"/>
        <v>8947.1302949078745</v>
      </c>
      <c r="Y34" s="44">
        <f t="shared" si="24"/>
        <v>65064.17</v>
      </c>
      <c r="Z34" s="44">
        <f t="shared" si="25"/>
        <v>39315.309835178952</v>
      </c>
      <c r="AA34" s="50">
        <f t="shared" si="26"/>
        <v>114195.13029490787</v>
      </c>
      <c r="AB34" s="51">
        <f t="shared" si="27"/>
        <v>36753.584963241046</v>
      </c>
      <c r="AC34" s="44">
        <f t="shared" si="28"/>
        <v>106754.35196308111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1.0545904948077327</v>
      </c>
      <c r="AG34" s="44">
        <f t="shared" si="31"/>
        <v>300502.39772397897</v>
      </c>
      <c r="AH34" s="52">
        <f>HLOOKUP(I34,ElecAvoidedCostsWOCC!$A$5:$Q$50,T34+1,FALSE)</f>
        <v>1.0545904948077327</v>
      </c>
      <c r="AI34" s="44">
        <f t="shared" si="32"/>
        <v>0</v>
      </c>
      <c r="AJ34" s="44">
        <f t="shared" si="33"/>
        <v>300502.39772397897</v>
      </c>
      <c r="AK34" s="44">
        <f>HLOOKUP(I34,ElecAvoidedCostsWOCC!$A$5:$Q$50,G34+1,FALSE)*J34*L34</f>
        <v>0</v>
      </c>
      <c r="AL34" s="44">
        <f t="shared" si="34"/>
        <v>300502.39772397897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300502.39772397903</v>
      </c>
      <c r="AN34" s="48">
        <f t="shared" si="35"/>
        <v>330552.63749637693</v>
      </c>
      <c r="AO34" s="47">
        <f t="shared" si="36"/>
        <v>8.1761384100224603</v>
      </c>
      <c r="AP34" s="47">
        <f t="shared" si="37"/>
        <v>3.096385593822836</v>
      </c>
      <c r="AQ34">
        <v>2021</v>
      </c>
    </row>
    <row r="35" spans="2:43">
      <c r="B35" s="97" t="s">
        <v>70</v>
      </c>
      <c r="C35" s="61">
        <v>18230714</v>
      </c>
      <c r="D35" s="61" t="s">
        <v>128</v>
      </c>
      <c r="E35" s="38" t="s">
        <v>1082</v>
      </c>
      <c r="F35" s="39" t="s">
        <v>1083</v>
      </c>
      <c r="G35" s="39">
        <v>12</v>
      </c>
      <c r="H35" s="39"/>
      <c r="I35" s="40" t="s">
        <v>257</v>
      </c>
      <c r="J35" s="41">
        <v>10564</v>
      </c>
      <c r="K35" s="41">
        <v>110</v>
      </c>
      <c r="L35" s="41"/>
      <c r="M35" s="42">
        <v>6</v>
      </c>
      <c r="N35" s="42">
        <v>6</v>
      </c>
      <c r="O35" s="43">
        <v>1162040</v>
      </c>
      <c r="P35" s="44">
        <v>57944.83</v>
      </c>
      <c r="Q35" s="44">
        <v>63384</v>
      </c>
      <c r="R35" s="45">
        <v>0</v>
      </c>
      <c r="S35" s="46">
        <v>0</v>
      </c>
      <c r="T35" s="39">
        <f t="shared" si="19"/>
        <v>12</v>
      </c>
      <c r="U35" s="47">
        <f t="shared" si="20"/>
        <v>0.63482191368053908</v>
      </c>
      <c r="V35" s="48">
        <f t="shared" si="21"/>
        <v>0</v>
      </c>
      <c r="W35" s="49">
        <f t="shared" si="22"/>
        <v>5.2901826140044926E-2</v>
      </c>
      <c r="X35" s="44">
        <f t="shared" si="23"/>
        <v>36487.217931386345</v>
      </c>
      <c r="Y35" s="44">
        <f t="shared" si="24"/>
        <v>5439.1699999999983</v>
      </c>
      <c r="Z35" s="44">
        <f t="shared" si="25"/>
        <v>160331.43932335256</v>
      </c>
      <c r="AA35" s="50">
        <f t="shared" si="26"/>
        <v>99871.217931386345</v>
      </c>
      <c r="AB35" s="51">
        <f t="shared" si="27"/>
        <v>149884.49034622096</v>
      </c>
      <c r="AC35" s="44">
        <f t="shared" si="28"/>
        <v>93363.763607914676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0.86650348716649883</v>
      </c>
      <c r="AG35" s="44">
        <f t="shared" si="31"/>
        <v>1006911.7122269582</v>
      </c>
      <c r="AH35" s="52">
        <f>HLOOKUP(I35,ElecAvoidedCostsWOCC!$A$5:$Q$50,T35+1,FALSE)</f>
        <v>0.86650348716649883</v>
      </c>
      <c r="AI35" s="44">
        <f t="shared" si="32"/>
        <v>0</v>
      </c>
      <c r="AJ35" s="44">
        <f t="shared" si="33"/>
        <v>1006911.7122269582</v>
      </c>
      <c r="AK35" s="44">
        <f>HLOOKUP(I35,ElecAvoidedCostsWOCC!$A$5:$Q$50,G35+1,FALSE)*J35*L35</f>
        <v>0</v>
      </c>
      <c r="AL35" s="44">
        <f t="shared" si="34"/>
        <v>1006911.7122269582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1006911.7122269584</v>
      </c>
      <c r="AN35" s="48">
        <f t="shared" si="35"/>
        <v>1107602.8834496543</v>
      </c>
      <c r="AO35" s="47">
        <f t="shared" si="36"/>
        <v>6.7179179773776081</v>
      </c>
      <c r="AP35" s="47">
        <f t="shared" si="37"/>
        <v>11.863305854946919</v>
      </c>
      <c r="AQ35">
        <v>2020</v>
      </c>
    </row>
    <row r="36" spans="2:43">
      <c r="B36" s="97" t="s">
        <v>70</v>
      </c>
      <c r="C36" s="61">
        <v>18230714</v>
      </c>
      <c r="D36" s="61" t="s">
        <v>128</v>
      </c>
      <c r="E36" s="38" t="s">
        <v>1084</v>
      </c>
      <c r="F36" s="39" t="s">
        <v>1085</v>
      </c>
      <c r="G36" s="39">
        <v>3</v>
      </c>
      <c r="H36" s="39"/>
      <c r="I36" s="40" t="s">
        <v>257</v>
      </c>
      <c r="J36" s="41">
        <v>192</v>
      </c>
      <c r="K36" s="41">
        <v>57</v>
      </c>
      <c r="L36" s="41"/>
      <c r="M36" s="42">
        <v>2</v>
      </c>
      <c r="N36" s="42">
        <v>2</v>
      </c>
      <c r="O36" s="43">
        <v>10944</v>
      </c>
      <c r="P36" s="44">
        <v>383.76</v>
      </c>
      <c r="Q36" s="44">
        <v>384</v>
      </c>
      <c r="R36" s="45">
        <v>0</v>
      </c>
      <c r="S36" s="46">
        <v>0</v>
      </c>
      <c r="T36" s="39">
        <f t="shared" si="19"/>
        <v>3</v>
      </c>
      <c r="U36" s="47">
        <f t="shared" si="20"/>
        <v>1.4946755325375674E-3</v>
      </c>
      <c r="V36" s="48">
        <f t="shared" si="21"/>
        <v>0</v>
      </c>
      <c r="W36" s="49">
        <f t="shared" si="22"/>
        <v>4.9822517751252251E-4</v>
      </c>
      <c r="X36" s="44">
        <f t="shared" si="23"/>
        <v>343.63370713666671</v>
      </c>
      <c r="Y36" s="44">
        <f t="shared" si="24"/>
        <v>0.24000000000000909</v>
      </c>
      <c r="Z36" s="44">
        <f t="shared" si="25"/>
        <v>1509.988702587493</v>
      </c>
      <c r="AA36" s="50">
        <f t="shared" si="26"/>
        <v>727.63370713666677</v>
      </c>
      <c r="AB36" s="51">
        <f t="shared" si="27"/>
        <v>1411.6001706903737</v>
      </c>
      <c r="AC36" s="44">
        <f t="shared" si="28"/>
        <v>680.22221850674646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0.22797487781098191</v>
      </c>
      <c r="AG36" s="44">
        <f t="shared" si="31"/>
        <v>2494.9570627633861</v>
      </c>
      <c r="AH36" s="52">
        <f>HLOOKUP(I36,ElecAvoidedCostsWOCC!$A$5:$Q$50,T36+1,FALSE)</f>
        <v>0.22797487781098191</v>
      </c>
      <c r="AI36" s="44">
        <f t="shared" si="32"/>
        <v>0</v>
      </c>
      <c r="AJ36" s="44">
        <f t="shared" si="33"/>
        <v>2494.9570627633861</v>
      </c>
      <c r="AK36" s="44">
        <f>HLOOKUP(I36,ElecAvoidedCostsWOCC!$A$5:$Q$50,G36+1,FALSE)*J36*L36</f>
        <v>0</v>
      </c>
      <c r="AL36" s="44">
        <f t="shared" si="34"/>
        <v>2494.9570627633861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2494.9570627633861</v>
      </c>
      <c r="AN36" s="48">
        <f t="shared" si="35"/>
        <v>2744.4527690397249</v>
      </c>
      <c r="AO36" s="47">
        <f t="shared" si="36"/>
        <v>1.7674672436056544</v>
      </c>
      <c r="AP36" s="47">
        <f t="shared" si="37"/>
        <v>4.0346414662321202</v>
      </c>
      <c r="AQ36">
        <v>2020</v>
      </c>
    </row>
    <row r="37" spans="2:43">
      <c r="B37" s="97" t="s">
        <v>70</v>
      </c>
      <c r="C37" s="61">
        <v>18230714</v>
      </c>
      <c r="D37" s="61" t="s">
        <v>128</v>
      </c>
      <c r="E37" s="38" t="s">
        <v>1086</v>
      </c>
      <c r="F37" s="39" t="s">
        <v>1087</v>
      </c>
      <c r="G37" s="39">
        <v>5</v>
      </c>
      <c r="H37" s="39"/>
      <c r="I37" s="40" t="s">
        <v>257</v>
      </c>
      <c r="J37" s="41">
        <v>6581</v>
      </c>
      <c r="K37" s="41">
        <v>79</v>
      </c>
      <c r="L37" s="41"/>
      <c r="M37" s="42">
        <v>2</v>
      </c>
      <c r="N37" s="42">
        <v>2</v>
      </c>
      <c r="O37" s="43">
        <v>519899</v>
      </c>
      <c r="P37" s="44">
        <v>13116.17</v>
      </c>
      <c r="Q37" s="44">
        <v>13162</v>
      </c>
      <c r="R37" s="45">
        <v>0</v>
      </c>
      <c r="S37" s="46">
        <v>0</v>
      </c>
      <c r="T37" s="39">
        <f t="shared" si="19"/>
        <v>5</v>
      </c>
      <c r="U37" s="47">
        <f t="shared" si="20"/>
        <v>0.11834190952283578</v>
      </c>
      <c r="V37" s="48">
        <f t="shared" si="21"/>
        <v>0</v>
      </c>
      <c r="W37" s="49">
        <f t="shared" si="22"/>
        <v>2.3668381904567156E-2</v>
      </c>
      <c r="X37" s="44">
        <f t="shared" si="23"/>
        <v>16324.453646440597</v>
      </c>
      <c r="Y37" s="44">
        <f t="shared" si="24"/>
        <v>45.829999999999927</v>
      </c>
      <c r="Z37" s="44">
        <f t="shared" si="25"/>
        <v>71732.603845626378</v>
      </c>
      <c r="AA37" s="50">
        <f t="shared" si="26"/>
        <v>29486.453646440597</v>
      </c>
      <c r="AB37" s="51">
        <f t="shared" si="27"/>
        <v>67058.618159882564</v>
      </c>
      <c r="AC37" s="44">
        <f t="shared" si="28"/>
        <v>27565.161864485926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0.3694540986241362</v>
      </c>
      <c r="AG37" s="44">
        <f t="shared" si="31"/>
        <v>192078.81642058978</v>
      </c>
      <c r="AH37" s="52">
        <f>HLOOKUP(I37,ElecAvoidedCostsWOCC!$A$5:$Q$50,T37+1,FALSE)</f>
        <v>0.3694540986241362</v>
      </c>
      <c r="AI37" s="44">
        <f t="shared" si="32"/>
        <v>0</v>
      </c>
      <c r="AJ37" s="44">
        <f t="shared" si="33"/>
        <v>192078.81642058978</v>
      </c>
      <c r="AK37" s="44">
        <f>HLOOKUP(I37,ElecAvoidedCostsWOCC!$A$5:$Q$50,G37+1,FALSE)*J37*L37</f>
        <v>0</v>
      </c>
      <c r="AL37" s="44">
        <f t="shared" si="34"/>
        <v>192078.81642058978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192078.81642058978</v>
      </c>
      <c r="AN37" s="48">
        <f t="shared" si="35"/>
        <v>211286.69806264876</v>
      </c>
      <c r="AO37" s="47">
        <f t="shared" si="36"/>
        <v>2.8643419994523511</v>
      </c>
      <c r="AP37" s="47">
        <f t="shared" si="37"/>
        <v>7.664990291055167</v>
      </c>
      <c r="AQ37">
        <v>2020</v>
      </c>
    </row>
    <row r="38" spans="2:43">
      <c r="B38" s="97" t="s">
        <v>70</v>
      </c>
      <c r="C38" s="61">
        <v>18230714</v>
      </c>
      <c r="D38" s="61" t="s">
        <v>128</v>
      </c>
      <c r="E38" s="38" t="s">
        <v>1088</v>
      </c>
      <c r="F38" s="39" t="s">
        <v>1089</v>
      </c>
      <c r="G38" s="39">
        <v>5</v>
      </c>
      <c r="H38" s="39"/>
      <c r="I38" s="40" t="s">
        <v>257</v>
      </c>
      <c r="J38" s="41">
        <v>236</v>
      </c>
      <c r="K38" s="41">
        <v>99</v>
      </c>
      <c r="L38" s="41"/>
      <c r="M38" s="42">
        <v>4</v>
      </c>
      <c r="N38" s="42">
        <v>4</v>
      </c>
      <c r="O38" s="43">
        <v>23364</v>
      </c>
      <c r="P38" s="44">
        <v>934.96</v>
      </c>
      <c r="Q38" s="44">
        <v>944</v>
      </c>
      <c r="R38" s="45">
        <v>0</v>
      </c>
      <c r="S38" s="46">
        <v>0</v>
      </c>
      <c r="T38" s="39">
        <f t="shared" si="19"/>
        <v>5</v>
      </c>
      <c r="U38" s="47">
        <f t="shared" si="20"/>
        <v>5.3182259902241295E-3</v>
      </c>
      <c r="V38" s="48">
        <f t="shared" si="21"/>
        <v>0</v>
      </c>
      <c r="W38" s="49">
        <f t="shared" si="22"/>
        <v>1.063645198044826E-3</v>
      </c>
      <c r="X38" s="44">
        <f t="shared" si="23"/>
        <v>733.61274977531798</v>
      </c>
      <c r="Y38" s="44">
        <f t="shared" si="24"/>
        <v>9.0399999999999636</v>
      </c>
      <c r="Z38" s="44">
        <f t="shared" si="25"/>
        <v>3223.6271973002731</v>
      </c>
      <c r="AA38" s="50">
        <f t="shared" si="26"/>
        <v>1677.612749775318</v>
      </c>
      <c r="AB38" s="51">
        <f t="shared" si="27"/>
        <v>3013.5806275593836</v>
      </c>
      <c r="AC38" s="44">
        <f t="shared" si="28"/>
        <v>1568.3020938350171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0.3694540986241362</v>
      </c>
      <c r="AG38" s="44">
        <f t="shared" si="31"/>
        <v>8631.925560254318</v>
      </c>
      <c r="AH38" s="52">
        <f>HLOOKUP(I38,ElecAvoidedCostsWOCC!$A$5:$Q$50,T38+1,FALSE)</f>
        <v>0.3694540986241362</v>
      </c>
      <c r="AI38" s="44">
        <f t="shared" si="32"/>
        <v>0</v>
      </c>
      <c r="AJ38" s="44">
        <f t="shared" si="33"/>
        <v>8631.925560254318</v>
      </c>
      <c r="AK38" s="44">
        <f>HLOOKUP(I38,ElecAvoidedCostsWOCC!$A$5:$Q$50,G38+1,FALSE)*J38*L38</f>
        <v>0</v>
      </c>
      <c r="AL38" s="44">
        <f t="shared" si="34"/>
        <v>8631.925560254318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8631.925560254318</v>
      </c>
      <c r="AN38" s="48">
        <f t="shared" si="35"/>
        <v>9495.1181162797511</v>
      </c>
      <c r="AO38" s="47">
        <f t="shared" si="36"/>
        <v>2.864341999452352</v>
      </c>
      <c r="AP38" s="47">
        <f t="shared" si="37"/>
        <v>6.0543935722619917</v>
      </c>
      <c r="AQ38">
        <v>2020</v>
      </c>
    </row>
    <row r="39" spans="2:43">
      <c r="B39" s="97" t="s">
        <v>70</v>
      </c>
      <c r="C39" s="61">
        <v>18230714</v>
      </c>
      <c r="D39" s="61" t="s">
        <v>128</v>
      </c>
      <c r="E39" s="38" t="s">
        <v>1090</v>
      </c>
      <c r="F39" s="39" t="s">
        <v>1091</v>
      </c>
      <c r="G39" s="39">
        <v>5</v>
      </c>
      <c r="H39" s="39"/>
      <c r="I39" s="40" t="s">
        <v>257</v>
      </c>
      <c r="J39" s="41">
        <v>3627</v>
      </c>
      <c r="K39" s="41">
        <v>99</v>
      </c>
      <c r="L39" s="41"/>
      <c r="M39" s="42">
        <v>4</v>
      </c>
      <c r="N39" s="42">
        <v>4</v>
      </c>
      <c r="O39" s="43">
        <v>359073</v>
      </c>
      <c r="P39" s="44">
        <v>13127.9</v>
      </c>
      <c r="Q39" s="44">
        <v>14508</v>
      </c>
      <c r="R39" s="45">
        <v>0</v>
      </c>
      <c r="S39" s="46">
        <v>0</v>
      </c>
      <c r="T39" s="39">
        <f t="shared" si="19"/>
        <v>5</v>
      </c>
      <c r="U39" s="47">
        <f t="shared" si="20"/>
        <v>8.1733922315859825E-2</v>
      </c>
      <c r="V39" s="48">
        <f t="shared" si="21"/>
        <v>0</v>
      </c>
      <c r="W39" s="49">
        <f t="shared" si="22"/>
        <v>1.6346784463171966E-2</v>
      </c>
      <c r="X39" s="44">
        <f t="shared" si="23"/>
        <v>11274.6332348944</v>
      </c>
      <c r="Y39" s="44">
        <f t="shared" si="24"/>
        <v>1380.1000000000004</v>
      </c>
      <c r="Z39" s="44">
        <f t="shared" si="25"/>
        <v>49542.779002576644</v>
      </c>
      <c r="AA39" s="50">
        <f t="shared" si="26"/>
        <v>25782.633234894398</v>
      </c>
      <c r="AB39" s="51">
        <f t="shared" si="27"/>
        <v>46314.648034567297</v>
      </c>
      <c r="AC39" s="44">
        <f t="shared" si="28"/>
        <v>24102.676670930538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0.3694540986241362</v>
      </c>
      <c r="AG39" s="44">
        <f t="shared" si="31"/>
        <v>132660.99155526445</v>
      </c>
      <c r="AH39" s="52">
        <f>HLOOKUP(I39,ElecAvoidedCostsWOCC!$A$5:$Q$50,T39+1,FALSE)</f>
        <v>0.3694540986241362</v>
      </c>
      <c r="AI39" s="44">
        <f t="shared" si="32"/>
        <v>0</v>
      </c>
      <c r="AJ39" s="44">
        <f t="shared" si="33"/>
        <v>132660.99155526445</v>
      </c>
      <c r="AK39" s="44">
        <f>HLOOKUP(I39,ElecAvoidedCostsWOCC!$A$5:$Q$50,G39+1,FALSE)*J39*L39</f>
        <v>0</v>
      </c>
      <c r="AL39" s="44">
        <f t="shared" si="34"/>
        <v>132660.99155526445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132660.99155526445</v>
      </c>
      <c r="AN39" s="48">
        <f t="shared" si="35"/>
        <v>145927.09071079092</v>
      </c>
      <c r="AO39" s="47">
        <f t="shared" si="36"/>
        <v>2.8643419994523525</v>
      </c>
      <c r="AP39" s="47">
        <f t="shared" si="37"/>
        <v>6.0543935722619917</v>
      </c>
      <c r="AQ39">
        <v>2020</v>
      </c>
    </row>
    <row r="40" spans="2:43">
      <c r="B40" s="97" t="s">
        <v>70</v>
      </c>
      <c r="C40" s="61">
        <v>18230714</v>
      </c>
      <c r="D40" s="61" t="s">
        <v>128</v>
      </c>
      <c r="E40" s="38" t="s">
        <v>1092</v>
      </c>
      <c r="F40" s="39" t="s">
        <v>1093</v>
      </c>
      <c r="G40" s="39">
        <v>5</v>
      </c>
      <c r="H40" s="39"/>
      <c r="I40" s="40" t="s">
        <v>257</v>
      </c>
      <c r="J40" s="41">
        <v>624</v>
      </c>
      <c r="K40" s="41">
        <v>128</v>
      </c>
      <c r="L40" s="41"/>
      <c r="M40" s="42">
        <v>4</v>
      </c>
      <c r="N40" s="42">
        <v>4</v>
      </c>
      <c r="O40" s="43">
        <v>79872</v>
      </c>
      <c r="P40" s="44">
        <v>2524</v>
      </c>
      <c r="Q40" s="44">
        <v>2496</v>
      </c>
      <c r="R40" s="45">
        <v>0</v>
      </c>
      <c r="S40" s="46">
        <v>0</v>
      </c>
      <c r="T40" s="39">
        <f t="shared" si="19"/>
        <v>5</v>
      </c>
      <c r="U40" s="47">
        <f t="shared" si="20"/>
        <v>1.8180848582913103E-2</v>
      </c>
      <c r="V40" s="48">
        <f t="shared" si="21"/>
        <v>0</v>
      </c>
      <c r="W40" s="49">
        <f t="shared" si="22"/>
        <v>3.6361697165826208E-3</v>
      </c>
      <c r="X40" s="44">
        <f t="shared" si="23"/>
        <v>2507.9231959447957</v>
      </c>
      <c r="Y40" s="44">
        <f t="shared" si="24"/>
        <v>-28</v>
      </c>
      <c r="Z40" s="44">
        <f t="shared" si="25"/>
        <v>11020.268425901704</v>
      </c>
      <c r="AA40" s="50">
        <f t="shared" si="26"/>
        <v>5003.9231959447952</v>
      </c>
      <c r="AB40" s="51">
        <f t="shared" si="27"/>
        <v>10302.204754512202</v>
      </c>
      <c r="AC40" s="44">
        <f t="shared" si="28"/>
        <v>4677.8752883470079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0.3694540986241362</v>
      </c>
      <c r="AG40" s="44">
        <f t="shared" si="31"/>
        <v>29509.037765307006</v>
      </c>
      <c r="AH40" s="52">
        <f>HLOOKUP(I40,ElecAvoidedCostsWOCC!$A$5:$Q$50,T40+1,FALSE)</f>
        <v>0.3694540986241362</v>
      </c>
      <c r="AI40" s="44">
        <f t="shared" si="32"/>
        <v>0</v>
      </c>
      <c r="AJ40" s="44">
        <f t="shared" si="33"/>
        <v>29509.037765307006</v>
      </c>
      <c r="AK40" s="44">
        <f>HLOOKUP(I40,ElecAvoidedCostsWOCC!$A$5:$Q$50,G40+1,FALSE)*J40*L40</f>
        <v>0</v>
      </c>
      <c r="AL40" s="44">
        <f t="shared" si="34"/>
        <v>29509.037765307006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29509.037765307006</v>
      </c>
      <c r="AN40" s="48">
        <f t="shared" si="35"/>
        <v>32459.94154183771</v>
      </c>
      <c r="AO40" s="47">
        <f t="shared" si="36"/>
        <v>2.8643419994523516</v>
      </c>
      <c r="AP40" s="47">
        <f t="shared" si="37"/>
        <v>6.9390352544665381</v>
      </c>
      <c r="AQ40">
        <v>2020</v>
      </c>
    </row>
    <row r="41" spans="2:43">
      <c r="B41" s="97" t="s">
        <v>70</v>
      </c>
      <c r="C41" s="61">
        <v>18230714</v>
      </c>
      <c r="D41" s="61" t="s">
        <v>128</v>
      </c>
      <c r="E41" s="38" t="s">
        <v>1094</v>
      </c>
      <c r="F41" s="39" t="s">
        <v>1095</v>
      </c>
      <c r="G41" s="39">
        <v>5</v>
      </c>
      <c r="H41" s="39"/>
      <c r="I41" s="40" t="s">
        <v>257</v>
      </c>
      <c r="J41" s="41">
        <v>802</v>
      </c>
      <c r="K41" s="41">
        <v>94</v>
      </c>
      <c r="L41" s="41"/>
      <c r="M41" s="42">
        <v>3</v>
      </c>
      <c r="N41" s="42">
        <v>3</v>
      </c>
      <c r="O41" s="43">
        <v>75388</v>
      </c>
      <c r="P41" s="44">
        <v>2404</v>
      </c>
      <c r="Q41" s="44">
        <v>2406</v>
      </c>
      <c r="R41" s="45">
        <v>0</v>
      </c>
      <c r="S41" s="46">
        <v>0</v>
      </c>
      <c r="T41" s="39">
        <f t="shared" si="19"/>
        <v>5</v>
      </c>
      <c r="U41" s="47">
        <f t="shared" si="20"/>
        <v>1.7160178948425645E-2</v>
      </c>
      <c r="V41" s="48">
        <f t="shared" si="21"/>
        <v>0</v>
      </c>
      <c r="W41" s="49">
        <f t="shared" si="22"/>
        <v>3.4320357896851289E-3</v>
      </c>
      <c r="X41" s="44">
        <f t="shared" si="23"/>
        <v>2367.1288298263003</v>
      </c>
      <c r="Y41" s="44">
        <f t="shared" si="24"/>
        <v>2</v>
      </c>
      <c r="Z41" s="44">
        <f t="shared" si="25"/>
        <v>10401.592499147106</v>
      </c>
      <c r="AA41" s="50">
        <f t="shared" si="26"/>
        <v>4773.1288298263007</v>
      </c>
      <c r="AB41" s="51">
        <f t="shared" si="27"/>
        <v>9723.8407956876745</v>
      </c>
      <c r="AC41" s="44">
        <f t="shared" si="28"/>
        <v>4462.1191266956157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0.3694540986241362</v>
      </c>
      <c r="AG41" s="44">
        <f t="shared" si="31"/>
        <v>27852.40558707638</v>
      </c>
      <c r="AH41" s="52">
        <f>HLOOKUP(I41,ElecAvoidedCostsWOCC!$A$5:$Q$50,T41+1,FALSE)</f>
        <v>0.3694540986241362</v>
      </c>
      <c r="AI41" s="44">
        <f t="shared" si="32"/>
        <v>0</v>
      </c>
      <c r="AJ41" s="44">
        <f t="shared" si="33"/>
        <v>27852.40558707638</v>
      </c>
      <c r="AK41" s="44">
        <f>HLOOKUP(I41,ElecAvoidedCostsWOCC!$A$5:$Q$50,G41+1,FALSE)*J41*L41</f>
        <v>0</v>
      </c>
      <c r="AL41" s="44">
        <f t="shared" si="34"/>
        <v>27852.40558707638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27852.40558707638</v>
      </c>
      <c r="AN41" s="48">
        <f t="shared" si="35"/>
        <v>30637.64614578402</v>
      </c>
      <c r="AO41" s="47">
        <f t="shared" si="36"/>
        <v>2.8643419994523516</v>
      </c>
      <c r="AP41" s="47">
        <f t="shared" si="37"/>
        <v>6.8661649937778479</v>
      </c>
      <c r="AQ41">
        <v>2020</v>
      </c>
    </row>
    <row r="42" spans="2:43">
      <c r="B42" s="97" t="s">
        <v>70</v>
      </c>
      <c r="C42" s="61">
        <v>18230714</v>
      </c>
      <c r="D42" s="61" t="s">
        <v>128</v>
      </c>
      <c r="E42" s="38" t="s">
        <v>1096</v>
      </c>
      <c r="F42" s="39" t="s">
        <v>1031</v>
      </c>
      <c r="G42" s="39">
        <v>12</v>
      </c>
      <c r="H42" s="39"/>
      <c r="I42" s="40" t="s">
        <v>257</v>
      </c>
      <c r="J42" s="41">
        <v>108389</v>
      </c>
      <c r="K42" s="41">
        <v>31.8</v>
      </c>
      <c r="L42" s="41"/>
      <c r="M42" s="42">
        <v>2</v>
      </c>
      <c r="N42" s="42">
        <v>2</v>
      </c>
      <c r="O42" s="43">
        <v>3446770.2</v>
      </c>
      <c r="P42" s="44">
        <v>260306.06</v>
      </c>
      <c r="Q42" s="44">
        <v>216778</v>
      </c>
      <c r="R42" s="45">
        <v>0</v>
      </c>
      <c r="S42" s="46">
        <v>0</v>
      </c>
      <c r="T42" s="39">
        <f t="shared" si="19"/>
        <v>12</v>
      </c>
      <c r="U42" s="47">
        <f t="shared" si="20"/>
        <v>1.8829689635305624</v>
      </c>
      <c r="V42" s="48">
        <f t="shared" si="21"/>
        <v>0</v>
      </c>
      <c r="W42" s="49">
        <f t="shared" si="22"/>
        <v>0.15691408029421353</v>
      </c>
      <c r="X42" s="44">
        <f t="shared" si="23"/>
        <v>108226.0984534165</v>
      </c>
      <c r="Y42" s="44">
        <f t="shared" si="24"/>
        <v>-43528.06</v>
      </c>
      <c r="Z42" s="44">
        <f t="shared" si="25"/>
        <v>475565.06418267853</v>
      </c>
      <c r="AA42" s="50">
        <f t="shared" si="26"/>
        <v>325004.09845341649</v>
      </c>
      <c r="AB42" s="51">
        <f t="shared" si="27"/>
        <v>444577.97904335655</v>
      </c>
      <c r="AC42" s="44">
        <f t="shared" si="28"/>
        <v>303827.33332094649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0.86650348716649883</v>
      </c>
      <c r="AG42" s="44">
        <f t="shared" si="31"/>
        <v>2986638.3977615708</v>
      </c>
      <c r="AH42" s="52">
        <f>HLOOKUP(I42,ElecAvoidedCostsWOCC!$A$5:$Q$50,T42+1,FALSE)</f>
        <v>0.86650348716649883</v>
      </c>
      <c r="AI42" s="44">
        <f t="shared" si="32"/>
        <v>0</v>
      </c>
      <c r="AJ42" s="44">
        <f t="shared" si="33"/>
        <v>2986638.3977615708</v>
      </c>
      <c r="AK42" s="44">
        <f>HLOOKUP(I42,ElecAvoidedCostsWOCC!$A$5:$Q$50,G42+1,FALSE)*J42*L42</f>
        <v>0</v>
      </c>
      <c r="AL42" s="44">
        <f t="shared" si="34"/>
        <v>2986638.3977615708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2986638.3977615708</v>
      </c>
      <c r="AN42" s="48">
        <f t="shared" si="35"/>
        <v>3285302.2375377282</v>
      </c>
      <c r="AO42" s="47">
        <f t="shared" si="36"/>
        <v>6.717917977377609</v>
      </c>
      <c r="AP42" s="47">
        <f t="shared" si="37"/>
        <v>10.81305688210519</v>
      </c>
      <c r="AQ42">
        <v>2020</v>
      </c>
    </row>
    <row r="43" spans="2:43">
      <c r="B43" s="97" t="s">
        <v>70</v>
      </c>
      <c r="C43" s="61">
        <v>18230714</v>
      </c>
      <c r="D43" s="61" t="s">
        <v>128</v>
      </c>
      <c r="E43" s="38" t="s">
        <v>1097</v>
      </c>
      <c r="F43" s="39" t="s">
        <v>1098</v>
      </c>
      <c r="G43" s="39">
        <v>10</v>
      </c>
      <c r="H43" s="39"/>
      <c r="I43" s="40" t="s">
        <v>257</v>
      </c>
      <c r="J43" s="41">
        <v>316</v>
      </c>
      <c r="K43" s="41">
        <v>679.3</v>
      </c>
      <c r="L43" s="41"/>
      <c r="M43" s="42">
        <v>150</v>
      </c>
      <c r="N43" s="42">
        <v>206.89</v>
      </c>
      <c r="O43" s="43">
        <v>214658.8</v>
      </c>
      <c r="P43" s="44">
        <v>42462.400000000001</v>
      </c>
      <c r="Q43" s="44">
        <v>65377.24</v>
      </c>
      <c r="R43" s="45">
        <v>0</v>
      </c>
      <c r="S43" s="46">
        <v>0</v>
      </c>
      <c r="T43" s="39">
        <f t="shared" si="19"/>
        <v>10</v>
      </c>
      <c r="U43" s="47">
        <f t="shared" si="20"/>
        <v>9.7723335832076999E-2</v>
      </c>
      <c r="V43" s="48">
        <f t="shared" si="21"/>
        <v>56.889999999999986</v>
      </c>
      <c r="W43" s="49">
        <f t="shared" si="22"/>
        <v>9.7723335832077002E-3</v>
      </c>
      <c r="X43" s="44">
        <f t="shared" si="23"/>
        <v>6740.1315070822657</v>
      </c>
      <c r="Y43" s="44">
        <f t="shared" si="24"/>
        <v>22914.839999999997</v>
      </c>
      <c r="Z43" s="44">
        <f t="shared" si="25"/>
        <v>29617.357722129767</v>
      </c>
      <c r="AA43" s="50">
        <f t="shared" si="26"/>
        <v>72117.371507082265</v>
      </c>
      <c r="AB43" s="51">
        <f t="shared" si="27"/>
        <v>27687.536432765977</v>
      </c>
      <c r="AC43" s="44">
        <f t="shared" si="28"/>
        <v>67418.314954737085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0.7278724357900942</v>
      </c>
      <c r="AG43" s="44">
        <f t="shared" si="31"/>
        <v>156244.22361977867</v>
      </c>
      <c r="AH43" s="52">
        <f>HLOOKUP(I43,ElecAvoidedCostsWOCC!$A$5:$Q$50,T43+1,FALSE)</f>
        <v>0.7278724357900942</v>
      </c>
      <c r="AI43" s="44">
        <f t="shared" si="32"/>
        <v>0</v>
      </c>
      <c r="AJ43" s="44">
        <f t="shared" si="33"/>
        <v>156244.22361977867</v>
      </c>
      <c r="AK43" s="44">
        <f>HLOOKUP(I43,ElecAvoidedCostsWOCC!$A$5:$Q$50,G43+1,FALSE)*J43*L43</f>
        <v>0</v>
      </c>
      <c r="AL43" s="44">
        <f t="shared" si="34"/>
        <v>156244.22361977867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156244.22361977867</v>
      </c>
      <c r="AN43" s="48">
        <f t="shared" si="35"/>
        <v>171868.64598175656</v>
      </c>
      <c r="AO43" s="47">
        <f t="shared" si="36"/>
        <v>5.6431248045194868</v>
      </c>
      <c r="AP43" s="47">
        <f t="shared" si="37"/>
        <v>2.5492871795615883</v>
      </c>
      <c r="AQ43">
        <v>2020</v>
      </c>
    </row>
    <row r="44" spans="2:43">
      <c r="B44" s="97" t="s">
        <v>70</v>
      </c>
      <c r="C44" s="61">
        <v>18230714</v>
      </c>
      <c r="D44" s="61" t="s">
        <v>128</v>
      </c>
      <c r="E44" s="38" t="s">
        <v>1099</v>
      </c>
      <c r="F44" s="39" t="s">
        <v>1100</v>
      </c>
      <c r="G44" s="39">
        <v>10</v>
      </c>
      <c r="H44" s="39"/>
      <c r="I44" s="40" t="s">
        <v>257</v>
      </c>
      <c r="J44" s="41">
        <v>108</v>
      </c>
      <c r="K44" s="41">
        <v>2817.8</v>
      </c>
      <c r="L44" s="41"/>
      <c r="M44" s="42">
        <v>300</v>
      </c>
      <c r="N44" s="42">
        <v>693.27</v>
      </c>
      <c r="O44" s="43">
        <v>304322.40000000002</v>
      </c>
      <c r="P44" s="44">
        <v>32400</v>
      </c>
      <c r="Q44" s="44">
        <v>74873.16</v>
      </c>
      <c r="R44" s="45">
        <v>0</v>
      </c>
      <c r="S44" s="46">
        <v>0</v>
      </c>
      <c r="T44" s="39">
        <f t="shared" si="19"/>
        <v>10</v>
      </c>
      <c r="U44" s="47">
        <f t="shared" si="20"/>
        <v>0.13854265511790653</v>
      </c>
      <c r="V44" s="48">
        <f t="shared" si="21"/>
        <v>393.27</v>
      </c>
      <c r="W44" s="49">
        <f t="shared" si="22"/>
        <v>1.3854265511790653E-2</v>
      </c>
      <c r="X44" s="44">
        <f t="shared" si="23"/>
        <v>9555.5038812799303</v>
      </c>
      <c r="Y44" s="44">
        <f t="shared" si="24"/>
        <v>42473.16</v>
      </c>
      <c r="Z44" s="44">
        <f t="shared" si="25"/>
        <v>41988.613481753666</v>
      </c>
      <c r="AA44" s="50">
        <f t="shared" si="26"/>
        <v>84428.663881279936</v>
      </c>
      <c r="AB44" s="51">
        <f t="shared" si="27"/>
        <v>39252.700272743445</v>
      </c>
      <c r="AC44" s="44">
        <f t="shared" si="28"/>
        <v>78927.422530877753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0.7278724357900942</v>
      </c>
      <c r="AG44" s="44">
        <f t="shared" si="31"/>
        <v>221507.88655348739</v>
      </c>
      <c r="AH44" s="52">
        <f>HLOOKUP(I44,ElecAvoidedCostsWOCC!$A$5:$Q$50,T44+1,FALSE)</f>
        <v>0.7278724357900942</v>
      </c>
      <c r="AI44" s="44">
        <f t="shared" si="32"/>
        <v>0</v>
      </c>
      <c r="AJ44" s="44">
        <f t="shared" si="33"/>
        <v>221507.88655348739</v>
      </c>
      <c r="AK44" s="44">
        <f>HLOOKUP(I44,ElecAvoidedCostsWOCC!$A$5:$Q$50,G44+1,FALSE)*J44*L44</f>
        <v>0</v>
      </c>
      <c r="AL44" s="44">
        <f t="shared" si="34"/>
        <v>221507.88655348739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221507.88655348739</v>
      </c>
      <c r="AN44" s="48">
        <f t="shared" si="35"/>
        <v>243658.67520883615</v>
      </c>
      <c r="AO44" s="47">
        <f t="shared" si="36"/>
        <v>5.6431248045194877</v>
      </c>
      <c r="AP44" s="47">
        <f t="shared" si="37"/>
        <v>3.0871231746293595</v>
      </c>
      <c r="AQ44">
        <v>2020</v>
      </c>
    </row>
    <row r="45" spans="2:43">
      <c r="B45" s="97" t="s">
        <v>70</v>
      </c>
      <c r="C45" s="61">
        <v>18230714</v>
      </c>
      <c r="D45" s="61" t="s">
        <v>128</v>
      </c>
      <c r="E45" s="38" t="s">
        <v>1101</v>
      </c>
      <c r="F45" s="39" t="s">
        <v>1102</v>
      </c>
      <c r="G45" s="39">
        <v>10</v>
      </c>
      <c r="H45" s="39"/>
      <c r="I45" s="40" t="s">
        <v>257</v>
      </c>
      <c r="J45" s="41">
        <v>20</v>
      </c>
      <c r="K45" s="41">
        <v>232.3</v>
      </c>
      <c r="L45" s="41"/>
      <c r="M45" s="42">
        <v>40</v>
      </c>
      <c r="N45" s="42">
        <v>131.18</v>
      </c>
      <c r="O45" s="43">
        <v>4646</v>
      </c>
      <c r="P45" s="44">
        <v>800</v>
      </c>
      <c r="Q45" s="44">
        <v>2623.6</v>
      </c>
      <c r="R45" s="45">
        <v>0</v>
      </c>
      <c r="S45" s="46">
        <v>0</v>
      </c>
      <c r="T45" s="39">
        <f t="shared" si="19"/>
        <v>10</v>
      </c>
      <c r="U45" s="47">
        <f t="shared" si="20"/>
        <v>2.115089706435654E-3</v>
      </c>
      <c r="V45" s="48">
        <f t="shared" si="21"/>
        <v>91.18</v>
      </c>
      <c r="W45" s="49">
        <f t="shared" si="22"/>
        <v>2.115089706435654E-4</v>
      </c>
      <c r="X45" s="44">
        <f t="shared" si="23"/>
        <v>145.88104928334735</v>
      </c>
      <c r="Y45" s="44">
        <f t="shared" si="24"/>
        <v>1823.6</v>
      </c>
      <c r="Z45" s="44">
        <f t="shared" si="25"/>
        <v>641.02773320737322</v>
      </c>
      <c r="AA45" s="50">
        <f t="shared" si="26"/>
        <v>2769.4810492833471</v>
      </c>
      <c r="AB45" s="51">
        <f t="shared" si="27"/>
        <v>599.25935608803695</v>
      </c>
      <c r="AC45" s="44">
        <f t="shared" si="28"/>
        <v>2589.0259411828988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0.7278724357900942</v>
      </c>
      <c r="AG45" s="44">
        <f t="shared" si="31"/>
        <v>3381.6953366807779</v>
      </c>
      <c r="AH45" s="52">
        <f>HLOOKUP(I45,ElecAvoidedCostsWOCC!$A$5:$Q$50,T45+1,FALSE)</f>
        <v>0.7278724357900942</v>
      </c>
      <c r="AI45" s="44">
        <f t="shared" si="32"/>
        <v>0</v>
      </c>
      <c r="AJ45" s="44">
        <f t="shared" si="33"/>
        <v>3381.6953366807779</v>
      </c>
      <c r="AK45" s="44">
        <f>HLOOKUP(I45,ElecAvoidedCostsWOCC!$A$5:$Q$50,G45+1,FALSE)*J45*L45</f>
        <v>0</v>
      </c>
      <c r="AL45" s="44">
        <f t="shared" si="34"/>
        <v>3381.6953366807779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3381.6953366807779</v>
      </c>
      <c r="AN45" s="48">
        <f t="shared" si="35"/>
        <v>3719.8648703488561</v>
      </c>
      <c r="AO45" s="47">
        <f t="shared" si="36"/>
        <v>5.6431248045194886</v>
      </c>
      <c r="AP45" s="47">
        <f t="shared" si="37"/>
        <v>1.4367816139568261</v>
      </c>
      <c r="AQ45">
        <v>2020</v>
      </c>
    </row>
    <row r="46" spans="2:43">
      <c r="B46" s="97" t="s">
        <v>70</v>
      </c>
      <c r="C46" s="61">
        <v>18230714</v>
      </c>
      <c r="D46" s="61" t="s">
        <v>128</v>
      </c>
      <c r="E46" s="38" t="s">
        <v>1103</v>
      </c>
      <c r="F46" s="39" t="s">
        <v>1104</v>
      </c>
      <c r="G46" s="39">
        <v>10</v>
      </c>
      <c r="H46" s="39"/>
      <c r="I46" s="40" t="s">
        <v>257</v>
      </c>
      <c r="J46" s="41">
        <v>304</v>
      </c>
      <c r="K46" s="41">
        <v>502.4</v>
      </c>
      <c r="L46" s="41"/>
      <c r="M46" s="42">
        <v>90</v>
      </c>
      <c r="N46" s="42">
        <v>215.58</v>
      </c>
      <c r="O46" s="43">
        <v>152729.60000000001</v>
      </c>
      <c r="P46" s="44">
        <v>20610.310000000001</v>
      </c>
      <c r="Q46" s="44">
        <v>65536.320000000007</v>
      </c>
      <c r="R46" s="45">
        <v>0</v>
      </c>
      <c r="S46" s="46">
        <v>0</v>
      </c>
      <c r="T46" s="39">
        <f t="shared" si="19"/>
        <v>10</v>
      </c>
      <c r="U46" s="47">
        <f t="shared" si="20"/>
        <v>6.9530091439525377E-2</v>
      </c>
      <c r="V46" s="48">
        <f t="shared" si="21"/>
        <v>125.58000000000001</v>
      </c>
      <c r="W46" s="49">
        <f t="shared" si="22"/>
        <v>6.953009143952537E-3</v>
      </c>
      <c r="X46" s="44">
        <f t="shared" si="23"/>
        <v>4795.5992907072605</v>
      </c>
      <c r="Y46" s="44">
        <f t="shared" si="24"/>
        <v>44926.010000000009</v>
      </c>
      <c r="Z46" s="44">
        <f t="shared" si="25"/>
        <v>21072.731227221015</v>
      </c>
      <c r="AA46" s="50">
        <f t="shared" si="26"/>
        <v>70331.919290707272</v>
      </c>
      <c r="AB46" s="51">
        <f t="shared" si="27"/>
        <v>19699.664604301219</v>
      </c>
      <c r="AC46" s="44">
        <f t="shared" si="28"/>
        <v>65749.200047403254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0.7278724357900942</v>
      </c>
      <c r="AG46" s="44">
        <f t="shared" si="31"/>
        <v>111167.66596924677</v>
      </c>
      <c r="AH46" s="52">
        <f>HLOOKUP(I46,ElecAvoidedCostsWOCC!$A$5:$Q$50,T46+1,FALSE)</f>
        <v>0.7278724357900942</v>
      </c>
      <c r="AI46" s="44">
        <f t="shared" si="32"/>
        <v>0</v>
      </c>
      <c r="AJ46" s="44">
        <f t="shared" si="33"/>
        <v>111167.66596924677</v>
      </c>
      <c r="AK46" s="44">
        <f>HLOOKUP(I46,ElecAvoidedCostsWOCC!$A$5:$Q$50,G46+1,FALSE)*J46*L46</f>
        <v>0</v>
      </c>
      <c r="AL46" s="44">
        <f t="shared" si="34"/>
        <v>111167.66596924677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111167.66596924677</v>
      </c>
      <c r="AN46" s="48">
        <f t="shared" si="35"/>
        <v>122284.43256617145</v>
      </c>
      <c r="AO46" s="47">
        <f t="shared" si="36"/>
        <v>5.6431248045194868</v>
      </c>
      <c r="AP46" s="47">
        <f t="shared" si="37"/>
        <v>1.8598619067305451</v>
      </c>
      <c r="AQ46">
        <v>2020</v>
      </c>
    </row>
    <row r="47" spans="2:43">
      <c r="B47" s="97" t="s">
        <v>70</v>
      </c>
      <c r="C47" s="61">
        <v>18230714</v>
      </c>
      <c r="D47" s="61" t="s">
        <v>128</v>
      </c>
      <c r="E47" s="38" t="s">
        <v>1105</v>
      </c>
      <c r="F47" s="39" t="s">
        <v>1106</v>
      </c>
      <c r="G47" s="39">
        <v>10</v>
      </c>
      <c r="H47" s="39"/>
      <c r="I47" s="40" t="s">
        <v>257</v>
      </c>
      <c r="J47" s="41">
        <v>263</v>
      </c>
      <c r="K47" s="41">
        <v>652</v>
      </c>
      <c r="L47" s="41"/>
      <c r="M47" s="42">
        <v>100</v>
      </c>
      <c r="N47" s="42">
        <v>241.93</v>
      </c>
      <c r="O47" s="43">
        <v>171476</v>
      </c>
      <c r="P47" s="44">
        <v>24137.040000000001</v>
      </c>
      <c r="Q47" s="44">
        <v>63627.59</v>
      </c>
      <c r="R47" s="45">
        <v>0</v>
      </c>
      <c r="S47" s="46">
        <v>0</v>
      </c>
      <c r="T47" s="39">
        <f t="shared" si="19"/>
        <v>10</v>
      </c>
      <c r="U47" s="47">
        <f t="shared" si="20"/>
        <v>7.80643828025743E-2</v>
      </c>
      <c r="V47" s="48">
        <f t="shared" si="21"/>
        <v>141.93</v>
      </c>
      <c r="W47" s="49">
        <f t="shared" si="22"/>
        <v>7.8064382802574299E-3</v>
      </c>
      <c r="X47" s="44">
        <f t="shared" si="23"/>
        <v>5384.2227307170197</v>
      </c>
      <c r="Y47" s="44">
        <f t="shared" si="24"/>
        <v>39490.549999999996</v>
      </c>
      <c r="Z47" s="44">
        <f t="shared" si="25"/>
        <v>23659.249156148842</v>
      </c>
      <c r="AA47" s="50">
        <f t="shared" si="26"/>
        <v>69011.812730717022</v>
      </c>
      <c r="AB47" s="51">
        <f t="shared" si="27"/>
        <v>22117.649019490364</v>
      </c>
      <c r="AC47" s="44">
        <f t="shared" si="28"/>
        <v>64515.109592144538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0.7278724357900942</v>
      </c>
      <c r="AG47" s="44">
        <f t="shared" si="31"/>
        <v>124812.6537995422</v>
      </c>
      <c r="AH47" s="52">
        <f>HLOOKUP(I47,ElecAvoidedCostsWOCC!$A$5:$Q$50,T47+1,FALSE)</f>
        <v>0.7278724357900942</v>
      </c>
      <c r="AI47" s="44">
        <f t="shared" si="32"/>
        <v>0</v>
      </c>
      <c r="AJ47" s="44">
        <f t="shared" si="33"/>
        <v>124812.6537995422</v>
      </c>
      <c r="AK47" s="44">
        <f>HLOOKUP(I47,ElecAvoidedCostsWOCC!$A$5:$Q$50,G47+1,FALSE)*J47*L47</f>
        <v>0</v>
      </c>
      <c r="AL47" s="44">
        <f t="shared" si="34"/>
        <v>124812.6537995422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124812.6537995422</v>
      </c>
      <c r="AN47" s="48">
        <f t="shared" si="35"/>
        <v>137293.91917949641</v>
      </c>
      <c r="AO47" s="47">
        <f t="shared" si="36"/>
        <v>5.6431248045194877</v>
      </c>
      <c r="AP47" s="47">
        <f t="shared" si="37"/>
        <v>2.1280893739071249</v>
      </c>
      <c r="AQ47">
        <v>2020</v>
      </c>
    </row>
    <row r="48" spans="2:43">
      <c r="B48" s="97" t="s">
        <v>70</v>
      </c>
      <c r="C48" s="61">
        <v>18230714</v>
      </c>
      <c r="D48" s="61" t="s">
        <v>128</v>
      </c>
      <c r="E48" s="38" t="s">
        <v>1107</v>
      </c>
      <c r="F48" s="39" t="s">
        <v>1108</v>
      </c>
      <c r="G48" s="39">
        <v>10</v>
      </c>
      <c r="H48" s="39"/>
      <c r="I48" s="40" t="s">
        <v>257</v>
      </c>
      <c r="J48" s="41">
        <v>823</v>
      </c>
      <c r="K48" s="41">
        <v>54</v>
      </c>
      <c r="L48" s="41"/>
      <c r="M48" s="42">
        <v>3</v>
      </c>
      <c r="N48" s="42">
        <v>20</v>
      </c>
      <c r="O48" s="43">
        <v>44442</v>
      </c>
      <c r="P48" s="44">
        <v>2440.1999999999998</v>
      </c>
      <c r="Q48" s="44">
        <v>16460</v>
      </c>
      <c r="R48" s="45">
        <v>0</v>
      </c>
      <c r="S48" s="46">
        <v>0</v>
      </c>
      <c r="T48" s="39">
        <f t="shared" si="19"/>
        <v>10</v>
      </c>
      <c r="U48" s="47">
        <f t="shared" si="20"/>
        <v>2.0232203343395035E-2</v>
      </c>
      <c r="V48" s="48">
        <f t="shared" si="21"/>
        <v>17</v>
      </c>
      <c r="W48" s="49">
        <f t="shared" si="22"/>
        <v>2.0232203343395036E-3</v>
      </c>
      <c r="X48" s="44">
        <f t="shared" si="23"/>
        <v>1395.4467482243917</v>
      </c>
      <c r="Y48" s="44">
        <f t="shared" si="24"/>
        <v>14019.8</v>
      </c>
      <c r="Z48" s="44">
        <f t="shared" si="25"/>
        <v>6131.8455702113824</v>
      </c>
      <c r="AA48" s="50">
        <f t="shared" si="26"/>
        <v>17855.446748224393</v>
      </c>
      <c r="AB48" s="51">
        <f t="shared" si="27"/>
        <v>5732.3039826225877</v>
      </c>
      <c r="AC48" s="44">
        <f t="shared" si="28"/>
        <v>16692.01341331625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0.7278724357900942</v>
      </c>
      <c r="AG48" s="44">
        <f t="shared" si="31"/>
        <v>32348.106791383369</v>
      </c>
      <c r="AH48" s="52">
        <f>HLOOKUP(I48,ElecAvoidedCostsWOCC!$A$5:$Q$50,T48+1,FALSE)</f>
        <v>0.7278724357900942</v>
      </c>
      <c r="AI48" s="44">
        <f t="shared" si="32"/>
        <v>0</v>
      </c>
      <c r="AJ48" s="44">
        <f t="shared" si="33"/>
        <v>32348.106791383369</v>
      </c>
      <c r="AK48" s="44">
        <f>HLOOKUP(I48,ElecAvoidedCostsWOCC!$A$5:$Q$50,G48+1,FALSE)*J48*L48</f>
        <v>0</v>
      </c>
      <c r="AL48" s="44">
        <f t="shared" si="34"/>
        <v>32348.106791383369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32348.106791383369</v>
      </c>
      <c r="AN48" s="48">
        <f t="shared" si="35"/>
        <v>35582.917470521708</v>
      </c>
      <c r="AO48" s="47">
        <f t="shared" si="36"/>
        <v>5.6431248045194877</v>
      </c>
      <c r="AP48" s="47">
        <f t="shared" si="37"/>
        <v>2.1317330983052658</v>
      </c>
      <c r="AQ48">
        <v>2020</v>
      </c>
    </row>
    <row r="49" spans="2:43">
      <c r="B49" s="97" t="s">
        <v>70</v>
      </c>
      <c r="C49" s="61">
        <v>18230714</v>
      </c>
      <c r="D49" s="61" t="s">
        <v>128</v>
      </c>
      <c r="E49" s="38" t="s">
        <v>1109</v>
      </c>
      <c r="F49" s="39" t="s">
        <v>1110</v>
      </c>
      <c r="G49" s="39">
        <v>12</v>
      </c>
      <c r="H49" s="39"/>
      <c r="I49" s="40" t="s">
        <v>257</v>
      </c>
      <c r="J49" s="41">
        <v>6151</v>
      </c>
      <c r="K49" s="41">
        <v>70.599999999999994</v>
      </c>
      <c r="L49" s="41"/>
      <c r="M49" s="42">
        <v>4</v>
      </c>
      <c r="N49" s="42">
        <v>20</v>
      </c>
      <c r="O49" s="43">
        <v>434260.6</v>
      </c>
      <c r="P49" s="44">
        <v>21494.720000000001</v>
      </c>
      <c r="Q49" s="44">
        <v>123020</v>
      </c>
      <c r="R49" s="45">
        <v>0</v>
      </c>
      <c r="S49" s="46">
        <v>0</v>
      </c>
      <c r="T49" s="39">
        <f t="shared" ref="T49:T62" si="38">G49+H49</f>
        <v>12</v>
      </c>
      <c r="U49" s="47">
        <f t="shared" ref="U49:U62" si="39">(O49/$A$10)*T49</f>
        <v>0.23723636460712122</v>
      </c>
      <c r="V49" s="48">
        <f t="shared" ref="V49:V62" si="40">N49-M49</f>
        <v>16</v>
      </c>
      <c r="W49" s="49">
        <f t="shared" ref="W49:W62" si="41">(O49/A$10)</f>
        <v>1.9769697050593435E-2</v>
      </c>
      <c r="X49" s="44">
        <f t="shared" ref="X49:X62" si="42">W49*A$8</f>
        <v>13635.469649250108</v>
      </c>
      <c r="Y49" s="44">
        <f t="shared" ref="Y49:Y62" si="43">Q49-P49</f>
        <v>101525.28</v>
      </c>
      <c r="Z49" s="44">
        <f t="shared" ref="Z49:Z62" si="44">X49+(A$6*W49)</f>
        <v>59916.721489297001</v>
      </c>
      <c r="AA49" s="50">
        <f t="shared" ref="AA49:AA62" si="45">Q49+X49</f>
        <v>136655.4696492501</v>
      </c>
      <c r="AB49" s="51">
        <f t="shared" ref="AB49:AB62" si="46">Z49/(1+ElecDiscountRate)^1</f>
        <v>56012.640449936429</v>
      </c>
      <c r="AC49" s="44">
        <f t="shared" ref="AC49:AC62" si="47">AA49/(1+ElecDiscountRate)^1</f>
        <v>127751.21029190435</v>
      </c>
      <c r="AD49" s="44">
        <f t="shared" ref="AD49:AD62" si="48">-PV(ElecDiscountRate,T49,R49)*J49</f>
        <v>0</v>
      </c>
      <c r="AE49" s="44">
        <f t="shared" ref="AE49:AE62" si="49">-PV(ElecDiscountRate,T49,S49)*J49</f>
        <v>0</v>
      </c>
      <c r="AF49" s="52">
        <f>HLOOKUP(I49,ElecAvoidedCostsWOCC!$A$5:$Q$50,G49+1,FALSE)</f>
        <v>0.86650348716649883</v>
      </c>
      <c r="AG49" s="44">
        <f t="shared" ref="AG49:AG62" si="50">AF49*J49*K49</f>
        <v>376288.32423901604</v>
      </c>
      <c r="AH49" s="52">
        <f>HLOOKUP(I49,ElecAvoidedCostsWOCC!$A$5:$Q$50,T49+1,FALSE)</f>
        <v>0.86650348716649883</v>
      </c>
      <c r="AI49" s="44">
        <f t="shared" ref="AI49:AI62" si="51">AH49*J49*L49</f>
        <v>0</v>
      </c>
      <c r="AJ49" s="44">
        <f t="shared" ref="AJ49:AJ62" si="52">AG49+AI49</f>
        <v>376288.32423901604</v>
      </c>
      <c r="AK49" s="44">
        <f>HLOOKUP(I49,ElecAvoidedCostsWOCC!$A$5:$Q$50,G49+1,FALSE)*J49*L49</f>
        <v>0</v>
      </c>
      <c r="AL49" s="44">
        <f t="shared" ref="AL49:AL62" si="53">AG49+AI49-AK49</f>
        <v>376288.32423901604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376288.32423901604</v>
      </c>
      <c r="AN49" s="48">
        <f t="shared" ref="AN49:AN62" si="54">AM49*1.1+AD49+AE49</f>
        <v>413917.1566629177</v>
      </c>
      <c r="AO49" s="47">
        <f t="shared" ref="AO49:AO62" si="55">IFERROR(AM49/AB49,0)</f>
        <v>6.7179179773776063</v>
      </c>
      <c r="AP49" s="47">
        <f t="shared" ref="AP49:AP62" si="56">AN49/AC49</f>
        <v>3.2400253251389182</v>
      </c>
      <c r="AQ49">
        <v>2020</v>
      </c>
    </row>
    <row r="50" spans="2:43">
      <c r="B50" s="97" t="s">
        <v>70</v>
      </c>
      <c r="C50" s="61">
        <v>18230714</v>
      </c>
      <c r="D50" s="61" t="s">
        <v>128</v>
      </c>
      <c r="E50" s="38" t="s">
        <v>1111</v>
      </c>
      <c r="F50" s="39" t="s">
        <v>1112</v>
      </c>
      <c r="G50" s="39">
        <v>15</v>
      </c>
      <c r="H50" s="39"/>
      <c r="I50" s="40" t="s">
        <v>257</v>
      </c>
      <c r="J50" s="41">
        <v>1</v>
      </c>
      <c r="K50" s="41">
        <v>202</v>
      </c>
      <c r="L50" s="41"/>
      <c r="M50" s="42">
        <v>40</v>
      </c>
      <c r="N50" s="42">
        <v>255</v>
      </c>
      <c r="O50" s="43">
        <v>202</v>
      </c>
      <c r="P50" s="44">
        <v>40</v>
      </c>
      <c r="Q50" s="44">
        <v>255</v>
      </c>
      <c r="R50" s="45">
        <v>0</v>
      </c>
      <c r="S50" s="46">
        <v>0</v>
      </c>
      <c r="T50" s="39">
        <f t="shared" si="38"/>
        <v>15</v>
      </c>
      <c r="U50" s="47">
        <f t="shared" si="39"/>
        <v>1.3794063302841221E-4</v>
      </c>
      <c r="V50" s="48">
        <f t="shared" si="40"/>
        <v>215</v>
      </c>
      <c r="W50" s="49">
        <f t="shared" si="41"/>
        <v>9.1960422018941481E-6</v>
      </c>
      <c r="X50" s="44">
        <f t="shared" si="42"/>
        <v>6.3426543166672769</v>
      </c>
      <c r="Y50" s="44">
        <f t="shared" si="43"/>
        <v>215</v>
      </c>
      <c r="Z50" s="44">
        <f t="shared" si="44"/>
        <v>27.870771009016231</v>
      </c>
      <c r="AA50" s="50">
        <f t="shared" si="45"/>
        <v>261.34265431666728</v>
      </c>
      <c r="AB50" s="51">
        <f t="shared" si="46"/>
        <v>26.05475461252335</v>
      </c>
      <c r="AC50" s="44">
        <f t="shared" si="47"/>
        <v>244.31397056807259</v>
      </c>
      <c r="AD50" s="44">
        <f t="shared" si="48"/>
        <v>0</v>
      </c>
      <c r="AE50" s="44">
        <f t="shared" si="49"/>
        <v>0</v>
      </c>
      <c r="AF50" s="52">
        <f>HLOOKUP(I50,ElecAvoidedCostsWOCC!$A$5:$Q$50,G50+1,FALSE)</f>
        <v>1.0545904948077327</v>
      </c>
      <c r="AG50" s="44">
        <f t="shared" si="50"/>
        <v>213.027279951162</v>
      </c>
      <c r="AH50" s="52">
        <f>HLOOKUP(I50,ElecAvoidedCostsWOCC!$A$5:$Q$50,T50+1,FALSE)</f>
        <v>1.0545904948077327</v>
      </c>
      <c r="AI50" s="44">
        <f t="shared" si="51"/>
        <v>0</v>
      </c>
      <c r="AJ50" s="44">
        <f t="shared" si="52"/>
        <v>213.027279951162</v>
      </c>
      <c r="AK50" s="44">
        <f>HLOOKUP(I50,ElecAvoidedCostsWOCC!$A$5:$Q$50,G50+1,FALSE)*J50*L50</f>
        <v>0</v>
      </c>
      <c r="AL50" s="44">
        <f t="shared" si="53"/>
        <v>213.027279951162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213.027279951162</v>
      </c>
      <c r="AN50" s="48">
        <f t="shared" si="54"/>
        <v>234.33000794627822</v>
      </c>
      <c r="AO50" s="47">
        <f t="shared" si="55"/>
        <v>8.1761384100224586</v>
      </c>
      <c r="AP50" s="47">
        <f t="shared" si="56"/>
        <v>0.95913470441915405</v>
      </c>
      <c r="AQ50">
        <v>2020</v>
      </c>
    </row>
    <row r="51" spans="2:43">
      <c r="B51" s="97" t="s">
        <v>70</v>
      </c>
      <c r="C51" s="61">
        <v>18230714</v>
      </c>
      <c r="D51" s="61" t="s">
        <v>128</v>
      </c>
      <c r="E51" s="38" t="s">
        <v>1113</v>
      </c>
      <c r="F51" s="39" t="s">
        <v>1114</v>
      </c>
      <c r="G51" s="39">
        <v>15</v>
      </c>
      <c r="H51" s="39"/>
      <c r="I51" s="40" t="s">
        <v>257</v>
      </c>
      <c r="J51" s="41">
        <v>14</v>
      </c>
      <c r="K51" s="41">
        <v>252</v>
      </c>
      <c r="L51" s="41"/>
      <c r="M51" s="42">
        <v>50</v>
      </c>
      <c r="N51" s="42">
        <v>329</v>
      </c>
      <c r="O51" s="43">
        <v>3528</v>
      </c>
      <c r="P51" s="44">
        <v>700</v>
      </c>
      <c r="Q51" s="44">
        <v>4606</v>
      </c>
      <c r="R51" s="45">
        <v>0</v>
      </c>
      <c r="S51" s="46">
        <v>0</v>
      </c>
      <c r="T51" s="39">
        <f t="shared" si="38"/>
        <v>15</v>
      </c>
      <c r="U51" s="47">
        <f t="shared" si="39"/>
        <v>2.4091809570506847E-3</v>
      </c>
      <c r="V51" s="48">
        <f t="shared" si="40"/>
        <v>279</v>
      </c>
      <c r="W51" s="49">
        <f t="shared" si="41"/>
        <v>1.6061206380337898E-4</v>
      </c>
      <c r="X51" s="44">
        <f t="shared" si="42"/>
        <v>110.77665559010967</v>
      </c>
      <c r="Y51" s="44">
        <f t="shared" si="43"/>
        <v>3906</v>
      </c>
      <c r="Z51" s="44">
        <f t="shared" si="44"/>
        <v>486.77267386044184</v>
      </c>
      <c r="AA51" s="50">
        <f t="shared" si="45"/>
        <v>4716.7766555901098</v>
      </c>
      <c r="AB51" s="51">
        <f t="shared" si="46"/>
        <v>455.05531818308106</v>
      </c>
      <c r="AC51" s="44">
        <f t="shared" si="47"/>
        <v>4409.4387731047109</v>
      </c>
      <c r="AD51" s="44">
        <f t="shared" si="48"/>
        <v>0</v>
      </c>
      <c r="AE51" s="44">
        <f t="shared" si="49"/>
        <v>0</v>
      </c>
      <c r="AF51" s="52">
        <f>HLOOKUP(I51,ElecAvoidedCostsWOCC!$A$5:$Q$50,G51+1,FALSE)</f>
        <v>1.0545904948077327</v>
      </c>
      <c r="AG51" s="44">
        <f t="shared" si="50"/>
        <v>3720.5952656816808</v>
      </c>
      <c r="AH51" s="52">
        <f>HLOOKUP(I51,ElecAvoidedCostsWOCC!$A$5:$Q$50,T51+1,FALSE)</f>
        <v>1.0545904948077327</v>
      </c>
      <c r="AI51" s="44">
        <f t="shared" si="51"/>
        <v>0</v>
      </c>
      <c r="AJ51" s="44">
        <f t="shared" si="52"/>
        <v>3720.5952656816808</v>
      </c>
      <c r="AK51" s="44">
        <f>HLOOKUP(I51,ElecAvoidedCostsWOCC!$A$5:$Q$50,G51+1,FALSE)*J51*L51</f>
        <v>0</v>
      </c>
      <c r="AL51" s="44">
        <f t="shared" si="53"/>
        <v>3720.5952656816808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3720.5952656816812</v>
      </c>
      <c r="AN51" s="48">
        <f t="shared" si="54"/>
        <v>4092.6547922498498</v>
      </c>
      <c r="AO51" s="47">
        <f t="shared" si="55"/>
        <v>8.1761384100224603</v>
      </c>
      <c r="AP51" s="47">
        <f t="shared" si="56"/>
        <v>0.92815775495351494</v>
      </c>
      <c r="AQ51">
        <v>2020</v>
      </c>
    </row>
    <row r="52" spans="2:43">
      <c r="B52" s="97" t="s">
        <v>70</v>
      </c>
      <c r="C52" s="61">
        <v>18230714</v>
      </c>
      <c r="D52" s="61" t="s">
        <v>128</v>
      </c>
      <c r="E52" s="38" t="s">
        <v>1115</v>
      </c>
      <c r="F52" s="39" t="s">
        <v>1116</v>
      </c>
      <c r="G52" s="39">
        <v>15</v>
      </c>
      <c r="H52" s="39"/>
      <c r="I52" s="40" t="s">
        <v>257</v>
      </c>
      <c r="J52" s="41">
        <v>16</v>
      </c>
      <c r="K52" s="41">
        <v>352</v>
      </c>
      <c r="L52" s="41"/>
      <c r="M52" s="42">
        <v>70</v>
      </c>
      <c r="N52" s="42">
        <v>365</v>
      </c>
      <c r="O52" s="43">
        <v>5632</v>
      </c>
      <c r="P52" s="44">
        <v>1120</v>
      </c>
      <c r="Q52" s="44">
        <v>5840</v>
      </c>
      <c r="R52" s="45">
        <v>0</v>
      </c>
      <c r="S52" s="46">
        <v>0</v>
      </c>
      <c r="T52" s="39">
        <f t="shared" si="38"/>
        <v>15</v>
      </c>
      <c r="U52" s="47">
        <f t="shared" si="39"/>
        <v>3.8459487386931566E-3</v>
      </c>
      <c r="V52" s="48">
        <f t="shared" si="40"/>
        <v>295</v>
      </c>
      <c r="W52" s="49">
        <f t="shared" si="41"/>
        <v>2.5639658257954379E-4</v>
      </c>
      <c r="X52" s="44">
        <f t="shared" si="42"/>
        <v>176.84073817559459</v>
      </c>
      <c r="Y52" s="44">
        <f t="shared" si="43"/>
        <v>4720</v>
      </c>
      <c r="Z52" s="44">
        <f t="shared" si="44"/>
        <v>777.07020951871004</v>
      </c>
      <c r="AA52" s="50">
        <f t="shared" si="45"/>
        <v>6016.8407381755942</v>
      </c>
      <c r="AB52" s="51">
        <f t="shared" si="46"/>
        <v>726.4375147412452</v>
      </c>
      <c r="AC52" s="44">
        <f t="shared" si="47"/>
        <v>5624.792687833592</v>
      </c>
      <c r="AD52" s="44">
        <f t="shared" si="48"/>
        <v>0</v>
      </c>
      <c r="AE52" s="44">
        <f t="shared" si="49"/>
        <v>0</v>
      </c>
      <c r="AF52" s="52">
        <f>HLOOKUP(I52,ElecAvoidedCostsWOCC!$A$5:$Q$50,G52+1,FALSE)</f>
        <v>1.0545904948077327</v>
      </c>
      <c r="AG52" s="44">
        <f t="shared" si="50"/>
        <v>5939.4536667571501</v>
      </c>
      <c r="AH52" s="52">
        <f>HLOOKUP(I52,ElecAvoidedCostsWOCC!$A$5:$Q$50,T52+1,FALSE)</f>
        <v>1.0545904948077327</v>
      </c>
      <c r="AI52" s="44">
        <f t="shared" si="51"/>
        <v>0</v>
      </c>
      <c r="AJ52" s="44">
        <f t="shared" si="52"/>
        <v>5939.4536667571501</v>
      </c>
      <c r="AK52" s="44">
        <f>HLOOKUP(I52,ElecAvoidedCostsWOCC!$A$5:$Q$50,G52+1,FALSE)*J52*L52</f>
        <v>0</v>
      </c>
      <c r="AL52" s="44">
        <f t="shared" si="53"/>
        <v>5939.4536667571501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5939.4536667571501</v>
      </c>
      <c r="AN52" s="48">
        <f t="shared" si="54"/>
        <v>6533.3990334328655</v>
      </c>
      <c r="AO52" s="47">
        <f t="shared" si="55"/>
        <v>8.1761384100224568</v>
      </c>
      <c r="AP52" s="47">
        <f t="shared" si="56"/>
        <v>1.1615359704837809</v>
      </c>
      <c r="AQ52">
        <v>2020</v>
      </c>
    </row>
    <row r="53" spans="2:43">
      <c r="B53" s="97" t="s">
        <v>70</v>
      </c>
      <c r="C53" s="61">
        <v>18230714</v>
      </c>
      <c r="D53" s="61" t="s">
        <v>128</v>
      </c>
      <c r="E53" s="38" t="s">
        <v>1119</v>
      </c>
      <c r="F53" s="39" t="s">
        <v>1120</v>
      </c>
      <c r="G53" s="39">
        <v>15</v>
      </c>
      <c r="H53" s="39"/>
      <c r="I53" s="40" t="s">
        <v>257</v>
      </c>
      <c r="J53" s="41">
        <v>22</v>
      </c>
      <c r="K53" s="41">
        <v>857</v>
      </c>
      <c r="L53" s="41"/>
      <c r="M53" s="42">
        <v>175</v>
      </c>
      <c r="N53" s="42">
        <v>516</v>
      </c>
      <c r="O53" s="43">
        <v>18854</v>
      </c>
      <c r="P53" s="44">
        <v>2144.9699999999998</v>
      </c>
      <c r="Q53" s="44">
        <v>11352</v>
      </c>
      <c r="R53" s="45">
        <v>0</v>
      </c>
      <c r="S53" s="46">
        <v>0</v>
      </c>
      <c r="T53" s="39">
        <f t="shared" si="38"/>
        <v>15</v>
      </c>
      <c r="U53" s="47">
        <f t="shared" si="39"/>
        <v>1.2874914332265763E-2</v>
      </c>
      <c r="V53" s="48">
        <f t="shared" si="40"/>
        <v>341</v>
      </c>
      <c r="W53" s="49">
        <f t="shared" si="41"/>
        <v>8.5832762215105082E-4</v>
      </c>
      <c r="X53" s="44">
        <f t="shared" si="42"/>
        <v>592.00200240814274</v>
      </c>
      <c r="Y53" s="44">
        <f t="shared" si="43"/>
        <v>9207.0300000000007</v>
      </c>
      <c r="Z53" s="44">
        <f t="shared" si="44"/>
        <v>2601.3639435841187</v>
      </c>
      <c r="AA53" s="50">
        <f t="shared" si="45"/>
        <v>11944.002002408142</v>
      </c>
      <c r="AB53" s="51">
        <f t="shared" si="46"/>
        <v>2431.8630864579964</v>
      </c>
      <c r="AC53" s="44">
        <f t="shared" si="47"/>
        <v>11165.749277749033</v>
      </c>
      <c r="AD53" s="44">
        <f t="shared" si="48"/>
        <v>0</v>
      </c>
      <c r="AE53" s="44">
        <f t="shared" si="49"/>
        <v>0</v>
      </c>
      <c r="AF53" s="52">
        <f>HLOOKUP(I53,ElecAvoidedCostsWOCC!$A$5:$Q$50,G53+1,FALSE)</f>
        <v>1.0545904948077327</v>
      </c>
      <c r="AG53" s="44">
        <f t="shared" si="50"/>
        <v>19883.24918910499</v>
      </c>
      <c r="AH53" s="52">
        <f>HLOOKUP(I53,ElecAvoidedCostsWOCC!$A$5:$Q$50,T53+1,FALSE)</f>
        <v>1.0545904948077327</v>
      </c>
      <c r="AI53" s="44">
        <f t="shared" si="51"/>
        <v>0</v>
      </c>
      <c r="AJ53" s="44">
        <f t="shared" si="52"/>
        <v>19883.24918910499</v>
      </c>
      <c r="AK53" s="44">
        <f>HLOOKUP(I53,ElecAvoidedCostsWOCC!$A$5:$Q$50,G53+1,FALSE)*J53*L53</f>
        <v>0</v>
      </c>
      <c r="AL53" s="44">
        <f t="shared" si="53"/>
        <v>19883.24918910499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19883.249189104994</v>
      </c>
      <c r="AN53" s="48">
        <f t="shared" si="54"/>
        <v>21871.574108015495</v>
      </c>
      <c r="AO53" s="47">
        <f t="shared" si="55"/>
        <v>8.1761384100224603</v>
      </c>
      <c r="AP53" s="47">
        <f t="shared" si="56"/>
        <v>1.9588093520603134</v>
      </c>
      <c r="AQ53">
        <v>2020</v>
      </c>
    </row>
    <row r="54" spans="2:43">
      <c r="B54" s="97" t="s">
        <v>70</v>
      </c>
      <c r="C54" s="61">
        <v>18230714</v>
      </c>
      <c r="D54" s="61" t="s">
        <v>128</v>
      </c>
      <c r="E54" s="38" t="s">
        <v>1123</v>
      </c>
      <c r="F54" s="39" t="s">
        <v>1124</v>
      </c>
      <c r="G54" s="39">
        <v>15</v>
      </c>
      <c r="H54" s="39"/>
      <c r="I54" s="40" t="s">
        <v>257</v>
      </c>
      <c r="J54" s="41">
        <v>15</v>
      </c>
      <c r="K54" s="41">
        <v>1230</v>
      </c>
      <c r="L54" s="41"/>
      <c r="M54" s="42">
        <v>250</v>
      </c>
      <c r="N54" s="42">
        <v>677</v>
      </c>
      <c r="O54" s="43">
        <v>18450</v>
      </c>
      <c r="P54" s="44">
        <v>3750</v>
      </c>
      <c r="Q54" s="44">
        <v>10155</v>
      </c>
      <c r="R54" s="45">
        <v>0</v>
      </c>
      <c r="S54" s="46">
        <v>0</v>
      </c>
      <c r="T54" s="39">
        <f t="shared" si="38"/>
        <v>15</v>
      </c>
      <c r="U54" s="47">
        <f t="shared" si="39"/>
        <v>1.2599033066208937E-2</v>
      </c>
      <c r="V54" s="48">
        <f t="shared" si="40"/>
        <v>427</v>
      </c>
      <c r="W54" s="49">
        <f t="shared" si="41"/>
        <v>8.399355377472625E-4</v>
      </c>
      <c r="X54" s="44">
        <f t="shared" si="42"/>
        <v>579.31669377480819</v>
      </c>
      <c r="Y54" s="44">
        <f t="shared" si="43"/>
        <v>6405</v>
      </c>
      <c r="Z54" s="44">
        <f t="shared" si="44"/>
        <v>2545.622401566086</v>
      </c>
      <c r="AA54" s="50">
        <f t="shared" si="45"/>
        <v>10734.316693774808</v>
      </c>
      <c r="AB54" s="51">
        <f t="shared" si="46"/>
        <v>2379.7535772329493</v>
      </c>
      <c r="AC54" s="44">
        <f t="shared" si="47"/>
        <v>10034.885195638784</v>
      </c>
      <c r="AD54" s="44">
        <f t="shared" si="48"/>
        <v>0</v>
      </c>
      <c r="AE54" s="44">
        <f t="shared" si="49"/>
        <v>0</v>
      </c>
      <c r="AF54" s="52">
        <f>HLOOKUP(I54,ElecAvoidedCostsWOCC!$A$5:$Q$50,G54+1,FALSE)</f>
        <v>1.0545904948077327</v>
      </c>
      <c r="AG54" s="44">
        <f t="shared" si="50"/>
        <v>19457.194629202666</v>
      </c>
      <c r="AH54" s="52">
        <f>HLOOKUP(I54,ElecAvoidedCostsWOCC!$A$5:$Q$50,T54+1,FALSE)</f>
        <v>1.0545904948077327</v>
      </c>
      <c r="AI54" s="44">
        <f t="shared" si="51"/>
        <v>0</v>
      </c>
      <c r="AJ54" s="44">
        <f t="shared" si="52"/>
        <v>19457.194629202666</v>
      </c>
      <c r="AK54" s="44">
        <f>HLOOKUP(I54,ElecAvoidedCostsWOCC!$A$5:$Q$50,G54+1,FALSE)*J54*L54</f>
        <v>0</v>
      </c>
      <c r="AL54" s="44">
        <f t="shared" si="53"/>
        <v>19457.194629202666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19457.19462920267</v>
      </c>
      <c r="AN54" s="48">
        <f t="shared" si="54"/>
        <v>21402.914092122937</v>
      </c>
      <c r="AO54" s="47">
        <f t="shared" si="55"/>
        <v>8.1761384100224603</v>
      </c>
      <c r="AP54" s="47">
        <f t="shared" si="56"/>
        <v>2.1328509170612895</v>
      </c>
      <c r="AQ54">
        <v>2020</v>
      </c>
    </row>
    <row r="55" spans="2:43">
      <c r="B55" s="97" t="s">
        <v>70</v>
      </c>
      <c r="C55" s="61">
        <v>18230714</v>
      </c>
      <c r="D55" s="61" t="s">
        <v>128</v>
      </c>
      <c r="E55" s="38" t="s">
        <v>1125</v>
      </c>
      <c r="F55" s="39" t="s">
        <v>1126</v>
      </c>
      <c r="G55" s="39">
        <v>15</v>
      </c>
      <c r="H55" s="39"/>
      <c r="I55" s="40" t="s">
        <v>257</v>
      </c>
      <c r="J55" s="41">
        <v>8</v>
      </c>
      <c r="K55" s="41">
        <v>3204</v>
      </c>
      <c r="L55" s="41"/>
      <c r="M55" s="42">
        <v>645</v>
      </c>
      <c r="N55" s="42">
        <v>1203</v>
      </c>
      <c r="O55" s="43">
        <v>25632</v>
      </c>
      <c r="P55" s="44">
        <v>5160</v>
      </c>
      <c r="Q55" s="44">
        <v>9624</v>
      </c>
      <c r="R55" s="45">
        <v>0</v>
      </c>
      <c r="S55" s="46">
        <v>0</v>
      </c>
      <c r="T55" s="39">
        <f t="shared" si="38"/>
        <v>15</v>
      </c>
      <c r="U55" s="47">
        <f t="shared" si="39"/>
        <v>1.7503437157347829E-2</v>
      </c>
      <c r="V55" s="48">
        <f t="shared" si="40"/>
        <v>558</v>
      </c>
      <c r="W55" s="49">
        <f t="shared" si="41"/>
        <v>1.1668958104898554E-3</v>
      </c>
      <c r="X55" s="44">
        <f t="shared" si="42"/>
        <v>804.82631408324573</v>
      </c>
      <c r="Y55" s="44">
        <f t="shared" si="43"/>
        <v>4464</v>
      </c>
      <c r="Z55" s="44">
        <f t="shared" si="44"/>
        <v>3536.5524876391282</v>
      </c>
      <c r="AA55" s="50">
        <f t="shared" si="45"/>
        <v>10428.826314083246</v>
      </c>
      <c r="AB55" s="51">
        <f t="shared" si="46"/>
        <v>3306.116189248507</v>
      </c>
      <c r="AC55" s="44">
        <f t="shared" si="47"/>
        <v>9749.3000973013422</v>
      </c>
      <c r="AD55" s="44">
        <f t="shared" si="48"/>
        <v>0</v>
      </c>
      <c r="AE55" s="44">
        <f t="shared" si="49"/>
        <v>0</v>
      </c>
      <c r="AF55" s="52">
        <f>HLOOKUP(I55,ElecAvoidedCostsWOCC!$A$5:$Q$50,G55+1,FALSE)</f>
        <v>1.0545904948077327</v>
      </c>
      <c r="AG55" s="44">
        <f t="shared" si="50"/>
        <v>27031.263562911805</v>
      </c>
      <c r="AH55" s="52">
        <f>HLOOKUP(I55,ElecAvoidedCostsWOCC!$A$5:$Q$50,T55+1,FALSE)</f>
        <v>1.0545904948077327</v>
      </c>
      <c r="AI55" s="44">
        <f t="shared" si="51"/>
        <v>0</v>
      </c>
      <c r="AJ55" s="44">
        <f t="shared" si="52"/>
        <v>27031.263562911805</v>
      </c>
      <c r="AK55" s="44">
        <f>HLOOKUP(I55,ElecAvoidedCostsWOCC!$A$5:$Q$50,G55+1,FALSE)*J55*L55</f>
        <v>0</v>
      </c>
      <c r="AL55" s="44">
        <f t="shared" si="53"/>
        <v>27031.263562911805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27031.263562911805</v>
      </c>
      <c r="AN55" s="48">
        <f t="shared" si="54"/>
        <v>29734.389919202989</v>
      </c>
      <c r="AO55" s="47">
        <f t="shared" si="55"/>
        <v>8.1761384100224603</v>
      </c>
      <c r="AP55" s="47">
        <f t="shared" si="56"/>
        <v>3.0498999540934868</v>
      </c>
      <c r="AQ55">
        <v>2020</v>
      </c>
    </row>
    <row r="56" spans="2:43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38"/>
        <v>0</v>
      </c>
      <c r="U56" s="47">
        <f t="shared" si="39"/>
        <v>0</v>
      </c>
      <c r="V56" s="48">
        <f t="shared" si="40"/>
        <v>0</v>
      </c>
      <c r="W56" s="49">
        <f t="shared" si="41"/>
        <v>0</v>
      </c>
      <c r="X56" s="44">
        <f t="shared" si="42"/>
        <v>0</v>
      </c>
      <c r="Y56" s="44">
        <f t="shared" si="43"/>
        <v>0</v>
      </c>
      <c r="Z56" s="44">
        <f t="shared" si="44"/>
        <v>0</v>
      </c>
      <c r="AA56" s="50">
        <f t="shared" si="45"/>
        <v>0</v>
      </c>
      <c r="AB56" s="51">
        <f t="shared" si="46"/>
        <v>0</v>
      </c>
      <c r="AC56" s="44">
        <f t="shared" si="47"/>
        <v>0</v>
      </c>
      <c r="AD56" s="44">
        <f t="shared" si="48"/>
        <v>0</v>
      </c>
      <c r="AE56" s="44">
        <f t="shared" si="49"/>
        <v>0</v>
      </c>
      <c r="AF56" s="52" t="e">
        <f>HLOOKUP(I56,ElecAvoidedCostsWOCC!$A$5:$Q$50,G56+1,FALSE)</f>
        <v>#N/A</v>
      </c>
      <c r="AG56" s="44" t="e">
        <f t="shared" si="50"/>
        <v>#N/A</v>
      </c>
      <c r="AH56" s="52" t="e">
        <f>HLOOKUP(I56,ElecAvoidedCostsWOCC!$A$5:$Q$50,T56+1,FALSE)</f>
        <v>#N/A</v>
      </c>
      <c r="AI56" s="44" t="e">
        <f t="shared" si="51"/>
        <v>#N/A</v>
      </c>
      <c r="AJ56" s="44" t="e">
        <f t="shared" si="52"/>
        <v>#N/A</v>
      </c>
      <c r="AK56" s="44" t="e">
        <f>HLOOKUP(I56,ElecAvoidedCostsWOCC!$A$5:$Q$50,G56+1,FALSE)*J56*L56</f>
        <v>#N/A</v>
      </c>
      <c r="AL56" s="44" t="e">
        <f t="shared" si="53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54"/>
        <v>0</v>
      </c>
      <c r="AO56" s="47">
        <f t="shared" si="55"/>
        <v>0</v>
      </c>
      <c r="AP56" s="47" t="e">
        <f t="shared" si="56"/>
        <v>#DIV/0!</v>
      </c>
    </row>
    <row r="57" spans="2:43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38"/>
        <v>0</v>
      </c>
      <c r="U57" s="47">
        <f t="shared" si="39"/>
        <v>0</v>
      </c>
      <c r="V57" s="48">
        <f t="shared" si="40"/>
        <v>0</v>
      </c>
      <c r="W57" s="49">
        <f t="shared" si="41"/>
        <v>0</v>
      </c>
      <c r="X57" s="44">
        <f t="shared" si="42"/>
        <v>0</v>
      </c>
      <c r="Y57" s="44">
        <f t="shared" si="43"/>
        <v>0</v>
      </c>
      <c r="Z57" s="44">
        <f t="shared" si="44"/>
        <v>0</v>
      </c>
      <c r="AA57" s="50">
        <f t="shared" si="45"/>
        <v>0</v>
      </c>
      <c r="AB57" s="51">
        <f t="shared" si="46"/>
        <v>0</v>
      </c>
      <c r="AC57" s="44">
        <f t="shared" si="47"/>
        <v>0</v>
      </c>
      <c r="AD57" s="44">
        <f t="shared" si="48"/>
        <v>0</v>
      </c>
      <c r="AE57" s="44">
        <f t="shared" si="49"/>
        <v>0</v>
      </c>
      <c r="AF57" s="52" t="e">
        <f>HLOOKUP(I57,ElecAvoidedCostsWOCC!$A$5:$Q$50,G57+1,FALSE)</f>
        <v>#N/A</v>
      </c>
      <c r="AG57" s="44" t="e">
        <f t="shared" si="50"/>
        <v>#N/A</v>
      </c>
      <c r="AH57" s="52" t="e">
        <f>HLOOKUP(I57,ElecAvoidedCostsWOCC!$A$5:$Q$50,T57+1,FALSE)</f>
        <v>#N/A</v>
      </c>
      <c r="AI57" s="44" t="e">
        <f t="shared" si="51"/>
        <v>#N/A</v>
      </c>
      <c r="AJ57" s="44" t="e">
        <f t="shared" si="52"/>
        <v>#N/A</v>
      </c>
      <c r="AK57" s="44" t="e">
        <f>HLOOKUP(I57,ElecAvoidedCostsWOCC!$A$5:$Q$50,G57+1,FALSE)*J57*L57</f>
        <v>#N/A</v>
      </c>
      <c r="AL57" s="44" t="e">
        <f t="shared" si="5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54"/>
        <v>0</v>
      </c>
      <c r="AO57" s="47">
        <f t="shared" si="55"/>
        <v>0</v>
      </c>
      <c r="AP57" s="47" t="e">
        <f t="shared" si="56"/>
        <v>#DIV/0!</v>
      </c>
    </row>
    <row r="58" spans="2:43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38"/>
        <v>0</v>
      </c>
      <c r="U58" s="47">
        <f t="shared" si="39"/>
        <v>0</v>
      </c>
      <c r="V58" s="48">
        <f t="shared" si="40"/>
        <v>0</v>
      </c>
      <c r="W58" s="49">
        <f t="shared" si="41"/>
        <v>0</v>
      </c>
      <c r="X58" s="44">
        <f t="shared" si="42"/>
        <v>0</v>
      </c>
      <c r="Y58" s="44">
        <f t="shared" si="43"/>
        <v>0</v>
      </c>
      <c r="Z58" s="44">
        <f t="shared" si="44"/>
        <v>0</v>
      </c>
      <c r="AA58" s="50">
        <f t="shared" si="45"/>
        <v>0</v>
      </c>
      <c r="AB58" s="51">
        <f t="shared" si="46"/>
        <v>0</v>
      </c>
      <c r="AC58" s="44">
        <f t="shared" si="47"/>
        <v>0</v>
      </c>
      <c r="AD58" s="44">
        <f t="shared" si="48"/>
        <v>0</v>
      </c>
      <c r="AE58" s="44">
        <f t="shared" si="49"/>
        <v>0</v>
      </c>
      <c r="AF58" s="52" t="e">
        <f>HLOOKUP(I58,ElecAvoidedCostsWOCC!$A$5:$Q$50,G58+1,FALSE)</f>
        <v>#N/A</v>
      </c>
      <c r="AG58" s="44" t="e">
        <f t="shared" si="50"/>
        <v>#N/A</v>
      </c>
      <c r="AH58" s="52" t="e">
        <f>HLOOKUP(I58,ElecAvoidedCostsWOCC!$A$5:$Q$50,T58+1,FALSE)</f>
        <v>#N/A</v>
      </c>
      <c r="AI58" s="44" t="e">
        <f t="shared" si="51"/>
        <v>#N/A</v>
      </c>
      <c r="AJ58" s="44" t="e">
        <f t="shared" si="52"/>
        <v>#N/A</v>
      </c>
      <c r="AK58" s="44" t="e">
        <f>HLOOKUP(I58,ElecAvoidedCostsWOCC!$A$5:$Q$50,G58+1,FALSE)*J58*L58</f>
        <v>#N/A</v>
      </c>
      <c r="AL58" s="44" t="e">
        <f t="shared" si="53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54"/>
        <v>0</v>
      </c>
      <c r="AO58" s="47">
        <f t="shared" si="55"/>
        <v>0</v>
      </c>
      <c r="AP58" s="47" t="e">
        <f t="shared" si="56"/>
        <v>#DIV/0!</v>
      </c>
    </row>
    <row r="59" spans="2:43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38"/>
        <v>0</v>
      </c>
      <c r="U59" s="47">
        <f t="shared" si="39"/>
        <v>0</v>
      </c>
      <c r="V59" s="48">
        <f t="shared" si="40"/>
        <v>0</v>
      </c>
      <c r="W59" s="49">
        <f t="shared" si="41"/>
        <v>0</v>
      </c>
      <c r="X59" s="44">
        <f t="shared" si="42"/>
        <v>0</v>
      </c>
      <c r="Y59" s="44">
        <f t="shared" si="43"/>
        <v>0</v>
      </c>
      <c r="Z59" s="44">
        <f t="shared" si="44"/>
        <v>0</v>
      </c>
      <c r="AA59" s="50">
        <f t="shared" si="45"/>
        <v>0</v>
      </c>
      <c r="AB59" s="51">
        <f t="shared" si="46"/>
        <v>0</v>
      </c>
      <c r="AC59" s="44">
        <f t="shared" si="47"/>
        <v>0</v>
      </c>
      <c r="AD59" s="44">
        <f t="shared" si="48"/>
        <v>0</v>
      </c>
      <c r="AE59" s="44">
        <f t="shared" si="49"/>
        <v>0</v>
      </c>
      <c r="AF59" s="52" t="e">
        <f>HLOOKUP(I59,ElecAvoidedCostsWOCC!$A$5:$Q$50,G59+1,FALSE)</f>
        <v>#N/A</v>
      </c>
      <c r="AG59" s="44" t="e">
        <f t="shared" si="50"/>
        <v>#N/A</v>
      </c>
      <c r="AH59" s="52" t="e">
        <f>HLOOKUP(I59,ElecAvoidedCostsWOCC!$A$5:$Q$50,T59+1,FALSE)</f>
        <v>#N/A</v>
      </c>
      <c r="AI59" s="44" t="e">
        <f t="shared" si="51"/>
        <v>#N/A</v>
      </c>
      <c r="AJ59" s="44" t="e">
        <f t="shared" si="52"/>
        <v>#N/A</v>
      </c>
      <c r="AK59" s="44" t="e">
        <f>HLOOKUP(I59,ElecAvoidedCostsWOCC!$A$5:$Q$50,G59+1,FALSE)*J59*L59</f>
        <v>#N/A</v>
      </c>
      <c r="AL59" s="44" t="e">
        <f t="shared" si="53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54"/>
        <v>0</v>
      </c>
      <c r="AO59" s="47">
        <f t="shared" si="55"/>
        <v>0</v>
      </c>
      <c r="AP59" s="47" t="e">
        <f t="shared" si="56"/>
        <v>#DIV/0!</v>
      </c>
    </row>
    <row r="60" spans="2:43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38"/>
        <v>0</v>
      </c>
      <c r="U60" s="47">
        <f t="shared" si="39"/>
        <v>0</v>
      </c>
      <c r="V60" s="48">
        <f t="shared" si="40"/>
        <v>0</v>
      </c>
      <c r="W60" s="49">
        <f t="shared" si="41"/>
        <v>0</v>
      </c>
      <c r="X60" s="44">
        <f t="shared" si="42"/>
        <v>0</v>
      </c>
      <c r="Y60" s="44">
        <f t="shared" si="43"/>
        <v>0</v>
      </c>
      <c r="Z60" s="44">
        <f t="shared" si="44"/>
        <v>0</v>
      </c>
      <c r="AA60" s="50">
        <f t="shared" si="45"/>
        <v>0</v>
      </c>
      <c r="AB60" s="51">
        <f t="shared" si="46"/>
        <v>0</v>
      </c>
      <c r="AC60" s="44">
        <f t="shared" si="47"/>
        <v>0</v>
      </c>
      <c r="AD60" s="44">
        <f t="shared" si="48"/>
        <v>0</v>
      </c>
      <c r="AE60" s="44">
        <f t="shared" si="49"/>
        <v>0</v>
      </c>
      <c r="AF60" s="52" t="e">
        <f>HLOOKUP(I60,ElecAvoidedCostsWOCC!$A$5:$Q$50,G60+1,FALSE)</f>
        <v>#N/A</v>
      </c>
      <c r="AG60" s="44" t="e">
        <f t="shared" si="50"/>
        <v>#N/A</v>
      </c>
      <c r="AH60" s="52" t="e">
        <f>HLOOKUP(I60,ElecAvoidedCostsWOCC!$A$5:$Q$50,T60+1,FALSE)</f>
        <v>#N/A</v>
      </c>
      <c r="AI60" s="44" t="e">
        <f t="shared" si="51"/>
        <v>#N/A</v>
      </c>
      <c r="AJ60" s="44" t="e">
        <f t="shared" si="52"/>
        <v>#N/A</v>
      </c>
      <c r="AK60" s="44" t="e">
        <f>HLOOKUP(I60,ElecAvoidedCostsWOCC!$A$5:$Q$50,G60+1,FALSE)*J60*L60</f>
        <v>#N/A</v>
      </c>
      <c r="AL60" s="44" t="e">
        <f t="shared" si="53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54"/>
        <v>0</v>
      </c>
      <c r="AO60" s="47">
        <f t="shared" si="55"/>
        <v>0</v>
      </c>
      <c r="AP60" s="47" t="e">
        <f t="shared" si="56"/>
        <v>#DIV/0!</v>
      </c>
    </row>
    <row r="61" spans="2:43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38"/>
        <v>0</v>
      </c>
      <c r="U61" s="47">
        <f t="shared" si="39"/>
        <v>0</v>
      </c>
      <c r="V61" s="48">
        <f t="shared" si="40"/>
        <v>0</v>
      </c>
      <c r="W61" s="49">
        <f t="shared" si="41"/>
        <v>0</v>
      </c>
      <c r="X61" s="44">
        <f t="shared" si="42"/>
        <v>0</v>
      </c>
      <c r="Y61" s="44">
        <f t="shared" si="43"/>
        <v>0</v>
      </c>
      <c r="Z61" s="44">
        <f t="shared" si="44"/>
        <v>0</v>
      </c>
      <c r="AA61" s="50">
        <f t="shared" si="45"/>
        <v>0</v>
      </c>
      <c r="AB61" s="51">
        <f t="shared" si="46"/>
        <v>0</v>
      </c>
      <c r="AC61" s="44">
        <f t="shared" si="47"/>
        <v>0</v>
      </c>
      <c r="AD61" s="44">
        <f t="shared" si="48"/>
        <v>0</v>
      </c>
      <c r="AE61" s="44">
        <f t="shared" si="49"/>
        <v>0</v>
      </c>
      <c r="AF61" s="52" t="e">
        <f>HLOOKUP(I61,ElecAvoidedCostsWOCC!$A$5:$Q$50,G61+1,FALSE)</f>
        <v>#N/A</v>
      </c>
      <c r="AG61" s="44" t="e">
        <f t="shared" si="50"/>
        <v>#N/A</v>
      </c>
      <c r="AH61" s="52" t="e">
        <f>HLOOKUP(I61,ElecAvoidedCostsWOCC!$A$5:$Q$50,T61+1,FALSE)</f>
        <v>#N/A</v>
      </c>
      <c r="AI61" s="44" t="e">
        <f t="shared" si="51"/>
        <v>#N/A</v>
      </c>
      <c r="AJ61" s="44" t="e">
        <f t="shared" si="52"/>
        <v>#N/A</v>
      </c>
      <c r="AK61" s="44" t="e">
        <f>HLOOKUP(I61,ElecAvoidedCostsWOCC!$A$5:$Q$50,G61+1,FALSE)*J61*L61</f>
        <v>#N/A</v>
      </c>
      <c r="AL61" s="44" t="e">
        <f t="shared" si="53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54"/>
        <v>0</v>
      </c>
      <c r="AO61" s="47">
        <f t="shared" si="55"/>
        <v>0</v>
      </c>
      <c r="AP61" s="47" t="e">
        <f t="shared" si="56"/>
        <v>#DIV/0!</v>
      </c>
    </row>
    <row r="62" spans="2:43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8"/>
        <v>0</v>
      </c>
      <c r="U62" s="47">
        <f t="shared" si="39"/>
        <v>0</v>
      </c>
      <c r="V62" s="48">
        <f t="shared" si="40"/>
        <v>0</v>
      </c>
      <c r="W62" s="49">
        <f t="shared" si="41"/>
        <v>0</v>
      </c>
      <c r="X62" s="44">
        <f t="shared" si="42"/>
        <v>0</v>
      </c>
      <c r="Y62" s="44">
        <f t="shared" si="43"/>
        <v>0</v>
      </c>
      <c r="Z62" s="44">
        <f t="shared" si="44"/>
        <v>0</v>
      </c>
      <c r="AA62" s="50">
        <f t="shared" si="45"/>
        <v>0</v>
      </c>
      <c r="AB62" s="51">
        <f t="shared" si="46"/>
        <v>0</v>
      </c>
      <c r="AC62" s="44">
        <f t="shared" si="47"/>
        <v>0</v>
      </c>
      <c r="AD62" s="44">
        <f t="shared" si="48"/>
        <v>0</v>
      </c>
      <c r="AE62" s="44">
        <f t="shared" si="49"/>
        <v>0</v>
      </c>
      <c r="AF62" s="52" t="e">
        <f>HLOOKUP(I62,ElecAvoidedCostsWOCC!$A$5:$Q$50,G62+1,FALSE)</f>
        <v>#N/A</v>
      </c>
      <c r="AG62" s="44" t="e">
        <f t="shared" si="50"/>
        <v>#N/A</v>
      </c>
      <c r="AH62" s="52" t="e">
        <f>HLOOKUP(I62,ElecAvoidedCostsWOCC!$A$5:$Q$50,T62+1,FALSE)</f>
        <v>#N/A</v>
      </c>
      <c r="AI62" s="44" t="e">
        <f t="shared" si="51"/>
        <v>#N/A</v>
      </c>
      <c r="AJ62" s="44" t="e">
        <f t="shared" si="52"/>
        <v>#N/A</v>
      </c>
      <c r="AK62" s="44" t="e">
        <f>HLOOKUP(I62,ElecAvoidedCostsWOCC!$A$5:$Q$50,G62+1,FALSE)*J62*L62</f>
        <v>#N/A</v>
      </c>
      <c r="AL62" s="44" t="e">
        <f t="shared" si="53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4"/>
        <v>0</v>
      </c>
      <c r="AO62" s="47">
        <f t="shared" si="55"/>
        <v>0</v>
      </c>
      <c r="AP62" s="47" t="e">
        <f t="shared" si="56"/>
        <v>#DIV/0!</v>
      </c>
    </row>
  </sheetData>
  <conditionalFormatting sqref="J5:L62">
    <cfRule type="expression" dxfId="199" priority="4">
      <formula>ISTEXT(J5)</formula>
    </cfRule>
    <cfRule type="notContainsBlanks" dxfId="198" priority="5">
      <formula>LEN(TRIM(J5))&gt;0</formula>
    </cfRule>
  </conditionalFormatting>
  <conditionalFormatting sqref="M5:N62 R5:S62">
    <cfRule type="expression" dxfId="197" priority="2">
      <formula>ISTEXT(M5)</formula>
    </cfRule>
  </conditionalFormatting>
  <conditionalFormatting sqref="M5:N62 R5:S62">
    <cfRule type="notContainsBlanks" dxfId="196" priority="3">
      <formula>LEN(TRIM(M5))&gt;0</formula>
    </cfRule>
  </conditionalFormatting>
  <conditionalFormatting sqref="R5:S62">
    <cfRule type="expression" dxfId="1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101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58.2851562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18230716</v>
      </c>
      <c r="D2" s="20" t="s">
        <v>131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18230716</v>
      </c>
      <c r="D5" s="61" t="s">
        <v>131</v>
      </c>
      <c r="E5" s="38" t="s">
        <v>1139</v>
      </c>
      <c r="F5" s="39" t="s">
        <v>1140</v>
      </c>
      <c r="G5" s="39">
        <v>15</v>
      </c>
      <c r="H5" s="39"/>
      <c r="I5" s="40" t="s">
        <v>255</v>
      </c>
      <c r="J5" s="41">
        <v>2</v>
      </c>
      <c r="K5" s="41">
        <v>10200</v>
      </c>
      <c r="L5" s="41"/>
      <c r="M5" s="42">
        <v>750</v>
      </c>
      <c r="N5" s="42">
        <v>2659</v>
      </c>
      <c r="O5" s="43">
        <v>20400</v>
      </c>
      <c r="P5" s="44">
        <v>1500</v>
      </c>
      <c r="Q5" s="44">
        <v>5318</v>
      </c>
      <c r="R5" s="45">
        <v>4172.99</v>
      </c>
      <c r="S5" s="46"/>
      <c r="T5" s="39">
        <f t="shared" ref="T5:T13" si="0">G5+H5</f>
        <v>15</v>
      </c>
      <c r="U5" s="47">
        <f t="shared" ref="U5:U13" si="1">(O5/$A$10)*T5</f>
        <v>0.45000159485859353</v>
      </c>
      <c r="V5" s="48">
        <f t="shared" ref="V5:V13" si="2">N5-M5</f>
        <v>1909</v>
      </c>
      <c r="W5" s="49">
        <f t="shared" ref="W5:W13" si="3">(O5/A$10)</f>
        <v>3.0000106323906237E-2</v>
      </c>
      <c r="X5" s="44">
        <f t="shared" ref="X5:X13" si="4">W5*A$8</f>
        <v>3453.8909409958346</v>
      </c>
      <c r="Y5" s="44">
        <f t="shared" ref="Y5:Y13" si="5">Q5-P5</f>
        <v>3818</v>
      </c>
      <c r="Z5" s="44">
        <f t="shared" ref="Z5:Z13" si="6">X5+(A$6*W5)</f>
        <v>8654.8950739663651</v>
      </c>
      <c r="AA5" s="50">
        <f t="shared" ref="AA5:AA13" si="7">Q5+X5</f>
        <v>8771.8909409958342</v>
      </c>
      <c r="AB5" s="51">
        <f t="shared" ref="AB5:AC11" si="8">Z5/(1+ElecDiscountRate)^1</f>
        <v>8090.9554772051642</v>
      </c>
      <c r="AC5" s="44">
        <f t="shared" si="8"/>
        <v>8200.3280742225234</v>
      </c>
      <c r="AD5" s="44">
        <f t="shared" ref="AD5:AD13" si="9">-PV(ElecDiscountRate,T5,R5)*J5</f>
        <v>76158.713972089681</v>
      </c>
      <c r="AE5" s="44">
        <f t="shared" ref="AE5:AE13" si="10">-PV(ElecDiscountRate,T5,S5)*J5</f>
        <v>0</v>
      </c>
      <c r="AF5" s="52">
        <f>HLOOKUP(I5,ElecAvoidedCostsWOCC!$A$5:$Q$50,G5+1,FALSE)</f>
        <v>1.0178775471043147</v>
      </c>
      <c r="AG5" s="44">
        <f t="shared" ref="AG5:AG13" si="11">AF5*J5*K5</f>
        <v>20764.701960928018</v>
      </c>
      <c r="AH5" s="52">
        <f>HLOOKUP(I5,ElecAvoidedCostsWOCC!$A$5:$Q$50,T5+1,FALSE)</f>
        <v>1.0178775471043147</v>
      </c>
      <c r="AI5" s="44">
        <f t="shared" ref="AI5:AI13" si="12">AH5*J5*L5</f>
        <v>0</v>
      </c>
      <c r="AJ5" s="44">
        <f t="shared" ref="AJ5:AJ13" si="13">AG5+AI5</f>
        <v>20764.701960928018</v>
      </c>
      <c r="AK5" s="44">
        <f>HLOOKUP(I5,ElecAvoidedCostsWOCC!$A$5:$Q$50,G5+1,FALSE)*J5*L5</f>
        <v>0</v>
      </c>
      <c r="AL5" s="44">
        <f t="shared" ref="AL5:AL13" si="14">AG5+AI5-AK5</f>
        <v>20764.701960928018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20764.701960928018</v>
      </c>
      <c r="AN5" s="48">
        <f t="shared" ref="AN5:AN13" si="15">AM5*1.1+AD5+AE5</f>
        <v>98999.886129110499</v>
      </c>
      <c r="AO5" s="47">
        <f t="shared" ref="AO5:AO13" si="16">IFERROR(AM5/AB5,0)</f>
        <v>2.5664091242905602</v>
      </c>
      <c r="AP5" s="47">
        <f t="shared" ref="AP5:AP13" si="17">AN5/AC5</f>
        <v>12.072673828784188</v>
      </c>
      <c r="AQ5">
        <v>2021</v>
      </c>
    </row>
    <row r="6" spans="1:43" ht="13.5" customHeight="1">
      <c r="A6" s="53">
        <f>SUMIF('Program Costs'!C:C,D2,'Program Costs'!L:L)</f>
        <v>173366.19</v>
      </c>
      <c r="B6" s="97" t="s">
        <v>70</v>
      </c>
      <c r="C6" s="98">
        <v>18230716</v>
      </c>
      <c r="D6" s="61" t="s">
        <v>131</v>
      </c>
      <c r="E6" s="38" t="s">
        <v>1141</v>
      </c>
      <c r="F6" s="39" t="s">
        <v>1142</v>
      </c>
      <c r="G6" s="39">
        <v>15</v>
      </c>
      <c r="H6" s="39"/>
      <c r="I6" s="40" t="s">
        <v>255</v>
      </c>
      <c r="J6" s="41">
        <v>1</v>
      </c>
      <c r="K6" s="41">
        <v>14338</v>
      </c>
      <c r="L6" s="41"/>
      <c r="M6" s="42">
        <v>750</v>
      </c>
      <c r="N6" s="42">
        <v>2659</v>
      </c>
      <c r="O6" s="43">
        <v>14338</v>
      </c>
      <c r="P6" s="44">
        <v>750</v>
      </c>
      <c r="Q6" s="44">
        <v>2659</v>
      </c>
      <c r="R6" s="45">
        <v>9597.84</v>
      </c>
      <c r="S6" s="46"/>
      <c r="T6" s="39">
        <f t="shared" si="0"/>
        <v>15</v>
      </c>
      <c r="U6" s="47">
        <f t="shared" si="1"/>
        <v>0.31628053270012324</v>
      </c>
      <c r="V6" s="48">
        <f t="shared" si="2"/>
        <v>1909</v>
      </c>
      <c r="W6" s="49">
        <f t="shared" si="3"/>
        <v>2.1085368846674883E-2</v>
      </c>
      <c r="X6" s="44">
        <f t="shared" si="4"/>
        <v>2427.5435447057976</v>
      </c>
      <c r="Y6" s="44">
        <f t="shared" si="5"/>
        <v>1909</v>
      </c>
      <c r="Z6" s="44">
        <f t="shared" si="6"/>
        <v>6083.033606398516</v>
      </c>
      <c r="AA6" s="50">
        <f t="shared" si="7"/>
        <v>5086.5435447057971</v>
      </c>
      <c r="AB6" s="51">
        <f t="shared" si="8"/>
        <v>5686.6725309886097</v>
      </c>
      <c r="AC6" s="44">
        <f t="shared" si="8"/>
        <v>4755.1122227781589</v>
      </c>
      <c r="AD6" s="44">
        <f t="shared" si="9"/>
        <v>87582.183435603903</v>
      </c>
      <c r="AE6" s="44">
        <f t="shared" si="10"/>
        <v>0</v>
      </c>
      <c r="AF6" s="52">
        <f>HLOOKUP(I6,ElecAvoidedCostsWOCC!$A$5:$Q$50,G6+1,FALSE)</f>
        <v>1.0178775471043147</v>
      </c>
      <c r="AG6" s="44">
        <f t="shared" si="11"/>
        <v>14594.328270381664</v>
      </c>
      <c r="AH6" s="52">
        <f>HLOOKUP(I6,ElecAvoidedCostsWOCC!$A$5:$Q$50,T6+1,FALSE)</f>
        <v>1.0178775471043147</v>
      </c>
      <c r="AI6" s="44">
        <f t="shared" si="12"/>
        <v>0</v>
      </c>
      <c r="AJ6" s="44">
        <f t="shared" si="13"/>
        <v>14594.328270381664</v>
      </c>
      <c r="AK6" s="44">
        <f>HLOOKUP(I6,ElecAvoidedCostsWOCC!$A$5:$Q$50,G6+1,FALSE)*J6*L6</f>
        <v>0</v>
      </c>
      <c r="AL6" s="44">
        <f t="shared" si="14"/>
        <v>14594.328270381664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14594.328270381664</v>
      </c>
      <c r="AN6" s="48">
        <f t="shared" si="15"/>
        <v>103635.94453302374</v>
      </c>
      <c r="AO6" s="47">
        <f t="shared" si="16"/>
        <v>2.5664091242905607</v>
      </c>
      <c r="AP6" s="47">
        <f t="shared" si="17"/>
        <v>21.79463694601823</v>
      </c>
      <c r="AQ6">
        <v>2021</v>
      </c>
    </row>
    <row r="7" spans="1:43" ht="13.5" customHeight="1">
      <c r="A7" s="36" t="s">
        <v>249</v>
      </c>
      <c r="B7" s="97" t="s">
        <v>70</v>
      </c>
      <c r="C7" s="98">
        <v>18230716</v>
      </c>
      <c r="D7" s="61" t="s">
        <v>131</v>
      </c>
      <c r="E7" s="38" t="s">
        <v>1143</v>
      </c>
      <c r="F7" s="39" t="s">
        <v>1144</v>
      </c>
      <c r="G7" s="39">
        <v>20</v>
      </c>
      <c r="H7" s="39"/>
      <c r="I7" s="40" t="s">
        <v>255</v>
      </c>
      <c r="J7" s="41">
        <v>1</v>
      </c>
      <c r="K7" s="41">
        <v>7341</v>
      </c>
      <c r="L7" s="41"/>
      <c r="M7" s="42">
        <v>1000</v>
      </c>
      <c r="N7" s="42">
        <v>5882</v>
      </c>
      <c r="O7" s="43">
        <v>7341</v>
      </c>
      <c r="P7" s="44">
        <v>1000</v>
      </c>
      <c r="Q7" s="44">
        <v>5882</v>
      </c>
      <c r="R7" s="45">
        <v>1817.04</v>
      </c>
      <c r="S7" s="46"/>
      <c r="T7" s="39">
        <f t="shared" si="0"/>
        <v>20</v>
      </c>
      <c r="U7" s="47">
        <f t="shared" si="1"/>
        <v>0.21591252992528986</v>
      </c>
      <c r="V7" s="48">
        <f t="shared" si="2"/>
        <v>4882</v>
      </c>
      <c r="W7" s="49">
        <f t="shared" si="3"/>
        <v>1.0795626496264494E-2</v>
      </c>
      <c r="X7" s="44">
        <f t="shared" si="4"/>
        <v>1242.8928136201187</v>
      </c>
      <c r="Y7" s="44">
        <f t="shared" si="5"/>
        <v>4882</v>
      </c>
      <c r="Z7" s="44">
        <f t="shared" si="6"/>
        <v>3114.489447940543</v>
      </c>
      <c r="AA7" s="50">
        <f t="shared" si="7"/>
        <v>7124.8928136201184</v>
      </c>
      <c r="AB7" s="51">
        <f t="shared" si="8"/>
        <v>2911.5541254001519</v>
      </c>
      <c r="AC7" s="44">
        <f t="shared" si="8"/>
        <v>6660.6458012714947</v>
      </c>
      <c r="AD7" s="44">
        <f t="shared" si="9"/>
        <v>19294.713544832579</v>
      </c>
      <c r="AE7" s="44">
        <f t="shared" si="10"/>
        <v>0</v>
      </c>
      <c r="AF7" s="52">
        <f>HLOOKUP(I7,ElecAvoidedCostsWOCC!$A$5:$Q$50,G7+1,FALSE)</f>
        <v>1.2734662051561068</v>
      </c>
      <c r="AG7" s="44">
        <f t="shared" si="11"/>
        <v>9348.5154120509796</v>
      </c>
      <c r="AH7" s="52">
        <f>HLOOKUP(I7,ElecAvoidedCostsWOCC!$A$5:$Q$50,T7+1,FALSE)</f>
        <v>1.2734662051561068</v>
      </c>
      <c r="AI7" s="44">
        <f t="shared" si="12"/>
        <v>0</v>
      </c>
      <c r="AJ7" s="44">
        <f t="shared" si="13"/>
        <v>9348.5154120509796</v>
      </c>
      <c r="AK7" s="44">
        <f>HLOOKUP(I7,ElecAvoidedCostsWOCC!$A$5:$Q$50,G7+1,FALSE)*J7*L7</f>
        <v>0</v>
      </c>
      <c r="AL7" s="44">
        <f t="shared" si="14"/>
        <v>9348.5154120509796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9348.5154120509796</v>
      </c>
      <c r="AN7" s="48">
        <f t="shared" si="15"/>
        <v>29578.080498088657</v>
      </c>
      <c r="AO7" s="47">
        <f t="shared" si="16"/>
        <v>3.2108334619285701</v>
      </c>
      <c r="AP7" s="47">
        <f t="shared" si="17"/>
        <v>4.4407226236894779</v>
      </c>
      <c r="AQ7">
        <v>2021</v>
      </c>
    </row>
    <row r="8" spans="1:43" ht="13.5" customHeight="1">
      <c r="A8" s="53">
        <f>SUMIF('Program Costs'!C:C,D2,'Program Costs'!O:O)</f>
        <v>115129.28999999998</v>
      </c>
      <c r="B8" s="97" t="s">
        <v>70</v>
      </c>
      <c r="C8" s="98">
        <v>18230716</v>
      </c>
      <c r="D8" s="61" t="s">
        <v>131</v>
      </c>
      <c r="E8" s="38" t="s">
        <v>1145</v>
      </c>
      <c r="F8" s="39" t="s">
        <v>1146</v>
      </c>
      <c r="G8" s="39">
        <v>10</v>
      </c>
      <c r="H8" s="39"/>
      <c r="I8" s="40" t="s">
        <v>255</v>
      </c>
      <c r="J8" s="41">
        <v>1</v>
      </c>
      <c r="K8" s="41">
        <v>1349</v>
      </c>
      <c r="L8" s="41"/>
      <c r="M8" s="42">
        <v>150</v>
      </c>
      <c r="N8" s="42">
        <v>175</v>
      </c>
      <c r="O8" s="43">
        <v>1349</v>
      </c>
      <c r="P8" s="44">
        <v>150</v>
      </c>
      <c r="Q8" s="44">
        <v>175</v>
      </c>
      <c r="R8" s="45">
        <v>479.68</v>
      </c>
      <c r="S8" s="46">
        <v>0</v>
      </c>
      <c r="T8" s="39">
        <f t="shared" si="0"/>
        <v>10</v>
      </c>
      <c r="U8" s="47">
        <f t="shared" si="1"/>
        <v>1.9838305603406624E-2</v>
      </c>
      <c r="V8" s="48">
        <f t="shared" si="2"/>
        <v>25</v>
      </c>
      <c r="W8" s="49">
        <f t="shared" si="3"/>
        <v>1.9838305603406626E-3</v>
      </c>
      <c r="X8" s="44">
        <f t="shared" si="4"/>
        <v>228.3970038923226</v>
      </c>
      <c r="Y8" s="44">
        <f t="shared" si="5"/>
        <v>25</v>
      </c>
      <c r="Z8" s="44">
        <f t="shared" si="6"/>
        <v>572.32614974414832</v>
      </c>
      <c r="AA8" s="50">
        <f t="shared" si="7"/>
        <v>403.39700389232257</v>
      </c>
      <c r="AB8" s="51">
        <f t="shared" si="8"/>
        <v>535.03426170341993</v>
      </c>
      <c r="AC8" s="44">
        <f t="shared" si="8"/>
        <v>377.11227810818224</v>
      </c>
      <c r="AD8" s="44">
        <f t="shared" si="9"/>
        <v>3373.748616335276</v>
      </c>
      <c r="AE8" s="44">
        <f t="shared" si="10"/>
        <v>0</v>
      </c>
      <c r="AF8" s="52">
        <f>HLOOKUP(I8,ElecAvoidedCostsWOCC!$A$5:$Q$50,G8+1,FALSE)</f>
        <v>0.70152531155702258</v>
      </c>
      <c r="AG8" s="44">
        <f t="shared" si="11"/>
        <v>946.35764529042342</v>
      </c>
      <c r="AH8" s="52">
        <f>HLOOKUP(I8,ElecAvoidedCostsWOCC!$A$5:$Q$50,T8+1,FALSE)</f>
        <v>0.70152531155702258</v>
      </c>
      <c r="AI8" s="44">
        <f t="shared" si="12"/>
        <v>0</v>
      </c>
      <c r="AJ8" s="44">
        <f t="shared" si="13"/>
        <v>946.35764529042342</v>
      </c>
      <c r="AK8" s="44">
        <f>HLOOKUP(I8,ElecAvoidedCostsWOCC!$A$5:$Q$50,G8+1,FALSE)*J8*L8</f>
        <v>0</v>
      </c>
      <c r="AL8" s="44">
        <f t="shared" si="14"/>
        <v>946.35764529042342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946.35764529042342</v>
      </c>
      <c r="AN8" s="48">
        <f t="shared" si="15"/>
        <v>4414.7420261547413</v>
      </c>
      <c r="AO8" s="47">
        <f t="shared" si="16"/>
        <v>1.7687795212916817</v>
      </c>
      <c r="AP8" s="47">
        <f t="shared" si="17"/>
        <v>11.706704561043976</v>
      </c>
      <c r="AQ8">
        <v>2021</v>
      </c>
    </row>
    <row r="9" spans="1:43" ht="13.5" customHeight="1">
      <c r="A9" s="36" t="s">
        <v>250</v>
      </c>
      <c r="B9" s="97" t="s">
        <v>70</v>
      </c>
      <c r="C9" s="98">
        <v>18230716</v>
      </c>
      <c r="D9" s="61" t="s">
        <v>131</v>
      </c>
      <c r="E9" s="38" t="s">
        <v>1147</v>
      </c>
      <c r="F9" s="39" t="s">
        <v>1148</v>
      </c>
      <c r="G9" s="39">
        <v>10</v>
      </c>
      <c r="H9" s="39"/>
      <c r="I9" s="40" t="s">
        <v>255</v>
      </c>
      <c r="J9" s="41">
        <v>2</v>
      </c>
      <c r="K9" s="41">
        <v>2254</v>
      </c>
      <c r="L9" s="41"/>
      <c r="M9" s="42">
        <v>150</v>
      </c>
      <c r="N9" s="42">
        <v>232</v>
      </c>
      <c r="O9" s="43">
        <v>4508</v>
      </c>
      <c r="P9" s="44">
        <v>300</v>
      </c>
      <c r="Q9" s="44">
        <v>464</v>
      </c>
      <c r="R9" s="45">
        <v>1126.21</v>
      </c>
      <c r="S9" s="46"/>
      <c r="T9" s="39">
        <f t="shared" si="0"/>
        <v>10</v>
      </c>
      <c r="U9" s="47">
        <f t="shared" si="1"/>
        <v>6.6294352602043777E-2</v>
      </c>
      <c r="V9" s="48">
        <f t="shared" si="2"/>
        <v>82</v>
      </c>
      <c r="W9" s="49">
        <f t="shared" si="3"/>
        <v>6.6294352602043784E-3</v>
      </c>
      <c r="X9" s="44">
        <f t="shared" si="4"/>
        <v>763.24217460829516</v>
      </c>
      <c r="Y9" s="44">
        <f t="shared" si="5"/>
        <v>164</v>
      </c>
      <c r="Z9" s="44">
        <f t="shared" si="6"/>
        <v>1912.5621075215868</v>
      </c>
      <c r="AA9" s="50">
        <f t="shared" si="7"/>
        <v>1227.242174608295</v>
      </c>
      <c r="AB9" s="51">
        <f t="shared" si="8"/>
        <v>1787.9425142765135</v>
      </c>
      <c r="AC9" s="44">
        <f t="shared" si="8"/>
        <v>1147.2769698123725</v>
      </c>
      <c r="AD9" s="44">
        <f t="shared" si="9"/>
        <v>15842.017299878884</v>
      </c>
      <c r="AE9" s="44">
        <f t="shared" si="10"/>
        <v>0</v>
      </c>
      <c r="AF9" s="52">
        <f>HLOOKUP(I9,ElecAvoidedCostsWOCC!$A$5:$Q$50,G9+1,FALSE)</f>
        <v>0.70152531155702258</v>
      </c>
      <c r="AG9" s="44">
        <f t="shared" si="11"/>
        <v>3162.4761044990578</v>
      </c>
      <c r="AH9" s="52">
        <f>HLOOKUP(I9,ElecAvoidedCostsWOCC!$A$5:$Q$50,T9+1,FALSE)</f>
        <v>0.70152531155702258</v>
      </c>
      <c r="AI9" s="44">
        <f t="shared" si="12"/>
        <v>0</v>
      </c>
      <c r="AJ9" s="44">
        <f t="shared" si="13"/>
        <v>3162.4761044990578</v>
      </c>
      <c r="AK9" s="44">
        <f>HLOOKUP(I9,ElecAvoidedCostsWOCC!$A$5:$Q$50,G9+1,FALSE)*J9*L9</f>
        <v>0</v>
      </c>
      <c r="AL9" s="44">
        <f t="shared" si="14"/>
        <v>3162.4761044990578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3162.4761044990578</v>
      </c>
      <c r="AN9" s="48">
        <f t="shared" si="15"/>
        <v>19320.741014827847</v>
      </c>
      <c r="AO9" s="47">
        <f t="shared" si="16"/>
        <v>1.7687795212916819</v>
      </c>
      <c r="AP9" s="47">
        <f t="shared" si="17"/>
        <v>16.840520225894181</v>
      </c>
      <c r="AQ9">
        <v>2021</v>
      </c>
    </row>
    <row r="10" spans="1:43" ht="13.5" customHeight="1">
      <c r="A10" s="54">
        <f>SUM(O5:O971)</f>
        <v>679997.59</v>
      </c>
      <c r="B10" s="97" t="s">
        <v>70</v>
      </c>
      <c r="C10" s="98">
        <v>18230716</v>
      </c>
      <c r="D10" s="61" t="s">
        <v>131</v>
      </c>
      <c r="E10" s="38" t="s">
        <v>1149</v>
      </c>
      <c r="F10" s="39" t="s">
        <v>1150</v>
      </c>
      <c r="G10" s="39">
        <v>12</v>
      </c>
      <c r="H10" s="39"/>
      <c r="I10" s="40" t="s">
        <v>258</v>
      </c>
      <c r="J10" s="41">
        <v>1</v>
      </c>
      <c r="K10" s="41">
        <v>1344</v>
      </c>
      <c r="L10" s="41"/>
      <c r="M10" s="42">
        <v>850</v>
      </c>
      <c r="N10" s="42">
        <v>871</v>
      </c>
      <c r="O10" s="43">
        <v>1344</v>
      </c>
      <c r="P10" s="44">
        <v>850</v>
      </c>
      <c r="Q10" s="44">
        <v>871</v>
      </c>
      <c r="R10" s="45">
        <v>1357</v>
      </c>
      <c r="S10" s="46">
        <v>0</v>
      </c>
      <c r="T10" s="39">
        <f t="shared" si="0"/>
        <v>12</v>
      </c>
      <c r="U10" s="47">
        <f t="shared" si="1"/>
        <v>2.3717731117252932E-2</v>
      </c>
      <c r="V10" s="48">
        <f t="shared" si="2"/>
        <v>21</v>
      </c>
      <c r="W10" s="49">
        <f t="shared" si="3"/>
        <v>1.976477593104411E-3</v>
      </c>
      <c r="X10" s="44">
        <f t="shared" si="4"/>
        <v>227.5504619950197</v>
      </c>
      <c r="Y10" s="44">
        <f t="shared" si="5"/>
        <v>21</v>
      </c>
      <c r="Z10" s="44">
        <f t="shared" si="6"/>
        <v>570.20485193190166</v>
      </c>
      <c r="AA10" s="50">
        <f t="shared" si="7"/>
        <v>1098.5504619950198</v>
      </c>
      <c r="AB10" s="51">
        <f t="shared" si="8"/>
        <v>533.05118438057548</v>
      </c>
      <c r="AC10" s="44">
        <f t="shared" si="8"/>
        <v>1026.9706104468726</v>
      </c>
      <c r="AD10" s="44">
        <f t="shared" si="9"/>
        <v>10795.479020793144</v>
      </c>
      <c r="AE10" s="44">
        <f t="shared" si="10"/>
        <v>0</v>
      </c>
      <c r="AF10" s="52">
        <f>HLOOKUP(I10,ElecAvoidedCostsWOCC!$A$5:$Q$50,G10+1,FALSE)</f>
        <v>0.82713841420343059</v>
      </c>
      <c r="AG10" s="44">
        <f t="shared" si="11"/>
        <v>1111.6740286894108</v>
      </c>
      <c r="AH10" s="52">
        <f>HLOOKUP(I10,ElecAvoidedCostsWOCC!$A$5:$Q$50,T10+1,FALSE)</f>
        <v>0.82713841420343059</v>
      </c>
      <c r="AI10" s="44">
        <f t="shared" si="12"/>
        <v>0</v>
      </c>
      <c r="AJ10" s="44">
        <f t="shared" si="13"/>
        <v>1111.6740286894108</v>
      </c>
      <c r="AK10" s="44">
        <f>HLOOKUP(I10,ElecAvoidedCostsWOCC!$A$5:$Q$50,G10+1,FALSE)*J10*L10</f>
        <v>0</v>
      </c>
      <c r="AL10" s="44">
        <f t="shared" si="14"/>
        <v>1111.6740286894108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1111.6740286894108</v>
      </c>
      <c r="AN10" s="48">
        <f t="shared" si="15"/>
        <v>12018.320452351496</v>
      </c>
      <c r="AO10" s="47">
        <f t="shared" si="16"/>
        <v>2.0854920901849523</v>
      </c>
      <c r="AP10" s="47">
        <f t="shared" si="17"/>
        <v>11.702691712980846</v>
      </c>
      <c r="AQ10">
        <v>2021</v>
      </c>
    </row>
    <row r="11" spans="1:43" ht="13.5" customHeight="1">
      <c r="A11" s="36" t="s">
        <v>251</v>
      </c>
      <c r="B11" s="97" t="s">
        <v>70</v>
      </c>
      <c r="C11" s="98">
        <v>18230716</v>
      </c>
      <c r="D11" s="61" t="s">
        <v>131</v>
      </c>
      <c r="E11" s="38" t="s">
        <v>1151</v>
      </c>
      <c r="F11" s="39" t="s">
        <v>1152</v>
      </c>
      <c r="G11" s="39">
        <v>12</v>
      </c>
      <c r="H11" s="39"/>
      <c r="I11" s="40" t="s">
        <v>258</v>
      </c>
      <c r="J11" s="41">
        <v>1</v>
      </c>
      <c r="K11" s="41">
        <v>21109</v>
      </c>
      <c r="L11" s="41"/>
      <c r="M11" s="42">
        <v>2000</v>
      </c>
      <c r="N11" s="42">
        <v>2131</v>
      </c>
      <c r="O11" s="43">
        <v>21109</v>
      </c>
      <c r="P11" s="44">
        <v>2000</v>
      </c>
      <c r="Q11" s="44">
        <v>2131</v>
      </c>
      <c r="R11" s="45">
        <v>10342.09</v>
      </c>
      <c r="S11" s="46">
        <v>0</v>
      </c>
      <c r="T11" s="39">
        <f t="shared" si="0"/>
        <v>12</v>
      </c>
      <c r="U11" s="47">
        <f t="shared" si="1"/>
        <v>0.37251308493608049</v>
      </c>
      <c r="V11" s="48">
        <f t="shared" si="2"/>
        <v>131</v>
      </c>
      <c r="W11" s="49">
        <f t="shared" si="3"/>
        <v>3.1042757078006706E-2</v>
      </c>
      <c r="X11" s="44">
        <f t="shared" si="4"/>
        <v>3573.9305820333861</v>
      </c>
      <c r="Y11" s="44">
        <f t="shared" si="5"/>
        <v>131</v>
      </c>
      <c r="Z11" s="44">
        <f t="shared" si="6"/>
        <v>8955.6951037429408</v>
      </c>
      <c r="AA11" s="50">
        <f t="shared" si="7"/>
        <v>5704.9305820333866</v>
      </c>
      <c r="AB11" s="51">
        <f t="shared" si="8"/>
        <v>8372.1558415845011</v>
      </c>
      <c r="AC11" s="44">
        <f t="shared" si="8"/>
        <v>5333.206115764594</v>
      </c>
      <c r="AD11" s="44">
        <f t="shared" si="9"/>
        <v>82275.472090018098</v>
      </c>
      <c r="AE11" s="44">
        <f t="shared" si="10"/>
        <v>0</v>
      </c>
      <c r="AF11" s="52">
        <f>HLOOKUP(I11,ElecAvoidedCostsWOCC!$A$5:$Q$50,G11+1,FALSE)</f>
        <v>0.82713841420343059</v>
      </c>
      <c r="AG11" s="44">
        <f t="shared" si="11"/>
        <v>17460.064785420218</v>
      </c>
      <c r="AH11" s="52">
        <f>HLOOKUP(I11,ElecAvoidedCostsWOCC!$A$5:$Q$50,T11+1,FALSE)</f>
        <v>0.82713841420343059</v>
      </c>
      <c r="AI11" s="44">
        <f t="shared" si="12"/>
        <v>0</v>
      </c>
      <c r="AJ11" s="44">
        <f t="shared" si="13"/>
        <v>17460.064785420218</v>
      </c>
      <c r="AK11" s="44">
        <f>HLOOKUP(I11,ElecAvoidedCostsWOCC!$A$5:$Q$50,G11+1,FALSE)*J11*L11</f>
        <v>0</v>
      </c>
      <c r="AL11" s="44">
        <f t="shared" si="14"/>
        <v>17460.064785420218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17460.064785420218</v>
      </c>
      <c r="AN11" s="48">
        <f t="shared" si="15"/>
        <v>101481.54335398033</v>
      </c>
      <c r="AO11" s="47">
        <f t="shared" si="16"/>
        <v>2.0854920901849523</v>
      </c>
      <c r="AP11" s="47">
        <f t="shared" si="17"/>
        <v>19.02824326515486</v>
      </c>
      <c r="AQ11">
        <v>2021</v>
      </c>
    </row>
    <row r="12" spans="1:43" ht="13.5" customHeight="1">
      <c r="A12" s="55">
        <f>SUM(P5:P972)</f>
        <v>112220</v>
      </c>
      <c r="B12" s="97" t="s">
        <v>70</v>
      </c>
      <c r="C12" s="98">
        <v>18230716</v>
      </c>
      <c r="D12" s="61" t="s">
        <v>131</v>
      </c>
      <c r="E12" s="38" t="s">
        <v>1153</v>
      </c>
      <c r="F12" s="39" t="s">
        <v>1154</v>
      </c>
      <c r="G12" s="39">
        <v>7</v>
      </c>
      <c r="H12" s="39"/>
      <c r="I12" s="40" t="s">
        <v>256</v>
      </c>
      <c r="J12" s="41">
        <v>11</v>
      </c>
      <c r="K12" s="41">
        <v>1188.69</v>
      </c>
      <c r="L12" s="41"/>
      <c r="M12" s="42">
        <v>400</v>
      </c>
      <c r="N12" s="42">
        <v>399.62</v>
      </c>
      <c r="O12" s="43">
        <v>13075.59</v>
      </c>
      <c r="P12" s="44">
        <v>4400</v>
      </c>
      <c r="Q12" s="44">
        <v>4395.82</v>
      </c>
      <c r="R12" s="45">
        <v>389.08</v>
      </c>
      <c r="S12" s="46">
        <v>0</v>
      </c>
      <c r="T12" s="39">
        <f t="shared" si="0"/>
        <v>7</v>
      </c>
      <c r="U12" s="47">
        <f t="shared" si="1"/>
        <v>0.13460213881052138</v>
      </c>
      <c r="V12" s="48">
        <f t="shared" si="2"/>
        <v>-0.37999999999999545</v>
      </c>
      <c r="W12" s="49">
        <f t="shared" si="3"/>
        <v>1.9228876972931627E-2</v>
      </c>
      <c r="X12" s="44">
        <f t="shared" si="4"/>
        <v>2213.806953390967</v>
      </c>
      <c r="Y12" s="44">
        <f t="shared" si="5"/>
        <v>-4.180000000000291</v>
      </c>
      <c r="Z12" s="44">
        <f t="shared" si="6"/>
        <v>5547.4440921668556</v>
      </c>
      <c r="AA12" s="50">
        <f t="shared" si="7"/>
        <v>6609.6269533909672</v>
      </c>
      <c r="AB12" s="51">
        <f>Z12/(1+ElecDiscountRate)^1</f>
        <v>5185.9812023622089</v>
      </c>
      <c r="AC12" s="44">
        <f>AA12/(1+ElecDiscountRate)^1</f>
        <v>6178.9538687398026</v>
      </c>
      <c r="AD12" s="44">
        <f t="shared" si="9"/>
        <v>23089.655840921994</v>
      </c>
      <c r="AE12" s="44">
        <f t="shared" si="10"/>
        <v>0</v>
      </c>
      <c r="AF12" s="52">
        <f>HLOOKUP(I12,ElecAvoidedCostsWOCC!$A$5:$Q$50,G12+1,FALSE)</f>
        <v>0.49980838947667638</v>
      </c>
      <c r="AG12" s="44">
        <f t="shared" si="11"/>
        <v>6535.2895793573352</v>
      </c>
      <c r="AH12" s="52">
        <f>HLOOKUP(I12,ElecAvoidedCostsWOCC!$A$5:$Q$50,T12+1,FALSE)</f>
        <v>0.49980838947667638</v>
      </c>
      <c r="AI12" s="44">
        <f t="shared" si="12"/>
        <v>0</v>
      </c>
      <c r="AJ12" s="44">
        <f t="shared" si="13"/>
        <v>6535.2895793573352</v>
      </c>
      <c r="AK12" s="44">
        <f>HLOOKUP(I12,ElecAvoidedCostsWOCC!$A$5:$Q$50,G12+1,FALSE)*J12*L12</f>
        <v>0</v>
      </c>
      <c r="AL12" s="44">
        <f t="shared" si="14"/>
        <v>6535.2895793573352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6535.2895793573352</v>
      </c>
      <c r="AN12" s="48">
        <f t="shared" si="15"/>
        <v>30278.474378215062</v>
      </c>
      <c r="AO12" s="47">
        <f t="shared" si="16"/>
        <v>1.2601838156259644</v>
      </c>
      <c r="AP12" s="47">
        <f t="shared" si="17"/>
        <v>4.9002590117071643</v>
      </c>
      <c r="AQ12">
        <v>2021</v>
      </c>
    </row>
    <row r="13" spans="1:43" ht="13.5" customHeight="1">
      <c r="A13" s="56" t="s">
        <v>252</v>
      </c>
      <c r="B13" s="97" t="s">
        <v>70</v>
      </c>
      <c r="C13" s="98">
        <v>18230716</v>
      </c>
      <c r="D13" s="61" t="s">
        <v>131</v>
      </c>
      <c r="E13" s="38" t="s">
        <v>1155</v>
      </c>
      <c r="F13" s="39" t="s">
        <v>1156</v>
      </c>
      <c r="G13" s="39">
        <v>12</v>
      </c>
      <c r="H13" s="39"/>
      <c r="I13" s="40" t="s">
        <v>258</v>
      </c>
      <c r="J13" s="41">
        <v>7</v>
      </c>
      <c r="K13" s="41">
        <v>1951</v>
      </c>
      <c r="L13" s="41"/>
      <c r="M13" s="42">
        <v>500</v>
      </c>
      <c r="N13" s="42">
        <v>1007</v>
      </c>
      <c r="O13" s="43">
        <v>13657</v>
      </c>
      <c r="P13" s="44">
        <v>3500</v>
      </c>
      <c r="Q13" s="44">
        <v>7049</v>
      </c>
      <c r="R13" s="45">
        <v>0</v>
      </c>
      <c r="S13" s="46">
        <v>0</v>
      </c>
      <c r="T13" s="39">
        <f t="shared" si="0"/>
        <v>12</v>
      </c>
      <c r="U13" s="47">
        <f t="shared" si="1"/>
        <v>0.24100673650916909</v>
      </c>
      <c r="V13" s="48">
        <f t="shared" si="2"/>
        <v>507</v>
      </c>
      <c r="W13" s="49">
        <f t="shared" si="3"/>
        <v>2.0083894709097425E-2</v>
      </c>
      <c r="X13" s="44">
        <f t="shared" si="4"/>
        <v>2312.2445382931428</v>
      </c>
      <c r="Y13" s="44">
        <f t="shared" si="5"/>
        <v>3549</v>
      </c>
      <c r="Z13" s="44">
        <f t="shared" si="6"/>
        <v>5794.112844370522</v>
      </c>
      <c r="AA13" s="50">
        <f t="shared" si="7"/>
        <v>9361.2445382931437</v>
      </c>
      <c r="AB13" s="51">
        <f>Z13/(1+ElecDiscountRate)^1</f>
        <v>5416.5773996172029</v>
      </c>
      <c r="AC13" s="44">
        <f>AA13/(1+ElecDiscountRate)^1</f>
        <v>8751.2803012930199</v>
      </c>
      <c r="AD13" s="44">
        <f t="shared" si="9"/>
        <v>0</v>
      </c>
      <c r="AE13" s="44">
        <f t="shared" si="10"/>
        <v>0</v>
      </c>
      <c r="AF13" s="52">
        <f>HLOOKUP(I13,ElecAvoidedCostsWOCC!$A$5:$Q$50,G13+1,FALSE)</f>
        <v>0.82713841420343059</v>
      </c>
      <c r="AG13" s="44">
        <f t="shared" si="11"/>
        <v>11296.229322776253</v>
      </c>
      <c r="AH13" s="52">
        <f>HLOOKUP(I13,ElecAvoidedCostsWOCC!$A$5:$Q$50,T13+1,FALSE)</f>
        <v>0.82713841420343059</v>
      </c>
      <c r="AI13" s="44">
        <f t="shared" si="12"/>
        <v>0</v>
      </c>
      <c r="AJ13" s="44">
        <f t="shared" si="13"/>
        <v>11296.229322776253</v>
      </c>
      <c r="AK13" s="44">
        <f>HLOOKUP(I13,ElecAvoidedCostsWOCC!$A$5:$Q$50,G13+1,FALSE)*J13*L13</f>
        <v>0</v>
      </c>
      <c r="AL13" s="44">
        <f t="shared" si="14"/>
        <v>11296.229322776253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11296.229322776251</v>
      </c>
      <c r="AN13" s="48">
        <f t="shared" si="15"/>
        <v>12425.852255053876</v>
      </c>
      <c r="AO13" s="47">
        <f t="shared" si="16"/>
        <v>2.0854920901849519</v>
      </c>
      <c r="AP13" s="47">
        <f t="shared" si="17"/>
        <v>1.4198896421153293</v>
      </c>
      <c r="AQ13">
        <v>2021</v>
      </c>
    </row>
    <row r="14" spans="1:43" ht="13.5" customHeight="1">
      <c r="A14" s="55">
        <f>SUM(Y5:Y972)</f>
        <v>29093.7</v>
      </c>
      <c r="B14" s="97" t="s">
        <v>70</v>
      </c>
      <c r="C14" s="98">
        <v>18230716</v>
      </c>
      <c r="D14" s="61" t="s">
        <v>131</v>
      </c>
      <c r="E14" s="38" t="s">
        <v>1157</v>
      </c>
      <c r="F14" s="39" t="s">
        <v>1158</v>
      </c>
      <c r="G14" s="39">
        <v>12</v>
      </c>
      <c r="H14" s="39"/>
      <c r="I14" s="40" t="s">
        <v>258</v>
      </c>
      <c r="J14" s="41">
        <v>2</v>
      </c>
      <c r="K14" s="41">
        <v>1740</v>
      </c>
      <c r="L14" s="41"/>
      <c r="M14" s="42">
        <v>450</v>
      </c>
      <c r="N14" s="42">
        <v>793</v>
      </c>
      <c r="O14" s="43">
        <v>3480</v>
      </c>
      <c r="P14" s="44">
        <v>900</v>
      </c>
      <c r="Q14" s="44">
        <v>1586</v>
      </c>
      <c r="R14" s="45">
        <v>0</v>
      </c>
      <c r="S14" s="46">
        <v>0</v>
      </c>
      <c r="T14" s="39">
        <f t="shared" ref="T14:T60" si="18">G14+H14</f>
        <v>12</v>
      </c>
      <c r="U14" s="47">
        <f t="shared" ref="U14:U60" si="19">(O14/$A$10)*T14</f>
        <v>6.1411982357172767E-2</v>
      </c>
      <c r="V14" s="48">
        <f t="shared" ref="V14:V60" si="20">N14-M14</f>
        <v>343</v>
      </c>
      <c r="W14" s="49">
        <f t="shared" ref="W14:W60" si="21">(O14/A$10)</f>
        <v>5.1176651964310637E-3</v>
      </c>
      <c r="X14" s="44">
        <f t="shared" ref="X14:X60" si="22">W14*A$8</f>
        <v>589.19316052281874</v>
      </c>
      <c r="Y14" s="44">
        <f t="shared" ref="Y14:Y60" si="23">Q14-P14</f>
        <v>686</v>
      </c>
      <c r="Z14" s="44">
        <f t="shared" ref="Z14:Z60" si="24">X14+(A$6*W14)</f>
        <v>1476.423277323674</v>
      </c>
      <c r="AA14" s="50">
        <f t="shared" ref="AA14:AA60" si="25">Q14+X14</f>
        <v>2175.1931605228187</v>
      </c>
      <c r="AB14" s="51">
        <f t="shared" ref="AB14:AB60" si="26">Z14/(1+ElecDiscountRate)^1</f>
        <v>1380.2218166997045</v>
      </c>
      <c r="AC14" s="44">
        <f t="shared" ref="AC14:AC60" si="27">AA14/(1+ElecDiscountRate)^1</f>
        <v>2033.4609334606137</v>
      </c>
      <c r="AD14" s="44">
        <f t="shared" ref="AD14:AD60" si="28">-PV(ElecDiscountRate,T14,R14)*J14</f>
        <v>0</v>
      </c>
      <c r="AE14" s="44">
        <f t="shared" ref="AE14:AE60" si="29">-PV(ElecDiscountRate,T14,S14)*J14</f>
        <v>0</v>
      </c>
      <c r="AF14" s="52">
        <f>HLOOKUP(I14,ElecAvoidedCostsWOCC!$A$5:$Q$50,G14+1,FALSE)</f>
        <v>0.82713841420343059</v>
      </c>
      <c r="AG14" s="44">
        <f t="shared" ref="AG14:AG60" si="30">AF14*J14*K14</f>
        <v>2878.4416814279384</v>
      </c>
      <c r="AH14" s="52">
        <f>HLOOKUP(I14,ElecAvoidedCostsWOCC!$A$5:$Q$50,T14+1,FALSE)</f>
        <v>0.82713841420343059</v>
      </c>
      <c r="AI14" s="44">
        <f t="shared" ref="AI14:AI60" si="31">AH14*J14*L14</f>
        <v>0</v>
      </c>
      <c r="AJ14" s="44">
        <f t="shared" ref="AJ14:AJ60" si="32">AG14+AI14</f>
        <v>2878.4416814279384</v>
      </c>
      <c r="AK14" s="44">
        <f>HLOOKUP(I14,ElecAvoidedCostsWOCC!$A$5:$Q$50,G14+1,FALSE)*J14*L14</f>
        <v>0</v>
      </c>
      <c r="AL14" s="44">
        <f t="shared" ref="AL14:AL60" si="33">AG14+AI14-AK14</f>
        <v>2878.4416814279384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2878.4416814279384</v>
      </c>
      <c r="AN14" s="48">
        <f t="shared" ref="AN14:AN60" si="34">AM14*1.1+AD14+AE14</f>
        <v>3166.2858495707324</v>
      </c>
      <c r="AO14" s="47">
        <f t="shared" ref="AO14:AO60" si="35">IFERROR(AM14/AB14,0)</f>
        <v>2.0854920901849519</v>
      </c>
      <c r="AP14" s="47">
        <f t="shared" ref="AP14:AP60" si="36">AN14/AC14</f>
        <v>1.5570920480789558</v>
      </c>
      <c r="AQ14">
        <v>2021</v>
      </c>
    </row>
    <row r="15" spans="1:43" ht="13.5" customHeight="1">
      <c r="A15" s="57" t="s">
        <v>253</v>
      </c>
      <c r="B15" s="97" t="s">
        <v>70</v>
      </c>
      <c r="C15" s="98">
        <v>18230716</v>
      </c>
      <c r="D15" s="61" t="s">
        <v>131</v>
      </c>
      <c r="E15" s="38" t="s">
        <v>1159</v>
      </c>
      <c r="F15" s="39" t="s">
        <v>1160</v>
      </c>
      <c r="G15" s="39">
        <v>10</v>
      </c>
      <c r="H15" s="39"/>
      <c r="I15" s="40" t="s">
        <v>260</v>
      </c>
      <c r="J15" s="41">
        <v>2</v>
      </c>
      <c r="K15" s="41">
        <v>666</v>
      </c>
      <c r="L15" s="41"/>
      <c r="M15" s="42">
        <v>250</v>
      </c>
      <c r="N15" s="42">
        <v>272.88</v>
      </c>
      <c r="O15" s="43">
        <v>1332</v>
      </c>
      <c r="P15" s="44">
        <v>500</v>
      </c>
      <c r="Q15" s="44">
        <v>545.76</v>
      </c>
      <c r="R15" s="45">
        <v>5378.87</v>
      </c>
      <c r="S15" s="46">
        <v>0</v>
      </c>
      <c r="T15" s="39">
        <f t="shared" si="18"/>
        <v>10</v>
      </c>
      <c r="U15" s="47">
        <f t="shared" si="19"/>
        <v>1.9588304717374074E-2</v>
      </c>
      <c r="V15" s="48">
        <f t="shared" si="20"/>
        <v>22.879999999999995</v>
      </c>
      <c r="W15" s="49">
        <f t="shared" si="21"/>
        <v>1.9588304717374073E-3</v>
      </c>
      <c r="X15" s="44">
        <f t="shared" si="22"/>
        <v>225.51876144149273</v>
      </c>
      <c r="Y15" s="44">
        <f t="shared" si="23"/>
        <v>45.759999999999991</v>
      </c>
      <c r="Z15" s="44">
        <f t="shared" si="24"/>
        <v>565.11373718250968</v>
      </c>
      <c r="AA15" s="50">
        <f t="shared" si="25"/>
        <v>771.27876144149275</v>
      </c>
      <c r="AB15" s="51">
        <f t="shared" si="26"/>
        <v>528.29179880574895</v>
      </c>
      <c r="AC15" s="44">
        <f t="shared" si="27"/>
        <v>721.02342847666887</v>
      </c>
      <c r="AD15" s="44">
        <f t="shared" si="28"/>
        <v>75662.75525328271</v>
      </c>
      <c r="AE15" s="44">
        <f t="shared" si="29"/>
        <v>0</v>
      </c>
      <c r="AF15" s="52">
        <f>HLOOKUP(I15,ElecAvoidedCostsWOCC!$A$5:$Q$50,G15+1,FALSE)</f>
        <v>0.68726615252653023</v>
      </c>
      <c r="AG15" s="44">
        <f t="shared" si="30"/>
        <v>915.43851516533823</v>
      </c>
      <c r="AH15" s="52">
        <f>HLOOKUP(I15,ElecAvoidedCostsWOCC!$A$5:$Q$50,T15+1,FALSE)</f>
        <v>0.68726615252653023</v>
      </c>
      <c r="AI15" s="44">
        <f t="shared" si="31"/>
        <v>0</v>
      </c>
      <c r="AJ15" s="44">
        <f t="shared" si="32"/>
        <v>915.43851516533823</v>
      </c>
      <c r="AK15" s="44">
        <f>HLOOKUP(I15,ElecAvoidedCostsWOCC!$A$5:$Q$50,G15+1,FALSE)*J15*L15</f>
        <v>0</v>
      </c>
      <c r="AL15" s="44">
        <f t="shared" si="33"/>
        <v>915.43851516533823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915.43851516533823</v>
      </c>
      <c r="AN15" s="48">
        <f t="shared" si="34"/>
        <v>76669.737619964581</v>
      </c>
      <c r="AO15" s="47">
        <f t="shared" si="35"/>
        <v>1.7328274208207834</v>
      </c>
      <c r="AP15" s="47">
        <f t="shared" si="36"/>
        <v>106.33459967028726</v>
      </c>
      <c r="AQ15">
        <v>2021</v>
      </c>
    </row>
    <row r="16" spans="1:43" ht="13.5" customHeight="1">
      <c r="A16" s="54">
        <f>SUM(U5:U971)</f>
        <v>12.79543818677357</v>
      </c>
      <c r="B16" s="97" t="s">
        <v>70</v>
      </c>
      <c r="C16" s="98">
        <v>18230716</v>
      </c>
      <c r="D16" s="61" t="s">
        <v>131</v>
      </c>
      <c r="E16" s="38" t="s">
        <v>1161</v>
      </c>
      <c r="F16" s="39" t="s">
        <v>1160</v>
      </c>
      <c r="G16" s="39">
        <v>10</v>
      </c>
      <c r="H16" s="39"/>
      <c r="I16" s="40" t="s">
        <v>260</v>
      </c>
      <c r="J16" s="41">
        <v>7</v>
      </c>
      <c r="K16" s="41">
        <v>666</v>
      </c>
      <c r="L16" s="41"/>
      <c r="M16" s="42">
        <v>250</v>
      </c>
      <c r="N16" s="42">
        <v>272.88</v>
      </c>
      <c r="O16" s="43">
        <v>4662</v>
      </c>
      <c r="P16" s="44">
        <v>1750</v>
      </c>
      <c r="Q16" s="44">
        <v>1910.16</v>
      </c>
      <c r="R16" s="45">
        <v>878.03</v>
      </c>
      <c r="S16" s="46">
        <v>0</v>
      </c>
      <c r="T16" s="39">
        <f t="shared" si="18"/>
        <v>10</v>
      </c>
      <c r="U16" s="47">
        <f t="shared" si="19"/>
        <v>6.8559066510809258E-2</v>
      </c>
      <c r="V16" s="48">
        <f t="shared" si="20"/>
        <v>22.879999999999995</v>
      </c>
      <c r="W16" s="49">
        <f t="shared" si="21"/>
        <v>6.8559066510809254E-3</v>
      </c>
      <c r="X16" s="44">
        <f t="shared" si="22"/>
        <v>789.31566504522459</v>
      </c>
      <c r="Y16" s="44">
        <f t="shared" si="23"/>
        <v>160.16000000000008</v>
      </c>
      <c r="Z16" s="44">
        <f t="shared" si="24"/>
        <v>1977.8980801387838</v>
      </c>
      <c r="AA16" s="50">
        <f t="shared" si="25"/>
        <v>2699.4756650452246</v>
      </c>
      <c r="AB16" s="51">
        <f t="shared" si="26"/>
        <v>1849.0212958201212</v>
      </c>
      <c r="AC16" s="44">
        <f t="shared" si="27"/>
        <v>2523.5819996683408</v>
      </c>
      <c r="AD16" s="44">
        <f t="shared" si="28"/>
        <v>43228.334479665689</v>
      </c>
      <c r="AE16" s="44">
        <f t="shared" si="29"/>
        <v>0</v>
      </c>
      <c r="AF16" s="52">
        <f>HLOOKUP(I16,ElecAvoidedCostsWOCC!$A$5:$Q$50,G16+1,FALSE)</f>
        <v>0.68726615252653023</v>
      </c>
      <c r="AG16" s="44">
        <f t="shared" si="30"/>
        <v>3204.034803078684</v>
      </c>
      <c r="AH16" s="52">
        <f>HLOOKUP(I16,ElecAvoidedCostsWOCC!$A$5:$Q$50,T16+1,FALSE)</f>
        <v>0.68726615252653023</v>
      </c>
      <c r="AI16" s="44">
        <f t="shared" si="31"/>
        <v>0</v>
      </c>
      <c r="AJ16" s="44">
        <f t="shared" si="32"/>
        <v>3204.034803078684</v>
      </c>
      <c r="AK16" s="44">
        <f>HLOOKUP(I16,ElecAvoidedCostsWOCC!$A$5:$Q$50,G16+1,FALSE)*J16*L16</f>
        <v>0</v>
      </c>
      <c r="AL16" s="44">
        <f t="shared" si="33"/>
        <v>3204.034803078684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3204.0348030786836</v>
      </c>
      <c r="AN16" s="48">
        <f t="shared" si="34"/>
        <v>46752.772763052242</v>
      </c>
      <c r="AO16" s="47">
        <f t="shared" si="35"/>
        <v>1.7328274208207834</v>
      </c>
      <c r="AP16" s="47">
        <f t="shared" si="36"/>
        <v>18.526353718324462</v>
      </c>
      <c r="AQ16">
        <v>2021</v>
      </c>
    </row>
    <row r="17" spans="1:43" ht="13.5" customHeight="1">
      <c r="A17" s="58" t="s">
        <v>254</v>
      </c>
      <c r="B17" s="97" t="s">
        <v>70</v>
      </c>
      <c r="C17" s="98">
        <v>18230716</v>
      </c>
      <c r="D17" s="61" t="s">
        <v>131</v>
      </c>
      <c r="E17" s="38" t="s">
        <v>1162</v>
      </c>
      <c r="F17" s="39" t="s">
        <v>1163</v>
      </c>
      <c r="G17" s="39">
        <v>10</v>
      </c>
      <c r="H17" s="39"/>
      <c r="I17" s="40" t="s">
        <v>260</v>
      </c>
      <c r="J17" s="41">
        <v>2</v>
      </c>
      <c r="K17" s="41">
        <v>2123</v>
      </c>
      <c r="L17" s="41"/>
      <c r="M17" s="42">
        <v>500</v>
      </c>
      <c r="N17" s="42">
        <v>513.35</v>
      </c>
      <c r="O17" s="43">
        <v>4246</v>
      </c>
      <c r="P17" s="44">
        <v>1000</v>
      </c>
      <c r="Q17" s="44">
        <v>1026.7</v>
      </c>
      <c r="R17" s="45">
        <v>878.03</v>
      </c>
      <c r="S17" s="46">
        <v>0</v>
      </c>
      <c r="T17" s="39">
        <f t="shared" si="18"/>
        <v>10</v>
      </c>
      <c r="U17" s="47">
        <f t="shared" si="19"/>
        <v>6.2441397770247979E-2</v>
      </c>
      <c r="V17" s="48">
        <f t="shared" si="20"/>
        <v>13.350000000000023</v>
      </c>
      <c r="W17" s="49">
        <f t="shared" si="21"/>
        <v>6.2441397770247979E-3</v>
      </c>
      <c r="X17" s="44">
        <f t="shared" si="22"/>
        <v>718.88337918962316</v>
      </c>
      <c r="Y17" s="44">
        <f t="shared" si="23"/>
        <v>26.700000000000045</v>
      </c>
      <c r="Z17" s="44">
        <f t="shared" si="24"/>
        <v>1801.406102159862</v>
      </c>
      <c r="AA17" s="50">
        <f t="shared" si="25"/>
        <v>1745.5833791896232</v>
      </c>
      <c r="AB17" s="51">
        <f t="shared" si="26"/>
        <v>1684.029262559467</v>
      </c>
      <c r="AC17" s="44">
        <f t="shared" si="27"/>
        <v>1631.8438620076872</v>
      </c>
      <c r="AD17" s="44">
        <f t="shared" si="28"/>
        <v>12350.95270847591</v>
      </c>
      <c r="AE17" s="44">
        <f t="shared" si="29"/>
        <v>0</v>
      </c>
      <c r="AF17" s="52">
        <f>HLOOKUP(I17,ElecAvoidedCostsWOCC!$A$5:$Q$50,G17+1,FALSE)</f>
        <v>0.68726615252653023</v>
      </c>
      <c r="AG17" s="44">
        <f t="shared" si="30"/>
        <v>2918.1320836276473</v>
      </c>
      <c r="AH17" s="52">
        <f>HLOOKUP(I17,ElecAvoidedCostsWOCC!$A$5:$Q$50,T17+1,FALSE)</f>
        <v>0.68726615252653023</v>
      </c>
      <c r="AI17" s="44">
        <f t="shared" si="31"/>
        <v>0</v>
      </c>
      <c r="AJ17" s="44">
        <f t="shared" si="32"/>
        <v>2918.1320836276473</v>
      </c>
      <c r="AK17" s="44">
        <f>HLOOKUP(I17,ElecAvoidedCostsWOCC!$A$5:$Q$50,G17+1,FALSE)*J17*L17</f>
        <v>0</v>
      </c>
      <c r="AL17" s="44">
        <f t="shared" si="33"/>
        <v>2918.1320836276473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2918.1320836276473</v>
      </c>
      <c r="AN17" s="48">
        <f t="shared" si="34"/>
        <v>15560.898000466323</v>
      </c>
      <c r="AO17" s="47">
        <f t="shared" si="35"/>
        <v>1.7328274208207834</v>
      </c>
      <c r="AP17" s="47">
        <f t="shared" si="36"/>
        <v>9.5357762851903409</v>
      </c>
      <c r="AQ17">
        <v>2021</v>
      </c>
    </row>
    <row r="18" spans="1:43" ht="13.5" customHeight="1">
      <c r="A18" s="59">
        <f>A6+A8</f>
        <v>288495.48</v>
      </c>
      <c r="B18" s="97" t="s">
        <v>70</v>
      </c>
      <c r="C18" s="98">
        <v>18230716</v>
      </c>
      <c r="D18" s="61" t="s">
        <v>131</v>
      </c>
      <c r="E18" s="38" t="s">
        <v>1164</v>
      </c>
      <c r="F18" s="39" t="s">
        <v>1165</v>
      </c>
      <c r="G18" s="39">
        <v>10</v>
      </c>
      <c r="H18" s="39"/>
      <c r="I18" s="40" t="s">
        <v>260</v>
      </c>
      <c r="J18" s="41">
        <v>2</v>
      </c>
      <c r="K18" s="41">
        <v>1319</v>
      </c>
      <c r="L18" s="41"/>
      <c r="M18" s="42">
        <v>375</v>
      </c>
      <c r="N18" s="42">
        <v>399.56</v>
      </c>
      <c r="O18" s="43">
        <v>2638</v>
      </c>
      <c r="P18" s="44">
        <v>750</v>
      </c>
      <c r="Q18" s="44">
        <v>799.12</v>
      </c>
      <c r="R18" s="45">
        <v>878.03</v>
      </c>
      <c r="S18" s="46">
        <v>0</v>
      </c>
      <c r="T18" s="39">
        <f t="shared" si="18"/>
        <v>10</v>
      </c>
      <c r="U18" s="47">
        <f t="shared" si="19"/>
        <v>3.8794255138463067E-2</v>
      </c>
      <c r="V18" s="48">
        <f t="shared" si="20"/>
        <v>24.560000000000002</v>
      </c>
      <c r="W18" s="49">
        <f t="shared" si="21"/>
        <v>3.8794255138463068E-3</v>
      </c>
      <c r="X18" s="44">
        <f t="shared" si="22"/>
        <v>446.63550501701042</v>
      </c>
      <c r="Y18" s="44">
        <f t="shared" si="23"/>
        <v>49.120000000000005</v>
      </c>
      <c r="Z18" s="44">
        <f t="shared" si="24"/>
        <v>1119.1967257413369</v>
      </c>
      <c r="AA18" s="50">
        <f t="shared" si="25"/>
        <v>1245.7555050170104</v>
      </c>
      <c r="AB18" s="51">
        <f t="shared" si="26"/>
        <v>1046.2715955327071</v>
      </c>
      <c r="AC18" s="44">
        <f t="shared" si="27"/>
        <v>1164.5840002028701</v>
      </c>
      <c r="AD18" s="44">
        <f t="shared" si="28"/>
        <v>12350.95270847591</v>
      </c>
      <c r="AE18" s="44">
        <f t="shared" si="29"/>
        <v>0</v>
      </c>
      <c r="AF18" s="52">
        <f>HLOOKUP(I18,ElecAvoidedCostsWOCC!$A$5:$Q$50,G18+1,FALSE)</f>
        <v>0.68726615252653023</v>
      </c>
      <c r="AG18" s="44">
        <f t="shared" si="30"/>
        <v>1813.0081103649868</v>
      </c>
      <c r="AH18" s="52">
        <f>HLOOKUP(I18,ElecAvoidedCostsWOCC!$A$5:$Q$50,T18+1,FALSE)</f>
        <v>0.68726615252653023</v>
      </c>
      <c r="AI18" s="44">
        <f t="shared" si="31"/>
        <v>0</v>
      </c>
      <c r="AJ18" s="44">
        <f t="shared" si="32"/>
        <v>1813.0081103649868</v>
      </c>
      <c r="AK18" s="44">
        <f>HLOOKUP(I18,ElecAvoidedCostsWOCC!$A$5:$Q$50,G18+1,FALSE)*J18*L18</f>
        <v>0</v>
      </c>
      <c r="AL18" s="44">
        <f t="shared" si="33"/>
        <v>1813.0081103649868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1813.0081103649868</v>
      </c>
      <c r="AN18" s="48">
        <f t="shared" si="34"/>
        <v>14345.261629877396</v>
      </c>
      <c r="AO18" s="47">
        <f t="shared" si="35"/>
        <v>1.7328274208207834</v>
      </c>
      <c r="AP18" s="47">
        <f t="shared" si="36"/>
        <v>12.317927798577394</v>
      </c>
      <c r="AQ18">
        <v>2021</v>
      </c>
    </row>
    <row r="19" spans="1:43" ht="13.5" customHeight="1">
      <c r="A19" s="58" t="s">
        <v>231</v>
      </c>
      <c r="B19" s="97" t="s">
        <v>70</v>
      </c>
      <c r="C19" s="98">
        <v>18230716</v>
      </c>
      <c r="D19" s="61" t="s">
        <v>131</v>
      </c>
      <c r="E19" s="38" t="s">
        <v>1166</v>
      </c>
      <c r="F19" s="39" t="s">
        <v>1167</v>
      </c>
      <c r="G19" s="39">
        <v>10</v>
      </c>
      <c r="H19" s="39"/>
      <c r="I19" s="40" t="s">
        <v>260</v>
      </c>
      <c r="J19" s="41">
        <v>4</v>
      </c>
      <c r="K19" s="41">
        <v>745</v>
      </c>
      <c r="L19" s="41"/>
      <c r="M19" s="42">
        <v>200</v>
      </c>
      <c r="N19" s="42">
        <v>224.48</v>
      </c>
      <c r="O19" s="43">
        <v>2980</v>
      </c>
      <c r="P19" s="44">
        <v>800</v>
      </c>
      <c r="Q19" s="44">
        <v>897.92</v>
      </c>
      <c r="R19" s="45">
        <v>878.03</v>
      </c>
      <c r="S19" s="46">
        <v>0</v>
      </c>
      <c r="T19" s="39">
        <f t="shared" si="18"/>
        <v>10</v>
      </c>
      <c r="U19" s="47">
        <f t="shared" si="19"/>
        <v>4.3823684728059108E-2</v>
      </c>
      <c r="V19" s="48">
        <f t="shared" si="20"/>
        <v>24.47999999999999</v>
      </c>
      <c r="W19" s="49">
        <f t="shared" si="21"/>
        <v>4.3823684728059109E-3</v>
      </c>
      <c r="X19" s="44">
        <f t="shared" si="22"/>
        <v>504.53897079252874</v>
      </c>
      <c r="Y19" s="44">
        <f t="shared" si="23"/>
        <v>97.919999999999959</v>
      </c>
      <c r="Z19" s="44">
        <f t="shared" si="24"/>
        <v>1264.2934960990083</v>
      </c>
      <c r="AA19" s="50">
        <f t="shared" si="25"/>
        <v>1402.4589707925288</v>
      </c>
      <c r="AB19" s="51">
        <f t="shared" si="26"/>
        <v>1181.9140844152641</v>
      </c>
      <c r="AC19" s="44">
        <f t="shared" si="27"/>
        <v>1311.076910154743</v>
      </c>
      <c r="AD19" s="44">
        <f t="shared" si="28"/>
        <v>24701.90541695182</v>
      </c>
      <c r="AE19" s="44">
        <f t="shared" si="29"/>
        <v>0</v>
      </c>
      <c r="AF19" s="52">
        <f>HLOOKUP(I19,ElecAvoidedCostsWOCC!$A$5:$Q$50,G19+1,FALSE)</f>
        <v>0.68726615252653023</v>
      </c>
      <c r="AG19" s="44">
        <f t="shared" si="30"/>
        <v>2048.0531345290601</v>
      </c>
      <c r="AH19" s="52">
        <f>HLOOKUP(I19,ElecAvoidedCostsWOCC!$A$5:$Q$50,T19+1,FALSE)</f>
        <v>0.68726615252653023</v>
      </c>
      <c r="AI19" s="44">
        <f t="shared" si="31"/>
        <v>0</v>
      </c>
      <c r="AJ19" s="44">
        <f t="shared" si="32"/>
        <v>2048.0531345290601</v>
      </c>
      <c r="AK19" s="44">
        <f>HLOOKUP(I19,ElecAvoidedCostsWOCC!$A$5:$Q$50,G19+1,FALSE)*J19*L19</f>
        <v>0</v>
      </c>
      <c r="AL19" s="44">
        <f t="shared" si="33"/>
        <v>2048.0531345290601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2048.0531345290601</v>
      </c>
      <c r="AN19" s="48">
        <f t="shared" si="34"/>
        <v>26954.763864933786</v>
      </c>
      <c r="AO19" s="47">
        <f t="shared" si="35"/>
        <v>1.7328274208207837</v>
      </c>
      <c r="AP19" s="47">
        <f t="shared" si="36"/>
        <v>20.55925449999145</v>
      </c>
      <c r="AQ19">
        <v>2021</v>
      </c>
    </row>
    <row r="20" spans="1:43" ht="13.5" customHeight="1">
      <c r="A20" s="59">
        <f>A8+SUM(Q5:Q878)</f>
        <v>256442.98999999996</v>
      </c>
      <c r="B20" s="97" t="s">
        <v>70</v>
      </c>
      <c r="C20" s="98">
        <v>18230716</v>
      </c>
      <c r="D20" s="61" t="s">
        <v>131</v>
      </c>
      <c r="E20" s="38" t="s">
        <v>1168</v>
      </c>
      <c r="F20" s="39" t="s">
        <v>1169</v>
      </c>
      <c r="G20" s="39">
        <v>10</v>
      </c>
      <c r="H20" s="39"/>
      <c r="I20" s="40" t="s">
        <v>260</v>
      </c>
      <c r="J20" s="41">
        <v>3</v>
      </c>
      <c r="K20" s="41">
        <v>344</v>
      </c>
      <c r="L20" s="41"/>
      <c r="M20" s="42">
        <v>150</v>
      </c>
      <c r="N20" s="42">
        <v>151.82</v>
      </c>
      <c r="O20" s="43">
        <v>1032</v>
      </c>
      <c r="P20" s="44">
        <v>450</v>
      </c>
      <c r="Q20" s="44">
        <v>455.46</v>
      </c>
      <c r="R20" s="45">
        <v>878.03</v>
      </c>
      <c r="S20" s="46">
        <v>0</v>
      </c>
      <c r="T20" s="39">
        <f t="shared" si="18"/>
        <v>10</v>
      </c>
      <c r="U20" s="47">
        <f t="shared" si="19"/>
        <v>1.5176524375623156E-2</v>
      </c>
      <c r="V20" s="48">
        <f t="shared" si="20"/>
        <v>1.8199999999999932</v>
      </c>
      <c r="W20" s="49">
        <f t="shared" si="21"/>
        <v>1.5176524375623156E-3</v>
      </c>
      <c r="X20" s="44">
        <f t="shared" si="22"/>
        <v>174.72624760331868</v>
      </c>
      <c r="Y20" s="44">
        <f t="shared" si="23"/>
        <v>5.4599999999999795</v>
      </c>
      <c r="Z20" s="44">
        <f t="shared" si="24"/>
        <v>437.83586844771025</v>
      </c>
      <c r="AA20" s="50">
        <f t="shared" si="25"/>
        <v>630.18624760331863</v>
      </c>
      <c r="AB20" s="51">
        <f t="shared" si="26"/>
        <v>409.30715943508483</v>
      </c>
      <c r="AC20" s="44">
        <f t="shared" si="27"/>
        <v>589.12428494280505</v>
      </c>
      <c r="AD20" s="44">
        <f t="shared" si="28"/>
        <v>18526.429062713865</v>
      </c>
      <c r="AE20" s="44">
        <f t="shared" si="29"/>
        <v>0</v>
      </c>
      <c r="AF20" s="52">
        <f>HLOOKUP(I20,ElecAvoidedCostsWOCC!$A$5:$Q$50,G20+1,FALSE)</f>
        <v>0.68726615252653023</v>
      </c>
      <c r="AG20" s="44">
        <f t="shared" si="30"/>
        <v>709.25866940737922</v>
      </c>
      <c r="AH20" s="52">
        <f>HLOOKUP(I20,ElecAvoidedCostsWOCC!$A$5:$Q$50,T20+1,FALSE)</f>
        <v>0.68726615252653023</v>
      </c>
      <c r="AI20" s="44">
        <f t="shared" si="31"/>
        <v>0</v>
      </c>
      <c r="AJ20" s="44">
        <f t="shared" si="32"/>
        <v>709.25866940737922</v>
      </c>
      <c r="AK20" s="44">
        <f>HLOOKUP(I20,ElecAvoidedCostsWOCC!$A$5:$Q$50,G20+1,FALSE)*J20*L20</f>
        <v>0</v>
      </c>
      <c r="AL20" s="44">
        <f t="shared" si="33"/>
        <v>709.25866940737922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709.25866940737922</v>
      </c>
      <c r="AN20" s="48">
        <f t="shared" si="34"/>
        <v>19306.613599061984</v>
      </c>
      <c r="AO20" s="47">
        <f t="shared" si="35"/>
        <v>1.7328274208207834</v>
      </c>
      <c r="AP20" s="47">
        <f t="shared" si="36"/>
        <v>32.771715735562253</v>
      </c>
      <c r="AQ20">
        <v>2021</v>
      </c>
    </row>
    <row r="21" spans="1:43" ht="13.5" customHeight="1">
      <c r="A21" s="58" t="s">
        <v>245</v>
      </c>
      <c r="B21" s="97" t="s">
        <v>70</v>
      </c>
      <c r="C21" s="98">
        <v>18230716</v>
      </c>
      <c r="D21" s="61" t="s">
        <v>131</v>
      </c>
      <c r="E21" s="38" t="s">
        <v>1170</v>
      </c>
      <c r="F21" s="39" t="s">
        <v>1171</v>
      </c>
      <c r="G21" s="39"/>
      <c r="H21" s="39"/>
      <c r="I21" s="40"/>
      <c r="J21" s="41">
        <v>1</v>
      </c>
      <c r="K21" s="41">
        <v>0</v>
      </c>
      <c r="L21" s="41"/>
      <c r="M21" s="42">
        <v>25</v>
      </c>
      <c r="N21" s="42">
        <v>25</v>
      </c>
      <c r="O21" s="43">
        <v>0</v>
      </c>
      <c r="P21" s="44">
        <v>25</v>
      </c>
      <c r="Q21" s="44">
        <v>25</v>
      </c>
      <c r="R21" s="45">
        <v>0</v>
      </c>
      <c r="S21" s="46">
        <v>0</v>
      </c>
      <c r="T21" s="39">
        <f t="shared" si="18"/>
        <v>0</v>
      </c>
      <c r="U21" s="47">
        <f t="shared" si="19"/>
        <v>0</v>
      </c>
      <c r="V21" s="48">
        <f t="shared" si="20"/>
        <v>0</v>
      </c>
      <c r="W21" s="49">
        <f t="shared" si="21"/>
        <v>0</v>
      </c>
      <c r="X21" s="44">
        <f t="shared" si="22"/>
        <v>0</v>
      </c>
      <c r="Y21" s="44">
        <f t="shared" si="23"/>
        <v>0</v>
      </c>
      <c r="Z21" s="44">
        <f t="shared" si="24"/>
        <v>0</v>
      </c>
      <c r="AA21" s="50">
        <f t="shared" si="25"/>
        <v>25</v>
      </c>
      <c r="AB21" s="51">
        <f t="shared" si="26"/>
        <v>0</v>
      </c>
      <c r="AC21" s="44">
        <f t="shared" si="27"/>
        <v>23.371038608955779</v>
      </c>
      <c r="AD21" s="44">
        <f t="shared" si="28"/>
        <v>0</v>
      </c>
      <c r="AE21" s="44">
        <f t="shared" si="29"/>
        <v>0</v>
      </c>
      <c r="AF21" s="52" t="e">
        <f>HLOOKUP(I21,ElecAvoidedCostsWOCC!$A$5:$Q$50,G21+1,FALSE)</f>
        <v>#N/A</v>
      </c>
      <c r="AG21" s="44" t="e">
        <f t="shared" si="30"/>
        <v>#N/A</v>
      </c>
      <c r="AH21" s="52" t="e">
        <f>HLOOKUP(I21,ElecAvoidedCostsWOCC!$A$5:$Q$50,T21+1,FALSE)</f>
        <v>#N/A</v>
      </c>
      <c r="AI21" s="44" t="e">
        <f t="shared" si="31"/>
        <v>#N/A</v>
      </c>
      <c r="AJ21" s="44" t="e">
        <f t="shared" si="32"/>
        <v>#N/A</v>
      </c>
      <c r="AK21" s="44" t="e">
        <f>HLOOKUP(I21,ElecAvoidedCostsWOCC!$A$5:$Q$50,G21+1,FALSE)*J21*L21</f>
        <v>#N/A</v>
      </c>
      <c r="AL21" s="44" t="e">
        <f t="shared" si="3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4"/>
        <v>0</v>
      </c>
      <c r="AO21" s="47">
        <f t="shared" si="35"/>
        <v>0</v>
      </c>
      <c r="AP21" s="47">
        <f t="shared" si="36"/>
        <v>0</v>
      </c>
      <c r="AQ21">
        <v>2021</v>
      </c>
    </row>
    <row r="22" spans="1:43" ht="13.5" customHeight="1">
      <c r="A22" s="60">
        <f>(SUM(AM5:AM972)/(SUM(AB5:AB972)))</f>
        <v>2.198721321695873</v>
      </c>
      <c r="B22" s="97" t="s">
        <v>70</v>
      </c>
      <c r="C22" s="98">
        <v>18230716</v>
      </c>
      <c r="D22" s="61" t="s">
        <v>131</v>
      </c>
      <c r="E22" s="38" t="s">
        <v>1172</v>
      </c>
      <c r="F22" s="39" t="s">
        <v>1173</v>
      </c>
      <c r="G22" s="39"/>
      <c r="H22" s="39"/>
      <c r="I22" s="40"/>
      <c r="J22" s="41">
        <v>5</v>
      </c>
      <c r="K22" s="41">
        <v>0</v>
      </c>
      <c r="L22" s="41"/>
      <c r="M22" s="42">
        <v>50</v>
      </c>
      <c r="N22" s="42">
        <v>50</v>
      </c>
      <c r="O22" s="43">
        <v>0</v>
      </c>
      <c r="P22" s="44">
        <v>250</v>
      </c>
      <c r="Q22" s="44">
        <v>250</v>
      </c>
      <c r="R22" s="45">
        <v>0</v>
      </c>
      <c r="S22" s="46">
        <v>0</v>
      </c>
      <c r="T22" s="39">
        <f t="shared" si="18"/>
        <v>0</v>
      </c>
      <c r="U22" s="47">
        <f t="shared" si="19"/>
        <v>0</v>
      </c>
      <c r="V22" s="48">
        <f t="shared" si="20"/>
        <v>0</v>
      </c>
      <c r="W22" s="49">
        <f t="shared" si="21"/>
        <v>0</v>
      </c>
      <c r="X22" s="44">
        <f t="shared" si="22"/>
        <v>0</v>
      </c>
      <c r="Y22" s="44">
        <f t="shared" si="23"/>
        <v>0</v>
      </c>
      <c r="Z22" s="44">
        <f t="shared" si="24"/>
        <v>0</v>
      </c>
      <c r="AA22" s="50">
        <f t="shared" si="25"/>
        <v>250</v>
      </c>
      <c r="AB22" s="51">
        <f t="shared" si="26"/>
        <v>0</v>
      </c>
      <c r="AC22" s="44">
        <f t="shared" si="27"/>
        <v>233.7103860895578</v>
      </c>
      <c r="AD22" s="44">
        <f t="shared" si="28"/>
        <v>0</v>
      </c>
      <c r="AE22" s="44">
        <f t="shared" si="29"/>
        <v>0</v>
      </c>
      <c r="AF22" s="52" t="e">
        <f>HLOOKUP(I22,ElecAvoidedCostsWOCC!$A$5:$Q$50,G22+1,FALSE)</f>
        <v>#N/A</v>
      </c>
      <c r="AG22" s="44" t="e">
        <f t="shared" si="30"/>
        <v>#N/A</v>
      </c>
      <c r="AH22" s="52" t="e">
        <f>HLOOKUP(I22,ElecAvoidedCostsWOCC!$A$5:$Q$50,T22+1,FALSE)</f>
        <v>#N/A</v>
      </c>
      <c r="AI22" s="44" t="e">
        <f t="shared" si="31"/>
        <v>#N/A</v>
      </c>
      <c r="AJ22" s="44" t="e">
        <f t="shared" si="32"/>
        <v>#N/A</v>
      </c>
      <c r="AK22" s="44" t="e">
        <f>HLOOKUP(I22,ElecAvoidedCostsWOCC!$A$5:$Q$50,G22+1,FALSE)*J22*L22</f>
        <v>#N/A</v>
      </c>
      <c r="AL22" s="44" t="e">
        <f t="shared" si="3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4"/>
        <v>0</v>
      </c>
      <c r="AO22" s="47">
        <f t="shared" si="35"/>
        <v>0</v>
      </c>
      <c r="AP22" s="47">
        <f t="shared" si="36"/>
        <v>0</v>
      </c>
      <c r="AQ22">
        <v>2021</v>
      </c>
    </row>
    <row r="23" spans="1:43" ht="13.5" customHeight="1">
      <c r="A23" s="58" t="s">
        <v>246</v>
      </c>
      <c r="B23" s="97" t="s">
        <v>70</v>
      </c>
      <c r="C23" s="98">
        <v>18230716</v>
      </c>
      <c r="D23" s="61" t="s">
        <v>131</v>
      </c>
      <c r="E23" s="38" t="s">
        <v>1174</v>
      </c>
      <c r="F23" s="39" t="s">
        <v>1173</v>
      </c>
      <c r="G23" s="39"/>
      <c r="H23" s="39"/>
      <c r="I23" s="40"/>
      <c r="J23" s="41">
        <v>14</v>
      </c>
      <c r="K23" s="41">
        <v>0</v>
      </c>
      <c r="L23" s="41"/>
      <c r="M23" s="42">
        <v>50</v>
      </c>
      <c r="N23" s="42">
        <v>0</v>
      </c>
      <c r="O23" s="43">
        <v>0</v>
      </c>
      <c r="P23" s="44">
        <v>700</v>
      </c>
      <c r="Q23" s="44">
        <v>0</v>
      </c>
      <c r="R23" s="45">
        <v>0</v>
      </c>
      <c r="S23" s="46">
        <v>0</v>
      </c>
      <c r="T23" s="39">
        <f t="shared" si="18"/>
        <v>0</v>
      </c>
      <c r="U23" s="47">
        <f t="shared" si="19"/>
        <v>0</v>
      </c>
      <c r="V23" s="48">
        <f t="shared" si="20"/>
        <v>-50</v>
      </c>
      <c r="W23" s="49">
        <f t="shared" si="21"/>
        <v>0</v>
      </c>
      <c r="X23" s="44">
        <f t="shared" si="22"/>
        <v>0</v>
      </c>
      <c r="Y23" s="44">
        <f t="shared" si="23"/>
        <v>-700</v>
      </c>
      <c r="Z23" s="44">
        <f t="shared" si="24"/>
        <v>0</v>
      </c>
      <c r="AA23" s="50">
        <f t="shared" si="25"/>
        <v>0</v>
      </c>
      <c r="AB23" s="51">
        <f t="shared" si="26"/>
        <v>0</v>
      </c>
      <c r="AC23" s="44">
        <f t="shared" si="27"/>
        <v>0</v>
      </c>
      <c r="AD23" s="44">
        <f t="shared" si="28"/>
        <v>0</v>
      </c>
      <c r="AE23" s="44">
        <f t="shared" si="29"/>
        <v>0</v>
      </c>
      <c r="AF23" s="52" t="e">
        <f>HLOOKUP(I23,ElecAvoidedCostsWOCC!$A$5:$Q$50,G23+1,FALSE)</f>
        <v>#N/A</v>
      </c>
      <c r="AG23" s="44" t="e">
        <f t="shared" si="30"/>
        <v>#N/A</v>
      </c>
      <c r="AH23" s="52" t="e">
        <f>HLOOKUP(I23,ElecAvoidedCostsWOCC!$A$5:$Q$50,T23+1,FALSE)</f>
        <v>#N/A</v>
      </c>
      <c r="AI23" s="44" t="e">
        <f t="shared" si="31"/>
        <v>#N/A</v>
      </c>
      <c r="AJ23" s="44" t="e">
        <f t="shared" si="32"/>
        <v>#N/A</v>
      </c>
      <c r="AK23" s="44" t="e">
        <f>HLOOKUP(I23,ElecAvoidedCostsWOCC!$A$5:$Q$50,G23+1,FALSE)*J23*L23</f>
        <v>#N/A</v>
      </c>
      <c r="AL23" s="44" t="e">
        <f t="shared" si="3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4"/>
        <v>0</v>
      </c>
      <c r="AO23" s="47">
        <f t="shared" si="35"/>
        <v>0</v>
      </c>
      <c r="AP23" s="47" t="e">
        <f t="shared" si="36"/>
        <v>#DIV/0!</v>
      </c>
      <c r="AQ23">
        <v>2021</v>
      </c>
    </row>
    <row r="24" spans="1:43" ht="13.5" customHeight="1">
      <c r="A24" s="60">
        <f>(SUM(AN5:AN972)/SUM(AC5:AC972))</f>
        <v>9.445515906756917</v>
      </c>
      <c r="B24" s="97" t="s">
        <v>70</v>
      </c>
      <c r="C24" s="98">
        <v>18230716</v>
      </c>
      <c r="D24" s="61" t="s">
        <v>131</v>
      </c>
      <c r="E24" s="38" t="s">
        <v>1175</v>
      </c>
      <c r="F24" s="39" t="s">
        <v>1176</v>
      </c>
      <c r="G24" s="39"/>
      <c r="H24" s="39"/>
      <c r="I24" s="40"/>
      <c r="J24" s="41">
        <v>2</v>
      </c>
      <c r="K24" s="41">
        <v>0</v>
      </c>
      <c r="L24" s="41"/>
      <c r="M24" s="42">
        <v>50</v>
      </c>
      <c r="N24" s="42">
        <v>0</v>
      </c>
      <c r="O24" s="43">
        <v>0</v>
      </c>
      <c r="P24" s="44">
        <v>100</v>
      </c>
      <c r="Q24" s="44">
        <v>0</v>
      </c>
      <c r="R24" s="45">
        <v>0</v>
      </c>
      <c r="S24" s="46">
        <v>0</v>
      </c>
      <c r="T24" s="39">
        <f t="shared" si="18"/>
        <v>0</v>
      </c>
      <c r="U24" s="47">
        <f t="shared" si="19"/>
        <v>0</v>
      </c>
      <c r="V24" s="48">
        <f t="shared" si="20"/>
        <v>-50</v>
      </c>
      <c r="W24" s="49">
        <f t="shared" si="21"/>
        <v>0</v>
      </c>
      <c r="X24" s="44">
        <f t="shared" si="22"/>
        <v>0</v>
      </c>
      <c r="Y24" s="44">
        <f t="shared" si="23"/>
        <v>-100</v>
      </c>
      <c r="Z24" s="44">
        <f t="shared" si="24"/>
        <v>0</v>
      </c>
      <c r="AA24" s="50">
        <f t="shared" si="25"/>
        <v>0</v>
      </c>
      <c r="AB24" s="51">
        <f t="shared" si="26"/>
        <v>0</v>
      </c>
      <c r="AC24" s="44">
        <f t="shared" si="27"/>
        <v>0</v>
      </c>
      <c r="AD24" s="44">
        <f t="shared" si="28"/>
        <v>0</v>
      </c>
      <c r="AE24" s="44">
        <f t="shared" si="29"/>
        <v>0</v>
      </c>
      <c r="AF24" s="52" t="e">
        <f>HLOOKUP(I24,ElecAvoidedCostsWOCC!$A$5:$Q$50,G24+1,FALSE)</f>
        <v>#N/A</v>
      </c>
      <c r="AG24" s="44" t="e">
        <f t="shared" si="30"/>
        <v>#N/A</v>
      </c>
      <c r="AH24" s="52" t="e">
        <f>HLOOKUP(I24,ElecAvoidedCostsWOCC!$A$5:$Q$50,T24+1,FALSE)</f>
        <v>#N/A</v>
      </c>
      <c r="AI24" s="44" t="e">
        <f t="shared" si="31"/>
        <v>#N/A</v>
      </c>
      <c r="AJ24" s="44" t="e">
        <f t="shared" si="32"/>
        <v>#N/A</v>
      </c>
      <c r="AK24" s="44" t="e">
        <f>HLOOKUP(I24,ElecAvoidedCostsWOCC!$A$5:$Q$50,G24+1,FALSE)*J24*L24</f>
        <v>#N/A</v>
      </c>
      <c r="AL24" s="44" t="e">
        <f t="shared" si="3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4"/>
        <v>0</v>
      </c>
      <c r="AO24" s="47">
        <f t="shared" si="35"/>
        <v>0</v>
      </c>
      <c r="AP24" s="47" t="e">
        <f t="shared" si="36"/>
        <v>#DIV/0!</v>
      </c>
      <c r="AQ24">
        <v>2021</v>
      </c>
    </row>
    <row r="25" spans="1:43" ht="13.5" customHeight="1">
      <c r="B25" s="97" t="s">
        <v>70</v>
      </c>
      <c r="C25" s="98">
        <v>18230716</v>
      </c>
      <c r="D25" s="61" t="s">
        <v>131</v>
      </c>
      <c r="E25" s="38" t="s">
        <v>1177</v>
      </c>
      <c r="F25" s="39" t="s">
        <v>1178</v>
      </c>
      <c r="G25" s="39"/>
      <c r="H25" s="39"/>
      <c r="I25" s="40"/>
      <c r="J25" s="41">
        <v>1</v>
      </c>
      <c r="K25" s="41">
        <v>0</v>
      </c>
      <c r="L25" s="41"/>
      <c r="M25" s="42">
        <v>50</v>
      </c>
      <c r="N25" s="42">
        <v>0</v>
      </c>
      <c r="O25" s="43">
        <v>0</v>
      </c>
      <c r="P25" s="44">
        <v>50</v>
      </c>
      <c r="Q25" s="44">
        <v>0</v>
      </c>
      <c r="R25" s="45">
        <v>0</v>
      </c>
      <c r="S25" s="46">
        <v>0</v>
      </c>
      <c r="T25" s="39">
        <f t="shared" si="18"/>
        <v>0</v>
      </c>
      <c r="U25" s="47">
        <f t="shared" si="19"/>
        <v>0</v>
      </c>
      <c r="V25" s="48">
        <f t="shared" si="20"/>
        <v>-50</v>
      </c>
      <c r="W25" s="49">
        <f t="shared" si="21"/>
        <v>0</v>
      </c>
      <c r="X25" s="44">
        <f t="shared" si="22"/>
        <v>0</v>
      </c>
      <c r="Y25" s="44">
        <f t="shared" si="23"/>
        <v>-50</v>
      </c>
      <c r="Z25" s="44">
        <f t="shared" si="24"/>
        <v>0</v>
      </c>
      <c r="AA25" s="50">
        <f t="shared" si="25"/>
        <v>0</v>
      </c>
      <c r="AB25" s="51">
        <f t="shared" si="26"/>
        <v>0</v>
      </c>
      <c r="AC25" s="44">
        <f t="shared" si="27"/>
        <v>0</v>
      </c>
      <c r="AD25" s="44">
        <f t="shared" si="28"/>
        <v>0</v>
      </c>
      <c r="AE25" s="44">
        <f t="shared" si="29"/>
        <v>0</v>
      </c>
      <c r="AF25" s="52" t="e">
        <f>HLOOKUP(I25,ElecAvoidedCostsWOCC!$A$5:$Q$50,G25+1,FALSE)</f>
        <v>#N/A</v>
      </c>
      <c r="AG25" s="44" t="e">
        <f t="shared" si="30"/>
        <v>#N/A</v>
      </c>
      <c r="AH25" s="52" t="e">
        <f>HLOOKUP(I25,ElecAvoidedCostsWOCC!$A$5:$Q$50,T25+1,FALSE)</f>
        <v>#N/A</v>
      </c>
      <c r="AI25" s="44" t="e">
        <f t="shared" si="31"/>
        <v>#N/A</v>
      </c>
      <c r="AJ25" s="44" t="e">
        <f t="shared" si="32"/>
        <v>#N/A</v>
      </c>
      <c r="AK25" s="44" t="e">
        <f>HLOOKUP(I25,ElecAvoidedCostsWOCC!$A$5:$Q$50,G25+1,FALSE)*J25*L25</f>
        <v>#N/A</v>
      </c>
      <c r="AL25" s="44" t="e">
        <f t="shared" si="33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4"/>
        <v>0</v>
      </c>
      <c r="AO25" s="47">
        <f t="shared" si="35"/>
        <v>0</v>
      </c>
      <c r="AP25" s="47" t="e">
        <f t="shared" si="36"/>
        <v>#DIV/0!</v>
      </c>
      <c r="AQ25">
        <v>2021</v>
      </c>
    </row>
    <row r="26" spans="1:43" ht="13.5" customHeight="1">
      <c r="B26" s="97" t="s">
        <v>70</v>
      </c>
      <c r="C26" s="98">
        <v>18230716</v>
      </c>
      <c r="D26" s="61" t="s">
        <v>131</v>
      </c>
      <c r="E26" s="38" t="s">
        <v>1179</v>
      </c>
      <c r="F26" s="39" t="s">
        <v>1180</v>
      </c>
      <c r="G26" s="39"/>
      <c r="H26" s="39"/>
      <c r="I26" s="40"/>
      <c r="J26" s="41">
        <v>2</v>
      </c>
      <c r="K26" s="41">
        <v>0</v>
      </c>
      <c r="L26" s="41"/>
      <c r="M26" s="42">
        <v>50</v>
      </c>
      <c r="N26" s="42">
        <v>50</v>
      </c>
      <c r="O26" s="43">
        <v>0</v>
      </c>
      <c r="P26" s="44">
        <v>100</v>
      </c>
      <c r="Q26" s="44">
        <v>100</v>
      </c>
      <c r="R26" s="45">
        <v>0</v>
      </c>
      <c r="S26" s="46">
        <v>0</v>
      </c>
      <c r="T26" s="39">
        <f t="shared" si="18"/>
        <v>0</v>
      </c>
      <c r="U26" s="47">
        <f t="shared" si="19"/>
        <v>0</v>
      </c>
      <c r="V26" s="48">
        <f t="shared" si="20"/>
        <v>0</v>
      </c>
      <c r="W26" s="49">
        <f t="shared" si="21"/>
        <v>0</v>
      </c>
      <c r="X26" s="44">
        <f t="shared" si="22"/>
        <v>0</v>
      </c>
      <c r="Y26" s="44">
        <f t="shared" si="23"/>
        <v>0</v>
      </c>
      <c r="Z26" s="44">
        <f t="shared" si="24"/>
        <v>0</v>
      </c>
      <c r="AA26" s="50">
        <f t="shared" si="25"/>
        <v>100</v>
      </c>
      <c r="AB26" s="51">
        <f t="shared" si="26"/>
        <v>0</v>
      </c>
      <c r="AC26" s="44">
        <f t="shared" si="27"/>
        <v>93.484154435823115</v>
      </c>
      <c r="AD26" s="44">
        <f t="shared" si="28"/>
        <v>0</v>
      </c>
      <c r="AE26" s="44">
        <f t="shared" si="29"/>
        <v>0</v>
      </c>
      <c r="AF26" s="52" t="e">
        <f>HLOOKUP(I26,ElecAvoidedCostsWOCC!$A$5:$Q$50,G26+1,FALSE)</f>
        <v>#N/A</v>
      </c>
      <c r="AG26" s="44" t="e">
        <f t="shared" si="30"/>
        <v>#N/A</v>
      </c>
      <c r="AH26" s="52" t="e">
        <f>HLOOKUP(I26,ElecAvoidedCostsWOCC!$A$5:$Q$50,T26+1,FALSE)</f>
        <v>#N/A</v>
      </c>
      <c r="AI26" s="44" t="e">
        <f t="shared" si="31"/>
        <v>#N/A</v>
      </c>
      <c r="AJ26" s="44" t="e">
        <f t="shared" si="32"/>
        <v>#N/A</v>
      </c>
      <c r="AK26" s="44" t="e">
        <f>HLOOKUP(I26,ElecAvoidedCostsWOCC!$A$5:$Q$50,G26+1,FALSE)*J26*L26</f>
        <v>#N/A</v>
      </c>
      <c r="AL26" s="44" t="e">
        <f t="shared" si="33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4"/>
        <v>0</v>
      </c>
      <c r="AO26" s="47">
        <f t="shared" si="35"/>
        <v>0</v>
      </c>
      <c r="AP26" s="47">
        <f t="shared" si="36"/>
        <v>0</v>
      </c>
      <c r="AQ26">
        <v>2021</v>
      </c>
    </row>
    <row r="27" spans="1:43" ht="13.5" customHeight="1">
      <c r="B27" s="97" t="s">
        <v>70</v>
      </c>
      <c r="C27" s="98">
        <v>18230716</v>
      </c>
      <c r="D27" s="61" t="s">
        <v>131</v>
      </c>
      <c r="E27" s="38" t="s">
        <v>1181</v>
      </c>
      <c r="F27" s="39" t="s">
        <v>1180</v>
      </c>
      <c r="G27" s="39"/>
      <c r="H27" s="39"/>
      <c r="I27" s="40"/>
      <c r="J27" s="41">
        <v>14</v>
      </c>
      <c r="K27" s="41">
        <v>0</v>
      </c>
      <c r="L27" s="41"/>
      <c r="M27" s="42">
        <v>50</v>
      </c>
      <c r="N27" s="42">
        <v>0</v>
      </c>
      <c r="O27" s="43">
        <v>0</v>
      </c>
      <c r="P27" s="44">
        <v>700</v>
      </c>
      <c r="Q27" s="44">
        <v>0</v>
      </c>
      <c r="R27" s="45">
        <v>0</v>
      </c>
      <c r="S27" s="46">
        <v>0</v>
      </c>
      <c r="T27" s="39">
        <f t="shared" si="18"/>
        <v>0</v>
      </c>
      <c r="U27" s="47">
        <f t="shared" si="19"/>
        <v>0</v>
      </c>
      <c r="V27" s="48">
        <f t="shared" si="20"/>
        <v>-50</v>
      </c>
      <c r="W27" s="49">
        <f t="shared" si="21"/>
        <v>0</v>
      </c>
      <c r="X27" s="44">
        <f t="shared" si="22"/>
        <v>0</v>
      </c>
      <c r="Y27" s="44">
        <f t="shared" si="23"/>
        <v>-700</v>
      </c>
      <c r="Z27" s="44">
        <f t="shared" si="24"/>
        <v>0</v>
      </c>
      <c r="AA27" s="50">
        <f t="shared" si="25"/>
        <v>0</v>
      </c>
      <c r="AB27" s="51">
        <f t="shared" si="26"/>
        <v>0</v>
      </c>
      <c r="AC27" s="44">
        <f t="shared" si="27"/>
        <v>0</v>
      </c>
      <c r="AD27" s="44">
        <f t="shared" si="28"/>
        <v>0</v>
      </c>
      <c r="AE27" s="44">
        <f t="shared" si="29"/>
        <v>0</v>
      </c>
      <c r="AF27" s="52" t="e">
        <f>HLOOKUP(I27,ElecAvoidedCostsWOCC!$A$5:$Q$50,G27+1,FALSE)</f>
        <v>#N/A</v>
      </c>
      <c r="AG27" s="44" t="e">
        <f t="shared" si="30"/>
        <v>#N/A</v>
      </c>
      <c r="AH27" s="52" t="e">
        <f>HLOOKUP(I27,ElecAvoidedCostsWOCC!$A$5:$Q$50,T27+1,FALSE)</f>
        <v>#N/A</v>
      </c>
      <c r="AI27" s="44" t="e">
        <f t="shared" si="31"/>
        <v>#N/A</v>
      </c>
      <c r="AJ27" s="44" t="e">
        <f t="shared" si="32"/>
        <v>#N/A</v>
      </c>
      <c r="AK27" s="44" t="e">
        <f>HLOOKUP(I27,ElecAvoidedCostsWOCC!$A$5:$Q$50,G27+1,FALSE)*J27*L27</f>
        <v>#N/A</v>
      </c>
      <c r="AL27" s="44" t="e">
        <f t="shared" si="33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4"/>
        <v>0</v>
      </c>
      <c r="AO27" s="47">
        <f t="shared" si="35"/>
        <v>0</v>
      </c>
      <c r="AP27" s="47" t="e">
        <f t="shared" si="36"/>
        <v>#DIV/0!</v>
      </c>
      <c r="AQ27">
        <v>2021</v>
      </c>
    </row>
    <row r="28" spans="1:43" ht="13.5" customHeight="1">
      <c r="B28" s="97" t="s">
        <v>70</v>
      </c>
      <c r="C28" s="98">
        <v>18230716</v>
      </c>
      <c r="D28" s="61" t="s">
        <v>131</v>
      </c>
      <c r="E28" s="38" t="s">
        <v>1182</v>
      </c>
      <c r="F28" s="39" t="s">
        <v>1183</v>
      </c>
      <c r="G28" s="39"/>
      <c r="H28" s="39"/>
      <c r="I28" s="40"/>
      <c r="J28" s="41">
        <v>7</v>
      </c>
      <c r="K28" s="41">
        <v>0</v>
      </c>
      <c r="L28" s="41"/>
      <c r="M28" s="42">
        <v>50</v>
      </c>
      <c r="N28" s="42">
        <v>50</v>
      </c>
      <c r="O28" s="43">
        <v>0</v>
      </c>
      <c r="P28" s="44">
        <v>350</v>
      </c>
      <c r="Q28" s="44">
        <v>350</v>
      </c>
      <c r="R28" s="45">
        <v>0</v>
      </c>
      <c r="S28" s="46">
        <v>0</v>
      </c>
      <c r="T28" s="39">
        <f t="shared" si="18"/>
        <v>0</v>
      </c>
      <c r="U28" s="47">
        <f t="shared" si="19"/>
        <v>0</v>
      </c>
      <c r="V28" s="48">
        <f t="shared" si="20"/>
        <v>0</v>
      </c>
      <c r="W28" s="49">
        <f t="shared" si="21"/>
        <v>0</v>
      </c>
      <c r="X28" s="44">
        <f t="shared" si="22"/>
        <v>0</v>
      </c>
      <c r="Y28" s="44">
        <f t="shared" si="23"/>
        <v>0</v>
      </c>
      <c r="Z28" s="44">
        <f t="shared" si="24"/>
        <v>0</v>
      </c>
      <c r="AA28" s="50">
        <f t="shared" si="25"/>
        <v>350</v>
      </c>
      <c r="AB28" s="51">
        <f t="shared" si="26"/>
        <v>0</v>
      </c>
      <c r="AC28" s="44">
        <f t="shared" si="27"/>
        <v>327.19454052538094</v>
      </c>
      <c r="AD28" s="44">
        <f t="shared" si="28"/>
        <v>0</v>
      </c>
      <c r="AE28" s="44">
        <f t="shared" si="29"/>
        <v>0</v>
      </c>
      <c r="AF28" s="52" t="e">
        <f>HLOOKUP(I28,ElecAvoidedCostsWOCC!$A$5:$Q$50,G28+1,FALSE)</f>
        <v>#N/A</v>
      </c>
      <c r="AG28" s="44" t="e">
        <f t="shared" si="30"/>
        <v>#N/A</v>
      </c>
      <c r="AH28" s="52" t="e">
        <f>HLOOKUP(I28,ElecAvoidedCostsWOCC!$A$5:$Q$50,T28+1,FALSE)</f>
        <v>#N/A</v>
      </c>
      <c r="AI28" s="44" t="e">
        <f t="shared" si="31"/>
        <v>#N/A</v>
      </c>
      <c r="AJ28" s="44" t="e">
        <f t="shared" si="32"/>
        <v>#N/A</v>
      </c>
      <c r="AK28" s="44" t="e">
        <f>HLOOKUP(I28,ElecAvoidedCostsWOCC!$A$5:$Q$50,G28+1,FALSE)*J28*L28</f>
        <v>#N/A</v>
      </c>
      <c r="AL28" s="44" t="e">
        <f t="shared" si="33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4"/>
        <v>0</v>
      </c>
      <c r="AO28" s="47">
        <f t="shared" si="35"/>
        <v>0</v>
      </c>
      <c r="AP28" s="47">
        <f t="shared" si="36"/>
        <v>0</v>
      </c>
      <c r="AQ28">
        <v>2021</v>
      </c>
    </row>
    <row r="29" spans="1:43">
      <c r="B29" s="97" t="s">
        <v>70</v>
      </c>
      <c r="C29" s="98">
        <v>18230716</v>
      </c>
      <c r="D29" s="61" t="s">
        <v>131</v>
      </c>
      <c r="E29" s="38" t="s">
        <v>1184</v>
      </c>
      <c r="F29" s="39" t="s">
        <v>1183</v>
      </c>
      <c r="G29" s="39"/>
      <c r="H29" s="39"/>
      <c r="I29" s="40"/>
      <c r="J29" s="41">
        <v>8</v>
      </c>
      <c r="K29" s="41">
        <v>0</v>
      </c>
      <c r="L29" s="41"/>
      <c r="M29" s="42">
        <v>50</v>
      </c>
      <c r="N29" s="42">
        <v>0</v>
      </c>
      <c r="O29" s="43">
        <v>0</v>
      </c>
      <c r="P29" s="44">
        <v>400</v>
      </c>
      <c r="Q29" s="44">
        <v>0</v>
      </c>
      <c r="R29" s="45">
        <v>0</v>
      </c>
      <c r="S29" s="46">
        <v>0</v>
      </c>
      <c r="T29" s="39">
        <f t="shared" si="18"/>
        <v>0</v>
      </c>
      <c r="U29" s="47">
        <f t="shared" si="19"/>
        <v>0</v>
      </c>
      <c r="V29" s="48">
        <f t="shared" si="20"/>
        <v>-50</v>
      </c>
      <c r="W29" s="49">
        <f t="shared" si="21"/>
        <v>0</v>
      </c>
      <c r="X29" s="44">
        <f t="shared" si="22"/>
        <v>0</v>
      </c>
      <c r="Y29" s="44">
        <f t="shared" si="23"/>
        <v>-400</v>
      </c>
      <c r="Z29" s="44">
        <f t="shared" si="24"/>
        <v>0</v>
      </c>
      <c r="AA29" s="50">
        <f t="shared" si="25"/>
        <v>0</v>
      </c>
      <c r="AB29" s="51">
        <f t="shared" si="26"/>
        <v>0</v>
      </c>
      <c r="AC29" s="44">
        <f t="shared" si="27"/>
        <v>0</v>
      </c>
      <c r="AD29" s="44">
        <f t="shared" si="28"/>
        <v>0</v>
      </c>
      <c r="AE29" s="44">
        <f t="shared" si="29"/>
        <v>0</v>
      </c>
      <c r="AF29" s="52" t="e">
        <f>HLOOKUP(I29,ElecAvoidedCostsWOCC!$A$5:$Q$50,G29+1,FALSE)</f>
        <v>#N/A</v>
      </c>
      <c r="AG29" s="44" t="e">
        <f t="shared" si="30"/>
        <v>#N/A</v>
      </c>
      <c r="AH29" s="52" t="e">
        <f>HLOOKUP(I29,ElecAvoidedCostsWOCC!$A$5:$Q$50,T29+1,FALSE)</f>
        <v>#N/A</v>
      </c>
      <c r="AI29" s="44" t="e">
        <f t="shared" si="31"/>
        <v>#N/A</v>
      </c>
      <c r="AJ29" s="44" t="e">
        <f t="shared" si="32"/>
        <v>#N/A</v>
      </c>
      <c r="AK29" s="44" t="e">
        <f>HLOOKUP(I29,ElecAvoidedCostsWOCC!$A$5:$Q$50,G29+1,FALSE)*J29*L29</f>
        <v>#N/A</v>
      </c>
      <c r="AL29" s="44" t="e">
        <f t="shared" si="33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4"/>
        <v>0</v>
      </c>
      <c r="AO29" s="47">
        <f t="shared" si="35"/>
        <v>0</v>
      </c>
      <c r="AP29" s="47" t="e">
        <f t="shared" si="36"/>
        <v>#DIV/0!</v>
      </c>
      <c r="AQ29">
        <v>2021</v>
      </c>
    </row>
    <row r="30" spans="1:43">
      <c r="B30" s="97" t="s">
        <v>70</v>
      </c>
      <c r="C30" s="98">
        <v>18230716</v>
      </c>
      <c r="D30" s="61" t="s">
        <v>131</v>
      </c>
      <c r="E30" s="38" t="s">
        <v>1185</v>
      </c>
      <c r="F30" s="39" t="s">
        <v>1186</v>
      </c>
      <c r="G30" s="39"/>
      <c r="H30" s="39"/>
      <c r="I30" s="40"/>
      <c r="J30" s="41">
        <v>1</v>
      </c>
      <c r="K30" s="41">
        <v>0</v>
      </c>
      <c r="L30" s="41"/>
      <c r="M30" s="42">
        <v>50</v>
      </c>
      <c r="N30" s="42">
        <v>50</v>
      </c>
      <c r="O30" s="43">
        <v>0</v>
      </c>
      <c r="P30" s="44">
        <v>50</v>
      </c>
      <c r="Q30" s="44">
        <v>50</v>
      </c>
      <c r="R30" s="45">
        <v>0</v>
      </c>
      <c r="S30" s="46">
        <v>0</v>
      </c>
      <c r="T30" s="39">
        <f t="shared" si="18"/>
        <v>0</v>
      </c>
      <c r="U30" s="47">
        <f t="shared" si="19"/>
        <v>0</v>
      </c>
      <c r="V30" s="48">
        <f t="shared" si="20"/>
        <v>0</v>
      </c>
      <c r="W30" s="49">
        <f t="shared" si="21"/>
        <v>0</v>
      </c>
      <c r="X30" s="44">
        <f t="shared" si="22"/>
        <v>0</v>
      </c>
      <c r="Y30" s="44">
        <f t="shared" si="23"/>
        <v>0</v>
      </c>
      <c r="Z30" s="44">
        <f t="shared" si="24"/>
        <v>0</v>
      </c>
      <c r="AA30" s="50">
        <f t="shared" si="25"/>
        <v>50</v>
      </c>
      <c r="AB30" s="51">
        <f t="shared" si="26"/>
        <v>0</v>
      </c>
      <c r="AC30" s="44">
        <f t="shared" si="27"/>
        <v>46.742077217911557</v>
      </c>
      <c r="AD30" s="44">
        <f t="shared" si="28"/>
        <v>0</v>
      </c>
      <c r="AE30" s="44">
        <f t="shared" si="29"/>
        <v>0</v>
      </c>
      <c r="AF30" s="52" t="e">
        <f>HLOOKUP(I30,ElecAvoidedCostsWOCC!$A$5:$Q$50,G30+1,FALSE)</f>
        <v>#N/A</v>
      </c>
      <c r="AG30" s="44" t="e">
        <f t="shared" si="30"/>
        <v>#N/A</v>
      </c>
      <c r="AH30" s="52" t="e">
        <f>HLOOKUP(I30,ElecAvoidedCostsWOCC!$A$5:$Q$50,T30+1,FALSE)</f>
        <v>#N/A</v>
      </c>
      <c r="AI30" s="44" t="e">
        <f t="shared" si="31"/>
        <v>#N/A</v>
      </c>
      <c r="AJ30" s="44" t="e">
        <f t="shared" si="32"/>
        <v>#N/A</v>
      </c>
      <c r="AK30" s="44" t="e">
        <f>HLOOKUP(I30,ElecAvoidedCostsWOCC!$A$5:$Q$50,G30+1,FALSE)*J30*L30</f>
        <v>#N/A</v>
      </c>
      <c r="AL30" s="44" t="e">
        <f t="shared" si="33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4"/>
        <v>0</v>
      </c>
      <c r="AO30" s="47">
        <f t="shared" si="35"/>
        <v>0</v>
      </c>
      <c r="AP30" s="47">
        <f t="shared" si="36"/>
        <v>0</v>
      </c>
      <c r="AQ30">
        <v>2021</v>
      </c>
    </row>
    <row r="31" spans="1:43">
      <c r="B31" s="97" t="s">
        <v>70</v>
      </c>
      <c r="C31" s="98">
        <v>18230716</v>
      </c>
      <c r="D31" s="61" t="s">
        <v>131</v>
      </c>
      <c r="E31" s="38" t="s">
        <v>1187</v>
      </c>
      <c r="F31" s="39" t="s">
        <v>1186</v>
      </c>
      <c r="G31" s="39"/>
      <c r="H31" s="39"/>
      <c r="I31" s="40"/>
      <c r="J31" s="41">
        <v>6</v>
      </c>
      <c r="K31" s="41">
        <v>0</v>
      </c>
      <c r="L31" s="41"/>
      <c r="M31" s="42">
        <v>300</v>
      </c>
      <c r="N31" s="42">
        <v>0</v>
      </c>
      <c r="O31" s="43">
        <v>0</v>
      </c>
      <c r="P31" s="44">
        <v>1800</v>
      </c>
      <c r="Q31" s="44">
        <v>0</v>
      </c>
      <c r="R31" s="45">
        <v>0</v>
      </c>
      <c r="S31" s="46">
        <v>0</v>
      </c>
      <c r="T31" s="39">
        <f t="shared" si="18"/>
        <v>0</v>
      </c>
      <c r="U31" s="47">
        <f t="shared" si="19"/>
        <v>0</v>
      </c>
      <c r="V31" s="48">
        <f t="shared" si="20"/>
        <v>-300</v>
      </c>
      <c r="W31" s="49">
        <f t="shared" si="21"/>
        <v>0</v>
      </c>
      <c r="X31" s="44">
        <f t="shared" si="22"/>
        <v>0</v>
      </c>
      <c r="Y31" s="44">
        <f t="shared" si="23"/>
        <v>-1800</v>
      </c>
      <c r="Z31" s="44">
        <f t="shared" si="24"/>
        <v>0</v>
      </c>
      <c r="AA31" s="50">
        <f t="shared" si="25"/>
        <v>0</v>
      </c>
      <c r="AB31" s="51">
        <f t="shared" si="26"/>
        <v>0</v>
      </c>
      <c r="AC31" s="44">
        <f t="shared" si="27"/>
        <v>0</v>
      </c>
      <c r="AD31" s="44">
        <f t="shared" si="28"/>
        <v>0</v>
      </c>
      <c r="AE31" s="44">
        <f t="shared" si="29"/>
        <v>0</v>
      </c>
      <c r="AF31" s="52" t="e">
        <f>HLOOKUP(I31,ElecAvoidedCostsWOCC!$A$5:$Q$50,G31+1,FALSE)</f>
        <v>#N/A</v>
      </c>
      <c r="AG31" s="44" t="e">
        <f t="shared" si="30"/>
        <v>#N/A</v>
      </c>
      <c r="AH31" s="52" t="e">
        <f>HLOOKUP(I31,ElecAvoidedCostsWOCC!$A$5:$Q$50,T31+1,FALSE)</f>
        <v>#N/A</v>
      </c>
      <c r="AI31" s="44" t="e">
        <f t="shared" si="31"/>
        <v>#N/A</v>
      </c>
      <c r="AJ31" s="44" t="e">
        <f t="shared" si="32"/>
        <v>#N/A</v>
      </c>
      <c r="AK31" s="44" t="e">
        <f>HLOOKUP(I31,ElecAvoidedCostsWOCC!$A$5:$Q$50,G31+1,FALSE)*J31*L31</f>
        <v>#N/A</v>
      </c>
      <c r="AL31" s="44" t="e">
        <f t="shared" si="33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4"/>
        <v>0</v>
      </c>
      <c r="AO31" s="47">
        <f t="shared" si="35"/>
        <v>0</v>
      </c>
      <c r="AP31" s="47" t="e">
        <f t="shared" si="36"/>
        <v>#DIV/0!</v>
      </c>
      <c r="AQ31">
        <v>2021</v>
      </c>
    </row>
    <row r="32" spans="1:43">
      <c r="B32" s="97" t="s">
        <v>70</v>
      </c>
      <c r="C32" s="98">
        <v>18230716</v>
      </c>
      <c r="D32" s="61" t="s">
        <v>131</v>
      </c>
      <c r="E32" s="38" t="s">
        <v>1188</v>
      </c>
      <c r="F32" s="39" t="s">
        <v>1189</v>
      </c>
      <c r="G32" s="39">
        <v>10</v>
      </c>
      <c r="H32" s="39"/>
      <c r="I32" s="40" t="s">
        <v>258</v>
      </c>
      <c r="J32" s="41">
        <v>2</v>
      </c>
      <c r="K32" s="41">
        <v>2840</v>
      </c>
      <c r="L32" s="41"/>
      <c r="M32" s="42">
        <v>550</v>
      </c>
      <c r="N32" s="42">
        <v>597.41</v>
      </c>
      <c r="O32" s="43">
        <v>5680</v>
      </c>
      <c r="P32" s="44">
        <v>1100</v>
      </c>
      <c r="Q32" s="44">
        <v>1194.82</v>
      </c>
      <c r="R32" s="45">
        <v>0</v>
      </c>
      <c r="S32" s="46">
        <v>0</v>
      </c>
      <c r="T32" s="39">
        <f t="shared" si="18"/>
        <v>10</v>
      </c>
      <c r="U32" s="47">
        <f t="shared" si="19"/>
        <v>8.3529707803817355E-2</v>
      </c>
      <c r="V32" s="48">
        <f t="shared" si="20"/>
        <v>47.409999999999968</v>
      </c>
      <c r="W32" s="49">
        <f t="shared" si="21"/>
        <v>8.3529707803817362E-3</v>
      </c>
      <c r="X32" s="44">
        <f t="shared" si="22"/>
        <v>961.67159533609504</v>
      </c>
      <c r="Y32" s="44">
        <f t="shared" si="23"/>
        <v>94.819999999999936</v>
      </c>
      <c r="Z32" s="44">
        <f t="shared" si="24"/>
        <v>2409.7943147122032</v>
      </c>
      <c r="AA32" s="50">
        <f t="shared" si="25"/>
        <v>2156.4915953360951</v>
      </c>
      <c r="AB32" s="51">
        <f t="shared" si="26"/>
        <v>2252.7758387512413</v>
      </c>
      <c r="AC32" s="44">
        <f t="shared" si="27"/>
        <v>2015.9779333795409</v>
      </c>
      <c r="AD32" s="44">
        <f t="shared" si="28"/>
        <v>0</v>
      </c>
      <c r="AE32" s="44">
        <f t="shared" si="29"/>
        <v>0</v>
      </c>
      <c r="AF32" s="52">
        <f>HLOOKUP(I32,ElecAvoidedCostsWOCC!$A$5:$Q$50,G32+1,FALSE)</f>
        <v>0.69303218561010682</v>
      </c>
      <c r="AG32" s="44">
        <f t="shared" si="30"/>
        <v>3936.4228142654069</v>
      </c>
      <c r="AH32" s="52">
        <f>HLOOKUP(I32,ElecAvoidedCostsWOCC!$A$5:$Q$50,T32+1,FALSE)</f>
        <v>0.69303218561010682</v>
      </c>
      <c r="AI32" s="44">
        <f t="shared" si="31"/>
        <v>0</v>
      </c>
      <c r="AJ32" s="44">
        <f t="shared" si="32"/>
        <v>3936.4228142654069</v>
      </c>
      <c r="AK32" s="44">
        <f>HLOOKUP(I32,ElecAvoidedCostsWOCC!$A$5:$Q$50,G32+1,FALSE)*J32*L32</f>
        <v>0</v>
      </c>
      <c r="AL32" s="44">
        <f t="shared" si="33"/>
        <v>3936.4228142654069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3936.4228142654069</v>
      </c>
      <c r="AN32" s="48">
        <f t="shared" si="34"/>
        <v>4330.065095691948</v>
      </c>
      <c r="AO32" s="47">
        <f t="shared" si="35"/>
        <v>1.747365515269129</v>
      </c>
      <c r="AP32" s="47">
        <f t="shared" si="36"/>
        <v>2.1478732599186352</v>
      </c>
      <c r="AQ32">
        <v>2021</v>
      </c>
    </row>
    <row r="33" spans="2:43">
      <c r="B33" s="97" t="s">
        <v>70</v>
      </c>
      <c r="C33" s="98">
        <v>18230716</v>
      </c>
      <c r="D33" s="61" t="s">
        <v>131</v>
      </c>
      <c r="E33" s="38" t="s">
        <v>1190</v>
      </c>
      <c r="F33" s="39" t="s">
        <v>1191</v>
      </c>
      <c r="G33" s="39">
        <v>10</v>
      </c>
      <c r="H33" s="39"/>
      <c r="I33" s="40" t="s">
        <v>258</v>
      </c>
      <c r="J33" s="41">
        <v>2</v>
      </c>
      <c r="K33" s="41">
        <v>1605</v>
      </c>
      <c r="L33" s="41"/>
      <c r="M33" s="42">
        <v>250</v>
      </c>
      <c r="N33" s="42">
        <v>280.58999999999997</v>
      </c>
      <c r="O33" s="43">
        <v>3210</v>
      </c>
      <c r="P33" s="44">
        <v>500</v>
      </c>
      <c r="Q33" s="44">
        <v>561.17999999999995</v>
      </c>
      <c r="R33" s="45">
        <v>0</v>
      </c>
      <c r="S33" s="46">
        <v>0</v>
      </c>
      <c r="T33" s="39">
        <f t="shared" si="18"/>
        <v>10</v>
      </c>
      <c r="U33" s="47">
        <f t="shared" si="19"/>
        <v>4.7206049656734819E-2</v>
      </c>
      <c r="V33" s="48">
        <f t="shared" si="20"/>
        <v>30.589999999999975</v>
      </c>
      <c r="W33" s="49">
        <f t="shared" si="21"/>
        <v>4.7206049656734819E-3</v>
      </c>
      <c r="X33" s="44">
        <f t="shared" si="22"/>
        <v>543.47989806846226</v>
      </c>
      <c r="Y33" s="44">
        <f t="shared" si="23"/>
        <v>61.17999999999995</v>
      </c>
      <c r="Z33" s="44">
        <f t="shared" si="24"/>
        <v>1361.8731954623545</v>
      </c>
      <c r="AA33" s="50">
        <f t="shared" si="25"/>
        <v>1104.6598980684621</v>
      </c>
      <c r="AB33" s="51">
        <f t="shared" si="26"/>
        <v>1273.1356412661066</v>
      </c>
      <c r="AC33" s="44">
        <f t="shared" si="27"/>
        <v>1032.6819651009273</v>
      </c>
      <c r="AD33" s="44">
        <f t="shared" si="28"/>
        <v>0</v>
      </c>
      <c r="AE33" s="44">
        <f t="shared" si="29"/>
        <v>0</v>
      </c>
      <c r="AF33" s="52">
        <f>HLOOKUP(I33,ElecAvoidedCostsWOCC!$A$5:$Q$50,G33+1,FALSE)</f>
        <v>0.69303218561010682</v>
      </c>
      <c r="AG33" s="44">
        <f t="shared" si="30"/>
        <v>2224.6333158084431</v>
      </c>
      <c r="AH33" s="52">
        <f>HLOOKUP(I33,ElecAvoidedCostsWOCC!$A$5:$Q$50,T33+1,FALSE)</f>
        <v>0.69303218561010682</v>
      </c>
      <c r="AI33" s="44">
        <f t="shared" si="31"/>
        <v>0</v>
      </c>
      <c r="AJ33" s="44">
        <f t="shared" si="32"/>
        <v>2224.6333158084431</v>
      </c>
      <c r="AK33" s="44">
        <f>HLOOKUP(I33,ElecAvoidedCostsWOCC!$A$5:$Q$50,G33+1,FALSE)*J33*L33</f>
        <v>0</v>
      </c>
      <c r="AL33" s="44">
        <f t="shared" si="33"/>
        <v>2224.6333158084431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2224.6333158084431</v>
      </c>
      <c r="AN33" s="48">
        <f t="shared" si="34"/>
        <v>2447.0966473892877</v>
      </c>
      <c r="AO33" s="47">
        <f t="shared" si="35"/>
        <v>1.7473655152691288</v>
      </c>
      <c r="AP33" s="47">
        <f t="shared" si="36"/>
        <v>2.3696517709110232</v>
      </c>
      <c r="AQ33">
        <v>2021</v>
      </c>
    </row>
    <row r="34" spans="2:43">
      <c r="B34" s="97" t="s">
        <v>70</v>
      </c>
      <c r="C34" s="98">
        <v>18230716</v>
      </c>
      <c r="D34" s="61" t="s">
        <v>131</v>
      </c>
      <c r="E34" s="38" t="s">
        <v>1192</v>
      </c>
      <c r="F34" s="39" t="s">
        <v>1193</v>
      </c>
      <c r="G34" s="39">
        <v>12</v>
      </c>
      <c r="H34" s="39"/>
      <c r="I34" s="40" t="s">
        <v>260</v>
      </c>
      <c r="J34" s="41">
        <v>5</v>
      </c>
      <c r="K34" s="41">
        <v>3772</v>
      </c>
      <c r="L34" s="41"/>
      <c r="M34" s="42">
        <v>1200</v>
      </c>
      <c r="N34" s="42">
        <v>1476</v>
      </c>
      <c r="O34" s="43">
        <v>18860</v>
      </c>
      <c r="P34" s="44">
        <v>6000</v>
      </c>
      <c r="Q34" s="44">
        <v>7380</v>
      </c>
      <c r="R34" s="45">
        <v>0</v>
      </c>
      <c r="S34" s="46">
        <v>0</v>
      </c>
      <c r="T34" s="39">
        <f t="shared" si="18"/>
        <v>12</v>
      </c>
      <c r="U34" s="47">
        <f t="shared" si="19"/>
        <v>0.3328247089816892</v>
      </c>
      <c r="V34" s="48">
        <f t="shared" si="20"/>
        <v>276</v>
      </c>
      <c r="W34" s="49">
        <f t="shared" si="21"/>
        <v>2.7735392415140767E-2</v>
      </c>
      <c r="X34" s="44">
        <f t="shared" si="22"/>
        <v>3193.1560366265412</v>
      </c>
      <c r="Y34" s="44">
        <f t="shared" si="23"/>
        <v>1380</v>
      </c>
      <c r="Z34" s="44">
        <f t="shared" si="24"/>
        <v>8001.5353477943945</v>
      </c>
      <c r="AA34" s="50">
        <f t="shared" si="25"/>
        <v>10573.15603662654</v>
      </c>
      <c r="AB34" s="51">
        <f t="shared" si="26"/>
        <v>7480.1676617690882</v>
      </c>
      <c r="AC34" s="44">
        <f t="shared" si="27"/>
        <v>9884.2255180205102</v>
      </c>
      <c r="AD34" s="44">
        <f t="shared" si="28"/>
        <v>0</v>
      </c>
      <c r="AE34" s="44">
        <f t="shared" si="29"/>
        <v>0</v>
      </c>
      <c r="AF34" s="52">
        <f>HLOOKUP(I34,ElecAvoidedCostsWOCC!$A$5:$Q$50,G34+1,FALSE)</f>
        <v>0.82065637928828472</v>
      </c>
      <c r="AG34" s="44">
        <f t="shared" si="30"/>
        <v>15477.579313377049</v>
      </c>
      <c r="AH34" s="52">
        <f>HLOOKUP(I34,ElecAvoidedCostsWOCC!$A$5:$Q$50,T34+1,FALSE)</f>
        <v>0.82065637928828472</v>
      </c>
      <c r="AI34" s="44">
        <f t="shared" si="31"/>
        <v>0</v>
      </c>
      <c r="AJ34" s="44">
        <f t="shared" si="32"/>
        <v>15477.579313377049</v>
      </c>
      <c r="AK34" s="44">
        <f>HLOOKUP(I34,ElecAvoidedCostsWOCC!$A$5:$Q$50,G34+1,FALSE)*J34*L34</f>
        <v>0</v>
      </c>
      <c r="AL34" s="44">
        <f t="shared" si="33"/>
        <v>15477.579313377049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15477.579313377049</v>
      </c>
      <c r="AN34" s="48">
        <f t="shared" si="34"/>
        <v>17025.337244714756</v>
      </c>
      <c r="AO34" s="47">
        <f t="shared" si="35"/>
        <v>2.0691487160752415</v>
      </c>
      <c r="AP34" s="47">
        <f t="shared" si="36"/>
        <v>1.7224755964617426</v>
      </c>
      <c r="AQ34">
        <v>2021</v>
      </c>
    </row>
    <row r="35" spans="2:43">
      <c r="B35" s="97" t="s">
        <v>70</v>
      </c>
      <c r="C35" s="98">
        <v>18230716</v>
      </c>
      <c r="D35" s="61" t="s">
        <v>131</v>
      </c>
      <c r="E35" s="38" t="s">
        <v>1194</v>
      </c>
      <c r="F35" s="39" t="s">
        <v>1195</v>
      </c>
      <c r="G35" s="39">
        <v>12</v>
      </c>
      <c r="H35" s="39"/>
      <c r="I35" s="40" t="s">
        <v>258</v>
      </c>
      <c r="J35" s="41">
        <v>8</v>
      </c>
      <c r="K35" s="41">
        <v>2595</v>
      </c>
      <c r="L35" s="41"/>
      <c r="M35" s="42">
        <v>1000</v>
      </c>
      <c r="N35" s="42">
        <v>1191</v>
      </c>
      <c r="O35" s="43">
        <v>20760</v>
      </c>
      <c r="P35" s="44">
        <v>8000</v>
      </c>
      <c r="Q35" s="44">
        <v>9528</v>
      </c>
      <c r="R35" s="45">
        <v>0</v>
      </c>
      <c r="S35" s="46">
        <v>0</v>
      </c>
      <c r="T35" s="39">
        <f t="shared" si="18"/>
        <v>12</v>
      </c>
      <c r="U35" s="47">
        <f t="shared" si="19"/>
        <v>0.36635423957899615</v>
      </c>
      <c r="V35" s="48">
        <f t="shared" si="20"/>
        <v>191</v>
      </c>
      <c r="W35" s="49">
        <f t="shared" si="21"/>
        <v>3.0529519964916346E-2</v>
      </c>
      <c r="X35" s="44">
        <f t="shared" si="22"/>
        <v>3514.8419576016431</v>
      </c>
      <c r="Y35" s="44">
        <f t="shared" si="23"/>
        <v>1528</v>
      </c>
      <c r="Z35" s="44">
        <f t="shared" si="24"/>
        <v>8807.6285164481233</v>
      </c>
      <c r="AA35" s="50">
        <f t="shared" si="25"/>
        <v>13042.841957601642</v>
      </c>
      <c r="AB35" s="51">
        <f t="shared" si="26"/>
        <v>8233.7370444499611</v>
      </c>
      <c r="AC35" s="44">
        <f t="shared" si="27"/>
        <v>12192.990518464654</v>
      </c>
      <c r="AD35" s="44">
        <f t="shared" si="28"/>
        <v>0</v>
      </c>
      <c r="AE35" s="44">
        <f t="shared" si="29"/>
        <v>0</v>
      </c>
      <c r="AF35" s="52">
        <f>HLOOKUP(I35,ElecAvoidedCostsWOCC!$A$5:$Q$50,G35+1,FALSE)</f>
        <v>0.82713841420343059</v>
      </c>
      <c r="AG35" s="44">
        <f t="shared" si="30"/>
        <v>17171.393478863218</v>
      </c>
      <c r="AH35" s="52">
        <f>HLOOKUP(I35,ElecAvoidedCostsWOCC!$A$5:$Q$50,T35+1,FALSE)</f>
        <v>0.82713841420343059</v>
      </c>
      <c r="AI35" s="44">
        <f t="shared" si="31"/>
        <v>0</v>
      </c>
      <c r="AJ35" s="44">
        <f t="shared" si="32"/>
        <v>17171.393478863218</v>
      </c>
      <c r="AK35" s="44">
        <f>HLOOKUP(I35,ElecAvoidedCostsWOCC!$A$5:$Q$50,G35+1,FALSE)*J35*L35</f>
        <v>0</v>
      </c>
      <c r="AL35" s="44">
        <f t="shared" si="33"/>
        <v>17171.393478863218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17171.393478863218</v>
      </c>
      <c r="AN35" s="48">
        <f t="shared" si="34"/>
        <v>18888.532826749542</v>
      </c>
      <c r="AO35" s="47">
        <f t="shared" si="35"/>
        <v>2.0854920901849519</v>
      </c>
      <c r="AP35" s="47">
        <f t="shared" si="36"/>
        <v>1.5491304449179539</v>
      </c>
      <c r="AQ35">
        <v>2021</v>
      </c>
    </row>
    <row r="36" spans="2:43">
      <c r="B36" s="97" t="s">
        <v>70</v>
      </c>
      <c r="C36" s="98">
        <v>18230716</v>
      </c>
      <c r="D36" s="61" t="s">
        <v>131</v>
      </c>
      <c r="E36" s="38" t="s">
        <v>1196</v>
      </c>
      <c r="F36" s="39" t="s">
        <v>1197</v>
      </c>
      <c r="G36" s="39">
        <v>12</v>
      </c>
      <c r="H36" s="39"/>
      <c r="I36" s="40" t="s">
        <v>258</v>
      </c>
      <c r="J36" s="41">
        <v>6</v>
      </c>
      <c r="K36" s="41">
        <v>36468</v>
      </c>
      <c r="L36" s="41"/>
      <c r="M36" s="42">
        <v>2300</v>
      </c>
      <c r="N36" s="42">
        <v>2393</v>
      </c>
      <c r="O36" s="43">
        <v>218808</v>
      </c>
      <c r="P36" s="44">
        <v>13800</v>
      </c>
      <c r="Q36" s="44">
        <v>14358</v>
      </c>
      <c r="R36" s="45">
        <v>1887.14</v>
      </c>
      <c r="S36" s="46">
        <v>0</v>
      </c>
      <c r="T36" s="39">
        <f t="shared" si="18"/>
        <v>12</v>
      </c>
      <c r="U36" s="47">
        <f t="shared" si="19"/>
        <v>3.8613313320713392</v>
      </c>
      <c r="V36" s="48">
        <f t="shared" si="20"/>
        <v>93</v>
      </c>
      <c r="W36" s="49">
        <f t="shared" si="21"/>
        <v>0.32177761100594493</v>
      </c>
      <c r="X36" s="44">
        <f t="shared" si="22"/>
        <v>37046.027893010621</v>
      </c>
      <c r="Y36" s="44">
        <f t="shared" si="23"/>
        <v>558</v>
      </c>
      <c r="Z36" s="44">
        <f t="shared" si="24"/>
        <v>92831.386340413359</v>
      </c>
      <c r="AA36" s="50">
        <f t="shared" si="25"/>
        <v>51404.027893010621</v>
      </c>
      <c r="AB36" s="51">
        <f t="shared" si="26"/>
        <v>86782.636571387629</v>
      </c>
      <c r="AC36" s="44">
        <f t="shared" si="27"/>
        <v>48054.62082173564</v>
      </c>
      <c r="AD36" s="44">
        <f t="shared" si="28"/>
        <v>90077.73152232678</v>
      </c>
      <c r="AE36" s="44">
        <f t="shared" si="29"/>
        <v>0</v>
      </c>
      <c r="AF36" s="52">
        <f>HLOOKUP(I36,ElecAvoidedCostsWOCC!$A$5:$Q$50,G36+1,FALSE)</f>
        <v>0.82713841420343059</v>
      </c>
      <c r="AG36" s="44">
        <f t="shared" si="30"/>
        <v>180984.50213502426</v>
      </c>
      <c r="AH36" s="52">
        <f>HLOOKUP(I36,ElecAvoidedCostsWOCC!$A$5:$Q$50,T36+1,FALSE)</f>
        <v>0.82713841420343059</v>
      </c>
      <c r="AI36" s="44">
        <f t="shared" si="31"/>
        <v>0</v>
      </c>
      <c r="AJ36" s="44">
        <f t="shared" si="32"/>
        <v>180984.50213502426</v>
      </c>
      <c r="AK36" s="44">
        <f>HLOOKUP(I36,ElecAvoidedCostsWOCC!$A$5:$Q$50,G36+1,FALSE)*J36*L36</f>
        <v>0</v>
      </c>
      <c r="AL36" s="44">
        <f t="shared" si="33"/>
        <v>180984.50213502426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180984.50213502423</v>
      </c>
      <c r="AN36" s="48">
        <f t="shared" si="34"/>
        <v>289160.68387085345</v>
      </c>
      <c r="AO36" s="47">
        <f t="shared" si="35"/>
        <v>2.0854920901849519</v>
      </c>
      <c r="AP36" s="47">
        <f t="shared" si="36"/>
        <v>6.0173335867851208</v>
      </c>
      <c r="AQ36">
        <v>2021</v>
      </c>
    </row>
    <row r="37" spans="2:43">
      <c r="B37" s="97" t="s">
        <v>70</v>
      </c>
      <c r="C37" s="98">
        <v>18230716</v>
      </c>
      <c r="D37" s="61" t="s">
        <v>131</v>
      </c>
      <c r="E37" s="38" t="s">
        <v>1198</v>
      </c>
      <c r="F37" s="39" t="s">
        <v>1199</v>
      </c>
      <c r="G37" s="39"/>
      <c r="H37" s="39"/>
      <c r="I37" s="40"/>
      <c r="J37" s="41">
        <v>5</v>
      </c>
      <c r="K37" s="41">
        <v>0</v>
      </c>
      <c r="L37" s="41"/>
      <c r="M37" s="42">
        <v>100</v>
      </c>
      <c r="N37" s="42">
        <v>0</v>
      </c>
      <c r="O37" s="43">
        <v>0</v>
      </c>
      <c r="P37" s="44">
        <v>500</v>
      </c>
      <c r="Q37" s="44">
        <v>0</v>
      </c>
      <c r="R37" s="45">
        <v>0</v>
      </c>
      <c r="S37" s="46">
        <v>0</v>
      </c>
      <c r="T37" s="39">
        <f t="shared" si="18"/>
        <v>0</v>
      </c>
      <c r="U37" s="47">
        <f t="shared" si="19"/>
        <v>0</v>
      </c>
      <c r="V37" s="48">
        <f t="shared" si="20"/>
        <v>-100</v>
      </c>
      <c r="W37" s="49">
        <f t="shared" si="21"/>
        <v>0</v>
      </c>
      <c r="X37" s="44">
        <f t="shared" si="22"/>
        <v>0</v>
      </c>
      <c r="Y37" s="44">
        <f t="shared" si="23"/>
        <v>-500</v>
      </c>
      <c r="Z37" s="44">
        <f t="shared" si="24"/>
        <v>0</v>
      </c>
      <c r="AA37" s="50">
        <f t="shared" si="25"/>
        <v>0</v>
      </c>
      <c r="AB37" s="51">
        <f t="shared" si="26"/>
        <v>0</v>
      </c>
      <c r="AC37" s="44">
        <f t="shared" si="27"/>
        <v>0</v>
      </c>
      <c r="AD37" s="44">
        <f t="shared" si="28"/>
        <v>0</v>
      </c>
      <c r="AE37" s="44">
        <f t="shared" si="29"/>
        <v>0</v>
      </c>
      <c r="AF37" s="52" t="e">
        <f>HLOOKUP(I37,ElecAvoidedCostsWOCC!$A$5:$Q$50,G37+1,FALSE)</f>
        <v>#N/A</v>
      </c>
      <c r="AG37" s="44" t="e">
        <f t="shared" si="30"/>
        <v>#N/A</v>
      </c>
      <c r="AH37" s="52" t="e">
        <f>HLOOKUP(I37,ElecAvoidedCostsWOCC!$A$5:$Q$50,T37+1,FALSE)</f>
        <v>#N/A</v>
      </c>
      <c r="AI37" s="44" t="e">
        <f t="shared" si="31"/>
        <v>#N/A</v>
      </c>
      <c r="AJ37" s="44" t="e">
        <f t="shared" si="32"/>
        <v>#N/A</v>
      </c>
      <c r="AK37" s="44" t="e">
        <f>HLOOKUP(I37,ElecAvoidedCostsWOCC!$A$5:$Q$50,G37+1,FALSE)*J37*L37</f>
        <v>#N/A</v>
      </c>
      <c r="AL37" s="44" t="e">
        <f t="shared" si="33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4"/>
        <v>0</v>
      </c>
      <c r="AO37" s="47">
        <f t="shared" si="35"/>
        <v>0</v>
      </c>
      <c r="AP37" s="47" t="e">
        <f t="shared" si="36"/>
        <v>#DIV/0!</v>
      </c>
      <c r="AQ37">
        <v>2021</v>
      </c>
    </row>
    <row r="38" spans="2:43">
      <c r="B38" s="97" t="s">
        <v>70</v>
      </c>
      <c r="C38" s="98">
        <v>18230716</v>
      </c>
      <c r="D38" s="61" t="s">
        <v>131</v>
      </c>
      <c r="E38" s="38" t="s">
        <v>1200</v>
      </c>
      <c r="F38" s="39" t="s">
        <v>1201</v>
      </c>
      <c r="G38" s="39">
        <v>15</v>
      </c>
      <c r="H38" s="39"/>
      <c r="I38" s="40" t="s">
        <v>258</v>
      </c>
      <c r="J38" s="41">
        <v>1</v>
      </c>
      <c r="K38" s="41">
        <v>10677</v>
      </c>
      <c r="L38" s="41"/>
      <c r="M38" s="42">
        <v>2500</v>
      </c>
      <c r="N38" s="42">
        <v>2659</v>
      </c>
      <c r="O38" s="43">
        <v>10677</v>
      </c>
      <c r="P38" s="44">
        <v>2500</v>
      </c>
      <c r="Q38" s="44">
        <v>2659</v>
      </c>
      <c r="R38" s="45">
        <v>763.14</v>
      </c>
      <c r="S38" s="46">
        <v>0</v>
      </c>
      <c r="T38" s="39">
        <f t="shared" si="18"/>
        <v>15</v>
      </c>
      <c r="U38" s="47">
        <f t="shared" si="19"/>
        <v>0.23552289354437272</v>
      </c>
      <c r="V38" s="48">
        <f t="shared" si="20"/>
        <v>159</v>
      </c>
      <c r="W38" s="49">
        <f t="shared" si="21"/>
        <v>1.5701526236291515E-2</v>
      </c>
      <c r="X38" s="44">
        <f t="shared" si="22"/>
        <v>1807.7055675006141</v>
      </c>
      <c r="Y38" s="44">
        <f t="shared" si="23"/>
        <v>159</v>
      </c>
      <c r="Z38" s="44">
        <f t="shared" si="24"/>
        <v>4529.8193482715142</v>
      </c>
      <c r="AA38" s="50">
        <f t="shared" si="25"/>
        <v>4466.7055675006141</v>
      </c>
      <c r="AB38" s="51">
        <f t="shared" si="26"/>
        <v>4234.6633152019385</v>
      </c>
      <c r="AC38" s="44">
        <f t="shared" si="27"/>
        <v>4175.6619309157832</v>
      </c>
      <c r="AD38" s="44">
        <f t="shared" si="28"/>
        <v>6963.8030501703252</v>
      </c>
      <c r="AE38" s="44">
        <f t="shared" si="29"/>
        <v>0</v>
      </c>
      <c r="AF38" s="52">
        <f>HLOOKUP(I38,ElecAvoidedCostsWOCC!$A$5:$Q$50,G38+1,FALSE)</f>
        <v>1.0096153045728067</v>
      </c>
      <c r="AG38" s="44">
        <f t="shared" si="30"/>
        <v>10779.662606923857</v>
      </c>
      <c r="AH38" s="52">
        <f>HLOOKUP(I38,ElecAvoidedCostsWOCC!$A$5:$Q$50,T38+1,FALSE)</f>
        <v>1.0096153045728067</v>
      </c>
      <c r="AI38" s="44">
        <f t="shared" si="31"/>
        <v>0</v>
      </c>
      <c r="AJ38" s="44">
        <f t="shared" si="32"/>
        <v>10779.662606923857</v>
      </c>
      <c r="AK38" s="44">
        <f>HLOOKUP(I38,ElecAvoidedCostsWOCC!$A$5:$Q$50,G38+1,FALSE)*J38*L38</f>
        <v>0</v>
      </c>
      <c r="AL38" s="44">
        <f t="shared" si="33"/>
        <v>10779.662606923857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10779.662606923857</v>
      </c>
      <c r="AN38" s="48">
        <f t="shared" si="34"/>
        <v>18821.431917786569</v>
      </c>
      <c r="AO38" s="47">
        <f t="shared" si="35"/>
        <v>2.5455772524408609</v>
      </c>
      <c r="AP38" s="47">
        <f t="shared" si="36"/>
        <v>4.5074127717180295</v>
      </c>
      <c r="AQ38">
        <v>2021</v>
      </c>
    </row>
    <row r="39" spans="2:43">
      <c r="B39" s="97" t="s">
        <v>70</v>
      </c>
      <c r="C39" s="98">
        <v>18230716</v>
      </c>
      <c r="D39" s="61" t="s">
        <v>131</v>
      </c>
      <c r="E39" s="38" t="s">
        <v>1202</v>
      </c>
      <c r="F39" s="39" t="s">
        <v>1203</v>
      </c>
      <c r="G39" s="39">
        <v>15</v>
      </c>
      <c r="H39" s="39"/>
      <c r="I39" s="40" t="s">
        <v>258</v>
      </c>
      <c r="J39" s="41">
        <v>1</v>
      </c>
      <c r="K39" s="41">
        <v>4356</v>
      </c>
      <c r="L39" s="41"/>
      <c r="M39" s="42">
        <v>2300</v>
      </c>
      <c r="N39" s="42">
        <v>2399.86</v>
      </c>
      <c r="O39" s="43">
        <v>4356</v>
      </c>
      <c r="P39" s="44">
        <v>2300</v>
      </c>
      <c r="Q39" s="44">
        <v>2399.86</v>
      </c>
      <c r="R39" s="45">
        <v>763.14</v>
      </c>
      <c r="S39" s="46">
        <v>0</v>
      </c>
      <c r="T39" s="39">
        <f t="shared" si="18"/>
        <v>15</v>
      </c>
      <c r="U39" s="47">
        <f t="shared" si="19"/>
        <v>9.6088575843334981E-2</v>
      </c>
      <c r="V39" s="48">
        <f t="shared" si="20"/>
        <v>99.860000000000127</v>
      </c>
      <c r="W39" s="49">
        <f t="shared" si="21"/>
        <v>6.4059050562223323E-3</v>
      </c>
      <c r="X39" s="44">
        <f t="shared" si="22"/>
        <v>737.5073009302871</v>
      </c>
      <c r="Y39" s="44">
        <f t="shared" si="23"/>
        <v>99.860000000000127</v>
      </c>
      <c r="Z39" s="44">
        <f t="shared" si="24"/>
        <v>1848.0746540292887</v>
      </c>
      <c r="AA39" s="50">
        <f t="shared" si="25"/>
        <v>3137.3673009302875</v>
      </c>
      <c r="AB39" s="51">
        <f t="shared" si="26"/>
        <v>1727.6569636620441</v>
      </c>
      <c r="AC39" s="44">
        <f t="shared" si="27"/>
        <v>2932.9412928206852</v>
      </c>
      <c r="AD39" s="44">
        <f t="shared" si="28"/>
        <v>6963.8030501703252</v>
      </c>
      <c r="AE39" s="44">
        <f t="shared" si="29"/>
        <v>0</v>
      </c>
      <c r="AF39" s="52">
        <f>HLOOKUP(I39,ElecAvoidedCostsWOCC!$A$5:$Q$50,G39+1,FALSE)</f>
        <v>1.0096153045728067</v>
      </c>
      <c r="AG39" s="44">
        <f t="shared" si="30"/>
        <v>4397.8842667191457</v>
      </c>
      <c r="AH39" s="52">
        <f>HLOOKUP(I39,ElecAvoidedCostsWOCC!$A$5:$Q$50,T39+1,FALSE)</f>
        <v>1.0096153045728067</v>
      </c>
      <c r="AI39" s="44">
        <f t="shared" si="31"/>
        <v>0</v>
      </c>
      <c r="AJ39" s="44">
        <f t="shared" si="32"/>
        <v>4397.8842667191457</v>
      </c>
      <c r="AK39" s="44">
        <f>HLOOKUP(I39,ElecAvoidedCostsWOCC!$A$5:$Q$50,G39+1,FALSE)*J39*L39</f>
        <v>0</v>
      </c>
      <c r="AL39" s="44">
        <f t="shared" si="33"/>
        <v>4397.8842667191457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4397.8842667191457</v>
      </c>
      <c r="AN39" s="48">
        <f t="shared" si="34"/>
        <v>11801.475743561386</v>
      </c>
      <c r="AO39" s="47">
        <f t="shared" si="35"/>
        <v>2.5455772524408604</v>
      </c>
      <c r="AP39" s="47">
        <f t="shared" si="36"/>
        <v>4.0237681444389235</v>
      </c>
      <c r="AQ39">
        <v>2021</v>
      </c>
    </row>
    <row r="40" spans="2:43">
      <c r="B40" s="97" t="s">
        <v>70</v>
      </c>
      <c r="C40" s="98">
        <v>18230716</v>
      </c>
      <c r="D40" s="61" t="s">
        <v>131</v>
      </c>
      <c r="E40" s="38" t="s">
        <v>1204</v>
      </c>
      <c r="F40" s="39" t="s">
        <v>1205</v>
      </c>
      <c r="G40" s="39">
        <v>15</v>
      </c>
      <c r="H40" s="39"/>
      <c r="I40" s="40" t="s">
        <v>258</v>
      </c>
      <c r="J40" s="41">
        <v>5</v>
      </c>
      <c r="K40" s="41">
        <v>14537</v>
      </c>
      <c r="L40" s="41"/>
      <c r="M40" s="42">
        <v>2500</v>
      </c>
      <c r="N40" s="42">
        <v>2659</v>
      </c>
      <c r="O40" s="43">
        <v>72685</v>
      </c>
      <c r="P40" s="44">
        <v>12500</v>
      </c>
      <c r="Q40" s="44">
        <v>13295</v>
      </c>
      <c r="R40" s="45">
        <v>1755.23</v>
      </c>
      <c r="S40" s="46">
        <v>0</v>
      </c>
      <c r="T40" s="39">
        <f t="shared" si="18"/>
        <v>15</v>
      </c>
      <c r="U40" s="47">
        <f t="shared" si="19"/>
        <v>1.6033512707008271</v>
      </c>
      <c r="V40" s="48">
        <f t="shared" si="20"/>
        <v>159</v>
      </c>
      <c r="W40" s="49">
        <f t="shared" si="21"/>
        <v>0.10689008471338847</v>
      </c>
      <c r="X40" s="44">
        <f t="shared" si="22"/>
        <v>12306.179561092265</v>
      </c>
      <c r="Y40" s="44">
        <f t="shared" si="23"/>
        <v>795</v>
      </c>
      <c r="Z40" s="44">
        <f t="shared" si="24"/>
        <v>30837.306296629664</v>
      </c>
      <c r="AA40" s="50">
        <f t="shared" si="25"/>
        <v>25601.179561092264</v>
      </c>
      <c r="AB40" s="51">
        <f t="shared" si="26"/>
        <v>28827.995042189083</v>
      </c>
      <c r="AC40" s="44">
        <f t="shared" si="27"/>
        <v>23933.046238283874</v>
      </c>
      <c r="AD40" s="44">
        <f t="shared" si="28"/>
        <v>80084.100084849837</v>
      </c>
      <c r="AE40" s="44">
        <f t="shared" si="29"/>
        <v>0</v>
      </c>
      <c r="AF40" s="52">
        <f>HLOOKUP(I40,ElecAvoidedCostsWOCC!$A$5:$Q$50,G40+1,FALSE)</f>
        <v>1.0096153045728067</v>
      </c>
      <c r="AG40" s="44">
        <f t="shared" si="30"/>
        <v>73383.888412874454</v>
      </c>
      <c r="AH40" s="52">
        <f>HLOOKUP(I40,ElecAvoidedCostsWOCC!$A$5:$Q$50,T40+1,FALSE)</f>
        <v>1.0096153045728067</v>
      </c>
      <c r="AI40" s="44">
        <f t="shared" si="31"/>
        <v>0</v>
      </c>
      <c r="AJ40" s="44">
        <f t="shared" si="32"/>
        <v>73383.888412874454</v>
      </c>
      <c r="AK40" s="44">
        <f>HLOOKUP(I40,ElecAvoidedCostsWOCC!$A$5:$Q$50,G40+1,FALSE)*J40*L40</f>
        <v>0</v>
      </c>
      <c r="AL40" s="44">
        <f t="shared" si="33"/>
        <v>73383.888412874454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73383.888412874454</v>
      </c>
      <c r="AN40" s="48">
        <f t="shared" si="34"/>
        <v>160806.37733901176</v>
      </c>
      <c r="AO40" s="47">
        <f t="shared" si="35"/>
        <v>2.5455772524408613</v>
      </c>
      <c r="AP40" s="47">
        <f t="shared" si="36"/>
        <v>6.7190100139355442</v>
      </c>
      <c r="AQ40">
        <v>2021</v>
      </c>
    </row>
    <row r="41" spans="2:43">
      <c r="B41" s="97" t="s">
        <v>70</v>
      </c>
      <c r="C41" s="98">
        <v>18230716</v>
      </c>
      <c r="D41" s="61" t="s">
        <v>131</v>
      </c>
      <c r="E41" s="38" t="s">
        <v>1206</v>
      </c>
      <c r="F41" s="39" t="s">
        <v>1207</v>
      </c>
      <c r="G41" s="39">
        <v>20</v>
      </c>
      <c r="H41" s="39"/>
      <c r="I41" s="40" t="s">
        <v>258</v>
      </c>
      <c r="J41" s="41">
        <v>2</v>
      </c>
      <c r="K41" s="41">
        <v>8290</v>
      </c>
      <c r="L41" s="41"/>
      <c r="M41" s="42">
        <v>5800</v>
      </c>
      <c r="N41" s="42">
        <v>5882</v>
      </c>
      <c r="O41" s="43">
        <v>16580</v>
      </c>
      <c r="P41" s="44">
        <v>11600</v>
      </c>
      <c r="Q41" s="44">
        <v>11764</v>
      </c>
      <c r="R41" s="45">
        <v>4683.4399999999996</v>
      </c>
      <c r="S41" s="46">
        <v>0</v>
      </c>
      <c r="T41" s="39">
        <f t="shared" si="18"/>
        <v>20</v>
      </c>
      <c r="U41" s="47">
        <f t="shared" si="19"/>
        <v>0.48764878710820136</v>
      </c>
      <c r="V41" s="48">
        <f t="shared" si="20"/>
        <v>82</v>
      </c>
      <c r="W41" s="49">
        <f t="shared" si="21"/>
        <v>2.4382439355410068E-2</v>
      </c>
      <c r="X41" s="44">
        <f t="shared" si="22"/>
        <v>2807.1329314564182</v>
      </c>
      <c r="Y41" s="44">
        <f t="shared" si="23"/>
        <v>164</v>
      </c>
      <c r="Z41" s="44">
        <f t="shared" si="24"/>
        <v>7034.2235454099173</v>
      </c>
      <c r="AA41" s="50">
        <f t="shared" si="25"/>
        <v>14571.132931456417</v>
      </c>
      <c r="AB41" s="51">
        <f t="shared" si="26"/>
        <v>6575.8844025520393</v>
      </c>
      <c r="AC41" s="44">
        <f t="shared" si="27"/>
        <v>13621.700412691798</v>
      </c>
      <c r="AD41" s="44">
        <f t="shared" si="28"/>
        <v>99464.660331539955</v>
      </c>
      <c r="AE41" s="44">
        <f t="shared" si="29"/>
        <v>0</v>
      </c>
      <c r="AF41" s="52">
        <f>HLOOKUP(I41,ElecAvoidedCostsWOCC!$A$5:$Q$50,G41+1,FALSE)</f>
        <v>1.2676380533923397</v>
      </c>
      <c r="AG41" s="44">
        <f t="shared" si="30"/>
        <v>21017.438925244991</v>
      </c>
      <c r="AH41" s="52">
        <f>HLOOKUP(I41,ElecAvoidedCostsWOCC!$A$5:$Q$50,T41+1,FALSE)</f>
        <v>1.2676380533923397</v>
      </c>
      <c r="AI41" s="44">
        <f t="shared" si="31"/>
        <v>0</v>
      </c>
      <c r="AJ41" s="44">
        <f t="shared" si="32"/>
        <v>21017.438925244991</v>
      </c>
      <c r="AK41" s="44">
        <f>HLOOKUP(I41,ElecAvoidedCostsWOCC!$A$5:$Q$50,G41+1,FALSE)*J41*L41</f>
        <v>0</v>
      </c>
      <c r="AL41" s="44">
        <f t="shared" si="33"/>
        <v>21017.438925244991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21017.438925244991</v>
      </c>
      <c r="AN41" s="48">
        <f t="shared" si="34"/>
        <v>122583.84314930945</v>
      </c>
      <c r="AO41" s="47">
        <f t="shared" si="35"/>
        <v>3.1961387455485561</v>
      </c>
      <c r="AP41" s="47">
        <f t="shared" si="36"/>
        <v>8.9991586538706976</v>
      </c>
      <c r="AQ41">
        <v>2021</v>
      </c>
    </row>
    <row r="42" spans="2:43">
      <c r="B42" s="97" t="s">
        <v>70</v>
      </c>
      <c r="C42" s="98">
        <v>18230716</v>
      </c>
      <c r="D42" s="61" t="s">
        <v>131</v>
      </c>
      <c r="E42" s="38" t="s">
        <v>1208</v>
      </c>
      <c r="F42" s="39" t="s">
        <v>1209</v>
      </c>
      <c r="G42" s="39">
        <v>10</v>
      </c>
      <c r="H42" s="39"/>
      <c r="I42" s="40" t="s">
        <v>258</v>
      </c>
      <c r="J42" s="41">
        <v>5</v>
      </c>
      <c r="K42" s="41">
        <v>2854</v>
      </c>
      <c r="L42" s="41"/>
      <c r="M42" s="42">
        <v>200</v>
      </c>
      <c r="N42" s="42">
        <v>232</v>
      </c>
      <c r="O42" s="43">
        <v>14270</v>
      </c>
      <c r="P42" s="44">
        <v>1000</v>
      </c>
      <c r="Q42" s="44">
        <v>1160</v>
      </c>
      <c r="R42" s="45">
        <v>110.15</v>
      </c>
      <c r="S42" s="46">
        <v>0</v>
      </c>
      <c r="T42" s="39">
        <f t="shared" si="18"/>
        <v>10</v>
      </c>
      <c r="U42" s="47">
        <f t="shared" si="19"/>
        <v>0.20985368492261863</v>
      </c>
      <c r="V42" s="48">
        <f t="shared" si="20"/>
        <v>32</v>
      </c>
      <c r="W42" s="49">
        <f t="shared" si="21"/>
        <v>2.0985368492261864E-2</v>
      </c>
      <c r="X42" s="44">
        <f t="shared" si="22"/>
        <v>2416.0305749024783</v>
      </c>
      <c r="Y42" s="44">
        <f t="shared" si="23"/>
        <v>160</v>
      </c>
      <c r="Z42" s="44">
        <f t="shared" si="24"/>
        <v>6054.1839561519628</v>
      </c>
      <c r="AA42" s="50">
        <f t="shared" si="25"/>
        <v>3576.0305749024783</v>
      </c>
      <c r="AB42" s="51">
        <f t="shared" si="26"/>
        <v>5659.7026793979267</v>
      </c>
      <c r="AC42" s="44">
        <f t="shared" si="27"/>
        <v>3343.0219453140862</v>
      </c>
      <c r="AD42" s="44">
        <f t="shared" si="28"/>
        <v>3873.6075101039301</v>
      </c>
      <c r="AE42" s="44">
        <f t="shared" si="29"/>
        <v>0</v>
      </c>
      <c r="AF42" s="52">
        <f>HLOOKUP(I42,ElecAvoidedCostsWOCC!$A$5:$Q$50,G42+1,FALSE)</f>
        <v>0.69303218561010682</v>
      </c>
      <c r="AG42" s="44">
        <f t="shared" si="30"/>
        <v>9889.5692886562247</v>
      </c>
      <c r="AH42" s="52">
        <f>HLOOKUP(I42,ElecAvoidedCostsWOCC!$A$5:$Q$50,T42+1,FALSE)</f>
        <v>0.69303218561010682</v>
      </c>
      <c r="AI42" s="44">
        <f t="shared" si="31"/>
        <v>0</v>
      </c>
      <c r="AJ42" s="44">
        <f t="shared" si="32"/>
        <v>9889.5692886562247</v>
      </c>
      <c r="AK42" s="44">
        <f>HLOOKUP(I42,ElecAvoidedCostsWOCC!$A$5:$Q$50,G42+1,FALSE)*J42*L42</f>
        <v>0</v>
      </c>
      <c r="AL42" s="44">
        <f t="shared" si="33"/>
        <v>9889.5692886562247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9889.5692886562247</v>
      </c>
      <c r="AN42" s="48">
        <f t="shared" si="34"/>
        <v>14752.133727625778</v>
      </c>
      <c r="AO42" s="47">
        <f t="shared" si="35"/>
        <v>1.7473655152691283</v>
      </c>
      <c r="AP42" s="47">
        <f t="shared" si="36"/>
        <v>4.4128139057848079</v>
      </c>
      <c r="AQ42">
        <v>2021</v>
      </c>
    </row>
    <row r="43" spans="2:43">
      <c r="B43" s="97" t="s">
        <v>70</v>
      </c>
      <c r="C43" s="98">
        <v>18230716</v>
      </c>
      <c r="D43" s="61" t="s">
        <v>131</v>
      </c>
      <c r="E43" s="38" t="s">
        <v>1210</v>
      </c>
      <c r="F43" s="39" t="s">
        <v>1211</v>
      </c>
      <c r="G43" s="39">
        <v>10</v>
      </c>
      <c r="H43" s="39"/>
      <c r="I43" s="40" t="s">
        <v>258</v>
      </c>
      <c r="J43" s="41">
        <v>1</v>
      </c>
      <c r="K43" s="41">
        <v>2286</v>
      </c>
      <c r="L43" s="41"/>
      <c r="M43" s="42">
        <v>200</v>
      </c>
      <c r="N43" s="42">
        <v>232</v>
      </c>
      <c r="O43" s="43">
        <v>2286</v>
      </c>
      <c r="P43" s="44">
        <v>200</v>
      </c>
      <c r="Q43" s="44">
        <v>232</v>
      </c>
      <c r="R43" s="45">
        <v>258.63</v>
      </c>
      <c r="S43" s="46">
        <v>0</v>
      </c>
      <c r="T43" s="39">
        <f t="shared" si="18"/>
        <v>10</v>
      </c>
      <c r="U43" s="47">
        <f t="shared" si="19"/>
        <v>3.3617766204141988E-2</v>
      </c>
      <c r="V43" s="48">
        <f t="shared" si="20"/>
        <v>32</v>
      </c>
      <c r="W43" s="49">
        <f t="shared" si="21"/>
        <v>3.3617766204141991E-3</v>
      </c>
      <c r="X43" s="44">
        <f t="shared" si="22"/>
        <v>387.03895544688618</v>
      </c>
      <c r="Y43" s="44">
        <f t="shared" si="23"/>
        <v>32</v>
      </c>
      <c r="Z43" s="44">
        <f t="shared" si="24"/>
        <v>969.85735975917214</v>
      </c>
      <c r="AA43" s="50">
        <f t="shared" si="25"/>
        <v>619.03895544688612</v>
      </c>
      <c r="AB43" s="51">
        <f t="shared" si="26"/>
        <v>906.66295200446109</v>
      </c>
      <c r="AC43" s="44">
        <f t="shared" si="27"/>
        <v>578.70333312787329</v>
      </c>
      <c r="AD43" s="44">
        <f t="shared" si="28"/>
        <v>1819.0306134147606</v>
      </c>
      <c r="AE43" s="44">
        <f t="shared" si="29"/>
        <v>0</v>
      </c>
      <c r="AF43" s="52">
        <f>HLOOKUP(I43,ElecAvoidedCostsWOCC!$A$5:$Q$50,G43+1,FALSE)</f>
        <v>0.69303218561010682</v>
      </c>
      <c r="AG43" s="44">
        <f t="shared" si="30"/>
        <v>1584.2715763047042</v>
      </c>
      <c r="AH43" s="52">
        <f>HLOOKUP(I43,ElecAvoidedCostsWOCC!$A$5:$Q$50,T43+1,FALSE)</f>
        <v>0.69303218561010682</v>
      </c>
      <c r="AI43" s="44">
        <f t="shared" si="31"/>
        <v>0</v>
      </c>
      <c r="AJ43" s="44">
        <f t="shared" si="32"/>
        <v>1584.2715763047042</v>
      </c>
      <c r="AK43" s="44">
        <f>HLOOKUP(I43,ElecAvoidedCostsWOCC!$A$5:$Q$50,G43+1,FALSE)*J43*L43</f>
        <v>0</v>
      </c>
      <c r="AL43" s="44">
        <f t="shared" si="33"/>
        <v>1584.2715763047042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1584.2715763047042</v>
      </c>
      <c r="AN43" s="48">
        <f t="shared" si="34"/>
        <v>3561.7293473499358</v>
      </c>
      <c r="AO43" s="47">
        <f t="shared" si="35"/>
        <v>1.7473655152691285</v>
      </c>
      <c r="AP43" s="47">
        <f t="shared" si="36"/>
        <v>6.1546722533960549</v>
      </c>
      <c r="AQ43">
        <v>2021</v>
      </c>
    </row>
    <row r="44" spans="2:43">
      <c r="B44" s="97" t="s">
        <v>70</v>
      </c>
      <c r="C44" s="98">
        <v>18230716</v>
      </c>
      <c r="D44" s="61" t="s">
        <v>131</v>
      </c>
      <c r="E44" s="38" t="s">
        <v>1212</v>
      </c>
      <c r="F44" s="39" t="s">
        <v>1213</v>
      </c>
      <c r="G44" s="39"/>
      <c r="H44" s="39"/>
      <c r="I44" s="40"/>
      <c r="J44" s="41">
        <v>1</v>
      </c>
      <c r="K44" s="41">
        <v>0</v>
      </c>
      <c r="L44" s="41"/>
      <c r="M44" s="42">
        <v>750</v>
      </c>
      <c r="N44" s="42">
        <v>0</v>
      </c>
      <c r="O44" s="43">
        <v>0</v>
      </c>
      <c r="P44" s="44">
        <v>750</v>
      </c>
      <c r="Q44" s="44">
        <v>0</v>
      </c>
      <c r="R44" s="45">
        <v>0</v>
      </c>
      <c r="S44" s="46">
        <v>0</v>
      </c>
      <c r="T44" s="39">
        <f t="shared" si="18"/>
        <v>0</v>
      </c>
      <c r="U44" s="47">
        <f t="shared" si="19"/>
        <v>0</v>
      </c>
      <c r="V44" s="48">
        <f t="shared" si="20"/>
        <v>-750</v>
      </c>
      <c r="W44" s="49">
        <f t="shared" si="21"/>
        <v>0</v>
      </c>
      <c r="X44" s="44">
        <f t="shared" si="22"/>
        <v>0</v>
      </c>
      <c r="Y44" s="44">
        <f t="shared" si="23"/>
        <v>-750</v>
      </c>
      <c r="Z44" s="44">
        <f t="shared" si="24"/>
        <v>0</v>
      </c>
      <c r="AA44" s="50">
        <f t="shared" si="25"/>
        <v>0</v>
      </c>
      <c r="AB44" s="51">
        <f t="shared" si="26"/>
        <v>0</v>
      </c>
      <c r="AC44" s="44">
        <f t="shared" si="27"/>
        <v>0</v>
      </c>
      <c r="AD44" s="44">
        <f t="shared" si="28"/>
        <v>0</v>
      </c>
      <c r="AE44" s="44">
        <f t="shared" si="29"/>
        <v>0</v>
      </c>
      <c r="AF44" s="52" t="e">
        <f>HLOOKUP(I44,ElecAvoidedCostsWOCC!$A$5:$Q$50,G44+1,FALSE)</f>
        <v>#N/A</v>
      </c>
      <c r="AG44" s="44" t="e">
        <f t="shared" si="30"/>
        <v>#N/A</v>
      </c>
      <c r="AH44" s="52" t="e">
        <f>HLOOKUP(I44,ElecAvoidedCostsWOCC!$A$5:$Q$50,T44+1,FALSE)</f>
        <v>#N/A</v>
      </c>
      <c r="AI44" s="44" t="e">
        <f t="shared" si="31"/>
        <v>#N/A</v>
      </c>
      <c r="AJ44" s="44" t="e">
        <f t="shared" si="32"/>
        <v>#N/A</v>
      </c>
      <c r="AK44" s="44" t="e">
        <f>HLOOKUP(I44,ElecAvoidedCostsWOCC!$A$5:$Q$50,G44+1,FALSE)*J44*L44</f>
        <v>#N/A</v>
      </c>
      <c r="AL44" s="44" t="e">
        <f t="shared" si="33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4"/>
        <v>0</v>
      </c>
      <c r="AO44" s="47">
        <f t="shared" si="35"/>
        <v>0</v>
      </c>
      <c r="AP44" s="47" t="e">
        <f t="shared" si="36"/>
        <v>#DIV/0!</v>
      </c>
      <c r="AQ44">
        <v>2021</v>
      </c>
    </row>
    <row r="45" spans="2:43">
      <c r="B45" s="97" t="s">
        <v>70</v>
      </c>
      <c r="C45" s="98">
        <v>18230716</v>
      </c>
      <c r="D45" s="61" t="s">
        <v>131</v>
      </c>
      <c r="E45" s="38" t="s">
        <v>1214</v>
      </c>
      <c r="F45" s="39" t="s">
        <v>1215</v>
      </c>
      <c r="G45" s="39"/>
      <c r="H45" s="39"/>
      <c r="I45" s="40"/>
      <c r="J45" s="41">
        <v>1</v>
      </c>
      <c r="K45" s="41">
        <v>0</v>
      </c>
      <c r="L45" s="41"/>
      <c r="M45" s="42">
        <v>1000</v>
      </c>
      <c r="N45" s="42">
        <v>0</v>
      </c>
      <c r="O45" s="43">
        <v>0</v>
      </c>
      <c r="P45" s="44">
        <v>1000</v>
      </c>
      <c r="Q45" s="44">
        <v>0</v>
      </c>
      <c r="R45" s="45">
        <v>0</v>
      </c>
      <c r="S45" s="46">
        <v>0</v>
      </c>
      <c r="T45" s="39">
        <f t="shared" si="18"/>
        <v>0</v>
      </c>
      <c r="U45" s="47">
        <f t="shared" si="19"/>
        <v>0</v>
      </c>
      <c r="V45" s="48">
        <f t="shared" si="20"/>
        <v>-1000</v>
      </c>
      <c r="W45" s="49">
        <f t="shared" si="21"/>
        <v>0</v>
      </c>
      <c r="X45" s="44">
        <f t="shared" si="22"/>
        <v>0</v>
      </c>
      <c r="Y45" s="44">
        <f t="shared" si="23"/>
        <v>-1000</v>
      </c>
      <c r="Z45" s="44">
        <f t="shared" si="24"/>
        <v>0</v>
      </c>
      <c r="AA45" s="50">
        <f t="shared" si="25"/>
        <v>0</v>
      </c>
      <c r="AB45" s="51">
        <f t="shared" si="26"/>
        <v>0</v>
      </c>
      <c r="AC45" s="44">
        <f t="shared" si="27"/>
        <v>0</v>
      </c>
      <c r="AD45" s="44">
        <f t="shared" si="28"/>
        <v>0</v>
      </c>
      <c r="AE45" s="44">
        <f t="shared" si="29"/>
        <v>0</v>
      </c>
      <c r="AF45" s="52" t="e">
        <f>HLOOKUP(I45,ElecAvoidedCostsWOCC!$A$5:$Q$50,G45+1,FALSE)</f>
        <v>#N/A</v>
      </c>
      <c r="AG45" s="44" t="e">
        <f t="shared" si="30"/>
        <v>#N/A</v>
      </c>
      <c r="AH45" s="52" t="e">
        <f>HLOOKUP(I45,ElecAvoidedCostsWOCC!$A$5:$Q$50,T45+1,FALSE)</f>
        <v>#N/A</v>
      </c>
      <c r="AI45" s="44" t="e">
        <f t="shared" si="31"/>
        <v>#N/A</v>
      </c>
      <c r="AJ45" s="44" t="e">
        <f t="shared" si="32"/>
        <v>#N/A</v>
      </c>
      <c r="AK45" s="44" t="e">
        <f>HLOOKUP(I45,ElecAvoidedCostsWOCC!$A$5:$Q$50,G45+1,FALSE)*J45*L45</f>
        <v>#N/A</v>
      </c>
      <c r="AL45" s="44" t="e">
        <f t="shared" si="33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4"/>
        <v>0</v>
      </c>
      <c r="AO45" s="47">
        <f t="shared" si="35"/>
        <v>0</v>
      </c>
      <c r="AP45" s="47" t="e">
        <f t="shared" si="36"/>
        <v>#DIV/0!</v>
      </c>
      <c r="AQ45">
        <v>2021</v>
      </c>
    </row>
    <row r="46" spans="2:43">
      <c r="B46" s="97" t="s">
        <v>70</v>
      </c>
      <c r="C46" s="98">
        <v>18230716</v>
      </c>
      <c r="D46" s="61" t="s">
        <v>131</v>
      </c>
      <c r="E46" s="38" t="s">
        <v>1216</v>
      </c>
      <c r="F46" s="39" t="s">
        <v>1217</v>
      </c>
      <c r="G46" s="39"/>
      <c r="H46" s="39"/>
      <c r="I46" s="40"/>
      <c r="J46" s="41">
        <v>1</v>
      </c>
      <c r="K46" s="41">
        <v>0</v>
      </c>
      <c r="L46" s="41"/>
      <c r="M46" s="42">
        <v>250</v>
      </c>
      <c r="N46" s="42">
        <v>0</v>
      </c>
      <c r="O46" s="43">
        <v>0</v>
      </c>
      <c r="P46" s="44">
        <v>250</v>
      </c>
      <c r="Q46" s="44">
        <v>0</v>
      </c>
      <c r="R46" s="45">
        <v>0</v>
      </c>
      <c r="S46" s="46">
        <v>0</v>
      </c>
      <c r="T46" s="39">
        <f t="shared" si="18"/>
        <v>0</v>
      </c>
      <c r="U46" s="47">
        <f t="shared" si="19"/>
        <v>0</v>
      </c>
      <c r="V46" s="48">
        <f t="shared" si="20"/>
        <v>-250</v>
      </c>
      <c r="W46" s="49">
        <f t="shared" si="21"/>
        <v>0</v>
      </c>
      <c r="X46" s="44">
        <f t="shared" si="22"/>
        <v>0</v>
      </c>
      <c r="Y46" s="44">
        <f t="shared" si="23"/>
        <v>-250</v>
      </c>
      <c r="Z46" s="44">
        <f t="shared" si="24"/>
        <v>0</v>
      </c>
      <c r="AA46" s="50">
        <f t="shared" si="25"/>
        <v>0</v>
      </c>
      <c r="AB46" s="51">
        <f t="shared" si="26"/>
        <v>0</v>
      </c>
      <c r="AC46" s="44">
        <f t="shared" si="27"/>
        <v>0</v>
      </c>
      <c r="AD46" s="44">
        <f t="shared" si="28"/>
        <v>0</v>
      </c>
      <c r="AE46" s="44">
        <f t="shared" si="29"/>
        <v>0</v>
      </c>
      <c r="AF46" s="52" t="e">
        <f>HLOOKUP(I46,ElecAvoidedCostsWOCC!$A$5:$Q$50,G46+1,FALSE)</f>
        <v>#N/A</v>
      </c>
      <c r="AG46" s="44" t="e">
        <f t="shared" si="30"/>
        <v>#N/A</v>
      </c>
      <c r="AH46" s="52" t="e">
        <f>HLOOKUP(I46,ElecAvoidedCostsWOCC!$A$5:$Q$50,T46+1,FALSE)</f>
        <v>#N/A</v>
      </c>
      <c r="AI46" s="44" t="e">
        <f t="shared" si="31"/>
        <v>#N/A</v>
      </c>
      <c r="AJ46" s="44" t="e">
        <f t="shared" si="32"/>
        <v>#N/A</v>
      </c>
      <c r="AK46" s="44" t="e">
        <f>HLOOKUP(I46,ElecAvoidedCostsWOCC!$A$5:$Q$50,G46+1,FALSE)*J46*L46</f>
        <v>#N/A</v>
      </c>
      <c r="AL46" s="44" t="e">
        <f t="shared" si="33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4"/>
        <v>0</v>
      </c>
      <c r="AO46" s="47">
        <f t="shared" si="35"/>
        <v>0</v>
      </c>
      <c r="AP46" s="47" t="e">
        <f t="shared" si="36"/>
        <v>#DIV/0!</v>
      </c>
      <c r="AQ46">
        <v>2021</v>
      </c>
    </row>
    <row r="47" spans="2:43">
      <c r="B47" s="97" t="s">
        <v>70</v>
      </c>
      <c r="C47" s="98">
        <v>18230716</v>
      </c>
      <c r="D47" s="61" t="s">
        <v>131</v>
      </c>
      <c r="E47" s="38" t="s">
        <v>1218</v>
      </c>
      <c r="F47" s="39" t="s">
        <v>1219</v>
      </c>
      <c r="G47" s="39"/>
      <c r="H47" s="39"/>
      <c r="I47" s="40"/>
      <c r="J47" s="41">
        <v>1</v>
      </c>
      <c r="K47" s="41">
        <v>0</v>
      </c>
      <c r="L47" s="41"/>
      <c r="M47" s="42">
        <v>750</v>
      </c>
      <c r="N47" s="42">
        <v>0</v>
      </c>
      <c r="O47" s="43">
        <v>0</v>
      </c>
      <c r="P47" s="44">
        <v>750</v>
      </c>
      <c r="Q47" s="44">
        <v>0</v>
      </c>
      <c r="R47" s="45">
        <v>0</v>
      </c>
      <c r="S47" s="46">
        <v>0</v>
      </c>
      <c r="T47" s="39">
        <f t="shared" si="18"/>
        <v>0</v>
      </c>
      <c r="U47" s="47">
        <f t="shared" si="19"/>
        <v>0</v>
      </c>
      <c r="V47" s="48">
        <f t="shared" si="20"/>
        <v>-750</v>
      </c>
      <c r="W47" s="49">
        <f t="shared" si="21"/>
        <v>0</v>
      </c>
      <c r="X47" s="44">
        <f t="shared" si="22"/>
        <v>0</v>
      </c>
      <c r="Y47" s="44">
        <f t="shared" si="23"/>
        <v>-750</v>
      </c>
      <c r="Z47" s="44">
        <f t="shared" si="24"/>
        <v>0</v>
      </c>
      <c r="AA47" s="50">
        <f t="shared" si="25"/>
        <v>0</v>
      </c>
      <c r="AB47" s="51">
        <f t="shared" si="26"/>
        <v>0</v>
      </c>
      <c r="AC47" s="44">
        <f t="shared" si="27"/>
        <v>0</v>
      </c>
      <c r="AD47" s="44">
        <f t="shared" si="28"/>
        <v>0</v>
      </c>
      <c r="AE47" s="44">
        <f t="shared" si="29"/>
        <v>0</v>
      </c>
      <c r="AF47" s="52" t="e">
        <f>HLOOKUP(I47,ElecAvoidedCostsWOCC!$A$5:$Q$50,G47+1,FALSE)</f>
        <v>#N/A</v>
      </c>
      <c r="AG47" s="44" t="e">
        <f t="shared" si="30"/>
        <v>#N/A</v>
      </c>
      <c r="AH47" s="52" t="e">
        <f>HLOOKUP(I47,ElecAvoidedCostsWOCC!$A$5:$Q$50,T47+1,FALSE)</f>
        <v>#N/A</v>
      </c>
      <c r="AI47" s="44" t="e">
        <f t="shared" si="31"/>
        <v>#N/A</v>
      </c>
      <c r="AJ47" s="44" t="e">
        <f t="shared" si="32"/>
        <v>#N/A</v>
      </c>
      <c r="AK47" s="44" t="e">
        <f>HLOOKUP(I47,ElecAvoidedCostsWOCC!$A$5:$Q$50,G47+1,FALSE)*J47*L47</f>
        <v>#N/A</v>
      </c>
      <c r="AL47" s="44" t="e">
        <f t="shared" si="33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4"/>
        <v>0</v>
      </c>
      <c r="AO47" s="47">
        <f t="shared" si="35"/>
        <v>0</v>
      </c>
      <c r="AP47" s="47" t="e">
        <f t="shared" si="36"/>
        <v>#DIV/0!</v>
      </c>
      <c r="AQ47">
        <v>2021</v>
      </c>
    </row>
    <row r="48" spans="2:43">
      <c r="B48" s="97" t="s">
        <v>70</v>
      </c>
      <c r="C48" s="61">
        <v>18230716</v>
      </c>
      <c r="D48" s="61" t="s">
        <v>131</v>
      </c>
      <c r="E48" s="38" t="s">
        <v>2118</v>
      </c>
      <c r="F48" s="39" t="s">
        <v>2119</v>
      </c>
      <c r="G48" s="39">
        <v>12</v>
      </c>
      <c r="H48" s="39"/>
      <c r="I48" s="40" t="s">
        <v>258</v>
      </c>
      <c r="J48" s="41">
        <v>1</v>
      </c>
      <c r="K48" s="41">
        <v>5548</v>
      </c>
      <c r="L48" s="41"/>
      <c r="M48" s="42">
        <v>2000</v>
      </c>
      <c r="N48" s="42">
        <v>2014</v>
      </c>
      <c r="O48" s="43">
        <v>5548</v>
      </c>
      <c r="P48" s="44">
        <v>2000</v>
      </c>
      <c r="Q48" s="44">
        <v>2014</v>
      </c>
      <c r="R48" s="45">
        <v>0</v>
      </c>
      <c r="S48" s="46"/>
      <c r="T48" s="39">
        <f t="shared" si="18"/>
        <v>12</v>
      </c>
      <c r="U48" s="47">
        <f t="shared" si="19"/>
        <v>9.7906229344136356E-2</v>
      </c>
      <c r="V48" s="48">
        <f t="shared" si="20"/>
        <v>14</v>
      </c>
      <c r="W48" s="49">
        <f t="shared" si="21"/>
        <v>8.1588524453446963E-3</v>
      </c>
      <c r="X48" s="44">
        <f t="shared" si="22"/>
        <v>939.32288924729858</v>
      </c>
      <c r="Y48" s="44">
        <f t="shared" si="23"/>
        <v>14</v>
      </c>
      <c r="Z48" s="44">
        <f t="shared" si="24"/>
        <v>2353.7920524688921</v>
      </c>
      <c r="AA48" s="50">
        <f t="shared" si="25"/>
        <v>2953.3228892472985</v>
      </c>
      <c r="AB48" s="51">
        <f t="shared" si="26"/>
        <v>2200.4225974281499</v>
      </c>
      <c r="AC48" s="44">
        <f t="shared" si="27"/>
        <v>2760.888930772458</v>
      </c>
      <c r="AD48" s="44">
        <f t="shared" si="28"/>
        <v>0</v>
      </c>
      <c r="AE48" s="44">
        <f t="shared" si="29"/>
        <v>0</v>
      </c>
      <c r="AF48" s="52">
        <f>HLOOKUP(I48,ElecAvoidedCostsWOCC!$A$5:$Q$50,G48+1,FALSE)</f>
        <v>0.82713841420343059</v>
      </c>
      <c r="AG48" s="44">
        <f t="shared" si="30"/>
        <v>4588.9639220006329</v>
      </c>
      <c r="AH48" s="52">
        <f>HLOOKUP(I48,ElecAvoidedCostsWOCC!$A$5:$Q$50,T48+1,FALSE)</f>
        <v>0.82713841420343059</v>
      </c>
      <c r="AI48" s="44">
        <f t="shared" si="31"/>
        <v>0</v>
      </c>
      <c r="AJ48" s="44">
        <f t="shared" si="32"/>
        <v>4588.9639220006329</v>
      </c>
      <c r="AK48" s="44">
        <f>HLOOKUP(I48,ElecAvoidedCostsWOCC!$A$5:$Q$50,G48+1,FALSE)*J48*L48</f>
        <v>0</v>
      </c>
      <c r="AL48" s="44">
        <f t="shared" si="33"/>
        <v>4588.9639220006329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4588.9639220006329</v>
      </c>
      <c r="AN48" s="48">
        <f t="shared" si="34"/>
        <v>5047.8603142006968</v>
      </c>
      <c r="AO48" s="47">
        <f t="shared" si="35"/>
        <v>2.0854920901849519</v>
      </c>
      <c r="AP48" s="47">
        <f t="shared" si="36"/>
        <v>1.8283460294030649</v>
      </c>
      <c r="AQ48">
        <v>2020</v>
      </c>
    </row>
    <row r="49" spans="2:43">
      <c r="B49" s="97" t="s">
        <v>70</v>
      </c>
      <c r="C49" s="61">
        <v>18230716</v>
      </c>
      <c r="D49" s="61" t="s">
        <v>131</v>
      </c>
      <c r="E49" s="38" t="s">
        <v>2122</v>
      </c>
      <c r="F49" s="39" t="s">
        <v>2123</v>
      </c>
      <c r="G49" s="39">
        <v>12</v>
      </c>
      <c r="H49" s="39"/>
      <c r="I49" s="40" t="s">
        <v>258</v>
      </c>
      <c r="J49" s="41">
        <v>2</v>
      </c>
      <c r="K49" s="41">
        <v>2774</v>
      </c>
      <c r="L49" s="41"/>
      <c r="M49" s="42">
        <v>1000</v>
      </c>
      <c r="N49" s="42">
        <v>1007</v>
      </c>
      <c r="O49" s="43">
        <v>5548</v>
      </c>
      <c r="P49" s="44">
        <v>2000</v>
      </c>
      <c r="Q49" s="44">
        <v>2014</v>
      </c>
      <c r="R49" s="45">
        <v>0</v>
      </c>
      <c r="S49" s="46"/>
      <c r="T49" s="39">
        <f t="shared" si="18"/>
        <v>12</v>
      </c>
      <c r="U49" s="47">
        <f t="shared" si="19"/>
        <v>9.7906229344136356E-2</v>
      </c>
      <c r="V49" s="48">
        <f t="shared" si="20"/>
        <v>7</v>
      </c>
      <c r="W49" s="49">
        <f t="shared" si="21"/>
        <v>8.1588524453446963E-3</v>
      </c>
      <c r="X49" s="44">
        <f t="shared" si="22"/>
        <v>939.32288924729858</v>
      </c>
      <c r="Y49" s="44">
        <f t="shared" si="23"/>
        <v>14</v>
      </c>
      <c r="Z49" s="44">
        <f t="shared" si="24"/>
        <v>2353.7920524688921</v>
      </c>
      <c r="AA49" s="50">
        <f t="shared" si="25"/>
        <v>2953.3228892472985</v>
      </c>
      <c r="AB49" s="51">
        <f t="shared" si="26"/>
        <v>2200.4225974281499</v>
      </c>
      <c r="AC49" s="44">
        <f t="shared" si="27"/>
        <v>2760.888930772458</v>
      </c>
      <c r="AD49" s="44">
        <f t="shared" si="28"/>
        <v>0</v>
      </c>
      <c r="AE49" s="44">
        <f t="shared" si="29"/>
        <v>0</v>
      </c>
      <c r="AF49" s="52">
        <f>HLOOKUP(I49,ElecAvoidedCostsWOCC!$A$5:$Q$50,G49+1,FALSE)</f>
        <v>0.82713841420343059</v>
      </c>
      <c r="AG49" s="44">
        <f t="shared" si="30"/>
        <v>4588.9639220006329</v>
      </c>
      <c r="AH49" s="52">
        <f>HLOOKUP(I49,ElecAvoidedCostsWOCC!$A$5:$Q$50,T49+1,FALSE)</f>
        <v>0.82713841420343059</v>
      </c>
      <c r="AI49" s="44">
        <f t="shared" si="31"/>
        <v>0</v>
      </c>
      <c r="AJ49" s="44">
        <f t="shared" si="32"/>
        <v>4588.9639220006329</v>
      </c>
      <c r="AK49" s="44">
        <f>HLOOKUP(I49,ElecAvoidedCostsWOCC!$A$5:$Q$50,G49+1,FALSE)*J49*L49</f>
        <v>0</v>
      </c>
      <c r="AL49" s="44">
        <f t="shared" si="33"/>
        <v>4588.9639220006329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4588.9639220006329</v>
      </c>
      <c r="AN49" s="48">
        <f t="shared" si="34"/>
        <v>5047.8603142006968</v>
      </c>
      <c r="AO49" s="47">
        <f t="shared" si="35"/>
        <v>2.0854920901849519</v>
      </c>
      <c r="AP49" s="47">
        <f t="shared" si="36"/>
        <v>1.8283460294030649</v>
      </c>
      <c r="AQ49">
        <v>2020</v>
      </c>
    </row>
    <row r="50" spans="2:43">
      <c r="B50" s="97" t="s">
        <v>70</v>
      </c>
      <c r="C50" s="61">
        <v>18230716</v>
      </c>
      <c r="D50" s="61" t="s">
        <v>131</v>
      </c>
      <c r="E50" s="38" t="s">
        <v>2126</v>
      </c>
      <c r="F50" s="39" t="s">
        <v>2127</v>
      </c>
      <c r="G50" s="39">
        <v>0</v>
      </c>
      <c r="H50" s="39"/>
      <c r="I50" s="40" t="s">
        <v>258</v>
      </c>
      <c r="J50" s="41">
        <v>3</v>
      </c>
      <c r="K50" s="41">
        <v>0</v>
      </c>
      <c r="L50" s="41"/>
      <c r="M50" s="42">
        <v>50</v>
      </c>
      <c r="N50" s="42">
        <v>50</v>
      </c>
      <c r="O50" s="43">
        <v>0</v>
      </c>
      <c r="P50" s="44">
        <v>150</v>
      </c>
      <c r="Q50" s="44">
        <v>150</v>
      </c>
      <c r="R50" s="45">
        <v>0</v>
      </c>
      <c r="S50" s="46"/>
      <c r="T50" s="39">
        <f t="shared" si="18"/>
        <v>0</v>
      </c>
      <c r="U50" s="47">
        <f t="shared" si="19"/>
        <v>0</v>
      </c>
      <c r="V50" s="48">
        <f t="shared" si="20"/>
        <v>0</v>
      </c>
      <c r="W50" s="49">
        <f t="shared" si="21"/>
        <v>0</v>
      </c>
      <c r="X50" s="44">
        <f t="shared" si="22"/>
        <v>0</v>
      </c>
      <c r="Y50" s="44">
        <f t="shared" si="23"/>
        <v>0</v>
      </c>
      <c r="Z50" s="44">
        <f t="shared" si="24"/>
        <v>0</v>
      </c>
      <c r="AA50" s="50">
        <f t="shared" si="25"/>
        <v>150</v>
      </c>
      <c r="AB50" s="51">
        <f t="shared" si="26"/>
        <v>0</v>
      </c>
      <c r="AC50" s="44">
        <f t="shared" si="27"/>
        <v>140.22623165373469</v>
      </c>
      <c r="AD50" s="44">
        <f t="shared" si="28"/>
        <v>0</v>
      </c>
      <c r="AE50" s="44">
        <f t="shared" si="29"/>
        <v>0</v>
      </c>
      <c r="AF50" s="52" t="str">
        <f>HLOOKUP(I50,ElecAvoidedCostsWOCC!$A$5:$Q$50,G50+1,FALSE)</f>
        <v>Comm Cooking</v>
      </c>
      <c r="AG50" s="44" t="e">
        <f t="shared" si="30"/>
        <v>#VALUE!</v>
      </c>
      <c r="AH50" s="52" t="str">
        <f>HLOOKUP(I50,ElecAvoidedCostsWOCC!$A$5:$Q$50,T50+1,FALSE)</f>
        <v>Comm Cooking</v>
      </c>
      <c r="AI50" s="44" t="e">
        <f t="shared" si="31"/>
        <v>#VALUE!</v>
      </c>
      <c r="AJ50" s="44" t="e">
        <f t="shared" si="32"/>
        <v>#VALUE!</v>
      </c>
      <c r="AK50" s="44" t="e">
        <f>HLOOKUP(I50,ElecAvoidedCostsWOCC!$A$5:$Q$50,G50+1,FALSE)*J50*L50</f>
        <v>#VALUE!</v>
      </c>
      <c r="AL50" s="44" t="e">
        <f t="shared" si="33"/>
        <v>#VALUE!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4"/>
        <v>0</v>
      </c>
      <c r="AO50" s="47">
        <f t="shared" si="35"/>
        <v>0</v>
      </c>
      <c r="AP50" s="47">
        <f t="shared" si="36"/>
        <v>0</v>
      </c>
      <c r="AQ50">
        <v>2020</v>
      </c>
    </row>
    <row r="51" spans="2:43">
      <c r="B51" s="97" t="s">
        <v>70</v>
      </c>
      <c r="C51" s="61">
        <v>18230716</v>
      </c>
      <c r="D51" s="61" t="s">
        <v>131</v>
      </c>
      <c r="E51" s="38" t="s">
        <v>2128</v>
      </c>
      <c r="F51" s="39" t="s">
        <v>2129</v>
      </c>
      <c r="G51" s="39">
        <v>0</v>
      </c>
      <c r="H51" s="39"/>
      <c r="I51" s="40" t="s">
        <v>258</v>
      </c>
      <c r="J51" s="41">
        <v>1</v>
      </c>
      <c r="K51" s="41">
        <v>0</v>
      </c>
      <c r="L51" s="41"/>
      <c r="M51" s="42">
        <v>30</v>
      </c>
      <c r="N51" s="42">
        <v>30</v>
      </c>
      <c r="O51" s="43">
        <v>0</v>
      </c>
      <c r="P51" s="44">
        <v>30</v>
      </c>
      <c r="Q51" s="44">
        <v>30</v>
      </c>
      <c r="R51" s="45">
        <v>0</v>
      </c>
      <c r="S51" s="46"/>
      <c r="T51" s="39">
        <f t="shared" si="18"/>
        <v>0</v>
      </c>
      <c r="U51" s="47">
        <f t="shared" si="19"/>
        <v>0</v>
      </c>
      <c r="V51" s="48">
        <f t="shared" si="20"/>
        <v>0</v>
      </c>
      <c r="W51" s="49">
        <f t="shared" si="21"/>
        <v>0</v>
      </c>
      <c r="X51" s="44">
        <f t="shared" si="22"/>
        <v>0</v>
      </c>
      <c r="Y51" s="44">
        <f t="shared" si="23"/>
        <v>0</v>
      </c>
      <c r="Z51" s="44">
        <f t="shared" si="24"/>
        <v>0</v>
      </c>
      <c r="AA51" s="50">
        <f t="shared" si="25"/>
        <v>30</v>
      </c>
      <c r="AB51" s="51">
        <f t="shared" si="26"/>
        <v>0</v>
      </c>
      <c r="AC51" s="44">
        <f t="shared" si="27"/>
        <v>28.045246330746934</v>
      </c>
      <c r="AD51" s="44">
        <f t="shared" si="28"/>
        <v>0</v>
      </c>
      <c r="AE51" s="44">
        <f t="shared" si="29"/>
        <v>0</v>
      </c>
      <c r="AF51" s="52" t="str">
        <f>HLOOKUP(I51,ElecAvoidedCostsWOCC!$A$5:$Q$50,G51+1,FALSE)</f>
        <v>Comm Cooking</v>
      </c>
      <c r="AG51" s="44" t="e">
        <f t="shared" si="30"/>
        <v>#VALUE!</v>
      </c>
      <c r="AH51" s="52" t="str">
        <f>HLOOKUP(I51,ElecAvoidedCostsWOCC!$A$5:$Q$50,T51+1,FALSE)</f>
        <v>Comm Cooking</v>
      </c>
      <c r="AI51" s="44" t="e">
        <f t="shared" si="31"/>
        <v>#VALUE!</v>
      </c>
      <c r="AJ51" s="44" t="e">
        <f t="shared" si="32"/>
        <v>#VALUE!</v>
      </c>
      <c r="AK51" s="44" t="e">
        <f>HLOOKUP(I51,ElecAvoidedCostsWOCC!$A$5:$Q$50,G51+1,FALSE)*J51*L51</f>
        <v>#VALUE!</v>
      </c>
      <c r="AL51" s="44" t="e">
        <f t="shared" si="33"/>
        <v>#VALUE!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4"/>
        <v>0</v>
      </c>
      <c r="AO51" s="47">
        <f t="shared" si="35"/>
        <v>0</v>
      </c>
      <c r="AP51" s="47">
        <f t="shared" si="36"/>
        <v>0</v>
      </c>
      <c r="AQ51">
        <v>2020</v>
      </c>
    </row>
    <row r="52" spans="2:43">
      <c r="B52" s="97" t="s">
        <v>70</v>
      </c>
      <c r="C52" s="61">
        <v>18230716</v>
      </c>
      <c r="D52" s="61" t="s">
        <v>131</v>
      </c>
      <c r="E52" s="38" t="s">
        <v>2132</v>
      </c>
      <c r="F52" s="39" t="s">
        <v>2133</v>
      </c>
      <c r="G52" s="39">
        <v>0</v>
      </c>
      <c r="H52" s="39"/>
      <c r="I52" s="40" t="s">
        <v>258</v>
      </c>
      <c r="J52" s="41">
        <v>3</v>
      </c>
      <c r="K52" s="41">
        <v>0</v>
      </c>
      <c r="L52" s="41"/>
      <c r="M52" s="42">
        <v>30</v>
      </c>
      <c r="N52" s="42">
        <v>30</v>
      </c>
      <c r="O52" s="43">
        <v>0</v>
      </c>
      <c r="P52" s="44">
        <v>90</v>
      </c>
      <c r="Q52" s="44">
        <v>90</v>
      </c>
      <c r="R52" s="45">
        <v>0</v>
      </c>
      <c r="S52" s="46"/>
      <c r="T52" s="39">
        <f t="shared" si="18"/>
        <v>0</v>
      </c>
      <c r="U52" s="47">
        <f t="shared" si="19"/>
        <v>0</v>
      </c>
      <c r="V52" s="48">
        <f t="shared" si="20"/>
        <v>0</v>
      </c>
      <c r="W52" s="49">
        <f t="shared" si="21"/>
        <v>0</v>
      </c>
      <c r="X52" s="44">
        <f t="shared" si="22"/>
        <v>0</v>
      </c>
      <c r="Y52" s="44">
        <f t="shared" si="23"/>
        <v>0</v>
      </c>
      <c r="Z52" s="44">
        <f t="shared" si="24"/>
        <v>0</v>
      </c>
      <c r="AA52" s="50">
        <f t="shared" si="25"/>
        <v>90</v>
      </c>
      <c r="AB52" s="51">
        <f t="shared" si="26"/>
        <v>0</v>
      </c>
      <c r="AC52" s="44">
        <f t="shared" si="27"/>
        <v>84.135738992240803</v>
      </c>
      <c r="AD52" s="44">
        <f t="shared" si="28"/>
        <v>0</v>
      </c>
      <c r="AE52" s="44">
        <f t="shared" si="29"/>
        <v>0</v>
      </c>
      <c r="AF52" s="52" t="str">
        <f>HLOOKUP(I52,ElecAvoidedCostsWOCC!$A$5:$Q$50,G52+1,FALSE)</f>
        <v>Comm Cooking</v>
      </c>
      <c r="AG52" s="44" t="e">
        <f t="shared" si="30"/>
        <v>#VALUE!</v>
      </c>
      <c r="AH52" s="52" t="str">
        <f>HLOOKUP(I52,ElecAvoidedCostsWOCC!$A$5:$Q$50,T52+1,FALSE)</f>
        <v>Comm Cooking</v>
      </c>
      <c r="AI52" s="44" t="e">
        <f t="shared" si="31"/>
        <v>#VALUE!</v>
      </c>
      <c r="AJ52" s="44" t="e">
        <f t="shared" si="32"/>
        <v>#VALUE!</v>
      </c>
      <c r="AK52" s="44" t="e">
        <f>HLOOKUP(I52,ElecAvoidedCostsWOCC!$A$5:$Q$50,G52+1,FALSE)*J52*L52</f>
        <v>#VALUE!</v>
      </c>
      <c r="AL52" s="44" t="e">
        <f t="shared" si="33"/>
        <v>#VALUE!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4"/>
        <v>0</v>
      </c>
      <c r="AO52" s="47">
        <f t="shared" si="35"/>
        <v>0</v>
      </c>
      <c r="AP52" s="47">
        <f t="shared" si="36"/>
        <v>0</v>
      </c>
      <c r="AQ52">
        <v>2020</v>
      </c>
    </row>
    <row r="53" spans="2:43">
      <c r="B53" s="97" t="s">
        <v>70</v>
      </c>
      <c r="C53" s="61">
        <v>18230716</v>
      </c>
      <c r="D53" s="61" t="s">
        <v>131</v>
      </c>
      <c r="E53" s="38" t="s">
        <v>2136</v>
      </c>
      <c r="F53" s="39" t="s">
        <v>2137</v>
      </c>
      <c r="G53" s="39">
        <v>0</v>
      </c>
      <c r="H53" s="39"/>
      <c r="I53" s="40" t="s">
        <v>258</v>
      </c>
      <c r="J53" s="41">
        <v>1</v>
      </c>
      <c r="K53" s="41">
        <v>0</v>
      </c>
      <c r="L53" s="41"/>
      <c r="M53" s="42">
        <v>50</v>
      </c>
      <c r="N53" s="42">
        <v>50</v>
      </c>
      <c r="O53" s="43">
        <v>0</v>
      </c>
      <c r="P53" s="44">
        <v>50</v>
      </c>
      <c r="Q53" s="44">
        <v>50</v>
      </c>
      <c r="R53" s="45">
        <v>0</v>
      </c>
      <c r="S53" s="46">
        <v>0</v>
      </c>
      <c r="T53" s="39">
        <f t="shared" si="18"/>
        <v>0</v>
      </c>
      <c r="U53" s="47">
        <f t="shared" si="19"/>
        <v>0</v>
      </c>
      <c r="V53" s="48">
        <f t="shared" si="20"/>
        <v>0</v>
      </c>
      <c r="W53" s="49">
        <f t="shared" si="21"/>
        <v>0</v>
      </c>
      <c r="X53" s="44">
        <f t="shared" si="22"/>
        <v>0</v>
      </c>
      <c r="Y53" s="44">
        <f t="shared" si="23"/>
        <v>0</v>
      </c>
      <c r="Z53" s="44">
        <f t="shared" si="24"/>
        <v>0</v>
      </c>
      <c r="AA53" s="50">
        <f t="shared" si="25"/>
        <v>50</v>
      </c>
      <c r="AB53" s="51">
        <f t="shared" si="26"/>
        <v>0</v>
      </c>
      <c r="AC53" s="44">
        <f t="shared" si="27"/>
        <v>46.742077217911557</v>
      </c>
      <c r="AD53" s="44">
        <f t="shared" si="28"/>
        <v>0</v>
      </c>
      <c r="AE53" s="44">
        <f t="shared" si="29"/>
        <v>0</v>
      </c>
      <c r="AF53" s="52" t="str">
        <f>HLOOKUP(I53,ElecAvoidedCostsWOCC!$A$5:$Q$50,G53+1,FALSE)</f>
        <v>Comm Cooking</v>
      </c>
      <c r="AG53" s="44" t="e">
        <f t="shared" si="30"/>
        <v>#VALUE!</v>
      </c>
      <c r="AH53" s="52" t="str">
        <f>HLOOKUP(I53,ElecAvoidedCostsWOCC!$A$5:$Q$50,T53+1,FALSE)</f>
        <v>Comm Cooking</v>
      </c>
      <c r="AI53" s="44" t="e">
        <f t="shared" si="31"/>
        <v>#VALUE!</v>
      </c>
      <c r="AJ53" s="44" t="e">
        <f t="shared" si="32"/>
        <v>#VALUE!</v>
      </c>
      <c r="AK53" s="44" t="e">
        <f>HLOOKUP(I53,ElecAvoidedCostsWOCC!$A$5:$Q$50,G53+1,FALSE)*J53*L53</f>
        <v>#VALUE!</v>
      </c>
      <c r="AL53" s="44" t="e">
        <f t="shared" si="33"/>
        <v>#VALUE!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4"/>
        <v>0</v>
      </c>
      <c r="AO53" s="47">
        <f t="shared" si="35"/>
        <v>0</v>
      </c>
      <c r="AP53" s="47">
        <f t="shared" si="36"/>
        <v>0</v>
      </c>
      <c r="AQ53">
        <v>2020</v>
      </c>
    </row>
    <row r="54" spans="2:43">
      <c r="B54" s="97" t="s">
        <v>70</v>
      </c>
      <c r="C54" s="61">
        <v>18230716</v>
      </c>
      <c r="D54" s="61" t="s">
        <v>131</v>
      </c>
      <c r="E54" s="38" t="s">
        <v>2143</v>
      </c>
      <c r="F54" s="39" t="s">
        <v>2144</v>
      </c>
      <c r="G54" s="39">
        <v>10</v>
      </c>
      <c r="H54" s="39"/>
      <c r="I54" s="40" t="s">
        <v>258</v>
      </c>
      <c r="J54" s="41">
        <v>2</v>
      </c>
      <c r="K54" s="41">
        <v>1605</v>
      </c>
      <c r="L54" s="41"/>
      <c r="M54" s="42">
        <v>250</v>
      </c>
      <c r="N54" s="42">
        <v>280.58999999999997</v>
      </c>
      <c r="O54" s="43">
        <v>3210</v>
      </c>
      <c r="P54" s="44">
        <v>500</v>
      </c>
      <c r="Q54" s="44">
        <v>561.17999999999995</v>
      </c>
      <c r="R54" s="45">
        <v>0</v>
      </c>
      <c r="S54" s="46">
        <v>0</v>
      </c>
      <c r="T54" s="39">
        <f t="shared" si="18"/>
        <v>10</v>
      </c>
      <c r="U54" s="47">
        <f t="shared" si="19"/>
        <v>4.7206049656734819E-2</v>
      </c>
      <c r="V54" s="48">
        <f t="shared" si="20"/>
        <v>30.589999999999975</v>
      </c>
      <c r="W54" s="49">
        <f t="shared" si="21"/>
        <v>4.7206049656734819E-3</v>
      </c>
      <c r="X54" s="44">
        <f t="shared" si="22"/>
        <v>543.47989806846226</v>
      </c>
      <c r="Y54" s="44">
        <f t="shared" si="23"/>
        <v>61.17999999999995</v>
      </c>
      <c r="Z54" s="44">
        <f t="shared" si="24"/>
        <v>1361.8731954623545</v>
      </c>
      <c r="AA54" s="50">
        <f t="shared" si="25"/>
        <v>1104.6598980684621</v>
      </c>
      <c r="AB54" s="51">
        <f t="shared" si="26"/>
        <v>1273.1356412661066</v>
      </c>
      <c r="AC54" s="44">
        <f t="shared" si="27"/>
        <v>1032.6819651009273</v>
      </c>
      <c r="AD54" s="44">
        <f t="shared" si="28"/>
        <v>0</v>
      </c>
      <c r="AE54" s="44">
        <f t="shared" si="29"/>
        <v>0</v>
      </c>
      <c r="AF54" s="52">
        <f>HLOOKUP(I54,ElecAvoidedCostsWOCC!$A$5:$Q$50,G54+1,FALSE)</f>
        <v>0.69303218561010682</v>
      </c>
      <c r="AG54" s="44">
        <f t="shared" si="30"/>
        <v>2224.6333158084431</v>
      </c>
      <c r="AH54" s="52">
        <f>HLOOKUP(I54,ElecAvoidedCostsWOCC!$A$5:$Q$50,T54+1,FALSE)</f>
        <v>0.69303218561010682</v>
      </c>
      <c r="AI54" s="44">
        <f t="shared" si="31"/>
        <v>0</v>
      </c>
      <c r="AJ54" s="44">
        <f t="shared" si="32"/>
        <v>2224.6333158084431</v>
      </c>
      <c r="AK54" s="44">
        <f>HLOOKUP(I54,ElecAvoidedCostsWOCC!$A$5:$Q$50,G54+1,FALSE)*J54*L54</f>
        <v>0</v>
      </c>
      <c r="AL54" s="44">
        <f t="shared" si="33"/>
        <v>2224.6333158084431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2224.6333158084431</v>
      </c>
      <c r="AN54" s="48">
        <f t="shared" si="34"/>
        <v>2447.0966473892877</v>
      </c>
      <c r="AO54" s="47">
        <f t="shared" si="35"/>
        <v>1.7473655152691288</v>
      </c>
      <c r="AP54" s="47">
        <f t="shared" si="36"/>
        <v>2.3696517709110232</v>
      </c>
      <c r="AQ54">
        <v>2020</v>
      </c>
    </row>
    <row r="55" spans="2:43">
      <c r="B55" s="97" t="s">
        <v>70</v>
      </c>
      <c r="C55" s="61">
        <v>18230716</v>
      </c>
      <c r="D55" s="61" t="s">
        <v>131</v>
      </c>
      <c r="E55" s="38" t="s">
        <v>2145</v>
      </c>
      <c r="F55" s="39" t="s">
        <v>2146</v>
      </c>
      <c r="G55" s="39">
        <v>10</v>
      </c>
      <c r="H55" s="39"/>
      <c r="I55" s="40" t="s">
        <v>260</v>
      </c>
      <c r="J55" s="41">
        <v>2</v>
      </c>
      <c r="K55" s="41">
        <v>2044</v>
      </c>
      <c r="L55" s="41"/>
      <c r="M55" s="42">
        <v>500</v>
      </c>
      <c r="N55" s="42">
        <v>764</v>
      </c>
      <c r="O55" s="43">
        <v>4088</v>
      </c>
      <c r="P55" s="44">
        <v>1000</v>
      </c>
      <c r="Q55" s="44">
        <v>1528</v>
      </c>
      <c r="R55" s="45">
        <v>570.04999999999995</v>
      </c>
      <c r="S55" s="46"/>
      <c r="T55" s="39">
        <f t="shared" si="18"/>
        <v>10</v>
      </c>
      <c r="U55" s="47">
        <f t="shared" si="19"/>
        <v>6.0117860123592499E-2</v>
      </c>
      <c r="V55" s="48">
        <f t="shared" si="20"/>
        <v>264</v>
      </c>
      <c r="W55" s="49">
        <f t="shared" si="21"/>
        <v>6.0117860123592498E-3</v>
      </c>
      <c r="X55" s="44">
        <f t="shared" si="22"/>
        <v>692.13265523485154</v>
      </c>
      <c r="Y55" s="44">
        <f t="shared" si="23"/>
        <v>528</v>
      </c>
      <c r="Z55" s="44">
        <f t="shared" si="24"/>
        <v>1734.3730912928677</v>
      </c>
      <c r="AA55" s="50">
        <f t="shared" si="25"/>
        <v>2220.1326552348514</v>
      </c>
      <c r="AB55" s="51">
        <f t="shared" si="26"/>
        <v>1621.3640191575839</v>
      </c>
      <c r="AC55" s="44">
        <f t="shared" si="27"/>
        <v>2075.4722400998889</v>
      </c>
      <c r="AD55" s="44">
        <f t="shared" si="28"/>
        <v>8018.701629177468</v>
      </c>
      <c r="AE55" s="44">
        <f t="shared" si="29"/>
        <v>0</v>
      </c>
      <c r="AF55" s="52">
        <f>HLOOKUP(I55,ElecAvoidedCostsWOCC!$A$5:$Q$50,G55+1,FALSE)</f>
        <v>0.68726615252653023</v>
      </c>
      <c r="AG55" s="44">
        <f t="shared" si="30"/>
        <v>2809.5440315284554</v>
      </c>
      <c r="AH55" s="52">
        <f>HLOOKUP(I55,ElecAvoidedCostsWOCC!$A$5:$Q$50,T55+1,FALSE)</f>
        <v>0.68726615252653023</v>
      </c>
      <c r="AI55" s="44">
        <f t="shared" si="31"/>
        <v>0</v>
      </c>
      <c r="AJ55" s="44">
        <f t="shared" si="32"/>
        <v>2809.5440315284554</v>
      </c>
      <c r="AK55" s="44">
        <f>HLOOKUP(I55,ElecAvoidedCostsWOCC!$A$5:$Q$50,G55+1,FALSE)*J55*L55</f>
        <v>0</v>
      </c>
      <c r="AL55" s="44">
        <f t="shared" si="33"/>
        <v>2809.5440315284554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2809.5440315284554</v>
      </c>
      <c r="AN55" s="48">
        <f t="shared" si="34"/>
        <v>11109.200063858769</v>
      </c>
      <c r="AO55" s="47">
        <f t="shared" si="35"/>
        <v>1.7328274208207834</v>
      </c>
      <c r="AP55" s="47">
        <f t="shared" si="36"/>
        <v>5.3526131784466084</v>
      </c>
      <c r="AQ55">
        <v>2020</v>
      </c>
    </row>
    <row r="56" spans="2:43">
      <c r="B56" s="97" t="s">
        <v>70</v>
      </c>
      <c r="C56" s="61">
        <v>18230716</v>
      </c>
      <c r="D56" s="61" t="s">
        <v>131</v>
      </c>
      <c r="E56" s="38" t="s">
        <v>2147</v>
      </c>
      <c r="F56" s="39" t="s">
        <v>2148</v>
      </c>
      <c r="G56" s="39">
        <v>10</v>
      </c>
      <c r="H56" s="39"/>
      <c r="I56" s="40" t="s">
        <v>260</v>
      </c>
      <c r="J56" s="41">
        <v>2</v>
      </c>
      <c r="K56" s="41">
        <v>1517</v>
      </c>
      <c r="L56" s="41"/>
      <c r="M56" s="42">
        <v>200</v>
      </c>
      <c r="N56" s="42">
        <v>286</v>
      </c>
      <c r="O56" s="43">
        <v>3034</v>
      </c>
      <c r="P56" s="44">
        <v>400</v>
      </c>
      <c r="Q56" s="44">
        <v>572</v>
      </c>
      <c r="R56" s="45">
        <v>245.92</v>
      </c>
      <c r="S56" s="46"/>
      <c r="T56" s="39">
        <f t="shared" si="18"/>
        <v>10</v>
      </c>
      <c r="U56" s="47">
        <f t="shared" si="19"/>
        <v>4.4617805189574276E-2</v>
      </c>
      <c r="V56" s="48">
        <f t="shared" si="20"/>
        <v>86</v>
      </c>
      <c r="W56" s="49">
        <f t="shared" si="21"/>
        <v>4.4617805189574276E-3</v>
      </c>
      <c r="X56" s="44">
        <f t="shared" si="22"/>
        <v>513.68162328340009</v>
      </c>
      <c r="Y56" s="44">
        <f t="shared" si="23"/>
        <v>172</v>
      </c>
      <c r="Z56" s="44">
        <f t="shared" si="24"/>
        <v>1287.203512471272</v>
      </c>
      <c r="AA56" s="50">
        <f t="shared" si="25"/>
        <v>1085.6816232834001</v>
      </c>
      <c r="AB56" s="51">
        <f t="shared" si="26"/>
        <v>1203.3313195019837</v>
      </c>
      <c r="AC56" s="44">
        <f t="shared" si="27"/>
        <v>1014.9402853916051</v>
      </c>
      <c r="AD56" s="44">
        <f t="shared" si="28"/>
        <v>3459.2739314925411</v>
      </c>
      <c r="AE56" s="44">
        <f t="shared" si="29"/>
        <v>0</v>
      </c>
      <c r="AF56" s="52">
        <f>HLOOKUP(I56,ElecAvoidedCostsWOCC!$A$5:$Q$50,G56+1,FALSE)</f>
        <v>0.68726615252653023</v>
      </c>
      <c r="AG56" s="44">
        <f t="shared" si="30"/>
        <v>2085.1655067654929</v>
      </c>
      <c r="AH56" s="52">
        <f>HLOOKUP(I56,ElecAvoidedCostsWOCC!$A$5:$Q$50,T56+1,FALSE)</f>
        <v>0.68726615252653023</v>
      </c>
      <c r="AI56" s="44">
        <f t="shared" si="31"/>
        <v>0</v>
      </c>
      <c r="AJ56" s="44">
        <f t="shared" si="32"/>
        <v>2085.1655067654929</v>
      </c>
      <c r="AK56" s="44">
        <f>HLOOKUP(I56,ElecAvoidedCostsWOCC!$A$5:$Q$50,G56+1,FALSE)*J56*L56</f>
        <v>0</v>
      </c>
      <c r="AL56" s="44">
        <f t="shared" si="33"/>
        <v>2085.1655067654929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2085.1655067654929</v>
      </c>
      <c r="AN56" s="48">
        <f t="shared" si="34"/>
        <v>5752.9559889345837</v>
      </c>
      <c r="AO56" s="47">
        <f t="shared" si="35"/>
        <v>1.7328274208207837</v>
      </c>
      <c r="AP56" s="47">
        <f t="shared" si="36"/>
        <v>5.66827041131278</v>
      </c>
      <c r="AQ56">
        <v>2020</v>
      </c>
    </row>
    <row r="57" spans="2:43">
      <c r="B57" s="97" t="s">
        <v>70</v>
      </c>
      <c r="C57" s="61">
        <v>18230716</v>
      </c>
      <c r="D57" s="61" t="s">
        <v>131</v>
      </c>
      <c r="E57" s="38" t="s">
        <v>2149</v>
      </c>
      <c r="F57" s="39" t="s">
        <v>2150</v>
      </c>
      <c r="G57" s="39">
        <v>10</v>
      </c>
      <c r="H57" s="39"/>
      <c r="I57" s="40" t="s">
        <v>260</v>
      </c>
      <c r="J57" s="41">
        <v>1</v>
      </c>
      <c r="K57" s="41">
        <v>481</v>
      </c>
      <c r="L57" s="41"/>
      <c r="M57" s="42">
        <v>200</v>
      </c>
      <c r="N57" s="42">
        <v>274</v>
      </c>
      <c r="O57" s="43">
        <v>481</v>
      </c>
      <c r="P57" s="44">
        <v>200</v>
      </c>
      <c r="Q57" s="44">
        <v>274</v>
      </c>
      <c r="R57" s="45">
        <v>0</v>
      </c>
      <c r="S57" s="46"/>
      <c r="T57" s="39">
        <f t="shared" si="18"/>
        <v>10</v>
      </c>
      <c r="U57" s="47">
        <f t="shared" si="19"/>
        <v>7.0735544812739705E-3</v>
      </c>
      <c r="V57" s="48">
        <f t="shared" si="20"/>
        <v>74</v>
      </c>
      <c r="W57" s="49">
        <f t="shared" si="21"/>
        <v>7.0735544812739707E-4</v>
      </c>
      <c r="X57" s="44">
        <f t="shared" si="22"/>
        <v>81.437330520539035</v>
      </c>
      <c r="Y57" s="44">
        <f t="shared" si="23"/>
        <v>74</v>
      </c>
      <c r="Z57" s="44">
        <f t="shared" si="24"/>
        <v>204.06884953812852</v>
      </c>
      <c r="AA57" s="50">
        <f t="shared" si="25"/>
        <v>355.43733052053904</v>
      </c>
      <c r="AB57" s="51">
        <f t="shared" si="26"/>
        <v>190.77203845763157</v>
      </c>
      <c r="AC57" s="44">
        <f t="shared" si="27"/>
        <v>332.27758298638776</v>
      </c>
      <c r="AD57" s="44">
        <f t="shared" si="28"/>
        <v>0</v>
      </c>
      <c r="AE57" s="44">
        <f t="shared" si="29"/>
        <v>0</v>
      </c>
      <c r="AF57" s="52">
        <f>HLOOKUP(I57,ElecAvoidedCostsWOCC!$A$5:$Q$50,G57+1,FALSE)</f>
        <v>0.68726615252653023</v>
      </c>
      <c r="AG57" s="44">
        <f t="shared" si="30"/>
        <v>330.57501936526103</v>
      </c>
      <c r="AH57" s="52">
        <f>HLOOKUP(I57,ElecAvoidedCostsWOCC!$A$5:$Q$50,T57+1,FALSE)</f>
        <v>0.68726615252653023</v>
      </c>
      <c r="AI57" s="44">
        <f t="shared" si="31"/>
        <v>0</v>
      </c>
      <c r="AJ57" s="44">
        <f t="shared" si="32"/>
        <v>330.57501936526103</v>
      </c>
      <c r="AK57" s="44">
        <f>HLOOKUP(I57,ElecAvoidedCostsWOCC!$A$5:$Q$50,G57+1,FALSE)*J57*L57</f>
        <v>0</v>
      </c>
      <c r="AL57" s="44">
        <f t="shared" si="33"/>
        <v>330.57501936526103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330.57501936526103</v>
      </c>
      <c r="AN57" s="48">
        <f t="shared" si="34"/>
        <v>363.63252130178716</v>
      </c>
      <c r="AO57" s="47">
        <f t="shared" si="35"/>
        <v>1.7328274208207834</v>
      </c>
      <c r="AP57" s="47">
        <f t="shared" si="36"/>
        <v>1.0943636884366164</v>
      </c>
      <c r="AQ57">
        <v>2020</v>
      </c>
    </row>
    <row r="58" spans="2:43">
      <c r="B58" s="97" t="s">
        <v>70</v>
      </c>
      <c r="C58" s="61">
        <v>18230716</v>
      </c>
      <c r="D58" s="61" t="s">
        <v>131</v>
      </c>
      <c r="E58" s="38" t="s">
        <v>1139</v>
      </c>
      <c r="F58" s="39" t="s">
        <v>1140</v>
      </c>
      <c r="G58" s="39">
        <v>15</v>
      </c>
      <c r="H58" s="39"/>
      <c r="I58" s="40" t="s">
        <v>255</v>
      </c>
      <c r="J58" s="41">
        <v>2</v>
      </c>
      <c r="K58" s="41">
        <v>10200</v>
      </c>
      <c r="L58" s="41"/>
      <c r="M58" s="42">
        <v>750</v>
      </c>
      <c r="N58" s="42">
        <v>2659</v>
      </c>
      <c r="O58" s="43">
        <v>20400</v>
      </c>
      <c r="P58" s="44">
        <v>1500</v>
      </c>
      <c r="Q58" s="44">
        <v>5318</v>
      </c>
      <c r="R58" s="45">
        <v>4172.99</v>
      </c>
      <c r="S58" s="46"/>
      <c r="T58" s="39">
        <f t="shared" si="18"/>
        <v>15</v>
      </c>
      <c r="U58" s="47">
        <f t="shared" si="19"/>
        <v>0.45000159485859353</v>
      </c>
      <c r="V58" s="48">
        <f t="shared" si="20"/>
        <v>1909</v>
      </c>
      <c r="W58" s="49">
        <f t="shared" si="21"/>
        <v>3.0000106323906237E-2</v>
      </c>
      <c r="X58" s="44">
        <f t="shared" si="22"/>
        <v>3453.8909409958346</v>
      </c>
      <c r="Y58" s="44">
        <f t="shared" si="23"/>
        <v>3818</v>
      </c>
      <c r="Z58" s="44">
        <f t="shared" si="24"/>
        <v>8654.8950739663651</v>
      </c>
      <c r="AA58" s="50">
        <f t="shared" si="25"/>
        <v>8771.8909409958342</v>
      </c>
      <c r="AB58" s="51">
        <f t="shared" si="26"/>
        <v>8090.9554772051642</v>
      </c>
      <c r="AC58" s="44">
        <f t="shared" si="27"/>
        <v>8200.3280742225234</v>
      </c>
      <c r="AD58" s="44">
        <f t="shared" si="28"/>
        <v>76158.713972089681</v>
      </c>
      <c r="AE58" s="44">
        <f t="shared" si="29"/>
        <v>0</v>
      </c>
      <c r="AF58" s="52">
        <f>HLOOKUP(I58,ElecAvoidedCostsWOCC!$A$5:$Q$50,G58+1,FALSE)</f>
        <v>1.0178775471043147</v>
      </c>
      <c r="AG58" s="44">
        <f t="shared" si="30"/>
        <v>20764.701960928018</v>
      </c>
      <c r="AH58" s="52">
        <f>HLOOKUP(I58,ElecAvoidedCostsWOCC!$A$5:$Q$50,T58+1,FALSE)</f>
        <v>1.0178775471043147</v>
      </c>
      <c r="AI58" s="44">
        <f t="shared" si="31"/>
        <v>0</v>
      </c>
      <c r="AJ58" s="44">
        <f t="shared" si="32"/>
        <v>20764.701960928018</v>
      </c>
      <c r="AK58" s="44">
        <f>HLOOKUP(I58,ElecAvoidedCostsWOCC!$A$5:$Q$50,G58+1,FALSE)*J58*L58</f>
        <v>0</v>
      </c>
      <c r="AL58" s="44">
        <f t="shared" si="33"/>
        <v>20764.701960928018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20764.701960928018</v>
      </c>
      <c r="AN58" s="48">
        <f t="shared" si="34"/>
        <v>98999.886129110499</v>
      </c>
      <c r="AO58" s="47">
        <f t="shared" si="35"/>
        <v>2.5664091242905602</v>
      </c>
      <c r="AP58" s="47">
        <f t="shared" si="36"/>
        <v>12.072673828784188</v>
      </c>
      <c r="AQ58">
        <v>2020</v>
      </c>
    </row>
    <row r="59" spans="2:43">
      <c r="B59" s="97" t="s">
        <v>70</v>
      </c>
      <c r="C59" s="61">
        <v>18230716</v>
      </c>
      <c r="D59" s="61" t="s">
        <v>131</v>
      </c>
      <c r="E59" s="38" t="s">
        <v>2153</v>
      </c>
      <c r="F59" s="39" t="s">
        <v>2154</v>
      </c>
      <c r="G59" s="39">
        <v>15</v>
      </c>
      <c r="H59" s="39"/>
      <c r="I59" s="40" t="s">
        <v>255</v>
      </c>
      <c r="J59" s="41">
        <v>1</v>
      </c>
      <c r="K59" s="41">
        <v>3966</v>
      </c>
      <c r="L59" s="41"/>
      <c r="M59" s="42">
        <v>500</v>
      </c>
      <c r="N59" s="42">
        <v>1533</v>
      </c>
      <c r="O59" s="43">
        <v>3966</v>
      </c>
      <c r="P59" s="44">
        <v>500</v>
      </c>
      <c r="Q59" s="44">
        <v>1533</v>
      </c>
      <c r="R59" s="45">
        <v>4172.99</v>
      </c>
      <c r="S59" s="46">
        <v>0</v>
      </c>
      <c r="T59" s="39">
        <f t="shared" si="18"/>
        <v>15</v>
      </c>
      <c r="U59" s="47">
        <f t="shared" si="19"/>
        <v>8.7485604176920695E-2</v>
      </c>
      <c r="V59" s="48">
        <f t="shared" si="20"/>
        <v>1033</v>
      </c>
      <c r="W59" s="49">
        <f t="shared" si="21"/>
        <v>5.8323736117947131E-3</v>
      </c>
      <c r="X59" s="44">
        <f t="shared" si="22"/>
        <v>671.47703294066082</v>
      </c>
      <c r="Y59" s="44">
        <f t="shared" si="23"/>
        <v>1033</v>
      </c>
      <c r="Z59" s="44">
        <f t="shared" si="24"/>
        <v>1682.6134246740494</v>
      </c>
      <c r="AA59" s="50">
        <f t="shared" si="25"/>
        <v>2204.477032940661</v>
      </c>
      <c r="AB59" s="51">
        <f t="shared" si="26"/>
        <v>1572.9769324801807</v>
      </c>
      <c r="AC59" s="44">
        <f t="shared" si="27"/>
        <v>2060.8367139764987</v>
      </c>
      <c r="AD59" s="44">
        <f t="shared" si="28"/>
        <v>38079.356986044841</v>
      </c>
      <c r="AE59" s="44">
        <f t="shared" si="29"/>
        <v>0</v>
      </c>
      <c r="AF59" s="52">
        <f>HLOOKUP(I59,ElecAvoidedCostsWOCC!$A$5:$Q$50,G59+1,FALSE)</f>
        <v>1.0178775471043147</v>
      </c>
      <c r="AG59" s="44">
        <f t="shared" si="30"/>
        <v>4036.9023518157119</v>
      </c>
      <c r="AH59" s="52">
        <f>HLOOKUP(I59,ElecAvoidedCostsWOCC!$A$5:$Q$50,T59+1,FALSE)</f>
        <v>1.0178775471043147</v>
      </c>
      <c r="AI59" s="44">
        <f t="shared" si="31"/>
        <v>0</v>
      </c>
      <c r="AJ59" s="44">
        <f t="shared" si="32"/>
        <v>4036.9023518157119</v>
      </c>
      <c r="AK59" s="44">
        <f>HLOOKUP(I59,ElecAvoidedCostsWOCC!$A$5:$Q$50,G59+1,FALSE)*J59*L59</f>
        <v>0</v>
      </c>
      <c r="AL59" s="44">
        <f t="shared" si="33"/>
        <v>4036.9023518157119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4036.9023518157119</v>
      </c>
      <c r="AN59" s="48">
        <f t="shared" si="34"/>
        <v>42519.949573042126</v>
      </c>
      <c r="AO59" s="47">
        <f t="shared" si="35"/>
        <v>2.5664091242905598</v>
      </c>
      <c r="AP59" s="47">
        <f t="shared" si="36"/>
        <v>20.632371931591575</v>
      </c>
      <c r="AQ59">
        <v>2020</v>
      </c>
    </row>
    <row r="60" spans="2:43">
      <c r="B60" s="97" t="s">
        <v>70</v>
      </c>
      <c r="C60" s="61">
        <v>18230716</v>
      </c>
      <c r="D60" s="61" t="s">
        <v>131</v>
      </c>
      <c r="E60" s="38" t="s">
        <v>1141</v>
      </c>
      <c r="F60" s="39" t="s">
        <v>1142</v>
      </c>
      <c r="G60" s="39">
        <v>15</v>
      </c>
      <c r="H60" s="39"/>
      <c r="I60" s="40" t="s">
        <v>255</v>
      </c>
      <c r="J60" s="41">
        <v>1</v>
      </c>
      <c r="K60" s="41">
        <v>14338</v>
      </c>
      <c r="L60" s="41"/>
      <c r="M60" s="42">
        <v>750</v>
      </c>
      <c r="N60" s="42">
        <v>2659</v>
      </c>
      <c r="O60" s="43">
        <v>14338</v>
      </c>
      <c r="P60" s="44">
        <v>750</v>
      </c>
      <c r="Q60" s="44">
        <v>2659</v>
      </c>
      <c r="R60" s="45">
        <v>9597.84</v>
      </c>
      <c r="S60" s="46"/>
      <c r="T60" s="39">
        <f t="shared" si="18"/>
        <v>15</v>
      </c>
      <c r="U60" s="47">
        <f t="shared" si="19"/>
        <v>0.31628053270012324</v>
      </c>
      <c r="V60" s="48">
        <f t="shared" si="20"/>
        <v>1909</v>
      </c>
      <c r="W60" s="49">
        <f t="shared" si="21"/>
        <v>2.1085368846674883E-2</v>
      </c>
      <c r="X60" s="44">
        <f t="shared" si="22"/>
        <v>2427.5435447057976</v>
      </c>
      <c r="Y60" s="44">
        <f t="shared" si="23"/>
        <v>1909</v>
      </c>
      <c r="Z60" s="44">
        <f t="shared" si="24"/>
        <v>6083.033606398516</v>
      </c>
      <c r="AA60" s="50">
        <f t="shared" si="25"/>
        <v>5086.5435447057971</v>
      </c>
      <c r="AB60" s="51">
        <f t="shared" si="26"/>
        <v>5686.6725309886097</v>
      </c>
      <c r="AC60" s="44">
        <f t="shared" si="27"/>
        <v>4755.1122227781589</v>
      </c>
      <c r="AD60" s="44">
        <f t="shared" si="28"/>
        <v>87582.183435603903</v>
      </c>
      <c r="AE60" s="44">
        <f t="shared" si="29"/>
        <v>0</v>
      </c>
      <c r="AF60" s="52">
        <f>HLOOKUP(I60,ElecAvoidedCostsWOCC!$A$5:$Q$50,G60+1,FALSE)</f>
        <v>1.0178775471043147</v>
      </c>
      <c r="AG60" s="44">
        <f t="shared" si="30"/>
        <v>14594.328270381664</v>
      </c>
      <c r="AH60" s="52">
        <f>HLOOKUP(I60,ElecAvoidedCostsWOCC!$A$5:$Q$50,T60+1,FALSE)</f>
        <v>1.0178775471043147</v>
      </c>
      <c r="AI60" s="44">
        <f t="shared" si="31"/>
        <v>0</v>
      </c>
      <c r="AJ60" s="44">
        <f t="shared" si="32"/>
        <v>14594.328270381664</v>
      </c>
      <c r="AK60" s="44">
        <f>HLOOKUP(I60,ElecAvoidedCostsWOCC!$A$5:$Q$50,G60+1,FALSE)*J60*L60</f>
        <v>0</v>
      </c>
      <c r="AL60" s="44">
        <f t="shared" si="33"/>
        <v>14594.328270381664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14594.328270381664</v>
      </c>
      <c r="AN60" s="48">
        <f t="shared" si="34"/>
        <v>103635.94453302374</v>
      </c>
      <c r="AO60" s="47">
        <f t="shared" si="35"/>
        <v>2.5664091242905607</v>
      </c>
      <c r="AP60" s="47">
        <f t="shared" si="36"/>
        <v>21.79463694601823</v>
      </c>
      <c r="AQ60">
        <v>2020</v>
      </c>
    </row>
    <row r="61" spans="2:43">
      <c r="B61" s="97" t="s">
        <v>70</v>
      </c>
      <c r="C61" s="61">
        <v>18230716</v>
      </c>
      <c r="D61" s="61" t="s">
        <v>131</v>
      </c>
      <c r="E61" s="38" t="s">
        <v>2155</v>
      </c>
      <c r="F61" s="39" t="s">
        <v>2156</v>
      </c>
      <c r="G61" s="39">
        <v>20</v>
      </c>
      <c r="H61" s="39"/>
      <c r="I61" s="40" t="s">
        <v>255</v>
      </c>
      <c r="J61" s="41">
        <v>1</v>
      </c>
      <c r="K61" s="41">
        <v>11901</v>
      </c>
      <c r="L61" s="41"/>
      <c r="M61" s="42">
        <v>1000</v>
      </c>
      <c r="N61" s="42">
        <v>5882</v>
      </c>
      <c r="O61" s="43">
        <v>11901</v>
      </c>
      <c r="P61" s="44">
        <v>1000</v>
      </c>
      <c r="Q61" s="44">
        <v>5882</v>
      </c>
      <c r="R61" s="45">
        <v>5558.01</v>
      </c>
      <c r="S61" s="46"/>
      <c r="T61" s="39">
        <f t="shared" ref="T61:T83" si="37">G61+H61</f>
        <v>20</v>
      </c>
      <c r="U61" s="47">
        <f t="shared" ref="U61:U83" si="38">(O61/$A$10)*T61</f>
        <v>0.3500306523145178</v>
      </c>
      <c r="V61" s="48">
        <f t="shared" ref="V61:V83" si="39">N61-M61</f>
        <v>4882</v>
      </c>
      <c r="W61" s="49">
        <f t="shared" ref="W61:W83" si="40">(O61/A$10)</f>
        <v>1.7501532615725891E-2</v>
      </c>
      <c r="X61" s="44">
        <f t="shared" ref="X61:X83" si="41">W61*A$8</f>
        <v>2014.9390239603642</v>
      </c>
      <c r="Y61" s="44">
        <f t="shared" ref="Y61:Y83" si="42">Q61-P61</f>
        <v>4882</v>
      </c>
      <c r="Z61" s="44">
        <f t="shared" ref="Z61:Z83" si="43">X61+(A$6*W61)</f>
        <v>5049.1130527094956</v>
      </c>
      <c r="AA61" s="50">
        <f t="shared" ref="AA61:AA83" si="44">Q61+X61</f>
        <v>7896.9390239603645</v>
      </c>
      <c r="AB61" s="51">
        <f t="shared" ref="AB61:AB83" si="45">Z61/(1+ElecDiscountRate)^1</f>
        <v>4720.1206438342479</v>
      </c>
      <c r="AC61" s="44">
        <f t="shared" ref="AC61:AC83" si="46">AA61/(1+ElecDiscountRate)^1</f>
        <v>7382.3866728618905</v>
      </c>
      <c r="AD61" s="44">
        <f t="shared" ref="AD61:AD83" si="47">-PV(ElecDiscountRate,T61,R61)*J61</f>
        <v>59019.180001163935</v>
      </c>
      <c r="AE61" s="44">
        <f t="shared" ref="AE61:AE83" si="48">-PV(ElecDiscountRate,T61,S61)*J61</f>
        <v>0</v>
      </c>
      <c r="AF61" s="52">
        <f>HLOOKUP(I61,ElecAvoidedCostsWOCC!$A$5:$Q$50,G61+1,FALSE)</f>
        <v>1.2734662051561068</v>
      </c>
      <c r="AG61" s="44">
        <f t="shared" ref="AG61:AG83" si="49">AF61*J61*K61</f>
        <v>15155.521307562827</v>
      </c>
      <c r="AH61" s="52">
        <f>HLOOKUP(I61,ElecAvoidedCostsWOCC!$A$5:$Q$50,T61+1,FALSE)</f>
        <v>1.2734662051561068</v>
      </c>
      <c r="AI61" s="44">
        <f t="shared" ref="AI61:AI83" si="50">AH61*J61*L61</f>
        <v>0</v>
      </c>
      <c r="AJ61" s="44">
        <f t="shared" ref="AJ61:AJ83" si="51">AG61+AI61</f>
        <v>15155.521307562827</v>
      </c>
      <c r="AK61" s="44">
        <f>HLOOKUP(I61,ElecAvoidedCostsWOCC!$A$5:$Q$50,G61+1,FALSE)*J61*L61</f>
        <v>0</v>
      </c>
      <c r="AL61" s="44">
        <f t="shared" ref="AL61:AL83" si="52">AG61+AI61-AK61</f>
        <v>15155.521307562827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15155.521307562827</v>
      </c>
      <c r="AN61" s="48">
        <f t="shared" ref="AN61:AN83" si="53">AM61*1.1+AD61+AE61</f>
        <v>75690.253439483044</v>
      </c>
      <c r="AO61" s="47">
        <f t="shared" ref="AO61:AO83" si="54">IFERROR(AM61/AB61,0)</f>
        <v>3.2108334619285697</v>
      </c>
      <c r="AP61" s="47">
        <f t="shared" ref="AP61:AP83" si="55">AN61/AC61</f>
        <v>10.252816168208188</v>
      </c>
      <c r="AQ61">
        <v>2020</v>
      </c>
    </row>
    <row r="62" spans="2:43">
      <c r="B62" s="97" t="s">
        <v>70</v>
      </c>
      <c r="C62" s="61">
        <v>18230716</v>
      </c>
      <c r="D62" s="61" t="s">
        <v>131</v>
      </c>
      <c r="E62" s="38" t="s">
        <v>2159</v>
      </c>
      <c r="F62" s="39" t="s">
        <v>2160</v>
      </c>
      <c r="G62" s="39">
        <v>10</v>
      </c>
      <c r="H62" s="39"/>
      <c r="I62" s="40" t="s">
        <v>255</v>
      </c>
      <c r="J62" s="41">
        <v>2</v>
      </c>
      <c r="K62" s="41">
        <v>2309</v>
      </c>
      <c r="L62" s="41"/>
      <c r="M62" s="42">
        <v>150</v>
      </c>
      <c r="N62" s="42">
        <v>232</v>
      </c>
      <c r="O62" s="43">
        <v>4618</v>
      </c>
      <c r="P62" s="44">
        <v>300</v>
      </c>
      <c r="Q62" s="44">
        <v>464</v>
      </c>
      <c r="R62" s="45">
        <v>479.68</v>
      </c>
      <c r="S62" s="46"/>
      <c r="T62" s="39">
        <f t="shared" si="37"/>
        <v>10</v>
      </c>
      <c r="U62" s="47">
        <f t="shared" si="38"/>
        <v>6.791200539401912E-2</v>
      </c>
      <c r="V62" s="48">
        <f t="shared" si="39"/>
        <v>82</v>
      </c>
      <c r="W62" s="49">
        <f t="shared" si="40"/>
        <v>6.7912005394019119E-3</v>
      </c>
      <c r="X62" s="44">
        <f t="shared" si="41"/>
        <v>781.86609634895899</v>
      </c>
      <c r="Y62" s="44">
        <f t="shared" si="42"/>
        <v>164</v>
      </c>
      <c r="Z62" s="44">
        <f t="shared" si="43"/>
        <v>1959.2306593910134</v>
      </c>
      <c r="AA62" s="50">
        <f t="shared" si="44"/>
        <v>1245.866096348959</v>
      </c>
      <c r="AB62" s="51">
        <f t="shared" si="45"/>
        <v>1831.5702153790905</v>
      </c>
      <c r="AC62" s="44">
        <f t="shared" si="46"/>
        <v>1164.6873855744218</v>
      </c>
      <c r="AD62" s="44">
        <f t="shared" si="47"/>
        <v>6747.497232670552</v>
      </c>
      <c r="AE62" s="44">
        <f t="shared" si="48"/>
        <v>0</v>
      </c>
      <c r="AF62" s="52">
        <f>HLOOKUP(I62,ElecAvoidedCostsWOCC!$A$5:$Q$50,G62+1,FALSE)</f>
        <v>0.70152531155702258</v>
      </c>
      <c r="AG62" s="44">
        <f t="shared" si="49"/>
        <v>3239.6438887703302</v>
      </c>
      <c r="AH62" s="52">
        <f>HLOOKUP(I62,ElecAvoidedCostsWOCC!$A$5:$Q$50,T62+1,FALSE)</f>
        <v>0.70152531155702258</v>
      </c>
      <c r="AI62" s="44">
        <f t="shared" si="50"/>
        <v>0</v>
      </c>
      <c r="AJ62" s="44">
        <f t="shared" si="51"/>
        <v>3239.6438887703302</v>
      </c>
      <c r="AK62" s="44">
        <f>HLOOKUP(I62,ElecAvoidedCostsWOCC!$A$5:$Q$50,G62+1,FALSE)*J62*L62</f>
        <v>0</v>
      </c>
      <c r="AL62" s="44">
        <f t="shared" si="52"/>
        <v>3239.6438887703302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3239.6438887703302</v>
      </c>
      <c r="AN62" s="48">
        <f t="shared" si="53"/>
        <v>10311.105510317915</v>
      </c>
      <c r="AO62" s="47">
        <f t="shared" si="54"/>
        <v>1.7687795212916817</v>
      </c>
      <c r="AP62" s="47">
        <f t="shared" si="55"/>
        <v>8.8531099744267401</v>
      </c>
      <c r="AQ62">
        <v>2020</v>
      </c>
    </row>
    <row r="63" spans="2:43">
      <c r="B63" s="97" t="s">
        <v>70</v>
      </c>
      <c r="C63" s="61">
        <v>18230716</v>
      </c>
      <c r="D63" s="61" t="s">
        <v>131</v>
      </c>
      <c r="E63" s="38" t="s">
        <v>2161</v>
      </c>
      <c r="F63" s="39" t="s">
        <v>2162</v>
      </c>
      <c r="G63" s="39">
        <v>10</v>
      </c>
      <c r="H63" s="39"/>
      <c r="I63" s="40" t="s">
        <v>255</v>
      </c>
      <c r="J63" s="41">
        <v>6</v>
      </c>
      <c r="K63" s="41">
        <v>1349</v>
      </c>
      <c r="L63" s="41"/>
      <c r="M63" s="42">
        <v>150</v>
      </c>
      <c r="N63" s="42">
        <v>175</v>
      </c>
      <c r="O63" s="43">
        <v>8094</v>
      </c>
      <c r="P63" s="44">
        <v>900</v>
      </c>
      <c r="Q63" s="44">
        <v>1050</v>
      </c>
      <c r="R63" s="45">
        <v>398.25</v>
      </c>
      <c r="S63" s="46">
        <v>0</v>
      </c>
      <c r="T63" s="39">
        <f t="shared" si="37"/>
        <v>10</v>
      </c>
      <c r="U63" s="47">
        <f t="shared" si="38"/>
        <v>0.11902983362043976</v>
      </c>
      <c r="V63" s="48">
        <f t="shared" si="39"/>
        <v>25</v>
      </c>
      <c r="W63" s="49">
        <f t="shared" si="40"/>
        <v>1.1902983362043975E-2</v>
      </c>
      <c r="X63" s="44">
        <f t="shared" si="41"/>
        <v>1370.3820233539357</v>
      </c>
      <c r="Y63" s="44">
        <f t="shared" si="42"/>
        <v>150</v>
      </c>
      <c r="Z63" s="44">
        <f t="shared" si="43"/>
        <v>3433.9568984648904</v>
      </c>
      <c r="AA63" s="50">
        <f t="shared" si="44"/>
        <v>2420.3820233539354</v>
      </c>
      <c r="AB63" s="51">
        <f t="shared" si="45"/>
        <v>3210.2055702205198</v>
      </c>
      <c r="AC63" s="44">
        <f t="shared" si="46"/>
        <v>2262.6736686490935</v>
      </c>
      <c r="AD63" s="44">
        <f t="shared" si="47"/>
        <v>16806.146428312921</v>
      </c>
      <c r="AE63" s="44">
        <f t="shared" si="48"/>
        <v>0</v>
      </c>
      <c r="AF63" s="52">
        <f>HLOOKUP(I63,ElecAvoidedCostsWOCC!$A$5:$Q$50,G63+1,FALSE)</f>
        <v>0.70152531155702258</v>
      </c>
      <c r="AG63" s="44">
        <f t="shared" si="49"/>
        <v>5678.1458717425412</v>
      </c>
      <c r="AH63" s="52">
        <f>HLOOKUP(I63,ElecAvoidedCostsWOCC!$A$5:$Q$50,T63+1,FALSE)</f>
        <v>0.70152531155702258</v>
      </c>
      <c r="AI63" s="44">
        <f t="shared" si="50"/>
        <v>0</v>
      </c>
      <c r="AJ63" s="44">
        <f t="shared" si="51"/>
        <v>5678.1458717425412</v>
      </c>
      <c r="AK63" s="44">
        <f>HLOOKUP(I63,ElecAvoidedCostsWOCC!$A$5:$Q$50,G63+1,FALSE)*J63*L63</f>
        <v>0</v>
      </c>
      <c r="AL63" s="44">
        <f t="shared" si="52"/>
        <v>5678.1458717425412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5678.1458717425403</v>
      </c>
      <c r="AN63" s="48">
        <f t="shared" si="53"/>
        <v>23052.106887229715</v>
      </c>
      <c r="AO63" s="47">
        <f t="shared" si="54"/>
        <v>1.7687795212916815</v>
      </c>
      <c r="AP63" s="47">
        <f t="shared" si="55"/>
        <v>10.187994498116355</v>
      </c>
      <c r="AQ63">
        <v>2020</v>
      </c>
    </row>
    <row r="64" spans="2:43">
      <c r="B64" s="97" t="s">
        <v>70</v>
      </c>
      <c r="C64" s="61">
        <v>18230716</v>
      </c>
      <c r="D64" s="61" t="s">
        <v>131</v>
      </c>
      <c r="E64" s="38" t="s">
        <v>1145</v>
      </c>
      <c r="F64" s="39" t="s">
        <v>1146</v>
      </c>
      <c r="G64" s="39">
        <v>10</v>
      </c>
      <c r="H64" s="39"/>
      <c r="I64" s="40" t="s">
        <v>255</v>
      </c>
      <c r="J64" s="41">
        <v>3</v>
      </c>
      <c r="K64" s="41">
        <v>1349</v>
      </c>
      <c r="L64" s="41"/>
      <c r="M64" s="42">
        <v>150</v>
      </c>
      <c r="N64" s="42">
        <v>175</v>
      </c>
      <c r="O64" s="43">
        <v>4047</v>
      </c>
      <c r="P64" s="44">
        <v>450</v>
      </c>
      <c r="Q64" s="44">
        <v>525</v>
      </c>
      <c r="R64" s="45">
        <v>479.68</v>
      </c>
      <c r="S64" s="46">
        <v>0</v>
      </c>
      <c r="T64" s="39">
        <f t="shared" si="37"/>
        <v>10</v>
      </c>
      <c r="U64" s="47">
        <f t="shared" si="38"/>
        <v>5.9514916810219878E-2</v>
      </c>
      <c r="V64" s="48">
        <f t="shared" si="39"/>
        <v>25</v>
      </c>
      <c r="W64" s="49">
        <f t="shared" si="40"/>
        <v>5.9514916810219877E-3</v>
      </c>
      <c r="X64" s="44">
        <f t="shared" si="41"/>
        <v>685.19101167696783</v>
      </c>
      <c r="Y64" s="44">
        <f t="shared" si="42"/>
        <v>75</v>
      </c>
      <c r="Z64" s="44">
        <f t="shared" si="43"/>
        <v>1716.9784492324452</v>
      </c>
      <c r="AA64" s="50">
        <f t="shared" si="44"/>
        <v>1210.1910116769677</v>
      </c>
      <c r="AB64" s="51">
        <f t="shared" si="45"/>
        <v>1605.1027851102599</v>
      </c>
      <c r="AC64" s="44">
        <f t="shared" si="46"/>
        <v>1131.3368343245468</v>
      </c>
      <c r="AD64" s="44">
        <f t="shared" si="47"/>
        <v>10121.245849005827</v>
      </c>
      <c r="AE64" s="44">
        <f t="shared" si="48"/>
        <v>0</v>
      </c>
      <c r="AF64" s="52">
        <f>HLOOKUP(I64,ElecAvoidedCostsWOCC!$A$5:$Q$50,G64+1,FALSE)</f>
        <v>0.70152531155702258</v>
      </c>
      <c r="AG64" s="44">
        <f t="shared" si="49"/>
        <v>2839.0729358712706</v>
      </c>
      <c r="AH64" s="52">
        <f>HLOOKUP(I64,ElecAvoidedCostsWOCC!$A$5:$Q$50,T64+1,FALSE)</f>
        <v>0.70152531155702258</v>
      </c>
      <c r="AI64" s="44">
        <f t="shared" si="50"/>
        <v>0</v>
      </c>
      <c r="AJ64" s="44">
        <f t="shared" si="51"/>
        <v>2839.0729358712706</v>
      </c>
      <c r="AK64" s="44">
        <f>HLOOKUP(I64,ElecAvoidedCostsWOCC!$A$5:$Q$50,G64+1,FALSE)*J64*L64</f>
        <v>0</v>
      </c>
      <c r="AL64" s="44">
        <f t="shared" si="52"/>
        <v>2839.0729358712706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2839.0729358712701</v>
      </c>
      <c r="AN64" s="48">
        <f t="shared" si="53"/>
        <v>13244.226078464224</v>
      </c>
      <c r="AO64" s="47">
        <f t="shared" si="54"/>
        <v>1.7687795212916815</v>
      </c>
      <c r="AP64" s="47">
        <f t="shared" si="55"/>
        <v>11.706704561043976</v>
      </c>
      <c r="AQ64">
        <v>2020</v>
      </c>
    </row>
    <row r="65" spans="2:43">
      <c r="B65" s="97" t="s">
        <v>70</v>
      </c>
      <c r="C65" s="61">
        <v>18230716</v>
      </c>
      <c r="D65" s="61" t="s">
        <v>131</v>
      </c>
      <c r="E65" s="38" t="s">
        <v>1151</v>
      </c>
      <c r="F65" s="39" t="s">
        <v>1152</v>
      </c>
      <c r="G65" s="39">
        <v>12</v>
      </c>
      <c r="H65" s="39"/>
      <c r="I65" s="40" t="s">
        <v>258</v>
      </c>
      <c r="J65" s="41">
        <v>3</v>
      </c>
      <c r="K65" s="41">
        <v>21109</v>
      </c>
      <c r="L65" s="41"/>
      <c r="M65" s="42">
        <v>2000</v>
      </c>
      <c r="N65" s="42">
        <v>2131</v>
      </c>
      <c r="O65" s="43">
        <v>63327</v>
      </c>
      <c r="P65" s="44">
        <v>6000</v>
      </c>
      <c r="Q65" s="44">
        <v>6393</v>
      </c>
      <c r="R65" s="45">
        <v>10342.09</v>
      </c>
      <c r="S65" s="46">
        <v>0</v>
      </c>
      <c r="T65" s="39">
        <f t="shared" si="37"/>
        <v>12</v>
      </c>
      <c r="U65" s="47">
        <f t="shared" si="38"/>
        <v>1.1175392548082412</v>
      </c>
      <c r="V65" s="48">
        <f t="shared" si="39"/>
        <v>131</v>
      </c>
      <c r="W65" s="49">
        <f t="shared" si="40"/>
        <v>9.3128271234020107E-2</v>
      </c>
      <c r="X65" s="44">
        <f t="shared" si="41"/>
        <v>10721.791746100156</v>
      </c>
      <c r="Y65" s="44">
        <f t="shared" si="42"/>
        <v>393</v>
      </c>
      <c r="Z65" s="44">
        <f t="shared" si="43"/>
        <v>26867.085311228821</v>
      </c>
      <c r="AA65" s="50">
        <f t="shared" si="44"/>
        <v>17114.791746100156</v>
      </c>
      <c r="AB65" s="51">
        <f t="shared" si="45"/>
        <v>25116.467524753498</v>
      </c>
      <c r="AC65" s="44">
        <f t="shared" si="46"/>
        <v>15999.618347293779</v>
      </c>
      <c r="AD65" s="44">
        <f t="shared" si="47"/>
        <v>246826.41627005429</v>
      </c>
      <c r="AE65" s="44">
        <f t="shared" si="48"/>
        <v>0</v>
      </c>
      <c r="AF65" s="52">
        <f>HLOOKUP(I65,ElecAvoidedCostsWOCC!$A$5:$Q$50,G65+1,FALSE)</f>
        <v>0.82713841420343059</v>
      </c>
      <c r="AG65" s="44">
        <f t="shared" si="49"/>
        <v>52380.194356260654</v>
      </c>
      <c r="AH65" s="52">
        <f>HLOOKUP(I65,ElecAvoidedCostsWOCC!$A$5:$Q$50,T65+1,FALSE)</f>
        <v>0.82713841420343059</v>
      </c>
      <c r="AI65" s="44">
        <f t="shared" si="50"/>
        <v>0</v>
      </c>
      <c r="AJ65" s="44">
        <f t="shared" si="51"/>
        <v>52380.194356260654</v>
      </c>
      <c r="AK65" s="44">
        <f>HLOOKUP(I65,ElecAvoidedCostsWOCC!$A$5:$Q$50,G65+1,FALSE)*J65*L65</f>
        <v>0</v>
      </c>
      <c r="AL65" s="44">
        <f t="shared" si="52"/>
        <v>52380.194356260654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52380.194356260654</v>
      </c>
      <c r="AN65" s="48">
        <f t="shared" si="53"/>
        <v>304444.63006194099</v>
      </c>
      <c r="AO65" s="47">
        <f t="shared" si="54"/>
        <v>2.0854920901849527</v>
      </c>
      <c r="AP65" s="47">
        <f t="shared" si="55"/>
        <v>19.02824326515486</v>
      </c>
      <c r="AQ65">
        <v>2020</v>
      </c>
    </row>
    <row r="66" spans="2:43">
      <c r="B66" s="97" t="s">
        <v>70</v>
      </c>
      <c r="C66" s="61">
        <v>18230716</v>
      </c>
      <c r="D66" s="61" t="s">
        <v>131</v>
      </c>
      <c r="E66" s="38" t="s">
        <v>2165</v>
      </c>
      <c r="F66" s="39" t="s">
        <v>2166</v>
      </c>
      <c r="G66" s="39">
        <v>12</v>
      </c>
      <c r="H66" s="39"/>
      <c r="I66" s="40" t="s">
        <v>258</v>
      </c>
      <c r="J66" s="41">
        <v>1</v>
      </c>
      <c r="K66" s="41">
        <v>3902</v>
      </c>
      <c r="L66" s="41"/>
      <c r="M66" s="42">
        <v>1000</v>
      </c>
      <c r="N66" s="42">
        <v>0</v>
      </c>
      <c r="O66" s="43">
        <v>3902</v>
      </c>
      <c r="P66" s="44">
        <v>1000</v>
      </c>
      <c r="Q66" s="44">
        <v>0</v>
      </c>
      <c r="R66" s="45">
        <v>0</v>
      </c>
      <c r="S66" s="46">
        <v>0</v>
      </c>
      <c r="T66" s="39">
        <f t="shared" si="37"/>
        <v>12</v>
      </c>
      <c r="U66" s="47">
        <f t="shared" si="38"/>
        <v>6.8859067574048319E-2</v>
      </c>
      <c r="V66" s="48">
        <f t="shared" si="39"/>
        <v>-1000</v>
      </c>
      <c r="W66" s="49">
        <f t="shared" si="40"/>
        <v>5.7382556311706932E-3</v>
      </c>
      <c r="X66" s="44">
        <f t="shared" si="41"/>
        <v>660.64129665518362</v>
      </c>
      <c r="Y66" s="44">
        <f t="shared" si="42"/>
        <v>-1000</v>
      </c>
      <c r="Z66" s="44">
        <f t="shared" si="43"/>
        <v>1655.4608126772919</v>
      </c>
      <c r="AA66" s="50">
        <f t="shared" si="44"/>
        <v>660.64129665518362</v>
      </c>
      <c r="AB66" s="51">
        <f t="shared" si="45"/>
        <v>1547.5935427477721</v>
      </c>
      <c r="AC66" s="44">
        <f t="shared" si="46"/>
        <v>617.59493003195621</v>
      </c>
      <c r="AD66" s="44">
        <f t="shared" si="47"/>
        <v>0</v>
      </c>
      <c r="AE66" s="44">
        <f t="shared" si="48"/>
        <v>0</v>
      </c>
      <c r="AF66" s="52">
        <f>HLOOKUP(I66,ElecAvoidedCostsWOCC!$A$5:$Q$50,G66+1,FALSE)</f>
        <v>0.82713841420343059</v>
      </c>
      <c r="AG66" s="44">
        <f t="shared" si="49"/>
        <v>3227.4940922217861</v>
      </c>
      <c r="AH66" s="52">
        <f>HLOOKUP(I66,ElecAvoidedCostsWOCC!$A$5:$Q$50,T66+1,FALSE)</f>
        <v>0.82713841420343059</v>
      </c>
      <c r="AI66" s="44">
        <f t="shared" si="50"/>
        <v>0</v>
      </c>
      <c r="AJ66" s="44">
        <f t="shared" si="51"/>
        <v>3227.4940922217861</v>
      </c>
      <c r="AK66" s="44">
        <f>HLOOKUP(I66,ElecAvoidedCostsWOCC!$A$5:$Q$50,G66+1,FALSE)*J66*L66</f>
        <v>0</v>
      </c>
      <c r="AL66" s="44">
        <f t="shared" si="52"/>
        <v>3227.4940922217861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3227.4940922217861</v>
      </c>
      <c r="AN66" s="48">
        <f t="shared" si="53"/>
        <v>3550.2435014439652</v>
      </c>
      <c r="AO66" s="47">
        <f t="shared" si="54"/>
        <v>2.0854920901849519</v>
      </c>
      <c r="AP66" s="47">
        <f t="shared" si="55"/>
        <v>5.748498455549603</v>
      </c>
      <c r="AQ66">
        <v>2020</v>
      </c>
    </row>
    <row r="67" spans="2:43">
      <c r="B67" s="97" t="s">
        <v>70</v>
      </c>
      <c r="C67" s="61">
        <v>18230716</v>
      </c>
      <c r="D67" s="61" t="s">
        <v>131</v>
      </c>
      <c r="E67" s="38" t="s">
        <v>1155</v>
      </c>
      <c r="F67" s="39" t="s">
        <v>1156</v>
      </c>
      <c r="G67" s="39">
        <v>12</v>
      </c>
      <c r="H67" s="39"/>
      <c r="I67" s="40" t="s">
        <v>258</v>
      </c>
      <c r="J67" s="41">
        <v>6</v>
      </c>
      <c r="K67" s="41">
        <v>1951</v>
      </c>
      <c r="L67" s="41"/>
      <c r="M67" s="42">
        <v>500</v>
      </c>
      <c r="N67" s="42">
        <v>1007</v>
      </c>
      <c r="O67" s="43">
        <v>11706</v>
      </c>
      <c r="P67" s="44">
        <v>3000</v>
      </c>
      <c r="Q67" s="44">
        <v>6042</v>
      </c>
      <c r="R67" s="45">
        <v>0</v>
      </c>
      <c r="S67" s="46">
        <v>0</v>
      </c>
      <c r="T67" s="39">
        <f t="shared" si="37"/>
        <v>12</v>
      </c>
      <c r="U67" s="47">
        <f t="shared" si="38"/>
        <v>0.20657720272214497</v>
      </c>
      <c r="V67" s="48">
        <f t="shared" si="39"/>
        <v>507</v>
      </c>
      <c r="W67" s="49">
        <f t="shared" si="40"/>
        <v>1.721476689351208E-2</v>
      </c>
      <c r="X67" s="44">
        <f t="shared" si="41"/>
        <v>1981.9238899655509</v>
      </c>
      <c r="Y67" s="44">
        <f t="shared" si="42"/>
        <v>3042</v>
      </c>
      <c r="Z67" s="44">
        <f t="shared" si="43"/>
        <v>4966.3824380318756</v>
      </c>
      <c r="AA67" s="50">
        <f t="shared" si="44"/>
        <v>8023.9238899655511</v>
      </c>
      <c r="AB67" s="51">
        <f t="shared" si="45"/>
        <v>4642.7806282433157</v>
      </c>
      <c r="AC67" s="44">
        <f t="shared" si="46"/>
        <v>7501.0974011083017</v>
      </c>
      <c r="AD67" s="44">
        <f t="shared" si="47"/>
        <v>0</v>
      </c>
      <c r="AE67" s="44">
        <f t="shared" si="48"/>
        <v>0</v>
      </c>
      <c r="AF67" s="52">
        <f>HLOOKUP(I67,ElecAvoidedCostsWOCC!$A$5:$Q$50,G67+1,FALSE)</f>
        <v>0.82713841420343059</v>
      </c>
      <c r="AG67" s="44">
        <f t="shared" si="49"/>
        <v>9682.4822766653597</v>
      </c>
      <c r="AH67" s="52">
        <f>HLOOKUP(I67,ElecAvoidedCostsWOCC!$A$5:$Q$50,T67+1,FALSE)</f>
        <v>0.82713841420343059</v>
      </c>
      <c r="AI67" s="44">
        <f t="shared" si="50"/>
        <v>0</v>
      </c>
      <c r="AJ67" s="44">
        <f t="shared" si="51"/>
        <v>9682.4822766653597</v>
      </c>
      <c r="AK67" s="44">
        <f>HLOOKUP(I67,ElecAvoidedCostsWOCC!$A$5:$Q$50,G67+1,FALSE)*J67*L67</f>
        <v>0</v>
      </c>
      <c r="AL67" s="44">
        <f t="shared" si="52"/>
        <v>9682.4822766653597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9682.4822766653579</v>
      </c>
      <c r="AN67" s="48">
        <f t="shared" si="53"/>
        <v>10650.730504331894</v>
      </c>
      <c r="AO67" s="47">
        <f t="shared" si="54"/>
        <v>2.0854920901849523</v>
      </c>
      <c r="AP67" s="47">
        <f t="shared" si="55"/>
        <v>1.4198896421153293</v>
      </c>
      <c r="AQ67">
        <v>2020</v>
      </c>
    </row>
    <row r="68" spans="2:43">
      <c r="B68" s="97" t="s">
        <v>70</v>
      </c>
      <c r="C68" s="61">
        <v>18230716</v>
      </c>
      <c r="D68" s="61" t="s">
        <v>131</v>
      </c>
      <c r="E68" s="38" t="s">
        <v>1159</v>
      </c>
      <c r="F68" s="39" t="s">
        <v>1160</v>
      </c>
      <c r="G68" s="39">
        <v>10</v>
      </c>
      <c r="H68" s="39"/>
      <c r="I68" s="40" t="s">
        <v>260</v>
      </c>
      <c r="J68" s="41">
        <v>3</v>
      </c>
      <c r="K68" s="41">
        <v>666</v>
      </c>
      <c r="L68" s="41"/>
      <c r="M68" s="42">
        <v>250</v>
      </c>
      <c r="N68" s="42">
        <v>272.88</v>
      </c>
      <c r="O68" s="43">
        <v>1998</v>
      </c>
      <c r="P68" s="44">
        <v>750</v>
      </c>
      <c r="Q68" s="44">
        <v>818.64</v>
      </c>
      <c r="R68" s="45">
        <v>5378.87</v>
      </c>
      <c r="S68" s="46">
        <v>0</v>
      </c>
      <c r="T68" s="39">
        <f t="shared" si="37"/>
        <v>10</v>
      </c>
      <c r="U68" s="47">
        <f t="shared" si="38"/>
        <v>2.938245707606111E-2</v>
      </c>
      <c r="V68" s="48">
        <f t="shared" si="39"/>
        <v>22.879999999999995</v>
      </c>
      <c r="W68" s="49">
        <f t="shared" si="40"/>
        <v>2.9382457076061108E-3</v>
      </c>
      <c r="X68" s="44">
        <f t="shared" si="41"/>
        <v>338.27814216223908</v>
      </c>
      <c r="Y68" s="44">
        <f t="shared" si="42"/>
        <v>68.639999999999986</v>
      </c>
      <c r="Z68" s="44">
        <f t="shared" si="43"/>
        <v>847.67060577376446</v>
      </c>
      <c r="AA68" s="50">
        <f t="shared" si="44"/>
        <v>1156.9181421622391</v>
      </c>
      <c r="AB68" s="51">
        <f t="shared" si="45"/>
        <v>792.43769820862337</v>
      </c>
      <c r="AC68" s="44">
        <f t="shared" si="46"/>
        <v>1081.5351427150033</v>
      </c>
      <c r="AD68" s="44">
        <f t="shared" si="47"/>
        <v>113494.13287992406</v>
      </c>
      <c r="AE68" s="44">
        <f t="shared" si="48"/>
        <v>0</v>
      </c>
      <c r="AF68" s="52">
        <f>HLOOKUP(I68,ElecAvoidedCostsWOCC!$A$5:$Q$50,G68+1,FALSE)</f>
        <v>0.68726615252653023</v>
      </c>
      <c r="AG68" s="44">
        <f t="shared" si="49"/>
        <v>1373.1577727480073</v>
      </c>
      <c r="AH68" s="52">
        <f>HLOOKUP(I68,ElecAvoidedCostsWOCC!$A$5:$Q$50,T68+1,FALSE)</f>
        <v>0.68726615252653023</v>
      </c>
      <c r="AI68" s="44">
        <f t="shared" si="50"/>
        <v>0</v>
      </c>
      <c r="AJ68" s="44">
        <f t="shared" si="51"/>
        <v>1373.1577727480073</v>
      </c>
      <c r="AK68" s="44">
        <f>HLOOKUP(I68,ElecAvoidedCostsWOCC!$A$5:$Q$50,G68+1,FALSE)*J68*L68</f>
        <v>0</v>
      </c>
      <c r="AL68" s="44">
        <f t="shared" si="52"/>
        <v>1373.1577727480073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1373.1577727480073</v>
      </c>
      <c r="AN68" s="48">
        <f t="shared" si="53"/>
        <v>115004.60642994687</v>
      </c>
      <c r="AO68" s="47">
        <f t="shared" si="54"/>
        <v>1.7328274208207837</v>
      </c>
      <c r="AP68" s="47">
        <f t="shared" si="55"/>
        <v>106.33459967028726</v>
      </c>
      <c r="AQ68">
        <v>2020</v>
      </c>
    </row>
    <row r="69" spans="2:43">
      <c r="B69" s="97" t="s">
        <v>70</v>
      </c>
      <c r="C69" s="61">
        <v>18230716</v>
      </c>
      <c r="D69" s="61" t="s">
        <v>131</v>
      </c>
      <c r="E69" s="38" t="s">
        <v>2167</v>
      </c>
      <c r="F69" s="39" t="s">
        <v>1165</v>
      </c>
      <c r="G69" s="39">
        <v>10</v>
      </c>
      <c r="H69" s="39"/>
      <c r="I69" s="40" t="s">
        <v>260</v>
      </c>
      <c r="J69" s="41">
        <v>2</v>
      </c>
      <c r="K69" s="41">
        <v>1319</v>
      </c>
      <c r="L69" s="41"/>
      <c r="M69" s="42">
        <v>375</v>
      </c>
      <c r="N69" s="42">
        <v>399.56</v>
      </c>
      <c r="O69" s="43">
        <v>2638</v>
      </c>
      <c r="P69" s="44">
        <v>750</v>
      </c>
      <c r="Q69" s="44">
        <v>799.12</v>
      </c>
      <c r="R69" s="45">
        <v>5378.87</v>
      </c>
      <c r="S69" s="46">
        <v>0</v>
      </c>
      <c r="T69" s="39">
        <f t="shared" si="37"/>
        <v>10</v>
      </c>
      <c r="U69" s="47">
        <f t="shared" si="38"/>
        <v>3.8794255138463067E-2</v>
      </c>
      <c r="V69" s="48">
        <f t="shared" si="39"/>
        <v>24.560000000000002</v>
      </c>
      <c r="W69" s="49">
        <f t="shared" si="40"/>
        <v>3.8794255138463068E-3</v>
      </c>
      <c r="X69" s="44">
        <f t="shared" si="41"/>
        <v>446.63550501701042</v>
      </c>
      <c r="Y69" s="44">
        <f t="shared" si="42"/>
        <v>49.120000000000005</v>
      </c>
      <c r="Z69" s="44">
        <f t="shared" si="43"/>
        <v>1119.1967257413369</v>
      </c>
      <c r="AA69" s="50">
        <f t="shared" si="44"/>
        <v>1245.7555050170104</v>
      </c>
      <c r="AB69" s="51">
        <f t="shared" si="45"/>
        <v>1046.2715955327071</v>
      </c>
      <c r="AC69" s="44">
        <f t="shared" si="46"/>
        <v>1164.5840002028701</v>
      </c>
      <c r="AD69" s="44">
        <f t="shared" si="47"/>
        <v>75662.75525328271</v>
      </c>
      <c r="AE69" s="44">
        <f t="shared" si="48"/>
        <v>0</v>
      </c>
      <c r="AF69" s="52">
        <f>HLOOKUP(I69,ElecAvoidedCostsWOCC!$A$5:$Q$50,G69+1,FALSE)</f>
        <v>0.68726615252653023</v>
      </c>
      <c r="AG69" s="44">
        <f t="shared" si="49"/>
        <v>1813.0081103649868</v>
      </c>
      <c r="AH69" s="52">
        <f>HLOOKUP(I69,ElecAvoidedCostsWOCC!$A$5:$Q$50,T69+1,FALSE)</f>
        <v>0.68726615252653023</v>
      </c>
      <c r="AI69" s="44">
        <f t="shared" si="50"/>
        <v>0</v>
      </c>
      <c r="AJ69" s="44">
        <f t="shared" si="51"/>
        <v>1813.0081103649868</v>
      </c>
      <c r="AK69" s="44">
        <f>HLOOKUP(I69,ElecAvoidedCostsWOCC!$A$5:$Q$50,G69+1,FALSE)*J69*L69</f>
        <v>0</v>
      </c>
      <c r="AL69" s="44">
        <f t="shared" si="52"/>
        <v>1813.0081103649868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1813.0081103649868</v>
      </c>
      <c r="AN69" s="48">
        <f t="shared" si="53"/>
        <v>77657.064174684201</v>
      </c>
      <c r="AO69" s="47">
        <f t="shared" si="54"/>
        <v>1.7328274208207834</v>
      </c>
      <c r="AP69" s="47">
        <f t="shared" si="55"/>
        <v>66.68223516822863</v>
      </c>
      <c r="AQ69">
        <v>2020</v>
      </c>
    </row>
    <row r="70" spans="2:43">
      <c r="B70" s="97" t="s">
        <v>70</v>
      </c>
      <c r="C70" s="61">
        <v>18230716</v>
      </c>
      <c r="D70" s="61" t="s">
        <v>131</v>
      </c>
      <c r="E70" s="38" t="s">
        <v>2168</v>
      </c>
      <c r="F70" s="39" t="s">
        <v>1167</v>
      </c>
      <c r="G70" s="39">
        <v>10</v>
      </c>
      <c r="H70" s="39"/>
      <c r="I70" s="40" t="s">
        <v>260</v>
      </c>
      <c r="J70" s="41">
        <v>2</v>
      </c>
      <c r="K70" s="41">
        <v>745</v>
      </c>
      <c r="L70" s="41"/>
      <c r="M70" s="42">
        <v>200</v>
      </c>
      <c r="N70" s="42">
        <v>224.48</v>
      </c>
      <c r="O70" s="43">
        <v>1490</v>
      </c>
      <c r="P70" s="44">
        <v>400</v>
      </c>
      <c r="Q70" s="44">
        <v>448.96</v>
      </c>
      <c r="R70" s="45">
        <v>5378.87</v>
      </c>
      <c r="S70" s="46">
        <v>0</v>
      </c>
      <c r="T70" s="39">
        <f t="shared" si="37"/>
        <v>10</v>
      </c>
      <c r="U70" s="47">
        <f t="shared" si="38"/>
        <v>2.1911842364029554E-2</v>
      </c>
      <c r="V70" s="48">
        <f t="shared" si="39"/>
        <v>24.47999999999999</v>
      </c>
      <c r="W70" s="49">
        <f t="shared" si="40"/>
        <v>2.1911842364029555E-3</v>
      </c>
      <c r="X70" s="44">
        <f t="shared" si="41"/>
        <v>252.26948539626437</v>
      </c>
      <c r="Y70" s="44">
        <f t="shared" si="42"/>
        <v>48.95999999999998</v>
      </c>
      <c r="Z70" s="44">
        <f t="shared" si="43"/>
        <v>632.14674804950414</v>
      </c>
      <c r="AA70" s="50">
        <f t="shared" si="44"/>
        <v>701.22948539626441</v>
      </c>
      <c r="AB70" s="51">
        <f t="shared" si="45"/>
        <v>590.95704220763207</v>
      </c>
      <c r="AC70" s="44">
        <f t="shared" si="46"/>
        <v>655.53845507737151</v>
      </c>
      <c r="AD70" s="44">
        <f t="shared" si="47"/>
        <v>75662.75525328271</v>
      </c>
      <c r="AE70" s="44">
        <f t="shared" si="48"/>
        <v>0</v>
      </c>
      <c r="AF70" s="52">
        <f>HLOOKUP(I70,ElecAvoidedCostsWOCC!$A$5:$Q$50,G70+1,FALSE)</f>
        <v>0.68726615252653023</v>
      </c>
      <c r="AG70" s="44">
        <f t="shared" si="49"/>
        <v>1024.0265672645301</v>
      </c>
      <c r="AH70" s="52">
        <f>HLOOKUP(I70,ElecAvoidedCostsWOCC!$A$5:$Q$50,T70+1,FALSE)</f>
        <v>0.68726615252653023</v>
      </c>
      <c r="AI70" s="44">
        <f t="shared" si="50"/>
        <v>0</v>
      </c>
      <c r="AJ70" s="44">
        <f t="shared" si="51"/>
        <v>1024.0265672645301</v>
      </c>
      <c r="AK70" s="44">
        <f>HLOOKUP(I70,ElecAvoidedCostsWOCC!$A$5:$Q$50,G70+1,FALSE)*J70*L70</f>
        <v>0</v>
      </c>
      <c r="AL70" s="44">
        <f t="shared" si="52"/>
        <v>1024.0265672645301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1024.0265672645301</v>
      </c>
      <c r="AN70" s="48">
        <f t="shared" si="53"/>
        <v>76789.184477273695</v>
      </c>
      <c r="AO70" s="47">
        <f t="shared" si="54"/>
        <v>1.7328274208207837</v>
      </c>
      <c r="AP70" s="47">
        <f t="shared" si="55"/>
        <v>117.13909974695606</v>
      </c>
      <c r="AQ70">
        <v>2020</v>
      </c>
    </row>
    <row r="71" spans="2:43">
      <c r="B71" s="97" t="s">
        <v>70</v>
      </c>
      <c r="C71" s="61">
        <v>18230716</v>
      </c>
      <c r="D71" s="61" t="s">
        <v>131</v>
      </c>
      <c r="E71" s="38" t="s">
        <v>1170</v>
      </c>
      <c r="F71" s="39" t="s">
        <v>1171</v>
      </c>
      <c r="G71" s="39"/>
      <c r="H71" s="39"/>
      <c r="I71" s="40" t="s">
        <v>258</v>
      </c>
      <c r="J71" s="41">
        <v>1</v>
      </c>
      <c r="K71" s="41">
        <v>0</v>
      </c>
      <c r="L71" s="41"/>
      <c r="M71" s="42">
        <v>25</v>
      </c>
      <c r="N71" s="42">
        <v>25</v>
      </c>
      <c r="O71" s="43">
        <v>0</v>
      </c>
      <c r="P71" s="44">
        <v>25</v>
      </c>
      <c r="Q71" s="44">
        <v>25</v>
      </c>
      <c r="R71" s="45">
        <v>0</v>
      </c>
      <c r="S71" s="46">
        <v>0</v>
      </c>
      <c r="T71" s="39">
        <f t="shared" si="37"/>
        <v>0</v>
      </c>
      <c r="U71" s="47">
        <f t="shared" si="38"/>
        <v>0</v>
      </c>
      <c r="V71" s="48">
        <f t="shared" si="39"/>
        <v>0</v>
      </c>
      <c r="W71" s="49">
        <f t="shared" si="40"/>
        <v>0</v>
      </c>
      <c r="X71" s="44">
        <f t="shared" si="41"/>
        <v>0</v>
      </c>
      <c r="Y71" s="44">
        <f t="shared" si="42"/>
        <v>0</v>
      </c>
      <c r="Z71" s="44">
        <f t="shared" si="43"/>
        <v>0</v>
      </c>
      <c r="AA71" s="50">
        <f t="shared" si="44"/>
        <v>25</v>
      </c>
      <c r="AB71" s="51">
        <f t="shared" si="45"/>
        <v>0</v>
      </c>
      <c r="AC71" s="44">
        <f t="shared" si="46"/>
        <v>23.371038608955779</v>
      </c>
      <c r="AD71" s="44">
        <f t="shared" si="47"/>
        <v>0</v>
      </c>
      <c r="AE71" s="44">
        <f t="shared" si="48"/>
        <v>0</v>
      </c>
      <c r="AF71" s="52" t="str">
        <f>HLOOKUP(I71,ElecAvoidedCostsWOCC!$A$5:$Q$50,G71+1,FALSE)</f>
        <v>Comm Cooking</v>
      </c>
      <c r="AG71" s="44" t="e">
        <f t="shared" si="49"/>
        <v>#VALUE!</v>
      </c>
      <c r="AH71" s="52" t="str">
        <f>HLOOKUP(I71,ElecAvoidedCostsWOCC!$A$5:$Q$50,T71+1,FALSE)</f>
        <v>Comm Cooking</v>
      </c>
      <c r="AI71" s="44" t="e">
        <f t="shared" si="50"/>
        <v>#VALUE!</v>
      </c>
      <c r="AJ71" s="44" t="e">
        <f t="shared" si="51"/>
        <v>#VALUE!</v>
      </c>
      <c r="AK71" s="44" t="e">
        <f>HLOOKUP(I71,ElecAvoidedCostsWOCC!$A$5:$Q$50,G71+1,FALSE)*J71*L71</f>
        <v>#VALUE!</v>
      </c>
      <c r="AL71" s="44" t="e">
        <f t="shared" si="52"/>
        <v>#VALUE!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3"/>
        <v>0</v>
      </c>
      <c r="AO71" s="47">
        <f t="shared" si="54"/>
        <v>0</v>
      </c>
      <c r="AP71" s="47">
        <f t="shared" si="55"/>
        <v>0</v>
      </c>
      <c r="AQ71">
        <v>2020</v>
      </c>
    </row>
    <row r="72" spans="2:43">
      <c r="B72" s="97" t="s">
        <v>70</v>
      </c>
      <c r="C72" s="61">
        <v>18230716</v>
      </c>
      <c r="D72" s="61" t="s">
        <v>131</v>
      </c>
      <c r="E72" s="38" t="s">
        <v>1172</v>
      </c>
      <c r="F72" s="39" t="s">
        <v>1173</v>
      </c>
      <c r="G72" s="39"/>
      <c r="H72" s="39"/>
      <c r="I72" s="40" t="s">
        <v>258</v>
      </c>
      <c r="J72" s="41">
        <v>3</v>
      </c>
      <c r="K72" s="41">
        <v>0</v>
      </c>
      <c r="L72" s="41"/>
      <c r="M72" s="42">
        <v>50</v>
      </c>
      <c r="N72" s="42">
        <v>50</v>
      </c>
      <c r="O72" s="43">
        <v>0</v>
      </c>
      <c r="P72" s="44">
        <v>150</v>
      </c>
      <c r="Q72" s="44">
        <v>150</v>
      </c>
      <c r="R72" s="45">
        <v>0</v>
      </c>
      <c r="S72" s="46">
        <v>0</v>
      </c>
      <c r="T72" s="39">
        <f t="shared" si="37"/>
        <v>0</v>
      </c>
      <c r="U72" s="47">
        <f t="shared" si="38"/>
        <v>0</v>
      </c>
      <c r="V72" s="48">
        <f t="shared" si="39"/>
        <v>0</v>
      </c>
      <c r="W72" s="49">
        <f t="shared" si="40"/>
        <v>0</v>
      </c>
      <c r="X72" s="44">
        <f t="shared" si="41"/>
        <v>0</v>
      </c>
      <c r="Y72" s="44">
        <f t="shared" si="42"/>
        <v>0</v>
      </c>
      <c r="Z72" s="44">
        <f t="shared" si="43"/>
        <v>0</v>
      </c>
      <c r="AA72" s="50">
        <f t="shared" si="44"/>
        <v>150</v>
      </c>
      <c r="AB72" s="51">
        <f t="shared" si="45"/>
        <v>0</v>
      </c>
      <c r="AC72" s="44">
        <f t="shared" si="46"/>
        <v>140.22623165373469</v>
      </c>
      <c r="AD72" s="44">
        <f t="shared" si="47"/>
        <v>0</v>
      </c>
      <c r="AE72" s="44">
        <f t="shared" si="48"/>
        <v>0</v>
      </c>
      <c r="AF72" s="52" t="str">
        <f>HLOOKUP(I72,ElecAvoidedCostsWOCC!$A$5:$Q$50,G72+1,FALSE)</f>
        <v>Comm Cooking</v>
      </c>
      <c r="AG72" s="44" t="e">
        <f t="shared" si="49"/>
        <v>#VALUE!</v>
      </c>
      <c r="AH72" s="52" t="str">
        <f>HLOOKUP(I72,ElecAvoidedCostsWOCC!$A$5:$Q$50,T72+1,FALSE)</f>
        <v>Comm Cooking</v>
      </c>
      <c r="AI72" s="44" t="e">
        <f t="shared" si="50"/>
        <v>#VALUE!</v>
      </c>
      <c r="AJ72" s="44" t="e">
        <f t="shared" si="51"/>
        <v>#VALUE!</v>
      </c>
      <c r="AK72" s="44" t="e">
        <f>HLOOKUP(I72,ElecAvoidedCostsWOCC!$A$5:$Q$50,G72+1,FALSE)*J72*L72</f>
        <v>#VALUE!</v>
      </c>
      <c r="AL72" s="44" t="e">
        <f t="shared" si="52"/>
        <v>#VALUE!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3"/>
        <v>0</v>
      </c>
      <c r="AO72" s="47">
        <f t="shared" si="54"/>
        <v>0</v>
      </c>
      <c r="AP72" s="47">
        <f t="shared" si="55"/>
        <v>0</v>
      </c>
      <c r="AQ72">
        <v>2020</v>
      </c>
    </row>
    <row r="73" spans="2:43">
      <c r="B73" s="97" t="s">
        <v>70</v>
      </c>
      <c r="C73" s="61">
        <v>18230716</v>
      </c>
      <c r="D73" s="61" t="s">
        <v>131</v>
      </c>
      <c r="E73" s="38" t="s">
        <v>1179</v>
      </c>
      <c r="F73" s="39" t="s">
        <v>1180</v>
      </c>
      <c r="G73" s="39"/>
      <c r="H73" s="39"/>
      <c r="I73" s="40" t="s">
        <v>258</v>
      </c>
      <c r="J73" s="41">
        <v>5</v>
      </c>
      <c r="K73" s="41">
        <v>0</v>
      </c>
      <c r="L73" s="41"/>
      <c r="M73" s="42">
        <v>50</v>
      </c>
      <c r="N73" s="42">
        <v>50</v>
      </c>
      <c r="O73" s="43">
        <v>0</v>
      </c>
      <c r="P73" s="44">
        <v>250</v>
      </c>
      <c r="Q73" s="44">
        <v>250</v>
      </c>
      <c r="R73" s="45">
        <v>0</v>
      </c>
      <c r="S73" s="46">
        <v>0</v>
      </c>
      <c r="T73" s="39">
        <f t="shared" si="37"/>
        <v>0</v>
      </c>
      <c r="U73" s="47">
        <f t="shared" si="38"/>
        <v>0</v>
      </c>
      <c r="V73" s="48">
        <f t="shared" si="39"/>
        <v>0</v>
      </c>
      <c r="W73" s="49">
        <f t="shared" si="40"/>
        <v>0</v>
      </c>
      <c r="X73" s="44">
        <f t="shared" si="41"/>
        <v>0</v>
      </c>
      <c r="Y73" s="44">
        <f t="shared" si="42"/>
        <v>0</v>
      </c>
      <c r="Z73" s="44">
        <f t="shared" si="43"/>
        <v>0</v>
      </c>
      <c r="AA73" s="50">
        <f t="shared" si="44"/>
        <v>250</v>
      </c>
      <c r="AB73" s="51">
        <f t="shared" si="45"/>
        <v>0</v>
      </c>
      <c r="AC73" s="44">
        <f t="shared" si="46"/>
        <v>233.7103860895578</v>
      </c>
      <c r="AD73" s="44">
        <f t="shared" si="47"/>
        <v>0</v>
      </c>
      <c r="AE73" s="44">
        <f t="shared" si="48"/>
        <v>0</v>
      </c>
      <c r="AF73" s="52" t="str">
        <f>HLOOKUP(I73,ElecAvoidedCostsWOCC!$A$5:$Q$50,G73+1,FALSE)</f>
        <v>Comm Cooking</v>
      </c>
      <c r="AG73" s="44" t="e">
        <f t="shared" si="49"/>
        <v>#VALUE!</v>
      </c>
      <c r="AH73" s="52" t="str">
        <f>HLOOKUP(I73,ElecAvoidedCostsWOCC!$A$5:$Q$50,T73+1,FALSE)</f>
        <v>Comm Cooking</v>
      </c>
      <c r="AI73" s="44" t="e">
        <f t="shared" si="50"/>
        <v>#VALUE!</v>
      </c>
      <c r="AJ73" s="44" t="e">
        <f t="shared" si="51"/>
        <v>#VALUE!</v>
      </c>
      <c r="AK73" s="44" t="e">
        <f>HLOOKUP(I73,ElecAvoidedCostsWOCC!$A$5:$Q$50,G73+1,FALSE)*J73*L73</f>
        <v>#VALUE!</v>
      </c>
      <c r="AL73" s="44" t="e">
        <f t="shared" si="52"/>
        <v>#VALUE!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3"/>
        <v>0</v>
      </c>
      <c r="AO73" s="47">
        <f t="shared" si="54"/>
        <v>0</v>
      </c>
      <c r="AP73" s="47">
        <f t="shared" si="55"/>
        <v>0</v>
      </c>
      <c r="AQ73">
        <v>2020</v>
      </c>
    </row>
    <row r="74" spans="2:43">
      <c r="B74" s="97" t="s">
        <v>70</v>
      </c>
      <c r="C74" s="61">
        <v>18230716</v>
      </c>
      <c r="D74" s="61" t="s">
        <v>131</v>
      </c>
      <c r="E74" s="38" t="s">
        <v>1182</v>
      </c>
      <c r="F74" s="39" t="s">
        <v>1183</v>
      </c>
      <c r="G74" s="39"/>
      <c r="H74" s="39"/>
      <c r="I74" s="40" t="s">
        <v>258</v>
      </c>
      <c r="J74" s="41">
        <v>4</v>
      </c>
      <c r="K74" s="41">
        <v>0</v>
      </c>
      <c r="L74" s="41"/>
      <c r="M74" s="42">
        <v>50</v>
      </c>
      <c r="N74" s="42">
        <v>50</v>
      </c>
      <c r="O74" s="43">
        <v>0</v>
      </c>
      <c r="P74" s="44">
        <v>200</v>
      </c>
      <c r="Q74" s="44">
        <v>200</v>
      </c>
      <c r="R74" s="45">
        <v>0</v>
      </c>
      <c r="S74" s="46">
        <v>0</v>
      </c>
      <c r="T74" s="39">
        <f t="shared" si="37"/>
        <v>0</v>
      </c>
      <c r="U74" s="47">
        <f t="shared" si="38"/>
        <v>0</v>
      </c>
      <c r="V74" s="48">
        <f t="shared" si="39"/>
        <v>0</v>
      </c>
      <c r="W74" s="49">
        <f t="shared" si="40"/>
        <v>0</v>
      </c>
      <c r="X74" s="44">
        <f t="shared" si="41"/>
        <v>0</v>
      </c>
      <c r="Y74" s="44">
        <f t="shared" si="42"/>
        <v>0</v>
      </c>
      <c r="Z74" s="44">
        <f t="shared" si="43"/>
        <v>0</v>
      </c>
      <c r="AA74" s="50">
        <f t="shared" si="44"/>
        <v>200</v>
      </c>
      <c r="AB74" s="51">
        <f t="shared" si="45"/>
        <v>0</v>
      </c>
      <c r="AC74" s="44">
        <f t="shared" si="46"/>
        <v>186.96830887164623</v>
      </c>
      <c r="AD74" s="44">
        <f t="shared" si="47"/>
        <v>0</v>
      </c>
      <c r="AE74" s="44">
        <f t="shared" si="48"/>
        <v>0</v>
      </c>
      <c r="AF74" s="52" t="str">
        <f>HLOOKUP(I74,ElecAvoidedCostsWOCC!$A$5:$Q$50,G74+1,FALSE)</f>
        <v>Comm Cooking</v>
      </c>
      <c r="AG74" s="44" t="e">
        <f t="shared" si="49"/>
        <v>#VALUE!</v>
      </c>
      <c r="AH74" s="52" t="str">
        <f>HLOOKUP(I74,ElecAvoidedCostsWOCC!$A$5:$Q$50,T74+1,FALSE)</f>
        <v>Comm Cooking</v>
      </c>
      <c r="AI74" s="44" t="e">
        <f t="shared" si="50"/>
        <v>#VALUE!</v>
      </c>
      <c r="AJ74" s="44" t="e">
        <f t="shared" si="51"/>
        <v>#VALUE!</v>
      </c>
      <c r="AK74" s="44" t="e">
        <f>HLOOKUP(I74,ElecAvoidedCostsWOCC!$A$5:$Q$50,G74+1,FALSE)*J74*L74</f>
        <v>#VALUE!</v>
      </c>
      <c r="AL74" s="44" t="e">
        <f t="shared" si="52"/>
        <v>#VALUE!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3"/>
        <v>0</v>
      </c>
      <c r="AO74" s="47">
        <f t="shared" si="54"/>
        <v>0</v>
      </c>
      <c r="AP74" s="47">
        <f t="shared" si="55"/>
        <v>0</v>
      </c>
      <c r="AQ74">
        <v>2020</v>
      </c>
    </row>
    <row r="75" spans="2:43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7"/>
        <v>0</v>
      </c>
      <c r="U75" s="47">
        <f t="shared" si="38"/>
        <v>0</v>
      </c>
      <c r="V75" s="48">
        <f t="shared" si="39"/>
        <v>0</v>
      </c>
      <c r="W75" s="49">
        <f t="shared" si="40"/>
        <v>0</v>
      </c>
      <c r="X75" s="44">
        <f t="shared" si="41"/>
        <v>0</v>
      </c>
      <c r="Y75" s="44">
        <f t="shared" si="42"/>
        <v>0</v>
      </c>
      <c r="Z75" s="44">
        <f t="shared" si="43"/>
        <v>0</v>
      </c>
      <c r="AA75" s="50">
        <f t="shared" si="44"/>
        <v>0</v>
      </c>
      <c r="AB75" s="51">
        <f t="shared" si="45"/>
        <v>0</v>
      </c>
      <c r="AC75" s="44">
        <f t="shared" si="46"/>
        <v>0</v>
      </c>
      <c r="AD75" s="44">
        <f t="shared" si="47"/>
        <v>0</v>
      </c>
      <c r="AE75" s="44">
        <f t="shared" si="48"/>
        <v>0</v>
      </c>
      <c r="AF75" s="52" t="e">
        <f>HLOOKUP(I75,ElecAvoidedCostsWOCC!$A$5:$Q$50,G75+1,FALSE)</f>
        <v>#N/A</v>
      </c>
      <c r="AG75" s="44" t="e">
        <f t="shared" si="49"/>
        <v>#N/A</v>
      </c>
      <c r="AH75" s="52" t="e">
        <f>HLOOKUP(I75,ElecAvoidedCostsWOCC!$A$5:$Q$50,T75+1,FALSE)</f>
        <v>#N/A</v>
      </c>
      <c r="AI75" s="44" t="e">
        <f t="shared" si="50"/>
        <v>#N/A</v>
      </c>
      <c r="AJ75" s="44" t="e">
        <f t="shared" si="51"/>
        <v>#N/A</v>
      </c>
      <c r="AK75" s="44" t="e">
        <f>HLOOKUP(I75,ElecAvoidedCostsWOCC!$A$5:$Q$50,G75+1,FALSE)*J75*L75</f>
        <v>#N/A</v>
      </c>
      <c r="AL75" s="44" t="e">
        <f t="shared" si="52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3"/>
        <v>0</v>
      </c>
      <c r="AO75" s="47">
        <f t="shared" si="54"/>
        <v>0</v>
      </c>
      <c r="AP75" s="47" t="e">
        <f t="shared" si="55"/>
        <v>#DIV/0!</v>
      </c>
    </row>
    <row r="76" spans="2:43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7"/>
        <v>0</v>
      </c>
      <c r="U76" s="47">
        <f t="shared" si="38"/>
        <v>0</v>
      </c>
      <c r="V76" s="48">
        <f t="shared" si="39"/>
        <v>0</v>
      </c>
      <c r="W76" s="49">
        <f t="shared" si="40"/>
        <v>0</v>
      </c>
      <c r="X76" s="44">
        <f t="shared" si="41"/>
        <v>0</v>
      </c>
      <c r="Y76" s="44">
        <f t="shared" si="42"/>
        <v>0</v>
      </c>
      <c r="Z76" s="44">
        <f t="shared" si="43"/>
        <v>0</v>
      </c>
      <c r="AA76" s="50">
        <f t="shared" si="44"/>
        <v>0</v>
      </c>
      <c r="AB76" s="51">
        <f t="shared" si="45"/>
        <v>0</v>
      </c>
      <c r="AC76" s="44">
        <f t="shared" si="46"/>
        <v>0</v>
      </c>
      <c r="AD76" s="44">
        <f t="shared" si="47"/>
        <v>0</v>
      </c>
      <c r="AE76" s="44">
        <f t="shared" si="48"/>
        <v>0</v>
      </c>
      <c r="AF76" s="52" t="e">
        <f>HLOOKUP(I76,ElecAvoidedCostsWOCC!$A$5:$Q$50,G76+1,FALSE)</f>
        <v>#N/A</v>
      </c>
      <c r="AG76" s="44" t="e">
        <f t="shared" si="49"/>
        <v>#N/A</v>
      </c>
      <c r="AH76" s="52" t="e">
        <f>HLOOKUP(I76,ElecAvoidedCostsWOCC!$A$5:$Q$50,T76+1,FALSE)</f>
        <v>#N/A</v>
      </c>
      <c r="AI76" s="44" t="e">
        <f t="shared" si="50"/>
        <v>#N/A</v>
      </c>
      <c r="AJ76" s="44" t="e">
        <f t="shared" si="51"/>
        <v>#N/A</v>
      </c>
      <c r="AK76" s="44" t="e">
        <f>HLOOKUP(I76,ElecAvoidedCostsWOCC!$A$5:$Q$50,G76+1,FALSE)*J76*L76</f>
        <v>#N/A</v>
      </c>
      <c r="AL76" s="44" t="e">
        <f t="shared" si="52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3"/>
        <v>0</v>
      </c>
      <c r="AO76" s="47">
        <f t="shared" si="54"/>
        <v>0</v>
      </c>
      <c r="AP76" s="47" t="e">
        <f t="shared" si="55"/>
        <v>#DIV/0!</v>
      </c>
    </row>
    <row r="77" spans="2:43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7"/>
        <v>0</v>
      </c>
      <c r="U77" s="47">
        <f t="shared" si="38"/>
        <v>0</v>
      </c>
      <c r="V77" s="48">
        <f t="shared" si="39"/>
        <v>0</v>
      </c>
      <c r="W77" s="49">
        <f t="shared" si="40"/>
        <v>0</v>
      </c>
      <c r="X77" s="44">
        <f t="shared" si="41"/>
        <v>0</v>
      </c>
      <c r="Y77" s="44">
        <f t="shared" si="42"/>
        <v>0</v>
      </c>
      <c r="Z77" s="44">
        <f t="shared" si="43"/>
        <v>0</v>
      </c>
      <c r="AA77" s="50">
        <f t="shared" si="44"/>
        <v>0</v>
      </c>
      <c r="AB77" s="51">
        <f t="shared" si="45"/>
        <v>0</v>
      </c>
      <c r="AC77" s="44">
        <f t="shared" si="46"/>
        <v>0</v>
      </c>
      <c r="AD77" s="44">
        <f t="shared" si="47"/>
        <v>0</v>
      </c>
      <c r="AE77" s="44">
        <f t="shared" si="48"/>
        <v>0</v>
      </c>
      <c r="AF77" s="52" t="e">
        <f>HLOOKUP(I77,ElecAvoidedCostsWOCC!$A$5:$Q$50,G77+1,FALSE)</f>
        <v>#N/A</v>
      </c>
      <c r="AG77" s="44" t="e">
        <f t="shared" si="49"/>
        <v>#N/A</v>
      </c>
      <c r="AH77" s="52" t="e">
        <f>HLOOKUP(I77,ElecAvoidedCostsWOCC!$A$5:$Q$50,T77+1,FALSE)</f>
        <v>#N/A</v>
      </c>
      <c r="AI77" s="44" t="e">
        <f t="shared" si="50"/>
        <v>#N/A</v>
      </c>
      <c r="AJ77" s="44" t="e">
        <f t="shared" si="51"/>
        <v>#N/A</v>
      </c>
      <c r="AK77" s="44" t="e">
        <f>HLOOKUP(I77,ElecAvoidedCostsWOCC!$A$5:$Q$50,G77+1,FALSE)*J77*L77</f>
        <v>#N/A</v>
      </c>
      <c r="AL77" s="44" t="e">
        <f t="shared" si="52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3"/>
        <v>0</v>
      </c>
      <c r="AO77" s="47">
        <f t="shared" si="54"/>
        <v>0</v>
      </c>
      <c r="AP77" s="47" t="e">
        <f t="shared" si="55"/>
        <v>#DIV/0!</v>
      </c>
    </row>
    <row r="78" spans="2:43">
      <c r="B78" s="9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7"/>
        <v>0</v>
      </c>
      <c r="U78" s="47">
        <f t="shared" si="38"/>
        <v>0</v>
      </c>
      <c r="V78" s="48">
        <f t="shared" si="39"/>
        <v>0</v>
      </c>
      <c r="W78" s="49">
        <f t="shared" si="40"/>
        <v>0</v>
      </c>
      <c r="X78" s="44">
        <f t="shared" si="41"/>
        <v>0</v>
      </c>
      <c r="Y78" s="44">
        <f t="shared" si="42"/>
        <v>0</v>
      </c>
      <c r="Z78" s="44">
        <f t="shared" si="43"/>
        <v>0</v>
      </c>
      <c r="AA78" s="50">
        <f t="shared" si="44"/>
        <v>0</v>
      </c>
      <c r="AB78" s="51">
        <f t="shared" si="45"/>
        <v>0</v>
      </c>
      <c r="AC78" s="44">
        <f t="shared" si="46"/>
        <v>0</v>
      </c>
      <c r="AD78" s="44">
        <f t="shared" si="47"/>
        <v>0</v>
      </c>
      <c r="AE78" s="44">
        <f t="shared" si="48"/>
        <v>0</v>
      </c>
      <c r="AF78" s="52" t="e">
        <f>HLOOKUP(I78,ElecAvoidedCostsWOCC!$A$5:$Q$50,G78+1,FALSE)</f>
        <v>#N/A</v>
      </c>
      <c r="AG78" s="44" t="e">
        <f t="shared" si="49"/>
        <v>#N/A</v>
      </c>
      <c r="AH78" s="52" t="e">
        <f>HLOOKUP(I78,ElecAvoidedCostsWOCC!$A$5:$Q$50,T78+1,FALSE)</f>
        <v>#N/A</v>
      </c>
      <c r="AI78" s="44" t="e">
        <f t="shared" si="50"/>
        <v>#N/A</v>
      </c>
      <c r="AJ78" s="44" t="e">
        <f t="shared" si="51"/>
        <v>#N/A</v>
      </c>
      <c r="AK78" s="44" t="e">
        <f>HLOOKUP(I78,ElecAvoidedCostsWOCC!$A$5:$Q$50,G78+1,FALSE)*J78*L78</f>
        <v>#N/A</v>
      </c>
      <c r="AL78" s="44" t="e">
        <f t="shared" si="52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53"/>
        <v>0</v>
      </c>
      <c r="AO78" s="47">
        <f t="shared" si="54"/>
        <v>0</v>
      </c>
      <c r="AP78" s="47" t="e">
        <f t="shared" si="55"/>
        <v>#DIV/0!</v>
      </c>
    </row>
    <row r="79" spans="2:43">
      <c r="B79" s="9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7"/>
        <v>0</v>
      </c>
      <c r="U79" s="47">
        <f t="shared" si="38"/>
        <v>0</v>
      </c>
      <c r="V79" s="48">
        <f t="shared" si="39"/>
        <v>0</v>
      </c>
      <c r="W79" s="49">
        <f t="shared" si="40"/>
        <v>0</v>
      </c>
      <c r="X79" s="44">
        <f t="shared" si="41"/>
        <v>0</v>
      </c>
      <c r="Y79" s="44">
        <f t="shared" si="42"/>
        <v>0</v>
      </c>
      <c r="Z79" s="44">
        <f t="shared" si="43"/>
        <v>0</v>
      </c>
      <c r="AA79" s="50">
        <f t="shared" si="44"/>
        <v>0</v>
      </c>
      <c r="AB79" s="51">
        <f t="shared" si="45"/>
        <v>0</v>
      </c>
      <c r="AC79" s="44">
        <f t="shared" si="46"/>
        <v>0</v>
      </c>
      <c r="AD79" s="44">
        <f t="shared" si="47"/>
        <v>0</v>
      </c>
      <c r="AE79" s="44">
        <f t="shared" si="48"/>
        <v>0</v>
      </c>
      <c r="AF79" s="52" t="e">
        <f>HLOOKUP(I79,ElecAvoidedCostsWOCC!$A$5:$Q$50,G79+1,FALSE)</f>
        <v>#N/A</v>
      </c>
      <c r="AG79" s="44" t="e">
        <f t="shared" si="49"/>
        <v>#N/A</v>
      </c>
      <c r="AH79" s="52" t="e">
        <f>HLOOKUP(I79,ElecAvoidedCostsWOCC!$A$5:$Q$50,T79+1,FALSE)</f>
        <v>#N/A</v>
      </c>
      <c r="AI79" s="44" t="e">
        <f t="shared" si="50"/>
        <v>#N/A</v>
      </c>
      <c r="AJ79" s="44" t="e">
        <f t="shared" si="51"/>
        <v>#N/A</v>
      </c>
      <c r="AK79" s="44" t="e">
        <f>HLOOKUP(I79,ElecAvoidedCostsWOCC!$A$5:$Q$50,G79+1,FALSE)*J79*L79</f>
        <v>#N/A</v>
      </c>
      <c r="AL79" s="44" t="e">
        <f t="shared" si="52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3"/>
        <v>0</v>
      </c>
      <c r="AO79" s="47">
        <f t="shared" si="54"/>
        <v>0</v>
      </c>
      <c r="AP79" s="47" t="e">
        <f t="shared" si="55"/>
        <v>#DIV/0!</v>
      </c>
    </row>
    <row r="80" spans="2:43">
      <c r="B80" s="9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7"/>
        <v>0</v>
      </c>
      <c r="U80" s="47">
        <f t="shared" si="38"/>
        <v>0</v>
      </c>
      <c r="V80" s="48">
        <f t="shared" si="39"/>
        <v>0</v>
      </c>
      <c r="W80" s="49">
        <f t="shared" si="40"/>
        <v>0</v>
      </c>
      <c r="X80" s="44">
        <f t="shared" si="41"/>
        <v>0</v>
      </c>
      <c r="Y80" s="44">
        <f t="shared" si="42"/>
        <v>0</v>
      </c>
      <c r="Z80" s="44">
        <f t="shared" si="43"/>
        <v>0</v>
      </c>
      <c r="AA80" s="50">
        <f t="shared" si="44"/>
        <v>0</v>
      </c>
      <c r="AB80" s="51">
        <f t="shared" si="45"/>
        <v>0</v>
      </c>
      <c r="AC80" s="44">
        <f t="shared" si="46"/>
        <v>0</v>
      </c>
      <c r="AD80" s="44">
        <f t="shared" si="47"/>
        <v>0</v>
      </c>
      <c r="AE80" s="44">
        <f t="shared" si="48"/>
        <v>0</v>
      </c>
      <c r="AF80" s="52" t="e">
        <f>HLOOKUP(I80,ElecAvoidedCostsWOCC!$A$5:$Q$50,G80+1,FALSE)</f>
        <v>#N/A</v>
      </c>
      <c r="AG80" s="44" t="e">
        <f t="shared" si="49"/>
        <v>#N/A</v>
      </c>
      <c r="AH80" s="52" t="e">
        <f>HLOOKUP(I80,ElecAvoidedCostsWOCC!$A$5:$Q$50,T80+1,FALSE)</f>
        <v>#N/A</v>
      </c>
      <c r="AI80" s="44" t="e">
        <f t="shared" si="50"/>
        <v>#N/A</v>
      </c>
      <c r="AJ80" s="44" t="e">
        <f t="shared" si="51"/>
        <v>#N/A</v>
      </c>
      <c r="AK80" s="44" t="e">
        <f>HLOOKUP(I80,ElecAvoidedCostsWOCC!$A$5:$Q$50,G80+1,FALSE)*J80*L80</f>
        <v>#N/A</v>
      </c>
      <c r="AL80" s="44" t="e">
        <f t="shared" si="52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53"/>
        <v>0</v>
      </c>
      <c r="AO80" s="47">
        <f t="shared" si="54"/>
        <v>0</v>
      </c>
      <c r="AP80" s="47" t="e">
        <f t="shared" si="55"/>
        <v>#DIV/0!</v>
      </c>
    </row>
    <row r="81" spans="2:42">
      <c r="B81" s="9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7"/>
        <v>0</v>
      </c>
      <c r="U81" s="47">
        <f t="shared" si="38"/>
        <v>0</v>
      </c>
      <c r="V81" s="48">
        <f t="shared" si="39"/>
        <v>0</v>
      </c>
      <c r="W81" s="49">
        <f t="shared" si="40"/>
        <v>0</v>
      </c>
      <c r="X81" s="44">
        <f t="shared" si="41"/>
        <v>0</v>
      </c>
      <c r="Y81" s="44">
        <f t="shared" si="42"/>
        <v>0</v>
      </c>
      <c r="Z81" s="44">
        <f t="shared" si="43"/>
        <v>0</v>
      </c>
      <c r="AA81" s="50">
        <f t="shared" si="44"/>
        <v>0</v>
      </c>
      <c r="AB81" s="51">
        <f t="shared" si="45"/>
        <v>0</v>
      </c>
      <c r="AC81" s="44">
        <f t="shared" si="46"/>
        <v>0</v>
      </c>
      <c r="AD81" s="44">
        <f t="shared" si="47"/>
        <v>0</v>
      </c>
      <c r="AE81" s="44">
        <f t="shared" si="48"/>
        <v>0</v>
      </c>
      <c r="AF81" s="52" t="e">
        <f>HLOOKUP(I81,ElecAvoidedCostsWOCC!$A$5:$Q$50,G81+1,FALSE)</f>
        <v>#N/A</v>
      </c>
      <c r="AG81" s="44" t="e">
        <f t="shared" si="49"/>
        <v>#N/A</v>
      </c>
      <c r="AH81" s="52" t="e">
        <f>HLOOKUP(I81,ElecAvoidedCostsWOCC!$A$5:$Q$50,T81+1,FALSE)</f>
        <v>#N/A</v>
      </c>
      <c r="AI81" s="44" t="e">
        <f t="shared" si="50"/>
        <v>#N/A</v>
      </c>
      <c r="AJ81" s="44" t="e">
        <f t="shared" si="51"/>
        <v>#N/A</v>
      </c>
      <c r="AK81" s="44" t="e">
        <f>HLOOKUP(I81,ElecAvoidedCostsWOCC!$A$5:$Q$50,G81+1,FALSE)*J81*L81</f>
        <v>#N/A</v>
      </c>
      <c r="AL81" s="44" t="e">
        <f t="shared" si="52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3"/>
        <v>0</v>
      </c>
      <c r="AO81" s="47">
        <f t="shared" si="54"/>
        <v>0</v>
      </c>
      <c r="AP81" s="47" t="e">
        <f t="shared" si="55"/>
        <v>#DIV/0!</v>
      </c>
    </row>
    <row r="82" spans="2:42">
      <c r="B82" s="9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7"/>
        <v>0</v>
      </c>
      <c r="U82" s="47">
        <f t="shared" si="38"/>
        <v>0</v>
      </c>
      <c r="V82" s="48">
        <f t="shared" si="39"/>
        <v>0</v>
      </c>
      <c r="W82" s="49">
        <f t="shared" si="40"/>
        <v>0</v>
      </c>
      <c r="X82" s="44">
        <f t="shared" si="41"/>
        <v>0</v>
      </c>
      <c r="Y82" s="44">
        <f t="shared" si="42"/>
        <v>0</v>
      </c>
      <c r="Z82" s="44">
        <f t="shared" si="43"/>
        <v>0</v>
      </c>
      <c r="AA82" s="50">
        <f t="shared" si="44"/>
        <v>0</v>
      </c>
      <c r="AB82" s="51">
        <f t="shared" si="45"/>
        <v>0</v>
      </c>
      <c r="AC82" s="44">
        <f t="shared" si="46"/>
        <v>0</v>
      </c>
      <c r="AD82" s="44">
        <f t="shared" si="47"/>
        <v>0</v>
      </c>
      <c r="AE82" s="44">
        <f t="shared" si="48"/>
        <v>0</v>
      </c>
      <c r="AF82" s="52" t="e">
        <f>HLOOKUP(I82,ElecAvoidedCostsWOCC!$A$5:$Q$50,G82+1,FALSE)</f>
        <v>#N/A</v>
      </c>
      <c r="AG82" s="44" t="e">
        <f t="shared" si="49"/>
        <v>#N/A</v>
      </c>
      <c r="AH82" s="52" t="e">
        <f>HLOOKUP(I82,ElecAvoidedCostsWOCC!$A$5:$Q$50,T82+1,FALSE)</f>
        <v>#N/A</v>
      </c>
      <c r="AI82" s="44" t="e">
        <f t="shared" si="50"/>
        <v>#N/A</v>
      </c>
      <c r="AJ82" s="44" t="e">
        <f t="shared" si="51"/>
        <v>#N/A</v>
      </c>
      <c r="AK82" s="44" t="e">
        <f>HLOOKUP(I82,ElecAvoidedCostsWOCC!$A$5:$Q$50,G82+1,FALSE)*J82*L82</f>
        <v>#N/A</v>
      </c>
      <c r="AL82" s="44" t="e">
        <f t="shared" si="52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53"/>
        <v>0</v>
      </c>
      <c r="AO82" s="47">
        <f t="shared" si="54"/>
        <v>0</v>
      </c>
      <c r="AP82" s="47" t="e">
        <f t="shared" si="55"/>
        <v>#DIV/0!</v>
      </c>
    </row>
    <row r="83" spans="2:42">
      <c r="B83" s="9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7"/>
        <v>0</v>
      </c>
      <c r="U83" s="47">
        <f t="shared" si="38"/>
        <v>0</v>
      </c>
      <c r="V83" s="48">
        <f t="shared" si="39"/>
        <v>0</v>
      </c>
      <c r="W83" s="49">
        <f t="shared" si="40"/>
        <v>0</v>
      </c>
      <c r="X83" s="44">
        <f t="shared" si="41"/>
        <v>0</v>
      </c>
      <c r="Y83" s="44">
        <f t="shared" si="42"/>
        <v>0</v>
      </c>
      <c r="Z83" s="44">
        <f t="shared" si="43"/>
        <v>0</v>
      </c>
      <c r="AA83" s="50">
        <f t="shared" si="44"/>
        <v>0</v>
      </c>
      <c r="AB83" s="51">
        <f t="shared" si="45"/>
        <v>0</v>
      </c>
      <c r="AC83" s="44">
        <f t="shared" si="46"/>
        <v>0</v>
      </c>
      <c r="AD83" s="44">
        <f t="shared" si="47"/>
        <v>0</v>
      </c>
      <c r="AE83" s="44">
        <f t="shared" si="48"/>
        <v>0</v>
      </c>
      <c r="AF83" s="52" t="e">
        <f>HLOOKUP(I83,ElecAvoidedCostsWOCC!$A$5:$Q$50,G83+1,FALSE)</f>
        <v>#N/A</v>
      </c>
      <c r="AG83" s="44" t="e">
        <f t="shared" si="49"/>
        <v>#N/A</v>
      </c>
      <c r="AH83" s="52" t="e">
        <f>HLOOKUP(I83,ElecAvoidedCostsWOCC!$A$5:$Q$50,T83+1,FALSE)</f>
        <v>#N/A</v>
      </c>
      <c r="AI83" s="44" t="e">
        <f t="shared" si="50"/>
        <v>#N/A</v>
      </c>
      <c r="AJ83" s="44" t="e">
        <f t="shared" si="51"/>
        <v>#N/A</v>
      </c>
      <c r="AK83" s="44" t="e">
        <f>HLOOKUP(I83,ElecAvoidedCostsWOCC!$A$5:$Q$50,G83+1,FALSE)*J83*L83</f>
        <v>#N/A</v>
      </c>
      <c r="AL83" s="44" t="e">
        <f t="shared" si="52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3"/>
        <v>0</v>
      </c>
      <c r="AO83" s="47">
        <f t="shared" si="54"/>
        <v>0</v>
      </c>
      <c r="AP83" s="47" t="e">
        <f t="shared" si="55"/>
        <v>#DIV/0!</v>
      </c>
    </row>
    <row r="84" spans="2:42">
      <c r="B84" s="9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ref="T84:T101" si="56">G84+H84</f>
        <v>0</v>
      </c>
      <c r="U84" s="47">
        <f t="shared" ref="U84:U101" si="57">(O84/$A$10)*T84</f>
        <v>0</v>
      </c>
      <c r="V84" s="48">
        <f t="shared" ref="V84:V101" si="58">N84-M84</f>
        <v>0</v>
      </c>
      <c r="W84" s="49">
        <f t="shared" ref="W84:W101" si="59">(O84/A$10)</f>
        <v>0</v>
      </c>
      <c r="X84" s="44">
        <f t="shared" ref="X84:X101" si="60">W84*A$8</f>
        <v>0</v>
      </c>
      <c r="Y84" s="44">
        <f t="shared" ref="Y84:Y101" si="61">Q84-P84</f>
        <v>0</v>
      </c>
      <c r="Z84" s="44">
        <f t="shared" ref="Z84:Z101" si="62">X84+(A$6*W84)</f>
        <v>0</v>
      </c>
      <c r="AA84" s="50">
        <f t="shared" ref="AA84:AA101" si="63">Q84+X84</f>
        <v>0</v>
      </c>
      <c r="AB84" s="51">
        <f t="shared" ref="AB84:AB101" si="64">Z84/(1+ElecDiscountRate)^1</f>
        <v>0</v>
      </c>
      <c r="AC84" s="44">
        <f t="shared" ref="AC84:AC101" si="65">AA84/(1+ElecDiscountRate)^1</f>
        <v>0</v>
      </c>
      <c r="AD84" s="44">
        <f t="shared" ref="AD84:AD101" si="66">-PV(ElecDiscountRate,T84,R84)*J84</f>
        <v>0</v>
      </c>
      <c r="AE84" s="44">
        <f t="shared" ref="AE84:AE101" si="67">-PV(ElecDiscountRate,T84,S84)*J84</f>
        <v>0</v>
      </c>
      <c r="AF84" s="52" t="e">
        <f>HLOOKUP(I84,ElecAvoidedCostsWOCC!$A$5:$Q$50,G84+1,FALSE)</f>
        <v>#N/A</v>
      </c>
      <c r="AG84" s="44" t="e">
        <f t="shared" ref="AG84:AG101" si="68">AF84*J84*K84</f>
        <v>#N/A</v>
      </c>
      <c r="AH84" s="52" t="e">
        <f>HLOOKUP(I84,ElecAvoidedCostsWOCC!$A$5:$Q$50,T84+1,FALSE)</f>
        <v>#N/A</v>
      </c>
      <c r="AI84" s="44" t="e">
        <f t="shared" ref="AI84:AI101" si="69">AH84*J84*L84</f>
        <v>#N/A</v>
      </c>
      <c r="AJ84" s="44" t="e">
        <f t="shared" ref="AJ84:AJ101" si="70">AG84+AI84</f>
        <v>#N/A</v>
      </c>
      <c r="AK84" s="44" t="e">
        <f>HLOOKUP(I84,ElecAvoidedCostsWOCC!$A$5:$Q$50,G84+1,FALSE)*J84*L84</f>
        <v>#N/A</v>
      </c>
      <c r="AL84" s="44" t="e">
        <f t="shared" ref="AL84:AL101" si="71">AG84+AI84-AK84</f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ref="AN84:AN101" si="72">AM84*1.1+AD84+AE84</f>
        <v>0</v>
      </c>
      <c r="AO84" s="47">
        <f t="shared" ref="AO84:AO101" si="73">IFERROR(AM84/AB84,0)</f>
        <v>0</v>
      </c>
      <c r="AP84" s="47" t="e">
        <f t="shared" ref="AP84:AP101" si="74">AN84/AC84</f>
        <v>#DIV/0!</v>
      </c>
    </row>
    <row r="85" spans="2:42">
      <c r="B85" s="9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56"/>
        <v>0</v>
      </c>
      <c r="U85" s="47">
        <f t="shared" si="57"/>
        <v>0</v>
      </c>
      <c r="V85" s="48">
        <f t="shared" si="58"/>
        <v>0</v>
      </c>
      <c r="W85" s="49">
        <f t="shared" si="59"/>
        <v>0</v>
      </c>
      <c r="X85" s="44">
        <f t="shared" si="60"/>
        <v>0</v>
      </c>
      <c r="Y85" s="44">
        <f t="shared" si="61"/>
        <v>0</v>
      </c>
      <c r="Z85" s="44">
        <f t="shared" si="62"/>
        <v>0</v>
      </c>
      <c r="AA85" s="50">
        <f t="shared" si="63"/>
        <v>0</v>
      </c>
      <c r="AB85" s="51">
        <f t="shared" si="64"/>
        <v>0</v>
      </c>
      <c r="AC85" s="44">
        <f t="shared" si="65"/>
        <v>0</v>
      </c>
      <c r="AD85" s="44">
        <f t="shared" si="66"/>
        <v>0</v>
      </c>
      <c r="AE85" s="44">
        <f t="shared" si="67"/>
        <v>0</v>
      </c>
      <c r="AF85" s="52" t="e">
        <f>HLOOKUP(I85,ElecAvoidedCostsWOCC!$A$5:$Q$50,G85+1,FALSE)</f>
        <v>#N/A</v>
      </c>
      <c r="AG85" s="44" t="e">
        <f t="shared" si="68"/>
        <v>#N/A</v>
      </c>
      <c r="AH85" s="52" t="e">
        <f>HLOOKUP(I85,ElecAvoidedCostsWOCC!$A$5:$Q$50,T85+1,FALSE)</f>
        <v>#N/A</v>
      </c>
      <c r="AI85" s="44" t="e">
        <f t="shared" si="69"/>
        <v>#N/A</v>
      </c>
      <c r="AJ85" s="44" t="e">
        <f t="shared" si="70"/>
        <v>#N/A</v>
      </c>
      <c r="AK85" s="44" t="e">
        <f>HLOOKUP(I85,ElecAvoidedCostsWOCC!$A$5:$Q$50,G85+1,FALSE)*J85*L85</f>
        <v>#N/A</v>
      </c>
      <c r="AL85" s="44" t="e">
        <f t="shared" si="71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72"/>
        <v>0</v>
      </c>
      <c r="AO85" s="47">
        <f t="shared" si="73"/>
        <v>0</v>
      </c>
      <c r="AP85" s="47" t="e">
        <f t="shared" si="74"/>
        <v>#DIV/0!</v>
      </c>
    </row>
    <row r="86" spans="2:42">
      <c r="B86" s="9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56"/>
        <v>0</v>
      </c>
      <c r="U86" s="47">
        <f t="shared" si="57"/>
        <v>0</v>
      </c>
      <c r="V86" s="48">
        <f t="shared" si="58"/>
        <v>0</v>
      </c>
      <c r="W86" s="49">
        <f t="shared" si="59"/>
        <v>0</v>
      </c>
      <c r="X86" s="44">
        <f t="shared" si="60"/>
        <v>0</v>
      </c>
      <c r="Y86" s="44">
        <f t="shared" si="61"/>
        <v>0</v>
      </c>
      <c r="Z86" s="44">
        <f t="shared" si="62"/>
        <v>0</v>
      </c>
      <c r="AA86" s="50">
        <f t="shared" si="63"/>
        <v>0</v>
      </c>
      <c r="AB86" s="51">
        <f t="shared" si="64"/>
        <v>0</v>
      </c>
      <c r="AC86" s="44">
        <f t="shared" si="65"/>
        <v>0</v>
      </c>
      <c r="AD86" s="44">
        <f t="shared" si="66"/>
        <v>0</v>
      </c>
      <c r="AE86" s="44">
        <f t="shared" si="67"/>
        <v>0</v>
      </c>
      <c r="AF86" s="52" t="e">
        <f>HLOOKUP(I86,ElecAvoidedCostsWOCC!$A$5:$Q$50,G86+1,FALSE)</f>
        <v>#N/A</v>
      </c>
      <c r="AG86" s="44" t="e">
        <f t="shared" si="68"/>
        <v>#N/A</v>
      </c>
      <c r="AH86" s="52" t="e">
        <f>HLOOKUP(I86,ElecAvoidedCostsWOCC!$A$5:$Q$50,T86+1,FALSE)</f>
        <v>#N/A</v>
      </c>
      <c r="AI86" s="44" t="e">
        <f t="shared" si="69"/>
        <v>#N/A</v>
      </c>
      <c r="AJ86" s="44" t="e">
        <f t="shared" si="70"/>
        <v>#N/A</v>
      </c>
      <c r="AK86" s="44" t="e">
        <f>HLOOKUP(I86,ElecAvoidedCostsWOCC!$A$5:$Q$50,G86+1,FALSE)*J86*L86</f>
        <v>#N/A</v>
      </c>
      <c r="AL86" s="44" t="e">
        <f t="shared" si="71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72"/>
        <v>0</v>
      </c>
      <c r="AO86" s="47">
        <f t="shared" si="73"/>
        <v>0</v>
      </c>
      <c r="AP86" s="47" t="e">
        <f t="shared" si="74"/>
        <v>#DIV/0!</v>
      </c>
    </row>
    <row r="87" spans="2:42">
      <c r="B87" s="9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56"/>
        <v>0</v>
      </c>
      <c r="U87" s="47">
        <f t="shared" si="57"/>
        <v>0</v>
      </c>
      <c r="V87" s="48">
        <f t="shared" si="58"/>
        <v>0</v>
      </c>
      <c r="W87" s="49">
        <f t="shared" si="59"/>
        <v>0</v>
      </c>
      <c r="X87" s="44">
        <f t="shared" si="60"/>
        <v>0</v>
      </c>
      <c r="Y87" s="44">
        <f t="shared" si="61"/>
        <v>0</v>
      </c>
      <c r="Z87" s="44">
        <f t="shared" si="62"/>
        <v>0</v>
      </c>
      <c r="AA87" s="50">
        <f t="shared" si="63"/>
        <v>0</v>
      </c>
      <c r="AB87" s="51">
        <f t="shared" si="64"/>
        <v>0</v>
      </c>
      <c r="AC87" s="44">
        <f t="shared" si="65"/>
        <v>0</v>
      </c>
      <c r="AD87" s="44">
        <f t="shared" si="66"/>
        <v>0</v>
      </c>
      <c r="AE87" s="44">
        <f t="shared" si="67"/>
        <v>0</v>
      </c>
      <c r="AF87" s="52" t="e">
        <f>HLOOKUP(I87,ElecAvoidedCostsWOCC!$A$5:$Q$50,G87+1,FALSE)</f>
        <v>#N/A</v>
      </c>
      <c r="AG87" s="44" t="e">
        <f t="shared" si="68"/>
        <v>#N/A</v>
      </c>
      <c r="AH87" s="52" t="e">
        <f>HLOOKUP(I87,ElecAvoidedCostsWOCC!$A$5:$Q$50,T87+1,FALSE)</f>
        <v>#N/A</v>
      </c>
      <c r="AI87" s="44" t="e">
        <f t="shared" si="69"/>
        <v>#N/A</v>
      </c>
      <c r="AJ87" s="44" t="e">
        <f t="shared" si="70"/>
        <v>#N/A</v>
      </c>
      <c r="AK87" s="44" t="e">
        <f>HLOOKUP(I87,ElecAvoidedCostsWOCC!$A$5:$Q$50,G87+1,FALSE)*J87*L87</f>
        <v>#N/A</v>
      </c>
      <c r="AL87" s="44" t="e">
        <f t="shared" si="71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72"/>
        <v>0</v>
      </c>
      <c r="AO87" s="47">
        <f t="shared" si="73"/>
        <v>0</v>
      </c>
      <c r="AP87" s="47" t="e">
        <f t="shared" si="74"/>
        <v>#DIV/0!</v>
      </c>
    </row>
    <row r="88" spans="2:42">
      <c r="B88" s="9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56"/>
        <v>0</v>
      </c>
      <c r="U88" s="47">
        <f t="shared" si="57"/>
        <v>0</v>
      </c>
      <c r="V88" s="48">
        <f t="shared" si="58"/>
        <v>0</v>
      </c>
      <c r="W88" s="49">
        <f t="shared" si="59"/>
        <v>0</v>
      </c>
      <c r="X88" s="44">
        <f t="shared" si="60"/>
        <v>0</v>
      </c>
      <c r="Y88" s="44">
        <f t="shared" si="61"/>
        <v>0</v>
      </c>
      <c r="Z88" s="44">
        <f t="shared" si="62"/>
        <v>0</v>
      </c>
      <c r="AA88" s="50">
        <f t="shared" si="63"/>
        <v>0</v>
      </c>
      <c r="AB88" s="51">
        <f t="shared" si="64"/>
        <v>0</v>
      </c>
      <c r="AC88" s="44">
        <f t="shared" si="65"/>
        <v>0</v>
      </c>
      <c r="AD88" s="44">
        <f t="shared" si="66"/>
        <v>0</v>
      </c>
      <c r="AE88" s="44">
        <f t="shared" si="67"/>
        <v>0</v>
      </c>
      <c r="AF88" s="52" t="e">
        <f>HLOOKUP(I88,ElecAvoidedCostsWOCC!$A$5:$Q$50,G88+1,FALSE)</f>
        <v>#N/A</v>
      </c>
      <c r="AG88" s="44" t="e">
        <f t="shared" si="68"/>
        <v>#N/A</v>
      </c>
      <c r="AH88" s="52" t="e">
        <f>HLOOKUP(I88,ElecAvoidedCostsWOCC!$A$5:$Q$50,T88+1,FALSE)</f>
        <v>#N/A</v>
      </c>
      <c r="AI88" s="44" t="e">
        <f t="shared" si="69"/>
        <v>#N/A</v>
      </c>
      <c r="AJ88" s="44" t="e">
        <f t="shared" si="70"/>
        <v>#N/A</v>
      </c>
      <c r="AK88" s="44" t="e">
        <f>HLOOKUP(I88,ElecAvoidedCostsWOCC!$A$5:$Q$50,G88+1,FALSE)*J88*L88</f>
        <v>#N/A</v>
      </c>
      <c r="AL88" s="44" t="e">
        <f t="shared" si="71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72"/>
        <v>0</v>
      </c>
      <c r="AO88" s="47">
        <f t="shared" si="73"/>
        <v>0</v>
      </c>
      <c r="AP88" s="47" t="e">
        <f t="shared" si="74"/>
        <v>#DIV/0!</v>
      </c>
    </row>
    <row r="89" spans="2:42">
      <c r="B89" s="9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56"/>
        <v>0</v>
      </c>
      <c r="U89" s="47">
        <f t="shared" si="57"/>
        <v>0</v>
      </c>
      <c r="V89" s="48">
        <f t="shared" si="58"/>
        <v>0</v>
      </c>
      <c r="W89" s="49">
        <f t="shared" si="59"/>
        <v>0</v>
      </c>
      <c r="X89" s="44">
        <f t="shared" si="60"/>
        <v>0</v>
      </c>
      <c r="Y89" s="44">
        <f t="shared" si="61"/>
        <v>0</v>
      </c>
      <c r="Z89" s="44">
        <f t="shared" si="62"/>
        <v>0</v>
      </c>
      <c r="AA89" s="50">
        <f t="shared" si="63"/>
        <v>0</v>
      </c>
      <c r="AB89" s="51">
        <f t="shared" si="64"/>
        <v>0</v>
      </c>
      <c r="AC89" s="44">
        <f t="shared" si="65"/>
        <v>0</v>
      </c>
      <c r="AD89" s="44">
        <f t="shared" si="66"/>
        <v>0</v>
      </c>
      <c r="AE89" s="44">
        <f t="shared" si="67"/>
        <v>0</v>
      </c>
      <c r="AF89" s="52" t="e">
        <f>HLOOKUP(I89,ElecAvoidedCostsWOCC!$A$5:$Q$50,G89+1,FALSE)</f>
        <v>#N/A</v>
      </c>
      <c r="AG89" s="44" t="e">
        <f t="shared" si="68"/>
        <v>#N/A</v>
      </c>
      <c r="AH89" s="52" t="e">
        <f>HLOOKUP(I89,ElecAvoidedCostsWOCC!$A$5:$Q$50,T89+1,FALSE)</f>
        <v>#N/A</v>
      </c>
      <c r="AI89" s="44" t="e">
        <f t="shared" si="69"/>
        <v>#N/A</v>
      </c>
      <c r="AJ89" s="44" t="e">
        <f t="shared" si="70"/>
        <v>#N/A</v>
      </c>
      <c r="AK89" s="44" t="e">
        <f>HLOOKUP(I89,ElecAvoidedCostsWOCC!$A$5:$Q$50,G89+1,FALSE)*J89*L89</f>
        <v>#N/A</v>
      </c>
      <c r="AL89" s="44" t="e">
        <f t="shared" si="71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72"/>
        <v>0</v>
      </c>
      <c r="AO89" s="47">
        <f t="shared" si="73"/>
        <v>0</v>
      </c>
      <c r="AP89" s="47" t="e">
        <f t="shared" si="74"/>
        <v>#DIV/0!</v>
      </c>
    </row>
    <row r="90" spans="2:42">
      <c r="B90" s="9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56"/>
        <v>0</v>
      </c>
      <c r="U90" s="47">
        <f t="shared" si="57"/>
        <v>0</v>
      </c>
      <c r="V90" s="48">
        <f t="shared" si="58"/>
        <v>0</v>
      </c>
      <c r="W90" s="49">
        <f t="shared" si="59"/>
        <v>0</v>
      </c>
      <c r="X90" s="44">
        <f t="shared" si="60"/>
        <v>0</v>
      </c>
      <c r="Y90" s="44">
        <f t="shared" si="61"/>
        <v>0</v>
      </c>
      <c r="Z90" s="44">
        <f t="shared" si="62"/>
        <v>0</v>
      </c>
      <c r="AA90" s="50">
        <f t="shared" si="63"/>
        <v>0</v>
      </c>
      <c r="AB90" s="51">
        <f t="shared" si="64"/>
        <v>0</v>
      </c>
      <c r="AC90" s="44">
        <f t="shared" si="65"/>
        <v>0</v>
      </c>
      <c r="AD90" s="44">
        <f t="shared" si="66"/>
        <v>0</v>
      </c>
      <c r="AE90" s="44">
        <f t="shared" si="67"/>
        <v>0</v>
      </c>
      <c r="AF90" s="52" t="e">
        <f>HLOOKUP(I90,ElecAvoidedCostsWOCC!$A$5:$Q$50,G90+1,FALSE)</f>
        <v>#N/A</v>
      </c>
      <c r="AG90" s="44" t="e">
        <f t="shared" si="68"/>
        <v>#N/A</v>
      </c>
      <c r="AH90" s="52" t="e">
        <f>HLOOKUP(I90,ElecAvoidedCostsWOCC!$A$5:$Q$50,T90+1,FALSE)</f>
        <v>#N/A</v>
      </c>
      <c r="AI90" s="44" t="e">
        <f t="shared" si="69"/>
        <v>#N/A</v>
      </c>
      <c r="AJ90" s="44" t="e">
        <f t="shared" si="70"/>
        <v>#N/A</v>
      </c>
      <c r="AK90" s="44" t="e">
        <f>HLOOKUP(I90,ElecAvoidedCostsWOCC!$A$5:$Q$50,G90+1,FALSE)*J90*L90</f>
        <v>#N/A</v>
      </c>
      <c r="AL90" s="44" t="e">
        <f t="shared" si="71"/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 t="shared" si="72"/>
        <v>0</v>
      </c>
      <c r="AO90" s="47">
        <f t="shared" si="73"/>
        <v>0</v>
      </c>
      <c r="AP90" s="47" t="e">
        <f t="shared" si="74"/>
        <v>#DIV/0!</v>
      </c>
    </row>
    <row r="91" spans="2:42">
      <c r="B91" s="9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56"/>
        <v>0</v>
      </c>
      <c r="U91" s="47">
        <f t="shared" si="57"/>
        <v>0</v>
      </c>
      <c r="V91" s="48">
        <f t="shared" si="58"/>
        <v>0</v>
      </c>
      <c r="W91" s="49">
        <f t="shared" si="59"/>
        <v>0</v>
      </c>
      <c r="X91" s="44">
        <f t="shared" si="60"/>
        <v>0</v>
      </c>
      <c r="Y91" s="44">
        <f t="shared" si="61"/>
        <v>0</v>
      </c>
      <c r="Z91" s="44">
        <f t="shared" si="62"/>
        <v>0</v>
      </c>
      <c r="AA91" s="50">
        <f t="shared" si="63"/>
        <v>0</v>
      </c>
      <c r="AB91" s="51">
        <f t="shared" si="64"/>
        <v>0</v>
      </c>
      <c r="AC91" s="44">
        <f t="shared" si="65"/>
        <v>0</v>
      </c>
      <c r="AD91" s="44">
        <f t="shared" si="66"/>
        <v>0</v>
      </c>
      <c r="AE91" s="44">
        <f t="shared" si="67"/>
        <v>0</v>
      </c>
      <c r="AF91" s="52" t="e">
        <f>HLOOKUP(I91,ElecAvoidedCostsWOCC!$A$5:$Q$50,G91+1,FALSE)</f>
        <v>#N/A</v>
      </c>
      <c r="AG91" s="44" t="e">
        <f t="shared" si="68"/>
        <v>#N/A</v>
      </c>
      <c r="AH91" s="52" t="e">
        <f>HLOOKUP(I91,ElecAvoidedCostsWOCC!$A$5:$Q$50,T91+1,FALSE)</f>
        <v>#N/A</v>
      </c>
      <c r="AI91" s="44" t="e">
        <f t="shared" si="69"/>
        <v>#N/A</v>
      </c>
      <c r="AJ91" s="44" t="e">
        <f t="shared" si="70"/>
        <v>#N/A</v>
      </c>
      <c r="AK91" s="44" t="e">
        <f>HLOOKUP(I91,ElecAvoidedCostsWOCC!$A$5:$Q$50,G91+1,FALSE)*J91*L91</f>
        <v>#N/A</v>
      </c>
      <c r="AL91" s="44" t="e">
        <f t="shared" si="71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72"/>
        <v>0</v>
      </c>
      <c r="AO91" s="47">
        <f t="shared" si="73"/>
        <v>0</v>
      </c>
      <c r="AP91" s="47" t="e">
        <f t="shared" si="74"/>
        <v>#DIV/0!</v>
      </c>
    </row>
    <row r="92" spans="2:42">
      <c r="B92" s="9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56"/>
        <v>0</v>
      </c>
      <c r="U92" s="47">
        <f t="shared" si="57"/>
        <v>0</v>
      </c>
      <c r="V92" s="48">
        <f t="shared" si="58"/>
        <v>0</v>
      </c>
      <c r="W92" s="49">
        <f t="shared" si="59"/>
        <v>0</v>
      </c>
      <c r="X92" s="44">
        <f t="shared" si="60"/>
        <v>0</v>
      </c>
      <c r="Y92" s="44">
        <f t="shared" si="61"/>
        <v>0</v>
      </c>
      <c r="Z92" s="44">
        <f t="shared" si="62"/>
        <v>0</v>
      </c>
      <c r="AA92" s="50">
        <f t="shared" si="63"/>
        <v>0</v>
      </c>
      <c r="AB92" s="51">
        <f t="shared" si="64"/>
        <v>0</v>
      </c>
      <c r="AC92" s="44">
        <f t="shared" si="65"/>
        <v>0</v>
      </c>
      <c r="AD92" s="44">
        <f t="shared" si="66"/>
        <v>0</v>
      </c>
      <c r="AE92" s="44">
        <f t="shared" si="67"/>
        <v>0</v>
      </c>
      <c r="AF92" s="52" t="e">
        <f>HLOOKUP(I92,ElecAvoidedCostsWOCC!$A$5:$Q$50,G92+1,FALSE)</f>
        <v>#N/A</v>
      </c>
      <c r="AG92" s="44" t="e">
        <f t="shared" si="68"/>
        <v>#N/A</v>
      </c>
      <c r="AH92" s="52" t="e">
        <f>HLOOKUP(I92,ElecAvoidedCostsWOCC!$A$5:$Q$50,T92+1,FALSE)</f>
        <v>#N/A</v>
      </c>
      <c r="AI92" s="44" t="e">
        <f t="shared" si="69"/>
        <v>#N/A</v>
      </c>
      <c r="AJ92" s="44" t="e">
        <f t="shared" si="70"/>
        <v>#N/A</v>
      </c>
      <c r="AK92" s="44" t="e">
        <f>HLOOKUP(I92,ElecAvoidedCostsWOCC!$A$5:$Q$50,G92+1,FALSE)*J92*L92</f>
        <v>#N/A</v>
      </c>
      <c r="AL92" s="44" t="e">
        <f t="shared" si="71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72"/>
        <v>0</v>
      </c>
      <c r="AO92" s="47">
        <f t="shared" si="73"/>
        <v>0</v>
      </c>
      <c r="AP92" s="47" t="e">
        <f t="shared" si="74"/>
        <v>#DIV/0!</v>
      </c>
    </row>
    <row r="93" spans="2:42">
      <c r="B93" s="9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56"/>
        <v>0</v>
      </c>
      <c r="U93" s="47">
        <f t="shared" si="57"/>
        <v>0</v>
      </c>
      <c r="V93" s="48">
        <f t="shared" si="58"/>
        <v>0</v>
      </c>
      <c r="W93" s="49">
        <f t="shared" si="59"/>
        <v>0</v>
      </c>
      <c r="X93" s="44">
        <f t="shared" si="60"/>
        <v>0</v>
      </c>
      <c r="Y93" s="44">
        <f t="shared" si="61"/>
        <v>0</v>
      </c>
      <c r="Z93" s="44">
        <f t="shared" si="62"/>
        <v>0</v>
      </c>
      <c r="AA93" s="50">
        <f t="shared" si="63"/>
        <v>0</v>
      </c>
      <c r="AB93" s="51">
        <f t="shared" si="64"/>
        <v>0</v>
      </c>
      <c r="AC93" s="44">
        <f t="shared" si="65"/>
        <v>0</v>
      </c>
      <c r="AD93" s="44">
        <f t="shared" si="66"/>
        <v>0</v>
      </c>
      <c r="AE93" s="44">
        <f t="shared" si="67"/>
        <v>0</v>
      </c>
      <c r="AF93" s="52" t="e">
        <f>HLOOKUP(I93,ElecAvoidedCostsWOCC!$A$5:$Q$50,G93+1,FALSE)</f>
        <v>#N/A</v>
      </c>
      <c r="AG93" s="44" t="e">
        <f t="shared" si="68"/>
        <v>#N/A</v>
      </c>
      <c r="AH93" s="52" t="e">
        <f>HLOOKUP(I93,ElecAvoidedCostsWOCC!$A$5:$Q$50,T93+1,FALSE)</f>
        <v>#N/A</v>
      </c>
      <c r="AI93" s="44" t="e">
        <f t="shared" si="69"/>
        <v>#N/A</v>
      </c>
      <c r="AJ93" s="44" t="e">
        <f t="shared" si="70"/>
        <v>#N/A</v>
      </c>
      <c r="AK93" s="44" t="e">
        <f>HLOOKUP(I93,ElecAvoidedCostsWOCC!$A$5:$Q$50,G93+1,FALSE)*J93*L93</f>
        <v>#N/A</v>
      </c>
      <c r="AL93" s="44" t="e">
        <f t="shared" si="71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72"/>
        <v>0</v>
      </c>
      <c r="AO93" s="47">
        <f t="shared" si="73"/>
        <v>0</v>
      </c>
      <c r="AP93" s="47" t="e">
        <f t="shared" si="74"/>
        <v>#DIV/0!</v>
      </c>
    </row>
    <row r="94" spans="2:42">
      <c r="B94" s="97"/>
      <c r="C94" s="61"/>
      <c r="D94" s="61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56"/>
        <v>0</v>
      </c>
      <c r="U94" s="47">
        <f t="shared" si="57"/>
        <v>0</v>
      </c>
      <c r="V94" s="48">
        <f t="shared" si="58"/>
        <v>0</v>
      </c>
      <c r="W94" s="49">
        <f t="shared" si="59"/>
        <v>0</v>
      </c>
      <c r="X94" s="44">
        <f t="shared" si="60"/>
        <v>0</v>
      </c>
      <c r="Y94" s="44">
        <f t="shared" si="61"/>
        <v>0</v>
      </c>
      <c r="Z94" s="44">
        <f t="shared" si="62"/>
        <v>0</v>
      </c>
      <c r="AA94" s="50">
        <f t="shared" si="63"/>
        <v>0</v>
      </c>
      <c r="AB94" s="51">
        <f t="shared" si="64"/>
        <v>0</v>
      </c>
      <c r="AC94" s="44">
        <f t="shared" si="65"/>
        <v>0</v>
      </c>
      <c r="AD94" s="44">
        <f t="shared" si="66"/>
        <v>0</v>
      </c>
      <c r="AE94" s="44">
        <f t="shared" si="67"/>
        <v>0</v>
      </c>
      <c r="AF94" s="52" t="e">
        <f>HLOOKUP(I94,ElecAvoidedCostsWOCC!$A$5:$Q$50,G94+1,FALSE)</f>
        <v>#N/A</v>
      </c>
      <c r="AG94" s="44" t="e">
        <f t="shared" si="68"/>
        <v>#N/A</v>
      </c>
      <c r="AH94" s="52" t="e">
        <f>HLOOKUP(I94,ElecAvoidedCostsWOCC!$A$5:$Q$50,T94+1,FALSE)</f>
        <v>#N/A</v>
      </c>
      <c r="AI94" s="44" t="e">
        <f t="shared" si="69"/>
        <v>#N/A</v>
      </c>
      <c r="AJ94" s="44" t="e">
        <f t="shared" si="70"/>
        <v>#N/A</v>
      </c>
      <c r="AK94" s="44" t="e">
        <f>HLOOKUP(I94,ElecAvoidedCostsWOCC!$A$5:$Q$50,G94+1,FALSE)*J94*L94</f>
        <v>#N/A</v>
      </c>
      <c r="AL94" s="44" t="e">
        <f t="shared" si="71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72"/>
        <v>0</v>
      </c>
      <c r="AO94" s="47">
        <f t="shared" si="73"/>
        <v>0</v>
      </c>
      <c r="AP94" s="47" t="e">
        <f t="shared" si="74"/>
        <v>#DIV/0!</v>
      </c>
    </row>
    <row r="95" spans="2:42">
      <c r="B95" s="37"/>
      <c r="C95" s="61"/>
      <c r="D95" s="61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56"/>
        <v>0</v>
      </c>
      <c r="U95" s="47">
        <f t="shared" si="57"/>
        <v>0</v>
      </c>
      <c r="V95" s="48">
        <f t="shared" si="58"/>
        <v>0</v>
      </c>
      <c r="W95" s="49">
        <f t="shared" si="59"/>
        <v>0</v>
      </c>
      <c r="X95" s="44">
        <f t="shared" si="60"/>
        <v>0</v>
      </c>
      <c r="Y95" s="44">
        <f t="shared" si="61"/>
        <v>0</v>
      </c>
      <c r="Z95" s="44">
        <f t="shared" si="62"/>
        <v>0</v>
      </c>
      <c r="AA95" s="50">
        <f t="shared" si="63"/>
        <v>0</v>
      </c>
      <c r="AB95" s="51">
        <f t="shared" si="64"/>
        <v>0</v>
      </c>
      <c r="AC95" s="44">
        <f t="shared" si="65"/>
        <v>0</v>
      </c>
      <c r="AD95" s="44">
        <f t="shared" si="66"/>
        <v>0</v>
      </c>
      <c r="AE95" s="44">
        <f t="shared" si="67"/>
        <v>0</v>
      </c>
      <c r="AF95" s="52" t="e">
        <f>HLOOKUP(I95,ElecAvoidedCostsWOCC!$A$5:$Q$50,G95+1,FALSE)</f>
        <v>#N/A</v>
      </c>
      <c r="AG95" s="44" t="e">
        <f t="shared" si="68"/>
        <v>#N/A</v>
      </c>
      <c r="AH95" s="52" t="e">
        <f>HLOOKUP(I95,ElecAvoidedCostsWOCC!$A$5:$Q$50,T95+1,FALSE)</f>
        <v>#N/A</v>
      </c>
      <c r="AI95" s="44" t="e">
        <f t="shared" si="69"/>
        <v>#N/A</v>
      </c>
      <c r="AJ95" s="44" t="e">
        <f t="shared" si="70"/>
        <v>#N/A</v>
      </c>
      <c r="AK95" s="44" t="e">
        <f>HLOOKUP(I95,ElecAvoidedCostsWOCC!$A$5:$Q$50,G95+1,FALSE)*J95*L95</f>
        <v>#N/A</v>
      </c>
      <c r="AL95" s="44" t="e">
        <f t="shared" si="71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72"/>
        <v>0</v>
      </c>
      <c r="AO95" s="47">
        <f t="shared" si="73"/>
        <v>0</v>
      </c>
      <c r="AP95" s="47" t="e">
        <f t="shared" si="74"/>
        <v>#DIV/0!</v>
      </c>
    </row>
    <row r="96" spans="2:42">
      <c r="B96" s="3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56"/>
        <v>0</v>
      </c>
      <c r="U96" s="47">
        <f t="shared" si="57"/>
        <v>0</v>
      </c>
      <c r="V96" s="48">
        <f t="shared" si="58"/>
        <v>0</v>
      </c>
      <c r="W96" s="49">
        <f t="shared" si="59"/>
        <v>0</v>
      </c>
      <c r="X96" s="44">
        <f t="shared" si="60"/>
        <v>0</v>
      </c>
      <c r="Y96" s="44">
        <f t="shared" si="61"/>
        <v>0</v>
      </c>
      <c r="Z96" s="44">
        <f t="shared" si="62"/>
        <v>0</v>
      </c>
      <c r="AA96" s="50">
        <f t="shared" si="63"/>
        <v>0</v>
      </c>
      <c r="AB96" s="51">
        <f t="shared" si="64"/>
        <v>0</v>
      </c>
      <c r="AC96" s="44">
        <f t="shared" si="65"/>
        <v>0</v>
      </c>
      <c r="AD96" s="44">
        <f t="shared" si="66"/>
        <v>0</v>
      </c>
      <c r="AE96" s="44">
        <f t="shared" si="67"/>
        <v>0</v>
      </c>
      <c r="AF96" s="52" t="e">
        <f>HLOOKUP(I96,ElecAvoidedCostsWOCC!$A$5:$Q$50,G96+1,FALSE)</f>
        <v>#N/A</v>
      </c>
      <c r="AG96" s="44" t="e">
        <f t="shared" si="68"/>
        <v>#N/A</v>
      </c>
      <c r="AH96" s="52" t="e">
        <f>HLOOKUP(I96,ElecAvoidedCostsWOCC!$A$5:$Q$50,T96+1,FALSE)</f>
        <v>#N/A</v>
      </c>
      <c r="AI96" s="44" t="e">
        <f t="shared" si="69"/>
        <v>#N/A</v>
      </c>
      <c r="AJ96" s="44" t="e">
        <f t="shared" si="70"/>
        <v>#N/A</v>
      </c>
      <c r="AK96" s="44" t="e">
        <f>HLOOKUP(I96,ElecAvoidedCostsWOCC!$A$5:$Q$50,G96+1,FALSE)*J96*L96</f>
        <v>#N/A</v>
      </c>
      <c r="AL96" s="44" t="e">
        <f t="shared" si="71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72"/>
        <v>0</v>
      </c>
      <c r="AO96" s="47">
        <f t="shared" si="73"/>
        <v>0</v>
      </c>
      <c r="AP96" s="47" t="e">
        <f t="shared" si="74"/>
        <v>#DIV/0!</v>
      </c>
    </row>
    <row r="97" spans="2:42">
      <c r="B97" s="3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56"/>
        <v>0</v>
      </c>
      <c r="U97" s="47">
        <f t="shared" si="57"/>
        <v>0</v>
      </c>
      <c r="V97" s="48">
        <f t="shared" si="58"/>
        <v>0</v>
      </c>
      <c r="W97" s="49">
        <f t="shared" si="59"/>
        <v>0</v>
      </c>
      <c r="X97" s="44">
        <f t="shared" si="60"/>
        <v>0</v>
      </c>
      <c r="Y97" s="44">
        <f t="shared" si="61"/>
        <v>0</v>
      </c>
      <c r="Z97" s="44">
        <f t="shared" si="62"/>
        <v>0</v>
      </c>
      <c r="AA97" s="50">
        <f t="shared" si="63"/>
        <v>0</v>
      </c>
      <c r="AB97" s="51">
        <f t="shared" si="64"/>
        <v>0</v>
      </c>
      <c r="AC97" s="44">
        <f t="shared" si="65"/>
        <v>0</v>
      </c>
      <c r="AD97" s="44">
        <f t="shared" si="66"/>
        <v>0</v>
      </c>
      <c r="AE97" s="44">
        <f t="shared" si="67"/>
        <v>0</v>
      </c>
      <c r="AF97" s="52" t="e">
        <f>HLOOKUP(I97,ElecAvoidedCostsWOCC!$A$5:$Q$50,G97+1,FALSE)</f>
        <v>#N/A</v>
      </c>
      <c r="AG97" s="44" t="e">
        <f t="shared" si="68"/>
        <v>#N/A</v>
      </c>
      <c r="AH97" s="52" t="e">
        <f>HLOOKUP(I97,ElecAvoidedCostsWOCC!$A$5:$Q$50,T97+1,FALSE)</f>
        <v>#N/A</v>
      </c>
      <c r="AI97" s="44" t="e">
        <f t="shared" si="69"/>
        <v>#N/A</v>
      </c>
      <c r="AJ97" s="44" t="e">
        <f t="shared" si="70"/>
        <v>#N/A</v>
      </c>
      <c r="AK97" s="44" t="e">
        <f>HLOOKUP(I97,ElecAvoidedCostsWOCC!$A$5:$Q$50,G97+1,FALSE)*J97*L97</f>
        <v>#N/A</v>
      </c>
      <c r="AL97" s="44" t="e">
        <f t="shared" si="71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72"/>
        <v>0</v>
      </c>
      <c r="AO97" s="47">
        <f t="shared" si="73"/>
        <v>0</v>
      </c>
      <c r="AP97" s="47" t="e">
        <f t="shared" si="74"/>
        <v>#DIV/0!</v>
      </c>
    </row>
    <row r="98" spans="2:42">
      <c r="B98" s="3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56"/>
        <v>0</v>
      </c>
      <c r="U98" s="47">
        <f t="shared" si="57"/>
        <v>0</v>
      </c>
      <c r="V98" s="48">
        <f t="shared" si="58"/>
        <v>0</v>
      </c>
      <c r="W98" s="49">
        <f t="shared" si="59"/>
        <v>0</v>
      </c>
      <c r="X98" s="44">
        <f t="shared" si="60"/>
        <v>0</v>
      </c>
      <c r="Y98" s="44">
        <f t="shared" si="61"/>
        <v>0</v>
      </c>
      <c r="Z98" s="44">
        <f t="shared" si="62"/>
        <v>0</v>
      </c>
      <c r="AA98" s="50">
        <f t="shared" si="63"/>
        <v>0</v>
      </c>
      <c r="AB98" s="51">
        <f t="shared" si="64"/>
        <v>0</v>
      </c>
      <c r="AC98" s="44">
        <f t="shared" si="65"/>
        <v>0</v>
      </c>
      <c r="AD98" s="44">
        <f t="shared" si="66"/>
        <v>0</v>
      </c>
      <c r="AE98" s="44">
        <f t="shared" si="67"/>
        <v>0</v>
      </c>
      <c r="AF98" s="52" t="e">
        <f>HLOOKUP(I98,ElecAvoidedCostsWOCC!$A$5:$Q$50,G98+1,FALSE)</f>
        <v>#N/A</v>
      </c>
      <c r="AG98" s="44" t="e">
        <f t="shared" si="68"/>
        <v>#N/A</v>
      </c>
      <c r="AH98" s="52" t="e">
        <f>HLOOKUP(I98,ElecAvoidedCostsWOCC!$A$5:$Q$50,T98+1,FALSE)</f>
        <v>#N/A</v>
      </c>
      <c r="AI98" s="44" t="e">
        <f t="shared" si="69"/>
        <v>#N/A</v>
      </c>
      <c r="AJ98" s="44" t="e">
        <f t="shared" si="70"/>
        <v>#N/A</v>
      </c>
      <c r="AK98" s="44" t="e">
        <f>HLOOKUP(I98,ElecAvoidedCostsWOCC!$A$5:$Q$50,G98+1,FALSE)*J98*L98</f>
        <v>#N/A</v>
      </c>
      <c r="AL98" s="44" t="e">
        <f t="shared" si="71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72"/>
        <v>0</v>
      </c>
      <c r="AO98" s="47">
        <f t="shared" si="73"/>
        <v>0</v>
      </c>
      <c r="AP98" s="47" t="e">
        <f t="shared" si="74"/>
        <v>#DIV/0!</v>
      </c>
    </row>
    <row r="99" spans="2:42">
      <c r="B99" s="37"/>
      <c r="C99" s="61"/>
      <c r="D99" s="61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56"/>
        <v>0</v>
      </c>
      <c r="U99" s="47">
        <f t="shared" si="57"/>
        <v>0</v>
      </c>
      <c r="V99" s="48">
        <f t="shared" si="58"/>
        <v>0</v>
      </c>
      <c r="W99" s="49">
        <f t="shared" si="59"/>
        <v>0</v>
      </c>
      <c r="X99" s="44">
        <f t="shared" si="60"/>
        <v>0</v>
      </c>
      <c r="Y99" s="44">
        <f t="shared" si="61"/>
        <v>0</v>
      </c>
      <c r="Z99" s="44">
        <f t="shared" si="62"/>
        <v>0</v>
      </c>
      <c r="AA99" s="50">
        <f t="shared" si="63"/>
        <v>0</v>
      </c>
      <c r="AB99" s="51">
        <f t="shared" si="64"/>
        <v>0</v>
      </c>
      <c r="AC99" s="44">
        <f t="shared" si="65"/>
        <v>0</v>
      </c>
      <c r="AD99" s="44">
        <f t="shared" si="66"/>
        <v>0</v>
      </c>
      <c r="AE99" s="44">
        <f t="shared" si="67"/>
        <v>0</v>
      </c>
      <c r="AF99" s="52" t="e">
        <f>HLOOKUP(I99,ElecAvoidedCostsWOCC!$A$5:$Q$50,G99+1,FALSE)</f>
        <v>#N/A</v>
      </c>
      <c r="AG99" s="44" t="e">
        <f t="shared" si="68"/>
        <v>#N/A</v>
      </c>
      <c r="AH99" s="52" t="e">
        <f>HLOOKUP(I99,ElecAvoidedCostsWOCC!$A$5:$Q$50,T99+1,FALSE)</f>
        <v>#N/A</v>
      </c>
      <c r="AI99" s="44" t="e">
        <f t="shared" si="69"/>
        <v>#N/A</v>
      </c>
      <c r="AJ99" s="44" t="e">
        <f t="shared" si="70"/>
        <v>#N/A</v>
      </c>
      <c r="AK99" s="44" t="e">
        <f>HLOOKUP(I99,ElecAvoidedCostsWOCC!$A$5:$Q$50,G99+1,FALSE)*J99*L99</f>
        <v>#N/A</v>
      </c>
      <c r="AL99" s="44" t="e">
        <f t="shared" si="71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72"/>
        <v>0</v>
      </c>
      <c r="AO99" s="47">
        <f t="shared" si="73"/>
        <v>0</v>
      </c>
      <c r="AP99" s="47" t="e">
        <f t="shared" si="74"/>
        <v>#DIV/0!</v>
      </c>
    </row>
    <row r="100" spans="2:42">
      <c r="B100" s="37"/>
      <c r="C100" s="61"/>
      <c r="D100" s="61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56"/>
        <v>0</v>
      </c>
      <c r="U100" s="47">
        <f t="shared" si="57"/>
        <v>0</v>
      </c>
      <c r="V100" s="48">
        <f t="shared" si="58"/>
        <v>0</v>
      </c>
      <c r="W100" s="49">
        <f t="shared" si="59"/>
        <v>0</v>
      </c>
      <c r="X100" s="44">
        <f t="shared" si="60"/>
        <v>0</v>
      </c>
      <c r="Y100" s="44">
        <f t="shared" si="61"/>
        <v>0</v>
      </c>
      <c r="Z100" s="44">
        <f t="shared" si="62"/>
        <v>0</v>
      </c>
      <c r="AA100" s="50">
        <f t="shared" si="63"/>
        <v>0</v>
      </c>
      <c r="AB100" s="51">
        <f t="shared" si="64"/>
        <v>0</v>
      </c>
      <c r="AC100" s="44">
        <f t="shared" si="65"/>
        <v>0</v>
      </c>
      <c r="AD100" s="44">
        <f t="shared" si="66"/>
        <v>0</v>
      </c>
      <c r="AE100" s="44">
        <f t="shared" si="67"/>
        <v>0</v>
      </c>
      <c r="AF100" s="52" t="e">
        <f>HLOOKUP(I100,ElecAvoidedCostsWOCC!$A$5:$Q$50,G100+1,FALSE)</f>
        <v>#N/A</v>
      </c>
      <c r="AG100" s="44" t="e">
        <f t="shared" si="68"/>
        <v>#N/A</v>
      </c>
      <c r="AH100" s="52" t="e">
        <f>HLOOKUP(I100,ElecAvoidedCostsWOCC!$A$5:$Q$50,T100+1,FALSE)</f>
        <v>#N/A</v>
      </c>
      <c r="AI100" s="44" t="e">
        <f t="shared" si="69"/>
        <v>#N/A</v>
      </c>
      <c r="AJ100" s="44" t="e">
        <f t="shared" si="70"/>
        <v>#N/A</v>
      </c>
      <c r="AK100" s="44" t="e">
        <f>HLOOKUP(I100,ElecAvoidedCostsWOCC!$A$5:$Q$50,G100+1,FALSE)*J100*L100</f>
        <v>#N/A</v>
      </c>
      <c r="AL100" s="44" t="e">
        <f t="shared" si="71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72"/>
        <v>0</v>
      </c>
      <c r="AO100" s="47">
        <f t="shared" si="73"/>
        <v>0</v>
      </c>
      <c r="AP100" s="47" t="e">
        <f t="shared" si="74"/>
        <v>#DIV/0!</v>
      </c>
    </row>
    <row r="101" spans="2:42">
      <c r="B101" s="37"/>
      <c r="C101" s="61"/>
      <c r="D101" s="61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56"/>
        <v>0</v>
      </c>
      <c r="U101" s="47">
        <f t="shared" si="57"/>
        <v>0</v>
      </c>
      <c r="V101" s="48">
        <f t="shared" si="58"/>
        <v>0</v>
      </c>
      <c r="W101" s="49">
        <f t="shared" si="59"/>
        <v>0</v>
      </c>
      <c r="X101" s="44">
        <f t="shared" si="60"/>
        <v>0</v>
      </c>
      <c r="Y101" s="44">
        <f t="shared" si="61"/>
        <v>0</v>
      </c>
      <c r="Z101" s="44">
        <f t="shared" si="62"/>
        <v>0</v>
      </c>
      <c r="AA101" s="50">
        <f t="shared" si="63"/>
        <v>0</v>
      </c>
      <c r="AB101" s="51">
        <f t="shared" si="64"/>
        <v>0</v>
      </c>
      <c r="AC101" s="44">
        <f t="shared" si="65"/>
        <v>0</v>
      </c>
      <c r="AD101" s="44">
        <f t="shared" si="66"/>
        <v>0</v>
      </c>
      <c r="AE101" s="44">
        <f t="shared" si="67"/>
        <v>0</v>
      </c>
      <c r="AF101" s="52" t="e">
        <f>HLOOKUP(I101,ElecAvoidedCostsWOCC!$A$5:$Q$50,G101+1,FALSE)</f>
        <v>#N/A</v>
      </c>
      <c r="AG101" s="44" t="e">
        <f t="shared" si="68"/>
        <v>#N/A</v>
      </c>
      <c r="AH101" s="52" t="e">
        <f>HLOOKUP(I101,ElecAvoidedCostsWOCC!$A$5:$Q$50,T101+1,FALSE)</f>
        <v>#N/A</v>
      </c>
      <c r="AI101" s="44" t="e">
        <f t="shared" si="69"/>
        <v>#N/A</v>
      </c>
      <c r="AJ101" s="44" t="e">
        <f t="shared" si="70"/>
        <v>#N/A</v>
      </c>
      <c r="AK101" s="44" t="e">
        <f>HLOOKUP(I101,ElecAvoidedCostsWOCC!$A$5:$Q$50,G101+1,FALSE)*J101*L101</f>
        <v>#N/A</v>
      </c>
      <c r="AL101" s="44" t="e">
        <f t="shared" si="71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72"/>
        <v>0</v>
      </c>
      <c r="AO101" s="47">
        <f t="shared" si="73"/>
        <v>0</v>
      </c>
      <c r="AP101" s="47" t="e">
        <f t="shared" si="74"/>
        <v>#DIV/0!</v>
      </c>
    </row>
  </sheetData>
  <conditionalFormatting sqref="J5:L101">
    <cfRule type="expression" dxfId="194" priority="4">
      <formula>ISTEXT(J5)</formula>
    </cfRule>
    <cfRule type="notContainsBlanks" dxfId="193" priority="5">
      <formula>LEN(TRIM(J5))&gt;0</formula>
    </cfRule>
  </conditionalFormatting>
  <conditionalFormatting sqref="M5:N101 R5:S101">
    <cfRule type="expression" dxfId="192" priority="2">
      <formula>ISTEXT(M5)</formula>
    </cfRule>
  </conditionalFormatting>
  <conditionalFormatting sqref="M5:N101 R5:S101">
    <cfRule type="notContainsBlanks" dxfId="191" priority="3">
      <formula>LEN(TRIM(M5))&gt;0</formula>
    </cfRule>
  </conditionalFormatting>
  <conditionalFormatting sqref="R5:S101">
    <cfRule type="expression" dxfId="1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A29" sqref="A2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18230718</v>
      </c>
      <c r="D2" s="20" t="s">
        <v>132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18230718</v>
      </c>
      <c r="D5" s="61" t="s">
        <v>132</v>
      </c>
      <c r="E5" s="38" t="s">
        <v>1220</v>
      </c>
      <c r="F5" s="39" t="s">
        <v>1221</v>
      </c>
      <c r="G5" s="39">
        <v>15</v>
      </c>
      <c r="H5" s="39"/>
      <c r="I5" s="40" t="s">
        <v>256</v>
      </c>
      <c r="J5" s="41">
        <v>30</v>
      </c>
      <c r="K5" s="41">
        <v>516</v>
      </c>
      <c r="L5" s="41"/>
      <c r="M5" s="42">
        <v>225</v>
      </c>
      <c r="N5" s="42">
        <v>0</v>
      </c>
      <c r="O5" s="43">
        <v>15480</v>
      </c>
      <c r="P5" s="44">
        <v>6750</v>
      </c>
      <c r="Q5" s="44">
        <v>0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0.17453448507151753</v>
      </c>
      <c r="V5" s="48">
        <f t="shared" ref="V5:V24" si="2">N5-M5</f>
        <v>-225</v>
      </c>
      <c r="W5" s="49">
        <f t="shared" ref="W5:W24" si="3">(O5/A$10)</f>
        <v>1.1635632338101169E-2</v>
      </c>
      <c r="X5" s="44">
        <f t="shared" ref="X5:X24" si="4">W5*A$8</f>
        <v>1207.6025895776258</v>
      </c>
      <c r="Y5" s="44">
        <f t="shared" ref="Y5:Y24" si="5">Q5-P5</f>
        <v>-6750</v>
      </c>
      <c r="Z5" s="44">
        <f t="shared" ref="Z5:Z24" si="6">X5+(A$6*W5)</f>
        <v>4590.0561263667551</v>
      </c>
      <c r="AA5" s="50">
        <f t="shared" ref="AA5:AA24" si="7">Q5+X5</f>
        <v>1207.6025895776258</v>
      </c>
      <c r="AB5" s="51">
        <f t="shared" ref="AB5:AC20" si="8">Z5/(1+ElecDiscountRate)^1</f>
        <v>4290.9751578636578</v>
      </c>
      <c r="AC5" s="44">
        <f t="shared" si="8"/>
        <v>1128.9170698117471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15935.056026513441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15935.056026513441</v>
      </c>
      <c r="AK5" s="44">
        <f>HLOOKUP(I5,ElecAvoidedCostsWOCC!$A$5:$Q$50,G5+1,FALSE)*J5*L5</f>
        <v>0</v>
      </c>
      <c r="AL5" s="44">
        <f>AG5+AI5-AK5</f>
        <v>15935.056026513441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15935.056026513441</v>
      </c>
      <c r="AN5" s="48">
        <f>AM5*1.1+AD5+AE5</f>
        <v>17528.561629164786</v>
      </c>
      <c r="AO5" s="47">
        <f>IFERROR(AM5/AB5,0)</f>
        <v>3.7136211327886146</v>
      </c>
      <c r="AP5" s="47">
        <f>AN5/AC5</f>
        <v>15.526881555691036</v>
      </c>
      <c r="AQ5">
        <v>2021</v>
      </c>
    </row>
    <row r="6" spans="1:43" ht="13.5" customHeight="1">
      <c r="A6" s="53">
        <f>SUMIF('Program Costs'!D:D,C2,'Program Costs'!L:L)</f>
        <v>290697.87</v>
      </c>
      <c r="B6" s="97" t="s">
        <v>70</v>
      </c>
      <c r="C6" s="98">
        <v>18230718</v>
      </c>
      <c r="D6" s="61" t="s">
        <v>132</v>
      </c>
      <c r="E6" s="38" t="s">
        <v>1222</v>
      </c>
      <c r="F6" s="39" t="s">
        <v>1223</v>
      </c>
      <c r="G6" s="39">
        <v>10</v>
      </c>
      <c r="H6" s="39"/>
      <c r="I6" s="40" t="s">
        <v>261</v>
      </c>
      <c r="J6" s="41">
        <v>2</v>
      </c>
      <c r="K6" s="41">
        <v>295</v>
      </c>
      <c r="L6" s="41"/>
      <c r="M6" s="42">
        <v>200</v>
      </c>
      <c r="N6" s="42">
        <v>69.599999999999994</v>
      </c>
      <c r="O6" s="43">
        <v>590</v>
      </c>
      <c r="P6" s="44">
        <v>169.99</v>
      </c>
      <c r="Q6" s="44">
        <v>139.19999999999999</v>
      </c>
      <c r="R6" s="45">
        <v>0</v>
      </c>
      <c r="S6" s="46">
        <v>0</v>
      </c>
      <c r="T6" s="39">
        <f t="shared" si="0"/>
        <v>10</v>
      </c>
      <c r="U6" s="47">
        <f t="shared" si="1"/>
        <v>4.4347694311884294E-3</v>
      </c>
      <c r="V6" s="48">
        <f t="shared" si="2"/>
        <v>-130.4</v>
      </c>
      <c r="W6" s="49">
        <f t="shared" si="3"/>
        <v>4.4347694311884294E-4</v>
      </c>
      <c r="X6" s="44">
        <f t="shared" si="4"/>
        <v>46.026196889586508</v>
      </c>
      <c r="Y6" s="44">
        <f t="shared" si="5"/>
        <v>-30.79000000000002</v>
      </c>
      <c r="Z6" s="44">
        <f t="shared" si="6"/>
        <v>174.94399964834531</v>
      </c>
      <c r="AA6" s="50">
        <f t="shared" si="7"/>
        <v>185.2261968895865</v>
      </c>
      <c r="AB6" s="51">
        <f t="shared" si="8"/>
        <v>163.544918807465</v>
      </c>
      <c r="AC6" s="44">
        <f t="shared" si="8"/>
        <v>173.15714395586284</v>
      </c>
      <c r="AD6" s="44">
        <f t="shared" si="9"/>
        <v>0</v>
      </c>
      <c r="AE6" s="44">
        <v>0</v>
      </c>
      <c r="AF6" s="52">
        <f>HLOOKUP(I6,ElecAvoidedCostsWOCC!$A$5:$Q$50,G6+1,FALSE)</f>
        <v>0.97334887994043018</v>
      </c>
      <c r="AG6" s="44">
        <f t="shared" si="10"/>
        <v>574.27583916485378</v>
      </c>
      <c r="AH6" s="52">
        <f>HLOOKUP(I6,ElecAvoidedCostsWOCC!$A$5:$Q$50,T6+1,FALSE)</f>
        <v>0.97334887994043018</v>
      </c>
      <c r="AI6" s="44">
        <f t="shared" si="11"/>
        <v>0</v>
      </c>
      <c r="AJ6" s="44">
        <f t="shared" ref="AJ6:AJ24" si="12">AG6+AI6</f>
        <v>574.27583916485378</v>
      </c>
      <c r="AK6" s="44">
        <f>HLOOKUP(I6,ElecAvoidedCostsWOCC!$A$5:$Q$50,G6+1,FALSE)*J6*L6</f>
        <v>0</v>
      </c>
      <c r="AL6" s="44">
        <f t="shared" ref="AL6:AL24" si="13">AG6+AI6-AK6</f>
        <v>574.27583916485378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574.27583916485378</v>
      </c>
      <c r="AN6" s="48">
        <f t="shared" ref="AN6:AN24" si="14">AM6*1.1+AD6+AE6</f>
        <v>631.70342308133922</v>
      </c>
      <c r="AO6" s="47">
        <f t="shared" ref="AO6:AO24" si="15">IFERROR(AM6/AB6,0)</f>
        <v>3.5114257498939856</v>
      </c>
      <c r="AP6" s="47">
        <f t="shared" ref="AP6:AP24" si="16">AN6/AC6</f>
        <v>3.6481510877908581</v>
      </c>
      <c r="AQ6">
        <v>2021</v>
      </c>
    </row>
    <row r="7" spans="1:43" ht="13.5" customHeight="1">
      <c r="A7" s="36" t="s">
        <v>249</v>
      </c>
      <c r="B7" s="97" t="s">
        <v>70</v>
      </c>
      <c r="C7" s="98">
        <v>18230718</v>
      </c>
      <c r="D7" s="61" t="s">
        <v>132</v>
      </c>
      <c r="E7" s="38" t="s">
        <v>1224</v>
      </c>
      <c r="F7" s="39" t="s">
        <v>1225</v>
      </c>
      <c r="G7" s="39">
        <v>10</v>
      </c>
      <c r="H7" s="39"/>
      <c r="I7" s="40" t="s">
        <v>261</v>
      </c>
      <c r="J7" s="41">
        <v>33.99</v>
      </c>
      <c r="K7" s="41">
        <v>116</v>
      </c>
      <c r="L7" s="41"/>
      <c r="M7" s="42">
        <v>200</v>
      </c>
      <c r="N7" s="42">
        <v>69.599999999999994</v>
      </c>
      <c r="O7" s="43">
        <v>3942.84</v>
      </c>
      <c r="P7" s="44">
        <v>1671.47</v>
      </c>
      <c r="Q7" s="44">
        <v>2365.6999999999998</v>
      </c>
      <c r="R7" s="45">
        <v>0</v>
      </c>
      <c r="S7" s="46">
        <v>0</v>
      </c>
      <c r="T7" s="39">
        <f t="shared" si="0"/>
        <v>10</v>
      </c>
      <c r="U7" s="47">
        <f t="shared" si="1"/>
        <v>2.9636586956045746E-2</v>
      </c>
      <c r="V7" s="48">
        <f t="shared" si="2"/>
        <v>-130.4</v>
      </c>
      <c r="W7" s="49">
        <f t="shared" si="3"/>
        <v>2.9636586956045745E-3</v>
      </c>
      <c r="X7" s="44">
        <f t="shared" si="4"/>
        <v>307.58293244769033</v>
      </c>
      <c r="Y7" s="44">
        <f t="shared" si="5"/>
        <v>694.22999999999979</v>
      </c>
      <c r="Z7" s="44">
        <f t="shared" si="6"/>
        <v>1169.1122026669184</v>
      </c>
      <c r="AA7" s="50">
        <f t="shared" si="7"/>
        <v>2673.2829324476902</v>
      </c>
      <c r="AB7" s="51">
        <f t="shared" si="8"/>
        <v>1092.9346570691953</v>
      </c>
      <c r="AC7" s="44">
        <f t="shared" si="8"/>
        <v>2499.0959450758996</v>
      </c>
      <c r="AD7" s="44">
        <f t="shared" si="9"/>
        <v>0</v>
      </c>
      <c r="AE7" s="44">
        <v>0</v>
      </c>
      <c r="AF7" s="52">
        <f>HLOOKUP(I7,ElecAvoidedCostsWOCC!$A$5:$Q$50,G7+1,FALSE)</f>
        <v>0.97334887994043018</v>
      </c>
      <c r="AG7" s="44">
        <f t="shared" si="10"/>
        <v>3837.7588977843261</v>
      </c>
      <c r="AH7" s="52">
        <f>HLOOKUP(I7,ElecAvoidedCostsWOCC!$A$5:$Q$50,T7+1,FALSE)</f>
        <v>0.97334887994043018</v>
      </c>
      <c r="AI7" s="44">
        <f t="shared" si="11"/>
        <v>0</v>
      </c>
      <c r="AJ7" s="44">
        <f t="shared" si="12"/>
        <v>3837.7588977843261</v>
      </c>
      <c r="AK7" s="44">
        <f>HLOOKUP(I7,ElecAvoidedCostsWOCC!$A$5:$Q$50,G7+1,FALSE)*J7*L7</f>
        <v>0</v>
      </c>
      <c r="AL7" s="44">
        <f t="shared" si="13"/>
        <v>3837.7588977843261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3837.7588977843261</v>
      </c>
      <c r="AN7" s="48">
        <f t="shared" si="14"/>
        <v>4221.5347875627594</v>
      </c>
      <c r="AO7" s="47">
        <f t="shared" si="15"/>
        <v>3.5114257498939865</v>
      </c>
      <c r="AP7" s="47">
        <f t="shared" si="16"/>
        <v>1.6892247758156991</v>
      </c>
      <c r="AQ7">
        <v>2021</v>
      </c>
    </row>
    <row r="8" spans="1:43" ht="13.5" customHeight="1">
      <c r="A8" s="53">
        <f>SUMIF('Program Costs'!D:D,C2,'Program Costs'!O:O)</f>
        <v>103784.87</v>
      </c>
      <c r="B8" s="97" t="s">
        <v>70</v>
      </c>
      <c r="C8" s="98">
        <v>18230718</v>
      </c>
      <c r="D8" s="61" t="s">
        <v>132</v>
      </c>
      <c r="E8" s="38" t="s">
        <v>1226</v>
      </c>
      <c r="F8" s="39" t="s">
        <v>1227</v>
      </c>
      <c r="G8" s="39">
        <v>10</v>
      </c>
      <c r="H8" s="39"/>
      <c r="I8" s="40" t="s">
        <v>261</v>
      </c>
      <c r="J8" s="41">
        <v>466.15</v>
      </c>
      <c r="K8" s="41">
        <v>51</v>
      </c>
      <c r="L8" s="41"/>
      <c r="M8" s="42">
        <v>200</v>
      </c>
      <c r="N8" s="42">
        <v>69.599999999999994</v>
      </c>
      <c r="O8" s="43">
        <v>23773.65</v>
      </c>
      <c r="P8" s="44">
        <v>6905.41</v>
      </c>
      <c r="Q8" s="44">
        <v>32444.04</v>
      </c>
      <c r="R8" s="45">
        <v>0</v>
      </c>
      <c r="S8" s="46">
        <v>0</v>
      </c>
      <c r="T8" s="39">
        <f t="shared" si="0"/>
        <v>10</v>
      </c>
      <c r="U8" s="47">
        <f t="shared" si="1"/>
        <v>0.17869602760639458</v>
      </c>
      <c r="V8" s="48">
        <f t="shared" si="2"/>
        <v>-130.4</v>
      </c>
      <c r="W8" s="49">
        <f t="shared" si="3"/>
        <v>1.7869602760639459E-2</v>
      </c>
      <c r="X8" s="44">
        <f t="shared" si="4"/>
        <v>1854.5943994646072</v>
      </c>
      <c r="Y8" s="44">
        <f t="shared" si="5"/>
        <v>25538.63</v>
      </c>
      <c r="Z8" s="44">
        <f t="shared" si="6"/>
        <v>7049.2498597286176</v>
      </c>
      <c r="AA8" s="50">
        <f t="shared" si="7"/>
        <v>34298.634399464609</v>
      </c>
      <c r="AB8" s="51">
        <f t="shared" si="8"/>
        <v>6589.9316254357454</v>
      </c>
      <c r="AC8" s="44">
        <f t="shared" si="8"/>
        <v>32063.788351373849</v>
      </c>
      <c r="AD8" s="44">
        <f t="shared" si="9"/>
        <v>0</v>
      </c>
      <c r="AE8" s="44">
        <v>0</v>
      </c>
      <c r="AF8" s="52">
        <f>HLOOKUP(I8,ElecAvoidedCostsWOCC!$A$5:$Q$50,G8+1,FALSE)</f>
        <v>0.97334887994043018</v>
      </c>
      <c r="AG8" s="44">
        <f t="shared" si="10"/>
        <v>23140.055599595806</v>
      </c>
      <c r="AH8" s="52">
        <f>HLOOKUP(I8,ElecAvoidedCostsWOCC!$A$5:$Q$50,T8+1,FALSE)</f>
        <v>0.97334887994043018</v>
      </c>
      <c r="AI8" s="44">
        <f t="shared" si="11"/>
        <v>0</v>
      </c>
      <c r="AJ8" s="44">
        <f t="shared" si="12"/>
        <v>23140.055599595806</v>
      </c>
      <c r="AK8" s="44">
        <f>HLOOKUP(I8,ElecAvoidedCostsWOCC!$A$5:$Q$50,G8+1,FALSE)*J8*L8</f>
        <v>0</v>
      </c>
      <c r="AL8" s="44">
        <f t="shared" si="13"/>
        <v>23140.055599595806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23140.055599595806</v>
      </c>
      <c r="AN8" s="48">
        <f t="shared" si="14"/>
        <v>25454.061159555389</v>
      </c>
      <c r="AO8" s="47">
        <f t="shared" si="15"/>
        <v>3.511425749893986</v>
      </c>
      <c r="AP8" s="47">
        <f t="shared" si="16"/>
        <v>0.79385694792564176</v>
      </c>
      <c r="AQ8">
        <v>2021</v>
      </c>
    </row>
    <row r="9" spans="1:43" ht="13.5" customHeight="1">
      <c r="A9" s="36" t="s">
        <v>250</v>
      </c>
      <c r="B9" s="97" t="s">
        <v>70</v>
      </c>
      <c r="C9" s="98">
        <v>18230718</v>
      </c>
      <c r="D9" s="61" t="s">
        <v>132</v>
      </c>
      <c r="E9" s="38" t="s">
        <v>1228</v>
      </c>
      <c r="F9" s="39" t="s">
        <v>1229</v>
      </c>
      <c r="G9" s="39">
        <v>10</v>
      </c>
      <c r="H9" s="39"/>
      <c r="I9" s="40" t="s">
        <v>261</v>
      </c>
      <c r="J9" s="41">
        <v>1.5</v>
      </c>
      <c r="K9" s="41">
        <v>112</v>
      </c>
      <c r="L9" s="41"/>
      <c r="M9" s="42">
        <v>200</v>
      </c>
      <c r="N9" s="42">
        <v>69.599999999999994</v>
      </c>
      <c r="O9" s="43">
        <v>168</v>
      </c>
      <c r="P9" s="44">
        <v>200</v>
      </c>
      <c r="Q9" s="44">
        <v>104.4</v>
      </c>
      <c r="R9" s="45">
        <v>0</v>
      </c>
      <c r="S9" s="46">
        <v>0</v>
      </c>
      <c r="T9" s="39">
        <f t="shared" si="0"/>
        <v>10</v>
      </c>
      <c r="U9" s="47">
        <f t="shared" si="1"/>
        <v>1.2627818041350105E-3</v>
      </c>
      <c r="V9" s="48">
        <f t="shared" si="2"/>
        <v>-130.4</v>
      </c>
      <c r="W9" s="49">
        <f t="shared" si="3"/>
        <v>1.2627818041350105E-4</v>
      </c>
      <c r="X9" s="44">
        <f t="shared" si="4"/>
        <v>13.105764538051751</v>
      </c>
      <c r="Y9" s="44">
        <f t="shared" si="5"/>
        <v>-95.6</v>
      </c>
      <c r="Z9" s="44">
        <f t="shared" si="6"/>
        <v>49.814562611732221</v>
      </c>
      <c r="AA9" s="50">
        <f t="shared" si="7"/>
        <v>117.50576453805175</v>
      </c>
      <c r="AB9" s="51">
        <f t="shared" si="8"/>
        <v>46.56872264348155</v>
      </c>
      <c r="AC9" s="44">
        <f t="shared" si="8"/>
        <v>109.84927039174697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0.97334887994043018</v>
      </c>
      <c r="AG9" s="44">
        <f t="shared" si="10"/>
        <v>163.52261182999226</v>
      </c>
      <c r="AH9" s="52">
        <f>HLOOKUP(I9,ElecAvoidedCostsWOCC!$A$5:$Q$50,T9+1,FALSE)</f>
        <v>0.97334887994043018</v>
      </c>
      <c r="AI9" s="44">
        <f t="shared" si="11"/>
        <v>0</v>
      </c>
      <c r="AJ9" s="44">
        <f t="shared" si="12"/>
        <v>163.52261182999226</v>
      </c>
      <c r="AK9" s="44">
        <f>HLOOKUP(I9,ElecAvoidedCostsWOCC!$A$5:$Q$50,G9+1,FALSE)*J9*L9</f>
        <v>0</v>
      </c>
      <c r="AL9" s="44">
        <f t="shared" si="13"/>
        <v>163.52261182999226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163.52261182999226</v>
      </c>
      <c r="AN9" s="48">
        <f t="shared" si="14"/>
        <v>179.87487301299149</v>
      </c>
      <c r="AO9" s="47">
        <f t="shared" si="15"/>
        <v>3.511425749893986</v>
      </c>
      <c r="AP9" s="47">
        <f t="shared" si="16"/>
        <v>1.6374698928041818</v>
      </c>
      <c r="AQ9">
        <v>2021</v>
      </c>
    </row>
    <row r="10" spans="1:43" ht="13.5" customHeight="1">
      <c r="A10" s="54">
        <f>SUM(O5:O999)</f>
        <v>1330396.1100000001</v>
      </c>
      <c r="B10" s="97" t="s">
        <v>70</v>
      </c>
      <c r="C10" s="98">
        <v>18230718</v>
      </c>
      <c r="D10" s="61" t="s">
        <v>132</v>
      </c>
      <c r="E10" s="38" t="s">
        <v>1230</v>
      </c>
      <c r="F10" s="39" t="s">
        <v>1231</v>
      </c>
      <c r="G10" s="39">
        <v>10</v>
      </c>
      <c r="H10" s="39"/>
      <c r="I10" s="40" t="s">
        <v>261</v>
      </c>
      <c r="J10" s="41">
        <v>50.08</v>
      </c>
      <c r="K10" s="41">
        <v>47</v>
      </c>
      <c r="L10" s="41"/>
      <c r="M10" s="42">
        <v>200</v>
      </c>
      <c r="N10" s="42">
        <v>69.599999999999994</v>
      </c>
      <c r="O10" s="43">
        <v>2353.7600000000002</v>
      </c>
      <c r="P10" s="44">
        <v>1056</v>
      </c>
      <c r="Q10" s="44">
        <v>3485.57</v>
      </c>
      <c r="R10" s="45">
        <v>0</v>
      </c>
      <c r="S10" s="46">
        <v>0</v>
      </c>
      <c r="T10" s="39">
        <f t="shared" si="0"/>
        <v>10</v>
      </c>
      <c r="U10" s="47">
        <f t="shared" si="1"/>
        <v>1.7692174400600134E-2</v>
      </c>
      <c r="V10" s="48">
        <f t="shared" si="2"/>
        <v>-130.4</v>
      </c>
      <c r="W10" s="49">
        <f t="shared" si="3"/>
        <v>1.7692174400600134E-3</v>
      </c>
      <c r="X10" s="44">
        <f t="shared" si="4"/>
        <v>183.61800201836127</v>
      </c>
      <c r="Y10" s="44">
        <f t="shared" si="5"/>
        <v>2429.5700000000002</v>
      </c>
      <c r="Z10" s="44">
        <f t="shared" si="6"/>
        <v>697.92574341065983</v>
      </c>
      <c r="AA10" s="50">
        <f t="shared" si="7"/>
        <v>3669.1880020183617</v>
      </c>
      <c r="AB10" s="51">
        <f t="shared" si="8"/>
        <v>652.44997981738788</v>
      </c>
      <c r="AC10" s="44">
        <f t="shared" si="8"/>
        <v>3430.109378347538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0.97334887994043018</v>
      </c>
      <c r="AG10" s="44">
        <f t="shared" si="10"/>
        <v>2291.0296596485869</v>
      </c>
      <c r="AH10" s="52">
        <f>HLOOKUP(I10,ElecAvoidedCostsWOCC!$A$5:$Q$50,T10+1,FALSE)</f>
        <v>0.97334887994043018</v>
      </c>
      <c r="AI10" s="44">
        <f t="shared" si="11"/>
        <v>0</v>
      </c>
      <c r="AJ10" s="44">
        <f t="shared" si="12"/>
        <v>2291.0296596485869</v>
      </c>
      <c r="AK10" s="44">
        <f>HLOOKUP(I10,ElecAvoidedCostsWOCC!$A$5:$Q$50,G10+1,FALSE)*J10*L10</f>
        <v>0</v>
      </c>
      <c r="AL10" s="44">
        <f t="shared" si="13"/>
        <v>2291.0296596485869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2291.0296596485869</v>
      </c>
      <c r="AN10" s="48">
        <f t="shared" si="14"/>
        <v>2520.1326256134457</v>
      </c>
      <c r="AO10" s="47">
        <f t="shared" si="15"/>
        <v>3.5114257498939851</v>
      </c>
      <c r="AP10" s="47">
        <f t="shared" si="16"/>
        <v>0.73470911496925051</v>
      </c>
      <c r="AQ10">
        <v>2021</v>
      </c>
    </row>
    <row r="11" spans="1:43" ht="13.5" customHeight="1">
      <c r="A11" s="36" t="s">
        <v>251</v>
      </c>
      <c r="B11" s="97" t="s">
        <v>70</v>
      </c>
      <c r="C11" s="98">
        <v>18230718</v>
      </c>
      <c r="D11" s="61" t="s">
        <v>132</v>
      </c>
      <c r="E11" s="38" t="s">
        <v>1232</v>
      </c>
      <c r="F11" s="39" t="s">
        <v>1233</v>
      </c>
      <c r="G11" s="39">
        <v>15</v>
      </c>
      <c r="H11" s="39"/>
      <c r="I11" s="40" t="s">
        <v>261</v>
      </c>
      <c r="J11" s="41">
        <v>52.58</v>
      </c>
      <c r="K11" s="41">
        <v>1589</v>
      </c>
      <c r="L11" s="41"/>
      <c r="M11" s="42">
        <v>500</v>
      </c>
      <c r="N11" s="42">
        <v>2115.35</v>
      </c>
      <c r="O11" s="43">
        <v>83549.62</v>
      </c>
      <c r="P11" s="44">
        <v>26290</v>
      </c>
      <c r="Q11" s="44">
        <v>111225.07</v>
      </c>
      <c r="R11" s="45">
        <v>0</v>
      </c>
      <c r="S11" s="46">
        <v>0</v>
      </c>
      <c r="T11" s="39">
        <f t="shared" si="0"/>
        <v>15</v>
      </c>
      <c r="U11" s="47">
        <f t="shared" si="1"/>
        <v>0.94200839177137996</v>
      </c>
      <c r="V11" s="48">
        <f t="shared" si="2"/>
        <v>1615.35</v>
      </c>
      <c r="W11" s="49">
        <f t="shared" si="3"/>
        <v>6.2800559451425333E-2</v>
      </c>
      <c r="X11" s="44">
        <f t="shared" si="4"/>
        <v>6517.7478985934495</v>
      </c>
      <c r="Y11" s="44">
        <f t="shared" si="5"/>
        <v>84935.07</v>
      </c>
      <c r="Z11" s="44">
        <f t="shared" si="6"/>
        <v>24773.736765931164</v>
      </c>
      <c r="AA11" s="50">
        <f t="shared" si="7"/>
        <v>117742.81789859345</v>
      </c>
      <c r="AB11" s="51">
        <f t="shared" si="8"/>
        <v>23159.51833778738</v>
      </c>
      <c r="AC11" s="44">
        <f t="shared" si="8"/>
        <v>110070.87772141109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1.3787827893853604</v>
      </c>
      <c r="AG11" s="44">
        <f t="shared" si="10"/>
        <v>115196.77811568689</v>
      </c>
      <c r="AH11" s="52">
        <f>HLOOKUP(I11,ElecAvoidedCostsWOCC!$A$5:$Q$50,T11+1,FALSE)</f>
        <v>1.3787827893853604</v>
      </c>
      <c r="AI11" s="44">
        <f t="shared" si="11"/>
        <v>0</v>
      </c>
      <c r="AJ11" s="44">
        <f t="shared" si="12"/>
        <v>115196.77811568689</v>
      </c>
      <c r="AK11" s="44">
        <f>HLOOKUP(I11,ElecAvoidedCostsWOCC!$A$5:$Q$50,G11+1,FALSE)*J11*L11</f>
        <v>0</v>
      </c>
      <c r="AL11" s="44">
        <f t="shared" si="13"/>
        <v>115196.77811568689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115196.77811568687</v>
      </c>
      <c r="AN11" s="48">
        <f t="shared" si="14"/>
        <v>126716.45592725558</v>
      </c>
      <c r="AO11" s="47">
        <f t="shared" si="15"/>
        <v>4.9740575963417282</v>
      </c>
      <c r="AP11" s="47">
        <f t="shared" si="16"/>
        <v>1.1512259968342795</v>
      </c>
      <c r="AQ11">
        <v>2021</v>
      </c>
    </row>
    <row r="12" spans="1:43" ht="13.5" customHeight="1">
      <c r="A12" s="55">
        <f>SUM(P5:P1000)</f>
        <v>290697.87</v>
      </c>
      <c r="B12" s="97" t="s">
        <v>70</v>
      </c>
      <c r="C12" s="98">
        <v>18230718</v>
      </c>
      <c r="D12" s="61" t="s">
        <v>132</v>
      </c>
      <c r="E12" s="38" t="s">
        <v>1234</v>
      </c>
      <c r="F12" s="39" t="s">
        <v>1235</v>
      </c>
      <c r="G12" s="39">
        <v>15</v>
      </c>
      <c r="H12" s="39"/>
      <c r="I12" s="40" t="s">
        <v>256</v>
      </c>
      <c r="J12" s="41">
        <v>53</v>
      </c>
      <c r="K12" s="41">
        <v>538</v>
      </c>
      <c r="L12" s="41"/>
      <c r="M12" s="42">
        <v>150</v>
      </c>
      <c r="N12" s="42">
        <v>225.2</v>
      </c>
      <c r="O12" s="43">
        <v>28514</v>
      </c>
      <c r="P12" s="44">
        <v>7950</v>
      </c>
      <c r="Q12" s="44">
        <v>11935.6</v>
      </c>
      <c r="R12" s="45">
        <v>0</v>
      </c>
      <c r="S12" s="46">
        <v>0</v>
      </c>
      <c r="T12" s="39">
        <f t="shared" si="0"/>
        <v>15</v>
      </c>
      <c r="U12" s="47">
        <f t="shared" si="1"/>
        <v>0.32149071752772934</v>
      </c>
      <c r="V12" s="48">
        <f t="shared" si="2"/>
        <v>75.199999999999989</v>
      </c>
      <c r="W12" s="49">
        <f t="shared" si="3"/>
        <v>2.1432714501848624E-2</v>
      </c>
      <c r="X12" s="44">
        <f t="shared" si="4"/>
        <v>2224.3914883214738</v>
      </c>
      <c r="Y12" s="44">
        <f t="shared" si="5"/>
        <v>3985.6000000000004</v>
      </c>
      <c r="Z12" s="44">
        <f t="shared" si="6"/>
        <v>8454.8359423269794</v>
      </c>
      <c r="AA12" s="50">
        <f t="shared" si="7"/>
        <v>14159.991488321473</v>
      </c>
      <c r="AB12" s="51">
        <f t="shared" si="8"/>
        <v>7903.931889620434</v>
      </c>
      <c r="AC12" s="44">
        <f t="shared" si="8"/>
        <v>13237.348311041855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1.0293963841416951</v>
      </c>
      <c r="AG12" s="44">
        <f t="shared" si="10"/>
        <v>29352.208497416294</v>
      </c>
      <c r="AH12" s="52">
        <f>HLOOKUP(I12,ElecAvoidedCostsWOCC!$A$5:$Q$50,T12+1,FALSE)</f>
        <v>1.0293963841416951</v>
      </c>
      <c r="AI12" s="44">
        <f t="shared" si="11"/>
        <v>0</v>
      </c>
      <c r="AJ12" s="44">
        <f t="shared" si="12"/>
        <v>29352.208497416294</v>
      </c>
      <c r="AK12" s="44">
        <f>HLOOKUP(I12,ElecAvoidedCostsWOCC!$A$5:$Q$50,G12+1,FALSE)*J12*L12</f>
        <v>0</v>
      </c>
      <c r="AL12" s="44">
        <f t="shared" si="13"/>
        <v>29352.208497416294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29352.208497416297</v>
      </c>
      <c r="AN12" s="48">
        <f t="shared" si="14"/>
        <v>32287.429347157929</v>
      </c>
      <c r="AO12" s="47">
        <f t="shared" si="15"/>
        <v>3.7136211327886155</v>
      </c>
      <c r="AP12" s="47">
        <f t="shared" si="16"/>
        <v>2.4391160970075529</v>
      </c>
      <c r="AQ12">
        <v>2021</v>
      </c>
    </row>
    <row r="13" spans="1:43" ht="13.5" customHeight="1">
      <c r="A13" s="56" t="s">
        <v>252</v>
      </c>
      <c r="B13" s="97" t="s">
        <v>70</v>
      </c>
      <c r="C13" s="98">
        <v>18230718</v>
      </c>
      <c r="D13" s="61" t="s">
        <v>132</v>
      </c>
      <c r="E13" s="38" t="s">
        <v>1236</v>
      </c>
      <c r="F13" s="39" t="s">
        <v>1237</v>
      </c>
      <c r="G13" s="39">
        <v>15</v>
      </c>
      <c r="H13" s="39"/>
      <c r="I13" s="40" t="s">
        <v>256</v>
      </c>
      <c r="J13" s="41">
        <v>170</v>
      </c>
      <c r="K13" s="41">
        <v>639</v>
      </c>
      <c r="L13" s="41"/>
      <c r="M13" s="42">
        <v>150</v>
      </c>
      <c r="N13" s="42">
        <v>225.2</v>
      </c>
      <c r="O13" s="43">
        <v>108630</v>
      </c>
      <c r="P13" s="44">
        <v>25500</v>
      </c>
      <c r="Q13" s="44">
        <v>38284</v>
      </c>
      <c r="R13" s="45">
        <v>0</v>
      </c>
      <c r="S13" s="46">
        <v>0</v>
      </c>
      <c r="T13" s="39">
        <f t="shared" si="0"/>
        <v>15</v>
      </c>
      <c r="U13" s="47">
        <f t="shared" si="1"/>
        <v>1.2247856016355911</v>
      </c>
      <c r="V13" s="48">
        <f t="shared" si="2"/>
        <v>75.199999999999989</v>
      </c>
      <c r="W13" s="49">
        <f t="shared" si="3"/>
        <v>8.1652373442372736E-2</v>
      </c>
      <c r="X13" s="44">
        <f t="shared" si="4"/>
        <v>8474.2809629081057</v>
      </c>
      <c r="Y13" s="44">
        <f t="shared" si="5"/>
        <v>12784</v>
      </c>
      <c r="Z13" s="44">
        <f t="shared" si="6"/>
        <v>32210.452003050428</v>
      </c>
      <c r="AA13" s="50">
        <f t="shared" si="7"/>
        <v>46758.280962908102</v>
      </c>
      <c r="AB13" s="51">
        <f t="shared" si="8"/>
        <v>30111.668695008342</v>
      </c>
      <c r="AC13" s="44">
        <f t="shared" si="8"/>
        <v>43711.583586901092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1.0293963841416951</v>
      </c>
      <c r="AG13" s="44">
        <f t="shared" si="10"/>
        <v>111823.32920931235</v>
      </c>
      <c r="AH13" s="52">
        <f>HLOOKUP(I13,ElecAvoidedCostsWOCC!$A$5:$Q$50,T13+1,FALSE)</f>
        <v>1.0293963841416951</v>
      </c>
      <c r="AI13" s="44">
        <f t="shared" si="11"/>
        <v>0</v>
      </c>
      <c r="AJ13" s="44">
        <f t="shared" si="12"/>
        <v>111823.32920931235</v>
      </c>
      <c r="AK13" s="44">
        <f>HLOOKUP(I13,ElecAvoidedCostsWOCC!$A$5:$Q$50,G13+1,FALSE)*J13*L13</f>
        <v>0</v>
      </c>
      <c r="AL13" s="44">
        <f t="shared" si="13"/>
        <v>111823.32920931235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111823.32920931235</v>
      </c>
      <c r="AN13" s="48">
        <f t="shared" si="14"/>
        <v>123005.6621302436</v>
      </c>
      <c r="AO13" s="47">
        <f t="shared" si="15"/>
        <v>3.7136211327886146</v>
      </c>
      <c r="AP13" s="47">
        <f t="shared" si="16"/>
        <v>2.8140289606690043</v>
      </c>
      <c r="AQ13">
        <v>2021</v>
      </c>
    </row>
    <row r="14" spans="1:43" ht="13.5" customHeight="1">
      <c r="A14" s="55">
        <f>SUM(Y5:Y1000)</f>
        <v>524723.32000000007</v>
      </c>
      <c r="B14" s="97" t="s">
        <v>70</v>
      </c>
      <c r="C14" s="98">
        <v>18230718</v>
      </c>
      <c r="D14" s="61" t="s">
        <v>132</v>
      </c>
      <c r="E14" s="38" t="s">
        <v>1238</v>
      </c>
      <c r="F14" s="39" t="s">
        <v>1239</v>
      </c>
      <c r="G14" s="39">
        <v>15</v>
      </c>
      <c r="H14" s="39"/>
      <c r="I14" s="40" t="s">
        <v>256</v>
      </c>
      <c r="J14" s="41">
        <v>1203.5</v>
      </c>
      <c r="K14" s="41">
        <v>522</v>
      </c>
      <c r="L14" s="41"/>
      <c r="M14" s="42">
        <v>1000</v>
      </c>
      <c r="N14" s="42">
        <v>225.2</v>
      </c>
      <c r="O14" s="43">
        <v>628227</v>
      </c>
      <c r="P14" s="44">
        <v>77000</v>
      </c>
      <c r="Q14" s="44">
        <v>271028.2</v>
      </c>
      <c r="R14" s="45">
        <v>0</v>
      </c>
      <c r="S14" s="46">
        <v>0</v>
      </c>
      <c r="T14" s="39">
        <f t="shared" si="0"/>
        <v>15</v>
      </c>
      <c r="U14" s="47">
        <f t="shared" si="1"/>
        <v>7.0831573613064753</v>
      </c>
      <c r="V14" s="48">
        <f t="shared" si="2"/>
        <v>-774.8</v>
      </c>
      <c r="W14" s="49">
        <f t="shared" si="3"/>
        <v>0.47221049075376503</v>
      </c>
      <c r="X14" s="44">
        <f t="shared" si="4"/>
        <v>49008.304395515705</v>
      </c>
      <c r="Y14" s="44">
        <f t="shared" si="5"/>
        <v>194028.2</v>
      </c>
      <c r="Z14" s="44">
        <f t="shared" si="6"/>
        <v>186278.88824928988</v>
      </c>
      <c r="AA14" s="50">
        <f t="shared" si="7"/>
        <v>320036.50439551572</v>
      </c>
      <c r="AB14" s="51">
        <f t="shared" si="8"/>
        <v>174141.24357230053</v>
      </c>
      <c r="AC14" s="44">
        <f t="shared" si="8"/>
        <v>299183.42002011376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1.0293963841416951</v>
      </c>
      <c r="AG14" s="44">
        <f t="shared" si="10"/>
        <v>646694.60222018464</v>
      </c>
      <c r="AH14" s="52">
        <f>HLOOKUP(I14,ElecAvoidedCostsWOCC!$A$5:$Q$50,T14+1,FALSE)</f>
        <v>1.0293963841416951</v>
      </c>
      <c r="AI14" s="44">
        <f t="shared" si="11"/>
        <v>0</v>
      </c>
      <c r="AJ14" s="44">
        <f t="shared" si="12"/>
        <v>646694.60222018464</v>
      </c>
      <c r="AK14" s="44">
        <f>HLOOKUP(I14,ElecAvoidedCostsWOCC!$A$5:$Q$50,G14+1,FALSE)*J14*L14</f>
        <v>0</v>
      </c>
      <c r="AL14" s="44">
        <f t="shared" si="13"/>
        <v>646694.60222018464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646694.60222018464</v>
      </c>
      <c r="AN14" s="48">
        <f t="shared" si="14"/>
        <v>711364.06244220317</v>
      </c>
      <c r="AO14" s="47">
        <f t="shared" si="15"/>
        <v>3.7136211327886137</v>
      </c>
      <c r="AP14" s="47">
        <f t="shared" si="16"/>
        <v>2.377685442576928</v>
      </c>
      <c r="AQ14">
        <v>2021</v>
      </c>
    </row>
    <row r="15" spans="1:43" ht="13.5" customHeight="1">
      <c r="A15" s="57" t="s">
        <v>253</v>
      </c>
      <c r="B15" s="97" t="s">
        <v>70</v>
      </c>
      <c r="C15" s="98">
        <v>18230718</v>
      </c>
      <c r="D15" s="61" t="s">
        <v>132</v>
      </c>
      <c r="E15" s="38" t="s">
        <v>1240</v>
      </c>
      <c r="F15" s="39" t="s">
        <v>1241</v>
      </c>
      <c r="G15" s="39">
        <v>15</v>
      </c>
      <c r="H15" s="39"/>
      <c r="I15" s="40" t="s">
        <v>256</v>
      </c>
      <c r="J15" s="41">
        <v>165</v>
      </c>
      <c r="K15" s="41">
        <v>440</v>
      </c>
      <c r="L15" s="41"/>
      <c r="M15" s="42">
        <v>1000</v>
      </c>
      <c r="N15" s="42">
        <v>225.2</v>
      </c>
      <c r="O15" s="43">
        <v>72600</v>
      </c>
      <c r="P15" s="44">
        <v>11000</v>
      </c>
      <c r="Q15" s="44">
        <v>37158</v>
      </c>
      <c r="R15" s="45">
        <v>0</v>
      </c>
      <c r="S15" s="46">
        <v>0</v>
      </c>
      <c r="T15" s="39">
        <f t="shared" si="0"/>
        <v>15</v>
      </c>
      <c r="U15" s="47">
        <f t="shared" si="1"/>
        <v>0.81855320518037289</v>
      </c>
      <c r="V15" s="48">
        <f t="shared" si="2"/>
        <v>-774.8</v>
      </c>
      <c r="W15" s="49">
        <f t="shared" si="3"/>
        <v>5.4570213678691526E-2</v>
      </c>
      <c r="X15" s="44">
        <f t="shared" si="4"/>
        <v>5663.5625325152214</v>
      </c>
      <c r="Y15" s="44">
        <f t="shared" si="5"/>
        <v>26158</v>
      </c>
      <c r="Z15" s="44">
        <f t="shared" si="6"/>
        <v>21527.007414355714</v>
      </c>
      <c r="AA15" s="50">
        <f t="shared" si="7"/>
        <v>42821.562532515221</v>
      </c>
      <c r="AB15" s="51">
        <f t="shared" si="8"/>
        <v>20124.340856647388</v>
      </c>
      <c r="AC15" s="44">
        <f t="shared" si="8"/>
        <v>40031.375649729096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1.0293963841416951</v>
      </c>
      <c r="AG15" s="44">
        <f t="shared" si="10"/>
        <v>74734.17748868707</v>
      </c>
      <c r="AH15" s="52">
        <f>HLOOKUP(I15,ElecAvoidedCostsWOCC!$A$5:$Q$50,T15+1,FALSE)</f>
        <v>1.0293963841416951</v>
      </c>
      <c r="AI15" s="44">
        <f t="shared" si="11"/>
        <v>0</v>
      </c>
      <c r="AJ15" s="44">
        <f t="shared" si="12"/>
        <v>74734.17748868707</v>
      </c>
      <c r="AK15" s="44">
        <f>HLOOKUP(I15,ElecAvoidedCostsWOCC!$A$5:$Q$50,G15+1,FALSE)*J15*L15</f>
        <v>0</v>
      </c>
      <c r="AL15" s="44">
        <f t="shared" si="13"/>
        <v>74734.17748868707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74734.17748868707</v>
      </c>
      <c r="AN15" s="48">
        <f t="shared" si="14"/>
        <v>82207.595237555783</v>
      </c>
      <c r="AO15" s="47">
        <f t="shared" si="15"/>
        <v>3.7136211327886146</v>
      </c>
      <c r="AP15" s="47">
        <f t="shared" si="16"/>
        <v>2.0535790714979365</v>
      </c>
      <c r="AQ15">
        <v>2021</v>
      </c>
    </row>
    <row r="16" spans="1:43" ht="13.5" customHeight="1">
      <c r="A16" s="54">
        <f>SUM(U5:U999)</f>
        <v>14.658412824132505</v>
      </c>
      <c r="B16" s="97" t="s">
        <v>70</v>
      </c>
      <c r="C16" s="98">
        <v>18230718</v>
      </c>
      <c r="D16" s="61" t="s">
        <v>132</v>
      </c>
      <c r="E16" s="38" t="s">
        <v>1242</v>
      </c>
      <c r="F16" s="39" t="s">
        <v>1243</v>
      </c>
      <c r="G16" s="39">
        <v>15</v>
      </c>
      <c r="H16" s="39"/>
      <c r="I16" s="40" t="s">
        <v>256</v>
      </c>
      <c r="J16" s="41">
        <v>54.5</v>
      </c>
      <c r="K16" s="41">
        <v>522</v>
      </c>
      <c r="L16" s="41"/>
      <c r="M16" s="42">
        <v>800</v>
      </c>
      <c r="N16" s="42">
        <v>225.2</v>
      </c>
      <c r="O16" s="43">
        <v>28449</v>
      </c>
      <c r="P16" s="44">
        <v>5600</v>
      </c>
      <c r="Q16" s="44">
        <v>12273.4</v>
      </c>
      <c r="R16" s="45">
        <v>0</v>
      </c>
      <c r="S16" s="46">
        <v>0</v>
      </c>
      <c r="T16" s="39">
        <f t="shared" si="0"/>
        <v>15</v>
      </c>
      <c r="U16" s="47">
        <f t="shared" si="1"/>
        <v>0.32075785308782956</v>
      </c>
      <c r="V16" s="48">
        <f t="shared" si="2"/>
        <v>-574.79999999999995</v>
      </c>
      <c r="W16" s="49">
        <f t="shared" si="3"/>
        <v>2.1383856872521971E-2</v>
      </c>
      <c r="X16" s="44">
        <f t="shared" si="4"/>
        <v>2219.3208056132994</v>
      </c>
      <c r="Y16" s="44">
        <f t="shared" si="5"/>
        <v>6673.4</v>
      </c>
      <c r="Z16" s="44">
        <f t="shared" si="6"/>
        <v>8435.562450840298</v>
      </c>
      <c r="AA16" s="50">
        <f t="shared" si="7"/>
        <v>14492.720805613299</v>
      </c>
      <c r="AB16" s="51">
        <f t="shared" si="8"/>
        <v>7885.91422907385</v>
      </c>
      <c r="AC16" s="44">
        <f t="shared" si="8"/>
        <v>13548.397499872204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1.0293963841416951</v>
      </c>
      <c r="AG16" s="44">
        <f t="shared" si="10"/>
        <v>29285.297732447085</v>
      </c>
      <c r="AH16" s="52">
        <f>HLOOKUP(I16,ElecAvoidedCostsWOCC!$A$5:$Q$50,T16+1,FALSE)</f>
        <v>1.0293963841416951</v>
      </c>
      <c r="AI16" s="44">
        <f t="shared" si="11"/>
        <v>0</v>
      </c>
      <c r="AJ16" s="44">
        <f t="shared" si="12"/>
        <v>29285.297732447085</v>
      </c>
      <c r="AK16" s="44">
        <f>HLOOKUP(I16,ElecAvoidedCostsWOCC!$A$5:$Q$50,G16+1,FALSE)*J16*L16</f>
        <v>0</v>
      </c>
      <c r="AL16" s="44">
        <f t="shared" si="13"/>
        <v>29285.297732447085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29285.297732447085</v>
      </c>
      <c r="AN16" s="48">
        <f t="shared" si="14"/>
        <v>32213.827505691796</v>
      </c>
      <c r="AO16" s="47">
        <f t="shared" si="15"/>
        <v>3.7136211327886146</v>
      </c>
      <c r="AP16" s="47">
        <f t="shared" si="16"/>
        <v>2.3776854425769285</v>
      </c>
      <c r="AQ16">
        <v>2021</v>
      </c>
    </row>
    <row r="17" spans="1:43" ht="13.5" customHeight="1">
      <c r="A17" s="58" t="s">
        <v>254</v>
      </c>
      <c r="B17" s="97" t="s">
        <v>70</v>
      </c>
      <c r="C17" s="98">
        <v>18230718</v>
      </c>
      <c r="D17" s="61" t="s">
        <v>132</v>
      </c>
      <c r="E17" s="38" t="s">
        <v>1244</v>
      </c>
      <c r="F17" s="39" t="s">
        <v>1245</v>
      </c>
      <c r="G17" s="39">
        <v>15</v>
      </c>
      <c r="H17" s="39"/>
      <c r="I17" s="40" t="s">
        <v>256</v>
      </c>
      <c r="J17" s="41">
        <v>100</v>
      </c>
      <c r="K17" s="41">
        <v>522</v>
      </c>
      <c r="L17" s="41"/>
      <c r="M17" s="42">
        <v>2000</v>
      </c>
      <c r="N17" s="42">
        <v>225.2</v>
      </c>
      <c r="O17" s="43">
        <v>52200</v>
      </c>
      <c r="P17" s="44">
        <v>8000</v>
      </c>
      <c r="Q17" s="44">
        <v>22520</v>
      </c>
      <c r="R17" s="45">
        <v>0</v>
      </c>
      <c r="S17" s="46">
        <v>0</v>
      </c>
      <c r="T17" s="39">
        <f t="shared" si="0"/>
        <v>15</v>
      </c>
      <c r="U17" s="47">
        <f t="shared" si="1"/>
        <v>0.58854651942721026</v>
      </c>
      <c r="V17" s="48">
        <f t="shared" si="2"/>
        <v>-1774.8</v>
      </c>
      <c r="W17" s="49">
        <f t="shared" si="3"/>
        <v>3.9236434628480685E-2</v>
      </c>
      <c r="X17" s="44">
        <f t="shared" si="4"/>
        <v>4072.148267180366</v>
      </c>
      <c r="Y17" s="44">
        <f t="shared" si="5"/>
        <v>14520</v>
      </c>
      <c r="Z17" s="44">
        <f t="shared" si="6"/>
        <v>15478.096240073943</v>
      </c>
      <c r="AA17" s="50">
        <f t="shared" si="7"/>
        <v>26592.148267180368</v>
      </c>
      <c r="AB17" s="51">
        <f t="shared" si="8"/>
        <v>14469.567392796056</v>
      </c>
      <c r="AC17" s="44">
        <f t="shared" si="8"/>
        <v>24859.444953893955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1.0293963841416951</v>
      </c>
      <c r="AG17" s="44">
        <f t="shared" si="10"/>
        <v>53734.49125219648</v>
      </c>
      <c r="AH17" s="52">
        <f>HLOOKUP(I17,ElecAvoidedCostsWOCC!$A$5:$Q$50,T17+1,FALSE)</f>
        <v>1.0293963841416951</v>
      </c>
      <c r="AI17" s="44">
        <f t="shared" si="11"/>
        <v>0</v>
      </c>
      <c r="AJ17" s="44">
        <f t="shared" si="12"/>
        <v>53734.49125219648</v>
      </c>
      <c r="AK17" s="44">
        <f>HLOOKUP(I17,ElecAvoidedCostsWOCC!$A$5:$Q$50,G17+1,FALSE)*J17*L17</f>
        <v>0</v>
      </c>
      <c r="AL17" s="44">
        <f t="shared" si="13"/>
        <v>53734.49125219648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53734.49125219648</v>
      </c>
      <c r="AN17" s="48">
        <f t="shared" si="14"/>
        <v>59107.940377416133</v>
      </c>
      <c r="AO17" s="47">
        <f t="shared" si="15"/>
        <v>3.7136211327886137</v>
      </c>
      <c r="AP17" s="47">
        <f t="shared" si="16"/>
        <v>2.377685442576928</v>
      </c>
      <c r="AQ17">
        <v>2021</v>
      </c>
    </row>
    <row r="18" spans="1:43" ht="13.5" customHeight="1">
      <c r="A18" s="59">
        <f>A6+A8</f>
        <v>394482.74</v>
      </c>
      <c r="B18" s="97" t="s">
        <v>70</v>
      </c>
      <c r="C18" s="98">
        <v>18230718</v>
      </c>
      <c r="D18" s="61" t="s">
        <v>132</v>
      </c>
      <c r="E18" s="38" t="s">
        <v>1246</v>
      </c>
      <c r="F18" s="39" t="s">
        <v>1247</v>
      </c>
      <c r="G18" s="39">
        <v>15</v>
      </c>
      <c r="H18" s="39"/>
      <c r="I18" s="40" t="s">
        <v>256</v>
      </c>
      <c r="J18" s="41">
        <v>35</v>
      </c>
      <c r="K18" s="41">
        <v>803</v>
      </c>
      <c r="L18" s="41"/>
      <c r="M18" s="42">
        <v>2500</v>
      </c>
      <c r="N18" s="42">
        <v>312.91000000000003</v>
      </c>
      <c r="O18" s="43">
        <v>28105</v>
      </c>
      <c r="P18" s="44">
        <v>7500</v>
      </c>
      <c r="Q18" s="44">
        <v>10951.85</v>
      </c>
      <c r="R18" s="45">
        <v>0</v>
      </c>
      <c r="S18" s="46">
        <v>0</v>
      </c>
      <c r="T18" s="39">
        <f t="shared" si="0"/>
        <v>15</v>
      </c>
      <c r="U18" s="47">
        <f t="shared" si="1"/>
        <v>0.31687930897512917</v>
      </c>
      <c r="V18" s="48">
        <f t="shared" si="2"/>
        <v>-2187.09</v>
      </c>
      <c r="W18" s="49">
        <f t="shared" si="3"/>
        <v>2.1125287265008612E-2</v>
      </c>
      <c r="X18" s="44">
        <f t="shared" si="4"/>
        <v>2192.485192511574</v>
      </c>
      <c r="Y18" s="44">
        <f t="shared" si="5"/>
        <v>3451.8500000000004</v>
      </c>
      <c r="Z18" s="44">
        <f t="shared" si="6"/>
        <v>8333.561203587702</v>
      </c>
      <c r="AA18" s="50">
        <f t="shared" si="7"/>
        <v>13144.335192511575</v>
      </c>
      <c r="AB18" s="51">
        <f t="shared" si="8"/>
        <v>7790.5592255657675</v>
      </c>
      <c r="AC18" s="44">
        <f t="shared" si="8"/>
        <v>12287.870610929769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1.0293963841416951</v>
      </c>
      <c r="AG18" s="44">
        <f t="shared" si="10"/>
        <v>28931.185376302343</v>
      </c>
      <c r="AH18" s="52">
        <f>HLOOKUP(I18,ElecAvoidedCostsWOCC!$A$5:$Q$50,T18+1,FALSE)</f>
        <v>1.0293963841416951</v>
      </c>
      <c r="AI18" s="44">
        <f t="shared" si="11"/>
        <v>0</v>
      </c>
      <c r="AJ18" s="44">
        <f t="shared" si="12"/>
        <v>28931.185376302343</v>
      </c>
      <c r="AK18" s="44">
        <f>HLOOKUP(I18,ElecAvoidedCostsWOCC!$A$5:$Q$50,G18+1,FALSE)*J18*L18</f>
        <v>0</v>
      </c>
      <c r="AL18" s="44">
        <f t="shared" si="13"/>
        <v>28931.185376302343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28931.185376302343</v>
      </c>
      <c r="AN18" s="48">
        <f t="shared" si="14"/>
        <v>31824.303913932581</v>
      </c>
      <c r="AO18" s="47">
        <f t="shared" si="15"/>
        <v>3.7136211327886151</v>
      </c>
      <c r="AP18" s="47">
        <f t="shared" si="16"/>
        <v>2.5898957534290457</v>
      </c>
      <c r="AQ18">
        <v>2021</v>
      </c>
    </row>
    <row r="19" spans="1:43" ht="13.5" customHeight="1">
      <c r="A19" s="58" t="s">
        <v>231</v>
      </c>
      <c r="B19" s="97" t="s">
        <v>70</v>
      </c>
      <c r="C19" s="98">
        <v>18230718</v>
      </c>
      <c r="D19" s="61" t="s">
        <v>132</v>
      </c>
      <c r="E19" s="38" t="s">
        <v>1248</v>
      </c>
      <c r="F19" s="39" t="s">
        <v>1249</v>
      </c>
      <c r="G19" s="39">
        <v>15</v>
      </c>
      <c r="H19" s="39"/>
      <c r="I19" s="40" t="s">
        <v>256</v>
      </c>
      <c r="J19" s="41">
        <v>28.5</v>
      </c>
      <c r="K19" s="41">
        <v>803</v>
      </c>
      <c r="L19" s="41"/>
      <c r="M19" s="42">
        <v>1500</v>
      </c>
      <c r="N19" s="42">
        <v>312.91000000000003</v>
      </c>
      <c r="O19" s="43">
        <v>22885.5</v>
      </c>
      <c r="P19" s="44">
        <v>6000</v>
      </c>
      <c r="Q19" s="44">
        <v>8917.94</v>
      </c>
      <c r="R19" s="45">
        <v>0</v>
      </c>
      <c r="S19" s="46">
        <v>0</v>
      </c>
      <c r="T19" s="39">
        <f t="shared" si="0"/>
        <v>15</v>
      </c>
      <c r="U19" s="47">
        <f t="shared" si="1"/>
        <v>0.25803029445117664</v>
      </c>
      <c r="V19" s="48">
        <f t="shared" si="2"/>
        <v>-1187.0899999999999</v>
      </c>
      <c r="W19" s="49">
        <f t="shared" si="3"/>
        <v>1.7202019630078443E-2</v>
      </c>
      <c r="X19" s="44">
        <f t="shared" si="4"/>
        <v>1785.3093710451392</v>
      </c>
      <c r="Y19" s="44">
        <f t="shared" si="5"/>
        <v>2917.9400000000005</v>
      </c>
      <c r="Z19" s="44">
        <f t="shared" si="6"/>
        <v>6785.899837207131</v>
      </c>
      <c r="AA19" s="50">
        <f t="shared" si="7"/>
        <v>10703.24937104514</v>
      </c>
      <c r="AB19" s="51">
        <f t="shared" si="8"/>
        <v>6343.7410836749841</v>
      </c>
      <c r="AC19" s="44">
        <f t="shared" si="8"/>
        <v>10005.842171679105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1.0293963841416951</v>
      </c>
      <c r="AG19" s="44">
        <f t="shared" si="10"/>
        <v>23558.250949274763</v>
      </c>
      <c r="AH19" s="52">
        <f>HLOOKUP(I19,ElecAvoidedCostsWOCC!$A$5:$Q$50,T19+1,FALSE)</f>
        <v>1.0293963841416951</v>
      </c>
      <c r="AI19" s="44">
        <f t="shared" si="11"/>
        <v>0</v>
      </c>
      <c r="AJ19" s="44">
        <f t="shared" si="12"/>
        <v>23558.250949274763</v>
      </c>
      <c r="AK19" s="44">
        <f>HLOOKUP(I19,ElecAvoidedCostsWOCC!$A$5:$Q$50,G19+1,FALSE)*J19*L19</f>
        <v>0</v>
      </c>
      <c r="AL19" s="44">
        <f t="shared" si="13"/>
        <v>23558.250949274763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23558.250949274763</v>
      </c>
      <c r="AN19" s="48">
        <f t="shared" si="14"/>
        <v>25914.07604420224</v>
      </c>
      <c r="AO19" s="47">
        <f t="shared" si="15"/>
        <v>3.7136211327886137</v>
      </c>
      <c r="AP19" s="47">
        <f t="shared" si="16"/>
        <v>2.5898945435647955</v>
      </c>
      <c r="AQ19">
        <v>2021</v>
      </c>
    </row>
    <row r="20" spans="1:43" ht="13.5" customHeight="1">
      <c r="A20" s="59">
        <f>A8+SUM(Q5:Q906)</f>
        <v>919206.05999999994</v>
      </c>
      <c r="B20" s="97" t="s">
        <v>70</v>
      </c>
      <c r="C20" s="100">
        <v>18230718</v>
      </c>
      <c r="D20" s="100" t="s">
        <v>132</v>
      </c>
      <c r="E20" s="38" t="s">
        <v>1220</v>
      </c>
      <c r="F20" s="39" t="s">
        <v>1221</v>
      </c>
      <c r="G20" s="39">
        <v>15</v>
      </c>
      <c r="H20" s="39"/>
      <c r="I20" s="40" t="s">
        <v>256</v>
      </c>
      <c r="J20" s="41">
        <v>15</v>
      </c>
      <c r="K20" s="41">
        <v>516</v>
      </c>
      <c r="L20" s="41"/>
      <c r="M20" s="42">
        <v>225</v>
      </c>
      <c r="N20" s="42">
        <v>0</v>
      </c>
      <c r="O20" s="43">
        <v>7740</v>
      </c>
      <c r="P20" s="44">
        <v>3375</v>
      </c>
      <c r="Q20" s="44">
        <v>0</v>
      </c>
      <c r="R20" s="45">
        <v>0</v>
      </c>
      <c r="S20" s="46">
        <v>0</v>
      </c>
      <c r="T20" s="39">
        <f t="shared" si="0"/>
        <v>15</v>
      </c>
      <c r="U20" s="47">
        <f t="shared" si="1"/>
        <v>8.7267242535758766E-2</v>
      </c>
      <c r="V20" s="48">
        <f t="shared" si="2"/>
        <v>-225</v>
      </c>
      <c r="W20" s="49">
        <f t="shared" si="3"/>
        <v>5.8178161690505843E-3</v>
      </c>
      <c r="X20" s="44">
        <f t="shared" si="4"/>
        <v>603.80129478881292</v>
      </c>
      <c r="Y20" s="44">
        <f t="shared" si="5"/>
        <v>-3375</v>
      </c>
      <c r="Z20" s="44">
        <f t="shared" si="6"/>
        <v>2295.0280631833775</v>
      </c>
      <c r="AA20" s="50">
        <f t="shared" si="7"/>
        <v>603.80129478881292</v>
      </c>
      <c r="AB20" s="51">
        <f t="shared" si="8"/>
        <v>2145.4875789318289</v>
      </c>
      <c r="AC20" s="44">
        <f t="shared" si="8"/>
        <v>564.45853490587353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1.0293963841416951</v>
      </c>
      <c r="AG20" s="44">
        <f t="shared" si="10"/>
        <v>7967.5280132567204</v>
      </c>
      <c r="AH20" s="52">
        <f>HLOOKUP(I20,ElecAvoidedCostsWOCC!$A$5:$Q$50,T20+1,FALSE)</f>
        <v>1.0293963841416951</v>
      </c>
      <c r="AI20" s="44">
        <f t="shared" si="11"/>
        <v>0</v>
      </c>
      <c r="AJ20" s="44">
        <f t="shared" si="12"/>
        <v>7967.5280132567204</v>
      </c>
      <c r="AK20" s="44">
        <f>HLOOKUP(I20,ElecAvoidedCostsWOCC!$A$5:$Q$50,G20+1,FALSE)*J20*L20</f>
        <v>0</v>
      </c>
      <c r="AL20" s="44">
        <f t="shared" si="13"/>
        <v>7967.5280132567204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7967.5280132567204</v>
      </c>
      <c r="AN20" s="48">
        <f t="shared" si="14"/>
        <v>8764.2808145823928</v>
      </c>
      <c r="AO20" s="47">
        <f t="shared" si="15"/>
        <v>3.7136211327886146</v>
      </c>
      <c r="AP20" s="47">
        <f t="shared" si="16"/>
        <v>15.526881555691036</v>
      </c>
      <c r="AQ20">
        <v>2020</v>
      </c>
    </row>
    <row r="21" spans="1:43" ht="13.5" customHeight="1">
      <c r="A21" s="58" t="s">
        <v>245</v>
      </c>
      <c r="B21" s="97" t="s">
        <v>2575</v>
      </c>
      <c r="C21" s="100">
        <v>18230719</v>
      </c>
      <c r="D21" s="100" t="s">
        <v>132</v>
      </c>
      <c r="E21" s="38" t="s">
        <v>1393</v>
      </c>
      <c r="F21" s="39" t="s">
        <v>1394</v>
      </c>
      <c r="G21" s="39">
        <v>10</v>
      </c>
      <c r="H21" s="39"/>
      <c r="I21" s="40" t="s">
        <v>261</v>
      </c>
      <c r="J21" s="41">
        <v>71</v>
      </c>
      <c r="K21" s="41">
        <v>188</v>
      </c>
      <c r="L21" s="41"/>
      <c r="M21" s="42">
        <v>200</v>
      </c>
      <c r="N21" s="42">
        <v>69.599999999999994</v>
      </c>
      <c r="O21" s="43">
        <v>13348</v>
      </c>
      <c r="P21" s="44">
        <v>6600</v>
      </c>
      <c r="Q21" s="44">
        <v>4941.6000000000004</v>
      </c>
      <c r="R21" s="45">
        <v>0</v>
      </c>
      <c r="S21" s="46">
        <v>0</v>
      </c>
      <c r="T21" s="39">
        <f t="shared" si="0"/>
        <v>10</v>
      </c>
      <c r="U21" s="47">
        <f t="shared" si="1"/>
        <v>0.10033102096186976</v>
      </c>
      <c r="V21" s="48">
        <f t="shared" si="2"/>
        <v>-130.4</v>
      </c>
      <c r="W21" s="49">
        <f t="shared" si="3"/>
        <v>1.0033102096186975E-2</v>
      </c>
      <c r="X21" s="44">
        <f t="shared" si="4"/>
        <v>1041.2841967494926</v>
      </c>
      <c r="Y21" s="44">
        <f t="shared" si="5"/>
        <v>-1658.3999999999996</v>
      </c>
      <c r="Z21" s="44">
        <f t="shared" si="6"/>
        <v>3957.8856056035811</v>
      </c>
      <c r="AA21" s="50">
        <f t="shared" si="7"/>
        <v>5982.8841967494927</v>
      </c>
      <c r="AB21" s="51">
        <f t="shared" ref="AB21:AC24" si="18">Z21/(1+ElecDiscountRate)^1</f>
        <v>3699.995891935665</v>
      </c>
      <c r="AC21" s="44">
        <f t="shared" si="18"/>
        <v>5593.0487022057514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0.97334887994043018</v>
      </c>
      <c r="AG21" s="44">
        <f t="shared" si="10"/>
        <v>12992.260849444861</v>
      </c>
      <c r="AH21" s="52">
        <f>HLOOKUP(I21,ElecAvoidedCostsWOCC!$A$5:$Q$50,T21+1,FALSE)</f>
        <v>0.97334887994043018</v>
      </c>
      <c r="AI21" s="44">
        <f t="shared" si="11"/>
        <v>0</v>
      </c>
      <c r="AJ21" s="44">
        <f t="shared" si="12"/>
        <v>12992.260849444861</v>
      </c>
      <c r="AK21" s="44">
        <f>HLOOKUP(I21,ElecAvoidedCostsWOCC!$A$5:$Q$50,G21+1,FALSE)*J21*L21</f>
        <v>0</v>
      </c>
      <c r="AL21" s="44">
        <f t="shared" si="13"/>
        <v>12992.260849444861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12992.260849444863</v>
      </c>
      <c r="AN21" s="48">
        <f t="shared" si="14"/>
        <v>14291.486934389352</v>
      </c>
      <c r="AO21" s="47">
        <f t="shared" si="15"/>
        <v>3.5114257498939869</v>
      </c>
      <c r="AP21" s="47">
        <f t="shared" si="16"/>
        <v>2.5552230447686188</v>
      </c>
      <c r="AQ21">
        <v>2020</v>
      </c>
    </row>
    <row r="22" spans="1:43" ht="13.5" customHeight="1">
      <c r="A22" s="60">
        <f>(SUM(AM5:AM1000)/(SUM(AB5:AB1000)))</f>
        <v>3.9335124042203971</v>
      </c>
      <c r="B22" s="97" t="s">
        <v>2576</v>
      </c>
      <c r="C22" s="100">
        <v>18230720</v>
      </c>
      <c r="D22" s="100" t="s">
        <v>132</v>
      </c>
      <c r="E22" s="38" t="s">
        <v>1224</v>
      </c>
      <c r="F22" s="39" t="s">
        <v>1225</v>
      </c>
      <c r="G22" s="39">
        <v>10</v>
      </c>
      <c r="H22" s="39"/>
      <c r="I22" s="40" t="s">
        <v>261</v>
      </c>
      <c r="J22" s="41">
        <v>375</v>
      </c>
      <c r="K22" s="41">
        <v>116</v>
      </c>
      <c r="L22" s="41"/>
      <c r="M22" s="42">
        <v>200</v>
      </c>
      <c r="N22" s="42">
        <v>69.599999999999994</v>
      </c>
      <c r="O22" s="43">
        <v>43500</v>
      </c>
      <c r="P22" s="44">
        <v>34400</v>
      </c>
      <c r="Q22" s="44">
        <v>26100</v>
      </c>
      <c r="R22" s="45">
        <v>0</v>
      </c>
      <c r="S22" s="46">
        <v>0</v>
      </c>
      <c r="T22" s="39">
        <f t="shared" si="0"/>
        <v>10</v>
      </c>
      <c r="U22" s="47">
        <f t="shared" si="1"/>
        <v>0.32697028857067234</v>
      </c>
      <c r="V22" s="48">
        <f t="shared" si="2"/>
        <v>-130.4</v>
      </c>
      <c r="W22" s="49">
        <f t="shared" si="3"/>
        <v>3.2697028857067233E-2</v>
      </c>
      <c r="X22" s="44">
        <f t="shared" si="4"/>
        <v>3393.4568893169712</v>
      </c>
      <c r="Y22" s="44">
        <f t="shared" si="5"/>
        <v>-8300</v>
      </c>
      <c r="Z22" s="44">
        <f t="shared" si="6"/>
        <v>12898.413533394949</v>
      </c>
      <c r="AA22" s="50">
        <f t="shared" si="7"/>
        <v>29493.456889316971</v>
      </c>
      <c r="AB22" s="51">
        <f t="shared" si="18"/>
        <v>12057.972827330044</v>
      </c>
      <c r="AC22" s="44">
        <f t="shared" si="18"/>
        <v>27571.70878687199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0.97334887994043018</v>
      </c>
      <c r="AG22" s="44">
        <f t="shared" si="10"/>
        <v>42340.676277408718</v>
      </c>
      <c r="AH22" s="52">
        <f>HLOOKUP(I22,ElecAvoidedCostsWOCC!$A$5:$Q$50,T22+1,FALSE)</f>
        <v>0.97334887994043018</v>
      </c>
      <c r="AI22" s="44">
        <f t="shared" si="11"/>
        <v>0</v>
      </c>
      <c r="AJ22" s="44">
        <f t="shared" si="12"/>
        <v>42340.676277408718</v>
      </c>
      <c r="AK22" s="44">
        <f>HLOOKUP(I22,ElecAvoidedCostsWOCC!$A$5:$Q$50,G22+1,FALSE)*J22*L22</f>
        <v>0</v>
      </c>
      <c r="AL22" s="44">
        <f t="shared" si="13"/>
        <v>42340.676277408718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42340.676277408711</v>
      </c>
      <c r="AN22" s="48">
        <f t="shared" si="14"/>
        <v>46574.743905149589</v>
      </c>
      <c r="AO22" s="47">
        <f t="shared" si="15"/>
        <v>3.5114257498939865</v>
      </c>
      <c r="AP22" s="47">
        <f t="shared" si="16"/>
        <v>1.6892222482534602</v>
      </c>
      <c r="AQ22">
        <v>2020</v>
      </c>
    </row>
    <row r="23" spans="1:43" ht="13.5" customHeight="1">
      <c r="A23" s="58" t="s">
        <v>246</v>
      </c>
      <c r="B23" s="97"/>
      <c r="C23" s="100"/>
      <c r="D23" s="100"/>
      <c r="E23" s="38" t="s">
        <v>1226</v>
      </c>
      <c r="F23" s="39" t="s">
        <v>1227</v>
      </c>
      <c r="G23" s="39">
        <v>10</v>
      </c>
      <c r="H23" s="39"/>
      <c r="I23" s="40" t="s">
        <v>261</v>
      </c>
      <c r="J23" s="41">
        <v>63</v>
      </c>
      <c r="K23" s="41">
        <v>51</v>
      </c>
      <c r="L23" s="41"/>
      <c r="M23" s="42">
        <v>200</v>
      </c>
      <c r="N23" s="42">
        <v>69.599999999999994</v>
      </c>
      <c r="O23" s="43">
        <v>3213</v>
      </c>
      <c r="P23" s="44">
        <v>3400</v>
      </c>
      <c r="Q23" s="44">
        <v>4384.8</v>
      </c>
      <c r="R23" s="45">
        <v>0</v>
      </c>
      <c r="S23" s="46">
        <v>0</v>
      </c>
      <c r="T23" s="39">
        <f t="shared" si="0"/>
        <v>10</v>
      </c>
      <c r="U23" s="47">
        <f t="shared" si="1"/>
        <v>2.4150702004082075E-2</v>
      </c>
      <c r="V23" s="48">
        <f t="shared" si="2"/>
        <v>-130.4</v>
      </c>
      <c r="W23" s="49">
        <f t="shared" si="3"/>
        <v>2.4150702004082075E-3</v>
      </c>
      <c r="X23" s="44">
        <f t="shared" si="4"/>
        <v>250.64774679023975</v>
      </c>
      <c r="Y23" s="44">
        <f t="shared" si="5"/>
        <v>984.80000000000018</v>
      </c>
      <c r="Z23" s="44">
        <f t="shared" si="6"/>
        <v>952.70350994937871</v>
      </c>
      <c r="AA23" s="50">
        <f t="shared" si="7"/>
        <v>4635.4477467902398</v>
      </c>
      <c r="AB23" s="51">
        <f t="shared" si="18"/>
        <v>890.62682055658468</v>
      </c>
      <c r="AC23" s="44">
        <f t="shared" si="18"/>
        <v>4333.4091304012709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0.97334887994043018</v>
      </c>
      <c r="AG23" s="44">
        <f t="shared" si="10"/>
        <v>3127.3699512486023</v>
      </c>
      <c r="AH23" s="52">
        <f>HLOOKUP(I23,ElecAvoidedCostsWOCC!$A$5:$Q$50,T23+1,FALSE)</f>
        <v>0.97334887994043018</v>
      </c>
      <c r="AI23" s="44">
        <f t="shared" si="11"/>
        <v>0</v>
      </c>
      <c r="AJ23" s="44">
        <f t="shared" si="12"/>
        <v>3127.3699512486023</v>
      </c>
      <c r="AK23" s="44">
        <f>HLOOKUP(I23,ElecAvoidedCostsWOCC!$A$5:$Q$50,G23+1,FALSE)*J23*L23</f>
        <v>0</v>
      </c>
      <c r="AL23" s="44">
        <f t="shared" si="13"/>
        <v>3127.3699512486023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3127.3699512486023</v>
      </c>
      <c r="AN23" s="48">
        <f t="shared" si="14"/>
        <v>3440.106946373463</v>
      </c>
      <c r="AO23" s="47">
        <f t="shared" si="15"/>
        <v>3.5114257498939865</v>
      </c>
      <c r="AP23" s="47">
        <f t="shared" si="16"/>
        <v>0.79385694792564188</v>
      </c>
      <c r="AQ23">
        <v>2020</v>
      </c>
    </row>
    <row r="24" spans="1:43" ht="13.5" customHeight="1">
      <c r="A24" s="60">
        <f>(SUM(AN5:AN1000)/SUM(AC5:AC1000))</f>
        <v>1.8568992312180088</v>
      </c>
      <c r="B24" s="97"/>
      <c r="C24" s="61"/>
      <c r="D24" s="61"/>
      <c r="E24" s="38" t="s">
        <v>1232</v>
      </c>
      <c r="F24" s="39" t="s">
        <v>1233</v>
      </c>
      <c r="G24" s="39">
        <v>15</v>
      </c>
      <c r="H24" s="39"/>
      <c r="I24" s="40" t="s">
        <v>261</v>
      </c>
      <c r="J24" s="41">
        <v>102.66</v>
      </c>
      <c r="K24" s="41">
        <v>1589</v>
      </c>
      <c r="L24" s="41"/>
      <c r="M24" s="42">
        <v>500</v>
      </c>
      <c r="N24" s="42">
        <v>2115.35</v>
      </c>
      <c r="O24" s="43">
        <v>163126.74</v>
      </c>
      <c r="P24" s="44">
        <v>51330</v>
      </c>
      <c r="Q24" s="44">
        <v>217161.82</v>
      </c>
      <c r="R24" s="45">
        <v>0</v>
      </c>
      <c r="S24" s="46">
        <v>0</v>
      </c>
      <c r="T24" s="39">
        <f t="shared" si="0"/>
        <v>15</v>
      </c>
      <c r="U24" s="47">
        <f t="shared" si="1"/>
        <v>1.8392274914273461</v>
      </c>
      <c r="V24" s="48">
        <f t="shared" si="2"/>
        <v>1615.35</v>
      </c>
      <c r="W24" s="49">
        <f t="shared" si="3"/>
        <v>0.12261516609515641</v>
      </c>
      <c r="X24" s="44">
        <f t="shared" si="4"/>
        <v>12725.599073214215</v>
      </c>
      <c r="Y24" s="44">
        <f t="shared" si="5"/>
        <v>165831.82</v>
      </c>
      <c r="Z24" s="44">
        <f t="shared" si="6"/>
        <v>48369.566686772399</v>
      </c>
      <c r="AA24" s="50">
        <f t="shared" si="7"/>
        <v>229887.41907321423</v>
      </c>
      <c r="AB24" s="51">
        <f t="shared" si="18"/>
        <v>45217.880421400761</v>
      </c>
      <c r="AC24" s="44">
        <f t="shared" si="18"/>
        <v>214908.3098749315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1.3787827893853604</v>
      </c>
      <c r="AG24" s="44">
        <f t="shared" si="10"/>
        <v>224916.34160054044</v>
      </c>
      <c r="AH24" s="52">
        <f>HLOOKUP(I24,ElecAvoidedCostsWOCC!$A$5:$Q$50,T24+1,FALSE)</f>
        <v>1.3787827893853604</v>
      </c>
      <c r="AI24" s="44">
        <f t="shared" si="11"/>
        <v>0</v>
      </c>
      <c r="AJ24" s="44">
        <f t="shared" si="12"/>
        <v>224916.34160054044</v>
      </c>
      <c r="AK24" s="44">
        <f>HLOOKUP(I24,ElecAvoidedCostsWOCC!$A$5:$Q$50,G24+1,FALSE)*J24*L24</f>
        <v>0</v>
      </c>
      <c r="AL24" s="44">
        <f t="shared" si="13"/>
        <v>224916.34160054044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224916.34160054041</v>
      </c>
      <c r="AN24" s="48">
        <f t="shared" si="14"/>
        <v>247407.97576059448</v>
      </c>
      <c r="AO24" s="47">
        <f t="shared" si="15"/>
        <v>4.9740575963417291</v>
      </c>
      <c r="AP24" s="47">
        <f t="shared" si="16"/>
        <v>1.1512257292636872</v>
      </c>
      <c r="AQ24">
        <v>2020</v>
      </c>
    </row>
    <row r="25" spans="1:43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26" si="19">G25+H25</f>
        <v>0</v>
      </c>
      <c r="U25" s="47">
        <f t="shared" ref="U25:U26" si="20">(O25/$A$10)*T25</f>
        <v>0</v>
      </c>
      <c r="V25" s="48">
        <f t="shared" ref="V25:V26" si="21">N25-M25</f>
        <v>0</v>
      </c>
      <c r="W25" s="49">
        <f t="shared" ref="W25:W26" si="22">(O25/A$10)</f>
        <v>0</v>
      </c>
      <c r="X25" s="44">
        <f t="shared" ref="X25:X26" si="23">W25*A$8</f>
        <v>0</v>
      </c>
      <c r="Y25" s="44">
        <f t="shared" ref="Y25:Y26" si="24">Q25-P25</f>
        <v>0</v>
      </c>
      <c r="Z25" s="44">
        <f t="shared" ref="Z25:Z26" si="25">X25+(A$6*W25)</f>
        <v>0</v>
      </c>
      <c r="AA25" s="50">
        <f t="shared" ref="AA25:AA26" si="26">Q25+X25</f>
        <v>0</v>
      </c>
      <c r="AB25" s="51">
        <f t="shared" ref="AB25:AB26" si="27">Z25/(1+ElecDiscountRate)^1</f>
        <v>0</v>
      </c>
      <c r="AC25" s="44">
        <f t="shared" ref="AC25:AC26" si="28">AA25/(1+ElecDiscountRate)^1</f>
        <v>0</v>
      </c>
      <c r="AD25" s="44">
        <f t="shared" ref="AD25:AD26" si="29">-PV(ElecDiscountRate,T25,R25)*J25</f>
        <v>0</v>
      </c>
      <c r="AE25" s="44">
        <f t="shared" ref="AE25:AE26" si="30">-PV(ElecDiscountRate,T25,S25)*J25</f>
        <v>0</v>
      </c>
      <c r="AF25" s="52" t="e">
        <f>HLOOKUP(I25,ElecAvoidedCostsWOCC!$A$5:$Q$50,G25+1,FALSE)</f>
        <v>#N/A</v>
      </c>
      <c r="AG25" s="44" t="e">
        <f t="shared" ref="AG25:AG26" si="31">AF25*J25*K25</f>
        <v>#N/A</v>
      </c>
      <c r="AH25" s="52" t="e">
        <f>HLOOKUP(I25,ElecAvoidedCostsWOCC!$A$5:$Q$50,T25+1,FALSE)</f>
        <v>#N/A</v>
      </c>
      <c r="AI25" s="44" t="e">
        <f t="shared" ref="AI25:AI26" si="32">AH25*J25*L25</f>
        <v>#N/A</v>
      </c>
      <c r="AJ25" s="44" t="e">
        <f t="shared" ref="AJ25:AJ26" si="33">AG25+AI25</f>
        <v>#N/A</v>
      </c>
      <c r="AK25" s="44" t="e">
        <f>HLOOKUP(I25,ElecAvoidedCostsWOCC!$A$5:$Q$50,G25+1,FALSE)*J25*L25</f>
        <v>#N/A</v>
      </c>
      <c r="AL25" s="44" t="e">
        <f t="shared" ref="AL25:AL26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26" si="35">AM25*1.1+AD25+AE25</f>
        <v>0</v>
      </c>
      <c r="AO25" s="47">
        <f t="shared" ref="AO25:AO26" si="36">IFERROR(AM25/AB25,0)</f>
        <v>0</v>
      </c>
      <c r="AP25" s="47" t="e">
        <f t="shared" ref="AP25:AP26" si="37">AN25/AC25</f>
        <v>#DIV/0!</v>
      </c>
    </row>
    <row r="26" spans="1:43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/>
    <row r="28" spans="1:43" ht="13.5" customHeight="1"/>
  </sheetData>
  <conditionalFormatting sqref="J5:L26">
    <cfRule type="expression" dxfId="189" priority="4">
      <formula>ISTEXT(J5)</formula>
    </cfRule>
    <cfRule type="notContainsBlanks" dxfId="188" priority="5">
      <formula>LEN(TRIM(J5))&gt;0</formula>
    </cfRule>
  </conditionalFormatting>
  <conditionalFormatting sqref="M5:N26 R5:S26">
    <cfRule type="expression" dxfId="187" priority="2">
      <formula>ISTEXT(M5)</formula>
    </cfRule>
  </conditionalFormatting>
  <conditionalFormatting sqref="M5:N26 R5:S26">
    <cfRule type="notContainsBlanks" dxfId="186" priority="3">
      <formula>LEN(TRIM(M5))&gt;0</formula>
    </cfRule>
  </conditionalFormatting>
  <conditionalFormatting sqref="R5:S26">
    <cfRule type="expression" dxfId="1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89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18230524</v>
      </c>
      <c r="D2" s="20" t="s">
        <v>71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18230524</v>
      </c>
      <c r="D5" s="61" t="s">
        <v>71</v>
      </c>
      <c r="E5" s="38" t="s">
        <v>1250</v>
      </c>
      <c r="F5" s="39" t="s">
        <v>1251</v>
      </c>
      <c r="G5" s="39">
        <v>15</v>
      </c>
      <c r="H5" s="39"/>
      <c r="I5" s="40" t="s">
        <v>261</v>
      </c>
      <c r="J5" s="41">
        <v>-1</v>
      </c>
      <c r="K5" s="41">
        <v>334</v>
      </c>
      <c r="L5" s="41"/>
      <c r="M5" s="42">
        <v>75</v>
      </c>
      <c r="N5" s="42">
        <v>236</v>
      </c>
      <c r="O5" s="43">
        <v>-334</v>
      </c>
      <c r="P5" s="44">
        <v>0</v>
      </c>
      <c r="Q5" s="44">
        <v>-1139.8800000000001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-5.6521459539773172E-3</v>
      </c>
      <c r="V5" s="48">
        <f t="shared" ref="V5:V24" si="2">N5-M5</f>
        <v>161</v>
      </c>
      <c r="W5" s="49">
        <f t="shared" ref="W5:W24" si="3">(O5/A$10)</f>
        <v>-3.7680973026515448E-4</v>
      </c>
      <c r="X5" s="44">
        <f t="shared" ref="X5:X24" si="4">W5*A$8</f>
        <v>-70.819523595170992</v>
      </c>
      <c r="Y5" s="44">
        <f t="shared" ref="Y5:Y24" si="5">Q5-P5</f>
        <v>-1139.8800000000001</v>
      </c>
      <c r="Z5" s="44">
        <f t="shared" ref="Z5:Z24" si="6">X5+(A$6*W5)</f>
        <v>-315.71087278835819</v>
      </c>
      <c r="AA5" s="50">
        <f t="shared" ref="AA5:AA24" si="7">Q5+X5</f>
        <v>-1210.6995235951711</v>
      </c>
      <c r="AB5" s="51">
        <f t="shared" ref="AB5:AC20" si="8">Z5/(1+ElecDiscountRate)^1</f>
        <v>-295.13963988815385</v>
      </c>
      <c r="AC5" s="44">
        <f t="shared" si="8"/>
        <v>-1131.8122123914845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1.3787827893853604</v>
      </c>
      <c r="AG5" s="44">
        <f t="shared" ref="AG5:AG24" si="10">AF5*J5*K5</f>
        <v>-460.51345165471037</v>
      </c>
      <c r="AH5" s="52">
        <f>HLOOKUP(I5,ElecAvoidedCostsWOCC!$A$5:$Q$50,T5+1,FALSE)</f>
        <v>1.3787827893853604</v>
      </c>
      <c r="AI5" s="44">
        <f t="shared" ref="AI5:AI24" si="11">AH5*J5*L5</f>
        <v>0</v>
      </c>
      <c r="AJ5" s="44">
        <f>AG5+AI5</f>
        <v>-460.51345165471037</v>
      </c>
      <c r="AK5" s="44">
        <f>HLOOKUP(I5,ElecAvoidedCostsWOCC!$A$5:$Q$50,G5+1,FALSE)*J5*L5</f>
        <v>0</v>
      </c>
      <c r="AL5" s="44">
        <f>AG5+AI5-AK5</f>
        <v>-460.51345165471037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-460.51345165471037</v>
      </c>
      <c r="AN5" s="48">
        <f>AM5*1.1+AD5+AE5</f>
        <v>-506.56479682018147</v>
      </c>
      <c r="AO5" s="47">
        <f>IFERROR(AM5/AB5,0)</f>
        <v>1.5603239599710381</v>
      </c>
      <c r="AP5" s="47">
        <f>AN5/AC5</f>
        <v>0.4475696509316025</v>
      </c>
      <c r="AQ5">
        <v>2021</v>
      </c>
    </row>
    <row r="6" spans="1:43" ht="13.5" customHeight="1">
      <c r="A6" s="53">
        <f>SUMIF('Program Costs'!D:D,C2,'Program Costs'!L:L)</f>
        <v>649907.18000000005</v>
      </c>
      <c r="B6" s="97" t="s">
        <v>70</v>
      </c>
      <c r="C6" s="98">
        <v>18230524</v>
      </c>
      <c r="D6" s="61" t="s">
        <v>71</v>
      </c>
      <c r="E6" s="38" t="s">
        <v>1252</v>
      </c>
      <c r="F6" s="39" t="s">
        <v>1253</v>
      </c>
      <c r="G6" s="39">
        <v>15</v>
      </c>
      <c r="H6" s="39"/>
      <c r="I6" s="40" t="s">
        <v>261</v>
      </c>
      <c r="J6" s="41">
        <v>3</v>
      </c>
      <c r="K6" s="41">
        <v>444</v>
      </c>
      <c r="L6" s="41"/>
      <c r="M6" s="42">
        <v>40</v>
      </c>
      <c r="N6" s="42">
        <v>101</v>
      </c>
      <c r="O6" s="43">
        <v>1332</v>
      </c>
      <c r="P6" s="44">
        <v>993.2</v>
      </c>
      <c r="Q6" s="44">
        <v>2507.83</v>
      </c>
      <c r="R6" s="45">
        <v>0</v>
      </c>
      <c r="S6" s="46">
        <v>0</v>
      </c>
      <c r="T6" s="39">
        <f t="shared" si="0"/>
        <v>15</v>
      </c>
      <c r="U6" s="47">
        <f t="shared" si="1"/>
        <v>2.254089344520295E-2</v>
      </c>
      <c r="V6" s="48">
        <f t="shared" si="2"/>
        <v>61</v>
      </c>
      <c r="W6" s="49">
        <f t="shared" si="3"/>
        <v>1.5027262296801968E-3</v>
      </c>
      <c r="X6" s="44">
        <f t="shared" si="4"/>
        <v>282.42995637355614</v>
      </c>
      <c r="Y6" s="44">
        <f t="shared" si="5"/>
        <v>1514.6299999999999</v>
      </c>
      <c r="Z6" s="44">
        <f t="shared" si="6"/>
        <v>1259.062522617045</v>
      </c>
      <c r="AA6" s="50">
        <f t="shared" si="7"/>
        <v>2790.2599563735562</v>
      </c>
      <c r="AB6" s="51">
        <f t="shared" si="8"/>
        <v>1177.0239530868887</v>
      </c>
      <c r="AC6" s="44">
        <f t="shared" si="8"/>
        <v>2608.4509267771859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1836.5386754613003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1836.5386754613003</v>
      </c>
      <c r="AK6" s="44">
        <f>HLOOKUP(I6,ElecAvoidedCostsWOCC!$A$5:$Q$50,G6+1,FALSE)*J6*L6</f>
        <v>0</v>
      </c>
      <c r="AL6" s="44">
        <f t="shared" ref="AL6:AL24" si="13">AG6+AI6-AK6</f>
        <v>1836.5386754613003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1836.5386754613</v>
      </c>
      <c r="AN6" s="48">
        <f t="shared" ref="AN6:AN24" si="14">AM6*1.1+AD6+AE6</f>
        <v>2020.1925430074302</v>
      </c>
      <c r="AO6" s="47">
        <f t="shared" ref="AO6:AO24" si="15">IFERROR(AM6/AB6,0)</f>
        <v>1.5603239599710386</v>
      </c>
      <c r="AP6" s="47">
        <f t="shared" ref="AP6:AP24" si="16">AN6/AC6</f>
        <v>0.7744797965217749</v>
      </c>
      <c r="AQ6">
        <v>2021</v>
      </c>
    </row>
    <row r="7" spans="1:43" ht="13.5" customHeight="1">
      <c r="A7" s="36" t="s">
        <v>249</v>
      </c>
      <c r="B7" s="97" t="s">
        <v>70</v>
      </c>
      <c r="C7" s="98">
        <v>18230524</v>
      </c>
      <c r="D7" s="61" t="s">
        <v>71</v>
      </c>
      <c r="E7" s="38" t="s">
        <v>1254</v>
      </c>
      <c r="F7" s="39" t="s">
        <v>1255</v>
      </c>
      <c r="G7" s="39">
        <v>15</v>
      </c>
      <c r="H7" s="39"/>
      <c r="I7" s="40" t="s">
        <v>261</v>
      </c>
      <c r="J7" s="41">
        <v>8</v>
      </c>
      <c r="K7" s="41">
        <v>578.875</v>
      </c>
      <c r="L7" s="41"/>
      <c r="M7" s="42">
        <v>65</v>
      </c>
      <c r="N7" s="42">
        <v>191</v>
      </c>
      <c r="O7" s="43">
        <v>4631</v>
      </c>
      <c r="P7" s="44">
        <v>3381.3</v>
      </c>
      <c r="Q7" s="44">
        <v>9935.82</v>
      </c>
      <c r="R7" s="45">
        <v>0</v>
      </c>
      <c r="S7" s="46">
        <v>0</v>
      </c>
      <c r="T7" s="39">
        <f t="shared" si="0"/>
        <v>15</v>
      </c>
      <c r="U7" s="47">
        <f t="shared" si="1"/>
        <v>7.8368526685236403E-2</v>
      </c>
      <c r="V7" s="48">
        <f t="shared" si="2"/>
        <v>126</v>
      </c>
      <c r="W7" s="49">
        <f t="shared" si="3"/>
        <v>5.2245684456824265E-3</v>
      </c>
      <c r="X7" s="44">
        <f t="shared" si="4"/>
        <v>981.93177775220613</v>
      </c>
      <c r="Y7" s="44">
        <f t="shared" si="5"/>
        <v>6554.5199999999995</v>
      </c>
      <c r="Z7" s="44">
        <f t="shared" si="6"/>
        <v>4377.4163230026552</v>
      </c>
      <c r="AA7" s="50">
        <f t="shared" si="7"/>
        <v>10917.751777752206</v>
      </c>
      <c r="AB7" s="51">
        <f t="shared" si="8"/>
        <v>4092.190635694732</v>
      </c>
      <c r="AC7" s="44">
        <f t="shared" si="8"/>
        <v>10206.367932833697</v>
      </c>
      <c r="AD7" s="44">
        <f t="shared" si="9"/>
        <v>0</v>
      </c>
      <c r="AE7" s="44">
        <v>0</v>
      </c>
      <c r="AF7" s="52">
        <f>HLOOKUP(I7,ElecAvoidedCostsWOCC!$A$5:$Q$50,G7+1,FALSE)</f>
        <v>1.3787827893853604</v>
      </c>
      <c r="AG7" s="44">
        <f t="shared" si="10"/>
        <v>6385.1430976436041</v>
      </c>
      <c r="AH7" s="52">
        <f>HLOOKUP(I7,ElecAvoidedCostsWOCC!$A$5:$Q$50,T7+1,FALSE)</f>
        <v>1.3787827893853604</v>
      </c>
      <c r="AI7" s="44">
        <f t="shared" si="11"/>
        <v>0</v>
      </c>
      <c r="AJ7" s="44">
        <f t="shared" si="12"/>
        <v>6385.1430976436041</v>
      </c>
      <c r="AK7" s="44">
        <f>HLOOKUP(I7,ElecAvoidedCostsWOCC!$A$5:$Q$50,G7+1,FALSE)*J7*L7</f>
        <v>0</v>
      </c>
      <c r="AL7" s="44">
        <f t="shared" si="13"/>
        <v>6385.1430976436041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6385.1430976436041</v>
      </c>
      <c r="AN7" s="48">
        <f t="shared" si="14"/>
        <v>7023.6574074079654</v>
      </c>
      <c r="AO7" s="47">
        <f t="shared" si="15"/>
        <v>1.5603239599710381</v>
      </c>
      <c r="AP7" s="47">
        <f t="shared" si="16"/>
        <v>0.68816423762394352</v>
      </c>
      <c r="AQ7">
        <v>2021</v>
      </c>
    </row>
    <row r="8" spans="1:43" ht="13.5" customHeight="1">
      <c r="A8" s="53">
        <f>SUMIF('Program Costs'!D:D,C2,'Program Costs'!O:O)</f>
        <v>187945.05000000005</v>
      </c>
      <c r="B8" s="97" t="s">
        <v>70</v>
      </c>
      <c r="C8" s="98">
        <v>18230524</v>
      </c>
      <c r="D8" s="61" t="s">
        <v>71</v>
      </c>
      <c r="E8" s="38" t="s">
        <v>1256</v>
      </c>
      <c r="F8" s="39" t="s">
        <v>1257</v>
      </c>
      <c r="G8" s="39">
        <v>15</v>
      </c>
      <c r="H8" s="39"/>
      <c r="I8" s="40" t="s">
        <v>261</v>
      </c>
      <c r="J8" s="41">
        <v>-1</v>
      </c>
      <c r="K8" s="41">
        <v>1854</v>
      </c>
      <c r="L8" s="41"/>
      <c r="M8" s="42">
        <v>125</v>
      </c>
      <c r="N8" s="42">
        <v>298</v>
      </c>
      <c r="O8" s="43">
        <v>-1854</v>
      </c>
      <c r="P8" s="44">
        <v>2876.25</v>
      </c>
      <c r="Q8" s="44">
        <v>-2854.84</v>
      </c>
      <c r="R8" s="45">
        <v>0</v>
      </c>
      <c r="S8" s="46">
        <v>0</v>
      </c>
      <c r="T8" s="39">
        <f t="shared" si="0"/>
        <v>15</v>
      </c>
      <c r="U8" s="47">
        <f t="shared" si="1"/>
        <v>-3.1374486822377083E-2</v>
      </c>
      <c r="V8" s="48">
        <f t="shared" si="2"/>
        <v>173</v>
      </c>
      <c r="W8" s="49">
        <f t="shared" si="3"/>
        <v>-2.0916324548251389E-3</v>
      </c>
      <c r="X8" s="44">
        <f t="shared" si="4"/>
        <v>-393.11196630373354</v>
      </c>
      <c r="Y8" s="44">
        <f t="shared" si="5"/>
        <v>-5731.09</v>
      </c>
      <c r="Z8" s="44">
        <f t="shared" si="6"/>
        <v>-1752.478916615617</v>
      </c>
      <c r="AA8" s="50">
        <f t="shared" si="7"/>
        <v>-3247.9519663037336</v>
      </c>
      <c r="AB8" s="51">
        <f t="shared" si="8"/>
        <v>-1638.2900968641832</v>
      </c>
      <c r="AC8" s="44">
        <f t="shared" si="8"/>
        <v>-3036.3204321807361</v>
      </c>
      <c r="AD8" s="44">
        <f t="shared" si="9"/>
        <v>0</v>
      </c>
      <c r="AE8" s="44">
        <v>0</v>
      </c>
      <c r="AF8" s="52">
        <f>HLOOKUP(I8,ElecAvoidedCostsWOCC!$A$5:$Q$50,G8+1,FALSE)</f>
        <v>1.3787827893853604</v>
      </c>
      <c r="AG8" s="44">
        <f t="shared" si="10"/>
        <v>-2556.2632915204581</v>
      </c>
      <c r="AH8" s="52">
        <f>HLOOKUP(I8,ElecAvoidedCostsWOCC!$A$5:$Q$50,T8+1,FALSE)</f>
        <v>1.3787827893853604</v>
      </c>
      <c r="AI8" s="44">
        <f t="shared" si="11"/>
        <v>0</v>
      </c>
      <c r="AJ8" s="44">
        <f t="shared" si="12"/>
        <v>-2556.2632915204581</v>
      </c>
      <c r="AK8" s="44">
        <f>HLOOKUP(I8,ElecAvoidedCostsWOCC!$A$5:$Q$50,G8+1,FALSE)*J8*L8</f>
        <v>0</v>
      </c>
      <c r="AL8" s="44">
        <f t="shared" si="13"/>
        <v>-2556.2632915204581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-2556.2632915204581</v>
      </c>
      <c r="AN8" s="48">
        <f t="shared" si="14"/>
        <v>-2811.889620672504</v>
      </c>
      <c r="AO8" s="47">
        <f t="shared" si="15"/>
        <v>1.5603239599710383</v>
      </c>
      <c r="AP8" s="47">
        <f t="shared" si="16"/>
        <v>0.92608460914415336</v>
      </c>
      <c r="AQ8">
        <v>2021</v>
      </c>
    </row>
    <row r="9" spans="1:43" ht="13.5" customHeight="1">
      <c r="A9" s="36" t="s">
        <v>250</v>
      </c>
      <c r="B9" s="97" t="s">
        <v>70</v>
      </c>
      <c r="C9" s="98">
        <v>18230524</v>
      </c>
      <c r="D9" s="61" t="s">
        <v>71</v>
      </c>
      <c r="E9" s="38" t="s">
        <v>1258</v>
      </c>
      <c r="F9" s="39" t="s">
        <v>1259</v>
      </c>
      <c r="G9" s="39">
        <v>15</v>
      </c>
      <c r="H9" s="39"/>
      <c r="I9" s="40" t="s">
        <v>261</v>
      </c>
      <c r="J9" s="41">
        <v>15</v>
      </c>
      <c r="K9" s="41">
        <v>861.4</v>
      </c>
      <c r="L9" s="41"/>
      <c r="M9" s="42">
        <v>40</v>
      </c>
      <c r="N9" s="42">
        <v>89</v>
      </c>
      <c r="O9" s="43">
        <v>12921</v>
      </c>
      <c r="P9" s="44">
        <v>9446</v>
      </c>
      <c r="Q9" s="44">
        <v>13275.24</v>
      </c>
      <c r="R9" s="45">
        <v>0</v>
      </c>
      <c r="S9" s="46">
        <v>0</v>
      </c>
      <c r="T9" s="39">
        <f t="shared" si="0"/>
        <v>15</v>
      </c>
      <c r="U9" s="47">
        <f t="shared" si="1"/>
        <v>0.2186568199740746</v>
      </c>
      <c r="V9" s="48">
        <f t="shared" si="2"/>
        <v>49</v>
      </c>
      <c r="W9" s="49">
        <f t="shared" si="3"/>
        <v>1.4577121331604973E-2</v>
      </c>
      <c r="X9" s="44">
        <f t="shared" si="4"/>
        <v>2739.6977975245641</v>
      </c>
      <c r="Y9" s="44">
        <f t="shared" si="5"/>
        <v>3829.24</v>
      </c>
      <c r="Z9" s="44">
        <f t="shared" si="6"/>
        <v>12213.473614665798</v>
      </c>
      <c r="AA9" s="50">
        <f t="shared" si="7"/>
        <v>16014.937797524564</v>
      </c>
      <c r="AB9" s="51">
        <f t="shared" si="8"/>
        <v>11417.662535912683</v>
      </c>
      <c r="AC9" s="44">
        <f t="shared" si="8"/>
        <v>14971.429183438873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1.3787827893853604</v>
      </c>
      <c r="AG9" s="44">
        <f t="shared" si="10"/>
        <v>17815.252421648238</v>
      </c>
      <c r="AH9" s="52">
        <f>HLOOKUP(I9,ElecAvoidedCostsWOCC!$A$5:$Q$50,T9+1,FALSE)</f>
        <v>1.3787827893853604</v>
      </c>
      <c r="AI9" s="44">
        <f t="shared" si="11"/>
        <v>0</v>
      </c>
      <c r="AJ9" s="44">
        <f t="shared" si="12"/>
        <v>17815.252421648238</v>
      </c>
      <c r="AK9" s="44">
        <f>HLOOKUP(I9,ElecAvoidedCostsWOCC!$A$5:$Q$50,G9+1,FALSE)*J9*L9</f>
        <v>0</v>
      </c>
      <c r="AL9" s="44">
        <f t="shared" si="13"/>
        <v>17815.252421648238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17815.252421648242</v>
      </c>
      <c r="AN9" s="48">
        <f t="shared" si="14"/>
        <v>19596.777663813067</v>
      </c>
      <c r="AO9" s="47">
        <f t="shared" si="15"/>
        <v>1.5603239599710381</v>
      </c>
      <c r="AP9" s="47">
        <f t="shared" si="16"/>
        <v>1.3089450194568379</v>
      </c>
      <c r="AQ9">
        <v>2021</v>
      </c>
    </row>
    <row r="10" spans="1:43" ht="13.5" customHeight="1">
      <c r="A10" s="54">
        <f>SUM(O5:O999)</f>
        <v>886389</v>
      </c>
      <c r="B10" s="97" t="s">
        <v>70</v>
      </c>
      <c r="C10" s="98">
        <v>18230524</v>
      </c>
      <c r="D10" s="61" t="s">
        <v>71</v>
      </c>
      <c r="E10" s="38" t="s">
        <v>1260</v>
      </c>
      <c r="F10" s="39" t="s">
        <v>1261</v>
      </c>
      <c r="G10" s="39">
        <v>15</v>
      </c>
      <c r="H10" s="39"/>
      <c r="I10" s="40" t="s">
        <v>261</v>
      </c>
      <c r="J10" s="41">
        <v>12</v>
      </c>
      <c r="K10" s="41">
        <v>1406.8333333333333</v>
      </c>
      <c r="L10" s="41"/>
      <c r="M10" s="42">
        <v>65</v>
      </c>
      <c r="N10" s="42">
        <v>135</v>
      </c>
      <c r="O10" s="43">
        <v>16882</v>
      </c>
      <c r="P10" s="44">
        <v>12232.35</v>
      </c>
      <c r="Q10" s="44">
        <v>25405.65</v>
      </c>
      <c r="R10" s="45">
        <v>0</v>
      </c>
      <c r="S10" s="46">
        <v>0</v>
      </c>
      <c r="T10" s="39">
        <f t="shared" si="0"/>
        <v>15</v>
      </c>
      <c r="U10" s="47">
        <f t="shared" si="1"/>
        <v>0.28568720956600319</v>
      </c>
      <c r="V10" s="48">
        <f t="shared" si="2"/>
        <v>70</v>
      </c>
      <c r="W10" s="49">
        <f t="shared" si="3"/>
        <v>1.9045813971066878E-2</v>
      </c>
      <c r="X10" s="44">
        <f t="shared" si="4"/>
        <v>3579.5664590828637</v>
      </c>
      <c r="Y10" s="44">
        <f t="shared" si="5"/>
        <v>13173.300000000001</v>
      </c>
      <c r="Z10" s="44">
        <f t="shared" si="6"/>
        <v>15957.577707823541</v>
      </c>
      <c r="AA10" s="50">
        <f t="shared" si="7"/>
        <v>28985.216459082865</v>
      </c>
      <c r="AB10" s="51">
        <f t="shared" si="8"/>
        <v>14917.806588598241</v>
      </c>
      <c r="AC10" s="44">
        <f t="shared" si="8"/>
        <v>27096.584518166648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1.3787827893853604</v>
      </c>
      <c r="AG10" s="44">
        <f t="shared" si="10"/>
        <v>23276.611050403655</v>
      </c>
      <c r="AH10" s="52">
        <f>HLOOKUP(I10,ElecAvoidedCostsWOCC!$A$5:$Q$50,T10+1,FALSE)</f>
        <v>1.3787827893853604</v>
      </c>
      <c r="AI10" s="44">
        <f t="shared" si="11"/>
        <v>0</v>
      </c>
      <c r="AJ10" s="44">
        <f t="shared" si="12"/>
        <v>23276.611050403655</v>
      </c>
      <c r="AK10" s="44">
        <f>HLOOKUP(I10,ElecAvoidedCostsWOCC!$A$5:$Q$50,G10+1,FALSE)*J10*L10</f>
        <v>0</v>
      </c>
      <c r="AL10" s="44">
        <f t="shared" si="13"/>
        <v>23276.611050403655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23276.611050403651</v>
      </c>
      <c r="AN10" s="48">
        <f t="shared" si="14"/>
        <v>25604.272155444018</v>
      </c>
      <c r="AO10" s="47">
        <f t="shared" si="15"/>
        <v>1.5603239599710381</v>
      </c>
      <c r="AP10" s="47">
        <f t="shared" si="16"/>
        <v>0.94492618205360446</v>
      </c>
      <c r="AQ10">
        <v>2021</v>
      </c>
    </row>
    <row r="11" spans="1:43" ht="13.5" customHeight="1">
      <c r="A11" s="36" t="s">
        <v>251</v>
      </c>
      <c r="B11" s="97" t="s">
        <v>70</v>
      </c>
      <c r="C11" s="98">
        <v>18230524</v>
      </c>
      <c r="D11" s="61" t="s">
        <v>71</v>
      </c>
      <c r="E11" s="38" t="s">
        <v>1262</v>
      </c>
      <c r="F11" s="39" t="s">
        <v>1263</v>
      </c>
      <c r="G11" s="39">
        <v>15</v>
      </c>
      <c r="H11" s="39"/>
      <c r="I11" s="40" t="s">
        <v>261</v>
      </c>
      <c r="J11" s="41">
        <v>15</v>
      </c>
      <c r="K11" s="41">
        <v>1455.8</v>
      </c>
      <c r="L11" s="41"/>
      <c r="M11" s="42">
        <v>40</v>
      </c>
      <c r="N11" s="42">
        <v>50</v>
      </c>
      <c r="O11" s="43">
        <v>21837</v>
      </c>
      <c r="P11" s="44">
        <v>17296.400000000001</v>
      </c>
      <c r="Q11" s="44">
        <v>17120.5</v>
      </c>
      <c r="R11" s="45">
        <v>0</v>
      </c>
      <c r="S11" s="46">
        <v>0</v>
      </c>
      <c r="T11" s="39">
        <f t="shared" si="0"/>
        <v>15</v>
      </c>
      <c r="U11" s="47">
        <f t="shared" si="1"/>
        <v>0.36953865627845112</v>
      </c>
      <c r="V11" s="48">
        <f t="shared" si="2"/>
        <v>10</v>
      </c>
      <c r="W11" s="49">
        <f t="shared" si="3"/>
        <v>2.4635910418563407E-2</v>
      </c>
      <c r="X11" s="44">
        <f t="shared" si="4"/>
        <v>4630.1974154124218</v>
      </c>
      <c r="Y11" s="44">
        <f t="shared" si="5"/>
        <v>-175.90000000000146</v>
      </c>
      <c r="Z11" s="44">
        <f t="shared" si="6"/>
        <v>20641.252482273587</v>
      </c>
      <c r="AA11" s="50">
        <f t="shared" si="7"/>
        <v>21750.697415412422</v>
      </c>
      <c r="AB11" s="51">
        <f t="shared" si="8"/>
        <v>19296.300348016812</v>
      </c>
      <c r="AC11" s="44">
        <f t="shared" si="8"/>
        <v>20333.455562692736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1.3787827893853604</v>
      </c>
      <c r="AG11" s="44">
        <f t="shared" si="10"/>
        <v>30108.47977180811</v>
      </c>
      <c r="AH11" s="52">
        <f>HLOOKUP(I11,ElecAvoidedCostsWOCC!$A$5:$Q$50,T11+1,FALSE)</f>
        <v>1.3787827893853604</v>
      </c>
      <c r="AI11" s="44">
        <f t="shared" si="11"/>
        <v>0</v>
      </c>
      <c r="AJ11" s="44">
        <f t="shared" si="12"/>
        <v>30108.47977180811</v>
      </c>
      <c r="AK11" s="44">
        <f>HLOOKUP(I11,ElecAvoidedCostsWOCC!$A$5:$Q$50,G11+1,FALSE)*J11*L11</f>
        <v>0</v>
      </c>
      <c r="AL11" s="44">
        <f t="shared" si="13"/>
        <v>30108.47977180811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30108.479771808114</v>
      </c>
      <c r="AN11" s="48">
        <f t="shared" si="14"/>
        <v>33119.32774898893</v>
      </c>
      <c r="AO11" s="47">
        <f t="shared" si="15"/>
        <v>1.5603239599710381</v>
      </c>
      <c r="AP11" s="47">
        <f t="shared" si="16"/>
        <v>1.6288096062606967</v>
      </c>
      <c r="AQ11">
        <v>2021</v>
      </c>
    </row>
    <row r="12" spans="1:43" ht="13.5" customHeight="1">
      <c r="A12" s="55">
        <f>SUM(P5:P1000)</f>
        <v>498082.39999999997</v>
      </c>
      <c r="B12" s="97" t="s">
        <v>70</v>
      </c>
      <c r="C12" s="98">
        <v>18230524</v>
      </c>
      <c r="D12" s="61" t="s">
        <v>71</v>
      </c>
      <c r="E12" s="38" t="s">
        <v>1264</v>
      </c>
      <c r="F12" s="39" t="s">
        <v>1265</v>
      </c>
      <c r="G12" s="39">
        <v>15</v>
      </c>
      <c r="H12" s="39"/>
      <c r="I12" s="40" t="s">
        <v>261</v>
      </c>
      <c r="J12" s="41">
        <v>3</v>
      </c>
      <c r="K12" s="41">
        <v>4417</v>
      </c>
      <c r="L12" s="41"/>
      <c r="M12" s="42">
        <v>65</v>
      </c>
      <c r="N12" s="42">
        <v>96</v>
      </c>
      <c r="O12" s="43">
        <v>13251</v>
      </c>
      <c r="P12" s="44">
        <v>7983.95</v>
      </c>
      <c r="Q12" s="44">
        <v>11791.68</v>
      </c>
      <c r="R12" s="45">
        <v>0</v>
      </c>
      <c r="S12" s="46">
        <v>0</v>
      </c>
      <c r="T12" s="39">
        <f t="shared" si="0"/>
        <v>15</v>
      </c>
      <c r="U12" s="47">
        <f t="shared" si="1"/>
        <v>0.22424127555734558</v>
      </c>
      <c r="V12" s="48">
        <f t="shared" si="2"/>
        <v>31</v>
      </c>
      <c r="W12" s="49">
        <f t="shared" si="3"/>
        <v>1.4949418370489706E-2</v>
      </c>
      <c r="X12" s="44">
        <f t="shared" si="4"/>
        <v>2809.6691831126068</v>
      </c>
      <c r="Y12" s="44">
        <f t="shared" si="5"/>
        <v>3807.7300000000005</v>
      </c>
      <c r="Z12" s="44">
        <f t="shared" si="6"/>
        <v>12525.403518917767</v>
      </c>
      <c r="AA12" s="50">
        <f t="shared" si="7"/>
        <v>14601.349183112607</v>
      </c>
      <c r="AB12" s="51">
        <f t="shared" si="8"/>
        <v>11709.267569335108</v>
      </c>
      <c r="AC12" s="44">
        <f t="shared" si="8"/>
        <v>13649.947820054787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1.3787827893853604</v>
      </c>
      <c r="AG12" s="44">
        <f t="shared" si="10"/>
        <v>18270.250742145414</v>
      </c>
      <c r="AH12" s="52">
        <f>HLOOKUP(I12,ElecAvoidedCostsWOCC!$A$5:$Q$50,T12+1,FALSE)</f>
        <v>1.3787827893853604</v>
      </c>
      <c r="AI12" s="44">
        <f t="shared" si="11"/>
        <v>0</v>
      </c>
      <c r="AJ12" s="44">
        <f t="shared" si="12"/>
        <v>18270.250742145414</v>
      </c>
      <c r="AK12" s="44">
        <f>HLOOKUP(I12,ElecAvoidedCostsWOCC!$A$5:$Q$50,G12+1,FALSE)*J12*L12</f>
        <v>0</v>
      </c>
      <c r="AL12" s="44">
        <f t="shared" si="13"/>
        <v>18270.250742145414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18270.25074214541</v>
      </c>
      <c r="AN12" s="48">
        <f t="shared" si="14"/>
        <v>20097.275816359954</v>
      </c>
      <c r="AO12" s="47">
        <f t="shared" si="15"/>
        <v>1.5603239599710383</v>
      </c>
      <c r="AP12" s="47">
        <f t="shared" si="16"/>
        <v>1.4723335269335329</v>
      </c>
      <c r="AQ12">
        <v>2021</v>
      </c>
    </row>
    <row r="13" spans="1:43" ht="13.5" customHeight="1">
      <c r="A13" s="56" t="s">
        <v>252</v>
      </c>
      <c r="B13" s="97" t="s">
        <v>70</v>
      </c>
      <c r="C13" s="98">
        <v>18230524</v>
      </c>
      <c r="D13" s="61" t="s">
        <v>71</v>
      </c>
      <c r="E13" s="38" t="s">
        <v>1266</v>
      </c>
      <c r="F13" s="39" t="s">
        <v>1267</v>
      </c>
      <c r="G13" s="39">
        <v>15</v>
      </c>
      <c r="H13" s="39"/>
      <c r="I13" s="40" t="s">
        <v>261</v>
      </c>
      <c r="J13" s="41">
        <v>7</v>
      </c>
      <c r="K13" s="41">
        <v>7121.4285714285716</v>
      </c>
      <c r="L13" s="41"/>
      <c r="M13" s="42">
        <v>100</v>
      </c>
      <c r="N13" s="42">
        <v>186</v>
      </c>
      <c r="O13" s="43">
        <v>49850</v>
      </c>
      <c r="P13" s="44">
        <v>38649</v>
      </c>
      <c r="Q13" s="44">
        <v>71887.14</v>
      </c>
      <c r="R13" s="45">
        <v>0</v>
      </c>
      <c r="S13" s="46">
        <v>0</v>
      </c>
      <c r="T13" s="39">
        <f t="shared" si="0"/>
        <v>15</v>
      </c>
      <c r="U13" s="47">
        <f t="shared" si="1"/>
        <v>0.84359124492745285</v>
      </c>
      <c r="V13" s="48">
        <f t="shared" si="2"/>
        <v>86</v>
      </c>
      <c r="W13" s="49">
        <f t="shared" si="3"/>
        <v>5.6239416328496855E-2</v>
      </c>
      <c r="X13" s="44">
        <f t="shared" si="4"/>
        <v>10569.919913830161</v>
      </c>
      <c r="Y13" s="44">
        <f t="shared" si="5"/>
        <v>33238.14</v>
      </c>
      <c r="Z13" s="44">
        <f t="shared" si="6"/>
        <v>47120.320384729508</v>
      </c>
      <c r="AA13" s="50">
        <f t="shared" si="7"/>
        <v>82457.059913830162</v>
      </c>
      <c r="AB13" s="51">
        <f t="shared" si="8"/>
        <v>44050.033079115179</v>
      </c>
      <c r="AC13" s="44">
        <f t="shared" si="8"/>
        <v>77084.285233084185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1.3787827893853604</v>
      </c>
      <c r="AG13" s="44">
        <f t="shared" si="10"/>
        <v>68732.322050860224</v>
      </c>
      <c r="AH13" s="52">
        <f>HLOOKUP(I13,ElecAvoidedCostsWOCC!$A$5:$Q$50,T13+1,FALSE)</f>
        <v>1.3787827893853604</v>
      </c>
      <c r="AI13" s="44">
        <f t="shared" si="11"/>
        <v>0</v>
      </c>
      <c r="AJ13" s="44">
        <f t="shared" si="12"/>
        <v>68732.322050860224</v>
      </c>
      <c r="AK13" s="44">
        <f>HLOOKUP(I13,ElecAvoidedCostsWOCC!$A$5:$Q$50,G13+1,FALSE)*J13*L13</f>
        <v>0</v>
      </c>
      <c r="AL13" s="44">
        <f t="shared" si="13"/>
        <v>68732.322050860224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68732.32205086021</v>
      </c>
      <c r="AN13" s="48">
        <f t="shared" si="14"/>
        <v>75605.554255946234</v>
      </c>
      <c r="AO13" s="47">
        <f t="shared" si="15"/>
        <v>1.5603239599710379</v>
      </c>
      <c r="AP13" s="47">
        <f t="shared" si="16"/>
        <v>0.98081669989328402</v>
      </c>
      <c r="AQ13">
        <v>2021</v>
      </c>
    </row>
    <row r="14" spans="1:43" ht="13.5" customHeight="1">
      <c r="A14" s="55">
        <f>SUM(Y5:Y1000)</f>
        <v>460809.10000000009</v>
      </c>
      <c r="B14" s="97" t="s">
        <v>70</v>
      </c>
      <c r="C14" s="98">
        <v>18230524</v>
      </c>
      <c r="D14" s="61" t="s">
        <v>71</v>
      </c>
      <c r="E14" s="38" t="s">
        <v>1268</v>
      </c>
      <c r="F14" s="39" t="s">
        <v>1269</v>
      </c>
      <c r="G14" s="39">
        <v>15</v>
      </c>
      <c r="H14" s="39"/>
      <c r="I14" s="40" t="s">
        <v>261</v>
      </c>
      <c r="J14" s="41">
        <v>5</v>
      </c>
      <c r="K14" s="41">
        <v>14568.2</v>
      </c>
      <c r="L14" s="41"/>
      <c r="M14" s="42">
        <v>65</v>
      </c>
      <c r="N14" s="42">
        <v>158</v>
      </c>
      <c r="O14" s="43">
        <v>72841</v>
      </c>
      <c r="P14" s="44">
        <v>28362.75</v>
      </c>
      <c r="Q14" s="44">
        <v>68943.3</v>
      </c>
      <c r="R14" s="45">
        <v>0</v>
      </c>
      <c r="S14" s="46">
        <v>0</v>
      </c>
      <c r="T14" s="39">
        <f t="shared" si="0"/>
        <v>15</v>
      </c>
      <c r="U14" s="47">
        <f t="shared" si="1"/>
        <v>1.232658573154676</v>
      </c>
      <c r="V14" s="48">
        <f t="shared" si="2"/>
        <v>93</v>
      </c>
      <c r="W14" s="49">
        <f t="shared" si="3"/>
        <v>8.2177238210311726E-2</v>
      </c>
      <c r="X14" s="44">
        <f t="shared" si="4"/>
        <v>15444.805144298951</v>
      </c>
      <c r="Y14" s="44">
        <f t="shared" si="5"/>
        <v>40580.550000000003</v>
      </c>
      <c r="Z14" s="44">
        <f t="shared" si="6"/>
        <v>68852.382289750894</v>
      </c>
      <c r="AA14" s="50">
        <f t="shared" si="7"/>
        <v>84388.105144298956</v>
      </c>
      <c r="AB14" s="51">
        <f t="shared" si="8"/>
        <v>64366.067392494049</v>
      </c>
      <c r="AC14" s="44">
        <f t="shared" si="8"/>
        <v>78889.506538561225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1.3787827893853604</v>
      </c>
      <c r="AG14" s="44">
        <f t="shared" si="10"/>
        <v>100431.91716161903</v>
      </c>
      <c r="AH14" s="52">
        <f>HLOOKUP(I14,ElecAvoidedCostsWOCC!$A$5:$Q$50,T14+1,FALSE)</f>
        <v>1.3787827893853604</v>
      </c>
      <c r="AI14" s="44">
        <f t="shared" si="11"/>
        <v>0</v>
      </c>
      <c r="AJ14" s="44">
        <f t="shared" si="12"/>
        <v>100431.91716161903</v>
      </c>
      <c r="AK14" s="44">
        <f>HLOOKUP(I14,ElecAvoidedCostsWOCC!$A$5:$Q$50,G14+1,FALSE)*J14*L14</f>
        <v>0</v>
      </c>
      <c r="AL14" s="44">
        <f t="shared" si="13"/>
        <v>100431.91716161903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100431.91716161904</v>
      </c>
      <c r="AN14" s="48">
        <f t="shared" si="14"/>
        <v>110475.10887778096</v>
      </c>
      <c r="AO14" s="47">
        <f t="shared" si="15"/>
        <v>1.5603239599710383</v>
      </c>
      <c r="AP14" s="47">
        <f t="shared" si="16"/>
        <v>1.4003777400202229</v>
      </c>
      <c r="AQ14">
        <v>2021</v>
      </c>
    </row>
    <row r="15" spans="1:43" ht="13.5" customHeight="1">
      <c r="A15" s="57" t="s">
        <v>253</v>
      </c>
      <c r="B15" s="97" t="s">
        <v>70</v>
      </c>
      <c r="C15" s="98">
        <v>18230524</v>
      </c>
      <c r="D15" s="61" t="s">
        <v>71</v>
      </c>
      <c r="E15" s="38" t="s">
        <v>1270</v>
      </c>
      <c r="F15" s="39" t="s">
        <v>1271</v>
      </c>
      <c r="G15" s="39">
        <v>15</v>
      </c>
      <c r="H15" s="39"/>
      <c r="I15" s="40" t="s">
        <v>261</v>
      </c>
      <c r="J15" s="41">
        <v>6</v>
      </c>
      <c r="K15" s="41">
        <v>14907.333333333334</v>
      </c>
      <c r="L15" s="41"/>
      <c r="M15" s="42">
        <v>125</v>
      </c>
      <c r="N15" s="42">
        <v>262</v>
      </c>
      <c r="O15" s="43">
        <v>89444</v>
      </c>
      <c r="P15" s="44">
        <v>54530</v>
      </c>
      <c r="Q15" s="44">
        <v>114294.88</v>
      </c>
      <c r="R15" s="45">
        <v>0</v>
      </c>
      <c r="S15" s="46">
        <v>0</v>
      </c>
      <c r="T15" s="39">
        <f t="shared" si="0"/>
        <v>15</v>
      </c>
      <c r="U15" s="47">
        <f t="shared" si="1"/>
        <v>1.5136243793639135</v>
      </c>
      <c r="V15" s="48">
        <f t="shared" si="2"/>
        <v>137</v>
      </c>
      <c r="W15" s="49">
        <f t="shared" si="3"/>
        <v>0.10090829195759424</v>
      </c>
      <c r="X15" s="44">
        <f t="shared" si="4"/>
        <v>18965.21397738465</v>
      </c>
      <c r="Y15" s="44">
        <f t="shared" si="5"/>
        <v>59764.880000000005</v>
      </c>
      <c r="Z15" s="44">
        <f t="shared" si="6"/>
        <v>84546.237442161393</v>
      </c>
      <c r="AA15" s="50">
        <f t="shared" si="7"/>
        <v>133260.09397738465</v>
      </c>
      <c r="AB15" s="51">
        <f t="shared" si="8"/>
        <v>79037.335180107868</v>
      </c>
      <c r="AC15" s="44">
        <f t="shared" si="8"/>
        <v>124577.07205514128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1.3787827893853604</v>
      </c>
      <c r="AG15" s="44">
        <f t="shared" si="10"/>
        <v>123323.84781378419</v>
      </c>
      <c r="AH15" s="52">
        <f>HLOOKUP(I15,ElecAvoidedCostsWOCC!$A$5:$Q$50,T15+1,FALSE)</f>
        <v>1.3787827893853604</v>
      </c>
      <c r="AI15" s="44">
        <f t="shared" si="11"/>
        <v>0</v>
      </c>
      <c r="AJ15" s="44">
        <f t="shared" si="12"/>
        <v>123323.84781378419</v>
      </c>
      <c r="AK15" s="44">
        <f>HLOOKUP(I15,ElecAvoidedCostsWOCC!$A$5:$Q$50,G15+1,FALSE)*J15*L15</f>
        <v>0</v>
      </c>
      <c r="AL15" s="44">
        <f t="shared" si="13"/>
        <v>123323.84781378419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123323.84781378417</v>
      </c>
      <c r="AN15" s="48">
        <f t="shared" si="14"/>
        <v>135656.23259516261</v>
      </c>
      <c r="AO15" s="47">
        <f t="shared" si="15"/>
        <v>1.5603239599710383</v>
      </c>
      <c r="AP15" s="47">
        <f t="shared" si="16"/>
        <v>1.0889341863414272</v>
      </c>
      <c r="AQ15">
        <v>2021</v>
      </c>
    </row>
    <row r="16" spans="1:43" ht="13.5" customHeight="1">
      <c r="A16" s="54">
        <f>SUM(U5:U999)</f>
        <v>14.95303642080396</v>
      </c>
      <c r="B16" s="97" t="s">
        <v>70</v>
      </c>
      <c r="C16" s="98">
        <v>18230524</v>
      </c>
      <c r="D16" s="61" t="s">
        <v>71</v>
      </c>
      <c r="E16" s="38" t="s">
        <v>1272</v>
      </c>
      <c r="F16" s="39" t="s">
        <v>1273</v>
      </c>
      <c r="G16" s="39">
        <v>15</v>
      </c>
      <c r="H16" s="39"/>
      <c r="I16" s="40" t="s">
        <v>261</v>
      </c>
      <c r="J16" s="41">
        <v>1</v>
      </c>
      <c r="K16" s="41">
        <v>1404</v>
      </c>
      <c r="L16" s="41"/>
      <c r="M16" s="42">
        <v>65</v>
      </c>
      <c r="N16" s="42">
        <v>135</v>
      </c>
      <c r="O16" s="43">
        <v>1404</v>
      </c>
      <c r="P16" s="44">
        <v>514.79999999999995</v>
      </c>
      <c r="Q16" s="44">
        <v>1069.2</v>
      </c>
      <c r="R16" s="45">
        <v>0</v>
      </c>
      <c r="S16" s="46">
        <v>0</v>
      </c>
      <c r="T16" s="39">
        <f t="shared" si="0"/>
        <v>15</v>
      </c>
      <c r="U16" s="47">
        <f t="shared" si="1"/>
        <v>2.3759320117916625E-2</v>
      </c>
      <c r="V16" s="48">
        <f t="shared" si="2"/>
        <v>70</v>
      </c>
      <c r="W16" s="49">
        <f t="shared" si="3"/>
        <v>1.583954674527775E-3</v>
      </c>
      <c r="X16" s="44">
        <f t="shared" si="4"/>
        <v>297.6964405018565</v>
      </c>
      <c r="Y16" s="44">
        <f t="shared" si="5"/>
        <v>554.40000000000009</v>
      </c>
      <c r="Z16" s="44">
        <f t="shared" si="6"/>
        <v>1327.1199562720208</v>
      </c>
      <c r="AA16" s="50">
        <f t="shared" si="7"/>
        <v>1366.8964405018564</v>
      </c>
      <c r="AB16" s="51">
        <f t="shared" si="8"/>
        <v>1240.6468694699643</v>
      </c>
      <c r="AC16" s="44">
        <f t="shared" si="8"/>
        <v>1277.8315794165246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1.3787827893853604</v>
      </c>
      <c r="AG16" s="44">
        <f t="shared" si="10"/>
        <v>1935.811036297046</v>
      </c>
      <c r="AH16" s="52">
        <f>HLOOKUP(I16,ElecAvoidedCostsWOCC!$A$5:$Q$50,T16+1,FALSE)</f>
        <v>1.3787827893853604</v>
      </c>
      <c r="AI16" s="44">
        <f t="shared" si="11"/>
        <v>0</v>
      </c>
      <c r="AJ16" s="44">
        <f t="shared" si="12"/>
        <v>1935.811036297046</v>
      </c>
      <c r="AK16" s="44">
        <f>HLOOKUP(I16,ElecAvoidedCostsWOCC!$A$5:$Q$50,G16+1,FALSE)*J16*L16</f>
        <v>0</v>
      </c>
      <c r="AL16" s="44">
        <f t="shared" si="13"/>
        <v>1935.811036297046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1935.811036297046</v>
      </c>
      <c r="AN16" s="48">
        <f t="shared" si="14"/>
        <v>2129.3921399267506</v>
      </c>
      <c r="AO16" s="47">
        <f t="shared" si="15"/>
        <v>1.5603239599710379</v>
      </c>
      <c r="AP16" s="47">
        <f t="shared" si="16"/>
        <v>1.6664106398896952</v>
      </c>
      <c r="AQ16">
        <v>2021</v>
      </c>
    </row>
    <row r="17" spans="1:43" ht="13.5" customHeight="1">
      <c r="A17" s="58" t="s">
        <v>254</v>
      </c>
      <c r="B17" s="97" t="s">
        <v>70</v>
      </c>
      <c r="C17" s="98">
        <v>18230524</v>
      </c>
      <c r="D17" s="61" t="s">
        <v>71</v>
      </c>
      <c r="E17" s="38" t="s">
        <v>1274</v>
      </c>
      <c r="F17" s="39" t="s">
        <v>1275</v>
      </c>
      <c r="G17" s="39">
        <v>15</v>
      </c>
      <c r="H17" s="39"/>
      <c r="I17" s="40" t="s">
        <v>261</v>
      </c>
      <c r="J17" s="41">
        <v>2</v>
      </c>
      <c r="K17" s="41">
        <v>1947.5</v>
      </c>
      <c r="L17" s="41"/>
      <c r="M17" s="42">
        <v>100</v>
      </c>
      <c r="N17" s="42">
        <v>204</v>
      </c>
      <c r="O17" s="43">
        <v>3895</v>
      </c>
      <c r="P17" s="44">
        <v>1550</v>
      </c>
      <c r="Q17" s="44">
        <v>3162</v>
      </c>
      <c r="R17" s="45">
        <v>0</v>
      </c>
      <c r="S17" s="46">
        <v>0</v>
      </c>
      <c r="T17" s="39">
        <f t="shared" si="0"/>
        <v>15</v>
      </c>
      <c r="U17" s="47">
        <f t="shared" si="1"/>
        <v>6.5913498475274404E-2</v>
      </c>
      <c r="V17" s="48">
        <f t="shared" si="2"/>
        <v>104</v>
      </c>
      <c r="W17" s="49">
        <f t="shared" si="3"/>
        <v>4.3942332316849603E-3</v>
      </c>
      <c r="X17" s="44">
        <f t="shared" si="4"/>
        <v>825.87438444069164</v>
      </c>
      <c r="Y17" s="44">
        <f t="shared" si="5"/>
        <v>1612</v>
      </c>
      <c r="Z17" s="44">
        <f t="shared" si="6"/>
        <v>3681.718112307351</v>
      </c>
      <c r="AA17" s="50">
        <f t="shared" si="7"/>
        <v>3987.8743844406918</v>
      </c>
      <c r="AB17" s="51">
        <f t="shared" si="8"/>
        <v>3441.8230460010759</v>
      </c>
      <c r="AC17" s="44">
        <f t="shared" si="8"/>
        <v>3728.0306482571668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1.3787827893853604</v>
      </c>
      <c r="AG17" s="44">
        <f t="shared" si="10"/>
        <v>5370.3589646559785</v>
      </c>
      <c r="AH17" s="52">
        <f>HLOOKUP(I17,ElecAvoidedCostsWOCC!$A$5:$Q$50,T17+1,FALSE)</f>
        <v>1.3787827893853604</v>
      </c>
      <c r="AI17" s="44">
        <f t="shared" si="11"/>
        <v>0</v>
      </c>
      <c r="AJ17" s="44">
        <f t="shared" si="12"/>
        <v>5370.3589646559785</v>
      </c>
      <c r="AK17" s="44">
        <f>HLOOKUP(I17,ElecAvoidedCostsWOCC!$A$5:$Q$50,G17+1,FALSE)*J17*L17</f>
        <v>0</v>
      </c>
      <c r="AL17" s="44">
        <f t="shared" si="13"/>
        <v>5370.3589646559785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5370.3589646559785</v>
      </c>
      <c r="AN17" s="48">
        <f t="shared" si="14"/>
        <v>5907.3948611215765</v>
      </c>
      <c r="AO17" s="47">
        <f t="shared" si="15"/>
        <v>1.5603239599710379</v>
      </c>
      <c r="AP17" s="47">
        <f t="shared" si="16"/>
        <v>1.5845885987775477</v>
      </c>
      <c r="AQ17">
        <v>2021</v>
      </c>
    </row>
    <row r="18" spans="1:43" ht="13.5" customHeight="1">
      <c r="A18" s="59">
        <f>A6+A8</f>
        <v>837852.2300000001</v>
      </c>
      <c r="B18" s="97" t="s">
        <v>70</v>
      </c>
      <c r="C18" s="98">
        <v>18230524</v>
      </c>
      <c r="D18" s="61" t="s">
        <v>71</v>
      </c>
      <c r="E18" s="38" t="s">
        <v>1276</v>
      </c>
      <c r="F18" s="39" t="s">
        <v>1277</v>
      </c>
      <c r="G18" s="39">
        <v>15</v>
      </c>
      <c r="H18" s="39"/>
      <c r="I18" s="40" t="s">
        <v>261</v>
      </c>
      <c r="J18" s="41">
        <v>1</v>
      </c>
      <c r="K18" s="41">
        <v>3277</v>
      </c>
      <c r="L18" s="41"/>
      <c r="M18" s="42">
        <v>100</v>
      </c>
      <c r="N18" s="42">
        <v>186</v>
      </c>
      <c r="O18" s="43">
        <v>3277</v>
      </c>
      <c r="P18" s="44">
        <v>1183</v>
      </c>
      <c r="Q18" s="44">
        <v>2200.38</v>
      </c>
      <c r="R18" s="45">
        <v>0</v>
      </c>
      <c r="S18" s="46">
        <v>0</v>
      </c>
      <c r="T18" s="39">
        <f t="shared" si="0"/>
        <v>15</v>
      </c>
      <c r="U18" s="47">
        <f t="shared" si="1"/>
        <v>5.545533620114871E-2</v>
      </c>
      <c r="V18" s="48">
        <f t="shared" si="2"/>
        <v>86</v>
      </c>
      <c r="W18" s="49">
        <f t="shared" si="3"/>
        <v>3.6970224134099138E-3</v>
      </c>
      <c r="X18" s="44">
        <f t="shared" si="4"/>
        <v>694.83706233944713</v>
      </c>
      <c r="Y18" s="44">
        <f t="shared" si="5"/>
        <v>1017.3800000000001</v>
      </c>
      <c r="Z18" s="44">
        <f t="shared" si="6"/>
        <v>3097.5584734354784</v>
      </c>
      <c r="AA18" s="50">
        <f t="shared" si="7"/>
        <v>2895.2170623394472</v>
      </c>
      <c r="AB18" s="51">
        <f t="shared" si="8"/>
        <v>2895.7263470463477</v>
      </c>
      <c r="AC18" s="44">
        <f t="shared" si="8"/>
        <v>2706.5691898097102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1.3787827893853604</v>
      </c>
      <c r="AG18" s="44">
        <f t="shared" si="10"/>
        <v>4518.271200815826</v>
      </c>
      <c r="AH18" s="52">
        <f>HLOOKUP(I18,ElecAvoidedCostsWOCC!$A$5:$Q$50,T18+1,FALSE)</f>
        <v>1.3787827893853604</v>
      </c>
      <c r="AI18" s="44">
        <f t="shared" si="11"/>
        <v>0</v>
      </c>
      <c r="AJ18" s="44">
        <f t="shared" si="12"/>
        <v>4518.271200815826</v>
      </c>
      <c r="AK18" s="44">
        <f>HLOOKUP(I18,ElecAvoidedCostsWOCC!$A$5:$Q$50,G18+1,FALSE)*J18*L18</f>
        <v>0</v>
      </c>
      <c r="AL18" s="44">
        <f t="shared" si="13"/>
        <v>4518.271200815826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4518.271200815826</v>
      </c>
      <c r="AN18" s="48">
        <f t="shared" si="14"/>
        <v>4970.0983208974094</v>
      </c>
      <c r="AO18" s="47">
        <f t="shared" si="15"/>
        <v>1.5603239599710381</v>
      </c>
      <c r="AP18" s="47">
        <f t="shared" si="16"/>
        <v>1.8363093541483935</v>
      </c>
      <c r="AQ18">
        <v>2021</v>
      </c>
    </row>
    <row r="19" spans="1:43" ht="13.5" customHeight="1">
      <c r="A19" s="58" t="s">
        <v>231</v>
      </c>
      <c r="B19" s="97" t="s">
        <v>70</v>
      </c>
      <c r="C19" s="98">
        <v>18230524</v>
      </c>
      <c r="D19" s="61" t="s">
        <v>71</v>
      </c>
      <c r="E19" s="38" t="s">
        <v>1278</v>
      </c>
      <c r="F19" s="39" t="s">
        <v>1279</v>
      </c>
      <c r="G19" s="39">
        <v>15</v>
      </c>
      <c r="H19" s="39"/>
      <c r="I19" s="40" t="s">
        <v>261</v>
      </c>
      <c r="J19" s="41">
        <v>37</v>
      </c>
      <c r="K19" s="41">
        <v>157.29729729729729</v>
      </c>
      <c r="L19" s="41"/>
      <c r="M19" s="42">
        <v>50</v>
      </c>
      <c r="N19" s="42">
        <v>163</v>
      </c>
      <c r="O19" s="43">
        <v>5820</v>
      </c>
      <c r="P19" s="44">
        <v>1402.5</v>
      </c>
      <c r="Q19" s="44">
        <v>4572.1499999999996</v>
      </c>
      <c r="R19" s="45">
        <v>0</v>
      </c>
      <c r="S19" s="46">
        <v>0</v>
      </c>
      <c r="T19" s="39">
        <f t="shared" si="0"/>
        <v>15</v>
      </c>
      <c r="U19" s="47">
        <f t="shared" si="1"/>
        <v>9.8489489377688574E-2</v>
      </c>
      <c r="V19" s="48">
        <f t="shared" si="2"/>
        <v>113</v>
      </c>
      <c r="W19" s="49">
        <f t="shared" si="3"/>
        <v>6.5659659585125714E-3</v>
      </c>
      <c r="X19" s="44">
        <f t="shared" si="4"/>
        <v>1234.0408003709435</v>
      </c>
      <c r="Y19" s="44">
        <f t="shared" si="5"/>
        <v>3169.6499999999996</v>
      </c>
      <c r="Z19" s="44">
        <f t="shared" si="6"/>
        <v>5501.3092204438462</v>
      </c>
      <c r="AA19" s="50">
        <f t="shared" si="7"/>
        <v>5806.1908003709432</v>
      </c>
      <c r="AB19" s="51">
        <f t="shared" si="8"/>
        <v>5142.8524076319018</v>
      </c>
      <c r="AC19" s="44">
        <f t="shared" si="8"/>
        <v>5427.868374657327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1.3787827893853604</v>
      </c>
      <c r="AG19" s="44">
        <f t="shared" si="10"/>
        <v>8024.5158342227969</v>
      </c>
      <c r="AH19" s="52">
        <f>HLOOKUP(I19,ElecAvoidedCostsWOCC!$A$5:$Q$50,T19+1,FALSE)</f>
        <v>1.3787827893853604</v>
      </c>
      <c r="AI19" s="44">
        <f t="shared" si="11"/>
        <v>0</v>
      </c>
      <c r="AJ19" s="44">
        <f t="shared" si="12"/>
        <v>8024.5158342227969</v>
      </c>
      <c r="AK19" s="44">
        <f>HLOOKUP(I19,ElecAvoidedCostsWOCC!$A$5:$Q$50,G19+1,FALSE)*J19*L19</f>
        <v>0</v>
      </c>
      <c r="AL19" s="44">
        <f t="shared" si="13"/>
        <v>8024.5158342227969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8024.5158342227969</v>
      </c>
      <c r="AN19" s="48">
        <f t="shared" si="14"/>
        <v>8826.9674176450771</v>
      </c>
      <c r="AO19" s="47">
        <f t="shared" si="15"/>
        <v>1.5603239599710381</v>
      </c>
      <c r="AP19" s="47">
        <f t="shared" si="16"/>
        <v>1.6262309268327353</v>
      </c>
      <c r="AQ19">
        <v>2021</v>
      </c>
    </row>
    <row r="20" spans="1:43" ht="13.5" customHeight="1">
      <c r="A20" s="59">
        <f>A8+SUM(Q5:Q906)</f>
        <v>1146836.55</v>
      </c>
      <c r="B20" s="97" t="s">
        <v>70</v>
      </c>
      <c r="C20" s="98">
        <v>18230524</v>
      </c>
      <c r="D20" s="61" t="s">
        <v>71</v>
      </c>
      <c r="E20" s="38" t="s">
        <v>1280</v>
      </c>
      <c r="F20" s="39" t="s">
        <v>1281</v>
      </c>
      <c r="G20" s="39">
        <v>15</v>
      </c>
      <c r="H20" s="39"/>
      <c r="I20" s="40" t="s">
        <v>261</v>
      </c>
      <c r="J20" s="41">
        <v>11</v>
      </c>
      <c r="K20" s="41">
        <v>445.45454545454544</v>
      </c>
      <c r="L20" s="41"/>
      <c r="M20" s="42">
        <v>75</v>
      </c>
      <c r="N20" s="42">
        <v>245</v>
      </c>
      <c r="O20" s="43">
        <v>4900</v>
      </c>
      <c r="P20" s="44">
        <v>1981.5</v>
      </c>
      <c r="Q20" s="44">
        <v>6472.9</v>
      </c>
      <c r="R20" s="45">
        <v>0</v>
      </c>
      <c r="S20" s="46">
        <v>0</v>
      </c>
      <c r="T20" s="39">
        <f t="shared" si="0"/>
        <v>15</v>
      </c>
      <c r="U20" s="47">
        <f t="shared" si="1"/>
        <v>8.2920704115236082E-2</v>
      </c>
      <c r="V20" s="48">
        <f t="shared" si="2"/>
        <v>170</v>
      </c>
      <c r="W20" s="49">
        <f t="shared" si="3"/>
        <v>5.5280469410157393E-3</v>
      </c>
      <c r="X20" s="44">
        <f t="shared" si="4"/>
        <v>1038.9690587315504</v>
      </c>
      <c r="Y20" s="44">
        <f t="shared" si="5"/>
        <v>4491.3999999999996</v>
      </c>
      <c r="Z20" s="44">
        <f t="shared" si="6"/>
        <v>4631.6864570747166</v>
      </c>
      <c r="AA20" s="50">
        <f t="shared" si="7"/>
        <v>7511.8690587315505</v>
      </c>
      <c r="AB20" s="51">
        <f t="shared" si="8"/>
        <v>4329.8929205148324</v>
      </c>
      <c r="AC20" s="44">
        <f t="shared" si="8"/>
        <v>7022.407271881415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1.3787827893853604</v>
      </c>
      <c r="AG20" s="44">
        <f t="shared" si="10"/>
        <v>6756.0356679882661</v>
      </c>
      <c r="AH20" s="52">
        <f>HLOOKUP(I20,ElecAvoidedCostsWOCC!$A$5:$Q$50,T20+1,FALSE)</f>
        <v>1.3787827893853604</v>
      </c>
      <c r="AI20" s="44">
        <f t="shared" si="11"/>
        <v>0</v>
      </c>
      <c r="AJ20" s="44">
        <f t="shared" si="12"/>
        <v>6756.0356679882661</v>
      </c>
      <c r="AK20" s="44">
        <f>HLOOKUP(I20,ElecAvoidedCostsWOCC!$A$5:$Q$50,G20+1,FALSE)*J20*L20</f>
        <v>0</v>
      </c>
      <c r="AL20" s="44">
        <f t="shared" si="13"/>
        <v>6756.0356679882661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6756.0356679882652</v>
      </c>
      <c r="AN20" s="48">
        <f t="shared" si="14"/>
        <v>7431.6392347870924</v>
      </c>
      <c r="AO20" s="47">
        <f t="shared" si="15"/>
        <v>1.5603239599710377</v>
      </c>
      <c r="AP20" s="47">
        <f t="shared" si="16"/>
        <v>1.0582751679106241</v>
      </c>
      <c r="AQ20">
        <v>2021</v>
      </c>
    </row>
    <row r="21" spans="1:43" ht="13.5" customHeight="1">
      <c r="A21" s="58" t="s">
        <v>245</v>
      </c>
      <c r="B21" s="97" t="s">
        <v>70</v>
      </c>
      <c r="C21" s="98">
        <v>18230524</v>
      </c>
      <c r="D21" s="61" t="s">
        <v>71</v>
      </c>
      <c r="E21" s="38" t="s">
        <v>1282</v>
      </c>
      <c r="F21" s="39" t="s">
        <v>1283</v>
      </c>
      <c r="G21" s="39">
        <v>15</v>
      </c>
      <c r="H21" s="39"/>
      <c r="I21" s="40" t="s">
        <v>261</v>
      </c>
      <c r="J21" s="41">
        <v>4</v>
      </c>
      <c r="K21" s="41">
        <v>759</v>
      </c>
      <c r="L21" s="41"/>
      <c r="M21" s="42">
        <v>125</v>
      </c>
      <c r="N21" s="42">
        <v>327</v>
      </c>
      <c r="O21" s="43">
        <v>3036</v>
      </c>
      <c r="P21" s="44">
        <v>1387.5</v>
      </c>
      <c r="Q21" s="44">
        <v>3629.7</v>
      </c>
      <c r="R21" s="45">
        <v>0</v>
      </c>
      <c r="S21" s="46">
        <v>0</v>
      </c>
      <c r="T21" s="39">
        <f t="shared" si="0"/>
        <v>15</v>
      </c>
      <c r="U21" s="47">
        <f t="shared" si="1"/>
        <v>5.1376991366093215E-2</v>
      </c>
      <c r="V21" s="48">
        <f t="shared" si="2"/>
        <v>202</v>
      </c>
      <c r="W21" s="49">
        <f t="shared" si="3"/>
        <v>3.4251327577395478E-3</v>
      </c>
      <c r="X21" s="44">
        <f t="shared" si="4"/>
        <v>643.73674740999741</v>
      </c>
      <c r="Y21" s="44">
        <f t="shared" si="5"/>
        <v>2242.1999999999998</v>
      </c>
      <c r="Z21" s="44">
        <f t="shared" si="6"/>
        <v>2869.7551191181301</v>
      </c>
      <c r="AA21" s="50">
        <f t="shared" si="7"/>
        <v>4273.4367474099972</v>
      </c>
      <c r="AB21" s="51">
        <f t="shared" ref="AB21:AC24" si="18">Z21/(1+ElecDiscountRate)^1</f>
        <v>2682.7663074863326</v>
      </c>
      <c r="AC21" s="44">
        <f t="shared" si="18"/>
        <v>3994.9862086659782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1.3787827893853604</v>
      </c>
      <c r="AG21" s="44">
        <f t="shared" si="10"/>
        <v>4185.9845485739543</v>
      </c>
      <c r="AH21" s="52">
        <f>HLOOKUP(I21,ElecAvoidedCostsWOCC!$A$5:$Q$50,T21+1,FALSE)</f>
        <v>1.3787827893853604</v>
      </c>
      <c r="AI21" s="44">
        <f t="shared" si="11"/>
        <v>0</v>
      </c>
      <c r="AJ21" s="44">
        <f t="shared" si="12"/>
        <v>4185.9845485739543</v>
      </c>
      <c r="AK21" s="44">
        <f>HLOOKUP(I21,ElecAvoidedCostsWOCC!$A$5:$Q$50,G21+1,FALSE)*J21*L21</f>
        <v>0</v>
      </c>
      <c r="AL21" s="44">
        <f t="shared" si="13"/>
        <v>4185.9845485739543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4185.9845485739543</v>
      </c>
      <c r="AN21" s="48">
        <f t="shared" si="14"/>
        <v>4604.5830034313503</v>
      </c>
      <c r="AO21" s="47">
        <f t="shared" si="15"/>
        <v>1.5603239599710381</v>
      </c>
      <c r="AP21" s="47">
        <f t="shared" si="16"/>
        <v>1.1525904628764492</v>
      </c>
      <c r="AQ21">
        <v>2021</v>
      </c>
    </row>
    <row r="22" spans="1:43" ht="13.5" customHeight="1">
      <c r="A22" s="60">
        <f>(SUM(AM5:AM1000)/(SUM(AB5:AB1000)))</f>
        <v>1.5522390139522972</v>
      </c>
      <c r="B22" s="97" t="s">
        <v>70</v>
      </c>
      <c r="C22" s="98">
        <v>18230524</v>
      </c>
      <c r="D22" s="61" t="s">
        <v>71</v>
      </c>
      <c r="E22" s="38" t="s">
        <v>1284</v>
      </c>
      <c r="F22" s="39" t="s">
        <v>1285</v>
      </c>
      <c r="G22" s="39">
        <v>15</v>
      </c>
      <c r="H22" s="39"/>
      <c r="I22" s="40" t="s">
        <v>261</v>
      </c>
      <c r="J22" s="41">
        <v>1</v>
      </c>
      <c r="K22" s="41">
        <v>359</v>
      </c>
      <c r="L22" s="41"/>
      <c r="M22" s="42">
        <v>125</v>
      </c>
      <c r="N22" s="42">
        <v>200</v>
      </c>
      <c r="O22" s="43">
        <v>359</v>
      </c>
      <c r="P22" s="44">
        <v>215</v>
      </c>
      <c r="Q22" s="44">
        <v>344</v>
      </c>
      <c r="R22" s="45">
        <v>0</v>
      </c>
      <c r="S22" s="46">
        <v>0</v>
      </c>
      <c r="T22" s="39">
        <f t="shared" si="0"/>
        <v>15</v>
      </c>
      <c r="U22" s="47">
        <f t="shared" si="1"/>
        <v>6.0752107708917872E-3</v>
      </c>
      <c r="V22" s="48">
        <f t="shared" si="2"/>
        <v>75</v>
      </c>
      <c r="W22" s="49">
        <f t="shared" si="3"/>
        <v>4.0501405139278579E-4</v>
      </c>
      <c r="X22" s="44">
        <f t="shared" si="4"/>
        <v>76.120386139719713</v>
      </c>
      <c r="Y22" s="44">
        <f t="shared" si="5"/>
        <v>129</v>
      </c>
      <c r="Z22" s="44">
        <f t="shared" si="6"/>
        <v>339.34192614078023</v>
      </c>
      <c r="AA22" s="50">
        <f t="shared" si="7"/>
        <v>420.1203861397197</v>
      </c>
      <c r="AB22" s="51">
        <f t="shared" si="18"/>
        <v>317.2309302989438</v>
      </c>
      <c r="AC22" s="44">
        <f t="shared" si="18"/>
        <v>392.745990595232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1.3787827893853604</v>
      </c>
      <c r="AG22" s="44">
        <f t="shared" si="10"/>
        <v>494.98302138934434</v>
      </c>
      <c r="AH22" s="52">
        <f>HLOOKUP(I22,ElecAvoidedCostsWOCC!$A$5:$Q$50,T22+1,FALSE)</f>
        <v>1.3787827893853604</v>
      </c>
      <c r="AI22" s="44">
        <f t="shared" si="11"/>
        <v>0</v>
      </c>
      <c r="AJ22" s="44">
        <f t="shared" si="12"/>
        <v>494.98302138934434</v>
      </c>
      <c r="AK22" s="44">
        <f>HLOOKUP(I22,ElecAvoidedCostsWOCC!$A$5:$Q$50,G22+1,FALSE)*J22*L22</f>
        <v>0</v>
      </c>
      <c r="AL22" s="44">
        <f t="shared" si="13"/>
        <v>494.98302138934434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494.98302138934434</v>
      </c>
      <c r="AN22" s="48">
        <f t="shared" si="14"/>
        <v>544.48132352827884</v>
      </c>
      <c r="AO22" s="47">
        <f t="shared" si="15"/>
        <v>1.5603239599710381</v>
      </c>
      <c r="AP22" s="47">
        <f t="shared" si="16"/>
        <v>1.3863447025979363</v>
      </c>
      <c r="AQ22">
        <v>2021</v>
      </c>
    </row>
    <row r="23" spans="1:43" ht="13.5" customHeight="1">
      <c r="A23" s="58" t="s">
        <v>246</v>
      </c>
      <c r="B23" s="97" t="s">
        <v>70</v>
      </c>
      <c r="C23" s="98">
        <v>18230524</v>
      </c>
      <c r="D23" s="61" t="s">
        <v>71</v>
      </c>
      <c r="E23" s="38" t="s">
        <v>1286</v>
      </c>
      <c r="F23" s="39" t="s">
        <v>1287</v>
      </c>
      <c r="G23" s="39">
        <v>15</v>
      </c>
      <c r="H23" s="39"/>
      <c r="I23" s="40" t="s">
        <v>261</v>
      </c>
      <c r="J23" s="41">
        <v>26</v>
      </c>
      <c r="K23" s="41">
        <v>775.34615384615381</v>
      </c>
      <c r="L23" s="41"/>
      <c r="M23" s="42">
        <v>400</v>
      </c>
      <c r="N23" s="42">
        <v>500</v>
      </c>
      <c r="O23" s="43">
        <v>20159</v>
      </c>
      <c r="P23" s="44">
        <v>10400</v>
      </c>
      <c r="Q23" s="44">
        <v>9125.76</v>
      </c>
      <c r="R23" s="45">
        <v>0</v>
      </c>
      <c r="S23" s="46">
        <v>0</v>
      </c>
      <c r="T23" s="39">
        <f t="shared" si="0"/>
        <v>15</v>
      </c>
      <c r="U23" s="47">
        <f t="shared" si="1"/>
        <v>0.34114254576715192</v>
      </c>
      <c r="V23" s="48">
        <f t="shared" si="2"/>
        <v>100</v>
      </c>
      <c r="W23" s="49">
        <f t="shared" si="3"/>
        <v>2.2742836384476793E-2</v>
      </c>
      <c r="X23" s="44">
        <f t="shared" si="4"/>
        <v>4274.4035214223113</v>
      </c>
      <c r="Y23" s="44">
        <f t="shared" si="5"/>
        <v>-1274.2399999999998</v>
      </c>
      <c r="Z23" s="44">
        <f t="shared" si="6"/>
        <v>19055.136181259018</v>
      </c>
      <c r="AA23" s="50">
        <f t="shared" si="7"/>
        <v>13400.163521422312</v>
      </c>
      <c r="AB23" s="51">
        <f t="shared" si="18"/>
        <v>17813.532935644587</v>
      </c>
      <c r="AC23" s="44">
        <f t="shared" si="18"/>
        <v>12527.029561019268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1.3787827893853604</v>
      </c>
      <c r="AG23" s="44">
        <f t="shared" si="10"/>
        <v>27794.882251219478</v>
      </c>
      <c r="AH23" s="52">
        <f>HLOOKUP(I23,ElecAvoidedCostsWOCC!$A$5:$Q$50,T23+1,FALSE)</f>
        <v>1.3787827893853604</v>
      </c>
      <c r="AI23" s="44">
        <f t="shared" si="11"/>
        <v>0</v>
      </c>
      <c r="AJ23" s="44">
        <f t="shared" si="12"/>
        <v>27794.882251219478</v>
      </c>
      <c r="AK23" s="44">
        <f>HLOOKUP(I23,ElecAvoidedCostsWOCC!$A$5:$Q$50,G23+1,FALSE)*J23*L23</f>
        <v>0</v>
      </c>
      <c r="AL23" s="44">
        <f t="shared" si="13"/>
        <v>27794.882251219478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27794.882251219478</v>
      </c>
      <c r="AN23" s="48">
        <f t="shared" si="14"/>
        <v>30574.370476341428</v>
      </c>
      <c r="AO23" s="47">
        <f t="shared" si="15"/>
        <v>1.5603239599710383</v>
      </c>
      <c r="AP23" s="47">
        <f t="shared" si="16"/>
        <v>2.4406720146554624</v>
      </c>
      <c r="AQ23">
        <v>2021</v>
      </c>
    </row>
    <row r="24" spans="1:43" ht="13.5" customHeight="1">
      <c r="A24" s="60">
        <f>(SUM(AN5:AN1000)/SUM(AC5:AC1000))</f>
        <v>1.2474328719870558</v>
      </c>
      <c r="B24" s="97" t="s">
        <v>70</v>
      </c>
      <c r="C24" s="98">
        <v>18230524</v>
      </c>
      <c r="D24" s="61" t="s">
        <v>71</v>
      </c>
      <c r="E24" s="38" t="s">
        <v>1288</v>
      </c>
      <c r="F24" s="39" t="s">
        <v>1289</v>
      </c>
      <c r="G24" s="39">
        <v>15</v>
      </c>
      <c r="H24" s="39"/>
      <c r="I24" s="40" t="s">
        <v>261</v>
      </c>
      <c r="J24" s="41">
        <v>42</v>
      </c>
      <c r="K24" s="41">
        <v>1004.8809523809524</v>
      </c>
      <c r="L24" s="41"/>
      <c r="M24" s="42">
        <v>600</v>
      </c>
      <c r="N24" s="42">
        <v>840</v>
      </c>
      <c r="O24" s="43">
        <v>42205</v>
      </c>
      <c r="P24" s="44">
        <v>25200</v>
      </c>
      <c r="Q24" s="44">
        <v>26396.7</v>
      </c>
      <c r="R24" s="45">
        <v>0</v>
      </c>
      <c r="S24" s="46">
        <v>0</v>
      </c>
      <c r="T24" s="39">
        <f t="shared" si="0"/>
        <v>15</v>
      </c>
      <c r="U24" s="47">
        <f t="shared" si="1"/>
        <v>0.71421802391500799</v>
      </c>
      <c r="V24" s="48">
        <f t="shared" si="2"/>
        <v>240</v>
      </c>
      <c r="W24" s="49">
        <f t="shared" si="3"/>
        <v>4.76145349276672E-2</v>
      </c>
      <c r="X24" s="44">
        <f t="shared" si="4"/>
        <v>8948.9161477071611</v>
      </c>
      <c r="Y24" s="44">
        <f t="shared" si="5"/>
        <v>1196.7000000000007</v>
      </c>
      <c r="Z24" s="44">
        <f t="shared" si="6"/>
        <v>39893.944269558859</v>
      </c>
      <c r="AA24" s="50">
        <f t="shared" si="7"/>
        <v>35345.616147707158</v>
      </c>
      <c r="AB24" s="51">
        <f t="shared" si="18"/>
        <v>37294.516471495612</v>
      </c>
      <c r="AC24" s="44">
        <f t="shared" si="18"/>
        <v>33042.550385815797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1.3787827893853604</v>
      </c>
      <c r="AG24" s="44">
        <f t="shared" si="10"/>
        <v>58191.527626009134</v>
      </c>
      <c r="AH24" s="52">
        <f>HLOOKUP(I24,ElecAvoidedCostsWOCC!$A$5:$Q$50,T24+1,FALSE)</f>
        <v>1.3787827893853604</v>
      </c>
      <c r="AI24" s="44">
        <f t="shared" si="11"/>
        <v>0</v>
      </c>
      <c r="AJ24" s="44">
        <f t="shared" si="12"/>
        <v>58191.527626009134</v>
      </c>
      <c r="AK24" s="44">
        <f>HLOOKUP(I24,ElecAvoidedCostsWOCC!$A$5:$Q$50,G24+1,FALSE)*J24*L24</f>
        <v>0</v>
      </c>
      <c r="AL24" s="44">
        <f t="shared" si="13"/>
        <v>58191.527626009134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58191.527626009134</v>
      </c>
      <c r="AN24" s="48">
        <f t="shared" si="14"/>
        <v>64010.680388610053</v>
      </c>
      <c r="AO24" s="47">
        <f t="shared" si="15"/>
        <v>1.5603239599710379</v>
      </c>
      <c r="AP24" s="47">
        <f t="shared" si="16"/>
        <v>1.937219725511502</v>
      </c>
      <c r="AQ24">
        <v>2021</v>
      </c>
    </row>
    <row r="25" spans="1:43" ht="13.5" customHeight="1">
      <c r="B25" s="97" t="s">
        <v>70</v>
      </c>
      <c r="C25" s="98">
        <v>18230524</v>
      </c>
      <c r="D25" s="61" t="s">
        <v>71</v>
      </c>
      <c r="E25" s="38" t="s">
        <v>1290</v>
      </c>
      <c r="F25" s="39" t="s">
        <v>1291</v>
      </c>
      <c r="G25" s="39">
        <v>15</v>
      </c>
      <c r="H25" s="39"/>
      <c r="I25" s="40" t="s">
        <v>261</v>
      </c>
      <c r="J25" s="41">
        <v>1</v>
      </c>
      <c r="K25" s="41">
        <v>1440</v>
      </c>
      <c r="L25" s="41"/>
      <c r="M25" s="42">
        <v>300</v>
      </c>
      <c r="N25" s="42">
        <v>450</v>
      </c>
      <c r="O25" s="43">
        <v>1440</v>
      </c>
      <c r="P25" s="44">
        <v>300</v>
      </c>
      <c r="Q25" s="44">
        <v>0</v>
      </c>
      <c r="R25" s="45">
        <v>0</v>
      </c>
      <c r="S25" s="46">
        <v>0</v>
      </c>
      <c r="T25" s="39">
        <f t="shared" ref="T25:T59" si="19">G25+H25</f>
        <v>15</v>
      </c>
      <c r="U25" s="47">
        <f t="shared" ref="U25:U59" si="20">(O25/$A$10)*T25</f>
        <v>2.436853345427346E-2</v>
      </c>
      <c r="V25" s="48">
        <f t="shared" ref="V25:V59" si="21">N25-M25</f>
        <v>150</v>
      </c>
      <c r="W25" s="49">
        <f t="shared" ref="W25:W59" si="22">(O25/A$10)</f>
        <v>1.6245688969515641E-3</v>
      </c>
      <c r="X25" s="44">
        <f t="shared" ref="X25:X59" si="23">W25*A$8</f>
        <v>305.32968256600662</v>
      </c>
      <c r="Y25" s="44">
        <f t="shared" ref="Y25:Y59" si="24">Q25-P25</f>
        <v>-300</v>
      </c>
      <c r="Z25" s="44">
        <f t="shared" ref="Z25:Z59" si="25">X25+(A$6*W25)</f>
        <v>1361.1486730995082</v>
      </c>
      <c r="AA25" s="50">
        <f t="shared" ref="AA25:AA59" si="26">Q25+X25</f>
        <v>305.32968256600662</v>
      </c>
      <c r="AB25" s="51">
        <f t="shared" ref="AB25:AB59" si="27">Z25/(1+ElecDiscountRate)^1</f>
        <v>1272.4583276615015</v>
      </c>
      <c r="AC25" s="44">
        <f t="shared" ref="AC25:AC59" si="28">AA25/(1+ElecDiscountRate)^1</f>
        <v>285.43487198841416</v>
      </c>
      <c r="AD25" s="44">
        <f t="shared" ref="AD25:AD59" si="29">-PV(ElecDiscountRate,T25,R25)*J25</f>
        <v>0</v>
      </c>
      <c r="AE25" s="44">
        <f t="shared" ref="AE25:AE59" si="30">-PV(ElecDiscountRate,T25,S25)*J25</f>
        <v>0</v>
      </c>
      <c r="AF25" s="52">
        <f>HLOOKUP(I25,ElecAvoidedCostsWOCC!$A$5:$Q$50,G25+1,FALSE)</f>
        <v>1.3787827893853604</v>
      </c>
      <c r="AG25" s="44">
        <f t="shared" ref="AG25:AG59" si="31">AF25*J25*K25</f>
        <v>1985.447216714919</v>
      </c>
      <c r="AH25" s="52">
        <f>HLOOKUP(I25,ElecAvoidedCostsWOCC!$A$5:$Q$50,T25+1,FALSE)</f>
        <v>1.3787827893853604</v>
      </c>
      <c r="AI25" s="44">
        <f t="shared" ref="AI25:AI59" si="32">AH25*J25*L25</f>
        <v>0</v>
      </c>
      <c r="AJ25" s="44">
        <f t="shared" ref="AJ25:AJ59" si="33">AG25+AI25</f>
        <v>1985.447216714919</v>
      </c>
      <c r="AK25" s="44">
        <f>HLOOKUP(I25,ElecAvoidedCostsWOCC!$A$5:$Q$50,G25+1,FALSE)*J25*L25</f>
        <v>0</v>
      </c>
      <c r="AL25" s="44">
        <f t="shared" ref="AL25:AL59" si="34">AG25+AI25-AK25</f>
        <v>1985.447216714919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1985.447216714919</v>
      </c>
      <c r="AN25" s="48">
        <f t="shared" ref="AN25:AN59" si="35">AM25*1.1+AD25+AE25</f>
        <v>2183.9919383864112</v>
      </c>
      <c r="AO25" s="47">
        <f t="shared" ref="AO25:AO59" si="36">IFERROR(AM25/AB25,0)</f>
        <v>1.5603239599710383</v>
      </c>
      <c r="AP25" s="47">
        <f t="shared" ref="AP25:AP59" si="37">AN25/AC25</f>
        <v>7.6514545092971673</v>
      </c>
      <c r="AQ25">
        <v>2021</v>
      </c>
    </row>
    <row r="26" spans="1:43" ht="13.5" customHeight="1">
      <c r="B26" s="97" t="s">
        <v>70</v>
      </c>
      <c r="C26" s="98">
        <v>18230524</v>
      </c>
      <c r="D26" s="61" t="s">
        <v>71</v>
      </c>
      <c r="E26" s="38" t="s">
        <v>1292</v>
      </c>
      <c r="F26" s="39" t="s">
        <v>1293</v>
      </c>
      <c r="G26" s="39">
        <v>15</v>
      </c>
      <c r="H26" s="39"/>
      <c r="I26" s="40" t="s">
        <v>261</v>
      </c>
      <c r="J26" s="41">
        <v>1</v>
      </c>
      <c r="K26" s="41">
        <v>1500</v>
      </c>
      <c r="L26" s="41"/>
      <c r="M26" s="42">
        <v>500</v>
      </c>
      <c r="N26" s="42">
        <v>732</v>
      </c>
      <c r="O26" s="43">
        <v>1500</v>
      </c>
      <c r="P26" s="44">
        <v>500</v>
      </c>
      <c r="Q26" s="44">
        <v>0</v>
      </c>
      <c r="R26" s="45">
        <v>0</v>
      </c>
      <c r="S26" s="46">
        <v>0</v>
      </c>
      <c r="T26" s="39">
        <f t="shared" si="19"/>
        <v>15</v>
      </c>
      <c r="U26" s="47">
        <f t="shared" si="20"/>
        <v>2.538388901486819E-2</v>
      </c>
      <c r="V26" s="48">
        <f t="shared" si="21"/>
        <v>232</v>
      </c>
      <c r="W26" s="49">
        <f t="shared" si="22"/>
        <v>1.6922592676578794E-3</v>
      </c>
      <c r="X26" s="44">
        <f t="shared" si="23"/>
        <v>318.05175267292361</v>
      </c>
      <c r="Y26" s="44">
        <f t="shared" si="24"/>
        <v>-500</v>
      </c>
      <c r="Z26" s="44">
        <f t="shared" si="25"/>
        <v>1417.8632011453212</v>
      </c>
      <c r="AA26" s="50">
        <f t="shared" si="26"/>
        <v>318.05175267292361</v>
      </c>
      <c r="AB26" s="51">
        <f t="shared" si="27"/>
        <v>1325.4774246473976</v>
      </c>
      <c r="AC26" s="44">
        <f t="shared" si="28"/>
        <v>297.32799165459812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1.3787827893853604</v>
      </c>
      <c r="AG26" s="44">
        <f t="shared" si="31"/>
        <v>2068.1741840780405</v>
      </c>
      <c r="AH26" s="52">
        <f>HLOOKUP(I26,ElecAvoidedCostsWOCC!$A$5:$Q$50,T26+1,FALSE)</f>
        <v>1.3787827893853604</v>
      </c>
      <c r="AI26" s="44">
        <f t="shared" si="32"/>
        <v>0</v>
      </c>
      <c r="AJ26" s="44">
        <f t="shared" si="33"/>
        <v>2068.1741840780405</v>
      </c>
      <c r="AK26" s="44">
        <f>HLOOKUP(I26,ElecAvoidedCostsWOCC!$A$5:$Q$50,G26+1,FALSE)*J26*L26</f>
        <v>0</v>
      </c>
      <c r="AL26" s="44">
        <f t="shared" si="34"/>
        <v>2068.1741840780405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2068.1741840780405</v>
      </c>
      <c r="AN26" s="48">
        <f t="shared" si="35"/>
        <v>2274.9916024858449</v>
      </c>
      <c r="AO26" s="47">
        <f t="shared" si="36"/>
        <v>1.5603239599710379</v>
      </c>
      <c r="AP26" s="47">
        <f t="shared" si="37"/>
        <v>7.6514545092971655</v>
      </c>
      <c r="AQ26">
        <v>2021</v>
      </c>
    </row>
    <row r="27" spans="1:43" ht="13.5" customHeight="1">
      <c r="B27" s="97" t="s">
        <v>70</v>
      </c>
      <c r="C27" s="98">
        <v>18230524</v>
      </c>
      <c r="D27" s="61" t="s">
        <v>71</v>
      </c>
      <c r="E27" s="38" t="s">
        <v>1294</v>
      </c>
      <c r="F27" s="39" t="s">
        <v>1295</v>
      </c>
      <c r="G27" s="39">
        <v>11</v>
      </c>
      <c r="H27" s="39"/>
      <c r="I27" s="40" t="s">
        <v>255</v>
      </c>
      <c r="J27" s="41">
        <v>1</v>
      </c>
      <c r="K27" s="41">
        <v>10407</v>
      </c>
      <c r="L27" s="41"/>
      <c r="M27" s="42">
        <v>500</v>
      </c>
      <c r="N27" s="42">
        <v>751.56</v>
      </c>
      <c r="O27" s="43">
        <v>10407</v>
      </c>
      <c r="P27" s="44">
        <v>500</v>
      </c>
      <c r="Q27" s="44">
        <v>751.56</v>
      </c>
      <c r="R27" s="45">
        <v>0</v>
      </c>
      <c r="S27" s="46">
        <v>0</v>
      </c>
      <c r="T27" s="39">
        <f t="shared" si="19"/>
        <v>11</v>
      </c>
      <c r="U27" s="47">
        <f t="shared" si="20"/>
        <v>0.12914984278911404</v>
      </c>
      <c r="V27" s="48">
        <f t="shared" si="21"/>
        <v>251.55999999999995</v>
      </c>
      <c r="W27" s="49">
        <f t="shared" si="22"/>
        <v>1.1740894799010367E-2</v>
      </c>
      <c r="X27" s="44">
        <f t="shared" si="23"/>
        <v>2206.6430600447438</v>
      </c>
      <c r="Y27" s="44">
        <f t="shared" si="24"/>
        <v>251.55999999999995</v>
      </c>
      <c r="Z27" s="44">
        <f t="shared" si="25"/>
        <v>9837.1348895462397</v>
      </c>
      <c r="AA27" s="50">
        <f t="shared" si="26"/>
        <v>2958.2030600447438</v>
      </c>
      <c r="AB27" s="51">
        <f t="shared" si="27"/>
        <v>9196.1623722036456</v>
      </c>
      <c r="AC27" s="44">
        <f t="shared" si="28"/>
        <v>2765.4511171774734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0.77028780322599566</v>
      </c>
      <c r="AG27" s="44">
        <f t="shared" si="31"/>
        <v>8016.3851681729366</v>
      </c>
      <c r="AH27" s="52">
        <f>HLOOKUP(I27,ElecAvoidedCostsWOCC!$A$5:$Q$50,T27+1,FALSE)</f>
        <v>0.77028780322599566</v>
      </c>
      <c r="AI27" s="44">
        <f t="shared" si="32"/>
        <v>0</v>
      </c>
      <c r="AJ27" s="44">
        <f t="shared" si="33"/>
        <v>8016.3851681729366</v>
      </c>
      <c r="AK27" s="44">
        <f>HLOOKUP(I27,ElecAvoidedCostsWOCC!$A$5:$Q$50,G27+1,FALSE)*J27*L27</f>
        <v>0</v>
      </c>
      <c r="AL27" s="44">
        <f t="shared" si="34"/>
        <v>8016.3851681729366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8016.3851681729366</v>
      </c>
      <c r="AN27" s="48">
        <f t="shared" si="35"/>
        <v>8818.0236849902303</v>
      </c>
      <c r="AO27" s="47">
        <f t="shared" si="36"/>
        <v>0.87170983326733031</v>
      </c>
      <c r="AP27" s="47">
        <f t="shared" si="37"/>
        <v>3.1886384214920591</v>
      </c>
      <c r="AQ27">
        <v>2021</v>
      </c>
    </row>
    <row r="28" spans="1:43" ht="13.5" customHeight="1">
      <c r="B28" s="97" t="s">
        <v>70</v>
      </c>
      <c r="C28" s="98">
        <v>18230524</v>
      </c>
      <c r="D28" s="61" t="s">
        <v>71</v>
      </c>
      <c r="E28" s="38" t="s">
        <v>1296</v>
      </c>
      <c r="F28" s="39" t="s">
        <v>1297</v>
      </c>
      <c r="G28" s="39"/>
      <c r="H28" s="39"/>
      <c r="I28" s="40"/>
      <c r="J28" s="41">
        <v>71</v>
      </c>
      <c r="K28" s="41">
        <v>0</v>
      </c>
      <c r="L28" s="41"/>
      <c r="M28" s="42">
        <v>50</v>
      </c>
      <c r="N28" s="42">
        <v>33.032112676056343</v>
      </c>
      <c r="O28" s="43">
        <v>0</v>
      </c>
      <c r="P28" s="44">
        <v>3550</v>
      </c>
      <c r="Q28" s="44">
        <v>2345.2800000000002</v>
      </c>
      <c r="R28" s="45">
        <v>0</v>
      </c>
      <c r="S28" s="46">
        <v>0</v>
      </c>
      <c r="T28" s="39">
        <f t="shared" si="19"/>
        <v>0</v>
      </c>
      <c r="U28" s="47">
        <f t="shared" si="20"/>
        <v>0</v>
      </c>
      <c r="V28" s="48">
        <f t="shared" si="21"/>
        <v>-16.967887323943657</v>
      </c>
      <c r="W28" s="49">
        <f t="shared" si="22"/>
        <v>0</v>
      </c>
      <c r="X28" s="44">
        <f t="shared" si="23"/>
        <v>0</v>
      </c>
      <c r="Y28" s="44">
        <f t="shared" si="24"/>
        <v>-1204.7199999999998</v>
      </c>
      <c r="Z28" s="44">
        <f t="shared" si="25"/>
        <v>0</v>
      </c>
      <c r="AA28" s="50">
        <f t="shared" si="26"/>
        <v>2345.2800000000002</v>
      </c>
      <c r="AB28" s="51">
        <f t="shared" si="27"/>
        <v>0</v>
      </c>
      <c r="AC28" s="44">
        <f t="shared" si="28"/>
        <v>2192.4651771524727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>
        <f t="shared" si="37"/>
        <v>0</v>
      </c>
      <c r="AQ28">
        <v>2021</v>
      </c>
    </row>
    <row r="29" spans="1:43">
      <c r="B29" s="97" t="s">
        <v>70</v>
      </c>
      <c r="C29" s="61">
        <v>18230524</v>
      </c>
      <c r="D29" s="61" t="s">
        <v>71</v>
      </c>
      <c r="E29" s="38" t="s">
        <v>2169</v>
      </c>
      <c r="F29" s="39" t="s">
        <v>2170</v>
      </c>
      <c r="G29" s="39">
        <v>15</v>
      </c>
      <c r="H29" s="39"/>
      <c r="I29" s="40" t="s">
        <v>261</v>
      </c>
      <c r="J29" s="41">
        <v>0</v>
      </c>
      <c r="K29" s="41"/>
      <c r="L29" s="41"/>
      <c r="M29" s="42">
        <v>75</v>
      </c>
      <c r="N29" s="42">
        <v>236</v>
      </c>
      <c r="O29" s="43">
        <v>0</v>
      </c>
      <c r="P29" s="44">
        <v>219.75</v>
      </c>
      <c r="Q29" s="44">
        <v>0</v>
      </c>
      <c r="R29" s="45">
        <v>0</v>
      </c>
      <c r="S29" s="46">
        <v>0</v>
      </c>
      <c r="T29" s="39">
        <f t="shared" si="19"/>
        <v>15</v>
      </c>
      <c r="U29" s="47">
        <f t="shared" si="20"/>
        <v>0</v>
      </c>
      <c r="V29" s="48">
        <f t="shared" si="21"/>
        <v>161</v>
      </c>
      <c r="W29" s="49">
        <f t="shared" si="22"/>
        <v>0</v>
      </c>
      <c r="X29" s="44">
        <f t="shared" si="23"/>
        <v>0</v>
      </c>
      <c r="Y29" s="44">
        <f t="shared" si="24"/>
        <v>-219.75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1.3787827893853604</v>
      </c>
      <c r="AG29" s="44">
        <f t="shared" si="31"/>
        <v>0</v>
      </c>
      <c r="AH29" s="52">
        <f>HLOOKUP(I29,ElecAvoidedCostsWOCC!$A$5:$Q$50,T29+1,FALSE)</f>
        <v>1.3787827893853604</v>
      </c>
      <c r="AI29" s="44">
        <f t="shared" si="32"/>
        <v>0</v>
      </c>
      <c r="AJ29" s="44">
        <f t="shared" si="33"/>
        <v>0</v>
      </c>
      <c r="AK29" s="44">
        <f>HLOOKUP(I29,ElecAvoidedCostsWOCC!$A$5:$Q$50,G29+1,FALSE)*J29*L29</f>
        <v>0</v>
      </c>
      <c r="AL29" s="44">
        <f t="shared" si="34"/>
        <v>0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  <c r="AQ29">
        <v>2020</v>
      </c>
    </row>
    <row r="30" spans="1:43">
      <c r="B30" s="97" t="s">
        <v>70</v>
      </c>
      <c r="C30" s="61">
        <v>18230524</v>
      </c>
      <c r="D30" s="61" t="s">
        <v>71</v>
      </c>
      <c r="E30" s="38" t="s">
        <v>2171</v>
      </c>
      <c r="F30" s="39" t="s">
        <v>2172</v>
      </c>
      <c r="G30" s="39">
        <v>15</v>
      </c>
      <c r="H30" s="39"/>
      <c r="I30" s="40" t="s">
        <v>261</v>
      </c>
      <c r="J30" s="41">
        <v>1</v>
      </c>
      <c r="K30" s="41">
        <v>170</v>
      </c>
      <c r="L30" s="41"/>
      <c r="M30" s="42">
        <v>50</v>
      </c>
      <c r="N30" s="42">
        <v>145</v>
      </c>
      <c r="O30" s="43">
        <v>170</v>
      </c>
      <c r="P30" s="44">
        <v>250</v>
      </c>
      <c r="Q30" s="44">
        <v>725</v>
      </c>
      <c r="R30" s="45">
        <v>0</v>
      </c>
      <c r="S30" s="46">
        <v>0</v>
      </c>
      <c r="T30" s="39">
        <f t="shared" si="19"/>
        <v>15</v>
      </c>
      <c r="U30" s="47">
        <f t="shared" si="20"/>
        <v>2.8768407550183949E-3</v>
      </c>
      <c r="V30" s="48">
        <f t="shared" si="21"/>
        <v>95</v>
      </c>
      <c r="W30" s="49">
        <f t="shared" si="22"/>
        <v>1.9178938366789299E-4</v>
      </c>
      <c r="X30" s="44">
        <f t="shared" si="23"/>
        <v>36.04586530293134</v>
      </c>
      <c r="Y30" s="44">
        <f t="shared" si="24"/>
        <v>475</v>
      </c>
      <c r="Z30" s="44">
        <f t="shared" si="25"/>
        <v>160.69116279646974</v>
      </c>
      <c r="AA30" s="50">
        <f t="shared" si="26"/>
        <v>761.04586530293136</v>
      </c>
      <c r="AB30" s="51">
        <f t="shared" si="27"/>
        <v>150.2207747933717</v>
      </c>
      <c r="AC30" s="44">
        <f t="shared" si="28"/>
        <v>711.45729204723875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1.3787827893853604</v>
      </c>
      <c r="AG30" s="44">
        <f t="shared" si="31"/>
        <v>234.39307419551128</v>
      </c>
      <c r="AH30" s="52">
        <f>HLOOKUP(I30,ElecAvoidedCostsWOCC!$A$5:$Q$50,T30+1,FALSE)</f>
        <v>1.3787827893853604</v>
      </c>
      <c r="AI30" s="44">
        <f t="shared" si="32"/>
        <v>0</v>
      </c>
      <c r="AJ30" s="44">
        <f t="shared" si="33"/>
        <v>234.39307419551128</v>
      </c>
      <c r="AK30" s="44">
        <f>HLOOKUP(I30,ElecAvoidedCostsWOCC!$A$5:$Q$50,G30+1,FALSE)*J30*L30</f>
        <v>0</v>
      </c>
      <c r="AL30" s="44">
        <f t="shared" si="34"/>
        <v>234.39307419551128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234.39307419551128</v>
      </c>
      <c r="AN30" s="48">
        <f t="shared" si="35"/>
        <v>257.83238161506245</v>
      </c>
      <c r="AO30" s="47">
        <f t="shared" si="36"/>
        <v>1.5603239599710383</v>
      </c>
      <c r="AP30" s="47">
        <f t="shared" si="37"/>
        <v>0.36240036400940157</v>
      </c>
      <c r="AQ30">
        <v>2020</v>
      </c>
    </row>
    <row r="31" spans="1:43">
      <c r="B31" s="97" t="s">
        <v>70</v>
      </c>
      <c r="C31" s="61">
        <v>18230524</v>
      </c>
      <c r="D31" s="61" t="s">
        <v>71</v>
      </c>
      <c r="E31" s="38" t="s">
        <v>1250</v>
      </c>
      <c r="F31" s="39" t="s">
        <v>1251</v>
      </c>
      <c r="G31" s="39">
        <v>15</v>
      </c>
      <c r="H31" s="39"/>
      <c r="I31" s="40" t="s">
        <v>261</v>
      </c>
      <c r="J31" s="41">
        <v>2</v>
      </c>
      <c r="K31" s="41">
        <v>230</v>
      </c>
      <c r="L31" s="41"/>
      <c r="M31" s="42">
        <v>75</v>
      </c>
      <c r="N31" s="42">
        <v>236</v>
      </c>
      <c r="O31" s="43">
        <v>460</v>
      </c>
      <c r="P31" s="44">
        <v>219.75</v>
      </c>
      <c r="Q31" s="44">
        <v>1382.96</v>
      </c>
      <c r="R31" s="45">
        <v>0</v>
      </c>
      <c r="S31" s="46">
        <v>0</v>
      </c>
      <c r="T31" s="39">
        <f t="shared" si="19"/>
        <v>15</v>
      </c>
      <c r="U31" s="47">
        <f t="shared" si="20"/>
        <v>7.784392631226246E-3</v>
      </c>
      <c r="V31" s="48">
        <f t="shared" si="21"/>
        <v>161</v>
      </c>
      <c r="W31" s="49">
        <f t="shared" si="22"/>
        <v>5.1895950874841638E-4</v>
      </c>
      <c r="X31" s="44">
        <f t="shared" si="23"/>
        <v>97.535870819696584</v>
      </c>
      <c r="Y31" s="44">
        <f t="shared" si="24"/>
        <v>1163.21</v>
      </c>
      <c r="Z31" s="44">
        <f t="shared" si="25"/>
        <v>434.81138168456522</v>
      </c>
      <c r="AA31" s="50">
        <f t="shared" si="26"/>
        <v>1480.4958708196966</v>
      </c>
      <c r="AB31" s="51">
        <f t="shared" si="27"/>
        <v>406.47974355853529</v>
      </c>
      <c r="AC31" s="44">
        <f t="shared" si="28"/>
        <v>1384.0290462930695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1.3787827893853604</v>
      </c>
      <c r="AG31" s="44">
        <f t="shared" si="31"/>
        <v>634.24008311726573</v>
      </c>
      <c r="AH31" s="52">
        <f>HLOOKUP(I31,ElecAvoidedCostsWOCC!$A$5:$Q$50,T31+1,FALSE)</f>
        <v>1.3787827893853604</v>
      </c>
      <c r="AI31" s="44">
        <f t="shared" si="32"/>
        <v>0</v>
      </c>
      <c r="AJ31" s="44">
        <f t="shared" si="33"/>
        <v>634.24008311726573</v>
      </c>
      <c r="AK31" s="44">
        <f>HLOOKUP(I31,ElecAvoidedCostsWOCC!$A$5:$Q$50,G31+1,FALSE)*J31*L31</f>
        <v>0</v>
      </c>
      <c r="AL31" s="44">
        <f t="shared" si="34"/>
        <v>634.24008311726573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634.24008311726573</v>
      </c>
      <c r="AN31" s="48">
        <f t="shared" si="35"/>
        <v>697.66409142899238</v>
      </c>
      <c r="AO31" s="47">
        <f t="shared" si="36"/>
        <v>1.5603239599710379</v>
      </c>
      <c r="AP31" s="47">
        <f t="shared" si="37"/>
        <v>0.50408197233836183</v>
      </c>
      <c r="AQ31">
        <v>2020</v>
      </c>
    </row>
    <row r="32" spans="1:43">
      <c r="B32" s="97" t="s">
        <v>70</v>
      </c>
      <c r="C32" s="61">
        <v>18230524</v>
      </c>
      <c r="D32" s="61" t="s">
        <v>71</v>
      </c>
      <c r="E32" s="38" t="s">
        <v>2173</v>
      </c>
      <c r="F32" s="39" t="s">
        <v>2174</v>
      </c>
      <c r="G32" s="39">
        <v>15</v>
      </c>
      <c r="H32" s="39"/>
      <c r="I32" s="40" t="s">
        <v>261</v>
      </c>
      <c r="J32" s="41">
        <v>4</v>
      </c>
      <c r="K32" s="41">
        <v>455.25</v>
      </c>
      <c r="L32" s="41"/>
      <c r="M32" s="42">
        <v>125</v>
      </c>
      <c r="N32" s="42">
        <v>384</v>
      </c>
      <c r="O32" s="43">
        <v>1821</v>
      </c>
      <c r="P32" s="44">
        <v>2443.75</v>
      </c>
      <c r="Q32" s="44">
        <v>7507.2</v>
      </c>
      <c r="R32" s="45">
        <v>0</v>
      </c>
      <c r="S32" s="46">
        <v>0</v>
      </c>
      <c r="T32" s="39">
        <f t="shared" si="19"/>
        <v>15</v>
      </c>
      <c r="U32" s="47">
        <f t="shared" si="20"/>
        <v>3.0816041264049986E-2</v>
      </c>
      <c r="V32" s="48">
        <f t="shared" si="21"/>
        <v>259</v>
      </c>
      <c r="W32" s="49">
        <f t="shared" si="22"/>
        <v>2.0544027509366656E-3</v>
      </c>
      <c r="X32" s="44">
        <f t="shared" si="23"/>
        <v>386.11482774492924</v>
      </c>
      <c r="Y32" s="44">
        <f t="shared" si="24"/>
        <v>5063.45</v>
      </c>
      <c r="Z32" s="44">
        <f t="shared" si="25"/>
        <v>1721.28592619042</v>
      </c>
      <c r="AA32" s="50">
        <f t="shared" si="26"/>
        <v>7893.3148277449291</v>
      </c>
      <c r="AB32" s="51">
        <f t="shared" si="27"/>
        <v>1609.1295935219407</v>
      </c>
      <c r="AC32" s="44">
        <f t="shared" si="28"/>
        <v>7378.9986236747955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1.3787827893853604</v>
      </c>
      <c r="AG32" s="44">
        <f t="shared" si="31"/>
        <v>2510.7634594707411</v>
      </c>
      <c r="AH32" s="52">
        <f>HLOOKUP(I32,ElecAvoidedCostsWOCC!$A$5:$Q$50,T32+1,FALSE)</f>
        <v>1.3787827893853604</v>
      </c>
      <c r="AI32" s="44">
        <f t="shared" si="32"/>
        <v>0</v>
      </c>
      <c r="AJ32" s="44">
        <f t="shared" si="33"/>
        <v>2510.7634594707411</v>
      </c>
      <c r="AK32" s="44">
        <f>HLOOKUP(I32,ElecAvoidedCostsWOCC!$A$5:$Q$50,G32+1,FALSE)*J32*L32</f>
        <v>0</v>
      </c>
      <c r="AL32" s="44">
        <f t="shared" si="34"/>
        <v>2510.7634594707411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2510.7634594707411</v>
      </c>
      <c r="AN32" s="48">
        <f t="shared" si="35"/>
        <v>2761.8398054178156</v>
      </c>
      <c r="AO32" s="47">
        <f t="shared" si="36"/>
        <v>1.5603239599710379</v>
      </c>
      <c r="AP32" s="47">
        <f t="shared" si="37"/>
        <v>0.37428382173113878</v>
      </c>
      <c r="AQ32">
        <v>2020</v>
      </c>
    </row>
    <row r="33" spans="2:43">
      <c r="B33" s="97" t="s">
        <v>70</v>
      </c>
      <c r="C33" s="61">
        <v>18230524</v>
      </c>
      <c r="D33" s="61" t="s">
        <v>71</v>
      </c>
      <c r="E33" s="38" t="s">
        <v>1252</v>
      </c>
      <c r="F33" s="39" t="s">
        <v>1253</v>
      </c>
      <c r="G33" s="39">
        <v>15</v>
      </c>
      <c r="H33" s="39"/>
      <c r="I33" s="40" t="s">
        <v>261</v>
      </c>
      <c r="J33" s="41">
        <v>33</v>
      </c>
      <c r="K33" s="41">
        <v>382.78787878787881</v>
      </c>
      <c r="L33" s="41"/>
      <c r="M33" s="42">
        <v>40</v>
      </c>
      <c r="N33" s="42">
        <v>101</v>
      </c>
      <c r="O33" s="43">
        <v>12632</v>
      </c>
      <c r="P33" s="44">
        <v>9912</v>
      </c>
      <c r="Q33" s="44">
        <v>26209.8</v>
      </c>
      <c r="R33" s="45">
        <v>0</v>
      </c>
      <c r="S33" s="46">
        <v>0</v>
      </c>
      <c r="T33" s="39">
        <f t="shared" si="19"/>
        <v>15</v>
      </c>
      <c r="U33" s="47">
        <f t="shared" si="20"/>
        <v>0.21376619069054331</v>
      </c>
      <c r="V33" s="48">
        <f t="shared" si="21"/>
        <v>61</v>
      </c>
      <c r="W33" s="49">
        <f t="shared" si="22"/>
        <v>1.4251079379369555E-2</v>
      </c>
      <c r="X33" s="44">
        <f t="shared" si="23"/>
        <v>2678.4198265095806</v>
      </c>
      <c r="Y33" s="44">
        <f t="shared" si="24"/>
        <v>16297.8</v>
      </c>
      <c r="Z33" s="44">
        <f t="shared" si="25"/>
        <v>11940.298637911799</v>
      </c>
      <c r="AA33" s="50">
        <f t="shared" si="26"/>
        <v>28888.219826509579</v>
      </c>
      <c r="AB33" s="51">
        <f t="shared" si="27"/>
        <v>11162.287218763951</v>
      </c>
      <c r="AC33" s="44">
        <f t="shared" si="28"/>
        <v>27005.908036374291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1.3787827893853604</v>
      </c>
      <c r="AG33" s="44">
        <f t="shared" si="31"/>
        <v>17416.784195515873</v>
      </c>
      <c r="AH33" s="52">
        <f>HLOOKUP(I33,ElecAvoidedCostsWOCC!$A$5:$Q$50,T33+1,FALSE)</f>
        <v>1.3787827893853604</v>
      </c>
      <c r="AI33" s="44">
        <f t="shared" si="32"/>
        <v>0</v>
      </c>
      <c r="AJ33" s="44">
        <f t="shared" si="33"/>
        <v>17416.784195515873</v>
      </c>
      <c r="AK33" s="44">
        <f>HLOOKUP(I33,ElecAvoidedCostsWOCC!$A$5:$Q$50,G33+1,FALSE)*J33*L33</f>
        <v>0</v>
      </c>
      <c r="AL33" s="44">
        <f t="shared" si="34"/>
        <v>17416.784195515873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17416.784195515873</v>
      </c>
      <c r="AN33" s="48">
        <f t="shared" si="35"/>
        <v>19158.462615067463</v>
      </c>
      <c r="AO33" s="47">
        <f t="shared" si="36"/>
        <v>1.5603239599710379</v>
      </c>
      <c r="AP33" s="47">
        <f t="shared" si="37"/>
        <v>0.70941745744164231</v>
      </c>
      <c r="AQ33">
        <v>2020</v>
      </c>
    </row>
    <row r="34" spans="2:43">
      <c r="B34" s="97" t="s">
        <v>70</v>
      </c>
      <c r="C34" s="61">
        <v>18230524</v>
      </c>
      <c r="D34" s="61" t="s">
        <v>71</v>
      </c>
      <c r="E34" s="38" t="s">
        <v>1254</v>
      </c>
      <c r="F34" s="39" t="s">
        <v>1255</v>
      </c>
      <c r="G34" s="39">
        <v>15</v>
      </c>
      <c r="H34" s="39"/>
      <c r="I34" s="40" t="s">
        <v>261</v>
      </c>
      <c r="J34" s="41">
        <v>28</v>
      </c>
      <c r="K34" s="41">
        <v>772.32142857142856</v>
      </c>
      <c r="L34" s="41"/>
      <c r="M34" s="42">
        <v>65</v>
      </c>
      <c r="N34" s="42">
        <v>191</v>
      </c>
      <c r="O34" s="43">
        <v>21625</v>
      </c>
      <c r="P34" s="44">
        <v>15334.15</v>
      </c>
      <c r="Q34" s="44">
        <v>45058.81</v>
      </c>
      <c r="R34" s="45">
        <v>0</v>
      </c>
      <c r="S34" s="46">
        <v>0</v>
      </c>
      <c r="T34" s="39">
        <f t="shared" si="19"/>
        <v>15</v>
      </c>
      <c r="U34" s="47">
        <f t="shared" si="20"/>
        <v>0.3659510666310164</v>
      </c>
      <c r="V34" s="48">
        <f t="shared" si="21"/>
        <v>126</v>
      </c>
      <c r="W34" s="49">
        <f t="shared" si="22"/>
        <v>2.4396737775401092E-2</v>
      </c>
      <c r="X34" s="44">
        <f t="shared" si="23"/>
        <v>4585.2461010346478</v>
      </c>
      <c r="Y34" s="44">
        <f t="shared" si="24"/>
        <v>29724.659999999996</v>
      </c>
      <c r="Z34" s="44">
        <f t="shared" si="25"/>
        <v>20440.861149845045</v>
      </c>
      <c r="AA34" s="50">
        <f t="shared" si="26"/>
        <v>49644.056101034643</v>
      </c>
      <c r="AB34" s="51">
        <f t="shared" si="27"/>
        <v>19108.966205333312</v>
      </c>
      <c r="AC34" s="44">
        <f t="shared" si="28"/>
        <v>46409.326073697892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1.3787827893853604</v>
      </c>
      <c r="AG34" s="44">
        <f t="shared" si="31"/>
        <v>29816.177820458419</v>
      </c>
      <c r="AH34" s="52">
        <f>HLOOKUP(I34,ElecAvoidedCostsWOCC!$A$5:$Q$50,T34+1,FALSE)</f>
        <v>1.3787827893853604</v>
      </c>
      <c r="AI34" s="44">
        <f t="shared" si="32"/>
        <v>0</v>
      </c>
      <c r="AJ34" s="44">
        <f t="shared" si="33"/>
        <v>29816.177820458419</v>
      </c>
      <c r="AK34" s="44">
        <f>HLOOKUP(I34,ElecAvoidedCostsWOCC!$A$5:$Q$50,G34+1,FALSE)*J34*L34</f>
        <v>0</v>
      </c>
      <c r="AL34" s="44">
        <f t="shared" si="34"/>
        <v>29816.177820458419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29816.177820458415</v>
      </c>
      <c r="AN34" s="48">
        <f t="shared" si="35"/>
        <v>32797.795602504259</v>
      </c>
      <c r="AO34" s="47">
        <f t="shared" si="36"/>
        <v>1.5603239599710381</v>
      </c>
      <c r="AP34" s="47">
        <f t="shared" si="37"/>
        <v>0.70670700002024256</v>
      </c>
      <c r="AQ34">
        <v>2020</v>
      </c>
    </row>
    <row r="35" spans="2:43">
      <c r="B35" s="97" t="s">
        <v>70</v>
      </c>
      <c r="C35" s="61">
        <v>18230524</v>
      </c>
      <c r="D35" s="61" t="s">
        <v>71</v>
      </c>
      <c r="E35" s="38" t="s">
        <v>1256</v>
      </c>
      <c r="F35" s="39" t="s">
        <v>1257</v>
      </c>
      <c r="G35" s="39">
        <v>15</v>
      </c>
      <c r="H35" s="39"/>
      <c r="I35" s="40" t="s">
        <v>261</v>
      </c>
      <c r="J35" s="41">
        <v>7</v>
      </c>
      <c r="K35" s="41">
        <v>1873.2857142857142</v>
      </c>
      <c r="L35" s="41"/>
      <c r="M35" s="42">
        <v>125</v>
      </c>
      <c r="N35" s="42">
        <v>298</v>
      </c>
      <c r="O35" s="43">
        <v>13113</v>
      </c>
      <c r="P35" s="44">
        <v>7147.5</v>
      </c>
      <c r="Q35" s="44">
        <v>17039.64</v>
      </c>
      <c r="R35" s="45">
        <v>0</v>
      </c>
      <c r="S35" s="46">
        <v>0</v>
      </c>
      <c r="T35" s="39">
        <f t="shared" si="19"/>
        <v>15</v>
      </c>
      <c r="U35" s="47">
        <f t="shared" si="20"/>
        <v>0.22190595776797772</v>
      </c>
      <c r="V35" s="48">
        <f t="shared" si="21"/>
        <v>173</v>
      </c>
      <c r="W35" s="49">
        <f t="shared" si="22"/>
        <v>1.4793730517865181E-2</v>
      </c>
      <c r="X35" s="44">
        <f t="shared" si="23"/>
        <v>2780.4084218666981</v>
      </c>
      <c r="Y35" s="44">
        <f t="shared" si="24"/>
        <v>9892.14</v>
      </c>
      <c r="Z35" s="44">
        <f t="shared" si="25"/>
        <v>12394.960104412397</v>
      </c>
      <c r="AA35" s="50">
        <f t="shared" si="26"/>
        <v>19820.048421866697</v>
      </c>
      <c r="AB35" s="51">
        <f t="shared" si="27"/>
        <v>11587.323646267549</v>
      </c>
      <c r="AC35" s="44">
        <f t="shared" si="28"/>
        <v>18528.604675952785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1.3787827893853604</v>
      </c>
      <c r="AG35" s="44">
        <f t="shared" si="31"/>
        <v>18079.97871721023</v>
      </c>
      <c r="AH35" s="52">
        <f>HLOOKUP(I35,ElecAvoidedCostsWOCC!$A$5:$Q$50,T35+1,FALSE)</f>
        <v>1.3787827893853604</v>
      </c>
      <c r="AI35" s="44">
        <f t="shared" si="32"/>
        <v>0</v>
      </c>
      <c r="AJ35" s="44">
        <f t="shared" si="33"/>
        <v>18079.97871721023</v>
      </c>
      <c r="AK35" s="44">
        <f>HLOOKUP(I35,ElecAvoidedCostsWOCC!$A$5:$Q$50,G35+1,FALSE)*J35*L35</f>
        <v>0</v>
      </c>
      <c r="AL35" s="44">
        <f t="shared" si="34"/>
        <v>18079.97871721023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18079.97871721023</v>
      </c>
      <c r="AN35" s="48">
        <f t="shared" si="35"/>
        <v>19887.976588931255</v>
      </c>
      <c r="AO35" s="47">
        <f t="shared" si="36"/>
        <v>1.5603239599710381</v>
      </c>
      <c r="AP35" s="47">
        <f t="shared" si="37"/>
        <v>1.0733661242577386</v>
      </c>
      <c r="AQ35">
        <v>2020</v>
      </c>
    </row>
    <row r="36" spans="2:43">
      <c r="B36" s="97" t="s">
        <v>70</v>
      </c>
      <c r="C36" s="61">
        <v>18230524</v>
      </c>
      <c r="D36" s="61" t="s">
        <v>71</v>
      </c>
      <c r="E36" s="38" t="s">
        <v>1258</v>
      </c>
      <c r="F36" s="39" t="s">
        <v>1259</v>
      </c>
      <c r="G36" s="39">
        <v>15</v>
      </c>
      <c r="H36" s="39"/>
      <c r="I36" s="40" t="s">
        <v>261</v>
      </c>
      <c r="J36" s="41">
        <v>5</v>
      </c>
      <c r="K36" s="41">
        <v>809.2</v>
      </c>
      <c r="L36" s="41"/>
      <c r="M36" s="42">
        <v>40</v>
      </c>
      <c r="N36" s="42">
        <v>89</v>
      </c>
      <c r="O36" s="43">
        <v>4046</v>
      </c>
      <c r="P36" s="44">
        <v>2779.6</v>
      </c>
      <c r="Q36" s="44">
        <v>6184.61</v>
      </c>
      <c r="R36" s="45">
        <v>0</v>
      </c>
      <c r="S36" s="46">
        <v>0</v>
      </c>
      <c r="T36" s="39">
        <f t="shared" si="19"/>
        <v>15</v>
      </c>
      <c r="U36" s="47">
        <f t="shared" si="20"/>
        <v>6.8468809969437799E-2</v>
      </c>
      <c r="V36" s="48">
        <f t="shared" si="21"/>
        <v>49</v>
      </c>
      <c r="W36" s="49">
        <f t="shared" si="22"/>
        <v>4.5645873312958529E-3</v>
      </c>
      <c r="X36" s="44">
        <f t="shared" si="23"/>
        <v>857.8915942097658</v>
      </c>
      <c r="Y36" s="44">
        <f t="shared" si="24"/>
        <v>3405.0099999999998</v>
      </c>
      <c r="Z36" s="44">
        <f t="shared" si="25"/>
        <v>3824.44967455598</v>
      </c>
      <c r="AA36" s="50">
        <f t="shared" si="26"/>
        <v>7042.5015942097652</v>
      </c>
      <c r="AB36" s="51">
        <f t="shared" si="27"/>
        <v>3575.2544400822471</v>
      </c>
      <c r="AC36" s="44">
        <f t="shared" si="28"/>
        <v>6583.6230664763625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1.3787827893853604</v>
      </c>
      <c r="AG36" s="44">
        <f t="shared" si="31"/>
        <v>5578.5551658531676</v>
      </c>
      <c r="AH36" s="52">
        <f>HLOOKUP(I36,ElecAvoidedCostsWOCC!$A$5:$Q$50,T36+1,FALSE)</f>
        <v>1.3787827893853604</v>
      </c>
      <c r="AI36" s="44">
        <f t="shared" si="32"/>
        <v>0</v>
      </c>
      <c r="AJ36" s="44">
        <f t="shared" si="33"/>
        <v>5578.5551658531676</v>
      </c>
      <c r="AK36" s="44">
        <f>HLOOKUP(I36,ElecAvoidedCostsWOCC!$A$5:$Q$50,G36+1,FALSE)*J36*L36</f>
        <v>0</v>
      </c>
      <c r="AL36" s="44">
        <f t="shared" si="34"/>
        <v>5578.5551658531676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5578.5551658531685</v>
      </c>
      <c r="AN36" s="48">
        <f t="shared" si="35"/>
        <v>6136.4106824384862</v>
      </c>
      <c r="AO36" s="47">
        <f t="shared" si="36"/>
        <v>1.5603239599710381</v>
      </c>
      <c r="AP36" s="47">
        <f t="shared" si="37"/>
        <v>0.93207199447443001</v>
      </c>
      <c r="AQ36">
        <v>2020</v>
      </c>
    </row>
    <row r="37" spans="2:43">
      <c r="B37" s="97" t="s">
        <v>70</v>
      </c>
      <c r="C37" s="61">
        <v>18230524</v>
      </c>
      <c r="D37" s="61" t="s">
        <v>71</v>
      </c>
      <c r="E37" s="38" t="s">
        <v>1260</v>
      </c>
      <c r="F37" s="39" t="s">
        <v>1261</v>
      </c>
      <c r="G37" s="39">
        <v>15</v>
      </c>
      <c r="H37" s="39"/>
      <c r="I37" s="40" t="s">
        <v>261</v>
      </c>
      <c r="J37" s="41">
        <v>9</v>
      </c>
      <c r="K37" s="41">
        <v>1379.1111111111111</v>
      </c>
      <c r="L37" s="41"/>
      <c r="M37" s="42">
        <v>65</v>
      </c>
      <c r="N37" s="42">
        <v>135</v>
      </c>
      <c r="O37" s="43">
        <v>12412</v>
      </c>
      <c r="P37" s="44">
        <v>9664.2000000000007</v>
      </c>
      <c r="Q37" s="44">
        <v>20071.8</v>
      </c>
      <c r="R37" s="45">
        <v>0</v>
      </c>
      <c r="S37" s="46">
        <v>0</v>
      </c>
      <c r="T37" s="39">
        <f t="shared" si="19"/>
        <v>15</v>
      </c>
      <c r="U37" s="47">
        <f t="shared" si="20"/>
        <v>0.21004322030169598</v>
      </c>
      <c r="V37" s="48">
        <f t="shared" si="21"/>
        <v>70</v>
      </c>
      <c r="W37" s="49">
        <f t="shared" si="22"/>
        <v>1.4002881353446399E-2</v>
      </c>
      <c r="X37" s="44">
        <f t="shared" si="23"/>
        <v>2631.772236117552</v>
      </c>
      <c r="Y37" s="44">
        <f t="shared" si="24"/>
        <v>10407.599999999999</v>
      </c>
      <c r="Z37" s="44">
        <f t="shared" si="25"/>
        <v>11732.345368410486</v>
      </c>
      <c r="AA37" s="50">
        <f t="shared" si="26"/>
        <v>22703.57223611755</v>
      </c>
      <c r="AB37" s="51">
        <f t="shared" si="27"/>
        <v>10967.883863149</v>
      </c>
      <c r="AC37" s="44">
        <f t="shared" si="28"/>
        <v>21224.242531660791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1.3787827893853604</v>
      </c>
      <c r="AG37" s="44">
        <f t="shared" si="31"/>
        <v>17113.451981851093</v>
      </c>
      <c r="AH37" s="52">
        <f>HLOOKUP(I37,ElecAvoidedCostsWOCC!$A$5:$Q$50,T37+1,FALSE)</f>
        <v>1.3787827893853604</v>
      </c>
      <c r="AI37" s="44">
        <f t="shared" si="32"/>
        <v>0</v>
      </c>
      <c r="AJ37" s="44">
        <f t="shared" si="33"/>
        <v>17113.451981851093</v>
      </c>
      <c r="AK37" s="44">
        <f>HLOOKUP(I37,ElecAvoidedCostsWOCC!$A$5:$Q$50,G37+1,FALSE)*J37*L37</f>
        <v>0</v>
      </c>
      <c r="AL37" s="44">
        <f t="shared" si="34"/>
        <v>17113.451981851093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17113.451981851093</v>
      </c>
      <c r="AN37" s="48">
        <f t="shared" si="35"/>
        <v>18824.797180036203</v>
      </c>
      <c r="AO37" s="47">
        <f t="shared" si="36"/>
        <v>1.5603239599710379</v>
      </c>
      <c r="AP37" s="47">
        <f t="shared" si="37"/>
        <v>0.88694789234314164</v>
      </c>
      <c r="AQ37">
        <v>2020</v>
      </c>
    </row>
    <row r="38" spans="2:43">
      <c r="B38" s="97" t="s">
        <v>70</v>
      </c>
      <c r="C38" s="61">
        <v>18230524</v>
      </c>
      <c r="D38" s="61" t="s">
        <v>71</v>
      </c>
      <c r="E38" s="38" t="s">
        <v>2175</v>
      </c>
      <c r="F38" s="39" t="s">
        <v>2176</v>
      </c>
      <c r="G38" s="39">
        <v>15</v>
      </c>
      <c r="H38" s="39"/>
      <c r="I38" s="40" t="s">
        <v>261</v>
      </c>
      <c r="J38" s="41">
        <v>14</v>
      </c>
      <c r="K38" s="41">
        <v>4093.0714285714284</v>
      </c>
      <c r="L38" s="41"/>
      <c r="M38" s="42">
        <v>125</v>
      </c>
      <c r="N38" s="42">
        <v>204</v>
      </c>
      <c r="O38" s="43">
        <v>57303</v>
      </c>
      <c r="P38" s="44">
        <v>31436.25</v>
      </c>
      <c r="Q38" s="44">
        <v>51303.96</v>
      </c>
      <c r="R38" s="45">
        <v>0</v>
      </c>
      <c r="S38" s="46">
        <v>0</v>
      </c>
      <c r="T38" s="39">
        <f t="shared" si="19"/>
        <v>15</v>
      </c>
      <c r="U38" s="47">
        <f t="shared" si="20"/>
        <v>0.96971532814599459</v>
      </c>
      <c r="V38" s="48">
        <f t="shared" si="21"/>
        <v>79</v>
      </c>
      <c r="W38" s="49">
        <f t="shared" si="22"/>
        <v>6.4647688543066309E-2</v>
      </c>
      <c r="X38" s="44">
        <f t="shared" si="23"/>
        <v>12150.213055611028</v>
      </c>
      <c r="Y38" s="44">
        <f t="shared" si="24"/>
        <v>19867.71</v>
      </c>
      <c r="Z38" s="44">
        <f t="shared" si="25"/>
        <v>54165.210010153562</v>
      </c>
      <c r="AA38" s="50">
        <f t="shared" si="26"/>
        <v>63454.173055611027</v>
      </c>
      <c r="AB38" s="51">
        <f t="shared" si="27"/>
        <v>50635.888576379883</v>
      </c>
      <c r="AC38" s="44">
        <f t="shared" si="28"/>
        <v>59319.597135281874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1.3787827893853604</v>
      </c>
      <c r="AG38" s="44">
        <f t="shared" si="31"/>
        <v>79008.390180149305</v>
      </c>
      <c r="AH38" s="52">
        <f>HLOOKUP(I38,ElecAvoidedCostsWOCC!$A$5:$Q$50,T38+1,FALSE)</f>
        <v>1.3787827893853604</v>
      </c>
      <c r="AI38" s="44">
        <f t="shared" si="32"/>
        <v>0</v>
      </c>
      <c r="AJ38" s="44">
        <f t="shared" si="33"/>
        <v>79008.390180149305</v>
      </c>
      <c r="AK38" s="44">
        <f>HLOOKUP(I38,ElecAvoidedCostsWOCC!$A$5:$Q$50,G38+1,FALSE)*J38*L38</f>
        <v>0</v>
      </c>
      <c r="AL38" s="44">
        <f t="shared" si="34"/>
        <v>79008.390180149305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79008.390180149305</v>
      </c>
      <c r="AN38" s="48">
        <f t="shared" si="35"/>
        <v>86909.229198164248</v>
      </c>
      <c r="AO38" s="47">
        <f t="shared" si="36"/>
        <v>1.5603239599710381</v>
      </c>
      <c r="AP38" s="47">
        <f t="shared" si="37"/>
        <v>1.4651014739692614</v>
      </c>
      <c r="AQ38">
        <v>2020</v>
      </c>
    </row>
    <row r="39" spans="2:43">
      <c r="B39" s="97" t="s">
        <v>70</v>
      </c>
      <c r="C39" s="61">
        <v>18230524</v>
      </c>
      <c r="D39" s="61" t="s">
        <v>71</v>
      </c>
      <c r="E39" s="38" t="s">
        <v>1262</v>
      </c>
      <c r="F39" s="39" t="s">
        <v>1263</v>
      </c>
      <c r="G39" s="39">
        <v>15</v>
      </c>
      <c r="H39" s="39"/>
      <c r="I39" s="40" t="s">
        <v>261</v>
      </c>
      <c r="J39" s="41">
        <v>6</v>
      </c>
      <c r="K39" s="41">
        <v>1305.1666666666667</v>
      </c>
      <c r="L39" s="41"/>
      <c r="M39" s="42">
        <v>40</v>
      </c>
      <c r="N39" s="42">
        <v>50</v>
      </c>
      <c r="O39" s="43">
        <v>7831</v>
      </c>
      <c r="P39" s="44">
        <v>6320.4</v>
      </c>
      <c r="Q39" s="44">
        <v>7900.5</v>
      </c>
      <c r="R39" s="45">
        <v>0</v>
      </c>
      <c r="S39" s="46">
        <v>0</v>
      </c>
      <c r="T39" s="39">
        <f t="shared" si="19"/>
        <v>15</v>
      </c>
      <c r="U39" s="47">
        <f t="shared" si="20"/>
        <v>0.13252082325028852</v>
      </c>
      <c r="V39" s="48">
        <f t="shared" si="21"/>
        <v>10</v>
      </c>
      <c r="W39" s="49">
        <f t="shared" si="22"/>
        <v>8.8347215500192353E-3</v>
      </c>
      <c r="X39" s="44">
        <f t="shared" si="23"/>
        <v>1660.442183454443</v>
      </c>
      <c r="Y39" s="44">
        <f t="shared" si="24"/>
        <v>1580.1000000000004</v>
      </c>
      <c r="Z39" s="44">
        <f t="shared" si="25"/>
        <v>7402.1911521126731</v>
      </c>
      <c r="AA39" s="50">
        <f t="shared" si="26"/>
        <v>9560.9421834544428</v>
      </c>
      <c r="AB39" s="51">
        <f t="shared" si="27"/>
        <v>6919.8758082758459</v>
      </c>
      <c r="AC39" s="44">
        <f t="shared" si="28"/>
        <v>8937.9659563003097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1.3787827893853604</v>
      </c>
      <c r="AG39" s="44">
        <f t="shared" si="31"/>
        <v>10797.248023676759</v>
      </c>
      <c r="AH39" s="52">
        <f>HLOOKUP(I39,ElecAvoidedCostsWOCC!$A$5:$Q$50,T39+1,FALSE)</f>
        <v>1.3787827893853604</v>
      </c>
      <c r="AI39" s="44">
        <f t="shared" si="32"/>
        <v>0</v>
      </c>
      <c r="AJ39" s="44">
        <f t="shared" si="33"/>
        <v>10797.248023676759</v>
      </c>
      <c r="AK39" s="44">
        <f>HLOOKUP(I39,ElecAvoidedCostsWOCC!$A$5:$Q$50,G39+1,FALSE)*J39*L39</f>
        <v>0</v>
      </c>
      <c r="AL39" s="44">
        <f t="shared" si="34"/>
        <v>10797.248023676759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10797.248023676759</v>
      </c>
      <c r="AN39" s="48">
        <f t="shared" si="35"/>
        <v>11876.972826044435</v>
      </c>
      <c r="AO39" s="47">
        <f t="shared" si="36"/>
        <v>1.5603239599710386</v>
      </c>
      <c r="AP39" s="47">
        <f t="shared" si="37"/>
        <v>1.328822786315542</v>
      </c>
      <c r="AQ39">
        <v>2020</v>
      </c>
    </row>
    <row r="40" spans="2:43">
      <c r="B40" s="97" t="s">
        <v>70</v>
      </c>
      <c r="C40" s="61">
        <v>18230524</v>
      </c>
      <c r="D40" s="61" t="s">
        <v>71</v>
      </c>
      <c r="E40" s="38" t="s">
        <v>1264</v>
      </c>
      <c r="F40" s="39" t="s">
        <v>1265</v>
      </c>
      <c r="G40" s="39">
        <v>15</v>
      </c>
      <c r="H40" s="39"/>
      <c r="I40" s="40" t="s">
        <v>261</v>
      </c>
      <c r="J40" s="41">
        <v>1</v>
      </c>
      <c r="K40" s="41">
        <v>2018</v>
      </c>
      <c r="L40" s="41"/>
      <c r="M40" s="42">
        <v>65</v>
      </c>
      <c r="N40" s="42">
        <v>96</v>
      </c>
      <c r="O40" s="43">
        <v>2018</v>
      </c>
      <c r="P40" s="44">
        <v>1538.55</v>
      </c>
      <c r="Q40" s="44">
        <v>2272.3200000000002</v>
      </c>
      <c r="R40" s="45">
        <v>0</v>
      </c>
      <c r="S40" s="46">
        <v>0</v>
      </c>
      <c r="T40" s="39">
        <f t="shared" si="19"/>
        <v>15</v>
      </c>
      <c r="U40" s="47">
        <f t="shared" si="20"/>
        <v>3.4149792021336008E-2</v>
      </c>
      <c r="V40" s="48">
        <f t="shared" si="21"/>
        <v>31</v>
      </c>
      <c r="W40" s="49">
        <f t="shared" si="22"/>
        <v>2.2766528014224003E-3</v>
      </c>
      <c r="X40" s="44">
        <f t="shared" si="23"/>
        <v>427.88562459597318</v>
      </c>
      <c r="Y40" s="44">
        <f t="shared" si="24"/>
        <v>733.77000000000021</v>
      </c>
      <c r="Z40" s="44">
        <f t="shared" si="25"/>
        <v>1907.4986266075055</v>
      </c>
      <c r="AA40" s="50">
        <f t="shared" si="26"/>
        <v>2700.2056245959734</v>
      </c>
      <c r="AB40" s="51">
        <f t="shared" si="27"/>
        <v>1783.2089619589653</v>
      </c>
      <c r="AC40" s="44">
        <f t="shared" si="28"/>
        <v>2524.2643961820822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1.3787827893853604</v>
      </c>
      <c r="AG40" s="44">
        <f t="shared" si="31"/>
        <v>2782.3836689796572</v>
      </c>
      <c r="AH40" s="52">
        <f>HLOOKUP(I40,ElecAvoidedCostsWOCC!$A$5:$Q$50,T40+1,FALSE)</f>
        <v>1.3787827893853604</v>
      </c>
      <c r="AI40" s="44">
        <f t="shared" si="32"/>
        <v>0</v>
      </c>
      <c r="AJ40" s="44">
        <f t="shared" si="33"/>
        <v>2782.3836689796572</v>
      </c>
      <c r="AK40" s="44">
        <f>HLOOKUP(I40,ElecAvoidedCostsWOCC!$A$5:$Q$50,G40+1,FALSE)*J40*L40</f>
        <v>0</v>
      </c>
      <c r="AL40" s="44">
        <f t="shared" si="34"/>
        <v>2782.3836689796572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2782.3836689796572</v>
      </c>
      <c r="AN40" s="48">
        <f t="shared" si="35"/>
        <v>3060.6220358776231</v>
      </c>
      <c r="AO40" s="47">
        <f t="shared" si="36"/>
        <v>1.5603239599710381</v>
      </c>
      <c r="AP40" s="47">
        <f t="shared" si="37"/>
        <v>1.2124807688555823</v>
      </c>
      <c r="AQ40">
        <v>2020</v>
      </c>
    </row>
    <row r="41" spans="2:43">
      <c r="B41" s="97" t="s">
        <v>70</v>
      </c>
      <c r="C41" s="61">
        <v>18230524</v>
      </c>
      <c r="D41" s="61" t="s">
        <v>71</v>
      </c>
      <c r="E41" s="38" t="s">
        <v>1266</v>
      </c>
      <c r="F41" s="39" t="s">
        <v>1267</v>
      </c>
      <c r="G41" s="39">
        <v>15</v>
      </c>
      <c r="H41" s="39"/>
      <c r="I41" s="40" t="s">
        <v>261</v>
      </c>
      <c r="J41" s="41">
        <v>23</v>
      </c>
      <c r="K41" s="41">
        <v>4204.695652173913</v>
      </c>
      <c r="L41" s="41"/>
      <c r="M41" s="42">
        <v>100</v>
      </c>
      <c r="N41" s="42">
        <v>186</v>
      </c>
      <c r="O41" s="43">
        <v>96708</v>
      </c>
      <c r="P41" s="44">
        <v>67284</v>
      </c>
      <c r="Q41" s="44">
        <v>135997.62</v>
      </c>
      <c r="R41" s="45">
        <v>0</v>
      </c>
      <c r="S41" s="46">
        <v>0</v>
      </c>
      <c r="T41" s="39">
        <f t="shared" si="19"/>
        <v>15</v>
      </c>
      <c r="U41" s="47">
        <f t="shared" si="20"/>
        <v>1.6365500925665819</v>
      </c>
      <c r="V41" s="48">
        <f t="shared" si="21"/>
        <v>86</v>
      </c>
      <c r="W41" s="49">
        <f t="shared" si="22"/>
        <v>0.10910333950443879</v>
      </c>
      <c r="X41" s="44">
        <f t="shared" si="23"/>
        <v>20505.432598328727</v>
      </c>
      <c r="Y41" s="44">
        <f t="shared" si="24"/>
        <v>68713.62</v>
      </c>
      <c r="Z41" s="44">
        <f t="shared" si="25"/>
        <v>91412.476304241151</v>
      </c>
      <c r="AA41" s="50">
        <f t="shared" si="26"/>
        <v>156503.05259832874</v>
      </c>
      <c r="AB41" s="51">
        <f t="shared" si="27"/>
        <v>85456.180521867005</v>
      </c>
      <c r="AC41" s="44">
        <f t="shared" si="28"/>
        <v>146305.55538779913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1.3787827893853604</v>
      </c>
      <c r="AG41" s="44">
        <f t="shared" si="31"/>
        <v>133339.32599587942</v>
      </c>
      <c r="AH41" s="52">
        <f>HLOOKUP(I41,ElecAvoidedCostsWOCC!$A$5:$Q$50,T41+1,FALSE)</f>
        <v>1.3787827893853604</v>
      </c>
      <c r="AI41" s="44">
        <f t="shared" si="32"/>
        <v>0</v>
      </c>
      <c r="AJ41" s="44">
        <f t="shared" si="33"/>
        <v>133339.32599587942</v>
      </c>
      <c r="AK41" s="44">
        <f>HLOOKUP(I41,ElecAvoidedCostsWOCC!$A$5:$Q$50,G41+1,FALSE)*J41*L41</f>
        <v>0</v>
      </c>
      <c r="AL41" s="44">
        <f t="shared" si="34"/>
        <v>133339.32599587942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133339.32599587942</v>
      </c>
      <c r="AN41" s="48">
        <f t="shared" si="35"/>
        <v>146673.25859546737</v>
      </c>
      <c r="AO41" s="47">
        <f t="shared" si="36"/>
        <v>1.5603239599710381</v>
      </c>
      <c r="AP41" s="47">
        <f t="shared" si="37"/>
        <v>1.0025132552669898</v>
      </c>
      <c r="AQ41">
        <v>2020</v>
      </c>
    </row>
    <row r="42" spans="2:43">
      <c r="B42" s="97" t="s">
        <v>70</v>
      </c>
      <c r="C42" s="61">
        <v>18230524</v>
      </c>
      <c r="D42" s="61" t="s">
        <v>71</v>
      </c>
      <c r="E42" s="38" t="s">
        <v>2177</v>
      </c>
      <c r="F42" s="39" t="s">
        <v>2178</v>
      </c>
      <c r="G42" s="39">
        <v>15</v>
      </c>
      <c r="H42" s="39"/>
      <c r="I42" s="40" t="s">
        <v>261</v>
      </c>
      <c r="J42" s="41">
        <v>5</v>
      </c>
      <c r="K42" s="41">
        <v>11778</v>
      </c>
      <c r="L42" s="41"/>
      <c r="M42" s="42">
        <v>40</v>
      </c>
      <c r="N42" s="42">
        <v>95</v>
      </c>
      <c r="O42" s="43">
        <v>58890</v>
      </c>
      <c r="P42" s="44">
        <v>21453.599999999999</v>
      </c>
      <c r="Q42" s="44">
        <v>50952.3</v>
      </c>
      <c r="R42" s="45">
        <v>0</v>
      </c>
      <c r="S42" s="46">
        <v>0</v>
      </c>
      <c r="T42" s="39">
        <f t="shared" si="19"/>
        <v>15</v>
      </c>
      <c r="U42" s="47">
        <f t="shared" si="20"/>
        <v>0.9965714827237252</v>
      </c>
      <c r="V42" s="48">
        <f t="shared" si="21"/>
        <v>55</v>
      </c>
      <c r="W42" s="49">
        <f t="shared" si="22"/>
        <v>6.6438098848248348E-2</v>
      </c>
      <c r="X42" s="44">
        <f t="shared" si="23"/>
        <v>12486.711809938981</v>
      </c>
      <c r="Y42" s="44">
        <f t="shared" si="24"/>
        <v>29498.700000000004</v>
      </c>
      <c r="Z42" s="44">
        <f t="shared" si="25"/>
        <v>55665.309276965316</v>
      </c>
      <c r="AA42" s="50">
        <f t="shared" si="26"/>
        <v>63439.01180993898</v>
      </c>
      <c r="AB42" s="51">
        <f t="shared" si="27"/>
        <v>52038.243691656833</v>
      </c>
      <c r="AC42" s="44">
        <f t="shared" si="28"/>
        <v>59305.423772963426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1.3787827893853604</v>
      </c>
      <c r="AG42" s="44">
        <f t="shared" si="31"/>
        <v>81196.518466903872</v>
      </c>
      <c r="AH42" s="52">
        <f>HLOOKUP(I42,ElecAvoidedCostsWOCC!$A$5:$Q$50,T42+1,FALSE)</f>
        <v>1.3787827893853604</v>
      </c>
      <c r="AI42" s="44">
        <f t="shared" si="32"/>
        <v>0</v>
      </c>
      <c r="AJ42" s="44">
        <f t="shared" si="33"/>
        <v>81196.518466903872</v>
      </c>
      <c r="AK42" s="44">
        <f>HLOOKUP(I42,ElecAvoidedCostsWOCC!$A$5:$Q$50,G42+1,FALSE)*J42*L42</f>
        <v>0</v>
      </c>
      <c r="AL42" s="44">
        <f t="shared" si="34"/>
        <v>81196.518466903872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81196.518466903872</v>
      </c>
      <c r="AN42" s="48">
        <f t="shared" si="35"/>
        <v>89316.170313594266</v>
      </c>
      <c r="AO42" s="47">
        <f t="shared" si="36"/>
        <v>1.5603239599710379</v>
      </c>
      <c r="AP42" s="47">
        <f t="shared" si="37"/>
        <v>1.5060371317051839</v>
      </c>
      <c r="AQ42">
        <v>2020</v>
      </c>
    </row>
    <row r="43" spans="2:43">
      <c r="B43" s="97" t="s">
        <v>70</v>
      </c>
      <c r="C43" s="61">
        <v>18230524</v>
      </c>
      <c r="D43" s="61" t="s">
        <v>71</v>
      </c>
      <c r="E43" s="38" t="s">
        <v>1268</v>
      </c>
      <c r="F43" s="39" t="s">
        <v>1269</v>
      </c>
      <c r="G43" s="39">
        <v>15</v>
      </c>
      <c r="H43" s="39"/>
      <c r="I43" s="40" t="s">
        <v>261</v>
      </c>
      <c r="J43" s="41">
        <v>4</v>
      </c>
      <c r="K43" s="41">
        <v>15577.25</v>
      </c>
      <c r="L43" s="41"/>
      <c r="M43" s="42">
        <v>65</v>
      </c>
      <c r="N43" s="42">
        <v>158</v>
      </c>
      <c r="O43" s="43">
        <v>62309</v>
      </c>
      <c r="P43" s="44">
        <v>24478.35</v>
      </c>
      <c r="Q43" s="44">
        <v>59501.22</v>
      </c>
      <c r="R43" s="45">
        <v>0</v>
      </c>
      <c r="S43" s="46">
        <v>0</v>
      </c>
      <c r="T43" s="39">
        <f t="shared" si="19"/>
        <v>15</v>
      </c>
      <c r="U43" s="47">
        <f t="shared" si="20"/>
        <v>1.0544298270849479</v>
      </c>
      <c r="V43" s="48">
        <f t="shared" si="21"/>
        <v>93</v>
      </c>
      <c r="W43" s="49">
        <f t="shared" si="22"/>
        <v>7.0295321805663197E-2</v>
      </c>
      <c r="X43" s="44">
        <f t="shared" si="23"/>
        <v>13211.657771531463</v>
      </c>
      <c r="Y43" s="44">
        <f t="shared" si="24"/>
        <v>35022.870000000003</v>
      </c>
      <c r="Z43" s="44">
        <f t="shared" si="25"/>
        <v>58897.092133442544</v>
      </c>
      <c r="AA43" s="50">
        <f t="shared" si="26"/>
        <v>72712.877771531465</v>
      </c>
      <c r="AB43" s="51">
        <f t="shared" si="27"/>
        <v>55059.448568236461</v>
      </c>
      <c r="AC43" s="44">
        <f t="shared" si="28"/>
        <v>67975.018950669779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1.3787827893853604</v>
      </c>
      <c r="AG43" s="44">
        <f t="shared" si="31"/>
        <v>85910.576823812415</v>
      </c>
      <c r="AH43" s="52">
        <f>HLOOKUP(I43,ElecAvoidedCostsWOCC!$A$5:$Q$50,T43+1,FALSE)</f>
        <v>1.3787827893853604</v>
      </c>
      <c r="AI43" s="44">
        <f t="shared" si="32"/>
        <v>0</v>
      </c>
      <c r="AJ43" s="44">
        <f t="shared" si="33"/>
        <v>85910.576823812415</v>
      </c>
      <c r="AK43" s="44">
        <f>HLOOKUP(I43,ElecAvoidedCostsWOCC!$A$5:$Q$50,G43+1,FALSE)*J43*L43</f>
        <v>0</v>
      </c>
      <c r="AL43" s="44">
        <f t="shared" si="34"/>
        <v>85910.576823812415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85910.576823812415</v>
      </c>
      <c r="AN43" s="48">
        <f t="shared" si="35"/>
        <v>94501.634506193659</v>
      </c>
      <c r="AO43" s="47">
        <f t="shared" si="36"/>
        <v>1.5603239599710381</v>
      </c>
      <c r="AP43" s="47">
        <f t="shared" si="37"/>
        <v>1.3902406496535813</v>
      </c>
      <c r="AQ43">
        <v>2020</v>
      </c>
    </row>
    <row r="44" spans="2:43">
      <c r="B44" s="97" t="s">
        <v>70</v>
      </c>
      <c r="C44" s="61">
        <v>18230524</v>
      </c>
      <c r="D44" s="61" t="s">
        <v>71</v>
      </c>
      <c r="E44" s="38" t="s">
        <v>1270</v>
      </c>
      <c r="F44" s="39" t="s">
        <v>1271</v>
      </c>
      <c r="G44" s="39">
        <v>15</v>
      </c>
      <c r="H44" s="39"/>
      <c r="I44" s="40" t="s">
        <v>261</v>
      </c>
      <c r="J44" s="41">
        <v>3</v>
      </c>
      <c r="K44" s="41">
        <v>14111</v>
      </c>
      <c r="L44" s="41"/>
      <c r="M44" s="42">
        <v>125</v>
      </c>
      <c r="N44" s="42">
        <v>262</v>
      </c>
      <c r="O44" s="43">
        <v>42333</v>
      </c>
      <c r="P44" s="44">
        <v>26366.25</v>
      </c>
      <c r="Q44" s="44">
        <v>55263.66</v>
      </c>
      <c r="R44" s="45">
        <v>0</v>
      </c>
      <c r="S44" s="46">
        <v>0</v>
      </c>
      <c r="T44" s="39">
        <f t="shared" si="19"/>
        <v>15</v>
      </c>
      <c r="U44" s="47">
        <f t="shared" si="20"/>
        <v>0.71638411577761008</v>
      </c>
      <c r="V44" s="48">
        <f t="shared" si="21"/>
        <v>137</v>
      </c>
      <c r="W44" s="49">
        <f t="shared" si="22"/>
        <v>4.775894105184067E-2</v>
      </c>
      <c r="X44" s="44">
        <f t="shared" si="23"/>
        <v>8976.0565639352499</v>
      </c>
      <c r="Y44" s="44">
        <f t="shared" si="24"/>
        <v>28897.410000000003</v>
      </c>
      <c r="Z44" s="44">
        <f t="shared" si="25"/>
        <v>40014.935262723258</v>
      </c>
      <c r="AA44" s="50">
        <f t="shared" si="26"/>
        <v>64239.716563935253</v>
      </c>
      <c r="AB44" s="51">
        <f t="shared" si="27"/>
        <v>37407.623878398852</v>
      </c>
      <c r="AC44" s="44">
        <f t="shared" si="28"/>
        <v>60053.955841764277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1.3787827893853604</v>
      </c>
      <c r="AG44" s="44">
        <f t="shared" si="31"/>
        <v>58368.011823050467</v>
      </c>
      <c r="AH44" s="52">
        <f>HLOOKUP(I44,ElecAvoidedCostsWOCC!$A$5:$Q$50,T44+1,FALSE)</f>
        <v>1.3787827893853604</v>
      </c>
      <c r="AI44" s="44">
        <f t="shared" si="32"/>
        <v>0</v>
      </c>
      <c r="AJ44" s="44">
        <f t="shared" si="33"/>
        <v>58368.011823050467</v>
      </c>
      <c r="AK44" s="44">
        <f>HLOOKUP(I44,ElecAvoidedCostsWOCC!$A$5:$Q$50,G44+1,FALSE)*J44*L44</f>
        <v>0</v>
      </c>
      <c r="AL44" s="44">
        <f t="shared" si="34"/>
        <v>58368.011823050467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58368.011823050459</v>
      </c>
      <c r="AN44" s="48">
        <f t="shared" si="35"/>
        <v>64204.813005355514</v>
      </c>
      <c r="AO44" s="47">
        <f t="shared" si="36"/>
        <v>1.5603239599710381</v>
      </c>
      <c r="AP44" s="47">
        <f t="shared" si="37"/>
        <v>1.0691187966789115</v>
      </c>
      <c r="AQ44">
        <v>2020</v>
      </c>
    </row>
    <row r="45" spans="2:43">
      <c r="B45" s="97" t="s">
        <v>70</v>
      </c>
      <c r="C45" s="61">
        <v>18230524</v>
      </c>
      <c r="D45" s="61" t="s">
        <v>71</v>
      </c>
      <c r="E45" s="38" t="s">
        <v>2179</v>
      </c>
      <c r="F45" s="39" t="s">
        <v>2180</v>
      </c>
      <c r="G45" s="39">
        <v>15</v>
      </c>
      <c r="H45" s="39"/>
      <c r="I45" s="40" t="s">
        <v>261</v>
      </c>
      <c r="J45" s="41">
        <v>1</v>
      </c>
      <c r="K45" s="41">
        <v>1087</v>
      </c>
      <c r="L45" s="41"/>
      <c r="M45" s="42">
        <v>50</v>
      </c>
      <c r="N45" s="42">
        <v>145</v>
      </c>
      <c r="O45" s="43">
        <v>1087</v>
      </c>
      <c r="P45" s="44">
        <v>300</v>
      </c>
      <c r="Q45" s="44">
        <v>568.4</v>
      </c>
      <c r="R45" s="45">
        <v>0</v>
      </c>
      <c r="S45" s="46">
        <v>0</v>
      </c>
      <c r="T45" s="39">
        <f t="shared" si="19"/>
        <v>15</v>
      </c>
      <c r="U45" s="47">
        <f t="shared" si="20"/>
        <v>1.8394858239441151E-2</v>
      </c>
      <c r="V45" s="48">
        <f t="shared" si="21"/>
        <v>95</v>
      </c>
      <c r="W45" s="49">
        <f t="shared" si="22"/>
        <v>1.22632388262941E-3</v>
      </c>
      <c r="X45" s="44">
        <f t="shared" si="23"/>
        <v>230.48150343697864</v>
      </c>
      <c r="Y45" s="44">
        <f t="shared" si="24"/>
        <v>268.39999999999998</v>
      </c>
      <c r="Z45" s="44">
        <f t="shared" si="25"/>
        <v>1027.4781997633095</v>
      </c>
      <c r="AA45" s="50">
        <f t="shared" si="26"/>
        <v>798.88150343697862</v>
      </c>
      <c r="AB45" s="51">
        <f t="shared" si="27"/>
        <v>960.52930706114739</v>
      </c>
      <c r="AC45" s="44">
        <f t="shared" si="28"/>
        <v>746.82761843225069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1.3787827893853604</v>
      </c>
      <c r="AG45" s="44">
        <f t="shared" si="31"/>
        <v>1498.7368920618867</v>
      </c>
      <c r="AH45" s="52">
        <f>HLOOKUP(I45,ElecAvoidedCostsWOCC!$A$5:$Q$50,T45+1,FALSE)</f>
        <v>1.3787827893853604</v>
      </c>
      <c r="AI45" s="44">
        <f t="shared" si="32"/>
        <v>0</v>
      </c>
      <c r="AJ45" s="44">
        <f t="shared" si="33"/>
        <v>1498.7368920618867</v>
      </c>
      <c r="AK45" s="44">
        <f>HLOOKUP(I45,ElecAvoidedCostsWOCC!$A$5:$Q$50,G45+1,FALSE)*J45*L45</f>
        <v>0</v>
      </c>
      <c r="AL45" s="44">
        <f t="shared" si="34"/>
        <v>1498.7368920618867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1498.7368920618867</v>
      </c>
      <c r="AN45" s="48">
        <f t="shared" si="35"/>
        <v>1648.6105812680755</v>
      </c>
      <c r="AO45" s="47">
        <f t="shared" si="36"/>
        <v>1.5603239599710381</v>
      </c>
      <c r="AP45" s="47">
        <f t="shared" si="37"/>
        <v>2.2074847536153768</v>
      </c>
      <c r="AQ45">
        <v>2020</v>
      </c>
    </row>
    <row r="46" spans="2:43">
      <c r="B46" s="97" t="s">
        <v>70</v>
      </c>
      <c r="C46" s="61">
        <v>18230524</v>
      </c>
      <c r="D46" s="61" t="s">
        <v>71</v>
      </c>
      <c r="E46" s="38" t="s">
        <v>2181</v>
      </c>
      <c r="F46" s="39" t="s">
        <v>2182</v>
      </c>
      <c r="G46" s="39">
        <v>15</v>
      </c>
      <c r="H46" s="39"/>
      <c r="I46" s="40" t="s">
        <v>261</v>
      </c>
      <c r="J46" s="41">
        <v>2</v>
      </c>
      <c r="K46" s="41">
        <v>225</v>
      </c>
      <c r="L46" s="41"/>
      <c r="M46" s="42">
        <v>50</v>
      </c>
      <c r="N46" s="42">
        <v>101</v>
      </c>
      <c r="O46" s="43">
        <v>450</v>
      </c>
      <c r="P46" s="44">
        <v>282</v>
      </c>
      <c r="Q46" s="44">
        <v>569.64</v>
      </c>
      <c r="R46" s="45">
        <v>0</v>
      </c>
      <c r="S46" s="46">
        <v>0</v>
      </c>
      <c r="T46" s="39">
        <f t="shared" si="19"/>
        <v>15</v>
      </c>
      <c r="U46" s="47">
        <f t="shared" si="20"/>
        <v>7.6151667044604575E-3</v>
      </c>
      <c r="V46" s="48">
        <f t="shared" si="21"/>
        <v>51</v>
      </c>
      <c r="W46" s="49">
        <f t="shared" si="22"/>
        <v>5.0767778029736383E-4</v>
      </c>
      <c r="X46" s="44">
        <f t="shared" si="23"/>
        <v>95.415525801877081</v>
      </c>
      <c r="Y46" s="44">
        <f t="shared" si="24"/>
        <v>287.64</v>
      </c>
      <c r="Z46" s="44">
        <f t="shared" si="25"/>
        <v>425.35896034359644</v>
      </c>
      <c r="AA46" s="50">
        <f t="shared" si="26"/>
        <v>665.05552580187702</v>
      </c>
      <c r="AB46" s="51">
        <f t="shared" si="27"/>
        <v>397.64322739421931</v>
      </c>
      <c r="AC46" s="44">
        <f t="shared" si="28"/>
        <v>621.72153482460214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1.3787827893853604</v>
      </c>
      <c r="AG46" s="44">
        <f t="shared" si="31"/>
        <v>620.45225522341218</v>
      </c>
      <c r="AH46" s="52">
        <f>HLOOKUP(I46,ElecAvoidedCostsWOCC!$A$5:$Q$50,T46+1,FALSE)</f>
        <v>1.3787827893853604</v>
      </c>
      <c r="AI46" s="44">
        <f t="shared" si="32"/>
        <v>0</v>
      </c>
      <c r="AJ46" s="44">
        <f t="shared" si="33"/>
        <v>620.45225522341218</v>
      </c>
      <c r="AK46" s="44">
        <f>HLOOKUP(I46,ElecAvoidedCostsWOCC!$A$5:$Q$50,G46+1,FALSE)*J46*L46</f>
        <v>0</v>
      </c>
      <c r="AL46" s="44">
        <f t="shared" si="34"/>
        <v>620.45225522341218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620.45225522341218</v>
      </c>
      <c r="AN46" s="48">
        <f t="shared" si="35"/>
        <v>682.49748074575348</v>
      </c>
      <c r="AO46" s="47">
        <f t="shared" si="36"/>
        <v>1.5603239599710379</v>
      </c>
      <c r="AP46" s="47">
        <f t="shared" si="37"/>
        <v>1.0977542879197473</v>
      </c>
      <c r="AQ46">
        <v>2020</v>
      </c>
    </row>
    <row r="47" spans="2:43">
      <c r="B47" s="97" t="s">
        <v>70</v>
      </c>
      <c r="C47" s="61">
        <v>18230524</v>
      </c>
      <c r="D47" s="61" t="s">
        <v>71</v>
      </c>
      <c r="E47" s="38" t="s">
        <v>2183</v>
      </c>
      <c r="F47" s="39" t="s">
        <v>2184</v>
      </c>
      <c r="G47" s="39">
        <v>15</v>
      </c>
      <c r="H47" s="39"/>
      <c r="I47" s="40" t="s">
        <v>261</v>
      </c>
      <c r="J47" s="41">
        <v>2</v>
      </c>
      <c r="K47" s="41">
        <v>422</v>
      </c>
      <c r="L47" s="41"/>
      <c r="M47" s="42">
        <v>75</v>
      </c>
      <c r="N47" s="42">
        <v>191</v>
      </c>
      <c r="O47" s="43">
        <v>844</v>
      </c>
      <c r="P47" s="44">
        <v>600</v>
      </c>
      <c r="Q47" s="44">
        <v>1528</v>
      </c>
      <c r="R47" s="45">
        <v>0</v>
      </c>
      <c r="S47" s="46">
        <v>0</v>
      </c>
      <c r="T47" s="39">
        <f t="shared" si="19"/>
        <v>15</v>
      </c>
      <c r="U47" s="47">
        <f t="shared" si="20"/>
        <v>1.4282668219032501E-2</v>
      </c>
      <c r="V47" s="48">
        <f t="shared" si="21"/>
        <v>116</v>
      </c>
      <c r="W47" s="49">
        <f t="shared" si="22"/>
        <v>9.5217788126883342E-4</v>
      </c>
      <c r="X47" s="44">
        <f t="shared" si="23"/>
        <v>178.957119503965</v>
      </c>
      <c r="Y47" s="44">
        <f t="shared" si="24"/>
        <v>928</v>
      </c>
      <c r="Z47" s="44">
        <f t="shared" si="25"/>
        <v>797.78436117776744</v>
      </c>
      <c r="AA47" s="50">
        <f t="shared" si="26"/>
        <v>1706.957119503965</v>
      </c>
      <c r="AB47" s="51">
        <f t="shared" si="27"/>
        <v>745.80196426826899</v>
      </c>
      <c r="AC47" s="44">
        <f t="shared" si="28"/>
        <v>1595.7344297503644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1.3787827893853604</v>
      </c>
      <c r="AG47" s="44">
        <f t="shared" si="31"/>
        <v>1163.692674241244</v>
      </c>
      <c r="AH47" s="52">
        <f>HLOOKUP(I47,ElecAvoidedCostsWOCC!$A$5:$Q$50,T47+1,FALSE)</f>
        <v>1.3787827893853604</v>
      </c>
      <c r="AI47" s="44">
        <f t="shared" si="32"/>
        <v>0</v>
      </c>
      <c r="AJ47" s="44">
        <f t="shared" si="33"/>
        <v>1163.692674241244</v>
      </c>
      <c r="AK47" s="44">
        <f>HLOOKUP(I47,ElecAvoidedCostsWOCC!$A$5:$Q$50,G47+1,FALSE)*J47*L47</f>
        <v>0</v>
      </c>
      <c r="AL47" s="44">
        <f t="shared" si="34"/>
        <v>1163.692674241244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1163.692674241244</v>
      </c>
      <c r="AN47" s="48">
        <f t="shared" si="35"/>
        <v>1280.0619416653685</v>
      </c>
      <c r="AO47" s="47">
        <f t="shared" si="36"/>
        <v>1.5603239599710379</v>
      </c>
      <c r="AP47" s="47">
        <f t="shared" si="37"/>
        <v>0.80217730331582837</v>
      </c>
      <c r="AQ47">
        <v>2020</v>
      </c>
    </row>
    <row r="48" spans="2:43">
      <c r="B48" s="97" t="s">
        <v>70</v>
      </c>
      <c r="C48" s="61">
        <v>18230524</v>
      </c>
      <c r="D48" s="61" t="s">
        <v>71</v>
      </c>
      <c r="E48" s="38" t="s">
        <v>2185</v>
      </c>
      <c r="F48" s="39" t="s">
        <v>2186</v>
      </c>
      <c r="G48" s="39">
        <v>15</v>
      </c>
      <c r="H48" s="39"/>
      <c r="I48" s="40" t="s">
        <v>261</v>
      </c>
      <c r="J48" s="41">
        <v>1</v>
      </c>
      <c r="K48" s="41">
        <v>617</v>
      </c>
      <c r="L48" s="41"/>
      <c r="M48" s="42">
        <v>125</v>
      </c>
      <c r="N48" s="42">
        <v>298</v>
      </c>
      <c r="O48" s="43">
        <v>617</v>
      </c>
      <c r="P48" s="44">
        <v>572.5</v>
      </c>
      <c r="Q48" s="44">
        <v>1364.84</v>
      </c>
      <c r="R48" s="45">
        <v>0</v>
      </c>
      <c r="S48" s="46">
        <v>0</v>
      </c>
      <c r="T48" s="39">
        <f t="shared" si="19"/>
        <v>15</v>
      </c>
      <c r="U48" s="47">
        <f t="shared" si="20"/>
        <v>1.0441239681449116E-2</v>
      </c>
      <c r="V48" s="48">
        <f t="shared" si="21"/>
        <v>173</v>
      </c>
      <c r="W48" s="49">
        <f t="shared" si="22"/>
        <v>6.9608264542994104E-4</v>
      </c>
      <c r="X48" s="44">
        <f t="shared" si="23"/>
        <v>130.82528759946257</v>
      </c>
      <c r="Y48" s="44">
        <f t="shared" si="24"/>
        <v>792.33999999999992</v>
      </c>
      <c r="Z48" s="44">
        <f t="shared" si="25"/>
        <v>583.21439673777547</v>
      </c>
      <c r="AA48" s="50">
        <f t="shared" si="26"/>
        <v>1495.6652875994625</v>
      </c>
      <c r="AB48" s="51">
        <f t="shared" si="27"/>
        <v>545.21304733829618</v>
      </c>
      <c r="AC48" s="44">
        <f t="shared" si="28"/>
        <v>1398.2100473024796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1.3787827893853604</v>
      </c>
      <c r="AG48" s="44">
        <f t="shared" si="31"/>
        <v>850.70898105076731</v>
      </c>
      <c r="AH48" s="52">
        <f>HLOOKUP(I48,ElecAvoidedCostsWOCC!$A$5:$Q$50,T48+1,FALSE)</f>
        <v>1.3787827893853604</v>
      </c>
      <c r="AI48" s="44">
        <f t="shared" si="32"/>
        <v>0</v>
      </c>
      <c r="AJ48" s="44">
        <f t="shared" si="33"/>
        <v>850.70898105076731</v>
      </c>
      <c r="AK48" s="44">
        <f>HLOOKUP(I48,ElecAvoidedCostsWOCC!$A$5:$Q$50,G48+1,FALSE)*J48*L48</f>
        <v>0</v>
      </c>
      <c r="AL48" s="44">
        <f t="shared" si="34"/>
        <v>850.70898105076731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850.70898105076731</v>
      </c>
      <c r="AN48" s="48">
        <f t="shared" si="35"/>
        <v>935.77987915584413</v>
      </c>
      <c r="AO48" s="47">
        <f t="shared" si="36"/>
        <v>1.5603239599710381</v>
      </c>
      <c r="AP48" s="47">
        <f t="shared" si="37"/>
        <v>0.66926988613850491</v>
      </c>
      <c r="AQ48">
        <v>2020</v>
      </c>
    </row>
    <row r="49" spans="2:43">
      <c r="B49" s="97" t="s">
        <v>70</v>
      </c>
      <c r="C49" s="61">
        <v>18230524</v>
      </c>
      <c r="D49" s="61" t="s">
        <v>71</v>
      </c>
      <c r="E49" s="38" t="s">
        <v>1272</v>
      </c>
      <c r="F49" s="39" t="s">
        <v>1273</v>
      </c>
      <c r="G49" s="39">
        <v>15</v>
      </c>
      <c r="H49" s="39"/>
      <c r="I49" s="40" t="s">
        <v>261</v>
      </c>
      <c r="J49" s="41">
        <v>12</v>
      </c>
      <c r="K49" s="41">
        <v>1897.3333333333333</v>
      </c>
      <c r="L49" s="41"/>
      <c r="M49" s="42">
        <v>65</v>
      </c>
      <c r="N49" s="42">
        <v>135</v>
      </c>
      <c r="O49" s="43">
        <v>22768</v>
      </c>
      <c r="P49" s="44">
        <v>5302.7</v>
      </c>
      <c r="Q49" s="44">
        <v>14512.5</v>
      </c>
      <c r="R49" s="45">
        <v>0</v>
      </c>
      <c r="S49" s="46">
        <v>0</v>
      </c>
      <c r="T49" s="39">
        <f t="shared" si="19"/>
        <v>15</v>
      </c>
      <c r="U49" s="47">
        <f t="shared" si="20"/>
        <v>0.38529359006034597</v>
      </c>
      <c r="V49" s="48">
        <f t="shared" si="21"/>
        <v>70</v>
      </c>
      <c r="W49" s="49">
        <f t="shared" si="22"/>
        <v>2.5686239337356399E-2</v>
      </c>
      <c r="X49" s="44">
        <f t="shared" si="23"/>
        <v>4827.6015365714165</v>
      </c>
      <c r="Y49" s="44">
        <f t="shared" si="24"/>
        <v>9209.7999999999993</v>
      </c>
      <c r="Z49" s="44">
        <f t="shared" si="25"/>
        <v>21521.272909117783</v>
      </c>
      <c r="AA49" s="50">
        <f t="shared" si="26"/>
        <v>19340.101536571416</v>
      </c>
      <c r="AB49" s="51">
        <f t="shared" si="27"/>
        <v>20118.980002914632</v>
      </c>
      <c r="AC49" s="44">
        <f t="shared" si="28"/>
        <v>18079.930388493423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1.3787827893853604</v>
      </c>
      <c r="AG49" s="44">
        <f t="shared" si="31"/>
        <v>31392.126548725886</v>
      </c>
      <c r="AH49" s="52">
        <f>HLOOKUP(I49,ElecAvoidedCostsWOCC!$A$5:$Q$50,T49+1,FALSE)</f>
        <v>1.3787827893853604</v>
      </c>
      <c r="AI49" s="44">
        <f t="shared" si="32"/>
        <v>0</v>
      </c>
      <c r="AJ49" s="44">
        <f t="shared" si="33"/>
        <v>31392.126548725886</v>
      </c>
      <c r="AK49" s="44">
        <f>HLOOKUP(I49,ElecAvoidedCostsWOCC!$A$5:$Q$50,G49+1,FALSE)*J49*L49</f>
        <v>0</v>
      </c>
      <c r="AL49" s="44">
        <f t="shared" si="34"/>
        <v>31392.126548725886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31392.126548725886</v>
      </c>
      <c r="AN49" s="48">
        <f t="shared" si="35"/>
        <v>34531.33920359848</v>
      </c>
      <c r="AO49" s="47">
        <f t="shared" si="36"/>
        <v>1.5603239599710381</v>
      </c>
      <c r="AP49" s="47">
        <f t="shared" si="37"/>
        <v>1.9099265573265258</v>
      </c>
      <c r="AQ49">
        <v>2020</v>
      </c>
    </row>
    <row r="50" spans="2:43">
      <c r="B50" s="97" t="s">
        <v>70</v>
      </c>
      <c r="C50" s="61">
        <v>18230524</v>
      </c>
      <c r="D50" s="61" t="s">
        <v>71</v>
      </c>
      <c r="E50" s="38" t="s">
        <v>1274</v>
      </c>
      <c r="F50" s="39" t="s">
        <v>1275</v>
      </c>
      <c r="G50" s="39">
        <v>15</v>
      </c>
      <c r="H50" s="39"/>
      <c r="I50" s="40" t="s">
        <v>261</v>
      </c>
      <c r="J50" s="41">
        <v>5</v>
      </c>
      <c r="K50" s="41">
        <v>2255</v>
      </c>
      <c r="L50" s="41"/>
      <c r="M50" s="42">
        <v>100</v>
      </c>
      <c r="N50" s="42">
        <v>204</v>
      </c>
      <c r="O50" s="43">
        <v>11275</v>
      </c>
      <c r="P50" s="44">
        <v>3750</v>
      </c>
      <c r="Q50" s="44">
        <v>7650</v>
      </c>
      <c r="R50" s="45">
        <v>0</v>
      </c>
      <c r="S50" s="46">
        <v>0</v>
      </c>
      <c r="T50" s="39">
        <f t="shared" si="19"/>
        <v>15</v>
      </c>
      <c r="U50" s="47">
        <f t="shared" si="20"/>
        <v>0.19080223242842589</v>
      </c>
      <c r="V50" s="48">
        <f t="shared" si="21"/>
        <v>104</v>
      </c>
      <c r="W50" s="49">
        <f t="shared" si="22"/>
        <v>1.2720148828561727E-2</v>
      </c>
      <c r="X50" s="44">
        <f t="shared" si="23"/>
        <v>2390.6890075914757</v>
      </c>
      <c r="Y50" s="44">
        <f t="shared" si="24"/>
        <v>3900</v>
      </c>
      <c r="Z50" s="44">
        <f t="shared" si="25"/>
        <v>10657.605061942331</v>
      </c>
      <c r="AA50" s="50">
        <f t="shared" si="26"/>
        <v>10040.689007591476</v>
      </c>
      <c r="AB50" s="51">
        <f t="shared" si="27"/>
        <v>9963.1719752662721</v>
      </c>
      <c r="AC50" s="44">
        <f t="shared" si="28"/>
        <v>9386.4532182775311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1.3787827893853604</v>
      </c>
      <c r="AG50" s="44">
        <f t="shared" si="31"/>
        <v>15545.775950319938</v>
      </c>
      <c r="AH50" s="52">
        <f>HLOOKUP(I50,ElecAvoidedCostsWOCC!$A$5:$Q$50,T50+1,FALSE)</f>
        <v>1.3787827893853604</v>
      </c>
      <c r="AI50" s="44">
        <f t="shared" si="32"/>
        <v>0</v>
      </c>
      <c r="AJ50" s="44">
        <f t="shared" si="33"/>
        <v>15545.775950319938</v>
      </c>
      <c r="AK50" s="44">
        <f>HLOOKUP(I50,ElecAvoidedCostsWOCC!$A$5:$Q$50,G50+1,FALSE)*J50*L50</f>
        <v>0</v>
      </c>
      <c r="AL50" s="44">
        <f t="shared" si="34"/>
        <v>15545.775950319938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15545.775950319938</v>
      </c>
      <c r="AN50" s="48">
        <f t="shared" si="35"/>
        <v>17100.353545351933</v>
      </c>
      <c r="AO50" s="47">
        <f t="shared" si="36"/>
        <v>1.5603239599710379</v>
      </c>
      <c r="AP50" s="47">
        <f t="shared" si="37"/>
        <v>1.8218120463279683</v>
      </c>
      <c r="AQ50">
        <v>2020</v>
      </c>
    </row>
    <row r="51" spans="2:43">
      <c r="B51" s="97" t="s">
        <v>70</v>
      </c>
      <c r="C51" s="61">
        <v>18230524</v>
      </c>
      <c r="D51" s="61" t="s">
        <v>71</v>
      </c>
      <c r="E51" s="38" t="s">
        <v>2187</v>
      </c>
      <c r="F51" s="39" t="s">
        <v>2188</v>
      </c>
      <c r="G51" s="39">
        <v>15</v>
      </c>
      <c r="H51" s="39"/>
      <c r="I51" s="40" t="s">
        <v>261</v>
      </c>
      <c r="J51" s="41">
        <v>2</v>
      </c>
      <c r="K51" s="41">
        <v>1225</v>
      </c>
      <c r="L51" s="41"/>
      <c r="M51" s="42">
        <v>40</v>
      </c>
      <c r="N51" s="42">
        <v>50</v>
      </c>
      <c r="O51" s="43">
        <v>2450</v>
      </c>
      <c r="P51" s="44">
        <v>1133.5999999999999</v>
      </c>
      <c r="Q51" s="44">
        <v>1417</v>
      </c>
      <c r="R51" s="45">
        <v>0</v>
      </c>
      <c r="S51" s="46">
        <v>0</v>
      </c>
      <c r="T51" s="39">
        <f t="shared" si="19"/>
        <v>15</v>
      </c>
      <c r="U51" s="47">
        <f t="shared" si="20"/>
        <v>4.1460352057618041E-2</v>
      </c>
      <c r="V51" s="48">
        <f t="shared" si="21"/>
        <v>10</v>
      </c>
      <c r="W51" s="49">
        <f t="shared" si="22"/>
        <v>2.7640234705078696E-3</v>
      </c>
      <c r="X51" s="44">
        <f t="shared" si="23"/>
        <v>519.48452936577519</v>
      </c>
      <c r="Y51" s="44">
        <f t="shared" si="24"/>
        <v>283.40000000000009</v>
      </c>
      <c r="Z51" s="44">
        <f t="shared" si="25"/>
        <v>2315.8432285373583</v>
      </c>
      <c r="AA51" s="50">
        <f t="shared" si="26"/>
        <v>1936.4845293657752</v>
      </c>
      <c r="AB51" s="51">
        <f t="shared" si="27"/>
        <v>2164.9464602574162</v>
      </c>
      <c r="AC51" s="44">
        <f t="shared" si="28"/>
        <v>1810.3061880581238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1.3787827893853604</v>
      </c>
      <c r="AG51" s="44">
        <f t="shared" si="31"/>
        <v>3378.0178339941331</v>
      </c>
      <c r="AH51" s="52">
        <f>HLOOKUP(I51,ElecAvoidedCostsWOCC!$A$5:$Q$50,T51+1,FALSE)</f>
        <v>1.3787827893853604</v>
      </c>
      <c r="AI51" s="44">
        <f t="shared" si="32"/>
        <v>0</v>
      </c>
      <c r="AJ51" s="44">
        <f t="shared" si="33"/>
        <v>3378.0178339941331</v>
      </c>
      <c r="AK51" s="44">
        <f>HLOOKUP(I51,ElecAvoidedCostsWOCC!$A$5:$Q$50,G51+1,FALSE)*J51*L51</f>
        <v>0</v>
      </c>
      <c r="AL51" s="44">
        <f t="shared" si="34"/>
        <v>3378.0178339941331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3378.0178339941331</v>
      </c>
      <c r="AN51" s="48">
        <f t="shared" si="35"/>
        <v>3715.8196173935467</v>
      </c>
      <c r="AO51" s="47">
        <f t="shared" si="36"/>
        <v>1.5603239599710379</v>
      </c>
      <c r="AP51" s="47">
        <f t="shared" si="37"/>
        <v>2.052591789115755</v>
      </c>
      <c r="AQ51">
        <v>2020</v>
      </c>
    </row>
    <row r="52" spans="2:43">
      <c r="B52" s="97" t="s">
        <v>70</v>
      </c>
      <c r="C52" s="61">
        <v>18230524</v>
      </c>
      <c r="D52" s="61" t="s">
        <v>71</v>
      </c>
      <c r="E52" s="38" t="s">
        <v>1276</v>
      </c>
      <c r="F52" s="39" t="s">
        <v>1277</v>
      </c>
      <c r="G52" s="39">
        <v>15</v>
      </c>
      <c r="H52" s="39"/>
      <c r="I52" s="40" t="s">
        <v>261</v>
      </c>
      <c r="J52" s="41">
        <v>2</v>
      </c>
      <c r="K52" s="41">
        <v>3304</v>
      </c>
      <c r="L52" s="41"/>
      <c r="M52" s="42">
        <v>100</v>
      </c>
      <c r="N52" s="42">
        <v>186</v>
      </c>
      <c r="O52" s="43">
        <v>6608</v>
      </c>
      <c r="P52" s="44">
        <v>2366</v>
      </c>
      <c r="Q52" s="44">
        <v>4400.76</v>
      </c>
      <c r="R52" s="45">
        <v>0</v>
      </c>
      <c r="S52" s="46">
        <v>0</v>
      </c>
      <c r="T52" s="39">
        <f t="shared" si="19"/>
        <v>15</v>
      </c>
      <c r="U52" s="47">
        <f t="shared" si="20"/>
        <v>0.11182449240683266</v>
      </c>
      <c r="V52" s="48">
        <f t="shared" si="21"/>
        <v>86</v>
      </c>
      <c r="W52" s="49">
        <f t="shared" si="22"/>
        <v>7.4549661604555112E-3</v>
      </c>
      <c r="X52" s="44">
        <f t="shared" si="23"/>
        <v>1401.1239877751195</v>
      </c>
      <c r="Y52" s="44">
        <f t="shared" si="24"/>
        <v>2034.7600000000002</v>
      </c>
      <c r="Z52" s="44">
        <f t="shared" si="25"/>
        <v>6246.1600221121889</v>
      </c>
      <c r="AA52" s="50">
        <f t="shared" si="26"/>
        <v>5801.8839877751197</v>
      </c>
      <c r="AB52" s="51">
        <f t="shared" si="27"/>
        <v>5839.1698813800022</v>
      </c>
      <c r="AC52" s="44">
        <f t="shared" si="28"/>
        <v>5423.8421873189864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1.3787827893853604</v>
      </c>
      <c r="AG52" s="44">
        <f t="shared" si="31"/>
        <v>9110.9966722584613</v>
      </c>
      <c r="AH52" s="52">
        <f>HLOOKUP(I52,ElecAvoidedCostsWOCC!$A$5:$Q$50,T52+1,FALSE)</f>
        <v>1.3787827893853604</v>
      </c>
      <c r="AI52" s="44">
        <f t="shared" si="32"/>
        <v>0</v>
      </c>
      <c r="AJ52" s="44">
        <f t="shared" si="33"/>
        <v>9110.9966722584613</v>
      </c>
      <c r="AK52" s="44">
        <f>HLOOKUP(I52,ElecAvoidedCostsWOCC!$A$5:$Q$50,G52+1,FALSE)*J52*L52</f>
        <v>0</v>
      </c>
      <c r="AL52" s="44">
        <f t="shared" si="34"/>
        <v>9110.9966722584613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9110.9966722584613</v>
      </c>
      <c r="AN52" s="48">
        <f t="shared" si="35"/>
        <v>10022.096339484307</v>
      </c>
      <c r="AO52" s="47">
        <f t="shared" si="36"/>
        <v>1.5603239599710381</v>
      </c>
      <c r="AP52" s="47">
        <f t="shared" si="37"/>
        <v>1.8477853878042578</v>
      </c>
      <c r="AQ52">
        <v>2020</v>
      </c>
    </row>
    <row r="53" spans="2:43">
      <c r="B53" s="97" t="s">
        <v>70</v>
      </c>
      <c r="C53" s="61">
        <v>18230524</v>
      </c>
      <c r="D53" s="61" t="s">
        <v>71</v>
      </c>
      <c r="E53" s="38" t="s">
        <v>2189</v>
      </c>
      <c r="F53" s="39" t="s">
        <v>2190</v>
      </c>
      <c r="G53" s="39">
        <v>15</v>
      </c>
      <c r="H53" s="39"/>
      <c r="I53" s="40" t="s">
        <v>261</v>
      </c>
      <c r="J53" s="41">
        <v>1</v>
      </c>
      <c r="K53" s="41">
        <v>9817</v>
      </c>
      <c r="L53" s="41"/>
      <c r="M53" s="42">
        <v>65</v>
      </c>
      <c r="N53" s="42">
        <v>158</v>
      </c>
      <c r="O53" s="43">
        <v>9817</v>
      </c>
      <c r="P53" s="44">
        <v>1885</v>
      </c>
      <c r="Q53" s="44">
        <v>4582</v>
      </c>
      <c r="R53" s="45">
        <v>0</v>
      </c>
      <c r="S53" s="46">
        <v>0</v>
      </c>
      <c r="T53" s="39">
        <f t="shared" si="19"/>
        <v>15</v>
      </c>
      <c r="U53" s="47">
        <f t="shared" si="20"/>
        <v>0.166129092305974</v>
      </c>
      <c r="V53" s="48">
        <f t="shared" si="21"/>
        <v>93</v>
      </c>
      <c r="W53" s="49">
        <f t="shared" si="22"/>
        <v>1.1075272820398267E-2</v>
      </c>
      <c r="X53" s="44">
        <f t="shared" si="23"/>
        <v>2081.5427039933938</v>
      </c>
      <c r="Y53" s="44">
        <f t="shared" si="24"/>
        <v>2697</v>
      </c>
      <c r="Z53" s="44">
        <f t="shared" si="25"/>
        <v>9279.4420304290798</v>
      </c>
      <c r="AA53" s="50">
        <f t="shared" si="26"/>
        <v>6663.5427039933938</v>
      </c>
      <c r="AB53" s="51">
        <f t="shared" si="27"/>
        <v>8674.807918509001</v>
      </c>
      <c r="AC53" s="44">
        <f t="shared" si="28"/>
        <v>6229.356552298208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1.3787827893853604</v>
      </c>
      <c r="AG53" s="44">
        <f t="shared" si="31"/>
        <v>13535.510643396083</v>
      </c>
      <c r="AH53" s="52">
        <f>HLOOKUP(I53,ElecAvoidedCostsWOCC!$A$5:$Q$50,T53+1,FALSE)</f>
        <v>1.3787827893853604</v>
      </c>
      <c r="AI53" s="44">
        <f t="shared" si="32"/>
        <v>0</v>
      </c>
      <c r="AJ53" s="44">
        <f t="shared" si="33"/>
        <v>13535.510643396083</v>
      </c>
      <c r="AK53" s="44">
        <f>HLOOKUP(I53,ElecAvoidedCostsWOCC!$A$5:$Q$50,G53+1,FALSE)*J53*L53</f>
        <v>0</v>
      </c>
      <c r="AL53" s="44">
        <f t="shared" si="34"/>
        <v>13535.510643396083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13535.510643396083</v>
      </c>
      <c r="AN53" s="48">
        <f t="shared" si="35"/>
        <v>14889.061707735693</v>
      </c>
      <c r="AO53" s="47">
        <f t="shared" si="36"/>
        <v>1.5603239599710381</v>
      </c>
      <c r="AP53" s="47">
        <f t="shared" si="37"/>
        <v>2.3901444046002864</v>
      </c>
      <c r="AQ53">
        <v>2020</v>
      </c>
    </row>
    <row r="54" spans="2:43">
      <c r="B54" s="97" t="s">
        <v>70</v>
      </c>
      <c r="C54" s="61">
        <v>18230524</v>
      </c>
      <c r="D54" s="61" t="s">
        <v>71</v>
      </c>
      <c r="E54" s="38" t="s">
        <v>2191</v>
      </c>
      <c r="F54" s="39" t="s">
        <v>2192</v>
      </c>
      <c r="G54" s="39">
        <v>15</v>
      </c>
      <c r="H54" s="39"/>
      <c r="I54" s="40" t="s">
        <v>261</v>
      </c>
      <c r="J54" s="41">
        <v>1</v>
      </c>
      <c r="K54" s="41">
        <v>951</v>
      </c>
      <c r="L54" s="41"/>
      <c r="M54" s="42">
        <v>50</v>
      </c>
      <c r="N54" s="42">
        <v>163</v>
      </c>
      <c r="O54" s="43">
        <v>951</v>
      </c>
      <c r="P54" s="44">
        <v>400</v>
      </c>
      <c r="Q54" s="44">
        <v>1304</v>
      </c>
      <c r="R54" s="45">
        <v>0</v>
      </c>
      <c r="S54" s="46">
        <v>0</v>
      </c>
      <c r="T54" s="39">
        <f t="shared" si="19"/>
        <v>15</v>
      </c>
      <c r="U54" s="47">
        <f t="shared" si="20"/>
        <v>1.6093385635426432E-2</v>
      </c>
      <c r="V54" s="48">
        <f t="shared" si="21"/>
        <v>113</v>
      </c>
      <c r="W54" s="49">
        <f t="shared" si="22"/>
        <v>1.0728923756950955E-3</v>
      </c>
      <c r="X54" s="44">
        <f t="shared" si="23"/>
        <v>201.64481119463355</v>
      </c>
      <c r="Y54" s="44">
        <f t="shared" si="24"/>
        <v>904</v>
      </c>
      <c r="Z54" s="44">
        <f t="shared" si="25"/>
        <v>898.92526952613366</v>
      </c>
      <c r="AA54" s="50">
        <f t="shared" si="26"/>
        <v>1505.6448111946336</v>
      </c>
      <c r="AB54" s="51">
        <f t="shared" si="27"/>
        <v>840.35268722645003</v>
      </c>
      <c r="AC54" s="44">
        <f t="shared" si="28"/>
        <v>1407.5393205521486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1.3787827893853604</v>
      </c>
      <c r="AG54" s="44">
        <f t="shared" si="31"/>
        <v>1311.2224327054778</v>
      </c>
      <c r="AH54" s="52">
        <f>HLOOKUP(I54,ElecAvoidedCostsWOCC!$A$5:$Q$50,T54+1,FALSE)</f>
        <v>1.3787827893853604</v>
      </c>
      <c r="AI54" s="44">
        <f t="shared" si="32"/>
        <v>0</v>
      </c>
      <c r="AJ54" s="44">
        <f t="shared" si="33"/>
        <v>1311.2224327054778</v>
      </c>
      <c r="AK54" s="44">
        <f>HLOOKUP(I54,ElecAvoidedCostsWOCC!$A$5:$Q$50,G54+1,FALSE)*J54*L54</f>
        <v>0</v>
      </c>
      <c r="AL54" s="44">
        <f t="shared" si="34"/>
        <v>1311.2224327054778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1311.2224327054778</v>
      </c>
      <c r="AN54" s="48">
        <f t="shared" si="35"/>
        <v>1442.3446759760257</v>
      </c>
      <c r="AO54" s="47">
        <f t="shared" si="36"/>
        <v>1.5603239599710381</v>
      </c>
      <c r="AP54" s="47">
        <f t="shared" si="37"/>
        <v>1.0247278032774414</v>
      </c>
      <c r="AQ54">
        <v>2020</v>
      </c>
    </row>
    <row r="55" spans="2:43">
      <c r="B55" s="97" t="s">
        <v>70</v>
      </c>
      <c r="C55" s="61">
        <v>18230524</v>
      </c>
      <c r="D55" s="61" t="s">
        <v>71</v>
      </c>
      <c r="E55" s="38" t="s">
        <v>1280</v>
      </c>
      <c r="F55" s="39" t="s">
        <v>1281</v>
      </c>
      <c r="G55" s="39">
        <v>15</v>
      </c>
      <c r="H55" s="39"/>
      <c r="I55" s="40" t="s">
        <v>261</v>
      </c>
      <c r="J55" s="41">
        <v>24</v>
      </c>
      <c r="K55" s="41">
        <v>526.54166666666663</v>
      </c>
      <c r="L55" s="41"/>
      <c r="M55" s="42">
        <v>75</v>
      </c>
      <c r="N55" s="42">
        <v>245</v>
      </c>
      <c r="O55" s="43">
        <v>12637</v>
      </c>
      <c r="P55" s="44">
        <v>4860.75</v>
      </c>
      <c r="Q55" s="44">
        <v>15878.45</v>
      </c>
      <c r="R55" s="45">
        <v>0</v>
      </c>
      <c r="S55" s="46">
        <v>0</v>
      </c>
      <c r="T55" s="39">
        <f t="shared" si="19"/>
        <v>15</v>
      </c>
      <c r="U55" s="47">
        <f t="shared" si="20"/>
        <v>0.2138508036539262</v>
      </c>
      <c r="V55" s="48">
        <f t="shared" si="21"/>
        <v>170</v>
      </c>
      <c r="W55" s="49">
        <f t="shared" si="22"/>
        <v>1.425672024359508E-2</v>
      </c>
      <c r="X55" s="44">
        <f t="shared" si="23"/>
        <v>2679.4799990184902</v>
      </c>
      <c r="Y55" s="44">
        <f t="shared" si="24"/>
        <v>11017.7</v>
      </c>
      <c r="Z55" s="44">
        <f t="shared" si="25"/>
        <v>11945.024848582281</v>
      </c>
      <c r="AA55" s="50">
        <f t="shared" si="26"/>
        <v>18557.929999018492</v>
      </c>
      <c r="AB55" s="51">
        <f t="shared" si="27"/>
        <v>11166.705476846106</v>
      </c>
      <c r="AC55" s="44">
        <f t="shared" si="28"/>
        <v>17348.723940374395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1.3787827893853604</v>
      </c>
      <c r="AG55" s="44">
        <f t="shared" si="31"/>
        <v>17423.678109462799</v>
      </c>
      <c r="AH55" s="52">
        <f>HLOOKUP(I55,ElecAvoidedCostsWOCC!$A$5:$Q$50,T55+1,FALSE)</f>
        <v>1.3787827893853604</v>
      </c>
      <c r="AI55" s="44">
        <f t="shared" si="32"/>
        <v>0</v>
      </c>
      <c r="AJ55" s="44">
        <f t="shared" si="33"/>
        <v>17423.678109462799</v>
      </c>
      <c r="AK55" s="44">
        <f>HLOOKUP(I55,ElecAvoidedCostsWOCC!$A$5:$Q$50,G55+1,FALSE)*J55*L55</f>
        <v>0</v>
      </c>
      <c r="AL55" s="44">
        <f t="shared" si="34"/>
        <v>17423.678109462799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17423.678109462799</v>
      </c>
      <c r="AN55" s="48">
        <f t="shared" si="35"/>
        <v>19166.04592040908</v>
      </c>
      <c r="AO55" s="47">
        <f t="shared" si="36"/>
        <v>1.5603239599710383</v>
      </c>
      <c r="AP55" s="47">
        <f t="shared" si="37"/>
        <v>1.1047524870578733</v>
      </c>
      <c r="AQ55">
        <v>2020</v>
      </c>
    </row>
    <row r="56" spans="2:43">
      <c r="B56" s="97" t="s">
        <v>70</v>
      </c>
      <c r="C56" s="61">
        <v>18230524</v>
      </c>
      <c r="D56" s="61" t="s">
        <v>71</v>
      </c>
      <c r="E56" s="38" t="s">
        <v>1282</v>
      </c>
      <c r="F56" s="39" t="s">
        <v>1283</v>
      </c>
      <c r="G56" s="39">
        <v>15</v>
      </c>
      <c r="H56" s="39"/>
      <c r="I56" s="40" t="s">
        <v>261</v>
      </c>
      <c r="J56" s="41">
        <v>10</v>
      </c>
      <c r="K56" s="41">
        <v>1074.3</v>
      </c>
      <c r="L56" s="41"/>
      <c r="M56" s="42">
        <v>125</v>
      </c>
      <c r="N56" s="42">
        <v>327</v>
      </c>
      <c r="O56" s="43">
        <v>10743</v>
      </c>
      <c r="P56" s="44">
        <v>4796.25</v>
      </c>
      <c r="Q56" s="44">
        <v>12546.99</v>
      </c>
      <c r="R56" s="45">
        <v>0</v>
      </c>
      <c r="S56" s="46">
        <v>0</v>
      </c>
      <c r="T56" s="39">
        <f t="shared" si="19"/>
        <v>15</v>
      </c>
      <c r="U56" s="47">
        <f t="shared" si="20"/>
        <v>0.181799413124486</v>
      </c>
      <c r="V56" s="48">
        <f t="shared" si="21"/>
        <v>202</v>
      </c>
      <c r="W56" s="49">
        <f t="shared" si="22"/>
        <v>1.2119960874965733E-2</v>
      </c>
      <c r="X56" s="44">
        <f t="shared" si="23"/>
        <v>2277.886652643479</v>
      </c>
      <c r="Y56" s="44">
        <f t="shared" si="24"/>
        <v>7750.74</v>
      </c>
      <c r="Z56" s="44">
        <f t="shared" si="25"/>
        <v>10154.736246602792</v>
      </c>
      <c r="AA56" s="50">
        <f t="shared" si="26"/>
        <v>14824.876652643479</v>
      </c>
      <c r="AB56" s="51">
        <f t="shared" si="27"/>
        <v>9493.0693153246611</v>
      </c>
      <c r="AC56" s="44">
        <f t="shared" si="28"/>
        <v>13858.910584877514</v>
      </c>
      <c r="AD56" s="44">
        <f t="shared" si="29"/>
        <v>0</v>
      </c>
      <c r="AE56" s="44">
        <f t="shared" si="30"/>
        <v>0</v>
      </c>
      <c r="AF56" s="52">
        <f>HLOOKUP(I56,ElecAvoidedCostsWOCC!$A$5:$Q$50,G56+1,FALSE)</f>
        <v>1.3787827893853604</v>
      </c>
      <c r="AG56" s="44">
        <f t="shared" si="31"/>
        <v>14812.263506366924</v>
      </c>
      <c r="AH56" s="52">
        <f>HLOOKUP(I56,ElecAvoidedCostsWOCC!$A$5:$Q$50,T56+1,FALSE)</f>
        <v>1.3787827893853604</v>
      </c>
      <c r="AI56" s="44">
        <f t="shared" si="32"/>
        <v>0</v>
      </c>
      <c r="AJ56" s="44">
        <f t="shared" si="33"/>
        <v>14812.263506366924</v>
      </c>
      <c r="AK56" s="44">
        <f>HLOOKUP(I56,ElecAvoidedCostsWOCC!$A$5:$Q$50,G56+1,FALSE)*J56*L56</f>
        <v>0</v>
      </c>
      <c r="AL56" s="44">
        <f t="shared" si="34"/>
        <v>14812.263506366924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14812.263506366926</v>
      </c>
      <c r="AN56" s="48">
        <f t="shared" si="35"/>
        <v>16293.48985700362</v>
      </c>
      <c r="AO56" s="47">
        <f t="shared" si="36"/>
        <v>1.5603239599710381</v>
      </c>
      <c r="AP56" s="47">
        <f t="shared" si="37"/>
        <v>1.1756688779551443</v>
      </c>
      <c r="AQ56">
        <v>2020</v>
      </c>
    </row>
    <row r="57" spans="2:43">
      <c r="B57" s="97" t="s">
        <v>70</v>
      </c>
      <c r="C57" s="61">
        <v>18230524</v>
      </c>
      <c r="D57" s="61" t="s">
        <v>71</v>
      </c>
      <c r="E57" s="38" t="s">
        <v>1286</v>
      </c>
      <c r="F57" s="39" t="s">
        <v>1287</v>
      </c>
      <c r="G57" s="39">
        <v>15</v>
      </c>
      <c r="H57" s="39"/>
      <c r="I57" s="40" t="s">
        <v>261</v>
      </c>
      <c r="J57" s="41">
        <v>11</v>
      </c>
      <c r="K57" s="41">
        <v>807.4545454545455</v>
      </c>
      <c r="L57" s="41"/>
      <c r="M57" s="42">
        <v>400</v>
      </c>
      <c r="N57" s="42">
        <v>500</v>
      </c>
      <c r="O57" s="43">
        <v>8882</v>
      </c>
      <c r="P57" s="44">
        <v>4800</v>
      </c>
      <c r="Q57" s="44">
        <v>630</v>
      </c>
      <c r="R57" s="45">
        <v>0</v>
      </c>
      <c r="S57" s="46">
        <v>0</v>
      </c>
      <c r="T57" s="39">
        <f t="shared" si="19"/>
        <v>15</v>
      </c>
      <c r="U57" s="47">
        <f t="shared" si="20"/>
        <v>0.15030646815337284</v>
      </c>
      <c r="V57" s="48">
        <f t="shared" si="21"/>
        <v>100</v>
      </c>
      <c r="W57" s="49">
        <f t="shared" si="22"/>
        <v>1.0020431210224856E-2</v>
      </c>
      <c r="X57" s="44">
        <f t="shared" si="23"/>
        <v>1883.2904448272716</v>
      </c>
      <c r="Y57" s="44">
        <f t="shared" si="24"/>
        <v>-4170</v>
      </c>
      <c r="Z57" s="44">
        <f t="shared" si="25"/>
        <v>8395.6406350484958</v>
      </c>
      <c r="AA57" s="50">
        <f t="shared" si="26"/>
        <v>2513.2904448272716</v>
      </c>
      <c r="AB57" s="51">
        <f t="shared" si="27"/>
        <v>7848.5936571454567</v>
      </c>
      <c r="AC57" s="44">
        <f t="shared" si="28"/>
        <v>2349.5283208631126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1.3787827893853604</v>
      </c>
      <c r="AG57" s="44">
        <f t="shared" si="31"/>
        <v>12246.348735320771</v>
      </c>
      <c r="AH57" s="52">
        <f>HLOOKUP(I57,ElecAvoidedCostsWOCC!$A$5:$Q$50,T57+1,FALSE)</f>
        <v>1.3787827893853604</v>
      </c>
      <c r="AI57" s="44">
        <f t="shared" si="32"/>
        <v>0</v>
      </c>
      <c r="AJ57" s="44">
        <f t="shared" si="33"/>
        <v>12246.348735320771</v>
      </c>
      <c r="AK57" s="44">
        <f>HLOOKUP(I57,ElecAvoidedCostsWOCC!$A$5:$Q$50,G57+1,FALSE)*J57*L57</f>
        <v>0</v>
      </c>
      <c r="AL57" s="44">
        <f t="shared" si="34"/>
        <v>12246.348735320771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12246.348735320771</v>
      </c>
      <c r="AN57" s="48">
        <f t="shared" si="35"/>
        <v>13470.98360885285</v>
      </c>
      <c r="AO57" s="47">
        <f t="shared" si="36"/>
        <v>1.5603239599710381</v>
      </c>
      <c r="AP57" s="47">
        <f t="shared" si="37"/>
        <v>5.7334842441499951</v>
      </c>
      <c r="AQ57">
        <v>2020</v>
      </c>
    </row>
    <row r="58" spans="2:43">
      <c r="B58" s="97" t="s">
        <v>70</v>
      </c>
      <c r="C58" s="61">
        <v>18230524</v>
      </c>
      <c r="D58" s="61" t="s">
        <v>71</v>
      </c>
      <c r="E58" s="38" t="s">
        <v>1288</v>
      </c>
      <c r="F58" s="39" t="s">
        <v>1289</v>
      </c>
      <c r="G58" s="39">
        <v>15</v>
      </c>
      <c r="H58" s="39"/>
      <c r="I58" s="40" t="s">
        <v>261</v>
      </c>
      <c r="J58" s="41">
        <v>22</v>
      </c>
      <c r="K58" s="41">
        <v>1053.590909090909</v>
      </c>
      <c r="L58" s="41"/>
      <c r="M58" s="42">
        <v>600</v>
      </c>
      <c r="N58" s="42">
        <v>840</v>
      </c>
      <c r="O58" s="43">
        <v>23179</v>
      </c>
      <c r="P58" s="44">
        <v>13350</v>
      </c>
      <c r="Q58" s="44">
        <v>13183.5</v>
      </c>
      <c r="R58" s="45">
        <v>0</v>
      </c>
      <c r="S58" s="46">
        <v>0</v>
      </c>
      <c r="T58" s="39">
        <f t="shared" si="19"/>
        <v>15</v>
      </c>
      <c r="U58" s="47">
        <f t="shared" si="20"/>
        <v>0.39224877565041982</v>
      </c>
      <c r="V58" s="48">
        <f t="shared" si="21"/>
        <v>240</v>
      </c>
      <c r="W58" s="49">
        <f t="shared" si="22"/>
        <v>2.6149918376694656E-2</v>
      </c>
      <c r="X58" s="44">
        <f t="shared" si="23"/>
        <v>4914.7477168037967</v>
      </c>
      <c r="Y58" s="44">
        <f t="shared" si="24"/>
        <v>-166.5</v>
      </c>
      <c r="Z58" s="44">
        <f t="shared" si="25"/>
        <v>21909.7674262316</v>
      </c>
      <c r="AA58" s="50">
        <f t="shared" si="26"/>
        <v>18098.247716803795</v>
      </c>
      <c r="AB58" s="51">
        <f t="shared" si="27"/>
        <v>20482.160817268017</v>
      </c>
      <c r="AC58" s="44">
        <f t="shared" si="28"/>
        <v>16918.993845754692</v>
      </c>
      <c r="AD58" s="44">
        <f t="shared" si="29"/>
        <v>0</v>
      </c>
      <c r="AE58" s="44">
        <f t="shared" si="30"/>
        <v>0</v>
      </c>
      <c r="AF58" s="52">
        <f>HLOOKUP(I58,ElecAvoidedCostsWOCC!$A$5:$Q$50,G58+1,FALSE)</f>
        <v>1.3787827893853604</v>
      </c>
      <c r="AG58" s="44">
        <f t="shared" si="31"/>
        <v>31958.806275163268</v>
      </c>
      <c r="AH58" s="52">
        <f>HLOOKUP(I58,ElecAvoidedCostsWOCC!$A$5:$Q$50,T58+1,FALSE)</f>
        <v>1.3787827893853604</v>
      </c>
      <c r="AI58" s="44">
        <f t="shared" si="32"/>
        <v>0</v>
      </c>
      <c r="AJ58" s="44">
        <f t="shared" si="33"/>
        <v>31958.806275163268</v>
      </c>
      <c r="AK58" s="44">
        <f>HLOOKUP(I58,ElecAvoidedCostsWOCC!$A$5:$Q$50,G58+1,FALSE)*J58*L58</f>
        <v>0</v>
      </c>
      <c r="AL58" s="44">
        <f t="shared" si="34"/>
        <v>31958.806275163268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31958.806275163264</v>
      </c>
      <c r="AN58" s="48">
        <f t="shared" si="35"/>
        <v>35154.68690267959</v>
      </c>
      <c r="AO58" s="47">
        <f t="shared" si="36"/>
        <v>1.5603239599710379</v>
      </c>
      <c r="AP58" s="47">
        <f t="shared" si="37"/>
        <v>2.0778237301327818</v>
      </c>
      <c r="AQ58">
        <v>2020</v>
      </c>
    </row>
    <row r="59" spans="2:43">
      <c r="B59" s="97" t="s">
        <v>70</v>
      </c>
      <c r="C59" s="61">
        <v>18230524</v>
      </c>
      <c r="D59" s="61" t="s">
        <v>71</v>
      </c>
      <c r="E59" s="38" t="s">
        <v>2202</v>
      </c>
      <c r="F59" s="39" t="s">
        <v>2203</v>
      </c>
      <c r="G59" s="39">
        <v>15</v>
      </c>
      <c r="H59" s="39"/>
      <c r="I59" s="40" t="s">
        <v>261</v>
      </c>
      <c r="J59" s="41">
        <v>2</v>
      </c>
      <c r="K59" s="41">
        <v>603.5</v>
      </c>
      <c r="L59" s="41"/>
      <c r="M59" s="42">
        <v>300</v>
      </c>
      <c r="N59" s="42">
        <v>450</v>
      </c>
      <c r="O59" s="43">
        <v>1207</v>
      </c>
      <c r="P59" s="44">
        <v>600</v>
      </c>
      <c r="Q59" s="44">
        <v>147.07</v>
      </c>
      <c r="R59" s="45">
        <v>0</v>
      </c>
      <c r="S59" s="46">
        <v>0</v>
      </c>
      <c r="T59" s="39">
        <f t="shared" si="19"/>
        <v>15</v>
      </c>
      <c r="U59" s="47">
        <f t="shared" si="20"/>
        <v>2.0425569360630606E-2</v>
      </c>
      <c r="V59" s="48">
        <f t="shared" si="21"/>
        <v>150</v>
      </c>
      <c r="W59" s="49">
        <f t="shared" si="22"/>
        <v>1.3617046240420403E-3</v>
      </c>
      <c r="X59" s="44">
        <f t="shared" si="23"/>
        <v>255.92564365081253</v>
      </c>
      <c r="Y59" s="44">
        <f t="shared" si="24"/>
        <v>-452.93</v>
      </c>
      <c r="Z59" s="44">
        <f t="shared" si="25"/>
        <v>1140.9072558549353</v>
      </c>
      <c r="AA59" s="50">
        <f t="shared" si="26"/>
        <v>402.99564365081255</v>
      </c>
      <c r="AB59" s="51">
        <f t="shared" si="27"/>
        <v>1066.5675010329394</v>
      </c>
      <c r="AC59" s="44">
        <f t="shared" si="28"/>
        <v>376.737069880165</v>
      </c>
      <c r="AD59" s="44">
        <f t="shared" si="29"/>
        <v>0</v>
      </c>
      <c r="AE59" s="44">
        <f t="shared" si="30"/>
        <v>0</v>
      </c>
      <c r="AF59" s="52">
        <f>HLOOKUP(I59,ElecAvoidedCostsWOCC!$A$5:$Q$50,G59+1,FALSE)</f>
        <v>1.3787827893853604</v>
      </c>
      <c r="AG59" s="44">
        <f t="shared" si="31"/>
        <v>1664.1908267881299</v>
      </c>
      <c r="AH59" s="52">
        <f>HLOOKUP(I59,ElecAvoidedCostsWOCC!$A$5:$Q$50,T59+1,FALSE)</f>
        <v>1.3787827893853604</v>
      </c>
      <c r="AI59" s="44">
        <f t="shared" si="32"/>
        <v>0</v>
      </c>
      <c r="AJ59" s="44">
        <f t="shared" si="33"/>
        <v>1664.1908267881299</v>
      </c>
      <c r="AK59" s="44">
        <f>HLOOKUP(I59,ElecAvoidedCostsWOCC!$A$5:$Q$50,G59+1,FALSE)*J59*L59</f>
        <v>0</v>
      </c>
      <c r="AL59" s="44">
        <f t="shared" si="34"/>
        <v>1664.1908267881299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1664.1908267881299</v>
      </c>
      <c r="AN59" s="48">
        <f t="shared" si="35"/>
        <v>1830.609909466943</v>
      </c>
      <c r="AO59" s="47">
        <f t="shared" si="36"/>
        <v>1.5603239599710377</v>
      </c>
      <c r="AP59" s="47">
        <f t="shared" si="37"/>
        <v>4.8591180847938205</v>
      </c>
      <c r="AQ59">
        <v>2020</v>
      </c>
    </row>
    <row r="60" spans="2:43">
      <c r="B60" s="97" t="s">
        <v>70</v>
      </c>
      <c r="C60" s="61">
        <v>18230524</v>
      </c>
      <c r="D60" s="61" t="s">
        <v>71</v>
      </c>
      <c r="E60" s="38" t="s">
        <v>2204</v>
      </c>
      <c r="F60" s="39" t="s">
        <v>1297</v>
      </c>
      <c r="G60" s="39"/>
      <c r="H60" s="39"/>
      <c r="I60" s="40" t="s">
        <v>261</v>
      </c>
      <c r="J60" s="41">
        <v>36</v>
      </c>
      <c r="K60" s="41">
        <v>0</v>
      </c>
      <c r="L60" s="41"/>
      <c r="M60" s="42">
        <v>50</v>
      </c>
      <c r="N60" s="42">
        <v>50</v>
      </c>
      <c r="O60" s="43">
        <v>0</v>
      </c>
      <c r="P60" s="44">
        <v>1800</v>
      </c>
      <c r="Q60" s="44">
        <v>0</v>
      </c>
      <c r="R60" s="45">
        <v>0</v>
      </c>
      <c r="S60" s="46">
        <v>0</v>
      </c>
      <c r="T60" s="39">
        <f t="shared" ref="T60:T89" si="38">G60+H60</f>
        <v>0</v>
      </c>
      <c r="U60" s="47">
        <f t="shared" ref="U60:U89" si="39">(O60/$A$10)*T60</f>
        <v>0</v>
      </c>
      <c r="V60" s="48">
        <f t="shared" ref="V60:V89" si="40">N60-M60</f>
        <v>0</v>
      </c>
      <c r="W60" s="49">
        <f t="shared" ref="W60:W89" si="41">(O60/A$10)</f>
        <v>0</v>
      </c>
      <c r="X60" s="44">
        <f t="shared" ref="X60:X89" si="42">W60*A$8</f>
        <v>0</v>
      </c>
      <c r="Y60" s="44">
        <f t="shared" ref="Y60:Y89" si="43">Q60-P60</f>
        <v>-1800</v>
      </c>
      <c r="Z60" s="44">
        <f t="shared" ref="Z60:Z89" si="44">X60+(A$6*W60)</f>
        <v>0</v>
      </c>
      <c r="AA60" s="50">
        <f t="shared" ref="AA60:AA89" si="45">Q60+X60</f>
        <v>0</v>
      </c>
      <c r="AB60" s="51">
        <f t="shared" ref="AB60:AB89" si="46">Z60/(1+ElecDiscountRate)^1</f>
        <v>0</v>
      </c>
      <c r="AC60" s="44">
        <f t="shared" ref="AC60:AC89" si="47">AA60/(1+ElecDiscountRate)^1</f>
        <v>0</v>
      </c>
      <c r="AD60" s="44">
        <f t="shared" ref="AD60:AD89" si="48">-PV(ElecDiscountRate,T60,R60)*J60</f>
        <v>0</v>
      </c>
      <c r="AE60" s="44">
        <f t="shared" ref="AE60:AE89" si="49">-PV(ElecDiscountRate,T60,S60)*J60</f>
        <v>0</v>
      </c>
      <c r="AF60" s="52" t="str">
        <f>HLOOKUP(I60,ElecAvoidedCostsWOCC!$A$5:$Q$50,G60+1,FALSE)</f>
        <v>Comm Space Heat</v>
      </c>
      <c r="AG60" s="44" t="e">
        <f t="shared" ref="AG60:AG89" si="50">AF60*J60*K60</f>
        <v>#VALUE!</v>
      </c>
      <c r="AH60" s="52" t="str">
        <f>HLOOKUP(I60,ElecAvoidedCostsWOCC!$A$5:$Q$50,T60+1,FALSE)</f>
        <v>Comm Space Heat</v>
      </c>
      <c r="AI60" s="44" t="e">
        <f t="shared" ref="AI60:AI89" si="51">AH60*J60*L60</f>
        <v>#VALUE!</v>
      </c>
      <c r="AJ60" s="44" t="e">
        <f t="shared" ref="AJ60:AJ89" si="52">AG60+AI60</f>
        <v>#VALUE!</v>
      </c>
      <c r="AK60" s="44" t="e">
        <f>HLOOKUP(I60,ElecAvoidedCostsWOCC!$A$5:$Q$50,G60+1,FALSE)*J60*L60</f>
        <v>#VALUE!</v>
      </c>
      <c r="AL60" s="44" t="e">
        <f t="shared" ref="AL60:AL89" si="53">AG60+AI60-AK60</f>
        <v>#VALUE!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ref="AN60:AN89" si="54">AM60*1.1+AD60+AE60</f>
        <v>0</v>
      </c>
      <c r="AO60" s="47">
        <f t="shared" ref="AO60:AO89" si="55">IFERROR(AM60/AB60,0)</f>
        <v>0</v>
      </c>
      <c r="AP60" s="47" t="e">
        <f t="shared" ref="AP60:AP89" si="56">AN60/AC60</f>
        <v>#DIV/0!</v>
      </c>
      <c r="AQ60">
        <v>2020</v>
      </c>
    </row>
    <row r="61" spans="2:43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38"/>
        <v>0</v>
      </c>
      <c r="U61" s="47">
        <f t="shared" si="39"/>
        <v>0</v>
      </c>
      <c r="V61" s="48">
        <f t="shared" si="40"/>
        <v>0</v>
      </c>
      <c r="W61" s="49">
        <f t="shared" si="41"/>
        <v>0</v>
      </c>
      <c r="X61" s="44">
        <f t="shared" si="42"/>
        <v>0</v>
      </c>
      <c r="Y61" s="44">
        <f t="shared" si="43"/>
        <v>0</v>
      </c>
      <c r="Z61" s="44">
        <f t="shared" si="44"/>
        <v>0</v>
      </c>
      <c r="AA61" s="50">
        <f t="shared" si="45"/>
        <v>0</v>
      </c>
      <c r="AB61" s="51">
        <f t="shared" si="46"/>
        <v>0</v>
      </c>
      <c r="AC61" s="44">
        <f t="shared" si="47"/>
        <v>0</v>
      </c>
      <c r="AD61" s="44">
        <f t="shared" si="48"/>
        <v>0</v>
      </c>
      <c r="AE61" s="44">
        <f t="shared" si="49"/>
        <v>0</v>
      </c>
      <c r="AF61" s="52" t="e">
        <f>HLOOKUP(I61,ElecAvoidedCostsWOCC!$A$5:$Q$50,G61+1,FALSE)</f>
        <v>#N/A</v>
      </c>
      <c r="AG61" s="44" t="e">
        <f t="shared" si="50"/>
        <v>#N/A</v>
      </c>
      <c r="AH61" s="52" t="e">
        <f>HLOOKUP(I61,ElecAvoidedCostsWOCC!$A$5:$Q$50,T61+1,FALSE)</f>
        <v>#N/A</v>
      </c>
      <c r="AI61" s="44" t="e">
        <f t="shared" si="51"/>
        <v>#N/A</v>
      </c>
      <c r="AJ61" s="44" t="e">
        <f t="shared" si="52"/>
        <v>#N/A</v>
      </c>
      <c r="AK61" s="44" t="e">
        <f>HLOOKUP(I61,ElecAvoidedCostsWOCC!$A$5:$Q$50,G61+1,FALSE)*J61*L61</f>
        <v>#N/A</v>
      </c>
      <c r="AL61" s="44" t="e">
        <f t="shared" si="53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54"/>
        <v>0</v>
      </c>
      <c r="AO61" s="47">
        <f t="shared" si="55"/>
        <v>0</v>
      </c>
      <c r="AP61" s="47" t="e">
        <f t="shared" si="56"/>
        <v>#DIV/0!</v>
      </c>
    </row>
    <row r="62" spans="2:43">
      <c r="B62" s="9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8"/>
        <v>0</v>
      </c>
      <c r="U62" s="47">
        <f t="shared" si="39"/>
        <v>0</v>
      </c>
      <c r="V62" s="48">
        <f t="shared" si="40"/>
        <v>0</v>
      </c>
      <c r="W62" s="49">
        <f t="shared" si="41"/>
        <v>0</v>
      </c>
      <c r="X62" s="44">
        <f t="shared" si="42"/>
        <v>0</v>
      </c>
      <c r="Y62" s="44">
        <f t="shared" si="43"/>
        <v>0</v>
      </c>
      <c r="Z62" s="44">
        <f t="shared" si="44"/>
        <v>0</v>
      </c>
      <c r="AA62" s="50">
        <f t="shared" si="45"/>
        <v>0</v>
      </c>
      <c r="AB62" s="51">
        <f t="shared" si="46"/>
        <v>0</v>
      </c>
      <c r="AC62" s="44">
        <f t="shared" si="47"/>
        <v>0</v>
      </c>
      <c r="AD62" s="44">
        <f t="shared" si="48"/>
        <v>0</v>
      </c>
      <c r="AE62" s="44">
        <f t="shared" si="49"/>
        <v>0</v>
      </c>
      <c r="AF62" s="52" t="e">
        <f>HLOOKUP(I62,ElecAvoidedCostsWOCC!$A$5:$Q$50,G62+1,FALSE)</f>
        <v>#N/A</v>
      </c>
      <c r="AG62" s="44" t="e">
        <f t="shared" si="50"/>
        <v>#N/A</v>
      </c>
      <c r="AH62" s="52" t="e">
        <f>HLOOKUP(I62,ElecAvoidedCostsWOCC!$A$5:$Q$50,T62+1,FALSE)</f>
        <v>#N/A</v>
      </c>
      <c r="AI62" s="44" t="e">
        <f t="shared" si="51"/>
        <v>#N/A</v>
      </c>
      <c r="AJ62" s="44" t="e">
        <f t="shared" si="52"/>
        <v>#N/A</v>
      </c>
      <c r="AK62" s="44" t="e">
        <f>HLOOKUP(I62,ElecAvoidedCostsWOCC!$A$5:$Q$50,G62+1,FALSE)*J62*L62</f>
        <v>#N/A</v>
      </c>
      <c r="AL62" s="44" t="e">
        <f t="shared" si="53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4"/>
        <v>0</v>
      </c>
      <c r="AO62" s="47">
        <f t="shared" si="55"/>
        <v>0</v>
      </c>
      <c r="AP62" s="47" t="e">
        <f t="shared" si="56"/>
        <v>#DIV/0!</v>
      </c>
    </row>
    <row r="63" spans="2:43">
      <c r="B63" s="9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8"/>
        <v>0</v>
      </c>
      <c r="U63" s="47">
        <f t="shared" si="39"/>
        <v>0</v>
      </c>
      <c r="V63" s="48">
        <f t="shared" si="40"/>
        <v>0</v>
      </c>
      <c r="W63" s="49">
        <f t="shared" si="41"/>
        <v>0</v>
      </c>
      <c r="X63" s="44">
        <f t="shared" si="42"/>
        <v>0</v>
      </c>
      <c r="Y63" s="44">
        <f t="shared" si="43"/>
        <v>0</v>
      </c>
      <c r="Z63" s="44">
        <f t="shared" si="44"/>
        <v>0</v>
      </c>
      <c r="AA63" s="50">
        <f t="shared" si="45"/>
        <v>0</v>
      </c>
      <c r="AB63" s="51">
        <f t="shared" si="46"/>
        <v>0</v>
      </c>
      <c r="AC63" s="44">
        <f t="shared" si="47"/>
        <v>0</v>
      </c>
      <c r="AD63" s="44">
        <f t="shared" si="48"/>
        <v>0</v>
      </c>
      <c r="AE63" s="44">
        <f t="shared" si="49"/>
        <v>0</v>
      </c>
      <c r="AF63" s="52" t="e">
        <f>HLOOKUP(I63,ElecAvoidedCostsWOCC!$A$5:$Q$50,G63+1,FALSE)</f>
        <v>#N/A</v>
      </c>
      <c r="AG63" s="44" t="e">
        <f t="shared" si="50"/>
        <v>#N/A</v>
      </c>
      <c r="AH63" s="52" t="e">
        <f>HLOOKUP(I63,ElecAvoidedCostsWOCC!$A$5:$Q$50,T63+1,FALSE)</f>
        <v>#N/A</v>
      </c>
      <c r="AI63" s="44" t="e">
        <f t="shared" si="51"/>
        <v>#N/A</v>
      </c>
      <c r="AJ63" s="44" t="e">
        <f t="shared" si="52"/>
        <v>#N/A</v>
      </c>
      <c r="AK63" s="44" t="e">
        <f>HLOOKUP(I63,ElecAvoidedCostsWOCC!$A$5:$Q$50,G63+1,FALSE)*J63*L63</f>
        <v>#N/A</v>
      </c>
      <c r="AL63" s="44" t="e">
        <f t="shared" si="53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54"/>
        <v>0</v>
      </c>
      <c r="AO63" s="47">
        <f t="shared" si="55"/>
        <v>0</v>
      </c>
      <c r="AP63" s="47" t="e">
        <f t="shared" si="56"/>
        <v>#DIV/0!</v>
      </c>
    </row>
    <row r="64" spans="2:43">
      <c r="B64" s="9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8"/>
        <v>0</v>
      </c>
      <c r="U64" s="47">
        <f t="shared" si="39"/>
        <v>0</v>
      </c>
      <c r="V64" s="48">
        <f t="shared" si="40"/>
        <v>0</v>
      </c>
      <c r="W64" s="49">
        <f t="shared" si="41"/>
        <v>0</v>
      </c>
      <c r="X64" s="44">
        <f t="shared" si="42"/>
        <v>0</v>
      </c>
      <c r="Y64" s="44">
        <f t="shared" si="43"/>
        <v>0</v>
      </c>
      <c r="Z64" s="44">
        <f t="shared" si="44"/>
        <v>0</v>
      </c>
      <c r="AA64" s="50">
        <f t="shared" si="45"/>
        <v>0</v>
      </c>
      <c r="AB64" s="51">
        <f t="shared" si="46"/>
        <v>0</v>
      </c>
      <c r="AC64" s="44">
        <f t="shared" si="47"/>
        <v>0</v>
      </c>
      <c r="AD64" s="44">
        <f t="shared" si="48"/>
        <v>0</v>
      </c>
      <c r="AE64" s="44">
        <f t="shared" si="49"/>
        <v>0</v>
      </c>
      <c r="AF64" s="52" t="e">
        <f>HLOOKUP(I64,ElecAvoidedCostsWOCC!$A$5:$Q$50,G64+1,FALSE)</f>
        <v>#N/A</v>
      </c>
      <c r="AG64" s="44" t="e">
        <f t="shared" si="50"/>
        <v>#N/A</v>
      </c>
      <c r="AH64" s="52" t="e">
        <f>HLOOKUP(I64,ElecAvoidedCostsWOCC!$A$5:$Q$50,T64+1,FALSE)</f>
        <v>#N/A</v>
      </c>
      <c r="AI64" s="44" t="e">
        <f t="shared" si="51"/>
        <v>#N/A</v>
      </c>
      <c r="AJ64" s="44" t="e">
        <f t="shared" si="52"/>
        <v>#N/A</v>
      </c>
      <c r="AK64" s="44" t="e">
        <f>HLOOKUP(I64,ElecAvoidedCostsWOCC!$A$5:$Q$50,G64+1,FALSE)*J64*L64</f>
        <v>#N/A</v>
      </c>
      <c r="AL64" s="44" t="e">
        <f t="shared" si="53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54"/>
        <v>0</v>
      </c>
      <c r="AO64" s="47">
        <f t="shared" si="55"/>
        <v>0</v>
      </c>
      <c r="AP64" s="47" t="e">
        <f t="shared" si="56"/>
        <v>#DIV/0!</v>
      </c>
    </row>
    <row r="65" spans="2:42">
      <c r="B65" s="9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38"/>
        <v>0</v>
      </c>
      <c r="U65" s="47">
        <f t="shared" si="39"/>
        <v>0</v>
      </c>
      <c r="V65" s="48">
        <f t="shared" si="40"/>
        <v>0</v>
      </c>
      <c r="W65" s="49">
        <f t="shared" si="41"/>
        <v>0</v>
      </c>
      <c r="X65" s="44">
        <f t="shared" si="42"/>
        <v>0</v>
      </c>
      <c r="Y65" s="44">
        <f t="shared" si="43"/>
        <v>0</v>
      </c>
      <c r="Z65" s="44">
        <f t="shared" si="44"/>
        <v>0</v>
      </c>
      <c r="AA65" s="50">
        <f t="shared" si="45"/>
        <v>0</v>
      </c>
      <c r="AB65" s="51">
        <f t="shared" si="46"/>
        <v>0</v>
      </c>
      <c r="AC65" s="44">
        <f t="shared" si="47"/>
        <v>0</v>
      </c>
      <c r="AD65" s="44">
        <f t="shared" si="48"/>
        <v>0</v>
      </c>
      <c r="AE65" s="44">
        <f t="shared" si="49"/>
        <v>0</v>
      </c>
      <c r="AF65" s="52" t="e">
        <f>HLOOKUP(I65,ElecAvoidedCostsWOCC!$A$5:$Q$50,G65+1,FALSE)</f>
        <v>#N/A</v>
      </c>
      <c r="AG65" s="44" t="e">
        <f t="shared" si="50"/>
        <v>#N/A</v>
      </c>
      <c r="AH65" s="52" t="e">
        <f>HLOOKUP(I65,ElecAvoidedCostsWOCC!$A$5:$Q$50,T65+1,FALSE)</f>
        <v>#N/A</v>
      </c>
      <c r="AI65" s="44" t="e">
        <f t="shared" si="51"/>
        <v>#N/A</v>
      </c>
      <c r="AJ65" s="44" t="e">
        <f t="shared" si="52"/>
        <v>#N/A</v>
      </c>
      <c r="AK65" s="44" t="e">
        <f>HLOOKUP(I65,ElecAvoidedCostsWOCC!$A$5:$Q$50,G65+1,FALSE)*J65*L65</f>
        <v>#N/A</v>
      </c>
      <c r="AL65" s="44" t="e">
        <f t="shared" si="53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54"/>
        <v>0</v>
      </c>
      <c r="AO65" s="47">
        <f t="shared" si="55"/>
        <v>0</v>
      </c>
      <c r="AP65" s="47" t="e">
        <f t="shared" si="56"/>
        <v>#DIV/0!</v>
      </c>
    </row>
    <row r="66" spans="2:42">
      <c r="B66" s="9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38"/>
        <v>0</v>
      </c>
      <c r="U66" s="47">
        <f t="shared" si="39"/>
        <v>0</v>
      </c>
      <c r="V66" s="48">
        <f t="shared" si="40"/>
        <v>0</v>
      </c>
      <c r="W66" s="49">
        <f t="shared" si="41"/>
        <v>0</v>
      </c>
      <c r="X66" s="44">
        <f t="shared" si="42"/>
        <v>0</v>
      </c>
      <c r="Y66" s="44">
        <f t="shared" si="43"/>
        <v>0</v>
      </c>
      <c r="Z66" s="44">
        <f t="shared" si="44"/>
        <v>0</v>
      </c>
      <c r="AA66" s="50">
        <f t="shared" si="45"/>
        <v>0</v>
      </c>
      <c r="AB66" s="51">
        <f t="shared" si="46"/>
        <v>0</v>
      </c>
      <c r="AC66" s="44">
        <f t="shared" si="47"/>
        <v>0</v>
      </c>
      <c r="AD66" s="44">
        <f t="shared" si="48"/>
        <v>0</v>
      </c>
      <c r="AE66" s="44">
        <f t="shared" si="49"/>
        <v>0</v>
      </c>
      <c r="AF66" s="52" t="e">
        <f>HLOOKUP(I66,ElecAvoidedCostsWOCC!$A$5:$Q$50,G66+1,FALSE)</f>
        <v>#N/A</v>
      </c>
      <c r="AG66" s="44" t="e">
        <f t="shared" si="50"/>
        <v>#N/A</v>
      </c>
      <c r="AH66" s="52" t="e">
        <f>HLOOKUP(I66,ElecAvoidedCostsWOCC!$A$5:$Q$50,T66+1,FALSE)</f>
        <v>#N/A</v>
      </c>
      <c r="AI66" s="44" t="e">
        <f t="shared" si="51"/>
        <v>#N/A</v>
      </c>
      <c r="AJ66" s="44" t="e">
        <f t="shared" si="52"/>
        <v>#N/A</v>
      </c>
      <c r="AK66" s="44" t="e">
        <f>HLOOKUP(I66,ElecAvoidedCostsWOCC!$A$5:$Q$50,G66+1,FALSE)*J66*L66</f>
        <v>#N/A</v>
      </c>
      <c r="AL66" s="44" t="e">
        <f t="shared" si="53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54"/>
        <v>0</v>
      </c>
      <c r="AO66" s="47">
        <f t="shared" si="55"/>
        <v>0</v>
      </c>
      <c r="AP66" s="47" t="e">
        <f t="shared" si="56"/>
        <v>#DIV/0!</v>
      </c>
    </row>
    <row r="67" spans="2:42">
      <c r="B67" s="9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38"/>
        <v>0</v>
      </c>
      <c r="U67" s="47">
        <f t="shared" si="39"/>
        <v>0</v>
      </c>
      <c r="V67" s="48">
        <f t="shared" si="40"/>
        <v>0</v>
      </c>
      <c r="W67" s="49">
        <f t="shared" si="41"/>
        <v>0</v>
      </c>
      <c r="X67" s="44">
        <f t="shared" si="42"/>
        <v>0</v>
      </c>
      <c r="Y67" s="44">
        <f t="shared" si="43"/>
        <v>0</v>
      </c>
      <c r="Z67" s="44">
        <f t="shared" si="44"/>
        <v>0</v>
      </c>
      <c r="AA67" s="50">
        <f t="shared" si="45"/>
        <v>0</v>
      </c>
      <c r="AB67" s="51">
        <f t="shared" si="46"/>
        <v>0</v>
      </c>
      <c r="AC67" s="44">
        <f t="shared" si="47"/>
        <v>0</v>
      </c>
      <c r="AD67" s="44">
        <f t="shared" si="48"/>
        <v>0</v>
      </c>
      <c r="AE67" s="44">
        <f t="shared" si="49"/>
        <v>0</v>
      </c>
      <c r="AF67" s="52" t="e">
        <f>HLOOKUP(I67,ElecAvoidedCostsWOCC!$A$5:$Q$50,G67+1,FALSE)</f>
        <v>#N/A</v>
      </c>
      <c r="AG67" s="44" t="e">
        <f t="shared" si="50"/>
        <v>#N/A</v>
      </c>
      <c r="AH67" s="52" t="e">
        <f>HLOOKUP(I67,ElecAvoidedCostsWOCC!$A$5:$Q$50,T67+1,FALSE)</f>
        <v>#N/A</v>
      </c>
      <c r="AI67" s="44" t="e">
        <f t="shared" si="51"/>
        <v>#N/A</v>
      </c>
      <c r="AJ67" s="44" t="e">
        <f t="shared" si="52"/>
        <v>#N/A</v>
      </c>
      <c r="AK67" s="44" t="e">
        <f>HLOOKUP(I67,ElecAvoidedCostsWOCC!$A$5:$Q$50,G67+1,FALSE)*J67*L67</f>
        <v>#N/A</v>
      </c>
      <c r="AL67" s="44" t="e">
        <f t="shared" si="53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54"/>
        <v>0</v>
      </c>
      <c r="AO67" s="47">
        <f t="shared" si="55"/>
        <v>0</v>
      </c>
      <c r="AP67" s="47" t="e">
        <f t="shared" si="56"/>
        <v>#DIV/0!</v>
      </c>
    </row>
    <row r="68" spans="2:42">
      <c r="B68" s="9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8"/>
        <v>0</v>
      </c>
      <c r="U68" s="47">
        <f t="shared" si="39"/>
        <v>0</v>
      </c>
      <c r="V68" s="48">
        <f t="shared" si="40"/>
        <v>0</v>
      </c>
      <c r="W68" s="49">
        <f t="shared" si="41"/>
        <v>0</v>
      </c>
      <c r="X68" s="44">
        <f t="shared" si="42"/>
        <v>0</v>
      </c>
      <c r="Y68" s="44">
        <f t="shared" si="43"/>
        <v>0</v>
      </c>
      <c r="Z68" s="44">
        <f t="shared" si="44"/>
        <v>0</v>
      </c>
      <c r="AA68" s="50">
        <f t="shared" si="45"/>
        <v>0</v>
      </c>
      <c r="AB68" s="51">
        <f t="shared" si="46"/>
        <v>0</v>
      </c>
      <c r="AC68" s="44">
        <f t="shared" si="47"/>
        <v>0</v>
      </c>
      <c r="AD68" s="44">
        <f t="shared" si="48"/>
        <v>0</v>
      </c>
      <c r="AE68" s="44">
        <f t="shared" si="49"/>
        <v>0</v>
      </c>
      <c r="AF68" s="52" t="e">
        <f>HLOOKUP(I68,ElecAvoidedCostsWOCC!$A$5:$Q$50,G68+1,FALSE)</f>
        <v>#N/A</v>
      </c>
      <c r="AG68" s="44" t="e">
        <f t="shared" si="50"/>
        <v>#N/A</v>
      </c>
      <c r="AH68" s="52" t="e">
        <f>HLOOKUP(I68,ElecAvoidedCostsWOCC!$A$5:$Q$50,T68+1,FALSE)</f>
        <v>#N/A</v>
      </c>
      <c r="AI68" s="44" t="e">
        <f t="shared" si="51"/>
        <v>#N/A</v>
      </c>
      <c r="AJ68" s="44" t="e">
        <f t="shared" si="52"/>
        <v>#N/A</v>
      </c>
      <c r="AK68" s="44" t="e">
        <f>HLOOKUP(I68,ElecAvoidedCostsWOCC!$A$5:$Q$50,G68+1,FALSE)*J68*L68</f>
        <v>#N/A</v>
      </c>
      <c r="AL68" s="44" t="e">
        <f t="shared" si="53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54"/>
        <v>0</v>
      </c>
      <c r="AO68" s="47">
        <f t="shared" si="55"/>
        <v>0</v>
      </c>
      <c r="AP68" s="47" t="e">
        <f t="shared" si="56"/>
        <v>#DIV/0!</v>
      </c>
    </row>
    <row r="69" spans="2:42">
      <c r="B69" s="9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8"/>
        <v>0</v>
      </c>
      <c r="U69" s="47">
        <f t="shared" si="39"/>
        <v>0</v>
      </c>
      <c r="V69" s="48">
        <f t="shared" si="40"/>
        <v>0</v>
      </c>
      <c r="W69" s="49">
        <f t="shared" si="41"/>
        <v>0</v>
      </c>
      <c r="X69" s="44">
        <f t="shared" si="42"/>
        <v>0</v>
      </c>
      <c r="Y69" s="44">
        <f t="shared" si="43"/>
        <v>0</v>
      </c>
      <c r="Z69" s="44">
        <f t="shared" si="44"/>
        <v>0</v>
      </c>
      <c r="AA69" s="50">
        <f t="shared" si="45"/>
        <v>0</v>
      </c>
      <c r="AB69" s="51">
        <f t="shared" si="46"/>
        <v>0</v>
      </c>
      <c r="AC69" s="44">
        <f t="shared" si="47"/>
        <v>0</v>
      </c>
      <c r="AD69" s="44">
        <f t="shared" si="48"/>
        <v>0</v>
      </c>
      <c r="AE69" s="44">
        <f t="shared" si="49"/>
        <v>0</v>
      </c>
      <c r="AF69" s="52" t="e">
        <f>HLOOKUP(I69,ElecAvoidedCostsWOCC!$A$5:$Q$50,G69+1,FALSE)</f>
        <v>#N/A</v>
      </c>
      <c r="AG69" s="44" t="e">
        <f t="shared" si="50"/>
        <v>#N/A</v>
      </c>
      <c r="AH69" s="52" t="e">
        <f>HLOOKUP(I69,ElecAvoidedCostsWOCC!$A$5:$Q$50,T69+1,FALSE)</f>
        <v>#N/A</v>
      </c>
      <c r="AI69" s="44" t="e">
        <f t="shared" si="51"/>
        <v>#N/A</v>
      </c>
      <c r="AJ69" s="44" t="e">
        <f t="shared" si="52"/>
        <v>#N/A</v>
      </c>
      <c r="AK69" s="44" t="e">
        <f>HLOOKUP(I69,ElecAvoidedCostsWOCC!$A$5:$Q$50,G69+1,FALSE)*J69*L69</f>
        <v>#N/A</v>
      </c>
      <c r="AL69" s="44" t="e">
        <f t="shared" si="53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54"/>
        <v>0</v>
      </c>
      <c r="AO69" s="47">
        <f t="shared" si="55"/>
        <v>0</v>
      </c>
      <c r="AP69" s="47" t="e">
        <f t="shared" si="56"/>
        <v>#DIV/0!</v>
      </c>
    </row>
    <row r="70" spans="2:42">
      <c r="B70" s="9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8"/>
        <v>0</v>
      </c>
      <c r="U70" s="47">
        <f t="shared" si="39"/>
        <v>0</v>
      </c>
      <c r="V70" s="48">
        <f t="shared" si="40"/>
        <v>0</v>
      </c>
      <c r="W70" s="49">
        <f t="shared" si="41"/>
        <v>0</v>
      </c>
      <c r="X70" s="44">
        <f t="shared" si="42"/>
        <v>0</v>
      </c>
      <c r="Y70" s="44">
        <f t="shared" si="43"/>
        <v>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HLOOKUP(I70,ElecAvoidedCostsWOCC!$A$5:$Q$50,G70+1,FALSE)</f>
        <v>#N/A</v>
      </c>
      <c r="AG70" s="44" t="e">
        <f t="shared" si="50"/>
        <v>#N/A</v>
      </c>
      <c r="AH70" s="52" t="e">
        <f>HLOOKUP(I70,ElecAvoidedCostsWOCC!$A$5:$Q$50,T70+1,FALSE)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HLOOKUP(I70,ElecAvoidedCostsWOCC!$A$5:$Q$50,G70+1,FALSE)*J70*L70</f>
        <v>#N/A</v>
      </c>
      <c r="AL70" s="44" t="e">
        <f t="shared" si="53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2">
      <c r="B71" s="9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8"/>
        <v>0</v>
      </c>
      <c r="U71" s="47">
        <f t="shared" si="39"/>
        <v>0</v>
      </c>
      <c r="V71" s="48">
        <f t="shared" si="40"/>
        <v>0</v>
      </c>
      <c r="W71" s="49">
        <f t="shared" si="41"/>
        <v>0</v>
      </c>
      <c r="X71" s="44">
        <f t="shared" si="42"/>
        <v>0</v>
      </c>
      <c r="Y71" s="44">
        <f t="shared" si="43"/>
        <v>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e">
        <f>HLOOKUP(I71,ElecAvoidedCostsWOCC!$A$5:$Q$50,G71+1,FALSE)</f>
        <v>#N/A</v>
      </c>
      <c r="AG71" s="44" t="e">
        <f t="shared" si="50"/>
        <v>#N/A</v>
      </c>
      <c r="AH71" s="52" t="e">
        <f>HLOOKUP(I71,ElecAvoidedCostsWOCC!$A$5:$Q$50,T71+1,FALSE)</f>
        <v>#N/A</v>
      </c>
      <c r="AI71" s="44" t="e">
        <f t="shared" si="51"/>
        <v>#N/A</v>
      </c>
      <c r="AJ71" s="44" t="e">
        <f t="shared" si="52"/>
        <v>#N/A</v>
      </c>
      <c r="AK71" s="44" t="e">
        <f>HLOOKUP(I71,ElecAvoidedCostsWOCC!$A$5:$Q$50,G71+1,FALSE)*J71*L71</f>
        <v>#N/A</v>
      </c>
      <c r="AL71" s="44" t="e">
        <f t="shared" si="53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2">
      <c r="B72" s="9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HLOOKUP(I72,ElecAvoidedCostsWOCC!$A$5:$Q$50,G72+1,FALSE)</f>
        <v>#N/A</v>
      </c>
      <c r="AG72" s="44" t="e">
        <f t="shared" si="50"/>
        <v>#N/A</v>
      </c>
      <c r="AH72" s="52" t="e">
        <f>HLOOKUP(I72,ElecAvoidedCostsWOCC!$A$5:$Q$50,T72+1,FALSE)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HLOOKUP(I72,ElecAvoidedCostsWOCC!$A$5:$Q$50,G72+1,FALSE)*J72*L72</f>
        <v>#N/A</v>
      </c>
      <c r="AL72" s="44" t="e">
        <f t="shared" si="53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2">
      <c r="B73" s="9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e">
        <f>HLOOKUP(I73,ElecAvoidedCostsWOCC!$A$5:$Q$50,G73+1,FALSE)</f>
        <v>#N/A</v>
      </c>
      <c r="AG73" s="44" t="e">
        <f t="shared" si="50"/>
        <v>#N/A</v>
      </c>
      <c r="AH73" s="52" t="e">
        <f>HLOOKUP(I73,ElecAvoidedCostsWOCC!$A$5:$Q$50,T73+1,FALSE)</f>
        <v>#N/A</v>
      </c>
      <c r="AI73" s="44" t="e">
        <f t="shared" si="51"/>
        <v>#N/A</v>
      </c>
      <c r="AJ73" s="44" t="e">
        <f t="shared" si="52"/>
        <v>#N/A</v>
      </c>
      <c r="AK73" s="44" t="e">
        <f>HLOOKUP(I73,ElecAvoidedCostsWOCC!$A$5:$Q$50,G73+1,FALSE)*J73*L73</f>
        <v>#N/A</v>
      </c>
      <c r="AL73" s="44" t="e">
        <f t="shared" si="53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2">
      <c r="B74" s="9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8"/>
        <v>0</v>
      </c>
      <c r="U74" s="47">
        <f t="shared" si="39"/>
        <v>0</v>
      </c>
      <c r="V74" s="48">
        <f t="shared" si="40"/>
        <v>0</v>
      </c>
      <c r="W74" s="49">
        <f t="shared" si="41"/>
        <v>0</v>
      </c>
      <c r="X74" s="44">
        <f t="shared" si="42"/>
        <v>0</v>
      </c>
      <c r="Y74" s="44">
        <f t="shared" si="43"/>
        <v>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HLOOKUP(I74,ElecAvoidedCostsWOCC!$A$5:$Q$50,G74+1,FALSE)</f>
        <v>#N/A</v>
      </c>
      <c r="AG74" s="44" t="e">
        <f t="shared" si="50"/>
        <v>#N/A</v>
      </c>
      <c r="AH74" s="52" t="e">
        <f>HLOOKUP(I74,ElecAvoidedCostsWOCC!$A$5:$Q$50,T74+1,FALSE)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HLOOKUP(I74,ElecAvoidedCostsWOCC!$A$5:$Q$50,G74+1,FALSE)*J74*L74</f>
        <v>#N/A</v>
      </c>
      <c r="AL74" s="44" t="e">
        <f t="shared" si="53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2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8"/>
        <v>0</v>
      </c>
      <c r="U75" s="47">
        <f t="shared" si="39"/>
        <v>0</v>
      </c>
      <c r="V75" s="48">
        <f t="shared" si="40"/>
        <v>0</v>
      </c>
      <c r="W75" s="49">
        <f t="shared" si="41"/>
        <v>0</v>
      </c>
      <c r="X75" s="44">
        <f t="shared" si="42"/>
        <v>0</v>
      </c>
      <c r="Y75" s="44">
        <f t="shared" si="43"/>
        <v>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e">
        <f>HLOOKUP(I75,ElecAvoidedCostsWOCC!$A$5:$Q$50,G75+1,FALSE)</f>
        <v>#N/A</v>
      </c>
      <c r="AG75" s="44" t="e">
        <f t="shared" si="50"/>
        <v>#N/A</v>
      </c>
      <c r="AH75" s="52" t="e">
        <f>HLOOKUP(I75,ElecAvoidedCostsWOCC!$A$5:$Q$50,T75+1,FALSE)</f>
        <v>#N/A</v>
      </c>
      <c r="AI75" s="44" t="e">
        <f t="shared" si="51"/>
        <v>#N/A</v>
      </c>
      <c r="AJ75" s="44" t="e">
        <f t="shared" si="52"/>
        <v>#N/A</v>
      </c>
      <c r="AK75" s="44" t="e">
        <f>HLOOKUP(I75,ElecAvoidedCostsWOCC!$A$5:$Q$50,G75+1,FALSE)*J75*L75</f>
        <v>#N/A</v>
      </c>
      <c r="AL75" s="44" t="e">
        <f t="shared" si="53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2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HLOOKUP(I76,ElecAvoidedCostsWOCC!$A$5:$Q$50,G76+1,FALSE)</f>
        <v>#N/A</v>
      </c>
      <c r="AG76" s="44" t="e">
        <f t="shared" si="50"/>
        <v>#N/A</v>
      </c>
      <c r="AH76" s="52" t="e">
        <f>HLOOKUP(I76,ElecAvoidedCostsWOCC!$A$5:$Q$50,T76+1,FALSE)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HLOOKUP(I76,ElecAvoidedCostsWOCC!$A$5:$Q$50,G76+1,FALSE)*J76*L76</f>
        <v>#N/A</v>
      </c>
      <c r="AL76" s="44" t="e">
        <f t="shared" si="53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2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e">
        <f>HLOOKUP(I77,ElecAvoidedCostsWOCC!$A$5:$Q$50,G77+1,FALSE)</f>
        <v>#N/A</v>
      </c>
      <c r="AG77" s="44" t="e">
        <f t="shared" si="50"/>
        <v>#N/A</v>
      </c>
      <c r="AH77" s="52" t="e">
        <f>HLOOKUP(I77,ElecAvoidedCostsWOCC!$A$5:$Q$50,T77+1,FALSE)</f>
        <v>#N/A</v>
      </c>
      <c r="AI77" s="44" t="e">
        <f t="shared" si="51"/>
        <v>#N/A</v>
      </c>
      <c r="AJ77" s="44" t="e">
        <f t="shared" si="52"/>
        <v>#N/A</v>
      </c>
      <c r="AK77" s="44" t="e">
        <f>HLOOKUP(I77,ElecAvoidedCostsWOCC!$A$5:$Q$50,G77+1,FALSE)*J77*L77</f>
        <v>#N/A</v>
      </c>
      <c r="AL77" s="44" t="e">
        <f t="shared" si="53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8"/>
        <v>0</v>
      </c>
      <c r="U78" s="47">
        <f t="shared" si="39"/>
        <v>0</v>
      </c>
      <c r="V78" s="48">
        <f t="shared" si="40"/>
        <v>0</v>
      </c>
      <c r="W78" s="49">
        <f t="shared" si="41"/>
        <v>0</v>
      </c>
      <c r="X78" s="44">
        <f t="shared" si="42"/>
        <v>0</v>
      </c>
      <c r="Y78" s="44">
        <f t="shared" si="43"/>
        <v>0</v>
      </c>
      <c r="Z78" s="44">
        <f t="shared" si="44"/>
        <v>0</v>
      </c>
      <c r="AA78" s="50">
        <f t="shared" si="45"/>
        <v>0</v>
      </c>
      <c r="AB78" s="51">
        <f t="shared" si="46"/>
        <v>0</v>
      </c>
      <c r="AC78" s="44">
        <f t="shared" si="47"/>
        <v>0</v>
      </c>
      <c r="AD78" s="44">
        <f t="shared" si="48"/>
        <v>0</v>
      </c>
      <c r="AE78" s="44">
        <f t="shared" si="49"/>
        <v>0</v>
      </c>
      <c r="AF78" s="52" t="e">
        <f>HLOOKUP(I78,ElecAvoidedCostsWOCC!$A$5:$Q$50,G78+1,FALSE)</f>
        <v>#N/A</v>
      </c>
      <c r="AG78" s="44" t="e">
        <f t="shared" si="50"/>
        <v>#N/A</v>
      </c>
      <c r="AH78" s="52" t="e">
        <f>HLOOKUP(I78,ElecAvoidedCostsWOCC!$A$5:$Q$50,T78+1,FALSE)</f>
        <v>#N/A</v>
      </c>
      <c r="AI78" s="44" t="e">
        <f t="shared" si="51"/>
        <v>#N/A</v>
      </c>
      <c r="AJ78" s="44" t="e">
        <f t="shared" si="52"/>
        <v>#N/A</v>
      </c>
      <c r="AK78" s="44" t="e">
        <f>HLOOKUP(I78,ElecAvoidedCostsWOCC!$A$5:$Q$50,G78+1,FALSE)*J78*L78</f>
        <v>#N/A</v>
      </c>
      <c r="AL78" s="44" t="e">
        <f t="shared" si="53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54"/>
        <v>0</v>
      </c>
      <c r="AO78" s="47">
        <f t="shared" si="55"/>
        <v>0</v>
      </c>
      <c r="AP78" s="47" t="e">
        <f t="shared" si="56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8"/>
        <v>0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 t="e">
        <f>HLOOKUP(I79,ElecAvoidedCostsWOCC!$A$5:$Q$50,G79+1,FALSE)</f>
        <v>#N/A</v>
      </c>
      <c r="AG79" s="44" t="e">
        <f t="shared" si="50"/>
        <v>#N/A</v>
      </c>
      <c r="AH79" s="52" t="e">
        <f>HLOOKUP(I79,ElecAvoidedCostsWOCC!$A$5:$Q$50,T79+1,FALSE)</f>
        <v>#N/A</v>
      </c>
      <c r="AI79" s="44" t="e">
        <f t="shared" si="51"/>
        <v>#N/A</v>
      </c>
      <c r="AJ79" s="44" t="e">
        <f t="shared" si="52"/>
        <v>#N/A</v>
      </c>
      <c r="AK79" s="44" t="e">
        <f>HLOOKUP(I79,ElecAvoidedCostsWOCC!$A$5:$Q$50,G79+1,FALSE)*J79*L79</f>
        <v>#N/A</v>
      </c>
      <c r="AL79" s="44" t="e">
        <f t="shared" si="53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8"/>
        <v>0</v>
      </c>
      <c r="U80" s="47">
        <f t="shared" si="39"/>
        <v>0</v>
      </c>
      <c r="V80" s="48">
        <f t="shared" si="40"/>
        <v>0</v>
      </c>
      <c r="W80" s="49">
        <f t="shared" si="41"/>
        <v>0</v>
      </c>
      <c r="X80" s="44">
        <f t="shared" si="42"/>
        <v>0</v>
      </c>
      <c r="Y80" s="44">
        <f t="shared" si="43"/>
        <v>0</v>
      </c>
      <c r="Z80" s="44">
        <f t="shared" si="44"/>
        <v>0</v>
      </c>
      <c r="AA80" s="50">
        <f t="shared" si="45"/>
        <v>0</v>
      </c>
      <c r="AB80" s="51">
        <f t="shared" si="46"/>
        <v>0</v>
      </c>
      <c r="AC80" s="44">
        <f t="shared" si="47"/>
        <v>0</v>
      </c>
      <c r="AD80" s="44">
        <f t="shared" si="48"/>
        <v>0</v>
      </c>
      <c r="AE80" s="44">
        <f t="shared" si="49"/>
        <v>0</v>
      </c>
      <c r="AF80" s="52" t="e">
        <f>HLOOKUP(I80,ElecAvoidedCostsWOCC!$A$5:$Q$50,G80+1,FALSE)</f>
        <v>#N/A</v>
      </c>
      <c r="AG80" s="44" t="e">
        <f t="shared" si="50"/>
        <v>#N/A</v>
      </c>
      <c r="AH80" s="52" t="e">
        <f>HLOOKUP(I80,ElecAvoidedCostsWOCC!$A$5:$Q$50,T80+1,FALSE)</f>
        <v>#N/A</v>
      </c>
      <c r="AI80" s="44" t="e">
        <f t="shared" si="51"/>
        <v>#N/A</v>
      </c>
      <c r="AJ80" s="44" t="e">
        <f t="shared" si="52"/>
        <v>#N/A</v>
      </c>
      <c r="AK80" s="44" t="e">
        <f>HLOOKUP(I80,ElecAvoidedCostsWOCC!$A$5:$Q$50,G80+1,FALSE)*J80*L80</f>
        <v>#N/A</v>
      </c>
      <c r="AL80" s="44" t="e">
        <f t="shared" si="53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54"/>
        <v>0</v>
      </c>
      <c r="AO80" s="47">
        <f t="shared" si="55"/>
        <v>0</v>
      </c>
      <c r="AP80" s="47" t="e">
        <f t="shared" si="56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8"/>
        <v>0</v>
      </c>
      <c r="U81" s="47">
        <f t="shared" si="39"/>
        <v>0</v>
      </c>
      <c r="V81" s="48">
        <f t="shared" si="40"/>
        <v>0</v>
      </c>
      <c r="W81" s="49">
        <f t="shared" si="41"/>
        <v>0</v>
      </c>
      <c r="X81" s="44">
        <f t="shared" si="42"/>
        <v>0</v>
      </c>
      <c r="Y81" s="44">
        <f t="shared" si="43"/>
        <v>0</v>
      </c>
      <c r="Z81" s="44">
        <f t="shared" si="44"/>
        <v>0</v>
      </c>
      <c r="AA81" s="50">
        <f t="shared" si="45"/>
        <v>0</v>
      </c>
      <c r="AB81" s="51">
        <f t="shared" si="46"/>
        <v>0</v>
      </c>
      <c r="AC81" s="44">
        <f t="shared" si="47"/>
        <v>0</v>
      </c>
      <c r="AD81" s="44">
        <f t="shared" si="48"/>
        <v>0</v>
      </c>
      <c r="AE81" s="44">
        <f t="shared" si="49"/>
        <v>0</v>
      </c>
      <c r="AF81" s="52" t="e">
        <f>HLOOKUP(I81,ElecAvoidedCostsWOCC!$A$5:$Q$50,G81+1,FALSE)</f>
        <v>#N/A</v>
      </c>
      <c r="AG81" s="44" t="e">
        <f t="shared" si="50"/>
        <v>#N/A</v>
      </c>
      <c r="AH81" s="52" t="e">
        <f>HLOOKUP(I81,ElecAvoidedCostsWOCC!$A$5:$Q$50,T81+1,FALSE)</f>
        <v>#N/A</v>
      </c>
      <c r="AI81" s="44" t="e">
        <f t="shared" si="51"/>
        <v>#N/A</v>
      </c>
      <c r="AJ81" s="44" t="e">
        <f t="shared" si="52"/>
        <v>#N/A</v>
      </c>
      <c r="AK81" s="44" t="e">
        <f>HLOOKUP(I81,ElecAvoidedCostsWOCC!$A$5:$Q$50,G81+1,FALSE)*J81*L81</f>
        <v>#N/A</v>
      </c>
      <c r="AL81" s="44" t="e">
        <f t="shared" si="53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4"/>
        <v>0</v>
      </c>
      <c r="AO81" s="47">
        <f t="shared" si="55"/>
        <v>0</v>
      </c>
      <c r="AP81" s="47" t="e">
        <f t="shared" si="56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8"/>
        <v>0</v>
      </c>
      <c r="U82" s="47">
        <f t="shared" si="39"/>
        <v>0</v>
      </c>
      <c r="V82" s="48">
        <f t="shared" si="40"/>
        <v>0</v>
      </c>
      <c r="W82" s="49">
        <f t="shared" si="41"/>
        <v>0</v>
      </c>
      <c r="X82" s="44">
        <f t="shared" si="42"/>
        <v>0</v>
      </c>
      <c r="Y82" s="44">
        <f t="shared" si="43"/>
        <v>0</v>
      </c>
      <c r="Z82" s="44">
        <f t="shared" si="44"/>
        <v>0</v>
      </c>
      <c r="AA82" s="50">
        <f t="shared" si="45"/>
        <v>0</v>
      </c>
      <c r="AB82" s="51">
        <f t="shared" si="46"/>
        <v>0</v>
      </c>
      <c r="AC82" s="44">
        <f t="shared" si="47"/>
        <v>0</v>
      </c>
      <c r="AD82" s="44">
        <f t="shared" si="48"/>
        <v>0</v>
      </c>
      <c r="AE82" s="44">
        <f t="shared" si="49"/>
        <v>0</v>
      </c>
      <c r="AF82" s="52" t="e">
        <f>HLOOKUP(I82,ElecAvoidedCostsWOCC!$A$5:$Q$50,G82+1,FALSE)</f>
        <v>#N/A</v>
      </c>
      <c r="AG82" s="44" t="e">
        <f t="shared" si="50"/>
        <v>#N/A</v>
      </c>
      <c r="AH82" s="52" t="e">
        <f>HLOOKUP(I82,ElecAvoidedCostsWOCC!$A$5:$Q$50,T82+1,FALSE)</f>
        <v>#N/A</v>
      </c>
      <c r="AI82" s="44" t="e">
        <f t="shared" si="51"/>
        <v>#N/A</v>
      </c>
      <c r="AJ82" s="44" t="e">
        <f t="shared" si="52"/>
        <v>#N/A</v>
      </c>
      <c r="AK82" s="44" t="e">
        <f>HLOOKUP(I82,ElecAvoidedCostsWOCC!$A$5:$Q$50,G82+1,FALSE)*J82*L82</f>
        <v>#N/A</v>
      </c>
      <c r="AL82" s="44" t="e">
        <f t="shared" si="53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54"/>
        <v>0</v>
      </c>
      <c r="AO82" s="47">
        <f t="shared" si="55"/>
        <v>0</v>
      </c>
      <c r="AP82" s="47" t="e">
        <f t="shared" si="56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8"/>
        <v>0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 t="e">
        <f>HLOOKUP(I83,ElecAvoidedCostsWOCC!$A$5:$Q$50,G83+1,FALSE)</f>
        <v>#N/A</v>
      </c>
      <c r="AG83" s="44" t="e">
        <f t="shared" si="50"/>
        <v>#N/A</v>
      </c>
      <c r="AH83" s="52" t="e">
        <f>HLOOKUP(I83,ElecAvoidedCostsWOCC!$A$5:$Q$50,T83+1,FALSE)</f>
        <v>#N/A</v>
      </c>
      <c r="AI83" s="44" t="e">
        <f t="shared" si="51"/>
        <v>#N/A</v>
      </c>
      <c r="AJ83" s="44" t="e">
        <f t="shared" si="52"/>
        <v>#N/A</v>
      </c>
      <c r="AK83" s="44" t="e">
        <f>HLOOKUP(I83,ElecAvoidedCostsWOCC!$A$5:$Q$50,G83+1,FALSE)*J83*L83</f>
        <v>#N/A</v>
      </c>
      <c r="AL83" s="44" t="e">
        <f t="shared" si="53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38"/>
        <v>0</v>
      </c>
      <c r="U84" s="47">
        <f t="shared" si="39"/>
        <v>0</v>
      </c>
      <c r="V84" s="48">
        <f t="shared" si="40"/>
        <v>0</v>
      </c>
      <c r="W84" s="49">
        <f t="shared" si="41"/>
        <v>0</v>
      </c>
      <c r="X84" s="44">
        <f t="shared" si="42"/>
        <v>0</v>
      </c>
      <c r="Y84" s="44">
        <f t="shared" si="43"/>
        <v>0</v>
      </c>
      <c r="Z84" s="44">
        <f t="shared" si="44"/>
        <v>0</v>
      </c>
      <c r="AA84" s="50">
        <f t="shared" si="45"/>
        <v>0</v>
      </c>
      <c r="AB84" s="51">
        <f t="shared" si="46"/>
        <v>0</v>
      </c>
      <c r="AC84" s="44">
        <f t="shared" si="47"/>
        <v>0</v>
      </c>
      <c r="AD84" s="44">
        <f t="shared" si="48"/>
        <v>0</v>
      </c>
      <c r="AE84" s="44">
        <f t="shared" si="49"/>
        <v>0</v>
      </c>
      <c r="AF84" s="52" t="e">
        <f>HLOOKUP(I84,ElecAvoidedCostsWOCC!$A$5:$Q$50,G84+1,FALSE)</f>
        <v>#N/A</v>
      </c>
      <c r="AG84" s="44" t="e">
        <f t="shared" si="50"/>
        <v>#N/A</v>
      </c>
      <c r="AH84" s="52" t="e">
        <f>HLOOKUP(I84,ElecAvoidedCostsWOCC!$A$5:$Q$50,T84+1,FALSE)</f>
        <v>#N/A</v>
      </c>
      <c r="AI84" s="44" t="e">
        <f t="shared" si="51"/>
        <v>#N/A</v>
      </c>
      <c r="AJ84" s="44" t="e">
        <f t="shared" si="52"/>
        <v>#N/A</v>
      </c>
      <c r="AK84" s="44" t="e">
        <f>HLOOKUP(I84,ElecAvoidedCostsWOCC!$A$5:$Q$50,G84+1,FALSE)*J84*L84</f>
        <v>#N/A</v>
      </c>
      <c r="AL84" s="44" t="e">
        <f t="shared" si="53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54"/>
        <v>0</v>
      </c>
      <c r="AO84" s="47">
        <f t="shared" si="55"/>
        <v>0</v>
      </c>
      <c r="AP84" s="47" t="e">
        <f t="shared" si="56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38"/>
        <v>0</v>
      </c>
      <c r="U85" s="47">
        <f t="shared" si="39"/>
        <v>0</v>
      </c>
      <c r="V85" s="48">
        <f t="shared" si="40"/>
        <v>0</v>
      </c>
      <c r="W85" s="49">
        <f t="shared" si="41"/>
        <v>0</v>
      </c>
      <c r="X85" s="44">
        <f t="shared" si="42"/>
        <v>0</v>
      </c>
      <c r="Y85" s="44">
        <f t="shared" si="43"/>
        <v>0</v>
      </c>
      <c r="Z85" s="44">
        <f t="shared" si="44"/>
        <v>0</v>
      </c>
      <c r="AA85" s="50">
        <f t="shared" si="45"/>
        <v>0</v>
      </c>
      <c r="AB85" s="51">
        <f t="shared" si="46"/>
        <v>0</v>
      </c>
      <c r="AC85" s="44">
        <f t="shared" si="47"/>
        <v>0</v>
      </c>
      <c r="AD85" s="44">
        <f t="shared" si="48"/>
        <v>0</v>
      </c>
      <c r="AE85" s="44">
        <f t="shared" si="49"/>
        <v>0</v>
      </c>
      <c r="AF85" s="52" t="e">
        <f>HLOOKUP(I85,ElecAvoidedCostsWOCC!$A$5:$Q$50,G85+1,FALSE)</f>
        <v>#N/A</v>
      </c>
      <c r="AG85" s="44" t="e">
        <f t="shared" si="50"/>
        <v>#N/A</v>
      </c>
      <c r="AH85" s="52" t="e">
        <f>HLOOKUP(I85,ElecAvoidedCostsWOCC!$A$5:$Q$50,T85+1,FALSE)</f>
        <v>#N/A</v>
      </c>
      <c r="AI85" s="44" t="e">
        <f t="shared" si="51"/>
        <v>#N/A</v>
      </c>
      <c r="AJ85" s="44" t="e">
        <f t="shared" si="52"/>
        <v>#N/A</v>
      </c>
      <c r="AK85" s="44" t="e">
        <f>HLOOKUP(I85,ElecAvoidedCostsWOCC!$A$5:$Q$50,G85+1,FALSE)*J85*L85</f>
        <v>#N/A</v>
      </c>
      <c r="AL85" s="44" t="e">
        <f t="shared" si="53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54"/>
        <v>0</v>
      </c>
      <c r="AO85" s="47">
        <f t="shared" si="55"/>
        <v>0</v>
      </c>
      <c r="AP85" s="47" t="e">
        <f t="shared" si="56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38"/>
        <v>0</v>
      </c>
      <c r="U86" s="47">
        <f t="shared" si="39"/>
        <v>0</v>
      </c>
      <c r="V86" s="48">
        <f t="shared" si="40"/>
        <v>0</v>
      </c>
      <c r="W86" s="49">
        <f t="shared" si="41"/>
        <v>0</v>
      </c>
      <c r="X86" s="44">
        <f t="shared" si="42"/>
        <v>0</v>
      </c>
      <c r="Y86" s="44">
        <f t="shared" si="43"/>
        <v>0</v>
      </c>
      <c r="Z86" s="44">
        <f t="shared" si="44"/>
        <v>0</v>
      </c>
      <c r="AA86" s="50">
        <f t="shared" si="45"/>
        <v>0</v>
      </c>
      <c r="AB86" s="51">
        <f t="shared" si="46"/>
        <v>0</v>
      </c>
      <c r="AC86" s="44">
        <f t="shared" si="47"/>
        <v>0</v>
      </c>
      <c r="AD86" s="44">
        <f t="shared" si="48"/>
        <v>0</v>
      </c>
      <c r="AE86" s="44">
        <f t="shared" si="49"/>
        <v>0</v>
      </c>
      <c r="AF86" s="52" t="e">
        <f>HLOOKUP(I86,ElecAvoidedCostsWOCC!$A$5:$Q$50,G86+1,FALSE)</f>
        <v>#N/A</v>
      </c>
      <c r="AG86" s="44" t="e">
        <f t="shared" si="50"/>
        <v>#N/A</v>
      </c>
      <c r="AH86" s="52" t="e">
        <f>HLOOKUP(I86,ElecAvoidedCostsWOCC!$A$5:$Q$50,T86+1,FALSE)</f>
        <v>#N/A</v>
      </c>
      <c r="AI86" s="44" t="e">
        <f t="shared" si="51"/>
        <v>#N/A</v>
      </c>
      <c r="AJ86" s="44" t="e">
        <f t="shared" si="52"/>
        <v>#N/A</v>
      </c>
      <c r="AK86" s="44" t="e">
        <f>HLOOKUP(I86,ElecAvoidedCostsWOCC!$A$5:$Q$50,G86+1,FALSE)*J86*L86</f>
        <v>#N/A</v>
      </c>
      <c r="AL86" s="44" t="e">
        <f t="shared" si="53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54"/>
        <v>0</v>
      </c>
      <c r="AO86" s="47">
        <f t="shared" si="55"/>
        <v>0</v>
      </c>
      <c r="AP86" s="47" t="e">
        <f t="shared" si="56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8"/>
        <v>0</v>
      </c>
      <c r="U87" s="47">
        <f t="shared" si="39"/>
        <v>0</v>
      </c>
      <c r="V87" s="48">
        <f t="shared" si="40"/>
        <v>0</v>
      </c>
      <c r="W87" s="49">
        <f t="shared" si="41"/>
        <v>0</v>
      </c>
      <c r="X87" s="44">
        <f t="shared" si="42"/>
        <v>0</v>
      </c>
      <c r="Y87" s="44">
        <f t="shared" si="43"/>
        <v>0</v>
      </c>
      <c r="Z87" s="44">
        <f t="shared" si="44"/>
        <v>0</v>
      </c>
      <c r="AA87" s="50">
        <f t="shared" si="45"/>
        <v>0</v>
      </c>
      <c r="AB87" s="51">
        <f t="shared" si="46"/>
        <v>0</v>
      </c>
      <c r="AC87" s="44">
        <f t="shared" si="47"/>
        <v>0</v>
      </c>
      <c r="AD87" s="44">
        <f t="shared" si="48"/>
        <v>0</v>
      </c>
      <c r="AE87" s="44">
        <f t="shared" si="49"/>
        <v>0</v>
      </c>
      <c r="AF87" s="52" t="e">
        <f>HLOOKUP(I87,ElecAvoidedCostsWOCC!$A$5:$Q$50,G87+1,FALSE)</f>
        <v>#N/A</v>
      </c>
      <c r="AG87" s="44" t="e">
        <f t="shared" si="50"/>
        <v>#N/A</v>
      </c>
      <c r="AH87" s="52" t="e">
        <f>HLOOKUP(I87,ElecAvoidedCostsWOCC!$A$5:$Q$50,T87+1,FALSE)</f>
        <v>#N/A</v>
      </c>
      <c r="AI87" s="44" t="e">
        <f t="shared" si="51"/>
        <v>#N/A</v>
      </c>
      <c r="AJ87" s="44" t="e">
        <f t="shared" si="52"/>
        <v>#N/A</v>
      </c>
      <c r="AK87" s="44" t="e">
        <f>HLOOKUP(I87,ElecAvoidedCostsWOCC!$A$5:$Q$50,G87+1,FALSE)*J87*L87</f>
        <v>#N/A</v>
      </c>
      <c r="AL87" s="44" t="e">
        <f t="shared" si="53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54"/>
        <v>0</v>
      </c>
      <c r="AO87" s="47">
        <f t="shared" si="55"/>
        <v>0</v>
      </c>
      <c r="AP87" s="47" t="e">
        <f t="shared" si="56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HLOOKUP(I88,ElecAvoidedCostsWOCC!$A$5:$Q$50,G88+1,FALSE)</f>
        <v>#N/A</v>
      </c>
      <c r="AG88" s="44" t="e">
        <f t="shared" si="50"/>
        <v>#N/A</v>
      </c>
      <c r="AH88" s="52" t="e">
        <f>HLOOKUP(I88,ElecAvoidedCostsWOCC!$A$5:$Q$50,T88+1,FALSE)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HLOOKUP(I88,ElecAvoidedCostsWOCC!$A$5:$Q$50,G88+1,FALSE)*J88*L88</f>
        <v>#N/A</v>
      </c>
      <c r="AL88" s="44" t="e">
        <f t="shared" si="53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 t="e">
        <f>HLOOKUP(I89,ElecAvoidedCostsWOCC!$A$5:$Q$50,G89+1,FALSE)</f>
        <v>#N/A</v>
      </c>
      <c r="AG89" s="44" t="e">
        <f t="shared" si="50"/>
        <v>#N/A</v>
      </c>
      <c r="AH89" s="52" t="e">
        <f>HLOOKUP(I89,ElecAvoidedCostsWOCC!$A$5:$Q$50,T89+1,FALSE)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HLOOKUP(I89,ElecAvoidedCostsWOCC!$A$5:$Q$50,G89+1,FALSE)*J89*L89</f>
        <v>#N/A</v>
      </c>
      <c r="AL89" s="44" t="e">
        <f t="shared" si="53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</sheetData>
  <conditionalFormatting sqref="J5:L89">
    <cfRule type="expression" dxfId="184" priority="4">
      <formula>ISTEXT(J5)</formula>
    </cfRule>
    <cfRule type="notContainsBlanks" dxfId="183" priority="5">
      <formula>LEN(TRIM(J5))&gt;0</formula>
    </cfRule>
  </conditionalFormatting>
  <conditionalFormatting sqref="M5:N89 R5:S89">
    <cfRule type="expression" dxfId="182" priority="2">
      <formula>ISTEXT(M5)</formula>
    </cfRule>
  </conditionalFormatting>
  <conditionalFormatting sqref="M5:N89 R5:S89">
    <cfRule type="notContainsBlanks" dxfId="181" priority="3">
      <formula>LEN(TRIM(M5))&gt;0</formula>
    </cfRule>
  </conditionalFormatting>
  <conditionalFormatting sqref="R5:S89">
    <cfRule type="expression" dxfId="1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12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18231134</v>
      </c>
      <c r="D2" s="20" t="s">
        <v>176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18231134</v>
      </c>
      <c r="D5" s="61" t="s">
        <v>176</v>
      </c>
      <c r="E5" s="38" t="s">
        <v>982</v>
      </c>
      <c r="F5" s="39" t="s">
        <v>983</v>
      </c>
      <c r="G5" s="39">
        <v>15</v>
      </c>
      <c r="H5" s="39"/>
      <c r="I5" s="40" t="s">
        <v>256</v>
      </c>
      <c r="J5" s="41">
        <v>1</v>
      </c>
      <c r="K5" s="41">
        <v>8938</v>
      </c>
      <c r="L5" s="41"/>
      <c r="M5" s="42"/>
      <c r="N5" s="42"/>
      <c r="O5" s="43">
        <v>8938</v>
      </c>
      <c r="P5" s="44">
        <v>0</v>
      </c>
      <c r="Q5" s="44">
        <v>0</v>
      </c>
      <c r="R5" s="45"/>
      <c r="S5" s="46"/>
      <c r="T5" s="39">
        <f t="shared" ref="T5:T23" si="0">G5+H5</f>
        <v>15</v>
      </c>
      <c r="U5" s="47">
        <f t="shared" ref="U5:U23" si="1">(O5/$A$10)*T5</f>
        <v>5.5999615361543992E-3</v>
      </c>
      <c r="V5" s="48">
        <f t="shared" ref="V5:V23" si="2">N5-M5</f>
        <v>0</v>
      </c>
      <c r="W5" s="49">
        <f t="shared" ref="W5:W23" si="3">(O5/A$10)</f>
        <v>3.7333076907695995E-4</v>
      </c>
      <c r="X5" s="44">
        <f t="shared" ref="X5:X23" si="4">W5*A$8</f>
        <v>919.52079992101119</v>
      </c>
      <c r="Y5" s="44">
        <f t="shared" ref="Y5:Y23" si="5">Q5-P5</f>
        <v>0</v>
      </c>
      <c r="Z5" s="44">
        <f t="shared" ref="Z5:Z23" si="6">X5+(A$6*W5)</f>
        <v>4730.6851441917652</v>
      </c>
      <c r="AA5" s="50">
        <f t="shared" ref="AA5:AA23" si="7">Q5+X5</f>
        <v>919.52079992101119</v>
      </c>
      <c r="AB5" s="51">
        <f t="shared" ref="AB5:AC19" si="8">Z5/(1+ElecDiscountRate)^1</f>
        <v>4422.4410060687715</v>
      </c>
      <c r="AC5" s="44">
        <f t="shared" si="8"/>
        <v>859.60624466767422</v>
      </c>
      <c r="AD5" s="44">
        <f t="shared" ref="AD5:AD23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3" si="10">AF5*J5*K5</f>
        <v>9200.7448814584714</v>
      </c>
      <c r="AH5" s="52">
        <f>HLOOKUP(I5,ElecAvoidedCostsWOCC!$A$5:$Q$50,T5+1,FALSE)</f>
        <v>1.0293963841416951</v>
      </c>
      <c r="AI5" s="44">
        <f t="shared" ref="AI5:AI23" si="11">AH5*J5*L5</f>
        <v>0</v>
      </c>
      <c r="AJ5" s="44">
        <f>AG5+AI5</f>
        <v>9200.7448814584714</v>
      </c>
      <c r="AK5" s="44">
        <f>HLOOKUP(I5,ElecAvoidedCostsWOCC!$A$5:$Q$50,G5+1,FALSE)*J5*L5</f>
        <v>0</v>
      </c>
      <c r="AL5" s="44">
        <f>AG5+AI5-AK5</f>
        <v>9200.7448814584714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9200.7448814584714</v>
      </c>
      <c r="AN5" s="48">
        <f>AM5*1.1+AD5+AE5</f>
        <v>10120.81936960432</v>
      </c>
      <c r="AO5" s="47">
        <f>IFERROR(AM5/AB5,0)</f>
        <v>2.0804675220839779</v>
      </c>
      <c r="AP5" s="47">
        <f>AN5/AC5</f>
        <v>11.773785302731314</v>
      </c>
      <c r="AQ5">
        <v>2021</v>
      </c>
    </row>
    <row r="6" spans="1:43" ht="13.5" customHeight="1">
      <c r="A6" s="53">
        <f>SUMIF('Program Costs'!D:D,C2,'Program Costs'!L:L)</f>
        <v>10208546.039999999</v>
      </c>
      <c r="B6" s="97" t="s">
        <v>70</v>
      </c>
      <c r="C6" s="98">
        <v>18231134</v>
      </c>
      <c r="D6" s="61" t="s">
        <v>176</v>
      </c>
      <c r="E6" s="38" t="s">
        <v>996</v>
      </c>
      <c r="F6" s="39" t="s">
        <v>997</v>
      </c>
      <c r="G6" s="39">
        <v>20</v>
      </c>
      <c r="H6" s="39"/>
      <c r="I6" s="40" t="s">
        <v>257</v>
      </c>
      <c r="J6" s="41">
        <v>1</v>
      </c>
      <c r="K6" s="41">
        <v>4986</v>
      </c>
      <c r="L6" s="41"/>
      <c r="M6" s="42"/>
      <c r="N6" s="42"/>
      <c r="O6" s="43">
        <v>4986</v>
      </c>
      <c r="P6" s="44">
        <v>0</v>
      </c>
      <c r="Q6" s="44">
        <v>0</v>
      </c>
      <c r="R6" s="45"/>
      <c r="S6" s="46"/>
      <c r="T6" s="39">
        <f t="shared" si="0"/>
        <v>20</v>
      </c>
      <c r="U6" s="47">
        <f t="shared" si="1"/>
        <v>4.1651985111159596E-3</v>
      </c>
      <c r="V6" s="48">
        <f t="shared" si="2"/>
        <v>0</v>
      </c>
      <c r="W6" s="49">
        <f t="shared" si="3"/>
        <v>2.0825992555579796E-4</v>
      </c>
      <c r="X6" s="44">
        <f t="shared" si="4"/>
        <v>512.94816607811163</v>
      </c>
      <c r="Y6" s="44">
        <f t="shared" si="5"/>
        <v>0</v>
      </c>
      <c r="Z6" s="44">
        <f t="shared" si="6"/>
        <v>2638.9792044014475</v>
      </c>
      <c r="AA6" s="50">
        <f t="shared" si="7"/>
        <v>512.94816607811163</v>
      </c>
      <c r="AB6" s="51">
        <f t="shared" si="8"/>
        <v>2467.0273949719053</v>
      </c>
      <c r="AC6" s="44">
        <f t="shared" si="8"/>
        <v>479.52525575218431</v>
      </c>
      <c r="AD6" s="44">
        <f t="shared" si="9"/>
        <v>0</v>
      </c>
      <c r="AE6" s="44">
        <v>0</v>
      </c>
      <c r="AF6" s="52">
        <f>HLOOKUP(I6,ElecAvoidedCostsWOCC!$A$5:$Q$50,G6+1,FALSE)</f>
        <v>1.3192527795896587</v>
      </c>
      <c r="AG6" s="44">
        <f t="shared" si="10"/>
        <v>6577.7943590340383</v>
      </c>
      <c r="AH6" s="52">
        <f>HLOOKUP(I6,ElecAvoidedCostsWOCC!$A$5:$Q$50,T6+1,FALSE)</f>
        <v>1.3192527795896587</v>
      </c>
      <c r="AI6" s="44">
        <f t="shared" si="11"/>
        <v>0</v>
      </c>
      <c r="AJ6" s="44">
        <f t="shared" ref="AJ6:AJ23" si="12">AG6+AI6</f>
        <v>6577.7943590340383</v>
      </c>
      <c r="AK6" s="44">
        <f>HLOOKUP(I6,ElecAvoidedCostsWOCC!$A$5:$Q$50,G6+1,FALSE)*J6*L6</f>
        <v>0</v>
      </c>
      <c r="AL6" s="44">
        <f t="shared" ref="AL6:AL23" si="13">AG6+AI6-AK6</f>
        <v>6577.7943590340383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6577.7943590340383</v>
      </c>
      <c r="AN6" s="48">
        <f t="shared" ref="AN6:AN23" si="14">AM6*1.1+AD6+AE6</f>
        <v>7235.5737949374425</v>
      </c>
      <c r="AO6" s="47">
        <f t="shared" ref="AO6:AO23" si="15">IFERROR(AM6/AB6,0)</f>
        <v>2.6662834682907715</v>
      </c>
      <c r="AP6" s="47">
        <f t="shared" ref="AP6:AP23" si="16">AN6/AC6</f>
        <v>15.089035891525059</v>
      </c>
      <c r="AQ6">
        <v>2021</v>
      </c>
    </row>
    <row r="7" spans="1:43" ht="13.5" customHeight="1">
      <c r="A7" s="36" t="s">
        <v>249</v>
      </c>
      <c r="B7" s="97" t="s">
        <v>70</v>
      </c>
      <c r="C7" s="98">
        <v>18231134</v>
      </c>
      <c r="D7" s="61" t="s">
        <v>176</v>
      </c>
      <c r="E7" s="38" t="s">
        <v>1298</v>
      </c>
      <c r="F7" s="39" t="s">
        <v>1299</v>
      </c>
      <c r="G7" s="39">
        <v>12</v>
      </c>
      <c r="H7" s="39"/>
      <c r="I7" s="40" t="s">
        <v>260</v>
      </c>
      <c r="J7" s="41">
        <v>3</v>
      </c>
      <c r="K7" s="41">
        <v>312</v>
      </c>
      <c r="L7" s="41"/>
      <c r="M7" s="42">
        <v>42.4</v>
      </c>
      <c r="N7" s="42">
        <v>42.4</v>
      </c>
      <c r="O7" s="43">
        <v>936</v>
      </c>
      <c r="P7" s="44">
        <v>3180</v>
      </c>
      <c r="Q7" s="44">
        <v>127.2</v>
      </c>
      <c r="R7" s="45">
        <v>0</v>
      </c>
      <c r="S7" s="46">
        <v>0</v>
      </c>
      <c r="T7" s="39">
        <f t="shared" si="0"/>
        <v>12</v>
      </c>
      <c r="U7" s="47">
        <f t="shared" si="1"/>
        <v>4.6914871316540766E-4</v>
      </c>
      <c r="V7" s="48">
        <f t="shared" si="2"/>
        <v>0</v>
      </c>
      <c r="W7" s="49">
        <f t="shared" si="3"/>
        <v>3.9095726097117305E-5</v>
      </c>
      <c r="X7" s="44">
        <f t="shared" si="4"/>
        <v>96.29351854173936</v>
      </c>
      <c r="Y7" s="44">
        <f t="shared" si="5"/>
        <v>-3052.8</v>
      </c>
      <c r="Z7" s="44">
        <f t="shared" si="6"/>
        <v>495.40403837139081</v>
      </c>
      <c r="AA7" s="50">
        <f t="shared" si="7"/>
        <v>223.49351854173938</v>
      </c>
      <c r="AB7" s="51">
        <f t="shared" si="8"/>
        <v>463.12427631241542</v>
      </c>
      <c r="AC7" s="44">
        <f t="shared" si="8"/>
        <v>208.93102602761462</v>
      </c>
      <c r="AD7" s="44">
        <f t="shared" si="9"/>
        <v>0</v>
      </c>
      <c r="AE7" s="44">
        <v>0</v>
      </c>
      <c r="AF7" s="52">
        <f>HLOOKUP(I7,ElecAvoidedCostsWOCC!$A$5:$Q$50,G7+1,FALSE)</f>
        <v>0.82065637928828472</v>
      </c>
      <c r="AG7" s="44">
        <f t="shared" si="10"/>
        <v>768.13437101383442</v>
      </c>
      <c r="AH7" s="52">
        <f>HLOOKUP(I7,ElecAvoidedCostsWOCC!$A$5:$Q$50,T7+1,FALSE)</f>
        <v>0.82065637928828472</v>
      </c>
      <c r="AI7" s="44">
        <f t="shared" si="11"/>
        <v>0</v>
      </c>
      <c r="AJ7" s="44">
        <f t="shared" si="12"/>
        <v>768.13437101383442</v>
      </c>
      <c r="AK7" s="44">
        <f>HLOOKUP(I7,ElecAvoidedCostsWOCC!$A$5:$Q$50,G7+1,FALSE)*J7*L7</f>
        <v>0</v>
      </c>
      <c r="AL7" s="44">
        <f t="shared" si="13"/>
        <v>768.13437101383442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768.13437101383454</v>
      </c>
      <c r="AN7" s="48">
        <f t="shared" si="14"/>
        <v>844.94780811521809</v>
      </c>
      <c r="AO7" s="47">
        <f t="shared" si="15"/>
        <v>1.6585923267293048</v>
      </c>
      <c r="AP7" s="47">
        <f t="shared" si="16"/>
        <v>4.044147124436849</v>
      </c>
      <c r="AQ7">
        <v>2021</v>
      </c>
    </row>
    <row r="8" spans="1:43" ht="13.5" customHeight="1">
      <c r="A8" s="53">
        <f>SUMIF('Program Costs'!D:D,C2,'Program Costs'!O:O)</f>
        <v>2463019.0600000005</v>
      </c>
      <c r="B8" s="97" t="s">
        <v>70</v>
      </c>
      <c r="C8" s="98">
        <v>18231134</v>
      </c>
      <c r="D8" s="61" t="s">
        <v>176</v>
      </c>
      <c r="E8" s="38" t="s">
        <v>1300</v>
      </c>
      <c r="F8" s="39" t="s">
        <v>1301</v>
      </c>
      <c r="G8" s="39">
        <v>12</v>
      </c>
      <c r="H8" s="39"/>
      <c r="I8" s="40" t="s">
        <v>260</v>
      </c>
      <c r="J8" s="41">
        <v>28.5</v>
      </c>
      <c r="K8" s="41">
        <v>231</v>
      </c>
      <c r="L8" s="41"/>
      <c r="M8" s="42">
        <v>42.4</v>
      </c>
      <c r="N8" s="42">
        <v>42.4</v>
      </c>
      <c r="O8" s="43">
        <v>6583.5</v>
      </c>
      <c r="P8" s="44">
        <v>2650</v>
      </c>
      <c r="Q8" s="44">
        <v>1208.4000000000001</v>
      </c>
      <c r="R8" s="45">
        <v>0</v>
      </c>
      <c r="S8" s="46">
        <v>0</v>
      </c>
      <c r="T8" s="39">
        <f t="shared" si="0"/>
        <v>12</v>
      </c>
      <c r="U8" s="47">
        <f t="shared" si="1"/>
        <v>3.299829650773997E-3</v>
      </c>
      <c r="V8" s="48">
        <f t="shared" si="2"/>
        <v>0</v>
      </c>
      <c r="W8" s="49">
        <f t="shared" si="3"/>
        <v>2.7498580423116641E-4</v>
      </c>
      <c r="X8" s="44">
        <f t="shared" si="4"/>
        <v>677.2952770507917</v>
      </c>
      <c r="Y8" s="44">
        <f t="shared" si="5"/>
        <v>-1441.6</v>
      </c>
      <c r="Z8" s="44">
        <f t="shared" si="6"/>
        <v>3484.5005198910808</v>
      </c>
      <c r="AA8" s="50">
        <f t="shared" si="7"/>
        <v>1885.6952770507919</v>
      </c>
      <c r="AB8" s="51">
        <f t="shared" si="8"/>
        <v>3257.4558473320376</v>
      </c>
      <c r="AC8" s="44">
        <f t="shared" si="8"/>
        <v>1762.8262849871849</v>
      </c>
      <c r="AD8" s="44">
        <f t="shared" si="9"/>
        <v>0</v>
      </c>
      <c r="AE8" s="44">
        <f t="shared" ref="AE8:AE23" si="17">-PV(ElecDiscountRate,T8,S8)*J8</f>
        <v>0</v>
      </c>
      <c r="AF8" s="52">
        <f>HLOOKUP(I8,ElecAvoidedCostsWOCC!$A$5:$Q$50,G8+1,FALSE)</f>
        <v>0.82065637928828472</v>
      </c>
      <c r="AG8" s="44">
        <f t="shared" si="10"/>
        <v>5402.7912730444223</v>
      </c>
      <c r="AH8" s="52">
        <f>HLOOKUP(I8,ElecAvoidedCostsWOCC!$A$5:$Q$50,T8+1,FALSE)</f>
        <v>0.82065637928828472</v>
      </c>
      <c r="AI8" s="44">
        <f t="shared" si="11"/>
        <v>0</v>
      </c>
      <c r="AJ8" s="44">
        <f t="shared" si="12"/>
        <v>5402.7912730444223</v>
      </c>
      <c r="AK8" s="44">
        <f>HLOOKUP(I8,ElecAvoidedCostsWOCC!$A$5:$Q$50,G8+1,FALSE)*J8*L8</f>
        <v>0</v>
      </c>
      <c r="AL8" s="44">
        <f t="shared" si="13"/>
        <v>5402.7912730444223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5402.7912730444223</v>
      </c>
      <c r="AN8" s="48">
        <f t="shared" si="14"/>
        <v>5943.0704003488654</v>
      </c>
      <c r="AO8" s="47">
        <f t="shared" si="15"/>
        <v>1.6585923267293046</v>
      </c>
      <c r="AP8" s="47">
        <f t="shared" si="16"/>
        <v>3.3713307153189342</v>
      </c>
      <c r="AQ8">
        <v>2021</v>
      </c>
    </row>
    <row r="9" spans="1:43" ht="13.5" customHeight="1">
      <c r="A9" s="36" t="s">
        <v>250</v>
      </c>
      <c r="B9" s="97" t="s">
        <v>70</v>
      </c>
      <c r="C9" s="98">
        <v>18231134</v>
      </c>
      <c r="D9" s="61" t="s">
        <v>176</v>
      </c>
      <c r="E9" s="38" t="s">
        <v>1302</v>
      </c>
      <c r="F9" s="39" t="s">
        <v>1303</v>
      </c>
      <c r="G9" s="39">
        <v>15</v>
      </c>
      <c r="H9" s="39"/>
      <c r="I9" s="40" t="s">
        <v>260</v>
      </c>
      <c r="J9" s="41">
        <v>1</v>
      </c>
      <c r="K9" s="41">
        <v>583</v>
      </c>
      <c r="L9" s="41"/>
      <c r="M9" s="42">
        <v>275.73</v>
      </c>
      <c r="N9" s="42">
        <v>275.73</v>
      </c>
      <c r="O9" s="43">
        <v>583</v>
      </c>
      <c r="P9" s="44">
        <v>1378.65</v>
      </c>
      <c r="Q9" s="44">
        <v>275.73</v>
      </c>
      <c r="R9" s="45">
        <v>0</v>
      </c>
      <c r="S9" s="46">
        <v>0</v>
      </c>
      <c r="T9" s="39">
        <f t="shared" si="0"/>
        <v>15</v>
      </c>
      <c r="U9" s="47">
        <f t="shared" si="1"/>
        <v>3.6526936401633638E-4</v>
      </c>
      <c r="V9" s="48">
        <f t="shared" si="2"/>
        <v>0</v>
      </c>
      <c r="W9" s="49">
        <f t="shared" si="3"/>
        <v>2.4351290934422425E-5</v>
      </c>
      <c r="X9" s="44">
        <f t="shared" si="4"/>
        <v>59.977693707087653</v>
      </c>
      <c r="Y9" s="44">
        <f t="shared" si="5"/>
        <v>-1102.92</v>
      </c>
      <c r="Z9" s="44">
        <f t="shared" si="6"/>
        <v>308.56896834457359</v>
      </c>
      <c r="AA9" s="50">
        <f t="shared" si="7"/>
        <v>335.70769370708769</v>
      </c>
      <c r="AB9" s="51">
        <f t="shared" si="8"/>
        <v>288.4630909082673</v>
      </c>
      <c r="AC9" s="44">
        <f t="shared" si="8"/>
        <v>313.83349883807392</v>
      </c>
      <c r="AD9" s="44">
        <f t="shared" si="9"/>
        <v>0</v>
      </c>
      <c r="AE9" s="44">
        <f t="shared" si="17"/>
        <v>0</v>
      </c>
      <c r="AF9" s="52">
        <f>HLOOKUP(I9,ElecAvoidedCostsWOCC!$A$5:$Q$50,G9+1,FALSE)</f>
        <v>1.0022793952581226</v>
      </c>
      <c r="AG9" s="44">
        <f t="shared" si="10"/>
        <v>584.32888743548551</v>
      </c>
      <c r="AH9" s="52">
        <f>HLOOKUP(I9,ElecAvoidedCostsWOCC!$A$5:$Q$50,T9+1,FALSE)</f>
        <v>1.0022793952581226</v>
      </c>
      <c r="AI9" s="44">
        <f t="shared" si="11"/>
        <v>0</v>
      </c>
      <c r="AJ9" s="44">
        <f t="shared" si="12"/>
        <v>584.32888743548551</v>
      </c>
      <c r="AK9" s="44">
        <f>HLOOKUP(I9,ElecAvoidedCostsWOCC!$A$5:$Q$50,G9+1,FALSE)*J9*L9</f>
        <v>0</v>
      </c>
      <c r="AL9" s="44">
        <f t="shared" si="13"/>
        <v>584.32888743548551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584.32888743548551</v>
      </c>
      <c r="AN9" s="48">
        <f t="shared" si="14"/>
        <v>642.76177617903409</v>
      </c>
      <c r="AO9" s="47">
        <f t="shared" si="15"/>
        <v>2.0256625747011254</v>
      </c>
      <c r="AP9" s="47">
        <f t="shared" si="16"/>
        <v>2.0480980474002064</v>
      </c>
      <c r="AQ9">
        <v>2021</v>
      </c>
    </row>
    <row r="10" spans="1:43" ht="13.5" customHeight="1">
      <c r="A10" s="54">
        <f>SUM(O5:O997)</f>
        <v>23941235.870000001</v>
      </c>
      <c r="B10" s="97" t="s">
        <v>70</v>
      </c>
      <c r="C10" s="98">
        <v>18231134</v>
      </c>
      <c r="D10" s="61" t="s">
        <v>176</v>
      </c>
      <c r="E10" s="38" t="s">
        <v>1304</v>
      </c>
      <c r="F10" s="39" t="s">
        <v>1305</v>
      </c>
      <c r="G10" s="39">
        <v>15</v>
      </c>
      <c r="H10" s="39"/>
      <c r="I10" s="40" t="s">
        <v>260</v>
      </c>
      <c r="J10" s="41">
        <v>13</v>
      </c>
      <c r="K10" s="41">
        <v>1355</v>
      </c>
      <c r="L10" s="41"/>
      <c r="M10" s="42">
        <v>275.73</v>
      </c>
      <c r="N10" s="42">
        <v>275.73</v>
      </c>
      <c r="O10" s="43">
        <v>17615</v>
      </c>
      <c r="P10" s="44">
        <v>6066.06</v>
      </c>
      <c r="Q10" s="44">
        <v>3584.49</v>
      </c>
      <c r="R10" s="45">
        <v>0</v>
      </c>
      <c r="S10" s="46">
        <v>0</v>
      </c>
      <c r="T10" s="39">
        <f t="shared" si="0"/>
        <v>15</v>
      </c>
      <c r="U10" s="47">
        <f t="shared" si="1"/>
        <v>1.103639767949874E-2</v>
      </c>
      <c r="V10" s="48">
        <f t="shared" si="2"/>
        <v>0</v>
      </c>
      <c r="W10" s="49">
        <f t="shared" si="3"/>
        <v>7.35759845299916E-4</v>
      </c>
      <c r="X10" s="44">
        <f t="shared" si="4"/>
        <v>1812.1905225563448</v>
      </c>
      <c r="Y10" s="44">
        <f t="shared" si="5"/>
        <v>-2481.5700000000006</v>
      </c>
      <c r="Z10" s="44">
        <f t="shared" si="6"/>
        <v>9323.2287776838148</v>
      </c>
      <c r="AA10" s="50">
        <f t="shared" si="7"/>
        <v>5396.6805225563448</v>
      </c>
      <c r="AB10" s="51">
        <f t="shared" si="8"/>
        <v>8715.7415889350414</v>
      </c>
      <c r="AC10" s="44">
        <f t="shared" si="8"/>
        <v>5045.0411541145595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1.0022793952581226</v>
      </c>
      <c r="AG10" s="44">
        <f t="shared" si="10"/>
        <v>17655.151547471829</v>
      </c>
      <c r="AH10" s="52">
        <f>HLOOKUP(I10,ElecAvoidedCostsWOCC!$A$5:$Q$50,T10+1,FALSE)</f>
        <v>1.0022793952581226</v>
      </c>
      <c r="AI10" s="44">
        <f t="shared" si="11"/>
        <v>0</v>
      </c>
      <c r="AJ10" s="44">
        <f t="shared" si="12"/>
        <v>17655.151547471829</v>
      </c>
      <c r="AK10" s="44">
        <f>HLOOKUP(I10,ElecAvoidedCostsWOCC!$A$5:$Q$50,G10+1,FALSE)*J10*L10</f>
        <v>0</v>
      </c>
      <c r="AL10" s="44">
        <f t="shared" si="13"/>
        <v>17655.151547471829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17655.151547471829</v>
      </c>
      <c r="AN10" s="48">
        <f t="shared" si="14"/>
        <v>19420.666702219012</v>
      </c>
      <c r="AO10" s="47">
        <f t="shared" si="15"/>
        <v>2.025662574701125</v>
      </c>
      <c r="AP10" s="47">
        <f t="shared" si="16"/>
        <v>3.8494565473227498</v>
      </c>
      <c r="AQ10">
        <v>2021</v>
      </c>
    </row>
    <row r="11" spans="1:43" ht="13.5" customHeight="1">
      <c r="A11" s="36" t="s">
        <v>251</v>
      </c>
      <c r="B11" s="97" t="s">
        <v>70</v>
      </c>
      <c r="C11" s="98">
        <v>18231134</v>
      </c>
      <c r="D11" s="61" t="s">
        <v>176</v>
      </c>
      <c r="E11" s="38" t="s">
        <v>1306</v>
      </c>
      <c r="F11" s="39" t="s">
        <v>1307</v>
      </c>
      <c r="G11" s="39">
        <v>12</v>
      </c>
      <c r="H11" s="39"/>
      <c r="I11" s="40" t="s">
        <v>257</v>
      </c>
      <c r="J11" s="41">
        <v>66</v>
      </c>
      <c r="K11" s="41">
        <v>54</v>
      </c>
      <c r="L11" s="41"/>
      <c r="M11" s="42">
        <v>37</v>
      </c>
      <c r="N11" s="42">
        <v>37</v>
      </c>
      <c r="O11" s="43">
        <v>3564</v>
      </c>
      <c r="P11" s="44">
        <v>2442</v>
      </c>
      <c r="Q11" s="44">
        <v>2442</v>
      </c>
      <c r="R11" s="45">
        <v>0</v>
      </c>
      <c r="S11" s="46">
        <v>0</v>
      </c>
      <c r="T11" s="39">
        <f t="shared" si="0"/>
        <v>12</v>
      </c>
      <c r="U11" s="47">
        <f t="shared" si="1"/>
        <v>1.7863739462836677E-3</v>
      </c>
      <c r="V11" s="48">
        <f t="shared" si="2"/>
        <v>0</v>
      </c>
      <c r="W11" s="49">
        <f t="shared" si="3"/>
        <v>1.4886449552363898E-4</v>
      </c>
      <c r="X11" s="44">
        <f t="shared" si="4"/>
        <v>366.65608983200758</v>
      </c>
      <c r="Y11" s="44">
        <f t="shared" si="5"/>
        <v>0</v>
      </c>
      <c r="Z11" s="44">
        <f t="shared" si="6"/>
        <v>1886.3461461064501</v>
      </c>
      <c r="AA11" s="50">
        <f t="shared" si="7"/>
        <v>2808.6560898320076</v>
      </c>
      <c r="AB11" s="51">
        <f t="shared" si="8"/>
        <v>1763.4347444203513</v>
      </c>
      <c r="AC11" s="44">
        <f t="shared" si="8"/>
        <v>2625.648396589705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0.86650348716649883</v>
      </c>
      <c r="AG11" s="44">
        <f t="shared" si="10"/>
        <v>3088.2184282614016</v>
      </c>
      <c r="AH11" s="52">
        <f>HLOOKUP(I11,ElecAvoidedCostsWOCC!$A$5:$Q$50,T11+1,FALSE)</f>
        <v>0.86650348716649883</v>
      </c>
      <c r="AI11" s="44">
        <f t="shared" si="11"/>
        <v>0</v>
      </c>
      <c r="AJ11" s="44">
        <f t="shared" si="12"/>
        <v>3088.2184282614016</v>
      </c>
      <c r="AK11" s="44">
        <f>HLOOKUP(I11,ElecAvoidedCostsWOCC!$A$5:$Q$50,G11+1,FALSE)*J11*L11</f>
        <v>0</v>
      </c>
      <c r="AL11" s="44">
        <f t="shared" si="13"/>
        <v>3088.2184282614016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3088.2184282614021</v>
      </c>
      <c r="AN11" s="48">
        <f t="shared" si="14"/>
        <v>3397.0402710875428</v>
      </c>
      <c r="AO11" s="47">
        <f t="shared" si="15"/>
        <v>1.7512518895483784</v>
      </c>
      <c r="AP11" s="47">
        <f t="shared" si="16"/>
        <v>1.2937910024433399</v>
      </c>
      <c r="AQ11">
        <v>2021</v>
      </c>
    </row>
    <row r="12" spans="1:43" ht="13.5" customHeight="1">
      <c r="A12" s="55">
        <f>SUM(P5:P998)</f>
        <v>9295507.370000001</v>
      </c>
      <c r="B12" s="97" t="s">
        <v>70</v>
      </c>
      <c r="C12" s="98">
        <v>18231134</v>
      </c>
      <c r="D12" s="61" t="s">
        <v>176</v>
      </c>
      <c r="E12" s="38" t="s">
        <v>1308</v>
      </c>
      <c r="F12" s="39" t="s">
        <v>1309</v>
      </c>
      <c r="G12" s="39">
        <v>12</v>
      </c>
      <c r="H12" s="39"/>
      <c r="I12" s="40" t="s">
        <v>257</v>
      </c>
      <c r="J12" s="41">
        <v>15</v>
      </c>
      <c r="K12" s="41">
        <v>105</v>
      </c>
      <c r="L12" s="41"/>
      <c r="M12" s="42">
        <v>37</v>
      </c>
      <c r="N12" s="42">
        <v>37</v>
      </c>
      <c r="O12" s="43">
        <v>1575</v>
      </c>
      <c r="P12" s="44">
        <v>555</v>
      </c>
      <c r="Q12" s="44">
        <v>555</v>
      </c>
      <c r="R12" s="45">
        <v>0</v>
      </c>
      <c r="S12" s="46">
        <v>0</v>
      </c>
      <c r="T12" s="39">
        <f t="shared" si="0"/>
        <v>12</v>
      </c>
      <c r="U12" s="47">
        <f t="shared" si="1"/>
        <v>7.8943293080717641E-4</v>
      </c>
      <c r="V12" s="48">
        <f t="shared" si="2"/>
        <v>0</v>
      </c>
      <c r="W12" s="49">
        <f t="shared" si="3"/>
        <v>6.5786077567264701E-5</v>
      </c>
      <c r="X12" s="44">
        <f t="shared" si="4"/>
        <v>162.03236293081142</v>
      </c>
      <c r="Y12" s="44">
        <f t="shared" si="5"/>
        <v>0</v>
      </c>
      <c r="Z12" s="44">
        <f t="shared" si="6"/>
        <v>833.61256456724436</v>
      </c>
      <c r="AA12" s="50">
        <f t="shared" si="7"/>
        <v>717.03236293081136</v>
      </c>
      <c r="AB12" s="51">
        <f t="shared" si="8"/>
        <v>779.29565725646842</v>
      </c>
      <c r="AC12" s="44">
        <f t="shared" si="8"/>
        <v>670.31164151707139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0.86650348716649883</v>
      </c>
      <c r="AG12" s="44">
        <f t="shared" si="10"/>
        <v>1364.7429922872357</v>
      </c>
      <c r="AH12" s="52">
        <f>HLOOKUP(I12,ElecAvoidedCostsWOCC!$A$5:$Q$50,T12+1,FALSE)</f>
        <v>0.86650348716649883</v>
      </c>
      <c r="AI12" s="44">
        <f t="shared" si="11"/>
        <v>0</v>
      </c>
      <c r="AJ12" s="44">
        <f t="shared" si="12"/>
        <v>1364.7429922872357</v>
      </c>
      <c r="AK12" s="44">
        <f>HLOOKUP(I12,ElecAvoidedCostsWOCC!$A$5:$Q$50,G12+1,FALSE)*J12*L12</f>
        <v>0</v>
      </c>
      <c r="AL12" s="44">
        <f t="shared" si="13"/>
        <v>1364.7429922872357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1364.7429922872357</v>
      </c>
      <c r="AN12" s="48">
        <f t="shared" si="14"/>
        <v>1501.2172915159595</v>
      </c>
      <c r="AO12" s="47">
        <f t="shared" si="15"/>
        <v>1.7512518895483782</v>
      </c>
      <c r="AP12" s="47">
        <f t="shared" si="16"/>
        <v>2.2395811120307489</v>
      </c>
      <c r="AQ12">
        <v>2021</v>
      </c>
    </row>
    <row r="13" spans="1:43" ht="13.5" customHeight="1">
      <c r="A13" s="56" t="s">
        <v>252</v>
      </c>
      <c r="B13" s="97" t="s">
        <v>70</v>
      </c>
      <c r="C13" s="98">
        <v>18231134</v>
      </c>
      <c r="D13" s="61" t="s">
        <v>176</v>
      </c>
      <c r="E13" s="38" t="s">
        <v>1310</v>
      </c>
      <c r="F13" s="39" t="s">
        <v>1311</v>
      </c>
      <c r="G13" s="39">
        <v>12</v>
      </c>
      <c r="H13" s="39"/>
      <c r="I13" s="40" t="s">
        <v>257</v>
      </c>
      <c r="J13" s="41">
        <v>26</v>
      </c>
      <c r="K13" s="41">
        <v>91</v>
      </c>
      <c r="L13" s="41"/>
      <c r="M13" s="42">
        <v>37</v>
      </c>
      <c r="N13" s="42">
        <v>37</v>
      </c>
      <c r="O13" s="43">
        <v>2366</v>
      </c>
      <c r="P13" s="44">
        <v>962</v>
      </c>
      <c r="Q13" s="44">
        <v>962</v>
      </c>
      <c r="R13" s="45">
        <v>0</v>
      </c>
      <c r="S13" s="46">
        <v>0</v>
      </c>
      <c r="T13" s="39">
        <f t="shared" si="0"/>
        <v>12</v>
      </c>
      <c r="U13" s="47">
        <f t="shared" si="1"/>
        <v>1.1859036916125583E-3</v>
      </c>
      <c r="V13" s="48">
        <f t="shared" si="2"/>
        <v>0</v>
      </c>
      <c r="W13" s="49">
        <f t="shared" si="3"/>
        <v>9.8825307634379861E-5</v>
      </c>
      <c r="X13" s="44">
        <f t="shared" si="4"/>
        <v>243.40861631384115</v>
      </c>
      <c r="Y13" s="44">
        <f t="shared" si="5"/>
        <v>0</v>
      </c>
      <c r="Z13" s="44">
        <f t="shared" si="6"/>
        <v>1252.2713192165713</v>
      </c>
      <c r="AA13" s="50">
        <f t="shared" si="7"/>
        <v>1205.4086163138411</v>
      </c>
      <c r="AB13" s="51">
        <f t="shared" si="8"/>
        <v>1170.6752540119392</v>
      </c>
      <c r="AC13" s="44">
        <f t="shared" si="8"/>
        <v>1126.8660524575498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0.86650348716649883</v>
      </c>
      <c r="AG13" s="44">
        <f t="shared" si="10"/>
        <v>2050.147250635936</v>
      </c>
      <c r="AH13" s="52">
        <f>HLOOKUP(I13,ElecAvoidedCostsWOCC!$A$5:$Q$50,T13+1,FALSE)</f>
        <v>0.86650348716649883</v>
      </c>
      <c r="AI13" s="44">
        <f t="shared" si="11"/>
        <v>0</v>
      </c>
      <c r="AJ13" s="44">
        <f t="shared" si="12"/>
        <v>2050.147250635936</v>
      </c>
      <c r="AK13" s="44">
        <f>HLOOKUP(I13,ElecAvoidedCostsWOCC!$A$5:$Q$50,G13+1,FALSE)*J13*L13</f>
        <v>0</v>
      </c>
      <c r="AL13" s="44">
        <f t="shared" si="13"/>
        <v>2050.147250635936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2050.1472506359364</v>
      </c>
      <c r="AN13" s="48">
        <f t="shared" si="14"/>
        <v>2255.1619756995301</v>
      </c>
      <c r="AO13" s="47">
        <f t="shared" si="15"/>
        <v>1.7512518895483784</v>
      </c>
      <c r="AP13" s="47">
        <f t="shared" si="16"/>
        <v>2.0012688915255827</v>
      </c>
      <c r="AQ13">
        <v>2021</v>
      </c>
    </row>
    <row r="14" spans="1:43" ht="13.5" customHeight="1">
      <c r="A14" s="55">
        <f>SUM(Y5:Y998)</f>
        <v>-147987.7900000001</v>
      </c>
      <c r="B14" s="97" t="s">
        <v>70</v>
      </c>
      <c r="C14" s="98">
        <v>18231134</v>
      </c>
      <c r="D14" s="61" t="s">
        <v>176</v>
      </c>
      <c r="E14" s="38" t="s">
        <v>1312</v>
      </c>
      <c r="F14" s="39" t="s">
        <v>1311</v>
      </c>
      <c r="G14" s="39">
        <v>12</v>
      </c>
      <c r="H14" s="39"/>
      <c r="I14" s="40" t="s">
        <v>257</v>
      </c>
      <c r="J14" s="41">
        <v>162</v>
      </c>
      <c r="K14" s="41">
        <v>91</v>
      </c>
      <c r="L14" s="41"/>
      <c r="M14" s="42">
        <v>37</v>
      </c>
      <c r="N14" s="42">
        <v>37</v>
      </c>
      <c r="O14" s="43">
        <v>14742</v>
      </c>
      <c r="P14" s="44">
        <v>5994</v>
      </c>
      <c r="Q14" s="44">
        <v>5994</v>
      </c>
      <c r="R14" s="45">
        <v>0</v>
      </c>
      <c r="S14" s="46">
        <v>0</v>
      </c>
      <c r="T14" s="39">
        <f t="shared" si="0"/>
        <v>12</v>
      </c>
      <c r="U14" s="47">
        <f t="shared" si="1"/>
        <v>7.3890922323551714E-3</v>
      </c>
      <c r="V14" s="48">
        <f t="shared" si="2"/>
        <v>0</v>
      </c>
      <c r="W14" s="49">
        <f t="shared" si="3"/>
        <v>6.1575768602959758E-4</v>
      </c>
      <c r="X14" s="44">
        <f t="shared" si="4"/>
        <v>1516.622917032395</v>
      </c>
      <c r="Y14" s="44">
        <f t="shared" si="5"/>
        <v>0</v>
      </c>
      <c r="Z14" s="44">
        <f t="shared" si="6"/>
        <v>7802.6136043494062</v>
      </c>
      <c r="AA14" s="50">
        <f t="shared" si="7"/>
        <v>7510.622917032395</v>
      </c>
      <c r="AB14" s="51">
        <f t="shared" si="8"/>
        <v>7294.2073519205433</v>
      </c>
      <c r="AC14" s="44">
        <f t="shared" si="8"/>
        <v>7021.2423268508874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0.86650348716649883</v>
      </c>
      <c r="AG14" s="44">
        <f t="shared" si="10"/>
        <v>12773.994407808525</v>
      </c>
      <c r="AH14" s="52">
        <f>HLOOKUP(I14,ElecAvoidedCostsWOCC!$A$5:$Q$50,T14+1,FALSE)</f>
        <v>0.86650348716649883</v>
      </c>
      <c r="AI14" s="44">
        <f t="shared" si="11"/>
        <v>0</v>
      </c>
      <c r="AJ14" s="44">
        <f t="shared" si="12"/>
        <v>12773.994407808525</v>
      </c>
      <c r="AK14" s="44">
        <f>HLOOKUP(I14,ElecAvoidedCostsWOCC!$A$5:$Q$50,G14+1,FALSE)*J14*L14</f>
        <v>0</v>
      </c>
      <c r="AL14" s="44">
        <f t="shared" si="13"/>
        <v>12773.994407808525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12773.994407808526</v>
      </c>
      <c r="AN14" s="48">
        <f t="shared" si="14"/>
        <v>14051.39384858938</v>
      </c>
      <c r="AO14" s="47">
        <f t="shared" si="15"/>
        <v>1.7512518895483786</v>
      </c>
      <c r="AP14" s="47">
        <f t="shared" si="16"/>
        <v>2.0012688915255827</v>
      </c>
      <c r="AQ14">
        <v>2021</v>
      </c>
    </row>
    <row r="15" spans="1:43" ht="13.5" customHeight="1">
      <c r="A15" s="57" t="s">
        <v>253</v>
      </c>
      <c r="B15" s="97" t="s">
        <v>70</v>
      </c>
      <c r="C15" s="98">
        <v>18231134</v>
      </c>
      <c r="D15" s="61" t="s">
        <v>176</v>
      </c>
      <c r="E15" s="38" t="s">
        <v>1313</v>
      </c>
      <c r="F15" s="39" t="s">
        <v>1314</v>
      </c>
      <c r="G15" s="39">
        <v>12</v>
      </c>
      <c r="H15" s="39"/>
      <c r="I15" s="40" t="s">
        <v>257</v>
      </c>
      <c r="J15" s="41">
        <v>9</v>
      </c>
      <c r="K15" s="41">
        <v>181</v>
      </c>
      <c r="L15" s="41"/>
      <c r="M15" s="42">
        <v>65</v>
      </c>
      <c r="N15" s="42">
        <v>65</v>
      </c>
      <c r="O15" s="43">
        <v>1629</v>
      </c>
      <c r="P15" s="44">
        <v>585</v>
      </c>
      <c r="Q15" s="44">
        <v>585</v>
      </c>
      <c r="R15" s="45">
        <v>0</v>
      </c>
      <c r="S15" s="46">
        <v>0</v>
      </c>
      <c r="T15" s="39">
        <f t="shared" si="0"/>
        <v>12</v>
      </c>
      <c r="U15" s="47">
        <f t="shared" si="1"/>
        <v>8.1649920272056521E-4</v>
      </c>
      <c r="V15" s="48">
        <f t="shared" si="2"/>
        <v>0</v>
      </c>
      <c r="W15" s="49">
        <f t="shared" si="3"/>
        <v>6.8041600226713772E-5</v>
      </c>
      <c r="X15" s="44">
        <f t="shared" si="4"/>
        <v>167.58775823129636</v>
      </c>
      <c r="Y15" s="44">
        <f t="shared" si="5"/>
        <v>0</v>
      </c>
      <c r="Z15" s="44">
        <f t="shared" si="6"/>
        <v>862.19356678097824</v>
      </c>
      <c r="AA15" s="50">
        <f t="shared" si="7"/>
        <v>752.58775823129633</v>
      </c>
      <c r="AB15" s="51">
        <f t="shared" si="8"/>
        <v>806.01436550526148</v>
      </c>
      <c r="AC15" s="44">
        <f t="shared" si="8"/>
        <v>703.55030217004423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0.86650348716649883</v>
      </c>
      <c r="AG15" s="44">
        <f t="shared" si="10"/>
        <v>1411.5341805942267</v>
      </c>
      <c r="AH15" s="52">
        <f>HLOOKUP(I15,ElecAvoidedCostsWOCC!$A$5:$Q$50,T15+1,FALSE)</f>
        <v>0.86650348716649883</v>
      </c>
      <c r="AI15" s="44">
        <f t="shared" si="11"/>
        <v>0</v>
      </c>
      <c r="AJ15" s="44">
        <f t="shared" si="12"/>
        <v>1411.5341805942267</v>
      </c>
      <c r="AK15" s="44">
        <f>HLOOKUP(I15,ElecAvoidedCostsWOCC!$A$5:$Q$50,G15+1,FALSE)*J15*L15</f>
        <v>0</v>
      </c>
      <c r="AL15" s="44">
        <f t="shared" si="13"/>
        <v>1411.5341805942267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1411.5341805942267</v>
      </c>
      <c r="AN15" s="48">
        <f t="shared" si="14"/>
        <v>1552.6875986536495</v>
      </c>
      <c r="AO15" s="47">
        <f t="shared" si="15"/>
        <v>1.7512518895483786</v>
      </c>
      <c r="AP15" s="47">
        <f t="shared" si="16"/>
        <v>2.2069318908179127</v>
      </c>
      <c r="AQ15">
        <v>2021</v>
      </c>
    </row>
    <row r="16" spans="1:43" ht="13.5" customHeight="1">
      <c r="A16" s="54">
        <f>SUM(U5:U997)</f>
        <v>13.175850655031365</v>
      </c>
      <c r="B16" s="97" t="s">
        <v>70</v>
      </c>
      <c r="C16" s="98">
        <v>18231134</v>
      </c>
      <c r="D16" s="61" t="s">
        <v>176</v>
      </c>
      <c r="E16" s="38" t="s">
        <v>1315</v>
      </c>
      <c r="F16" s="39" t="s">
        <v>1314</v>
      </c>
      <c r="G16" s="39">
        <v>12</v>
      </c>
      <c r="H16" s="39"/>
      <c r="I16" s="40" t="s">
        <v>257</v>
      </c>
      <c r="J16" s="41">
        <v>1634</v>
      </c>
      <c r="K16" s="41">
        <v>183</v>
      </c>
      <c r="L16" s="41"/>
      <c r="M16" s="42">
        <v>65</v>
      </c>
      <c r="N16" s="42">
        <v>65</v>
      </c>
      <c r="O16" s="43">
        <v>299022</v>
      </c>
      <c r="P16" s="44">
        <v>106210</v>
      </c>
      <c r="Q16" s="44">
        <v>106210</v>
      </c>
      <c r="R16" s="45">
        <v>0</v>
      </c>
      <c r="S16" s="46">
        <v>0</v>
      </c>
      <c r="T16" s="39">
        <f t="shared" si="0"/>
        <v>12</v>
      </c>
      <c r="U16" s="47">
        <f t="shared" si="1"/>
        <v>0.14987797703861808</v>
      </c>
      <c r="V16" s="48">
        <f t="shared" si="2"/>
        <v>0</v>
      </c>
      <c r="W16" s="49">
        <f t="shared" si="3"/>
        <v>1.248983141988484E-2</v>
      </c>
      <c r="X16" s="44">
        <f t="shared" si="4"/>
        <v>30762.692843363231</v>
      </c>
      <c r="Y16" s="44">
        <f t="shared" si="5"/>
        <v>0</v>
      </c>
      <c r="Z16" s="44">
        <f t="shared" si="6"/>
        <v>158265.7119250962</v>
      </c>
      <c r="AA16" s="50">
        <f t="shared" si="7"/>
        <v>136972.69284336324</v>
      </c>
      <c r="AB16" s="51">
        <f t="shared" si="8"/>
        <v>147953.36255501184</v>
      </c>
      <c r="AC16" s="44">
        <f t="shared" si="8"/>
        <v>128047.76371259533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0.86650348716649883</v>
      </c>
      <c r="AG16" s="44">
        <f t="shared" si="10"/>
        <v>259103.60573950081</v>
      </c>
      <c r="AH16" s="52">
        <f>HLOOKUP(I16,ElecAvoidedCostsWOCC!$A$5:$Q$50,T16+1,FALSE)</f>
        <v>0.86650348716649883</v>
      </c>
      <c r="AI16" s="44">
        <f t="shared" si="11"/>
        <v>0</v>
      </c>
      <c r="AJ16" s="44">
        <f t="shared" si="12"/>
        <v>259103.60573950081</v>
      </c>
      <c r="AK16" s="44">
        <f>HLOOKUP(I16,ElecAvoidedCostsWOCC!$A$5:$Q$50,G16+1,FALSE)*J16*L16</f>
        <v>0</v>
      </c>
      <c r="AL16" s="44">
        <f t="shared" si="13"/>
        <v>259103.60573950081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259103.60573950081</v>
      </c>
      <c r="AN16" s="48">
        <f t="shared" si="14"/>
        <v>285013.96631345089</v>
      </c>
      <c r="AO16" s="47">
        <f t="shared" si="15"/>
        <v>1.7512518895483786</v>
      </c>
      <c r="AP16" s="47">
        <f t="shared" si="16"/>
        <v>2.2258410303296507</v>
      </c>
      <c r="AQ16">
        <v>2021</v>
      </c>
    </row>
    <row r="17" spans="1:43" ht="13.5" customHeight="1">
      <c r="A17" s="58" t="s">
        <v>254</v>
      </c>
      <c r="B17" s="97" t="s">
        <v>70</v>
      </c>
      <c r="C17" s="98">
        <v>18231134</v>
      </c>
      <c r="D17" s="61" t="s">
        <v>176</v>
      </c>
      <c r="E17" s="38" t="s">
        <v>1316</v>
      </c>
      <c r="F17" s="39" t="s">
        <v>1317</v>
      </c>
      <c r="G17" s="39">
        <v>12</v>
      </c>
      <c r="H17" s="39"/>
      <c r="I17" s="40" t="s">
        <v>257</v>
      </c>
      <c r="J17" s="41">
        <v>34</v>
      </c>
      <c r="K17" s="41">
        <v>417</v>
      </c>
      <c r="L17" s="41"/>
      <c r="M17" s="42">
        <v>65</v>
      </c>
      <c r="N17" s="42">
        <v>65</v>
      </c>
      <c r="O17" s="43">
        <v>14178</v>
      </c>
      <c r="P17" s="44">
        <v>2210</v>
      </c>
      <c r="Q17" s="44">
        <v>2210</v>
      </c>
      <c r="R17" s="45">
        <v>0</v>
      </c>
      <c r="S17" s="46">
        <v>0</v>
      </c>
      <c r="T17" s="39">
        <f t="shared" si="0"/>
        <v>12</v>
      </c>
      <c r="U17" s="47">
        <f t="shared" si="1"/>
        <v>7.1064000590375532E-3</v>
      </c>
      <c r="V17" s="48">
        <f t="shared" si="2"/>
        <v>0</v>
      </c>
      <c r="W17" s="49">
        <f t="shared" si="3"/>
        <v>5.922000049197961E-4</v>
      </c>
      <c r="X17" s="44">
        <f t="shared" si="4"/>
        <v>1458.5998994495519</v>
      </c>
      <c r="Y17" s="44">
        <f t="shared" si="5"/>
        <v>0</v>
      </c>
      <c r="Z17" s="44">
        <f t="shared" si="6"/>
        <v>7504.1009145615162</v>
      </c>
      <c r="AA17" s="50">
        <f t="shared" si="7"/>
        <v>3668.5998994495521</v>
      </c>
      <c r="AB17" s="51">
        <f t="shared" si="8"/>
        <v>7015.1452879887029</v>
      </c>
      <c r="AC17" s="44">
        <f t="shared" si="8"/>
        <v>3429.5595956338711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0.86650348716649883</v>
      </c>
      <c r="AG17" s="44">
        <f t="shared" si="10"/>
        <v>12285.286441046621</v>
      </c>
      <c r="AH17" s="52">
        <f>HLOOKUP(I17,ElecAvoidedCostsWOCC!$A$5:$Q$50,T17+1,FALSE)</f>
        <v>0.86650348716649883</v>
      </c>
      <c r="AI17" s="44">
        <f t="shared" si="11"/>
        <v>0</v>
      </c>
      <c r="AJ17" s="44">
        <f t="shared" si="12"/>
        <v>12285.286441046621</v>
      </c>
      <c r="AK17" s="44">
        <f>HLOOKUP(I17,ElecAvoidedCostsWOCC!$A$5:$Q$50,G17+1,FALSE)*J17*L17</f>
        <v>0</v>
      </c>
      <c r="AL17" s="44">
        <f t="shared" si="13"/>
        <v>12285.286441046621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12285.286441046619</v>
      </c>
      <c r="AN17" s="48">
        <f t="shared" si="14"/>
        <v>13513.815085151282</v>
      </c>
      <c r="AO17" s="47">
        <f t="shared" si="15"/>
        <v>1.7512518895483784</v>
      </c>
      <c r="AP17" s="47">
        <f t="shared" si="16"/>
        <v>3.9403937177110286</v>
      </c>
      <c r="AQ17">
        <v>2021</v>
      </c>
    </row>
    <row r="18" spans="1:43" ht="13.5" customHeight="1">
      <c r="A18" s="59">
        <f>A6+A8</f>
        <v>12671565.1</v>
      </c>
      <c r="B18" s="97" t="s">
        <v>70</v>
      </c>
      <c r="C18" s="98">
        <v>18231134</v>
      </c>
      <c r="D18" s="61" t="s">
        <v>176</v>
      </c>
      <c r="E18" s="38" t="s">
        <v>1318</v>
      </c>
      <c r="F18" s="39" t="s">
        <v>1317</v>
      </c>
      <c r="G18" s="39">
        <v>12</v>
      </c>
      <c r="H18" s="39"/>
      <c r="I18" s="40" t="s">
        <v>257</v>
      </c>
      <c r="J18" s="41">
        <v>5</v>
      </c>
      <c r="K18" s="41">
        <v>420</v>
      </c>
      <c r="L18" s="41"/>
      <c r="M18" s="42">
        <v>65</v>
      </c>
      <c r="N18" s="42">
        <v>65</v>
      </c>
      <c r="O18" s="43">
        <v>2100</v>
      </c>
      <c r="P18" s="44">
        <v>325</v>
      </c>
      <c r="Q18" s="44">
        <v>325</v>
      </c>
      <c r="R18" s="45">
        <v>0</v>
      </c>
      <c r="S18" s="46">
        <v>0</v>
      </c>
      <c r="T18" s="39">
        <f t="shared" si="0"/>
        <v>12</v>
      </c>
      <c r="U18" s="47">
        <f t="shared" si="1"/>
        <v>1.0525772410762352E-3</v>
      </c>
      <c r="V18" s="48">
        <f t="shared" si="2"/>
        <v>0</v>
      </c>
      <c r="W18" s="49">
        <f t="shared" si="3"/>
        <v>8.7714770089686268E-5</v>
      </c>
      <c r="X18" s="44">
        <f t="shared" si="4"/>
        <v>216.04315057441522</v>
      </c>
      <c r="Y18" s="44">
        <f t="shared" si="5"/>
        <v>0</v>
      </c>
      <c r="Z18" s="44">
        <f t="shared" si="6"/>
        <v>1111.4834194229925</v>
      </c>
      <c r="AA18" s="50">
        <f t="shared" si="7"/>
        <v>541.04315057441522</v>
      </c>
      <c r="AB18" s="51">
        <f t="shared" si="8"/>
        <v>1039.060876341958</v>
      </c>
      <c r="AC18" s="44">
        <f t="shared" si="8"/>
        <v>505.78961444742936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0.86650348716649883</v>
      </c>
      <c r="AG18" s="44">
        <f t="shared" si="10"/>
        <v>1819.6573230496474</v>
      </c>
      <c r="AH18" s="52">
        <f>HLOOKUP(I18,ElecAvoidedCostsWOCC!$A$5:$Q$50,T18+1,FALSE)</f>
        <v>0.86650348716649883</v>
      </c>
      <c r="AI18" s="44">
        <f t="shared" si="11"/>
        <v>0</v>
      </c>
      <c r="AJ18" s="44">
        <f t="shared" si="12"/>
        <v>1819.6573230496474</v>
      </c>
      <c r="AK18" s="44">
        <f>HLOOKUP(I18,ElecAvoidedCostsWOCC!$A$5:$Q$50,G18+1,FALSE)*J18*L18</f>
        <v>0</v>
      </c>
      <c r="AL18" s="44">
        <f t="shared" si="13"/>
        <v>1819.6573230496474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1819.6573230496474</v>
      </c>
      <c r="AN18" s="48">
        <f t="shared" si="14"/>
        <v>2001.6230553546122</v>
      </c>
      <c r="AO18" s="47">
        <f t="shared" si="15"/>
        <v>1.751251889548378</v>
      </c>
      <c r="AP18" s="47">
        <f t="shared" si="16"/>
        <v>3.9574222130704828</v>
      </c>
      <c r="AQ18">
        <v>2021</v>
      </c>
    </row>
    <row r="19" spans="1:43" ht="13.5" customHeight="1">
      <c r="A19" s="58" t="s">
        <v>231</v>
      </c>
      <c r="B19" s="97" t="s">
        <v>70</v>
      </c>
      <c r="C19" s="98">
        <v>18231134</v>
      </c>
      <c r="D19" s="61" t="s">
        <v>176</v>
      </c>
      <c r="E19" s="38" t="s">
        <v>1319</v>
      </c>
      <c r="F19" s="39" t="s">
        <v>1320</v>
      </c>
      <c r="G19" s="39">
        <v>12</v>
      </c>
      <c r="H19" s="39"/>
      <c r="I19" s="40" t="s">
        <v>257</v>
      </c>
      <c r="J19" s="41">
        <v>1</v>
      </c>
      <c r="K19" s="41">
        <v>272</v>
      </c>
      <c r="L19" s="41"/>
      <c r="M19" s="42">
        <v>100</v>
      </c>
      <c r="N19" s="42">
        <v>100</v>
      </c>
      <c r="O19" s="43">
        <v>272</v>
      </c>
      <c r="P19" s="44">
        <v>100</v>
      </c>
      <c r="Q19" s="44">
        <v>100</v>
      </c>
      <c r="R19" s="45">
        <v>0</v>
      </c>
      <c r="S19" s="46">
        <v>0</v>
      </c>
      <c r="T19" s="39">
        <f t="shared" si="0"/>
        <v>12</v>
      </c>
      <c r="U19" s="47">
        <f t="shared" si="1"/>
        <v>1.3633381408225523E-4</v>
      </c>
      <c r="V19" s="48">
        <f t="shared" si="2"/>
        <v>0</v>
      </c>
      <c r="W19" s="49">
        <f t="shared" si="3"/>
        <v>1.1361151173521269E-5</v>
      </c>
      <c r="X19" s="44">
        <f t="shared" si="4"/>
        <v>27.982731883924259</v>
      </c>
      <c r="Y19" s="44">
        <f t="shared" si="5"/>
        <v>0</v>
      </c>
      <c r="Z19" s="44">
        <f t="shared" si="6"/>
        <v>143.96356670621617</v>
      </c>
      <c r="AA19" s="50">
        <f t="shared" si="7"/>
        <v>127.98273188392426</v>
      </c>
      <c r="AB19" s="51">
        <f t="shared" si="8"/>
        <v>134.58312303095835</v>
      </c>
      <c r="AC19" s="44">
        <f t="shared" si="8"/>
        <v>119.64357472555319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0.86650348716649883</v>
      </c>
      <c r="AG19" s="44">
        <f t="shared" si="10"/>
        <v>235.68894850928768</v>
      </c>
      <c r="AH19" s="52">
        <f>HLOOKUP(I19,ElecAvoidedCostsWOCC!$A$5:$Q$50,T19+1,FALSE)</f>
        <v>0.86650348716649883</v>
      </c>
      <c r="AI19" s="44">
        <f t="shared" si="11"/>
        <v>0</v>
      </c>
      <c r="AJ19" s="44">
        <f t="shared" si="12"/>
        <v>235.68894850928768</v>
      </c>
      <c r="AK19" s="44">
        <f>HLOOKUP(I19,ElecAvoidedCostsWOCC!$A$5:$Q$50,G19+1,FALSE)*J19*L19</f>
        <v>0</v>
      </c>
      <c r="AL19" s="44">
        <f t="shared" si="13"/>
        <v>235.68894850928768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235.68894850928768</v>
      </c>
      <c r="AN19" s="48">
        <f t="shared" si="14"/>
        <v>259.2578433602165</v>
      </c>
      <c r="AO19" s="47">
        <f t="shared" si="15"/>
        <v>1.7512518895483784</v>
      </c>
      <c r="AP19" s="47">
        <f t="shared" si="16"/>
        <v>2.1669182315466609</v>
      </c>
      <c r="AQ19">
        <v>2021</v>
      </c>
    </row>
    <row r="20" spans="1:43" ht="13.5" customHeight="1">
      <c r="A20" s="59">
        <f>A8+SUM(Q5:Q904)</f>
        <v>11610538.639999999</v>
      </c>
      <c r="B20" s="97" t="s">
        <v>70</v>
      </c>
      <c r="C20" s="98">
        <v>18231134</v>
      </c>
      <c r="D20" s="61" t="s">
        <v>176</v>
      </c>
      <c r="E20" s="38" t="s">
        <v>1321</v>
      </c>
      <c r="F20" s="39" t="s">
        <v>1320</v>
      </c>
      <c r="G20" s="39">
        <v>12</v>
      </c>
      <c r="H20" s="39"/>
      <c r="I20" s="40" t="s">
        <v>257</v>
      </c>
      <c r="J20" s="41">
        <v>90</v>
      </c>
      <c r="K20" s="41">
        <v>274</v>
      </c>
      <c r="L20" s="41"/>
      <c r="M20" s="42">
        <v>100</v>
      </c>
      <c r="N20" s="42">
        <v>100</v>
      </c>
      <c r="O20" s="43">
        <v>24660</v>
      </c>
      <c r="P20" s="44">
        <v>9000</v>
      </c>
      <c r="Q20" s="44">
        <v>9000</v>
      </c>
      <c r="R20" s="45">
        <v>0</v>
      </c>
      <c r="S20" s="46">
        <v>0</v>
      </c>
      <c r="T20" s="39">
        <f t="shared" si="0"/>
        <v>12</v>
      </c>
      <c r="U20" s="47">
        <f t="shared" si="1"/>
        <v>1.2360264173780933E-2</v>
      </c>
      <c r="V20" s="48">
        <f t="shared" si="2"/>
        <v>0</v>
      </c>
      <c r="W20" s="49">
        <f t="shared" si="3"/>
        <v>1.0300220144817444E-3</v>
      </c>
      <c r="X20" s="44">
        <f t="shared" si="4"/>
        <v>2536.9638538881331</v>
      </c>
      <c r="Y20" s="44">
        <f t="shared" si="5"/>
        <v>0</v>
      </c>
      <c r="Z20" s="44">
        <f t="shared" si="6"/>
        <v>13051.991010938567</v>
      </c>
      <c r="AA20" s="50">
        <f t="shared" si="7"/>
        <v>11536.963853888134</v>
      </c>
      <c r="AB20" s="51">
        <f t="shared" ref="AB20:AC23" si="18">Z20/(1+ElecDiscountRate)^1</f>
        <v>12201.543433615561</v>
      </c>
      <c r="AC20" s="44">
        <f t="shared" si="18"/>
        <v>10785.233106373873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0.86650348716649883</v>
      </c>
      <c r="AG20" s="44">
        <f t="shared" si="10"/>
        <v>21367.975993525863</v>
      </c>
      <c r="AH20" s="52">
        <f>HLOOKUP(I20,ElecAvoidedCostsWOCC!$A$5:$Q$50,T20+1,FALSE)</f>
        <v>0.86650348716649883</v>
      </c>
      <c r="AI20" s="44">
        <f t="shared" si="11"/>
        <v>0</v>
      </c>
      <c r="AJ20" s="44">
        <f t="shared" si="12"/>
        <v>21367.975993525863</v>
      </c>
      <c r="AK20" s="44">
        <f>HLOOKUP(I20,ElecAvoidedCostsWOCC!$A$5:$Q$50,G20+1,FALSE)*J20*L20</f>
        <v>0</v>
      </c>
      <c r="AL20" s="44">
        <f t="shared" si="13"/>
        <v>21367.975993525863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21367.975993525863</v>
      </c>
      <c r="AN20" s="48">
        <f t="shared" si="14"/>
        <v>23504.77359287845</v>
      </c>
      <c r="AO20" s="47">
        <f t="shared" si="15"/>
        <v>1.7512518895483786</v>
      </c>
      <c r="AP20" s="47">
        <f t="shared" si="16"/>
        <v>2.1793477582777108</v>
      </c>
      <c r="AQ20">
        <v>2021</v>
      </c>
    </row>
    <row r="21" spans="1:43" ht="13.5" customHeight="1">
      <c r="A21" s="58" t="s">
        <v>245</v>
      </c>
      <c r="B21" s="97" t="s">
        <v>70</v>
      </c>
      <c r="C21" s="98">
        <v>18231134</v>
      </c>
      <c r="D21" s="61" t="s">
        <v>176</v>
      </c>
      <c r="E21" s="38" t="s">
        <v>1322</v>
      </c>
      <c r="F21" s="39" t="s">
        <v>1323</v>
      </c>
      <c r="G21" s="39">
        <v>12</v>
      </c>
      <c r="H21" s="39"/>
      <c r="I21" s="40" t="s">
        <v>257</v>
      </c>
      <c r="J21" s="41">
        <v>18</v>
      </c>
      <c r="K21" s="41">
        <v>363</v>
      </c>
      <c r="L21" s="41"/>
      <c r="M21" s="42">
        <v>127</v>
      </c>
      <c r="N21" s="42">
        <v>127</v>
      </c>
      <c r="O21" s="43">
        <v>6534</v>
      </c>
      <c r="P21" s="44">
        <v>2286</v>
      </c>
      <c r="Q21" s="44">
        <v>2286</v>
      </c>
      <c r="R21" s="45">
        <v>0</v>
      </c>
      <c r="S21" s="46">
        <v>0</v>
      </c>
      <c r="T21" s="39">
        <f t="shared" si="0"/>
        <v>12</v>
      </c>
      <c r="U21" s="47">
        <f t="shared" si="1"/>
        <v>3.2750189015200572E-3</v>
      </c>
      <c r="V21" s="48">
        <f t="shared" si="2"/>
        <v>0</v>
      </c>
      <c r="W21" s="49">
        <f t="shared" si="3"/>
        <v>2.729182417933381E-4</v>
      </c>
      <c r="X21" s="44">
        <f t="shared" si="4"/>
        <v>672.20283135868044</v>
      </c>
      <c r="Y21" s="44">
        <f t="shared" si="5"/>
        <v>0</v>
      </c>
      <c r="Z21" s="44">
        <f t="shared" si="6"/>
        <v>3458.3012678618243</v>
      </c>
      <c r="AA21" s="50">
        <f t="shared" si="7"/>
        <v>2958.2028313586807</v>
      </c>
      <c r="AB21" s="51">
        <f t="shared" si="18"/>
        <v>3232.9636981039766</v>
      </c>
      <c r="AC21" s="44">
        <f t="shared" si="18"/>
        <v>2765.4509033922413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0.86650348716649883</v>
      </c>
      <c r="AG21" s="44">
        <f t="shared" si="10"/>
        <v>5661.7337851459033</v>
      </c>
      <c r="AH21" s="52">
        <f>HLOOKUP(I21,ElecAvoidedCostsWOCC!$A$5:$Q$50,T21+1,FALSE)</f>
        <v>0.86650348716649883</v>
      </c>
      <c r="AI21" s="44">
        <f t="shared" si="11"/>
        <v>0</v>
      </c>
      <c r="AJ21" s="44">
        <f t="shared" si="12"/>
        <v>5661.7337851459033</v>
      </c>
      <c r="AK21" s="44">
        <f>HLOOKUP(I21,ElecAvoidedCostsWOCC!$A$5:$Q$50,G21+1,FALSE)*J21*L21</f>
        <v>0</v>
      </c>
      <c r="AL21" s="44">
        <f t="shared" si="13"/>
        <v>5661.7337851459033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5661.7337851459033</v>
      </c>
      <c r="AN21" s="48">
        <f t="shared" si="14"/>
        <v>6227.907163660494</v>
      </c>
      <c r="AO21" s="47">
        <f t="shared" si="15"/>
        <v>1.7512518895483786</v>
      </c>
      <c r="AP21" s="47">
        <f t="shared" si="16"/>
        <v>2.2520404018097118</v>
      </c>
      <c r="AQ21">
        <v>2021</v>
      </c>
    </row>
    <row r="22" spans="1:43" ht="13.5" customHeight="1">
      <c r="A22" s="60">
        <f>(SUM(AM5:AM998)/(SUM(AB5:AB998)))</f>
        <v>1.8991473496517517</v>
      </c>
      <c r="B22" s="97" t="s">
        <v>70</v>
      </c>
      <c r="C22" s="98">
        <v>18231134</v>
      </c>
      <c r="D22" s="61" t="s">
        <v>176</v>
      </c>
      <c r="E22" s="38" t="s">
        <v>1324</v>
      </c>
      <c r="F22" s="39" t="s">
        <v>1323</v>
      </c>
      <c r="G22" s="39">
        <v>12</v>
      </c>
      <c r="H22" s="39"/>
      <c r="I22" s="40" t="s">
        <v>257</v>
      </c>
      <c r="J22" s="41">
        <v>1394</v>
      </c>
      <c r="K22" s="41">
        <v>366</v>
      </c>
      <c r="L22" s="41"/>
      <c r="M22" s="42">
        <v>127</v>
      </c>
      <c r="N22" s="42">
        <v>127</v>
      </c>
      <c r="O22" s="43">
        <v>510204</v>
      </c>
      <c r="P22" s="44">
        <v>177038</v>
      </c>
      <c r="Q22" s="44">
        <v>177038</v>
      </c>
      <c r="R22" s="45">
        <v>0</v>
      </c>
      <c r="S22" s="46">
        <v>0</v>
      </c>
      <c r="T22" s="39">
        <f t="shared" si="0"/>
        <v>12</v>
      </c>
      <c r="U22" s="47">
        <f t="shared" si="1"/>
        <v>0.25572815176479025</v>
      </c>
      <c r="V22" s="48">
        <f t="shared" si="2"/>
        <v>0</v>
      </c>
      <c r="W22" s="49">
        <f t="shared" si="3"/>
        <v>2.1310679313732518E-2</v>
      </c>
      <c r="X22" s="44">
        <f t="shared" si="4"/>
        <v>52488.60933127092</v>
      </c>
      <c r="Y22" s="44">
        <f t="shared" si="5"/>
        <v>0</v>
      </c>
      <c r="Z22" s="44">
        <f t="shared" si="6"/>
        <v>270039.66024918493</v>
      </c>
      <c r="AA22" s="50">
        <f t="shared" si="7"/>
        <v>229526.60933127091</v>
      </c>
      <c r="AB22" s="51">
        <f t="shared" si="18"/>
        <v>252444.2930253201</v>
      </c>
      <c r="AC22" s="44">
        <f t="shared" si="18"/>
        <v>214571.0099385537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0.86650348716649883</v>
      </c>
      <c r="AG22" s="44">
        <f t="shared" si="10"/>
        <v>442093.54516629636</v>
      </c>
      <c r="AH22" s="52">
        <f>HLOOKUP(I22,ElecAvoidedCostsWOCC!$A$5:$Q$50,T22+1,FALSE)</f>
        <v>0.86650348716649883</v>
      </c>
      <c r="AI22" s="44">
        <f t="shared" si="11"/>
        <v>0</v>
      </c>
      <c r="AJ22" s="44">
        <f t="shared" si="12"/>
        <v>442093.54516629636</v>
      </c>
      <c r="AK22" s="44">
        <f>HLOOKUP(I22,ElecAvoidedCostsWOCC!$A$5:$Q$50,G22+1,FALSE)*J22*L22</f>
        <v>0</v>
      </c>
      <c r="AL22" s="44">
        <f t="shared" si="13"/>
        <v>442093.54516629636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442093.54516629636</v>
      </c>
      <c r="AN22" s="48">
        <f t="shared" si="14"/>
        <v>486302.89968292601</v>
      </c>
      <c r="AO22" s="47">
        <f t="shared" si="15"/>
        <v>1.7512518895483784</v>
      </c>
      <c r="AP22" s="47">
        <f t="shared" si="16"/>
        <v>2.2663960980664988</v>
      </c>
      <c r="AQ22">
        <v>2021</v>
      </c>
    </row>
    <row r="23" spans="1:43" ht="13.5" customHeight="1">
      <c r="A23" s="58" t="s">
        <v>246</v>
      </c>
      <c r="B23" s="97" t="s">
        <v>70</v>
      </c>
      <c r="C23" s="98">
        <v>18231134</v>
      </c>
      <c r="D23" s="61" t="s">
        <v>176</v>
      </c>
      <c r="E23" s="38" t="s">
        <v>1325</v>
      </c>
      <c r="F23" s="39" t="s">
        <v>1326</v>
      </c>
      <c r="G23" s="39">
        <v>12</v>
      </c>
      <c r="H23" s="39"/>
      <c r="I23" s="40" t="s">
        <v>257</v>
      </c>
      <c r="J23" s="41">
        <v>3</v>
      </c>
      <c r="K23" s="41">
        <v>840</v>
      </c>
      <c r="L23" s="41"/>
      <c r="M23" s="42">
        <v>127</v>
      </c>
      <c r="N23" s="42">
        <v>127</v>
      </c>
      <c r="O23" s="43">
        <v>2520</v>
      </c>
      <c r="P23" s="44">
        <v>381</v>
      </c>
      <c r="Q23" s="44">
        <v>381</v>
      </c>
      <c r="R23" s="45">
        <v>0</v>
      </c>
      <c r="S23" s="46">
        <v>0</v>
      </c>
      <c r="T23" s="39">
        <f t="shared" si="0"/>
        <v>12</v>
      </c>
      <c r="U23" s="47">
        <f t="shared" si="1"/>
        <v>1.2630926892914821E-3</v>
      </c>
      <c r="V23" s="48">
        <f t="shared" si="2"/>
        <v>0</v>
      </c>
      <c r="W23" s="49">
        <f t="shared" si="3"/>
        <v>1.0525772410762351E-4</v>
      </c>
      <c r="X23" s="44">
        <f t="shared" si="4"/>
        <v>259.25178068929824</v>
      </c>
      <c r="Y23" s="44">
        <f t="shared" si="5"/>
        <v>0</v>
      </c>
      <c r="Z23" s="44">
        <f t="shared" si="6"/>
        <v>1333.7801033075907</v>
      </c>
      <c r="AA23" s="50">
        <f t="shared" si="7"/>
        <v>640.25178068929824</v>
      </c>
      <c r="AB23" s="51">
        <f t="shared" si="18"/>
        <v>1246.8730516103492</v>
      </c>
      <c r="AC23" s="44">
        <f t="shared" si="18"/>
        <v>598.53396343769111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0.86650348716649883</v>
      </c>
      <c r="AG23" s="44">
        <f t="shared" si="10"/>
        <v>2183.5887876595771</v>
      </c>
      <c r="AH23" s="52">
        <f>HLOOKUP(I23,ElecAvoidedCostsWOCC!$A$5:$Q$50,T23+1,FALSE)</f>
        <v>0.86650348716649883</v>
      </c>
      <c r="AI23" s="44">
        <f t="shared" si="11"/>
        <v>0</v>
      </c>
      <c r="AJ23" s="44">
        <f t="shared" si="12"/>
        <v>2183.5887876595771</v>
      </c>
      <c r="AK23" s="44">
        <f>HLOOKUP(I23,ElecAvoidedCostsWOCC!$A$5:$Q$50,G23+1,FALSE)*J23*L23</f>
        <v>0</v>
      </c>
      <c r="AL23" s="44">
        <f t="shared" si="13"/>
        <v>2183.5887876595771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2183.5887876595771</v>
      </c>
      <c r="AN23" s="48">
        <f t="shared" si="14"/>
        <v>2401.9476664255349</v>
      </c>
      <c r="AO23" s="47">
        <f t="shared" si="15"/>
        <v>1.7512518895483786</v>
      </c>
      <c r="AP23" s="47">
        <f t="shared" si="16"/>
        <v>4.0130515779420488</v>
      </c>
      <c r="AQ23">
        <v>2021</v>
      </c>
    </row>
    <row r="24" spans="1:43" ht="13.5" customHeight="1">
      <c r="A24" s="60">
        <f>(SUM(AN5:AN998)/SUM(AC5:AC998))</f>
        <v>2.2803031369852143</v>
      </c>
      <c r="B24" s="97" t="s">
        <v>70</v>
      </c>
      <c r="C24" s="98">
        <v>18231134</v>
      </c>
      <c r="D24" s="61" t="s">
        <v>176</v>
      </c>
      <c r="E24" s="38" t="s">
        <v>1327</v>
      </c>
      <c r="F24" s="39" t="s">
        <v>1328</v>
      </c>
      <c r="G24" s="39">
        <v>9</v>
      </c>
      <c r="H24" s="39"/>
      <c r="I24" s="40" t="s">
        <v>256</v>
      </c>
      <c r="J24" s="41">
        <v>9</v>
      </c>
      <c r="K24" s="41">
        <v>153.30000000000001</v>
      </c>
      <c r="L24" s="41"/>
      <c r="M24" s="42">
        <v>60</v>
      </c>
      <c r="N24" s="42">
        <v>60</v>
      </c>
      <c r="O24" s="43">
        <v>1379.7</v>
      </c>
      <c r="P24" s="44">
        <v>540</v>
      </c>
      <c r="Q24" s="44">
        <v>540</v>
      </c>
      <c r="R24" s="45"/>
      <c r="S24" s="46"/>
      <c r="T24" s="39">
        <f t="shared" ref="T24:T86" si="19">G24+H24</f>
        <v>9</v>
      </c>
      <c r="U24" s="47">
        <f t="shared" ref="U24:U86" si="20">(O24/$A$10)*T24</f>
        <v>5.1865743554031492E-4</v>
      </c>
      <c r="V24" s="48">
        <f t="shared" ref="V24:V86" si="21">N24-M24</f>
        <v>0</v>
      </c>
      <c r="W24" s="49">
        <f t="shared" ref="W24:W86" si="22">(O24/A$10)</f>
        <v>5.7628603948923876E-5</v>
      </c>
      <c r="X24" s="44">
        <f t="shared" ref="X24:X86" si="23">W24*A$8</f>
        <v>141.9403499273908</v>
      </c>
      <c r="Y24" s="44">
        <f t="shared" ref="Y24:Y86" si="24">Q24-P24</f>
        <v>0</v>
      </c>
      <c r="Z24" s="44">
        <f t="shared" ref="Z24:Z86" si="25">X24+(A$6*W24)</f>
        <v>730.24460656090594</v>
      </c>
      <c r="AA24" s="50">
        <f t="shared" ref="AA24:AA86" si="26">Q24+X24</f>
        <v>681.9403499273908</v>
      </c>
      <c r="AB24" s="51">
        <f t="shared" ref="AB24:AB86" si="27">Z24/(1+ElecDiscountRate)^1</f>
        <v>682.66299575666619</v>
      </c>
      <c r="AC24" s="44">
        <f t="shared" ref="AC24:AC86" si="28">AA24/(1+ElecDiscountRate)^1</f>
        <v>637.50616988631464</v>
      </c>
      <c r="AD24" s="44">
        <f t="shared" ref="AD24:AD86" si="29">-PV(ElecDiscountRate,T24,R24)*J24</f>
        <v>0</v>
      </c>
      <c r="AE24" s="44">
        <f t="shared" ref="AE24:AE86" si="30">-PV(ElecDiscountRate,T24,S24)*J24</f>
        <v>0</v>
      </c>
      <c r="AF24" s="52">
        <f>HLOOKUP(I24,ElecAvoidedCostsWOCC!$A$5:$Q$50,G24+1,FALSE)</f>
        <v>0.63677272899882087</v>
      </c>
      <c r="AG24" s="44">
        <f t="shared" ref="AG24:AG86" si="31">AF24*J24*K24</f>
        <v>878.55533419967321</v>
      </c>
      <c r="AH24" s="52">
        <f>HLOOKUP(I24,ElecAvoidedCostsWOCC!$A$5:$Q$50,T24+1,FALSE)</f>
        <v>0.63677272899882087</v>
      </c>
      <c r="AI24" s="44">
        <f t="shared" ref="AI24:AI86" si="32">AH24*J24*L24</f>
        <v>0</v>
      </c>
      <c r="AJ24" s="44">
        <f t="shared" ref="AJ24:AJ86" si="33">AG24+AI24</f>
        <v>878.55533419967321</v>
      </c>
      <c r="AK24" s="44">
        <f>HLOOKUP(I24,ElecAvoidedCostsWOCC!$A$5:$Q$50,G24+1,FALSE)*J24*L24</f>
        <v>0</v>
      </c>
      <c r="AL24" s="44">
        <f t="shared" ref="AL24:AL86" si="34">AG24+AI24-AK24</f>
        <v>878.55533419967321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878.55533419967333</v>
      </c>
      <c r="AN24" s="48">
        <f t="shared" ref="AN24:AN86" si="35">AM24*1.1+AD24+AE24</f>
        <v>966.41086761964073</v>
      </c>
      <c r="AO24" s="47">
        <f t="shared" ref="AO24:AO86" si="36">IFERROR(AM24/AB24,0)</f>
        <v>1.28695321067737</v>
      </c>
      <c r="AP24" s="47">
        <f t="shared" ref="AP24:AP86" si="37">AN24/AC24</f>
        <v>1.5159239443784192</v>
      </c>
      <c r="AQ24">
        <v>2021</v>
      </c>
    </row>
    <row r="25" spans="1:43" ht="13.5" customHeight="1">
      <c r="B25" s="97" t="s">
        <v>70</v>
      </c>
      <c r="C25" s="98">
        <v>18231134</v>
      </c>
      <c r="D25" s="61" t="s">
        <v>176</v>
      </c>
      <c r="E25" s="38" t="s">
        <v>1329</v>
      </c>
      <c r="F25" s="39" t="s">
        <v>1328</v>
      </c>
      <c r="G25" s="39">
        <v>9</v>
      </c>
      <c r="H25" s="39"/>
      <c r="I25" s="40" t="s">
        <v>256</v>
      </c>
      <c r="J25" s="41">
        <v>82</v>
      </c>
      <c r="K25" s="41">
        <v>153.4</v>
      </c>
      <c r="L25" s="41"/>
      <c r="M25" s="42">
        <v>60</v>
      </c>
      <c r="N25" s="42">
        <v>60</v>
      </c>
      <c r="O25" s="43">
        <v>12578.8</v>
      </c>
      <c r="P25" s="44">
        <v>4920</v>
      </c>
      <c r="Q25" s="44">
        <v>4920</v>
      </c>
      <c r="R25" s="45"/>
      <c r="S25" s="46"/>
      <c r="T25" s="39">
        <f t="shared" si="19"/>
        <v>9</v>
      </c>
      <c r="U25" s="47">
        <f t="shared" si="20"/>
        <v>4.7286280714463379E-3</v>
      </c>
      <c r="V25" s="48">
        <f t="shared" si="21"/>
        <v>0</v>
      </c>
      <c r="W25" s="49">
        <f t="shared" si="22"/>
        <v>5.2540311904959312E-4</v>
      </c>
      <c r="X25" s="44">
        <f t="shared" si="23"/>
        <v>1294.0778964025972</v>
      </c>
      <c r="Y25" s="44">
        <f t="shared" si="24"/>
        <v>0</v>
      </c>
      <c r="Z25" s="44">
        <f t="shared" si="25"/>
        <v>6657.6798267799695</v>
      </c>
      <c r="AA25" s="50">
        <f t="shared" si="26"/>
        <v>6214.0778964025976</v>
      </c>
      <c r="AB25" s="51">
        <f t="shared" si="27"/>
        <v>6223.875691109628</v>
      </c>
      <c r="AC25" s="44">
        <f t="shared" si="28"/>
        <v>5809.1781774353531</v>
      </c>
      <c r="AD25" s="44">
        <f t="shared" si="29"/>
        <v>0</v>
      </c>
      <c r="AE25" s="44">
        <f t="shared" si="30"/>
        <v>0</v>
      </c>
      <c r="AF25" s="52">
        <f>HLOOKUP(I25,ElecAvoidedCostsWOCC!$A$5:$Q$50,G25+1,FALSE)</f>
        <v>0.63677272899882087</v>
      </c>
      <c r="AG25" s="44">
        <f t="shared" si="31"/>
        <v>8009.8368035303683</v>
      </c>
      <c r="AH25" s="52">
        <f>HLOOKUP(I25,ElecAvoidedCostsWOCC!$A$5:$Q$50,T25+1,FALSE)</f>
        <v>0.63677272899882087</v>
      </c>
      <c r="AI25" s="44">
        <f t="shared" si="32"/>
        <v>0</v>
      </c>
      <c r="AJ25" s="44">
        <f t="shared" si="33"/>
        <v>8009.8368035303683</v>
      </c>
      <c r="AK25" s="44">
        <f>HLOOKUP(I25,ElecAvoidedCostsWOCC!$A$5:$Q$50,G25+1,FALSE)*J25*L25</f>
        <v>0</v>
      </c>
      <c r="AL25" s="44">
        <f t="shared" si="34"/>
        <v>8009.8368035303683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8009.8368035303674</v>
      </c>
      <c r="AN25" s="48">
        <f t="shared" si="35"/>
        <v>8810.8204838834044</v>
      </c>
      <c r="AO25" s="47">
        <f t="shared" si="36"/>
        <v>1.2869532106773696</v>
      </c>
      <c r="AP25" s="47">
        <f t="shared" si="37"/>
        <v>1.5167068757001394</v>
      </c>
      <c r="AQ25">
        <v>2021</v>
      </c>
    </row>
    <row r="26" spans="1:43" ht="13.5" customHeight="1">
      <c r="B26" s="97" t="s">
        <v>70</v>
      </c>
      <c r="C26" s="98">
        <v>18231134</v>
      </c>
      <c r="D26" s="61" t="s">
        <v>176</v>
      </c>
      <c r="E26" s="38" t="s">
        <v>1330</v>
      </c>
      <c r="F26" s="39" t="s">
        <v>1331</v>
      </c>
      <c r="G26" s="39">
        <v>16</v>
      </c>
      <c r="H26" s="39"/>
      <c r="I26" s="40" t="s">
        <v>257</v>
      </c>
      <c r="J26" s="41">
        <v>3</v>
      </c>
      <c r="K26" s="41">
        <v>139.59</v>
      </c>
      <c r="L26" s="41"/>
      <c r="M26" s="42">
        <v>130.65</v>
      </c>
      <c r="N26" s="42">
        <v>130.65</v>
      </c>
      <c r="O26" s="43">
        <v>418.77</v>
      </c>
      <c r="P26" s="44">
        <v>391.95</v>
      </c>
      <c r="Q26" s="44">
        <v>391.95</v>
      </c>
      <c r="R26" s="45">
        <v>0</v>
      </c>
      <c r="S26" s="46">
        <v>0</v>
      </c>
      <c r="T26" s="39">
        <f t="shared" si="19"/>
        <v>16</v>
      </c>
      <c r="U26" s="47">
        <f t="shared" si="20"/>
        <v>2.7986525158444129E-4</v>
      </c>
      <c r="V26" s="48">
        <f t="shared" si="21"/>
        <v>0</v>
      </c>
      <c r="W26" s="49">
        <f t="shared" si="22"/>
        <v>1.749157822402758E-5</v>
      </c>
      <c r="X26" s="44">
        <f t="shared" si="23"/>
        <v>43.082090555260891</v>
      </c>
      <c r="Y26" s="44">
        <f t="shared" si="24"/>
        <v>0</v>
      </c>
      <c r="Z26" s="44">
        <f t="shared" si="25"/>
        <v>221.64567216750785</v>
      </c>
      <c r="AA26" s="50">
        <f t="shared" si="26"/>
        <v>435.03209055526088</v>
      </c>
      <c r="AB26" s="51">
        <f t="shared" si="27"/>
        <v>207.20358246939125</v>
      </c>
      <c r="AC26" s="44">
        <f t="shared" si="28"/>
        <v>406.68607138006996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1.1126010938169359</v>
      </c>
      <c r="AG26" s="44">
        <f t="shared" si="31"/>
        <v>465.92396005771826</v>
      </c>
      <c r="AH26" s="52">
        <f>HLOOKUP(I26,ElecAvoidedCostsWOCC!$A$5:$Q$50,T26+1,FALSE)</f>
        <v>1.1126010938169359</v>
      </c>
      <c r="AI26" s="44">
        <f t="shared" si="32"/>
        <v>0</v>
      </c>
      <c r="AJ26" s="44">
        <f t="shared" si="33"/>
        <v>465.92396005771826</v>
      </c>
      <c r="AK26" s="44">
        <f>HLOOKUP(I26,ElecAvoidedCostsWOCC!$A$5:$Q$50,G26+1,FALSE)*J26*L26</f>
        <v>0</v>
      </c>
      <c r="AL26" s="44">
        <f t="shared" si="34"/>
        <v>465.92396005771826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465.92396005771826</v>
      </c>
      <c r="AN26" s="48">
        <f t="shared" si="35"/>
        <v>512.51635606349009</v>
      </c>
      <c r="AO26" s="47">
        <f t="shared" si="36"/>
        <v>2.2486288823048994</v>
      </c>
      <c r="AP26" s="47">
        <f t="shared" si="37"/>
        <v>1.2602259878837012</v>
      </c>
      <c r="AQ26">
        <v>2021</v>
      </c>
    </row>
    <row r="27" spans="1:43" ht="13.5" customHeight="1">
      <c r="B27" s="97" t="s">
        <v>70</v>
      </c>
      <c r="C27" s="98">
        <v>18231134</v>
      </c>
      <c r="D27" s="61" t="s">
        <v>176</v>
      </c>
      <c r="E27" s="38" t="s">
        <v>1332</v>
      </c>
      <c r="F27" s="39" t="s">
        <v>1333</v>
      </c>
      <c r="G27" s="39">
        <v>10</v>
      </c>
      <c r="H27" s="39"/>
      <c r="I27" s="40" t="s">
        <v>257</v>
      </c>
      <c r="J27" s="41">
        <v>346</v>
      </c>
      <c r="K27" s="41">
        <v>87.75</v>
      </c>
      <c r="L27" s="41"/>
      <c r="M27" s="42">
        <v>68</v>
      </c>
      <c r="N27" s="42">
        <v>68</v>
      </c>
      <c r="O27" s="43">
        <v>30361.5</v>
      </c>
      <c r="P27" s="44">
        <v>23528</v>
      </c>
      <c r="Q27" s="44">
        <v>23528</v>
      </c>
      <c r="R27" s="45">
        <v>0</v>
      </c>
      <c r="S27" s="46">
        <v>0</v>
      </c>
      <c r="T27" s="39">
        <f t="shared" si="19"/>
        <v>10</v>
      </c>
      <c r="U27" s="47">
        <f t="shared" si="20"/>
        <v>1.2681676152752426E-2</v>
      </c>
      <c r="V27" s="48">
        <f t="shared" si="21"/>
        <v>0</v>
      </c>
      <c r="W27" s="49">
        <f t="shared" si="22"/>
        <v>1.2681676152752426E-3</v>
      </c>
      <c r="X27" s="44">
        <f t="shared" si="23"/>
        <v>3123.5210076976705</v>
      </c>
      <c r="Y27" s="44">
        <f t="shared" si="24"/>
        <v>0</v>
      </c>
      <c r="Z27" s="44">
        <f t="shared" si="25"/>
        <v>16069.668494671991</v>
      </c>
      <c r="AA27" s="50">
        <f t="shared" si="26"/>
        <v>26651.521007697669</v>
      </c>
      <c r="AB27" s="51">
        <f t="shared" si="27"/>
        <v>15022.593712883976</v>
      </c>
      <c r="AC27" s="44">
        <f t="shared" si="28"/>
        <v>24914.949058331931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0.7278724357900942</v>
      </c>
      <c r="AG27" s="44">
        <f t="shared" si="31"/>
        <v>22099.298959240947</v>
      </c>
      <c r="AH27" s="52">
        <f>HLOOKUP(I27,ElecAvoidedCostsWOCC!$A$5:$Q$50,T27+1,FALSE)</f>
        <v>0.7278724357900942</v>
      </c>
      <c r="AI27" s="44">
        <f t="shared" si="32"/>
        <v>0</v>
      </c>
      <c r="AJ27" s="44">
        <f t="shared" si="33"/>
        <v>22099.298959240947</v>
      </c>
      <c r="AK27" s="44">
        <f>HLOOKUP(I27,ElecAvoidedCostsWOCC!$A$5:$Q$50,G27+1,FALSE)*J27*L27</f>
        <v>0</v>
      </c>
      <c r="AL27" s="44">
        <f t="shared" si="34"/>
        <v>22099.298959240947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22099.298959240943</v>
      </c>
      <c r="AN27" s="48">
        <f t="shared" si="35"/>
        <v>24309.228855165038</v>
      </c>
      <c r="AO27" s="47">
        <f t="shared" si="36"/>
        <v>1.4710708005294519</v>
      </c>
      <c r="AP27" s="47">
        <f t="shared" si="37"/>
        <v>0.97568848317735846</v>
      </c>
      <c r="AQ27">
        <v>2021</v>
      </c>
    </row>
    <row r="28" spans="1:43" ht="13.5" customHeight="1">
      <c r="B28" s="97" t="s">
        <v>70</v>
      </c>
      <c r="C28" s="98">
        <v>18231134</v>
      </c>
      <c r="D28" s="61" t="s">
        <v>176</v>
      </c>
      <c r="E28" s="38" t="s">
        <v>1334</v>
      </c>
      <c r="F28" s="39" t="s">
        <v>1335</v>
      </c>
      <c r="G28" s="39">
        <v>10</v>
      </c>
      <c r="H28" s="39"/>
      <c r="I28" s="40" t="s">
        <v>257</v>
      </c>
      <c r="J28" s="41">
        <v>3</v>
      </c>
      <c r="K28" s="41">
        <v>122.86</v>
      </c>
      <c r="L28" s="41"/>
      <c r="M28" s="42">
        <v>68</v>
      </c>
      <c r="N28" s="42">
        <v>68</v>
      </c>
      <c r="O28" s="43">
        <v>368.58</v>
      </c>
      <c r="P28" s="44">
        <v>204</v>
      </c>
      <c r="Q28" s="44">
        <v>204</v>
      </c>
      <c r="R28" s="45">
        <v>0</v>
      </c>
      <c r="S28" s="46">
        <v>0</v>
      </c>
      <c r="T28" s="39">
        <f t="shared" si="19"/>
        <v>10</v>
      </c>
      <c r="U28" s="47">
        <f t="shared" si="20"/>
        <v>1.5395195218884079E-4</v>
      </c>
      <c r="V28" s="48">
        <f t="shared" si="21"/>
        <v>0</v>
      </c>
      <c r="W28" s="49">
        <f t="shared" si="22"/>
        <v>1.5395195218884079E-5</v>
      </c>
      <c r="X28" s="44">
        <f t="shared" si="23"/>
        <v>37.918659256532365</v>
      </c>
      <c r="Y28" s="44">
        <f t="shared" si="24"/>
        <v>0</v>
      </c>
      <c r="Z28" s="44">
        <f t="shared" si="25"/>
        <v>195.08121844329833</v>
      </c>
      <c r="AA28" s="50">
        <f t="shared" si="26"/>
        <v>241.91865925653235</v>
      </c>
      <c r="AB28" s="51">
        <f t="shared" si="27"/>
        <v>182.37002752481845</v>
      </c>
      <c r="AC28" s="44">
        <f t="shared" si="28"/>
        <v>226.15561302844941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0.7278724357900942</v>
      </c>
      <c r="AG28" s="44">
        <f t="shared" si="31"/>
        <v>268.27922238351289</v>
      </c>
      <c r="AH28" s="52">
        <f>HLOOKUP(I28,ElecAvoidedCostsWOCC!$A$5:$Q$50,T28+1,FALSE)</f>
        <v>0.7278724357900942</v>
      </c>
      <c r="AI28" s="44">
        <f t="shared" si="32"/>
        <v>0</v>
      </c>
      <c r="AJ28" s="44">
        <f t="shared" si="33"/>
        <v>268.27922238351289</v>
      </c>
      <c r="AK28" s="44">
        <f>HLOOKUP(I28,ElecAvoidedCostsWOCC!$A$5:$Q$50,G28+1,FALSE)*J28*L28</f>
        <v>0</v>
      </c>
      <c r="AL28" s="44">
        <f t="shared" si="34"/>
        <v>268.27922238351289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268.27922238351289</v>
      </c>
      <c r="AN28" s="48">
        <f t="shared" si="35"/>
        <v>295.10714462186422</v>
      </c>
      <c r="AO28" s="47">
        <f t="shared" si="36"/>
        <v>1.4710708005294522</v>
      </c>
      <c r="AP28" s="47">
        <f t="shared" si="37"/>
        <v>1.304885342751767</v>
      </c>
      <c r="AQ28">
        <v>2021</v>
      </c>
    </row>
    <row r="29" spans="1:43">
      <c r="B29" s="97" t="s">
        <v>70</v>
      </c>
      <c r="C29" s="98">
        <v>18231134</v>
      </c>
      <c r="D29" s="61" t="s">
        <v>176</v>
      </c>
      <c r="E29" s="38" t="s">
        <v>1336</v>
      </c>
      <c r="F29" s="39" t="s">
        <v>1337</v>
      </c>
      <c r="G29" s="39">
        <v>4</v>
      </c>
      <c r="H29" s="39"/>
      <c r="I29" s="40" t="s">
        <v>255</v>
      </c>
      <c r="J29" s="41">
        <v>1</v>
      </c>
      <c r="K29" s="41">
        <v>1476</v>
      </c>
      <c r="L29" s="41"/>
      <c r="M29" s="42">
        <v>76.3</v>
      </c>
      <c r="N29" s="42">
        <v>76.3</v>
      </c>
      <c r="O29" s="43">
        <v>1476</v>
      </c>
      <c r="P29" s="44">
        <v>76.3</v>
      </c>
      <c r="Q29" s="44">
        <v>76.3</v>
      </c>
      <c r="R29" s="45">
        <v>235.92</v>
      </c>
      <c r="S29" s="46">
        <v>0</v>
      </c>
      <c r="T29" s="39">
        <f t="shared" si="19"/>
        <v>4</v>
      </c>
      <c r="U29" s="47">
        <f t="shared" si="20"/>
        <v>2.4660381076643226E-4</v>
      </c>
      <c r="V29" s="48">
        <f t="shared" si="21"/>
        <v>0</v>
      </c>
      <c r="W29" s="49">
        <f t="shared" si="22"/>
        <v>6.1650952691608065E-5</v>
      </c>
      <c r="X29" s="44">
        <f t="shared" si="23"/>
        <v>151.84747154658899</v>
      </c>
      <c r="Y29" s="44">
        <f t="shared" si="24"/>
        <v>0</v>
      </c>
      <c r="Z29" s="44">
        <f t="shared" si="25"/>
        <v>781.21406050873179</v>
      </c>
      <c r="AA29" s="50">
        <f t="shared" si="26"/>
        <v>228.14747154658897</v>
      </c>
      <c r="AB29" s="51">
        <f t="shared" si="27"/>
        <v>730.31135880034753</v>
      </c>
      <c r="AC29" s="44">
        <f t="shared" si="28"/>
        <v>213.28173464203886</v>
      </c>
      <c r="AD29" s="44">
        <f t="shared" si="29"/>
        <v>799.65237836304664</v>
      </c>
      <c r="AE29" s="44">
        <f t="shared" si="30"/>
        <v>0</v>
      </c>
      <c r="AF29" s="52">
        <f>HLOOKUP(I29,ElecAvoidedCostsWOCC!$A$5:$Q$50,G29+1,FALSE)</f>
        <v>0.28227359464993806</v>
      </c>
      <c r="AG29" s="44">
        <f t="shared" si="31"/>
        <v>416.63582570330857</v>
      </c>
      <c r="AH29" s="52">
        <f>HLOOKUP(I29,ElecAvoidedCostsWOCC!$A$5:$Q$50,T29+1,FALSE)</f>
        <v>0.28227359464993806</v>
      </c>
      <c r="AI29" s="44">
        <f t="shared" si="32"/>
        <v>0</v>
      </c>
      <c r="AJ29" s="44">
        <f t="shared" si="33"/>
        <v>416.63582570330857</v>
      </c>
      <c r="AK29" s="44">
        <f>HLOOKUP(I29,ElecAvoidedCostsWOCC!$A$5:$Q$50,G29+1,FALSE)*J29*L29</f>
        <v>0</v>
      </c>
      <c r="AL29" s="44">
        <f t="shared" si="34"/>
        <v>416.63582570330857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416.63582570330857</v>
      </c>
      <c r="AN29" s="48">
        <f t="shared" si="35"/>
        <v>1257.9517866366862</v>
      </c>
      <c r="AO29" s="47">
        <f t="shared" si="36"/>
        <v>0.57049068275166792</v>
      </c>
      <c r="AP29" s="47">
        <f t="shared" si="37"/>
        <v>5.8980755607036297</v>
      </c>
      <c r="AQ29">
        <v>2021</v>
      </c>
    </row>
    <row r="30" spans="1:43">
      <c r="B30" s="97" t="s">
        <v>70</v>
      </c>
      <c r="C30" s="98">
        <v>18231134</v>
      </c>
      <c r="D30" s="61" t="s">
        <v>176</v>
      </c>
      <c r="E30" s="38" t="s">
        <v>1338</v>
      </c>
      <c r="F30" s="39" t="s">
        <v>1339</v>
      </c>
      <c r="G30" s="39">
        <v>10</v>
      </c>
      <c r="H30" s="39"/>
      <c r="I30" s="40" t="s">
        <v>255</v>
      </c>
      <c r="J30" s="41">
        <v>2</v>
      </c>
      <c r="K30" s="41">
        <v>151.6</v>
      </c>
      <c r="L30" s="41"/>
      <c r="M30" s="42">
        <v>13.09</v>
      </c>
      <c r="N30" s="42">
        <v>13.09</v>
      </c>
      <c r="O30" s="43">
        <v>303.2</v>
      </c>
      <c r="P30" s="44">
        <v>26.18</v>
      </c>
      <c r="Q30" s="44">
        <v>26.18</v>
      </c>
      <c r="R30" s="45">
        <v>132.69</v>
      </c>
      <c r="S30" s="46"/>
      <c r="T30" s="39">
        <f t="shared" si="19"/>
        <v>10</v>
      </c>
      <c r="U30" s="47">
        <f t="shared" si="20"/>
        <v>1.2664342043425177E-4</v>
      </c>
      <c r="V30" s="48">
        <f t="shared" si="21"/>
        <v>0</v>
      </c>
      <c r="W30" s="49">
        <f t="shared" si="22"/>
        <v>1.2664342043425179E-5</v>
      </c>
      <c r="X30" s="44">
        <f t="shared" si="23"/>
        <v>31.192515835315568</v>
      </c>
      <c r="Y30" s="44">
        <f t="shared" si="24"/>
        <v>0</v>
      </c>
      <c r="Z30" s="44">
        <f t="shared" si="25"/>
        <v>160.47703465192916</v>
      </c>
      <c r="AA30" s="50">
        <f t="shared" si="26"/>
        <v>57.372515835315568</v>
      </c>
      <c r="AB30" s="51">
        <f t="shared" si="27"/>
        <v>150.02059890803883</v>
      </c>
      <c r="AC30" s="44">
        <f t="shared" si="28"/>
        <v>53.634211307203479</v>
      </c>
      <c r="AD30" s="44">
        <f t="shared" si="29"/>
        <v>1866.5056033252492</v>
      </c>
      <c r="AE30" s="44">
        <f t="shared" si="30"/>
        <v>0</v>
      </c>
      <c r="AF30" s="52">
        <f>HLOOKUP(I30,ElecAvoidedCostsWOCC!$A$5:$Q$50,G30+1,FALSE)</f>
        <v>0.70152531155702258</v>
      </c>
      <c r="AG30" s="44">
        <f t="shared" si="31"/>
        <v>212.70247446408925</v>
      </c>
      <c r="AH30" s="52">
        <f>HLOOKUP(I30,ElecAvoidedCostsWOCC!$A$5:$Q$50,T30+1,FALSE)</f>
        <v>0.70152531155702258</v>
      </c>
      <c r="AI30" s="44">
        <f t="shared" si="32"/>
        <v>0</v>
      </c>
      <c r="AJ30" s="44">
        <f t="shared" si="33"/>
        <v>212.70247446408925</v>
      </c>
      <c r="AK30" s="44">
        <f>HLOOKUP(I30,ElecAvoidedCostsWOCC!$A$5:$Q$50,G30+1,FALSE)*J30*L30</f>
        <v>0</v>
      </c>
      <c r="AL30" s="44">
        <f t="shared" si="34"/>
        <v>212.70247446408925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212.70247446408925</v>
      </c>
      <c r="AN30" s="48">
        <f t="shared" si="35"/>
        <v>2100.4783252357474</v>
      </c>
      <c r="AO30" s="47">
        <f t="shared" si="36"/>
        <v>1.417821792555793</v>
      </c>
      <c r="AP30" s="47">
        <f t="shared" si="37"/>
        <v>39.163031841835576</v>
      </c>
      <c r="AQ30">
        <v>2021</v>
      </c>
    </row>
    <row r="31" spans="1:43">
      <c r="B31" s="97" t="s">
        <v>70</v>
      </c>
      <c r="C31" s="98">
        <v>18231134</v>
      </c>
      <c r="D31" s="61" t="s">
        <v>176</v>
      </c>
      <c r="E31" s="38" t="s">
        <v>1340</v>
      </c>
      <c r="F31" s="39" t="s">
        <v>1341</v>
      </c>
      <c r="G31" s="39">
        <v>10</v>
      </c>
      <c r="H31" s="39"/>
      <c r="I31" s="40" t="s">
        <v>255</v>
      </c>
      <c r="J31" s="41">
        <v>1</v>
      </c>
      <c r="K31" s="41">
        <v>151.6</v>
      </c>
      <c r="L31" s="41"/>
      <c r="M31" s="42">
        <v>13.09</v>
      </c>
      <c r="N31" s="42">
        <v>13.09</v>
      </c>
      <c r="O31" s="43">
        <v>151.6</v>
      </c>
      <c r="P31" s="44">
        <v>13.09</v>
      </c>
      <c r="Q31" s="44">
        <v>13.09</v>
      </c>
      <c r="R31" s="45">
        <v>132.69</v>
      </c>
      <c r="S31" s="46"/>
      <c r="T31" s="39">
        <f t="shared" si="19"/>
        <v>10</v>
      </c>
      <c r="U31" s="47">
        <f t="shared" si="20"/>
        <v>6.3321710217125886E-5</v>
      </c>
      <c r="V31" s="48">
        <f t="shared" si="21"/>
        <v>0</v>
      </c>
      <c r="W31" s="49">
        <f t="shared" si="22"/>
        <v>6.3321710217125893E-6</v>
      </c>
      <c r="X31" s="44">
        <f t="shared" si="23"/>
        <v>15.596257917657784</v>
      </c>
      <c r="Y31" s="44">
        <f t="shared" si="24"/>
        <v>0</v>
      </c>
      <c r="Z31" s="44">
        <f t="shared" si="25"/>
        <v>80.23851732596458</v>
      </c>
      <c r="AA31" s="50">
        <f t="shared" si="26"/>
        <v>28.686257917657784</v>
      </c>
      <c r="AB31" s="51">
        <f t="shared" si="27"/>
        <v>75.010299454019417</v>
      </c>
      <c r="AC31" s="44">
        <f t="shared" si="28"/>
        <v>26.81710565360174</v>
      </c>
      <c r="AD31" s="44">
        <f t="shared" si="29"/>
        <v>933.25280166262462</v>
      </c>
      <c r="AE31" s="44">
        <f t="shared" si="30"/>
        <v>0</v>
      </c>
      <c r="AF31" s="52">
        <f>HLOOKUP(I31,ElecAvoidedCostsWOCC!$A$5:$Q$50,G31+1,FALSE)</f>
        <v>0.70152531155702258</v>
      </c>
      <c r="AG31" s="44">
        <f t="shared" si="31"/>
        <v>106.35123723204462</v>
      </c>
      <c r="AH31" s="52">
        <f>HLOOKUP(I31,ElecAvoidedCostsWOCC!$A$5:$Q$50,T31+1,FALSE)</f>
        <v>0.70152531155702258</v>
      </c>
      <c r="AI31" s="44">
        <f t="shared" si="32"/>
        <v>0</v>
      </c>
      <c r="AJ31" s="44">
        <f t="shared" si="33"/>
        <v>106.35123723204462</v>
      </c>
      <c r="AK31" s="44">
        <f>HLOOKUP(I31,ElecAvoidedCostsWOCC!$A$5:$Q$50,G31+1,FALSE)*J31*L31</f>
        <v>0</v>
      </c>
      <c r="AL31" s="44">
        <f t="shared" si="34"/>
        <v>106.35123723204462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106.35123723204462</v>
      </c>
      <c r="AN31" s="48">
        <f t="shared" si="35"/>
        <v>1050.2391626178737</v>
      </c>
      <c r="AO31" s="47">
        <f t="shared" si="36"/>
        <v>1.417821792555793</v>
      </c>
      <c r="AP31" s="47">
        <f t="shared" si="37"/>
        <v>39.163031841835576</v>
      </c>
      <c r="AQ31">
        <v>2021</v>
      </c>
    </row>
    <row r="32" spans="1:43">
      <c r="B32" s="97" t="s">
        <v>70</v>
      </c>
      <c r="C32" s="98">
        <v>18231134</v>
      </c>
      <c r="D32" s="61" t="s">
        <v>176</v>
      </c>
      <c r="E32" s="38" t="s">
        <v>1342</v>
      </c>
      <c r="F32" s="39" t="s">
        <v>1343</v>
      </c>
      <c r="G32" s="39">
        <v>15</v>
      </c>
      <c r="H32" s="39"/>
      <c r="I32" s="40" t="s">
        <v>257</v>
      </c>
      <c r="J32" s="41">
        <v>14</v>
      </c>
      <c r="K32" s="41">
        <v>1206</v>
      </c>
      <c r="L32" s="41"/>
      <c r="M32" s="42">
        <v>239.32</v>
      </c>
      <c r="N32" s="42">
        <v>239.32</v>
      </c>
      <c r="O32" s="43">
        <v>16884</v>
      </c>
      <c r="P32" s="44">
        <v>3350.48</v>
      </c>
      <c r="Q32" s="44">
        <v>3350.48</v>
      </c>
      <c r="R32" s="45">
        <v>0</v>
      </c>
      <c r="S32" s="46">
        <v>0</v>
      </c>
      <c r="T32" s="39">
        <f t="shared" si="19"/>
        <v>15</v>
      </c>
      <c r="U32" s="47">
        <f t="shared" si="20"/>
        <v>1.0578401272816163E-2</v>
      </c>
      <c r="V32" s="48">
        <f t="shared" si="21"/>
        <v>0</v>
      </c>
      <c r="W32" s="49">
        <f t="shared" si="22"/>
        <v>7.0522675152107756E-4</v>
      </c>
      <c r="X32" s="44">
        <f t="shared" si="23"/>
        <v>1736.9869306182984</v>
      </c>
      <c r="Y32" s="44">
        <f t="shared" si="24"/>
        <v>0</v>
      </c>
      <c r="Z32" s="44">
        <f t="shared" si="25"/>
        <v>8936.3266921608574</v>
      </c>
      <c r="AA32" s="50">
        <f t="shared" si="26"/>
        <v>5087.4669306182986</v>
      </c>
      <c r="AB32" s="51">
        <f t="shared" si="27"/>
        <v>8354.0494457893401</v>
      </c>
      <c r="AC32" s="44">
        <f t="shared" si="28"/>
        <v>4755.9754422906408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1.0545904948077327</v>
      </c>
      <c r="AG32" s="44">
        <f t="shared" si="31"/>
        <v>17805.705914333757</v>
      </c>
      <c r="AH32" s="52">
        <f>HLOOKUP(I32,ElecAvoidedCostsWOCC!$A$5:$Q$50,T32+1,FALSE)</f>
        <v>1.0545904948077327</v>
      </c>
      <c r="AI32" s="44">
        <f t="shared" si="32"/>
        <v>0</v>
      </c>
      <c r="AJ32" s="44">
        <f t="shared" si="33"/>
        <v>17805.705914333757</v>
      </c>
      <c r="AK32" s="44">
        <f>HLOOKUP(I32,ElecAvoidedCostsWOCC!$A$5:$Q$50,G32+1,FALSE)*J32*L32</f>
        <v>0</v>
      </c>
      <c r="AL32" s="44">
        <f t="shared" si="34"/>
        <v>17805.705914333757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17805.705914333757</v>
      </c>
      <c r="AN32" s="48">
        <f t="shared" si="35"/>
        <v>19586.276505767135</v>
      </c>
      <c r="AO32" s="47">
        <f t="shared" si="36"/>
        <v>2.1313862253123603</v>
      </c>
      <c r="AP32" s="47">
        <f t="shared" si="37"/>
        <v>4.1182459294478004</v>
      </c>
      <c r="AQ32">
        <v>2021</v>
      </c>
    </row>
    <row r="33" spans="2:43">
      <c r="B33" s="97" t="s">
        <v>70</v>
      </c>
      <c r="C33" s="98">
        <v>18231134</v>
      </c>
      <c r="D33" s="61" t="s">
        <v>176</v>
      </c>
      <c r="E33" s="38" t="s">
        <v>1344</v>
      </c>
      <c r="F33" s="39" t="s">
        <v>1343</v>
      </c>
      <c r="G33" s="39">
        <v>15</v>
      </c>
      <c r="H33" s="39"/>
      <c r="I33" s="40" t="s">
        <v>257</v>
      </c>
      <c r="J33" s="41">
        <v>980</v>
      </c>
      <c r="K33" s="41">
        <v>1213</v>
      </c>
      <c r="L33" s="41"/>
      <c r="M33" s="42">
        <v>239.32</v>
      </c>
      <c r="N33" s="42">
        <v>239.32</v>
      </c>
      <c r="O33" s="43">
        <v>1188740</v>
      </c>
      <c r="P33" s="44">
        <v>234533.6</v>
      </c>
      <c r="Q33" s="44">
        <v>234533.6</v>
      </c>
      <c r="R33" s="45">
        <v>0</v>
      </c>
      <c r="S33" s="46">
        <v>0</v>
      </c>
      <c r="T33" s="39">
        <f t="shared" si="19"/>
        <v>15</v>
      </c>
      <c r="U33" s="47">
        <f t="shared" si="20"/>
        <v>0.74478611283152607</v>
      </c>
      <c r="V33" s="48">
        <f t="shared" si="21"/>
        <v>0</v>
      </c>
      <c r="W33" s="49">
        <f t="shared" si="22"/>
        <v>4.9652407522101739E-2</v>
      </c>
      <c r="X33" s="44">
        <f t="shared" si="23"/>
        <v>122294.82610182399</v>
      </c>
      <c r="Y33" s="44">
        <f t="shared" si="24"/>
        <v>0</v>
      </c>
      <c r="Z33" s="44">
        <f t="shared" si="25"/>
        <v>629173.71428804181</v>
      </c>
      <c r="AA33" s="50">
        <f t="shared" si="26"/>
        <v>356828.42610182398</v>
      </c>
      <c r="AB33" s="51">
        <f t="shared" si="27"/>
        <v>588177.72673463752</v>
      </c>
      <c r="AC33" s="44">
        <f t="shared" si="28"/>
        <v>333578.03692794609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1.0545904948077327</v>
      </c>
      <c r="AG33" s="44">
        <f t="shared" si="31"/>
        <v>1253633.9047977442</v>
      </c>
      <c r="AH33" s="52">
        <f>HLOOKUP(I33,ElecAvoidedCostsWOCC!$A$5:$Q$50,T33+1,FALSE)</f>
        <v>1.0545904948077327</v>
      </c>
      <c r="AI33" s="44">
        <f t="shared" si="32"/>
        <v>0</v>
      </c>
      <c r="AJ33" s="44">
        <f t="shared" si="33"/>
        <v>1253633.9047977442</v>
      </c>
      <c r="AK33" s="44">
        <f>HLOOKUP(I33,ElecAvoidedCostsWOCC!$A$5:$Q$50,G33+1,FALSE)*J33*L33</f>
        <v>0</v>
      </c>
      <c r="AL33" s="44">
        <f t="shared" si="34"/>
        <v>1253633.9047977442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1253633.904797744</v>
      </c>
      <c r="AN33" s="48">
        <f t="shared" si="35"/>
        <v>1378997.2952775185</v>
      </c>
      <c r="AO33" s="47">
        <f t="shared" si="36"/>
        <v>2.1313862253123603</v>
      </c>
      <c r="AP33" s="47">
        <f t="shared" si="37"/>
        <v>4.1339571033430662</v>
      </c>
      <c r="AQ33">
        <v>2021</v>
      </c>
    </row>
    <row r="34" spans="2:43">
      <c r="B34" s="97" t="s">
        <v>70</v>
      </c>
      <c r="C34" s="98">
        <v>18231134</v>
      </c>
      <c r="D34" s="61" t="s">
        <v>176</v>
      </c>
      <c r="E34" s="38" t="s">
        <v>1345</v>
      </c>
      <c r="F34" s="39" t="s">
        <v>1346</v>
      </c>
      <c r="G34" s="39">
        <v>15</v>
      </c>
      <c r="H34" s="39"/>
      <c r="I34" s="40" t="s">
        <v>257</v>
      </c>
      <c r="J34" s="41">
        <v>462</v>
      </c>
      <c r="K34" s="41">
        <v>457.8</v>
      </c>
      <c r="L34" s="41"/>
      <c r="M34" s="42">
        <v>123.77</v>
      </c>
      <c r="N34" s="42">
        <v>176.82</v>
      </c>
      <c r="O34" s="43">
        <v>211503.6</v>
      </c>
      <c r="P34" s="44">
        <v>79515.790000000095</v>
      </c>
      <c r="Q34" s="44">
        <v>81690.84</v>
      </c>
      <c r="R34" s="45">
        <v>0</v>
      </c>
      <c r="S34" s="46">
        <v>0</v>
      </c>
      <c r="T34" s="39">
        <f t="shared" si="19"/>
        <v>15</v>
      </c>
      <c r="U34" s="47">
        <f t="shared" si="20"/>
        <v>0.13251421176529263</v>
      </c>
      <c r="V34" s="48">
        <f t="shared" si="21"/>
        <v>53.05</v>
      </c>
      <c r="W34" s="49">
        <f t="shared" si="22"/>
        <v>8.8342807843528413E-3</v>
      </c>
      <c r="X34" s="44">
        <f t="shared" si="23"/>
        <v>21759.001953252802</v>
      </c>
      <c r="Y34" s="44">
        <f t="shared" si="24"/>
        <v>2175.049999999901</v>
      </c>
      <c r="Z34" s="44">
        <f t="shared" si="25"/>
        <v>111944.16407060609</v>
      </c>
      <c r="AA34" s="50">
        <f t="shared" si="26"/>
        <v>103449.84195325279</v>
      </c>
      <c r="AB34" s="51">
        <f t="shared" si="27"/>
        <v>104650.05522165661</v>
      </c>
      <c r="AC34" s="44">
        <f t="shared" si="28"/>
        <v>96709.210015193778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1.0545904948077327</v>
      </c>
      <c r="AG34" s="44">
        <f t="shared" si="31"/>
        <v>223049.68617761679</v>
      </c>
      <c r="AH34" s="52">
        <f>HLOOKUP(I34,ElecAvoidedCostsWOCC!$A$5:$Q$50,T34+1,FALSE)</f>
        <v>1.0545904948077327</v>
      </c>
      <c r="AI34" s="44">
        <f t="shared" si="32"/>
        <v>0</v>
      </c>
      <c r="AJ34" s="44">
        <f t="shared" si="33"/>
        <v>223049.68617761679</v>
      </c>
      <c r="AK34" s="44">
        <f>HLOOKUP(I34,ElecAvoidedCostsWOCC!$A$5:$Q$50,G34+1,FALSE)*J34*L34</f>
        <v>0</v>
      </c>
      <c r="AL34" s="44">
        <f t="shared" si="34"/>
        <v>223049.68617761679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223049.68617761679</v>
      </c>
      <c r="AN34" s="48">
        <f t="shared" si="35"/>
        <v>245354.6547953785</v>
      </c>
      <c r="AO34" s="47">
        <f t="shared" si="36"/>
        <v>2.1313862253123608</v>
      </c>
      <c r="AP34" s="47">
        <f t="shared" si="37"/>
        <v>2.53703504306189</v>
      </c>
      <c r="AQ34">
        <v>2021</v>
      </c>
    </row>
    <row r="35" spans="2:43">
      <c r="B35" s="97" t="s">
        <v>70</v>
      </c>
      <c r="C35" s="98">
        <v>18231134</v>
      </c>
      <c r="D35" s="61" t="s">
        <v>176</v>
      </c>
      <c r="E35" s="38" t="s">
        <v>1347</v>
      </c>
      <c r="F35" s="39" t="s">
        <v>1348</v>
      </c>
      <c r="G35" s="39">
        <v>12</v>
      </c>
      <c r="H35" s="39"/>
      <c r="I35" s="40" t="s">
        <v>257</v>
      </c>
      <c r="J35" s="41">
        <v>21</v>
      </c>
      <c r="K35" s="41">
        <v>42</v>
      </c>
      <c r="L35" s="41"/>
      <c r="M35" s="42">
        <v>37</v>
      </c>
      <c r="N35" s="42">
        <v>37</v>
      </c>
      <c r="O35" s="43">
        <v>882</v>
      </c>
      <c r="P35" s="44">
        <v>777</v>
      </c>
      <c r="Q35" s="44">
        <v>777</v>
      </c>
      <c r="R35" s="45">
        <v>0</v>
      </c>
      <c r="S35" s="46">
        <v>0</v>
      </c>
      <c r="T35" s="39">
        <f t="shared" si="19"/>
        <v>12</v>
      </c>
      <c r="U35" s="47">
        <f t="shared" si="20"/>
        <v>4.4208244125201881E-4</v>
      </c>
      <c r="V35" s="48">
        <f t="shared" si="21"/>
        <v>0</v>
      </c>
      <c r="W35" s="49">
        <f t="shared" si="22"/>
        <v>3.6840203437668234E-5</v>
      </c>
      <c r="X35" s="44">
        <f t="shared" si="23"/>
        <v>90.738123241254399</v>
      </c>
      <c r="Y35" s="44">
        <f t="shared" si="24"/>
        <v>0</v>
      </c>
      <c r="Z35" s="44">
        <f t="shared" si="25"/>
        <v>466.82303615765682</v>
      </c>
      <c r="AA35" s="50">
        <f t="shared" si="26"/>
        <v>867.73812324125436</v>
      </c>
      <c r="AB35" s="51">
        <f t="shared" si="27"/>
        <v>436.4055680636223</v>
      </c>
      <c r="AC35" s="44">
        <f t="shared" si="28"/>
        <v>811.19764722936736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0.86650348716649883</v>
      </c>
      <c r="AG35" s="44">
        <f t="shared" si="31"/>
        <v>764.25607568085195</v>
      </c>
      <c r="AH35" s="52">
        <f>HLOOKUP(I35,ElecAvoidedCostsWOCC!$A$5:$Q$50,T35+1,FALSE)</f>
        <v>0.86650348716649883</v>
      </c>
      <c r="AI35" s="44">
        <f t="shared" si="32"/>
        <v>0</v>
      </c>
      <c r="AJ35" s="44">
        <f t="shared" si="33"/>
        <v>764.25607568085195</v>
      </c>
      <c r="AK35" s="44">
        <f>HLOOKUP(I35,ElecAvoidedCostsWOCC!$A$5:$Q$50,G35+1,FALSE)*J35*L35</f>
        <v>0</v>
      </c>
      <c r="AL35" s="44">
        <f t="shared" si="34"/>
        <v>764.25607568085195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764.25607568085195</v>
      </c>
      <c r="AN35" s="48">
        <f t="shared" si="35"/>
        <v>840.68168324893725</v>
      </c>
      <c r="AO35" s="47">
        <f t="shared" si="36"/>
        <v>1.7512518895483782</v>
      </c>
      <c r="AP35" s="47">
        <f t="shared" si="37"/>
        <v>1.0363463036662792</v>
      </c>
      <c r="AQ35">
        <v>2021</v>
      </c>
    </row>
    <row r="36" spans="2:43">
      <c r="B36" s="97" t="s">
        <v>70</v>
      </c>
      <c r="C36" s="98">
        <v>18231134</v>
      </c>
      <c r="D36" s="61" t="s">
        <v>176</v>
      </c>
      <c r="E36" s="38" t="s">
        <v>1349</v>
      </c>
      <c r="F36" s="39" t="s">
        <v>1350</v>
      </c>
      <c r="G36" s="39">
        <v>12</v>
      </c>
      <c r="H36" s="39"/>
      <c r="I36" s="40" t="s">
        <v>257</v>
      </c>
      <c r="J36" s="41">
        <v>16</v>
      </c>
      <c r="K36" s="41">
        <v>64</v>
      </c>
      <c r="L36" s="41"/>
      <c r="M36" s="42">
        <v>37</v>
      </c>
      <c r="N36" s="42">
        <v>37</v>
      </c>
      <c r="O36" s="43">
        <v>1024</v>
      </c>
      <c r="P36" s="44">
        <v>592</v>
      </c>
      <c r="Q36" s="44">
        <v>592</v>
      </c>
      <c r="R36" s="45">
        <v>0</v>
      </c>
      <c r="S36" s="46">
        <v>0</v>
      </c>
      <c r="T36" s="39">
        <f t="shared" si="19"/>
        <v>12</v>
      </c>
      <c r="U36" s="47">
        <f t="shared" si="20"/>
        <v>5.1325671183907848E-4</v>
      </c>
      <c r="V36" s="48">
        <f t="shared" si="21"/>
        <v>0</v>
      </c>
      <c r="W36" s="49">
        <f t="shared" si="22"/>
        <v>4.2771392653256542E-5</v>
      </c>
      <c r="X36" s="44">
        <f t="shared" si="23"/>
        <v>105.34675532771486</v>
      </c>
      <c r="Y36" s="44">
        <f t="shared" si="24"/>
        <v>0</v>
      </c>
      <c r="Z36" s="44">
        <f t="shared" si="25"/>
        <v>541.980486423402</v>
      </c>
      <c r="AA36" s="50">
        <f t="shared" si="26"/>
        <v>697.34675532771485</v>
      </c>
      <c r="AB36" s="51">
        <f t="shared" si="27"/>
        <v>506.66587494007848</v>
      </c>
      <c r="AC36" s="44">
        <f t="shared" si="28"/>
        <v>651.90871770376259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0.86650348716649883</v>
      </c>
      <c r="AG36" s="44">
        <f t="shared" si="31"/>
        <v>887.2995708584948</v>
      </c>
      <c r="AH36" s="52">
        <f>HLOOKUP(I36,ElecAvoidedCostsWOCC!$A$5:$Q$50,T36+1,FALSE)</f>
        <v>0.86650348716649883</v>
      </c>
      <c r="AI36" s="44">
        <f t="shared" si="32"/>
        <v>0</v>
      </c>
      <c r="AJ36" s="44">
        <f t="shared" si="33"/>
        <v>887.2995708584948</v>
      </c>
      <c r="AK36" s="44">
        <f>HLOOKUP(I36,ElecAvoidedCostsWOCC!$A$5:$Q$50,G36+1,FALSE)*J36*L36</f>
        <v>0</v>
      </c>
      <c r="AL36" s="44">
        <f t="shared" si="34"/>
        <v>887.2995708584948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887.2995708584948</v>
      </c>
      <c r="AN36" s="48">
        <f t="shared" si="35"/>
        <v>976.02952794434441</v>
      </c>
      <c r="AO36" s="47">
        <f t="shared" si="36"/>
        <v>1.7512518895483784</v>
      </c>
      <c r="AP36" s="47">
        <f t="shared" si="37"/>
        <v>1.4971874151065845</v>
      </c>
      <c r="AQ36">
        <v>2021</v>
      </c>
    </row>
    <row r="37" spans="2:43">
      <c r="B37" s="97" t="s">
        <v>70</v>
      </c>
      <c r="C37" s="98">
        <v>18231134</v>
      </c>
      <c r="D37" s="61" t="s">
        <v>176</v>
      </c>
      <c r="E37" s="38" t="s">
        <v>1351</v>
      </c>
      <c r="F37" s="39" t="s">
        <v>1350</v>
      </c>
      <c r="G37" s="39">
        <v>12</v>
      </c>
      <c r="H37" s="39"/>
      <c r="I37" s="40" t="s">
        <v>257</v>
      </c>
      <c r="J37" s="41">
        <v>1287</v>
      </c>
      <c r="K37" s="41">
        <v>64</v>
      </c>
      <c r="L37" s="41"/>
      <c r="M37" s="42">
        <v>37</v>
      </c>
      <c r="N37" s="42">
        <v>37</v>
      </c>
      <c r="O37" s="43">
        <v>82368</v>
      </c>
      <c r="P37" s="44">
        <v>47619</v>
      </c>
      <c r="Q37" s="44">
        <v>47619</v>
      </c>
      <c r="R37" s="45">
        <v>0</v>
      </c>
      <c r="S37" s="46">
        <v>0</v>
      </c>
      <c r="T37" s="39">
        <f t="shared" si="19"/>
        <v>12</v>
      </c>
      <c r="U37" s="47">
        <f t="shared" si="20"/>
        <v>4.1285086758555876E-2</v>
      </c>
      <c r="V37" s="48">
        <f t="shared" si="21"/>
        <v>0</v>
      </c>
      <c r="W37" s="49">
        <f t="shared" si="22"/>
        <v>3.440423896546323E-3</v>
      </c>
      <c r="X37" s="44">
        <f t="shared" si="23"/>
        <v>8473.829631673063</v>
      </c>
      <c r="Y37" s="44">
        <f t="shared" si="24"/>
        <v>0</v>
      </c>
      <c r="Z37" s="44">
        <f t="shared" si="25"/>
        <v>43595.555376682394</v>
      </c>
      <c r="AA37" s="50">
        <f t="shared" si="26"/>
        <v>56092.829631673063</v>
      </c>
      <c r="AB37" s="51">
        <f t="shared" si="27"/>
        <v>40754.93631549256</v>
      </c>
      <c r="AC37" s="44">
        <f t="shared" si="28"/>
        <v>52437.907480296402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0.86650348716649883</v>
      </c>
      <c r="AG37" s="44">
        <f t="shared" si="31"/>
        <v>71372.159230930178</v>
      </c>
      <c r="AH37" s="52">
        <f>HLOOKUP(I37,ElecAvoidedCostsWOCC!$A$5:$Q$50,T37+1,FALSE)</f>
        <v>0.86650348716649883</v>
      </c>
      <c r="AI37" s="44">
        <f t="shared" si="32"/>
        <v>0</v>
      </c>
      <c r="AJ37" s="44">
        <f t="shared" si="33"/>
        <v>71372.159230930178</v>
      </c>
      <c r="AK37" s="44">
        <f>HLOOKUP(I37,ElecAvoidedCostsWOCC!$A$5:$Q$50,G37+1,FALSE)*J37*L37</f>
        <v>0</v>
      </c>
      <c r="AL37" s="44">
        <f t="shared" si="34"/>
        <v>71372.159230930178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71372.159230930178</v>
      </c>
      <c r="AN37" s="48">
        <f t="shared" si="35"/>
        <v>78509.375154023204</v>
      </c>
      <c r="AO37" s="47">
        <f t="shared" si="36"/>
        <v>1.7512518895483786</v>
      </c>
      <c r="AP37" s="47">
        <f t="shared" si="37"/>
        <v>1.4971874151065845</v>
      </c>
      <c r="AQ37">
        <v>2021</v>
      </c>
    </row>
    <row r="38" spans="2:43">
      <c r="B38" s="97" t="s">
        <v>70</v>
      </c>
      <c r="C38" s="98">
        <v>18231134</v>
      </c>
      <c r="D38" s="61" t="s">
        <v>176</v>
      </c>
      <c r="E38" s="38" t="s">
        <v>1352</v>
      </c>
      <c r="F38" s="39" t="s">
        <v>1353</v>
      </c>
      <c r="G38" s="39">
        <v>12</v>
      </c>
      <c r="H38" s="39"/>
      <c r="I38" s="40" t="s">
        <v>257</v>
      </c>
      <c r="J38" s="41">
        <v>209</v>
      </c>
      <c r="K38" s="41">
        <v>85</v>
      </c>
      <c r="L38" s="41"/>
      <c r="M38" s="42">
        <v>65</v>
      </c>
      <c r="N38" s="42">
        <v>65</v>
      </c>
      <c r="O38" s="43">
        <v>17765</v>
      </c>
      <c r="P38" s="44">
        <v>13585</v>
      </c>
      <c r="Q38" s="44">
        <v>13585</v>
      </c>
      <c r="R38" s="45">
        <v>0</v>
      </c>
      <c r="S38" s="46">
        <v>0</v>
      </c>
      <c r="T38" s="39">
        <f t="shared" si="19"/>
        <v>12</v>
      </c>
      <c r="U38" s="47">
        <f t="shared" si="20"/>
        <v>8.9043022322472937E-3</v>
      </c>
      <c r="V38" s="48">
        <f t="shared" si="21"/>
        <v>0</v>
      </c>
      <c r="W38" s="49">
        <f t="shared" si="22"/>
        <v>7.4202518602060788E-4</v>
      </c>
      <c r="X38" s="44">
        <f t="shared" si="23"/>
        <v>1827.6221761688032</v>
      </c>
      <c r="Y38" s="44">
        <f t="shared" si="24"/>
        <v>0</v>
      </c>
      <c r="Z38" s="44">
        <f t="shared" si="25"/>
        <v>9402.6204504997422</v>
      </c>
      <c r="AA38" s="50">
        <f t="shared" si="26"/>
        <v>15412.622176168803</v>
      </c>
      <c r="AB38" s="51">
        <f t="shared" si="27"/>
        <v>8789.9602229594657</v>
      </c>
      <c r="AC38" s="44">
        <f t="shared" si="28"/>
        <v>14408.359517779565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0.86650348716649883</v>
      </c>
      <c r="AG38" s="44">
        <f t="shared" si="31"/>
        <v>15393.434449512852</v>
      </c>
      <c r="AH38" s="52">
        <f>HLOOKUP(I38,ElecAvoidedCostsWOCC!$A$5:$Q$50,T38+1,FALSE)</f>
        <v>0.86650348716649883</v>
      </c>
      <c r="AI38" s="44">
        <f t="shared" si="32"/>
        <v>0</v>
      </c>
      <c r="AJ38" s="44">
        <f t="shared" si="33"/>
        <v>15393.434449512852</v>
      </c>
      <c r="AK38" s="44">
        <f>HLOOKUP(I38,ElecAvoidedCostsWOCC!$A$5:$Q$50,G38+1,FALSE)*J38*L38</f>
        <v>0</v>
      </c>
      <c r="AL38" s="44">
        <f t="shared" si="34"/>
        <v>15393.434449512852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15393.434449512852</v>
      </c>
      <c r="AN38" s="48">
        <f t="shared" si="35"/>
        <v>16932.77789446414</v>
      </c>
      <c r="AO38" s="47">
        <f t="shared" si="36"/>
        <v>1.7512518895483786</v>
      </c>
      <c r="AP38" s="47">
        <f t="shared" si="37"/>
        <v>1.1752051212748755</v>
      </c>
      <c r="AQ38">
        <v>2021</v>
      </c>
    </row>
    <row r="39" spans="2:43">
      <c r="B39" s="97" t="s">
        <v>70</v>
      </c>
      <c r="C39" s="98">
        <v>18231134</v>
      </c>
      <c r="D39" s="61" t="s">
        <v>176</v>
      </c>
      <c r="E39" s="38" t="s">
        <v>1354</v>
      </c>
      <c r="F39" s="39" t="s">
        <v>1355</v>
      </c>
      <c r="G39" s="39">
        <v>12</v>
      </c>
      <c r="H39" s="39"/>
      <c r="I39" s="40" t="s">
        <v>257</v>
      </c>
      <c r="J39" s="41">
        <v>458</v>
      </c>
      <c r="K39" s="41">
        <v>128</v>
      </c>
      <c r="L39" s="41"/>
      <c r="M39" s="42">
        <v>65</v>
      </c>
      <c r="N39" s="42">
        <v>65</v>
      </c>
      <c r="O39" s="43">
        <v>58624</v>
      </c>
      <c r="P39" s="44">
        <v>29770</v>
      </c>
      <c r="Q39" s="44">
        <v>29770</v>
      </c>
      <c r="R39" s="45">
        <v>0</v>
      </c>
      <c r="S39" s="46">
        <v>0</v>
      </c>
      <c r="T39" s="39">
        <f t="shared" si="19"/>
        <v>12</v>
      </c>
      <c r="U39" s="47">
        <f t="shared" si="20"/>
        <v>2.9383946752787243E-2</v>
      </c>
      <c r="V39" s="48">
        <f t="shared" si="21"/>
        <v>0</v>
      </c>
      <c r="W39" s="49">
        <f t="shared" si="22"/>
        <v>2.4486622293989368E-3</v>
      </c>
      <c r="X39" s="44">
        <f t="shared" si="23"/>
        <v>6031.1017425116752</v>
      </c>
      <c r="Y39" s="44">
        <f t="shared" si="24"/>
        <v>0</v>
      </c>
      <c r="Z39" s="44">
        <f t="shared" si="25"/>
        <v>31028.382847739762</v>
      </c>
      <c r="AA39" s="50">
        <f t="shared" si="26"/>
        <v>35801.101742511673</v>
      </c>
      <c r="AB39" s="51">
        <f t="shared" si="27"/>
        <v>29006.621340319492</v>
      </c>
      <c r="AC39" s="44">
        <f t="shared" si="28"/>
        <v>33468.357242695776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0.86650348716649883</v>
      </c>
      <c r="AG39" s="44">
        <f t="shared" si="31"/>
        <v>50797.900431648828</v>
      </c>
      <c r="AH39" s="52">
        <f>HLOOKUP(I39,ElecAvoidedCostsWOCC!$A$5:$Q$50,T39+1,FALSE)</f>
        <v>0.86650348716649883</v>
      </c>
      <c r="AI39" s="44">
        <f t="shared" si="32"/>
        <v>0</v>
      </c>
      <c r="AJ39" s="44">
        <f t="shared" si="33"/>
        <v>50797.900431648828</v>
      </c>
      <c r="AK39" s="44">
        <f>HLOOKUP(I39,ElecAvoidedCostsWOCC!$A$5:$Q$50,G39+1,FALSE)*J39*L39</f>
        <v>0</v>
      </c>
      <c r="AL39" s="44">
        <f t="shared" si="34"/>
        <v>50797.900431648828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50797.900431648828</v>
      </c>
      <c r="AN39" s="48">
        <f t="shared" si="35"/>
        <v>55877.690474813717</v>
      </c>
      <c r="AO39" s="47">
        <f t="shared" si="36"/>
        <v>1.7512518895483784</v>
      </c>
      <c r="AP39" s="47">
        <f t="shared" si="37"/>
        <v>1.6695677672380713</v>
      </c>
      <c r="AQ39">
        <v>2021</v>
      </c>
    </row>
    <row r="40" spans="2:43">
      <c r="B40" s="97" t="s">
        <v>70</v>
      </c>
      <c r="C40" s="98">
        <v>18231134</v>
      </c>
      <c r="D40" s="61" t="s">
        <v>176</v>
      </c>
      <c r="E40" s="38" t="s">
        <v>1356</v>
      </c>
      <c r="F40" s="39" t="s">
        <v>1355</v>
      </c>
      <c r="G40" s="39">
        <v>12</v>
      </c>
      <c r="H40" s="39"/>
      <c r="I40" s="40" t="s">
        <v>257</v>
      </c>
      <c r="J40" s="41">
        <v>13628</v>
      </c>
      <c r="K40" s="41">
        <v>129</v>
      </c>
      <c r="L40" s="41"/>
      <c r="M40" s="42">
        <v>65</v>
      </c>
      <c r="N40" s="42">
        <v>65</v>
      </c>
      <c r="O40" s="43">
        <v>1758012</v>
      </c>
      <c r="P40" s="44">
        <v>885820</v>
      </c>
      <c r="Q40" s="44">
        <v>885820</v>
      </c>
      <c r="R40" s="45">
        <v>0</v>
      </c>
      <c r="S40" s="46">
        <v>0</v>
      </c>
      <c r="T40" s="39">
        <f t="shared" si="19"/>
        <v>12</v>
      </c>
      <c r="U40" s="47">
        <f t="shared" si="20"/>
        <v>0.88116353368519729</v>
      </c>
      <c r="V40" s="48">
        <f t="shared" si="21"/>
        <v>0</v>
      </c>
      <c r="W40" s="49">
        <f t="shared" si="22"/>
        <v>7.3430294473766436E-2</v>
      </c>
      <c r="X40" s="44">
        <f t="shared" si="23"/>
        <v>180860.21487029945</v>
      </c>
      <c r="Y40" s="44">
        <f t="shared" si="24"/>
        <v>0</v>
      </c>
      <c r="Z40" s="44">
        <f t="shared" si="25"/>
        <v>930476.75673650159</v>
      </c>
      <c r="AA40" s="50">
        <f t="shared" si="26"/>
        <v>1066680.2148702994</v>
      </c>
      <c r="AB40" s="51">
        <f t="shared" si="27"/>
        <v>869848.32825698936</v>
      </c>
      <c r="AC40" s="44">
        <f t="shared" si="28"/>
        <v>997176.9794057206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0.86650348716649883</v>
      </c>
      <c r="AG40" s="44">
        <f t="shared" si="31"/>
        <v>1523323.528480551</v>
      </c>
      <c r="AH40" s="52">
        <f>HLOOKUP(I40,ElecAvoidedCostsWOCC!$A$5:$Q$50,T40+1,FALSE)</f>
        <v>0.86650348716649883</v>
      </c>
      <c r="AI40" s="44">
        <f t="shared" si="32"/>
        <v>0</v>
      </c>
      <c r="AJ40" s="44">
        <f t="shared" si="33"/>
        <v>1523323.528480551</v>
      </c>
      <c r="AK40" s="44">
        <f>HLOOKUP(I40,ElecAvoidedCostsWOCC!$A$5:$Q$50,G40+1,FALSE)*J40*L40</f>
        <v>0</v>
      </c>
      <c r="AL40" s="44">
        <f t="shared" si="34"/>
        <v>1523323.528480551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1523323.528480551</v>
      </c>
      <c r="AN40" s="48">
        <f t="shared" si="35"/>
        <v>1675655.8813286063</v>
      </c>
      <c r="AO40" s="47">
        <f t="shared" si="36"/>
        <v>1.7512518895483786</v>
      </c>
      <c r="AP40" s="47">
        <f t="shared" si="37"/>
        <v>1.6803996842438473</v>
      </c>
      <c r="AQ40">
        <v>2021</v>
      </c>
    </row>
    <row r="41" spans="2:43">
      <c r="B41" s="97" t="s">
        <v>70</v>
      </c>
      <c r="C41" s="98">
        <v>18231134</v>
      </c>
      <c r="D41" s="61" t="s">
        <v>176</v>
      </c>
      <c r="E41" s="38" t="s">
        <v>1357</v>
      </c>
      <c r="F41" s="39" t="s">
        <v>1358</v>
      </c>
      <c r="G41" s="39">
        <v>12</v>
      </c>
      <c r="H41" s="39"/>
      <c r="I41" s="40" t="s">
        <v>257</v>
      </c>
      <c r="J41" s="41">
        <v>123</v>
      </c>
      <c r="K41" s="41">
        <v>127</v>
      </c>
      <c r="L41" s="41"/>
      <c r="M41" s="42">
        <v>78</v>
      </c>
      <c r="N41" s="42">
        <v>78</v>
      </c>
      <c r="O41" s="43">
        <v>15621</v>
      </c>
      <c r="P41" s="44">
        <v>9594</v>
      </c>
      <c r="Q41" s="44">
        <v>9594</v>
      </c>
      <c r="R41" s="45">
        <v>0</v>
      </c>
      <c r="S41" s="46">
        <v>0</v>
      </c>
      <c r="T41" s="39">
        <f t="shared" si="19"/>
        <v>12</v>
      </c>
      <c r="U41" s="47">
        <f t="shared" si="20"/>
        <v>7.8296709918342228E-3</v>
      </c>
      <c r="V41" s="48">
        <f t="shared" si="21"/>
        <v>0</v>
      </c>
      <c r="W41" s="49">
        <f t="shared" si="22"/>
        <v>6.5247258265285193E-4</v>
      </c>
      <c r="X41" s="44">
        <f t="shared" si="23"/>
        <v>1607.0524072014</v>
      </c>
      <c r="Y41" s="44">
        <f t="shared" si="24"/>
        <v>0</v>
      </c>
      <c r="Z41" s="44">
        <f t="shared" si="25"/>
        <v>8267.8488070507428</v>
      </c>
      <c r="AA41" s="50">
        <f t="shared" si="26"/>
        <v>11201.0524072014</v>
      </c>
      <c r="AB41" s="51">
        <f t="shared" si="27"/>
        <v>7729.128547303676</v>
      </c>
      <c r="AC41" s="44">
        <f t="shared" si="28"/>
        <v>10471.209130785639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0.86650348716649883</v>
      </c>
      <c r="AG41" s="44">
        <f t="shared" si="31"/>
        <v>13535.650973027878</v>
      </c>
      <c r="AH41" s="52">
        <f>HLOOKUP(I41,ElecAvoidedCostsWOCC!$A$5:$Q$50,T41+1,FALSE)</f>
        <v>0.86650348716649883</v>
      </c>
      <c r="AI41" s="44">
        <f t="shared" si="32"/>
        <v>0</v>
      </c>
      <c r="AJ41" s="44">
        <f t="shared" si="33"/>
        <v>13535.650973027878</v>
      </c>
      <c r="AK41" s="44">
        <f>HLOOKUP(I41,ElecAvoidedCostsWOCC!$A$5:$Q$50,G41+1,FALSE)*J41*L41</f>
        <v>0</v>
      </c>
      <c r="AL41" s="44">
        <f t="shared" si="34"/>
        <v>13535.650973027878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13535.650973027878</v>
      </c>
      <c r="AN41" s="48">
        <f t="shared" si="35"/>
        <v>14889.216070330667</v>
      </c>
      <c r="AO41" s="47">
        <f t="shared" si="36"/>
        <v>1.7512518895483786</v>
      </c>
      <c r="AP41" s="47">
        <f t="shared" si="37"/>
        <v>1.4219194635847705</v>
      </c>
      <c r="AQ41">
        <v>2021</v>
      </c>
    </row>
    <row r="42" spans="2:43">
      <c r="B42" s="97" t="s">
        <v>70</v>
      </c>
      <c r="C42" s="98">
        <v>18231134</v>
      </c>
      <c r="D42" s="61" t="s">
        <v>176</v>
      </c>
      <c r="E42" s="38" t="s">
        <v>1359</v>
      </c>
      <c r="F42" s="39" t="s">
        <v>1360</v>
      </c>
      <c r="G42" s="39">
        <v>12</v>
      </c>
      <c r="H42" s="39"/>
      <c r="I42" s="40" t="s">
        <v>257</v>
      </c>
      <c r="J42" s="41">
        <v>132</v>
      </c>
      <c r="K42" s="41">
        <v>192</v>
      </c>
      <c r="L42" s="41"/>
      <c r="M42" s="42">
        <v>78</v>
      </c>
      <c r="N42" s="42">
        <v>78</v>
      </c>
      <c r="O42" s="43">
        <v>25344</v>
      </c>
      <c r="P42" s="44">
        <v>10296</v>
      </c>
      <c r="Q42" s="44">
        <v>10296</v>
      </c>
      <c r="R42" s="45">
        <v>0</v>
      </c>
      <c r="S42" s="46">
        <v>0</v>
      </c>
      <c r="T42" s="39">
        <f t="shared" si="19"/>
        <v>12</v>
      </c>
      <c r="U42" s="47">
        <f t="shared" si="20"/>
        <v>1.2703103618017192E-2</v>
      </c>
      <c r="V42" s="48">
        <f t="shared" si="21"/>
        <v>0</v>
      </c>
      <c r="W42" s="49">
        <f t="shared" si="22"/>
        <v>1.0585919681680993E-3</v>
      </c>
      <c r="X42" s="44">
        <f t="shared" si="23"/>
        <v>2607.3321943609426</v>
      </c>
      <c r="Y42" s="44">
        <f t="shared" si="24"/>
        <v>0</v>
      </c>
      <c r="Z42" s="44">
        <f t="shared" si="25"/>
        <v>13414.017038979198</v>
      </c>
      <c r="AA42" s="50">
        <f t="shared" si="26"/>
        <v>12903.332194360943</v>
      </c>
      <c r="AB42" s="51">
        <f t="shared" si="27"/>
        <v>12539.980404766942</v>
      </c>
      <c r="AC42" s="44">
        <f t="shared" si="28"/>
        <v>12062.570995943668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0.86650348716649883</v>
      </c>
      <c r="AG42" s="44">
        <f t="shared" si="31"/>
        <v>21960.664378747744</v>
      </c>
      <c r="AH42" s="52">
        <f>HLOOKUP(I42,ElecAvoidedCostsWOCC!$A$5:$Q$50,T42+1,FALSE)</f>
        <v>0.86650348716649883</v>
      </c>
      <c r="AI42" s="44">
        <f t="shared" si="32"/>
        <v>0</v>
      </c>
      <c r="AJ42" s="44">
        <f t="shared" si="33"/>
        <v>21960.664378747744</v>
      </c>
      <c r="AK42" s="44">
        <f>HLOOKUP(I42,ElecAvoidedCostsWOCC!$A$5:$Q$50,G42+1,FALSE)*J42*L42</f>
        <v>0</v>
      </c>
      <c r="AL42" s="44">
        <f t="shared" si="34"/>
        <v>21960.664378747744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21960.664378747744</v>
      </c>
      <c r="AN42" s="48">
        <f t="shared" si="35"/>
        <v>24156.730816622519</v>
      </c>
      <c r="AO42" s="47">
        <f t="shared" si="36"/>
        <v>1.7512518895483782</v>
      </c>
      <c r="AP42" s="47">
        <f t="shared" si="37"/>
        <v>2.002618747259254</v>
      </c>
      <c r="AQ42">
        <v>2021</v>
      </c>
    </row>
    <row r="43" spans="2:43">
      <c r="B43" s="97" t="s">
        <v>70</v>
      </c>
      <c r="C43" s="98">
        <v>18231134</v>
      </c>
      <c r="D43" s="61" t="s">
        <v>176</v>
      </c>
      <c r="E43" s="38" t="s">
        <v>1361</v>
      </c>
      <c r="F43" s="39" t="s">
        <v>1360</v>
      </c>
      <c r="G43" s="39">
        <v>12</v>
      </c>
      <c r="H43" s="39"/>
      <c r="I43" s="40" t="s">
        <v>257</v>
      </c>
      <c r="J43" s="41">
        <v>6550</v>
      </c>
      <c r="K43" s="41">
        <v>193</v>
      </c>
      <c r="L43" s="41"/>
      <c r="M43" s="42">
        <v>78</v>
      </c>
      <c r="N43" s="42">
        <v>78</v>
      </c>
      <c r="O43" s="43">
        <v>1264150</v>
      </c>
      <c r="P43" s="44">
        <v>510900</v>
      </c>
      <c r="Q43" s="44">
        <v>510900</v>
      </c>
      <c r="R43" s="45">
        <v>0</v>
      </c>
      <c r="S43" s="46">
        <v>0</v>
      </c>
      <c r="T43" s="39">
        <f t="shared" si="19"/>
        <v>12</v>
      </c>
      <c r="U43" s="47">
        <f t="shared" si="20"/>
        <v>0.63362643776501082</v>
      </c>
      <c r="V43" s="48">
        <f t="shared" si="21"/>
        <v>0</v>
      </c>
      <c r="W43" s="49">
        <f t="shared" si="22"/>
        <v>5.2802203147084233E-2</v>
      </c>
      <c r="X43" s="44">
        <f t="shared" si="23"/>
        <v>130052.83276126048</v>
      </c>
      <c r="Y43" s="44">
        <f t="shared" si="24"/>
        <v>0</v>
      </c>
      <c r="Z43" s="44">
        <f t="shared" si="25"/>
        <v>669086.55460170272</v>
      </c>
      <c r="AA43" s="50">
        <f t="shared" si="26"/>
        <v>640952.83276126045</v>
      </c>
      <c r="AB43" s="51">
        <f t="shared" si="27"/>
        <v>625489.90801318374</v>
      </c>
      <c r="AC43" s="44">
        <f t="shared" si="28"/>
        <v>599189.33603931975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0.86650348716649883</v>
      </c>
      <c r="AG43" s="44">
        <f t="shared" si="31"/>
        <v>1095390.3833015293</v>
      </c>
      <c r="AH43" s="52">
        <f>HLOOKUP(I43,ElecAvoidedCostsWOCC!$A$5:$Q$50,T43+1,FALSE)</f>
        <v>0.86650348716649883</v>
      </c>
      <c r="AI43" s="44">
        <f t="shared" si="32"/>
        <v>0</v>
      </c>
      <c r="AJ43" s="44">
        <f t="shared" si="33"/>
        <v>1095390.3833015293</v>
      </c>
      <c r="AK43" s="44">
        <f>HLOOKUP(I43,ElecAvoidedCostsWOCC!$A$5:$Q$50,G43+1,FALSE)*J43*L43</f>
        <v>0</v>
      </c>
      <c r="AL43" s="44">
        <f t="shared" si="34"/>
        <v>1095390.3833015293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1095390.3833015296</v>
      </c>
      <c r="AN43" s="48">
        <f t="shared" si="35"/>
        <v>1204929.4216316827</v>
      </c>
      <c r="AO43" s="47">
        <f t="shared" si="36"/>
        <v>1.7512518895483786</v>
      </c>
      <c r="AP43" s="47">
        <f t="shared" si="37"/>
        <v>2.0109326871475117</v>
      </c>
      <c r="AQ43">
        <v>2021</v>
      </c>
    </row>
    <row r="44" spans="2:43">
      <c r="B44" s="97" t="s">
        <v>70</v>
      </c>
      <c r="C44" s="98">
        <v>18231134</v>
      </c>
      <c r="D44" s="61" t="s">
        <v>176</v>
      </c>
      <c r="E44" s="38" t="s">
        <v>1362</v>
      </c>
      <c r="F44" s="39" t="s">
        <v>1363</v>
      </c>
      <c r="G44" s="39">
        <v>12</v>
      </c>
      <c r="H44" s="39"/>
      <c r="I44" s="40" t="s">
        <v>257</v>
      </c>
      <c r="J44" s="41">
        <v>6</v>
      </c>
      <c r="K44" s="41">
        <v>225</v>
      </c>
      <c r="L44" s="41"/>
      <c r="M44" s="42">
        <v>100</v>
      </c>
      <c r="N44" s="42">
        <v>100</v>
      </c>
      <c r="O44" s="43">
        <v>1350</v>
      </c>
      <c r="P44" s="44">
        <v>600</v>
      </c>
      <c r="Q44" s="44">
        <v>600</v>
      </c>
      <c r="R44" s="45">
        <v>0</v>
      </c>
      <c r="S44" s="46">
        <v>0</v>
      </c>
      <c r="T44" s="39">
        <f t="shared" si="19"/>
        <v>12</v>
      </c>
      <c r="U44" s="47">
        <f t="shared" si="20"/>
        <v>6.7665679783472264E-4</v>
      </c>
      <c r="V44" s="48">
        <f t="shared" si="21"/>
        <v>0</v>
      </c>
      <c r="W44" s="49">
        <f t="shared" si="22"/>
        <v>5.6388066486226887E-5</v>
      </c>
      <c r="X44" s="44">
        <f t="shared" si="23"/>
        <v>138.88488251212408</v>
      </c>
      <c r="Y44" s="44">
        <f t="shared" si="24"/>
        <v>0</v>
      </c>
      <c r="Z44" s="44">
        <f t="shared" si="25"/>
        <v>714.52505534335228</v>
      </c>
      <c r="AA44" s="50">
        <f t="shared" si="26"/>
        <v>738.88488251212402</v>
      </c>
      <c r="AB44" s="51">
        <f t="shared" si="27"/>
        <v>667.96770621983001</v>
      </c>
      <c r="AC44" s="44">
        <f t="shared" si="28"/>
        <v>690.74028467058429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0.86650348716649883</v>
      </c>
      <c r="AG44" s="44">
        <f t="shared" si="31"/>
        <v>1169.7797076747734</v>
      </c>
      <c r="AH44" s="52">
        <f>HLOOKUP(I44,ElecAvoidedCostsWOCC!$A$5:$Q$50,T44+1,FALSE)</f>
        <v>0.86650348716649883</v>
      </c>
      <c r="AI44" s="44">
        <f t="shared" si="32"/>
        <v>0</v>
      </c>
      <c r="AJ44" s="44">
        <f t="shared" si="33"/>
        <v>1169.7797076747734</v>
      </c>
      <c r="AK44" s="44">
        <f>HLOOKUP(I44,ElecAvoidedCostsWOCC!$A$5:$Q$50,G44+1,FALSE)*J44*L44</f>
        <v>0</v>
      </c>
      <c r="AL44" s="44">
        <f t="shared" si="34"/>
        <v>1169.7797076747734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1169.7797076747734</v>
      </c>
      <c r="AN44" s="48">
        <f t="shared" si="35"/>
        <v>1286.7576784422508</v>
      </c>
      <c r="AO44" s="47">
        <f t="shared" si="36"/>
        <v>1.7512518895483784</v>
      </c>
      <c r="AP44" s="47">
        <f t="shared" si="37"/>
        <v>1.8628675741069722</v>
      </c>
      <c r="AQ44">
        <v>2021</v>
      </c>
    </row>
    <row r="45" spans="2:43">
      <c r="B45" s="97" t="s">
        <v>70</v>
      </c>
      <c r="C45" s="98">
        <v>18231134</v>
      </c>
      <c r="D45" s="61" t="s">
        <v>176</v>
      </c>
      <c r="E45" s="38" t="s">
        <v>1364</v>
      </c>
      <c r="F45" s="39" t="s">
        <v>1363</v>
      </c>
      <c r="G45" s="39">
        <v>12</v>
      </c>
      <c r="H45" s="39"/>
      <c r="I45" s="40" t="s">
        <v>257</v>
      </c>
      <c r="J45" s="41">
        <v>45</v>
      </c>
      <c r="K45" s="41">
        <v>169</v>
      </c>
      <c r="L45" s="41"/>
      <c r="M45" s="42">
        <v>100</v>
      </c>
      <c r="N45" s="42">
        <v>100</v>
      </c>
      <c r="O45" s="43">
        <v>7605</v>
      </c>
      <c r="P45" s="44">
        <v>4500</v>
      </c>
      <c r="Q45" s="44">
        <v>4500</v>
      </c>
      <c r="R45" s="45">
        <v>0</v>
      </c>
      <c r="S45" s="46">
        <v>0</v>
      </c>
      <c r="T45" s="39">
        <f t="shared" si="19"/>
        <v>12</v>
      </c>
      <c r="U45" s="47">
        <f t="shared" si="20"/>
        <v>3.8118332944689377E-3</v>
      </c>
      <c r="V45" s="48">
        <f t="shared" si="21"/>
        <v>0</v>
      </c>
      <c r="W45" s="49">
        <f t="shared" si="22"/>
        <v>3.1765277453907814E-4</v>
      </c>
      <c r="X45" s="44">
        <f t="shared" si="23"/>
        <v>782.38483815163238</v>
      </c>
      <c r="Y45" s="44">
        <f t="shared" si="24"/>
        <v>0</v>
      </c>
      <c r="Z45" s="44">
        <f t="shared" si="25"/>
        <v>4025.1578117675508</v>
      </c>
      <c r="AA45" s="50">
        <f t="shared" si="26"/>
        <v>5282.3848381516327</v>
      </c>
      <c r="AB45" s="51">
        <f t="shared" si="27"/>
        <v>3762.8847450383755</v>
      </c>
      <c r="AC45" s="44">
        <f t="shared" si="28"/>
        <v>4938.1927999921772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0.86650348716649883</v>
      </c>
      <c r="AG45" s="44">
        <f t="shared" si="31"/>
        <v>6589.7590199012238</v>
      </c>
      <c r="AH45" s="52">
        <f>HLOOKUP(I45,ElecAvoidedCostsWOCC!$A$5:$Q$50,T45+1,FALSE)</f>
        <v>0.86650348716649883</v>
      </c>
      <c r="AI45" s="44">
        <f t="shared" si="32"/>
        <v>0</v>
      </c>
      <c r="AJ45" s="44">
        <f t="shared" si="33"/>
        <v>6589.7590199012238</v>
      </c>
      <c r="AK45" s="44">
        <f>HLOOKUP(I45,ElecAvoidedCostsWOCC!$A$5:$Q$50,G45+1,FALSE)*J45*L45</f>
        <v>0</v>
      </c>
      <c r="AL45" s="44">
        <f t="shared" si="34"/>
        <v>6589.7590199012238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6589.7590199012229</v>
      </c>
      <c r="AN45" s="48">
        <f t="shared" si="35"/>
        <v>7248.7349218913459</v>
      </c>
      <c r="AO45" s="47">
        <f t="shared" si="36"/>
        <v>1.7512518895483784</v>
      </c>
      <c r="AP45" s="47">
        <f t="shared" si="37"/>
        <v>1.4678922463097894</v>
      </c>
      <c r="AQ45">
        <v>2021</v>
      </c>
    </row>
    <row r="46" spans="2:43">
      <c r="B46" s="97" t="s">
        <v>70</v>
      </c>
      <c r="C46" s="98">
        <v>18231134</v>
      </c>
      <c r="D46" s="61" t="s">
        <v>176</v>
      </c>
      <c r="E46" s="38" t="s">
        <v>1365</v>
      </c>
      <c r="F46" s="39" t="s">
        <v>1366</v>
      </c>
      <c r="G46" s="39">
        <v>12</v>
      </c>
      <c r="H46" s="39"/>
      <c r="I46" s="40" t="s">
        <v>257</v>
      </c>
      <c r="J46" s="41">
        <v>686</v>
      </c>
      <c r="K46" s="41">
        <v>255</v>
      </c>
      <c r="L46" s="41"/>
      <c r="M46" s="42">
        <v>100</v>
      </c>
      <c r="N46" s="42">
        <v>100</v>
      </c>
      <c r="O46" s="43">
        <v>174930</v>
      </c>
      <c r="P46" s="44">
        <v>68600</v>
      </c>
      <c r="Q46" s="44">
        <v>68600</v>
      </c>
      <c r="R46" s="45">
        <v>0</v>
      </c>
      <c r="S46" s="46">
        <v>0</v>
      </c>
      <c r="T46" s="39">
        <f t="shared" si="19"/>
        <v>12</v>
      </c>
      <c r="U46" s="47">
        <f t="shared" si="20"/>
        <v>8.7679684181650383E-2</v>
      </c>
      <c r="V46" s="48">
        <f t="shared" si="21"/>
        <v>0</v>
      </c>
      <c r="W46" s="49">
        <f t="shared" si="22"/>
        <v>7.3066403484708655E-3</v>
      </c>
      <c r="X46" s="44">
        <f t="shared" si="23"/>
        <v>17996.394442848788</v>
      </c>
      <c r="Y46" s="44">
        <f t="shared" si="24"/>
        <v>0</v>
      </c>
      <c r="Z46" s="44">
        <f t="shared" si="25"/>
        <v>92586.56883793525</v>
      </c>
      <c r="AA46" s="50">
        <f t="shared" si="26"/>
        <v>86596.394442848788</v>
      </c>
      <c r="AB46" s="51">
        <f t="shared" si="27"/>
        <v>86553.770999285072</v>
      </c>
      <c r="AC46" s="44">
        <f t="shared" si="28"/>
        <v>80953.907116807313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0.86650348716649883</v>
      </c>
      <c r="AG46" s="44">
        <f t="shared" si="31"/>
        <v>151577.45501003566</v>
      </c>
      <c r="AH46" s="52">
        <f>HLOOKUP(I46,ElecAvoidedCostsWOCC!$A$5:$Q$50,T46+1,FALSE)</f>
        <v>0.86650348716649883</v>
      </c>
      <c r="AI46" s="44">
        <f t="shared" si="32"/>
        <v>0</v>
      </c>
      <c r="AJ46" s="44">
        <f t="shared" si="33"/>
        <v>151577.45501003566</v>
      </c>
      <c r="AK46" s="44">
        <f>HLOOKUP(I46,ElecAvoidedCostsWOCC!$A$5:$Q$50,G46+1,FALSE)*J46*L46</f>
        <v>0</v>
      </c>
      <c r="AL46" s="44">
        <f t="shared" si="34"/>
        <v>151577.45501003566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151577.45501003563</v>
      </c>
      <c r="AN46" s="48">
        <f t="shared" si="35"/>
        <v>166735.20051103921</v>
      </c>
      <c r="AO46" s="47">
        <f t="shared" si="36"/>
        <v>1.7512518895483784</v>
      </c>
      <c r="AP46" s="47">
        <f t="shared" si="37"/>
        <v>2.0596312945150284</v>
      </c>
      <c r="AQ46">
        <v>2021</v>
      </c>
    </row>
    <row r="47" spans="2:43">
      <c r="B47" s="97" t="s">
        <v>70</v>
      </c>
      <c r="C47" s="98">
        <v>18231134</v>
      </c>
      <c r="D47" s="61" t="s">
        <v>176</v>
      </c>
      <c r="E47" s="38" t="s">
        <v>1367</v>
      </c>
      <c r="F47" s="39" t="s">
        <v>1366</v>
      </c>
      <c r="G47" s="39">
        <v>12</v>
      </c>
      <c r="H47" s="39"/>
      <c r="I47" s="40" t="s">
        <v>257</v>
      </c>
      <c r="J47" s="41">
        <v>9940</v>
      </c>
      <c r="K47" s="41">
        <v>258</v>
      </c>
      <c r="L47" s="41"/>
      <c r="M47" s="42">
        <v>100</v>
      </c>
      <c r="N47" s="42">
        <v>100</v>
      </c>
      <c r="O47" s="43">
        <v>2564520</v>
      </c>
      <c r="P47" s="44">
        <v>994000</v>
      </c>
      <c r="Q47" s="44">
        <v>994000</v>
      </c>
      <c r="R47" s="45">
        <v>0</v>
      </c>
      <c r="S47" s="46">
        <v>0</v>
      </c>
      <c r="T47" s="39">
        <f t="shared" si="19"/>
        <v>12</v>
      </c>
      <c r="U47" s="47">
        <f t="shared" si="20"/>
        <v>1.2854073268022983</v>
      </c>
      <c r="V47" s="48">
        <f t="shared" si="21"/>
        <v>0</v>
      </c>
      <c r="W47" s="49">
        <f t="shared" si="22"/>
        <v>0.10711727723352486</v>
      </c>
      <c r="X47" s="44">
        <f t="shared" si="23"/>
        <v>263831.89548147586</v>
      </c>
      <c r="Y47" s="44">
        <f t="shared" si="24"/>
        <v>0</v>
      </c>
      <c r="Z47" s="44">
        <f t="shared" si="25"/>
        <v>1357343.5517993581</v>
      </c>
      <c r="AA47" s="50">
        <f t="shared" si="26"/>
        <v>1257831.8954814759</v>
      </c>
      <c r="AB47" s="51">
        <f t="shared" si="27"/>
        <v>1268901.1421887986</v>
      </c>
      <c r="AC47" s="44">
        <f t="shared" si="28"/>
        <v>1175873.5117149442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0.86650348716649883</v>
      </c>
      <c r="AG47" s="44">
        <f t="shared" si="31"/>
        <v>2222165.5229082298</v>
      </c>
      <c r="AH47" s="52">
        <f>HLOOKUP(I47,ElecAvoidedCostsWOCC!$A$5:$Q$50,T47+1,FALSE)</f>
        <v>0.86650348716649883</v>
      </c>
      <c r="AI47" s="44">
        <f t="shared" si="32"/>
        <v>0</v>
      </c>
      <c r="AJ47" s="44">
        <f t="shared" si="33"/>
        <v>2222165.5229082298</v>
      </c>
      <c r="AK47" s="44">
        <f>HLOOKUP(I47,ElecAvoidedCostsWOCC!$A$5:$Q$50,G47+1,FALSE)*J47*L47</f>
        <v>0</v>
      </c>
      <c r="AL47" s="44">
        <f t="shared" si="34"/>
        <v>2222165.5229082298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2222165.5229082294</v>
      </c>
      <c r="AN47" s="48">
        <f t="shared" si="35"/>
        <v>2444382.0751990527</v>
      </c>
      <c r="AO47" s="47">
        <f t="shared" si="36"/>
        <v>1.7512518895483786</v>
      </c>
      <c r="AP47" s="47">
        <f t="shared" si="37"/>
        <v>2.0787797759251005</v>
      </c>
      <c r="AQ47">
        <v>2021</v>
      </c>
    </row>
    <row r="48" spans="2:43">
      <c r="B48" s="97" t="s">
        <v>70</v>
      </c>
      <c r="C48" s="98">
        <v>18231134</v>
      </c>
      <c r="D48" s="61" t="s">
        <v>176</v>
      </c>
      <c r="E48" s="38" t="s">
        <v>1368</v>
      </c>
      <c r="F48" s="39" t="s">
        <v>1369</v>
      </c>
      <c r="G48" s="39">
        <v>15</v>
      </c>
      <c r="H48" s="39"/>
      <c r="I48" s="40" t="s">
        <v>257</v>
      </c>
      <c r="J48" s="41">
        <v>183</v>
      </c>
      <c r="K48" s="41">
        <v>424</v>
      </c>
      <c r="L48" s="41"/>
      <c r="M48" s="42">
        <v>119.1</v>
      </c>
      <c r="N48" s="42">
        <v>185</v>
      </c>
      <c r="O48" s="43">
        <v>77592</v>
      </c>
      <c r="P48" s="44">
        <v>33855</v>
      </c>
      <c r="Q48" s="44">
        <v>33855</v>
      </c>
      <c r="R48" s="45">
        <v>0</v>
      </c>
      <c r="S48" s="46">
        <v>0</v>
      </c>
      <c r="T48" s="39">
        <f t="shared" si="19"/>
        <v>15</v>
      </c>
      <c r="U48" s="47">
        <f t="shared" si="20"/>
        <v>4.8614031719992408E-2</v>
      </c>
      <c r="V48" s="48">
        <f t="shared" si="21"/>
        <v>65.900000000000006</v>
      </c>
      <c r="W48" s="49">
        <f t="shared" si="22"/>
        <v>3.2409354479994937E-3</v>
      </c>
      <c r="X48" s="44">
        <f t="shared" si="23"/>
        <v>7982.4857806523933</v>
      </c>
      <c r="Y48" s="44">
        <f t="shared" si="24"/>
        <v>0</v>
      </c>
      <c r="Z48" s="44">
        <f t="shared" si="25"/>
        <v>41067.72451422325</v>
      </c>
      <c r="AA48" s="50">
        <f t="shared" si="26"/>
        <v>41837.485780652394</v>
      </c>
      <c r="AB48" s="51">
        <f t="shared" si="27"/>
        <v>38391.815008154852</v>
      </c>
      <c r="AC48" s="44">
        <f t="shared" si="28"/>
        <v>39111.419819250623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1.0545904948077327</v>
      </c>
      <c r="AG48" s="44">
        <f t="shared" si="31"/>
        <v>81827.785673121602</v>
      </c>
      <c r="AH48" s="52">
        <f>HLOOKUP(I48,ElecAvoidedCostsWOCC!$A$5:$Q$50,T48+1,FALSE)</f>
        <v>1.0545904948077327</v>
      </c>
      <c r="AI48" s="44">
        <f t="shared" si="32"/>
        <v>0</v>
      </c>
      <c r="AJ48" s="44">
        <f t="shared" si="33"/>
        <v>81827.785673121602</v>
      </c>
      <c r="AK48" s="44">
        <f>HLOOKUP(I48,ElecAvoidedCostsWOCC!$A$5:$Q$50,G48+1,FALSE)*J48*L48</f>
        <v>0</v>
      </c>
      <c r="AL48" s="44">
        <f t="shared" si="34"/>
        <v>81827.785673121602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81827.785673121587</v>
      </c>
      <c r="AN48" s="48">
        <f t="shared" si="35"/>
        <v>90010.564240433756</v>
      </c>
      <c r="AO48" s="47">
        <f t="shared" si="36"/>
        <v>2.1313862253123603</v>
      </c>
      <c r="AP48" s="47">
        <f t="shared" si="37"/>
        <v>2.3013883069550598</v>
      </c>
      <c r="AQ48">
        <v>2021</v>
      </c>
    </row>
    <row r="49" spans="2:43">
      <c r="B49" s="97" t="s">
        <v>70</v>
      </c>
      <c r="C49" s="98">
        <v>18231134</v>
      </c>
      <c r="D49" s="61" t="s">
        <v>176</v>
      </c>
      <c r="E49" s="38" t="s">
        <v>1370</v>
      </c>
      <c r="F49" s="39" t="s">
        <v>1369</v>
      </c>
      <c r="G49" s="39">
        <v>15</v>
      </c>
      <c r="H49" s="39"/>
      <c r="I49" s="40" t="s">
        <v>257</v>
      </c>
      <c r="J49" s="41">
        <v>7078</v>
      </c>
      <c r="K49" s="41">
        <v>420</v>
      </c>
      <c r="L49" s="41"/>
      <c r="M49" s="42">
        <v>112</v>
      </c>
      <c r="N49" s="42">
        <v>140</v>
      </c>
      <c r="O49" s="43">
        <v>2972760</v>
      </c>
      <c r="P49" s="44">
        <v>1205697</v>
      </c>
      <c r="Q49" s="44">
        <v>990920</v>
      </c>
      <c r="R49" s="45">
        <v>0</v>
      </c>
      <c r="S49" s="46">
        <v>0</v>
      </c>
      <c r="T49" s="39">
        <f t="shared" si="19"/>
        <v>15</v>
      </c>
      <c r="U49" s="47">
        <f t="shared" si="20"/>
        <v>1.8625354280843982</v>
      </c>
      <c r="V49" s="48">
        <f t="shared" si="21"/>
        <v>28</v>
      </c>
      <c r="W49" s="49">
        <f t="shared" si="22"/>
        <v>0.12416902853895988</v>
      </c>
      <c r="X49" s="44">
        <f t="shared" si="23"/>
        <v>305830.6839531422</v>
      </c>
      <c r="Y49" s="44">
        <f t="shared" si="24"/>
        <v>-214777</v>
      </c>
      <c r="Z49" s="44">
        <f t="shared" si="25"/>
        <v>1573415.9285351881</v>
      </c>
      <c r="AA49" s="50">
        <f t="shared" si="26"/>
        <v>1296750.6839531423</v>
      </c>
      <c r="AB49" s="51">
        <f t="shared" si="27"/>
        <v>1470894.5765496755</v>
      </c>
      <c r="AC49" s="44">
        <f t="shared" si="28"/>
        <v>1212256.4120343481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1.0545904948077327</v>
      </c>
      <c r="AG49" s="44">
        <f t="shared" si="31"/>
        <v>3135044.4393446357</v>
      </c>
      <c r="AH49" s="52">
        <f>HLOOKUP(I49,ElecAvoidedCostsWOCC!$A$5:$Q$50,T49+1,FALSE)</f>
        <v>1.0545904948077327</v>
      </c>
      <c r="AI49" s="44">
        <f t="shared" si="32"/>
        <v>0</v>
      </c>
      <c r="AJ49" s="44">
        <f t="shared" si="33"/>
        <v>3135044.4393446357</v>
      </c>
      <c r="AK49" s="44">
        <f>HLOOKUP(I49,ElecAvoidedCostsWOCC!$A$5:$Q$50,G49+1,FALSE)*J49*L49</f>
        <v>0</v>
      </c>
      <c r="AL49" s="44">
        <f t="shared" si="34"/>
        <v>3135044.4393446357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3135044.4393446357</v>
      </c>
      <c r="AN49" s="48">
        <f t="shared" si="35"/>
        <v>3448548.8832790996</v>
      </c>
      <c r="AO49" s="47">
        <f t="shared" si="36"/>
        <v>2.1313862253123603</v>
      </c>
      <c r="AP49" s="47">
        <f t="shared" si="37"/>
        <v>2.8447355271084254</v>
      </c>
      <c r="AQ49">
        <v>2021</v>
      </c>
    </row>
    <row r="50" spans="2:43">
      <c r="B50" s="97" t="s">
        <v>70</v>
      </c>
      <c r="C50" s="98">
        <v>18231134</v>
      </c>
      <c r="D50" s="61" t="s">
        <v>176</v>
      </c>
      <c r="E50" s="38" t="s">
        <v>1371</v>
      </c>
      <c r="F50" s="39" t="s">
        <v>1372</v>
      </c>
      <c r="G50" s="39">
        <v>15</v>
      </c>
      <c r="H50" s="39"/>
      <c r="I50" s="40" t="s">
        <v>257</v>
      </c>
      <c r="J50" s="41">
        <v>81</v>
      </c>
      <c r="K50" s="41">
        <v>312</v>
      </c>
      <c r="L50" s="41"/>
      <c r="M50" s="42">
        <v>112</v>
      </c>
      <c r="N50" s="42">
        <v>140</v>
      </c>
      <c r="O50" s="43">
        <v>25272</v>
      </c>
      <c r="P50" s="44">
        <v>9072</v>
      </c>
      <c r="Q50" s="44">
        <v>11340</v>
      </c>
      <c r="R50" s="45">
        <v>0</v>
      </c>
      <c r="S50" s="46">
        <v>0</v>
      </c>
      <c r="T50" s="39">
        <f t="shared" si="19"/>
        <v>15</v>
      </c>
      <c r="U50" s="47">
        <f t="shared" si="20"/>
        <v>1.5833769069332509E-2</v>
      </c>
      <c r="V50" s="48">
        <f t="shared" si="21"/>
        <v>28</v>
      </c>
      <c r="W50" s="49">
        <f t="shared" si="22"/>
        <v>1.0555846046221673E-3</v>
      </c>
      <c r="X50" s="44">
        <f t="shared" si="23"/>
        <v>2599.9250006269626</v>
      </c>
      <c r="Y50" s="44">
        <f t="shared" si="24"/>
        <v>2268</v>
      </c>
      <c r="Z50" s="44">
        <f t="shared" si="25"/>
        <v>13375.909036027553</v>
      </c>
      <c r="AA50" s="50">
        <f t="shared" si="26"/>
        <v>13939.925000626963</v>
      </c>
      <c r="AB50" s="51">
        <f t="shared" si="27"/>
        <v>12504.355460435218</v>
      </c>
      <c r="AC50" s="44">
        <f t="shared" si="28"/>
        <v>13031.621015824026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1.0545904948077327</v>
      </c>
      <c r="AG50" s="44">
        <f t="shared" si="31"/>
        <v>26651.610984781018</v>
      </c>
      <c r="AH50" s="52">
        <f>HLOOKUP(I50,ElecAvoidedCostsWOCC!$A$5:$Q$50,T50+1,FALSE)</f>
        <v>1.0545904948077327</v>
      </c>
      <c r="AI50" s="44">
        <f t="shared" si="32"/>
        <v>0</v>
      </c>
      <c r="AJ50" s="44">
        <f t="shared" si="33"/>
        <v>26651.610984781018</v>
      </c>
      <c r="AK50" s="44">
        <f>HLOOKUP(I50,ElecAvoidedCostsWOCC!$A$5:$Q$50,G50+1,FALSE)*J50*L50</f>
        <v>0</v>
      </c>
      <c r="AL50" s="44">
        <f t="shared" si="34"/>
        <v>26651.610984781018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26651.610984781022</v>
      </c>
      <c r="AN50" s="48">
        <f t="shared" si="35"/>
        <v>29316.772083259126</v>
      </c>
      <c r="AO50" s="47">
        <f t="shared" si="36"/>
        <v>2.1313862253123603</v>
      </c>
      <c r="AP50" s="47">
        <f t="shared" si="37"/>
        <v>2.2496642626163221</v>
      </c>
      <c r="AQ50">
        <v>2021</v>
      </c>
    </row>
    <row r="51" spans="2:43">
      <c r="B51" s="97" t="s">
        <v>70</v>
      </c>
      <c r="C51" s="98">
        <v>18231134</v>
      </c>
      <c r="D51" s="61" t="s">
        <v>176</v>
      </c>
      <c r="E51" s="38" t="s">
        <v>1373</v>
      </c>
      <c r="F51" s="39" t="s">
        <v>1374</v>
      </c>
      <c r="G51" s="39">
        <v>15</v>
      </c>
      <c r="H51" s="39"/>
      <c r="I51" s="40" t="s">
        <v>257</v>
      </c>
      <c r="J51" s="41">
        <v>54</v>
      </c>
      <c r="K51" s="41">
        <v>213</v>
      </c>
      <c r="L51" s="41"/>
      <c r="M51" s="42">
        <v>112</v>
      </c>
      <c r="N51" s="42">
        <v>140</v>
      </c>
      <c r="O51" s="43">
        <v>11502</v>
      </c>
      <c r="P51" s="44">
        <v>9990</v>
      </c>
      <c r="Q51" s="44">
        <v>7560</v>
      </c>
      <c r="R51" s="45">
        <v>0</v>
      </c>
      <c r="S51" s="46">
        <v>0</v>
      </c>
      <c r="T51" s="39">
        <f t="shared" si="19"/>
        <v>15</v>
      </c>
      <c r="U51" s="47">
        <f t="shared" si="20"/>
        <v>7.2063948969397964E-3</v>
      </c>
      <c r="V51" s="48">
        <f t="shared" si="21"/>
        <v>28</v>
      </c>
      <c r="W51" s="49">
        <f t="shared" si="22"/>
        <v>4.8042632646265308E-4</v>
      </c>
      <c r="X51" s="44">
        <f t="shared" si="23"/>
        <v>1183.2991990032972</v>
      </c>
      <c r="Y51" s="44">
        <f t="shared" si="24"/>
        <v>-2430</v>
      </c>
      <c r="Z51" s="44">
        <f t="shared" si="25"/>
        <v>6087.7534715253605</v>
      </c>
      <c r="AA51" s="50">
        <f t="shared" si="26"/>
        <v>8743.299199003297</v>
      </c>
      <c r="AB51" s="51">
        <f t="shared" si="27"/>
        <v>5691.0848569929512</v>
      </c>
      <c r="AC51" s="44">
        <f t="shared" si="28"/>
        <v>8173.5993259823281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1.0545904948077327</v>
      </c>
      <c r="AG51" s="44">
        <f t="shared" si="31"/>
        <v>12129.899871278541</v>
      </c>
      <c r="AH51" s="52">
        <f>HLOOKUP(I51,ElecAvoidedCostsWOCC!$A$5:$Q$50,T51+1,FALSE)</f>
        <v>1.0545904948077327</v>
      </c>
      <c r="AI51" s="44">
        <f t="shared" si="32"/>
        <v>0</v>
      </c>
      <c r="AJ51" s="44">
        <f t="shared" si="33"/>
        <v>12129.899871278541</v>
      </c>
      <c r="AK51" s="44">
        <f>HLOOKUP(I51,ElecAvoidedCostsWOCC!$A$5:$Q$50,G51+1,FALSE)*J51*L51</f>
        <v>0</v>
      </c>
      <c r="AL51" s="44">
        <f t="shared" si="34"/>
        <v>12129.899871278541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12129.899871278541</v>
      </c>
      <c r="AN51" s="48">
        <f t="shared" si="35"/>
        <v>13342.889858406397</v>
      </c>
      <c r="AO51" s="47">
        <f t="shared" si="36"/>
        <v>2.1313862253123603</v>
      </c>
      <c r="AP51" s="47">
        <f t="shared" si="37"/>
        <v>1.6324374765951484</v>
      </c>
      <c r="AQ51">
        <v>2021</v>
      </c>
    </row>
    <row r="52" spans="2:43">
      <c r="B52" s="97" t="s">
        <v>70</v>
      </c>
      <c r="C52" s="98">
        <v>18231134</v>
      </c>
      <c r="D52" s="61" t="s">
        <v>176</v>
      </c>
      <c r="E52" s="38" t="s">
        <v>1375</v>
      </c>
      <c r="F52" s="39" t="s">
        <v>1376</v>
      </c>
      <c r="G52" s="39">
        <v>15</v>
      </c>
      <c r="H52" s="39"/>
      <c r="I52" s="40" t="s">
        <v>257</v>
      </c>
      <c r="J52" s="41">
        <v>202</v>
      </c>
      <c r="K52" s="41">
        <v>735</v>
      </c>
      <c r="L52" s="41"/>
      <c r="M52" s="42">
        <v>153.16999999999999</v>
      </c>
      <c r="N52" s="42">
        <v>218.82</v>
      </c>
      <c r="O52" s="43">
        <v>148470</v>
      </c>
      <c r="P52" s="44">
        <v>42494.74</v>
      </c>
      <c r="Q52" s="44">
        <v>44201.64</v>
      </c>
      <c r="R52" s="45">
        <v>0</v>
      </c>
      <c r="S52" s="46">
        <v>0</v>
      </c>
      <c r="T52" s="39">
        <f t="shared" si="19"/>
        <v>15</v>
      </c>
      <c r="U52" s="47">
        <f t="shared" si="20"/>
        <v>9.3021513680112286E-2</v>
      </c>
      <c r="V52" s="48">
        <f t="shared" si="21"/>
        <v>65.650000000000006</v>
      </c>
      <c r="W52" s="49">
        <f t="shared" si="22"/>
        <v>6.2014342453408193E-3</v>
      </c>
      <c r="X52" s="44">
        <f t="shared" si="23"/>
        <v>15274.250745611158</v>
      </c>
      <c r="Y52" s="44">
        <f t="shared" si="24"/>
        <v>1706.9000000000015</v>
      </c>
      <c r="Z52" s="44">
        <f t="shared" si="25"/>
        <v>78581.877753205568</v>
      </c>
      <c r="AA52" s="50">
        <f t="shared" si="26"/>
        <v>59475.890745611156</v>
      </c>
      <c r="AB52" s="51">
        <f t="shared" si="27"/>
        <v>73461.603957376428</v>
      </c>
      <c r="AC52" s="44">
        <f t="shared" si="28"/>
        <v>55600.533556708564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1.0545904948077327</v>
      </c>
      <c r="AG52" s="44">
        <f t="shared" si="31"/>
        <v>156575.05076410406</v>
      </c>
      <c r="AH52" s="52">
        <f>HLOOKUP(I52,ElecAvoidedCostsWOCC!$A$5:$Q$50,T52+1,FALSE)</f>
        <v>1.0545904948077327</v>
      </c>
      <c r="AI52" s="44">
        <f t="shared" si="32"/>
        <v>0</v>
      </c>
      <c r="AJ52" s="44">
        <f t="shared" si="33"/>
        <v>156575.05076410406</v>
      </c>
      <c r="AK52" s="44">
        <f>HLOOKUP(I52,ElecAvoidedCostsWOCC!$A$5:$Q$50,G52+1,FALSE)*J52*L52</f>
        <v>0</v>
      </c>
      <c r="AL52" s="44">
        <f t="shared" si="34"/>
        <v>156575.05076410406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156575.05076410406</v>
      </c>
      <c r="AN52" s="48">
        <f t="shared" si="35"/>
        <v>172232.55584051448</v>
      </c>
      <c r="AO52" s="47">
        <f t="shared" si="36"/>
        <v>2.1313862253123599</v>
      </c>
      <c r="AP52" s="47">
        <f t="shared" si="37"/>
        <v>3.0976781124743993</v>
      </c>
      <c r="AQ52">
        <v>2021</v>
      </c>
    </row>
    <row r="53" spans="2:43">
      <c r="B53" s="97" t="s">
        <v>70</v>
      </c>
      <c r="C53" s="98">
        <v>18231134</v>
      </c>
      <c r="D53" s="61" t="s">
        <v>176</v>
      </c>
      <c r="E53" s="38" t="s">
        <v>1377</v>
      </c>
      <c r="F53" s="39" t="s">
        <v>1378</v>
      </c>
      <c r="G53" s="39">
        <v>12</v>
      </c>
      <c r="H53" s="39"/>
      <c r="I53" s="40" t="s">
        <v>257</v>
      </c>
      <c r="J53" s="41">
        <v>10</v>
      </c>
      <c r="K53" s="41">
        <v>290</v>
      </c>
      <c r="L53" s="41"/>
      <c r="M53" s="42">
        <v>65</v>
      </c>
      <c r="N53" s="42">
        <v>65</v>
      </c>
      <c r="O53" s="43">
        <v>2900</v>
      </c>
      <c r="P53" s="44">
        <v>650</v>
      </c>
      <c r="Q53" s="44">
        <v>650</v>
      </c>
      <c r="R53" s="45">
        <v>0</v>
      </c>
      <c r="S53" s="46">
        <v>0</v>
      </c>
      <c r="T53" s="39">
        <f t="shared" si="19"/>
        <v>12</v>
      </c>
      <c r="U53" s="47">
        <f t="shared" si="20"/>
        <v>1.4535590472005153E-3</v>
      </c>
      <c r="V53" s="48">
        <f t="shared" si="21"/>
        <v>0</v>
      </c>
      <c r="W53" s="49">
        <f t="shared" si="22"/>
        <v>1.2112992060004293E-4</v>
      </c>
      <c r="X53" s="44">
        <f t="shared" si="23"/>
        <v>298.34530317419245</v>
      </c>
      <c r="Y53" s="44">
        <f t="shared" si="24"/>
        <v>0</v>
      </c>
      <c r="Z53" s="44">
        <f t="shared" si="25"/>
        <v>1534.9056744412751</v>
      </c>
      <c r="AA53" s="50">
        <f t="shared" si="26"/>
        <v>948.3453031741924</v>
      </c>
      <c r="AB53" s="51">
        <f t="shared" si="27"/>
        <v>1434.893591138894</v>
      </c>
      <c r="AC53" s="44">
        <f t="shared" si="28"/>
        <v>886.55258780423696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0.86650348716649883</v>
      </c>
      <c r="AG53" s="44">
        <f t="shared" si="31"/>
        <v>2512.8601127828465</v>
      </c>
      <c r="AH53" s="52">
        <f>HLOOKUP(I53,ElecAvoidedCostsWOCC!$A$5:$Q$50,T53+1,FALSE)</f>
        <v>0.86650348716649883</v>
      </c>
      <c r="AI53" s="44">
        <f t="shared" si="32"/>
        <v>0</v>
      </c>
      <c r="AJ53" s="44">
        <f t="shared" si="33"/>
        <v>2512.8601127828465</v>
      </c>
      <c r="AK53" s="44">
        <f>HLOOKUP(I53,ElecAvoidedCostsWOCC!$A$5:$Q$50,G53+1,FALSE)*J53*L53</f>
        <v>0</v>
      </c>
      <c r="AL53" s="44">
        <f t="shared" si="34"/>
        <v>2512.8601127828465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2512.8601127828465</v>
      </c>
      <c r="AN53" s="48">
        <f t="shared" si="35"/>
        <v>2764.1461240611316</v>
      </c>
      <c r="AO53" s="47">
        <f t="shared" si="36"/>
        <v>1.7512518895483784</v>
      </c>
      <c r="AP53" s="47">
        <f t="shared" si="37"/>
        <v>3.1178591795746842</v>
      </c>
      <c r="AQ53">
        <v>2021</v>
      </c>
    </row>
    <row r="54" spans="2:43">
      <c r="B54" s="97" t="s">
        <v>70</v>
      </c>
      <c r="C54" s="98">
        <v>18231134</v>
      </c>
      <c r="D54" s="61" t="s">
        <v>176</v>
      </c>
      <c r="E54" s="38" t="s">
        <v>1379</v>
      </c>
      <c r="F54" s="39" t="s">
        <v>1380</v>
      </c>
      <c r="G54" s="39">
        <v>12</v>
      </c>
      <c r="H54" s="39"/>
      <c r="I54" s="40" t="s">
        <v>257</v>
      </c>
      <c r="J54" s="41">
        <v>4</v>
      </c>
      <c r="K54" s="41">
        <v>886</v>
      </c>
      <c r="L54" s="41"/>
      <c r="M54" s="42">
        <v>100</v>
      </c>
      <c r="N54" s="42">
        <v>100</v>
      </c>
      <c r="O54" s="43">
        <v>3544</v>
      </c>
      <c r="P54" s="44">
        <v>400</v>
      </c>
      <c r="Q54" s="44">
        <v>400</v>
      </c>
      <c r="R54" s="45">
        <v>0</v>
      </c>
      <c r="S54" s="46">
        <v>0</v>
      </c>
      <c r="T54" s="39">
        <f t="shared" si="19"/>
        <v>12</v>
      </c>
      <c r="U54" s="47">
        <f t="shared" si="20"/>
        <v>1.7763494011305606E-3</v>
      </c>
      <c r="V54" s="48">
        <f t="shared" si="21"/>
        <v>0</v>
      </c>
      <c r="W54" s="49">
        <f t="shared" si="22"/>
        <v>1.4802911676088006E-4</v>
      </c>
      <c r="X54" s="44">
        <f t="shared" si="23"/>
        <v>364.59853601701315</v>
      </c>
      <c r="Y54" s="44">
        <f t="shared" si="24"/>
        <v>0</v>
      </c>
      <c r="Z54" s="44">
        <f t="shared" si="25"/>
        <v>1875.7605897309929</v>
      </c>
      <c r="AA54" s="50">
        <f t="shared" si="26"/>
        <v>764.5985360170132</v>
      </c>
      <c r="AB54" s="51">
        <f t="shared" si="27"/>
        <v>1753.538926550428</v>
      </c>
      <c r="AC54" s="44">
        <f t="shared" si="28"/>
        <v>714.77847622418733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0.86650348716649883</v>
      </c>
      <c r="AG54" s="44">
        <f t="shared" si="31"/>
        <v>3070.888358518072</v>
      </c>
      <c r="AH54" s="52">
        <f>HLOOKUP(I54,ElecAvoidedCostsWOCC!$A$5:$Q$50,T54+1,FALSE)</f>
        <v>0.86650348716649883</v>
      </c>
      <c r="AI54" s="44">
        <f t="shared" si="32"/>
        <v>0</v>
      </c>
      <c r="AJ54" s="44">
        <f t="shared" si="33"/>
        <v>3070.888358518072</v>
      </c>
      <c r="AK54" s="44">
        <f>HLOOKUP(I54,ElecAvoidedCostsWOCC!$A$5:$Q$50,G54+1,FALSE)*J54*L54</f>
        <v>0</v>
      </c>
      <c r="AL54" s="44">
        <f t="shared" si="34"/>
        <v>3070.888358518072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3070.888358518072</v>
      </c>
      <c r="AN54" s="48">
        <f t="shared" si="35"/>
        <v>3377.9771943698793</v>
      </c>
      <c r="AO54" s="47">
        <f t="shared" si="36"/>
        <v>1.7512518895483784</v>
      </c>
      <c r="AP54" s="47">
        <f t="shared" si="37"/>
        <v>4.7259078256161571</v>
      </c>
      <c r="AQ54">
        <v>2021</v>
      </c>
    </row>
    <row r="55" spans="2:43">
      <c r="B55" s="97" t="s">
        <v>70</v>
      </c>
      <c r="C55" s="98">
        <v>18231134</v>
      </c>
      <c r="D55" s="61" t="s">
        <v>176</v>
      </c>
      <c r="E55" s="38" t="s">
        <v>1381</v>
      </c>
      <c r="F55" s="39" t="s">
        <v>1382</v>
      </c>
      <c r="G55" s="39">
        <v>15</v>
      </c>
      <c r="H55" s="39"/>
      <c r="I55" s="40" t="s">
        <v>257</v>
      </c>
      <c r="J55" s="41">
        <v>85</v>
      </c>
      <c r="K55" s="41">
        <v>1075</v>
      </c>
      <c r="L55" s="41"/>
      <c r="M55" s="42">
        <v>153.16999999999999</v>
      </c>
      <c r="N55" s="42">
        <v>218.82</v>
      </c>
      <c r="O55" s="43">
        <v>91375</v>
      </c>
      <c r="P55" s="44">
        <v>20312.060000000001</v>
      </c>
      <c r="Q55" s="44">
        <v>18599.7</v>
      </c>
      <c r="R55" s="45">
        <v>0</v>
      </c>
      <c r="S55" s="46">
        <v>0</v>
      </c>
      <c r="T55" s="39">
        <f t="shared" si="19"/>
        <v>15</v>
      </c>
      <c r="U55" s="47">
        <f t="shared" si="20"/>
        <v>5.7249550835322016E-2</v>
      </c>
      <c r="V55" s="48">
        <f t="shared" si="21"/>
        <v>65.650000000000006</v>
      </c>
      <c r="W55" s="49">
        <f t="shared" si="22"/>
        <v>3.816636722354801E-3</v>
      </c>
      <c r="X55" s="44">
        <f t="shared" si="23"/>
        <v>9400.4489922558041</v>
      </c>
      <c r="Y55" s="44">
        <f t="shared" si="24"/>
        <v>-1712.3600000000006</v>
      </c>
      <c r="Z55" s="44">
        <f t="shared" si="25"/>
        <v>48362.760690369483</v>
      </c>
      <c r="AA55" s="50">
        <f t="shared" si="26"/>
        <v>28000.148992255803</v>
      </c>
      <c r="AB55" s="51">
        <f t="shared" si="27"/>
        <v>45211.517893212564</v>
      </c>
      <c r="AC55" s="44">
        <f t="shared" si="28"/>
        <v>26175.702526180987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1.0545904948077327</v>
      </c>
      <c r="AG55" s="44">
        <f t="shared" si="31"/>
        <v>96363.206463056573</v>
      </c>
      <c r="AH55" s="52">
        <f>HLOOKUP(I55,ElecAvoidedCostsWOCC!$A$5:$Q$50,T55+1,FALSE)</f>
        <v>1.0545904948077327</v>
      </c>
      <c r="AI55" s="44">
        <f t="shared" si="32"/>
        <v>0</v>
      </c>
      <c r="AJ55" s="44">
        <f t="shared" si="33"/>
        <v>96363.206463056573</v>
      </c>
      <c r="AK55" s="44">
        <f>HLOOKUP(I55,ElecAvoidedCostsWOCC!$A$5:$Q$50,G55+1,FALSE)*J55*L55</f>
        <v>0</v>
      </c>
      <c r="AL55" s="44">
        <f t="shared" si="34"/>
        <v>96363.206463056573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96363.206463056573</v>
      </c>
      <c r="AN55" s="48">
        <f t="shared" si="35"/>
        <v>105999.52710936224</v>
      </c>
      <c r="AO55" s="47">
        <f t="shared" si="36"/>
        <v>2.1313862253123603</v>
      </c>
      <c r="AP55" s="47">
        <f t="shared" si="37"/>
        <v>4.049538957105022</v>
      </c>
      <c r="AQ55">
        <v>2021</v>
      </c>
    </row>
    <row r="56" spans="2:43">
      <c r="B56" s="97" t="s">
        <v>70</v>
      </c>
      <c r="C56" s="98">
        <v>18231134</v>
      </c>
      <c r="D56" s="61" t="s">
        <v>176</v>
      </c>
      <c r="E56" s="38" t="s">
        <v>1383</v>
      </c>
      <c r="F56" s="39" t="s">
        <v>1384</v>
      </c>
      <c r="G56" s="39">
        <v>15</v>
      </c>
      <c r="H56" s="39"/>
      <c r="I56" s="40" t="s">
        <v>257</v>
      </c>
      <c r="J56" s="41">
        <v>813</v>
      </c>
      <c r="K56" s="41">
        <v>970.2</v>
      </c>
      <c r="L56" s="41"/>
      <c r="M56" s="42">
        <v>209.03</v>
      </c>
      <c r="N56" s="42">
        <v>298.62</v>
      </c>
      <c r="O56" s="43">
        <v>788772.60000000102</v>
      </c>
      <c r="P56" s="44">
        <v>248550.75</v>
      </c>
      <c r="Q56" s="44">
        <v>242778.06</v>
      </c>
      <c r="R56" s="45">
        <v>0</v>
      </c>
      <c r="S56" s="46">
        <v>0</v>
      </c>
      <c r="T56" s="39">
        <f t="shared" si="19"/>
        <v>15</v>
      </c>
      <c r="U56" s="47">
        <f t="shared" si="20"/>
        <v>0.49419290901460111</v>
      </c>
      <c r="V56" s="48">
        <f t="shared" si="21"/>
        <v>89.59</v>
      </c>
      <c r="W56" s="49">
        <f t="shared" si="22"/>
        <v>3.2946193934306742E-2</v>
      </c>
      <c r="X56" s="44">
        <f t="shared" si="23"/>
        <v>81147.103614653912</v>
      </c>
      <c r="Y56" s="44">
        <f t="shared" si="24"/>
        <v>-5772.6900000000023</v>
      </c>
      <c r="Z56" s="44">
        <f t="shared" si="25"/>
        <v>417479.84123579302</v>
      </c>
      <c r="AA56" s="50">
        <f t="shared" si="26"/>
        <v>323925.16361465392</v>
      </c>
      <c r="AB56" s="51">
        <f t="shared" si="27"/>
        <v>390277.49951929791</v>
      </c>
      <c r="AC56" s="44">
        <f t="shared" si="28"/>
        <v>302818.70021001581</v>
      </c>
      <c r="AD56" s="44">
        <f t="shared" si="29"/>
        <v>0</v>
      </c>
      <c r="AE56" s="44">
        <f t="shared" si="30"/>
        <v>0</v>
      </c>
      <c r="AF56" s="52">
        <f>HLOOKUP(I56,ElecAvoidedCostsWOCC!$A$5:$Q$50,G56+1,FALSE)</f>
        <v>1.0545904948077327</v>
      </c>
      <c r="AG56" s="44">
        <f t="shared" si="31"/>
        <v>831832.08652478189</v>
      </c>
      <c r="AH56" s="52">
        <f>HLOOKUP(I56,ElecAvoidedCostsWOCC!$A$5:$Q$50,T56+1,FALSE)</f>
        <v>1.0545904948077327</v>
      </c>
      <c r="AI56" s="44">
        <f t="shared" si="32"/>
        <v>0</v>
      </c>
      <c r="AJ56" s="44">
        <f t="shared" si="33"/>
        <v>831832.08652478189</v>
      </c>
      <c r="AK56" s="44">
        <f>HLOOKUP(I56,ElecAvoidedCostsWOCC!$A$5:$Q$50,G56+1,FALSE)*J56*L56</f>
        <v>0</v>
      </c>
      <c r="AL56" s="44">
        <f t="shared" si="34"/>
        <v>831832.08652478189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831832.08652478189</v>
      </c>
      <c r="AN56" s="48">
        <f t="shared" si="35"/>
        <v>915015.29517726018</v>
      </c>
      <c r="AO56" s="47">
        <f t="shared" si="36"/>
        <v>2.1313862253123577</v>
      </c>
      <c r="AP56" s="47">
        <f t="shared" si="37"/>
        <v>3.0216604672784859</v>
      </c>
      <c r="AQ56">
        <v>2021</v>
      </c>
    </row>
    <row r="57" spans="2:43">
      <c r="B57" s="97" t="s">
        <v>70</v>
      </c>
      <c r="C57" s="98">
        <v>18231134</v>
      </c>
      <c r="D57" s="61" t="s">
        <v>176</v>
      </c>
      <c r="E57" s="38" t="s">
        <v>1385</v>
      </c>
      <c r="F57" s="39" t="s">
        <v>1386</v>
      </c>
      <c r="G57" s="39">
        <v>15</v>
      </c>
      <c r="H57" s="39"/>
      <c r="I57" s="40" t="s">
        <v>257</v>
      </c>
      <c r="J57" s="41">
        <v>85</v>
      </c>
      <c r="K57" s="41">
        <v>1672</v>
      </c>
      <c r="L57" s="41"/>
      <c r="M57" s="42">
        <v>329.75</v>
      </c>
      <c r="N57" s="42">
        <v>471.07</v>
      </c>
      <c r="O57" s="43">
        <v>142120</v>
      </c>
      <c r="P57" s="44">
        <v>40040.949999999997</v>
      </c>
      <c r="Q57" s="44">
        <v>40040.949999999997</v>
      </c>
      <c r="R57" s="45">
        <v>0</v>
      </c>
      <c r="S57" s="46">
        <v>0</v>
      </c>
      <c r="T57" s="39">
        <f t="shared" si="19"/>
        <v>15</v>
      </c>
      <c r="U57" s="47">
        <f t="shared" si="20"/>
        <v>8.9043022322472951E-2</v>
      </c>
      <c r="V57" s="48">
        <f t="shared" si="21"/>
        <v>141.32</v>
      </c>
      <c r="W57" s="49">
        <f t="shared" si="22"/>
        <v>5.936201488164863E-3</v>
      </c>
      <c r="X57" s="44">
        <f t="shared" si="23"/>
        <v>14620.977409350426</v>
      </c>
      <c r="Y57" s="44">
        <f t="shared" si="24"/>
        <v>0</v>
      </c>
      <c r="Z57" s="44">
        <f t="shared" si="25"/>
        <v>75220.963603997938</v>
      </c>
      <c r="AA57" s="50">
        <f t="shared" si="26"/>
        <v>54661.927409350421</v>
      </c>
      <c r="AB57" s="51">
        <f t="shared" si="27"/>
        <v>70319.681783675725</v>
      </c>
      <c r="AC57" s="44">
        <f t="shared" si="28"/>
        <v>51100.240636954673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1.0545904948077327</v>
      </c>
      <c r="AG57" s="44">
        <f t="shared" si="31"/>
        <v>149878.40112207498</v>
      </c>
      <c r="AH57" s="52">
        <f>HLOOKUP(I57,ElecAvoidedCostsWOCC!$A$5:$Q$50,T57+1,FALSE)</f>
        <v>1.0545904948077327</v>
      </c>
      <c r="AI57" s="44">
        <f t="shared" si="32"/>
        <v>0</v>
      </c>
      <c r="AJ57" s="44">
        <f t="shared" si="33"/>
        <v>149878.40112207498</v>
      </c>
      <c r="AK57" s="44">
        <f>HLOOKUP(I57,ElecAvoidedCostsWOCC!$A$5:$Q$50,G57+1,FALSE)*J57*L57</f>
        <v>0</v>
      </c>
      <c r="AL57" s="44">
        <f t="shared" si="34"/>
        <v>149878.40112207498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149878.40112207498</v>
      </c>
      <c r="AN57" s="48">
        <f t="shared" si="35"/>
        <v>164866.2412342825</v>
      </c>
      <c r="AO57" s="47">
        <f t="shared" si="36"/>
        <v>2.1313862253123608</v>
      </c>
      <c r="AP57" s="47">
        <f t="shared" si="37"/>
        <v>3.2263300364001521</v>
      </c>
      <c r="AQ57">
        <v>2021</v>
      </c>
    </row>
    <row r="58" spans="2:43">
      <c r="B58" s="97" t="s">
        <v>70</v>
      </c>
      <c r="C58" s="98">
        <v>18231134</v>
      </c>
      <c r="D58" s="61" t="s">
        <v>176</v>
      </c>
      <c r="E58" s="38" t="s">
        <v>1387</v>
      </c>
      <c r="F58" s="39" t="s">
        <v>1388</v>
      </c>
      <c r="G58" s="39">
        <v>15</v>
      </c>
      <c r="H58" s="39"/>
      <c r="I58" s="40" t="s">
        <v>257</v>
      </c>
      <c r="J58" s="41">
        <v>556</v>
      </c>
      <c r="K58" s="41">
        <v>1587.6</v>
      </c>
      <c r="L58" s="41"/>
      <c r="M58" s="42">
        <v>329.75</v>
      </c>
      <c r="N58" s="42">
        <v>471.07</v>
      </c>
      <c r="O58" s="43">
        <v>882705.6</v>
      </c>
      <c r="P58" s="44">
        <v>249902.72</v>
      </c>
      <c r="Q58" s="44">
        <v>261914.92</v>
      </c>
      <c r="R58" s="45">
        <v>0</v>
      </c>
      <c r="S58" s="46">
        <v>0</v>
      </c>
      <c r="T58" s="39">
        <f t="shared" si="19"/>
        <v>15</v>
      </c>
      <c r="U58" s="47">
        <f t="shared" si="20"/>
        <v>0.55304513400627553</v>
      </c>
      <c r="V58" s="48">
        <f t="shared" si="21"/>
        <v>141.32</v>
      </c>
      <c r="W58" s="49">
        <f t="shared" si="22"/>
        <v>3.6869675600418365E-2</v>
      </c>
      <c r="X58" s="44">
        <f t="shared" si="23"/>
        <v>90810.713739847401</v>
      </c>
      <c r="Y58" s="44">
        <f t="shared" si="24"/>
        <v>12012.200000000012</v>
      </c>
      <c r="Z58" s="44">
        <f t="shared" si="25"/>
        <v>467196.49458658294</v>
      </c>
      <c r="AA58" s="50">
        <f t="shared" si="26"/>
        <v>352725.6337398474</v>
      </c>
      <c r="AB58" s="51">
        <f t="shared" si="27"/>
        <v>436754.69251807319</v>
      </c>
      <c r="AC58" s="44">
        <f t="shared" si="28"/>
        <v>329742.57618009474</v>
      </c>
      <c r="AD58" s="44">
        <f t="shared" si="29"/>
        <v>0</v>
      </c>
      <c r="AE58" s="44">
        <f t="shared" si="30"/>
        <v>0</v>
      </c>
      <c r="AF58" s="52">
        <f>HLOOKUP(I58,ElecAvoidedCostsWOCC!$A$5:$Q$50,G58+1,FALSE)</f>
        <v>1.0545904948077327</v>
      </c>
      <c r="AG58" s="44">
        <f t="shared" si="31"/>
        <v>930892.93547355651</v>
      </c>
      <c r="AH58" s="52">
        <f>HLOOKUP(I58,ElecAvoidedCostsWOCC!$A$5:$Q$50,T58+1,FALSE)</f>
        <v>1.0545904948077327</v>
      </c>
      <c r="AI58" s="44">
        <f t="shared" si="32"/>
        <v>0</v>
      </c>
      <c r="AJ58" s="44">
        <f t="shared" si="33"/>
        <v>930892.93547355651</v>
      </c>
      <c r="AK58" s="44">
        <f>HLOOKUP(I58,ElecAvoidedCostsWOCC!$A$5:$Q$50,G58+1,FALSE)*J58*L58</f>
        <v>0</v>
      </c>
      <c r="AL58" s="44">
        <f t="shared" si="34"/>
        <v>930892.93547355651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930892.93547355651</v>
      </c>
      <c r="AN58" s="48">
        <f t="shared" si="35"/>
        <v>1023982.2290209122</v>
      </c>
      <c r="AO58" s="47">
        <f t="shared" si="36"/>
        <v>2.1313862253123603</v>
      </c>
      <c r="AP58" s="47">
        <f t="shared" si="37"/>
        <v>3.1053988868627211</v>
      </c>
      <c r="AQ58">
        <v>2021</v>
      </c>
    </row>
    <row r="59" spans="2:43">
      <c r="B59" s="97" t="s">
        <v>70</v>
      </c>
      <c r="C59" s="98">
        <v>18231134</v>
      </c>
      <c r="D59" s="61" t="s">
        <v>176</v>
      </c>
      <c r="E59" s="38" t="s">
        <v>1389</v>
      </c>
      <c r="F59" s="39" t="s">
        <v>1390</v>
      </c>
      <c r="G59" s="39">
        <v>15</v>
      </c>
      <c r="H59" s="39"/>
      <c r="I59" s="40" t="s">
        <v>257</v>
      </c>
      <c r="J59" s="41">
        <v>16</v>
      </c>
      <c r="K59" s="41">
        <v>1306</v>
      </c>
      <c r="L59" s="41"/>
      <c r="M59" s="42">
        <v>329.75</v>
      </c>
      <c r="N59" s="42">
        <v>417.07</v>
      </c>
      <c r="O59" s="43">
        <v>20896</v>
      </c>
      <c r="P59" s="44">
        <v>6673.12</v>
      </c>
      <c r="Q59" s="44">
        <v>6673.12</v>
      </c>
      <c r="R59" s="45">
        <v>0</v>
      </c>
      <c r="S59" s="46">
        <v>0</v>
      </c>
      <c r="T59" s="39">
        <f t="shared" si="19"/>
        <v>15</v>
      </c>
      <c r="U59" s="47">
        <f t="shared" si="20"/>
        <v>1.3092055969957744E-2</v>
      </c>
      <c r="V59" s="48">
        <f t="shared" si="21"/>
        <v>87.32</v>
      </c>
      <c r="W59" s="49">
        <f t="shared" si="22"/>
        <v>8.7280373133051623E-4</v>
      </c>
      <c r="X59" s="44">
        <f t="shared" si="23"/>
        <v>2149.7322259061812</v>
      </c>
      <c r="Y59" s="44">
        <f t="shared" si="24"/>
        <v>0</v>
      </c>
      <c r="Z59" s="44">
        <f t="shared" si="25"/>
        <v>11059.789301077544</v>
      </c>
      <c r="AA59" s="50">
        <f t="shared" si="26"/>
        <v>8822.852225906181</v>
      </c>
      <c r="AB59" s="51">
        <f t="shared" si="27"/>
        <v>10339.150510495974</v>
      </c>
      <c r="AC59" s="44">
        <f t="shared" si="28"/>
        <v>8247.9688005105927</v>
      </c>
      <c r="AD59" s="44">
        <f t="shared" si="29"/>
        <v>0</v>
      </c>
      <c r="AE59" s="44">
        <f t="shared" si="30"/>
        <v>0</v>
      </c>
      <c r="AF59" s="52">
        <f>HLOOKUP(I59,ElecAvoidedCostsWOCC!$A$5:$Q$50,G59+1,FALSE)</f>
        <v>1.0545904948077327</v>
      </c>
      <c r="AG59" s="44">
        <f t="shared" si="31"/>
        <v>22036.722979502381</v>
      </c>
      <c r="AH59" s="52">
        <f>HLOOKUP(I59,ElecAvoidedCostsWOCC!$A$5:$Q$50,T59+1,FALSE)</f>
        <v>1.0545904948077327</v>
      </c>
      <c r="AI59" s="44">
        <f t="shared" si="32"/>
        <v>0</v>
      </c>
      <c r="AJ59" s="44">
        <f t="shared" si="33"/>
        <v>22036.722979502381</v>
      </c>
      <c r="AK59" s="44">
        <f>HLOOKUP(I59,ElecAvoidedCostsWOCC!$A$5:$Q$50,G59+1,FALSE)*J59*L59</f>
        <v>0</v>
      </c>
      <c r="AL59" s="44">
        <f t="shared" si="34"/>
        <v>22036.722979502381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22036.722979502381</v>
      </c>
      <c r="AN59" s="48">
        <f t="shared" si="35"/>
        <v>24240.395277452622</v>
      </c>
      <c r="AO59" s="47">
        <f t="shared" si="36"/>
        <v>2.1313862253123608</v>
      </c>
      <c r="AP59" s="47">
        <f t="shared" si="37"/>
        <v>2.9389533185372883</v>
      </c>
      <c r="AQ59">
        <v>2021</v>
      </c>
    </row>
    <row r="60" spans="2:43">
      <c r="B60" s="97" t="s">
        <v>70</v>
      </c>
      <c r="C60" s="98">
        <v>18231134</v>
      </c>
      <c r="D60" s="61" t="s">
        <v>176</v>
      </c>
      <c r="E60" s="38" t="s">
        <v>1391</v>
      </c>
      <c r="F60" s="39" t="s">
        <v>1392</v>
      </c>
      <c r="G60" s="39">
        <v>15</v>
      </c>
      <c r="H60" s="39"/>
      <c r="I60" s="40" t="s">
        <v>257</v>
      </c>
      <c r="J60" s="41">
        <v>6</v>
      </c>
      <c r="K60" s="41">
        <v>1676</v>
      </c>
      <c r="L60" s="41"/>
      <c r="M60" s="42">
        <v>329.75</v>
      </c>
      <c r="N60" s="42">
        <v>417.07</v>
      </c>
      <c r="O60" s="43">
        <v>10056</v>
      </c>
      <c r="P60" s="44">
        <v>2502.42</v>
      </c>
      <c r="Q60" s="44">
        <v>2502.42</v>
      </c>
      <c r="R60" s="45">
        <v>0</v>
      </c>
      <c r="S60" s="46">
        <v>0</v>
      </c>
      <c r="T60" s="39">
        <f t="shared" si="19"/>
        <v>15</v>
      </c>
      <c r="U60" s="47">
        <f t="shared" si="20"/>
        <v>6.30042662872775E-3</v>
      </c>
      <c r="V60" s="48">
        <f t="shared" si="21"/>
        <v>87.32</v>
      </c>
      <c r="W60" s="49">
        <f t="shared" si="22"/>
        <v>4.2002844191518335E-4</v>
      </c>
      <c r="X60" s="44">
        <f t="shared" si="23"/>
        <v>1034.5380581791997</v>
      </c>
      <c r="Y60" s="44">
        <f t="shared" si="24"/>
        <v>0</v>
      </c>
      <c r="Z60" s="44">
        <f t="shared" si="25"/>
        <v>5322.4177455798144</v>
      </c>
      <c r="AA60" s="50">
        <f t="shared" si="26"/>
        <v>3536.9580581791997</v>
      </c>
      <c r="AB60" s="51">
        <f t="shared" si="27"/>
        <v>4975.6172249974888</v>
      </c>
      <c r="AC60" s="44">
        <f t="shared" si="28"/>
        <v>3306.4953334385336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1.0545904948077327</v>
      </c>
      <c r="AG60" s="44">
        <f t="shared" si="31"/>
        <v>10604.962015786559</v>
      </c>
      <c r="AH60" s="52">
        <f>HLOOKUP(I60,ElecAvoidedCostsWOCC!$A$5:$Q$50,T60+1,FALSE)</f>
        <v>1.0545904948077327</v>
      </c>
      <c r="AI60" s="44">
        <f t="shared" si="32"/>
        <v>0</v>
      </c>
      <c r="AJ60" s="44">
        <f t="shared" si="33"/>
        <v>10604.962015786559</v>
      </c>
      <c r="AK60" s="44">
        <f>HLOOKUP(I60,ElecAvoidedCostsWOCC!$A$5:$Q$50,G60+1,FALSE)*J60*L60</f>
        <v>0</v>
      </c>
      <c r="AL60" s="44">
        <f t="shared" si="34"/>
        <v>10604.962015786559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10604.962015786561</v>
      </c>
      <c r="AN60" s="48">
        <f t="shared" si="35"/>
        <v>11665.458217365218</v>
      </c>
      <c r="AO60" s="47">
        <f t="shared" si="36"/>
        <v>2.1313862253123608</v>
      </c>
      <c r="AP60" s="47">
        <f t="shared" si="37"/>
        <v>3.5280431517300594</v>
      </c>
      <c r="AQ60">
        <v>2021</v>
      </c>
    </row>
    <row r="61" spans="2:43">
      <c r="B61" s="97" t="s">
        <v>70</v>
      </c>
      <c r="C61" s="98">
        <v>18231134</v>
      </c>
      <c r="D61" s="61" t="s">
        <v>176</v>
      </c>
      <c r="E61" s="38" t="s">
        <v>1393</v>
      </c>
      <c r="F61" s="39" t="s">
        <v>1394</v>
      </c>
      <c r="G61" s="39">
        <v>10</v>
      </c>
      <c r="H61" s="39"/>
      <c r="I61" s="40" t="s">
        <v>261</v>
      </c>
      <c r="J61" s="41">
        <v>2.86</v>
      </c>
      <c r="K61" s="41">
        <v>188</v>
      </c>
      <c r="L61" s="41"/>
      <c r="M61" s="42">
        <v>200</v>
      </c>
      <c r="N61" s="42">
        <v>69.599999999999994</v>
      </c>
      <c r="O61" s="43">
        <v>537.67999999999995</v>
      </c>
      <c r="P61" s="44">
        <v>400</v>
      </c>
      <c r="Q61" s="44">
        <v>199.06</v>
      </c>
      <c r="R61" s="45">
        <v>0</v>
      </c>
      <c r="S61" s="46">
        <v>0</v>
      </c>
      <c r="T61" s="39">
        <f t="shared" si="19"/>
        <v>10</v>
      </c>
      <c r="U61" s="47">
        <f t="shared" si="20"/>
        <v>2.2458322658010715E-4</v>
      </c>
      <c r="V61" s="48">
        <f t="shared" si="21"/>
        <v>-130.4</v>
      </c>
      <c r="W61" s="49">
        <f t="shared" si="22"/>
        <v>2.2458322658010716E-5</v>
      </c>
      <c r="X61" s="44">
        <f t="shared" si="23"/>
        <v>55.315276762310269</v>
      </c>
      <c r="Y61" s="44">
        <f t="shared" si="24"/>
        <v>-200.94</v>
      </c>
      <c r="Z61" s="44">
        <f t="shared" si="25"/>
        <v>284.58209759778782</v>
      </c>
      <c r="AA61" s="50">
        <f t="shared" si="26"/>
        <v>254.37527676231028</v>
      </c>
      <c r="AB61" s="51">
        <f t="shared" si="27"/>
        <v>266.03916761502086</v>
      </c>
      <c r="AC61" s="44">
        <f t="shared" si="28"/>
        <v>237.80057657503062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0.97334887994043018</v>
      </c>
      <c r="AG61" s="44">
        <f t="shared" si="31"/>
        <v>523.35022576637039</v>
      </c>
      <c r="AH61" s="52">
        <f>HLOOKUP(I61,ElecAvoidedCostsWOCC!$A$5:$Q$50,T61+1,FALSE)</f>
        <v>0.97334887994043018</v>
      </c>
      <c r="AI61" s="44">
        <f t="shared" si="32"/>
        <v>0</v>
      </c>
      <c r="AJ61" s="44">
        <f t="shared" si="33"/>
        <v>523.35022576637039</v>
      </c>
      <c r="AK61" s="44">
        <f>HLOOKUP(I61,ElecAvoidedCostsWOCC!$A$5:$Q$50,G61+1,FALSE)*J61*L61</f>
        <v>0</v>
      </c>
      <c r="AL61" s="44">
        <f t="shared" si="34"/>
        <v>523.35022576637039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523.3502257663705</v>
      </c>
      <c r="AN61" s="48">
        <f t="shared" si="35"/>
        <v>575.68524834300763</v>
      </c>
      <c r="AO61" s="47">
        <f t="shared" si="36"/>
        <v>1.9671923892187881</v>
      </c>
      <c r="AP61" s="47">
        <f t="shared" si="37"/>
        <v>2.4208740644552975</v>
      </c>
      <c r="AQ61">
        <v>2021</v>
      </c>
    </row>
    <row r="62" spans="2:43">
      <c r="B62" s="97" t="s">
        <v>70</v>
      </c>
      <c r="C62" s="98">
        <v>18231134</v>
      </c>
      <c r="D62" s="61" t="s">
        <v>176</v>
      </c>
      <c r="E62" s="38" t="s">
        <v>1224</v>
      </c>
      <c r="F62" s="39" t="s">
        <v>1225</v>
      </c>
      <c r="G62" s="39">
        <v>10</v>
      </c>
      <c r="H62" s="39"/>
      <c r="I62" s="40" t="s">
        <v>261</v>
      </c>
      <c r="J62" s="41">
        <v>26.28</v>
      </c>
      <c r="K62" s="41">
        <v>116</v>
      </c>
      <c r="L62" s="41"/>
      <c r="M62" s="42">
        <v>200</v>
      </c>
      <c r="N62" s="42">
        <v>69.599999999999994</v>
      </c>
      <c r="O62" s="43">
        <v>3048.48</v>
      </c>
      <c r="P62" s="44">
        <v>800</v>
      </c>
      <c r="Q62" s="44">
        <v>1829.09</v>
      </c>
      <c r="R62" s="45">
        <v>0</v>
      </c>
      <c r="S62" s="46">
        <v>0</v>
      </c>
      <c r="T62" s="39">
        <f t="shared" si="19"/>
        <v>10</v>
      </c>
      <c r="U62" s="47">
        <f t="shared" si="20"/>
        <v>1.2733177253476515E-3</v>
      </c>
      <c r="V62" s="48">
        <f t="shared" si="21"/>
        <v>-130.4</v>
      </c>
      <c r="W62" s="49">
        <f t="shared" si="22"/>
        <v>1.2733177253476514E-4</v>
      </c>
      <c r="X62" s="44">
        <f t="shared" si="23"/>
        <v>313.6205826967111</v>
      </c>
      <c r="Y62" s="44">
        <f t="shared" si="24"/>
        <v>1029.0899999999999</v>
      </c>
      <c r="Z62" s="44">
        <f t="shared" si="25"/>
        <v>1613.4928449726685</v>
      </c>
      <c r="AA62" s="50">
        <f t="shared" si="26"/>
        <v>2142.7105826967108</v>
      </c>
      <c r="AB62" s="51">
        <f t="shared" si="27"/>
        <v>1508.3601430052056</v>
      </c>
      <c r="AC62" s="44">
        <f t="shared" si="28"/>
        <v>2003.0948702409187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0.97334887994043018</v>
      </c>
      <c r="AG62" s="44">
        <f t="shared" si="31"/>
        <v>2967.2345935208027</v>
      </c>
      <c r="AH62" s="52">
        <f>HLOOKUP(I62,ElecAvoidedCostsWOCC!$A$5:$Q$50,T62+1,FALSE)</f>
        <v>0.97334887994043018</v>
      </c>
      <c r="AI62" s="44">
        <f t="shared" si="32"/>
        <v>0</v>
      </c>
      <c r="AJ62" s="44">
        <f t="shared" si="33"/>
        <v>2967.2345935208027</v>
      </c>
      <c r="AK62" s="44">
        <f>HLOOKUP(I62,ElecAvoidedCostsWOCC!$A$5:$Q$50,G62+1,FALSE)*J62*L62</f>
        <v>0</v>
      </c>
      <c r="AL62" s="44">
        <f t="shared" si="34"/>
        <v>2967.2345935208027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2967.2345935208027</v>
      </c>
      <c r="AN62" s="48">
        <f t="shared" si="35"/>
        <v>3263.9580528728834</v>
      </c>
      <c r="AO62" s="47">
        <f t="shared" si="36"/>
        <v>1.9671923892187877</v>
      </c>
      <c r="AP62" s="47">
        <f t="shared" si="37"/>
        <v>1.6294575466015331</v>
      </c>
      <c r="AQ62">
        <v>2021</v>
      </c>
    </row>
    <row r="63" spans="2:43">
      <c r="B63" s="97" t="s">
        <v>70</v>
      </c>
      <c r="C63" s="98">
        <v>18231134</v>
      </c>
      <c r="D63" s="61" t="s">
        <v>176</v>
      </c>
      <c r="E63" s="38" t="s">
        <v>1395</v>
      </c>
      <c r="F63" s="39" t="s">
        <v>1396</v>
      </c>
      <c r="G63" s="39">
        <v>15</v>
      </c>
      <c r="H63" s="39"/>
      <c r="I63" s="40" t="s">
        <v>257</v>
      </c>
      <c r="J63" s="41">
        <v>14</v>
      </c>
      <c r="K63" s="41">
        <v>883</v>
      </c>
      <c r="L63" s="41"/>
      <c r="M63" s="42">
        <v>150</v>
      </c>
      <c r="N63" s="42">
        <v>225</v>
      </c>
      <c r="O63" s="43">
        <v>12362</v>
      </c>
      <c r="P63" s="44">
        <v>2100</v>
      </c>
      <c r="Q63" s="44">
        <v>3150</v>
      </c>
      <c r="R63" s="45">
        <v>0</v>
      </c>
      <c r="S63" s="46">
        <v>0</v>
      </c>
      <c r="T63" s="39">
        <f t="shared" si="19"/>
        <v>15</v>
      </c>
      <c r="U63" s="47">
        <f t="shared" si="20"/>
        <v>7.7452141989192971E-3</v>
      </c>
      <c r="V63" s="48">
        <f t="shared" si="21"/>
        <v>75</v>
      </c>
      <c r="W63" s="49">
        <f t="shared" si="22"/>
        <v>5.1634761326128649E-4</v>
      </c>
      <c r="X63" s="44">
        <f t="shared" si="23"/>
        <v>1271.7740130480577</v>
      </c>
      <c r="Y63" s="44">
        <f t="shared" si="24"/>
        <v>1050</v>
      </c>
      <c r="Z63" s="44">
        <f t="shared" si="25"/>
        <v>6542.9323956700155</v>
      </c>
      <c r="AA63" s="50">
        <f t="shared" si="26"/>
        <v>4421.7740130480579</v>
      </c>
      <c r="AB63" s="51">
        <f t="shared" si="27"/>
        <v>6116.6050253996591</v>
      </c>
      <c r="AC63" s="44">
        <f t="shared" si="28"/>
        <v>4133.6580471609395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1.0545904948077327</v>
      </c>
      <c r="AG63" s="44">
        <f t="shared" si="31"/>
        <v>13036.847696813191</v>
      </c>
      <c r="AH63" s="52">
        <f>HLOOKUP(I63,ElecAvoidedCostsWOCC!$A$5:$Q$50,T63+1,FALSE)</f>
        <v>1.0545904948077327</v>
      </c>
      <c r="AI63" s="44">
        <f t="shared" si="32"/>
        <v>0</v>
      </c>
      <c r="AJ63" s="44">
        <f t="shared" si="33"/>
        <v>13036.847696813191</v>
      </c>
      <c r="AK63" s="44">
        <f>HLOOKUP(I63,ElecAvoidedCostsWOCC!$A$5:$Q$50,G63+1,FALSE)*J63*L63</f>
        <v>0</v>
      </c>
      <c r="AL63" s="44">
        <f t="shared" si="34"/>
        <v>13036.847696813191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13036.847696813193</v>
      </c>
      <c r="AN63" s="48">
        <f t="shared" si="35"/>
        <v>14340.532466494513</v>
      </c>
      <c r="AO63" s="47">
        <f t="shared" si="36"/>
        <v>2.1313862253123603</v>
      </c>
      <c r="AP63" s="47">
        <f t="shared" si="37"/>
        <v>3.4692111207272727</v>
      </c>
      <c r="AQ63">
        <v>2021</v>
      </c>
    </row>
    <row r="64" spans="2:43">
      <c r="B64" s="97" t="s">
        <v>70</v>
      </c>
      <c r="C64" s="98">
        <v>18231134</v>
      </c>
      <c r="D64" s="61" t="s">
        <v>176</v>
      </c>
      <c r="E64" s="38" t="s">
        <v>1397</v>
      </c>
      <c r="F64" s="39" t="s">
        <v>1398</v>
      </c>
      <c r="G64" s="39">
        <v>15</v>
      </c>
      <c r="H64" s="39"/>
      <c r="I64" s="40" t="s">
        <v>257</v>
      </c>
      <c r="J64" s="41">
        <v>95</v>
      </c>
      <c r="K64" s="41">
        <v>3276</v>
      </c>
      <c r="L64" s="41"/>
      <c r="M64" s="42">
        <v>400</v>
      </c>
      <c r="N64" s="42">
        <v>588</v>
      </c>
      <c r="O64" s="43">
        <v>311220</v>
      </c>
      <c r="P64" s="44">
        <v>48904</v>
      </c>
      <c r="Q64" s="44">
        <v>55860</v>
      </c>
      <c r="R64" s="45">
        <v>0</v>
      </c>
      <c r="S64" s="46">
        <v>0</v>
      </c>
      <c r="T64" s="39">
        <f t="shared" si="19"/>
        <v>15</v>
      </c>
      <c r="U64" s="47">
        <f t="shared" si="20"/>
        <v>0.19498993390937258</v>
      </c>
      <c r="V64" s="48">
        <f t="shared" si="21"/>
        <v>188</v>
      </c>
      <c r="W64" s="49">
        <f t="shared" si="22"/>
        <v>1.2999328927291505E-2</v>
      </c>
      <c r="X64" s="44">
        <f t="shared" si="23"/>
        <v>32017.594915128338</v>
      </c>
      <c r="Y64" s="44">
        <f t="shared" si="24"/>
        <v>6956</v>
      </c>
      <c r="Z64" s="44">
        <f t="shared" si="25"/>
        <v>164721.84275848747</v>
      </c>
      <c r="AA64" s="50">
        <f t="shared" si="26"/>
        <v>87877.594915128342</v>
      </c>
      <c r="AB64" s="51">
        <f t="shared" si="27"/>
        <v>153988.82187387816</v>
      </c>
      <c r="AC64" s="44">
        <f t="shared" si="28"/>
        <v>82151.626544945626</v>
      </c>
      <c r="AD64" s="44">
        <f t="shared" si="29"/>
        <v>0</v>
      </c>
      <c r="AE64" s="44">
        <f t="shared" si="30"/>
        <v>0</v>
      </c>
      <c r="AF64" s="52">
        <f>HLOOKUP(I64,ElecAvoidedCostsWOCC!$A$5:$Q$50,G64+1,FALSE)</f>
        <v>1.0545904948077327</v>
      </c>
      <c r="AG64" s="44">
        <f t="shared" si="31"/>
        <v>328209.65379406261</v>
      </c>
      <c r="AH64" s="52">
        <f>HLOOKUP(I64,ElecAvoidedCostsWOCC!$A$5:$Q$50,T64+1,FALSE)</f>
        <v>1.0545904948077327</v>
      </c>
      <c r="AI64" s="44">
        <f t="shared" si="32"/>
        <v>0</v>
      </c>
      <c r="AJ64" s="44">
        <f t="shared" si="33"/>
        <v>328209.65379406261</v>
      </c>
      <c r="AK64" s="44">
        <f>HLOOKUP(I64,ElecAvoidedCostsWOCC!$A$5:$Q$50,G64+1,FALSE)*J64*L64</f>
        <v>0</v>
      </c>
      <c r="AL64" s="44">
        <f t="shared" si="34"/>
        <v>328209.65379406261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328209.65379406256</v>
      </c>
      <c r="AN64" s="48">
        <f t="shared" si="35"/>
        <v>361030.61917346885</v>
      </c>
      <c r="AO64" s="47">
        <f t="shared" si="36"/>
        <v>2.1313862253123599</v>
      </c>
      <c r="AP64" s="47">
        <f t="shared" si="37"/>
        <v>4.394686196212402</v>
      </c>
      <c r="AQ64">
        <v>2021</v>
      </c>
    </row>
    <row r="65" spans="2:43">
      <c r="B65" s="97" t="s">
        <v>70</v>
      </c>
      <c r="C65" s="98">
        <v>18231134</v>
      </c>
      <c r="D65" s="61" t="s">
        <v>176</v>
      </c>
      <c r="E65" s="38" t="s">
        <v>1399</v>
      </c>
      <c r="F65" s="39" t="s">
        <v>1400</v>
      </c>
      <c r="G65" s="39">
        <v>12</v>
      </c>
      <c r="H65" s="39"/>
      <c r="I65" s="40" t="s">
        <v>257</v>
      </c>
      <c r="J65" s="41">
        <v>64</v>
      </c>
      <c r="K65" s="41">
        <v>308</v>
      </c>
      <c r="L65" s="41"/>
      <c r="M65" s="42">
        <v>114</v>
      </c>
      <c r="N65" s="42">
        <v>114</v>
      </c>
      <c r="O65" s="43">
        <v>19712</v>
      </c>
      <c r="P65" s="44">
        <v>7296</v>
      </c>
      <c r="Q65" s="44">
        <v>7296</v>
      </c>
      <c r="R65" s="45">
        <v>0</v>
      </c>
      <c r="S65" s="46">
        <v>0</v>
      </c>
      <c r="T65" s="39">
        <f t="shared" si="19"/>
        <v>12</v>
      </c>
      <c r="U65" s="47">
        <f t="shared" si="20"/>
        <v>9.8801917029022607E-3</v>
      </c>
      <c r="V65" s="48">
        <f t="shared" si="21"/>
        <v>0</v>
      </c>
      <c r="W65" s="49">
        <f t="shared" si="22"/>
        <v>8.2334930857518843E-4</v>
      </c>
      <c r="X65" s="44">
        <f t="shared" si="23"/>
        <v>2027.9250400585111</v>
      </c>
      <c r="Y65" s="44">
        <f t="shared" si="24"/>
        <v>0</v>
      </c>
      <c r="Z65" s="44">
        <f t="shared" si="25"/>
        <v>10433.124363650488</v>
      </c>
      <c r="AA65" s="50">
        <f t="shared" si="26"/>
        <v>9323.9250400585115</v>
      </c>
      <c r="AB65" s="51">
        <f t="shared" si="27"/>
        <v>9753.3180925965098</v>
      </c>
      <c r="AC65" s="44">
        <f t="shared" si="28"/>
        <v>8716.392483928681</v>
      </c>
      <c r="AD65" s="44">
        <f t="shared" si="29"/>
        <v>0</v>
      </c>
      <c r="AE65" s="44">
        <f t="shared" si="30"/>
        <v>0</v>
      </c>
      <c r="AF65" s="52">
        <f>HLOOKUP(I65,ElecAvoidedCostsWOCC!$A$5:$Q$50,G65+1,FALSE)</f>
        <v>0.86650348716649883</v>
      </c>
      <c r="AG65" s="44">
        <f t="shared" si="31"/>
        <v>17080.516739026025</v>
      </c>
      <c r="AH65" s="52">
        <f>HLOOKUP(I65,ElecAvoidedCostsWOCC!$A$5:$Q$50,T65+1,FALSE)</f>
        <v>0.86650348716649883</v>
      </c>
      <c r="AI65" s="44">
        <f t="shared" si="32"/>
        <v>0</v>
      </c>
      <c r="AJ65" s="44">
        <f t="shared" si="33"/>
        <v>17080.516739026025</v>
      </c>
      <c r="AK65" s="44">
        <f>HLOOKUP(I65,ElecAvoidedCostsWOCC!$A$5:$Q$50,G65+1,FALSE)*J65*L65</f>
        <v>0</v>
      </c>
      <c r="AL65" s="44">
        <f t="shared" si="34"/>
        <v>17080.516739026025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17080.516739026025</v>
      </c>
      <c r="AN65" s="48">
        <f t="shared" si="35"/>
        <v>18788.568412928627</v>
      </c>
      <c r="AO65" s="47">
        <f t="shared" si="36"/>
        <v>1.7512518895483786</v>
      </c>
      <c r="AP65" s="47">
        <f t="shared" si="37"/>
        <v>2.1555441023991362</v>
      </c>
      <c r="AQ65">
        <v>2021</v>
      </c>
    </row>
    <row r="66" spans="2:43">
      <c r="B66" s="97" t="s">
        <v>70</v>
      </c>
      <c r="C66" s="98">
        <v>18231134</v>
      </c>
      <c r="D66" s="61" t="s">
        <v>176</v>
      </c>
      <c r="E66" s="38" t="s">
        <v>1401</v>
      </c>
      <c r="F66" s="39" t="s">
        <v>1402</v>
      </c>
      <c r="G66" s="39">
        <v>12</v>
      </c>
      <c r="H66" s="39"/>
      <c r="I66" s="40" t="s">
        <v>257</v>
      </c>
      <c r="J66" s="41">
        <v>128</v>
      </c>
      <c r="K66" s="41">
        <v>434</v>
      </c>
      <c r="L66" s="41"/>
      <c r="M66" s="42">
        <v>127</v>
      </c>
      <c r="N66" s="42">
        <v>127</v>
      </c>
      <c r="O66" s="43">
        <v>55552</v>
      </c>
      <c r="P66" s="44">
        <v>16256</v>
      </c>
      <c r="Q66" s="44">
        <v>16256</v>
      </c>
      <c r="R66" s="45">
        <v>0</v>
      </c>
      <c r="S66" s="46">
        <v>0</v>
      </c>
      <c r="T66" s="39">
        <f t="shared" si="19"/>
        <v>12</v>
      </c>
      <c r="U66" s="47">
        <f t="shared" si="20"/>
        <v>2.7844176617270011E-2</v>
      </c>
      <c r="V66" s="48">
        <f t="shared" si="21"/>
        <v>0</v>
      </c>
      <c r="W66" s="49">
        <f t="shared" si="22"/>
        <v>2.3203480514391675E-3</v>
      </c>
      <c r="X66" s="44">
        <f t="shared" si="23"/>
        <v>5715.0614765285309</v>
      </c>
      <c r="Y66" s="44">
        <f t="shared" si="24"/>
        <v>0</v>
      </c>
      <c r="Z66" s="44">
        <f t="shared" si="25"/>
        <v>29402.44138846956</v>
      </c>
      <c r="AA66" s="50">
        <f t="shared" si="26"/>
        <v>21971.061476528532</v>
      </c>
      <c r="AB66" s="51">
        <f t="shared" si="27"/>
        <v>27486.62371549926</v>
      </c>
      <c r="AC66" s="44">
        <f t="shared" si="28"/>
        <v>20539.461041907573</v>
      </c>
      <c r="AD66" s="44">
        <f t="shared" si="29"/>
        <v>0</v>
      </c>
      <c r="AE66" s="44">
        <f t="shared" si="30"/>
        <v>0</v>
      </c>
      <c r="AF66" s="52">
        <f>HLOOKUP(I66,ElecAvoidedCostsWOCC!$A$5:$Q$50,G66+1,FALSE)</f>
        <v>0.86650348716649883</v>
      </c>
      <c r="AG66" s="44">
        <f t="shared" si="31"/>
        <v>48136.001719073342</v>
      </c>
      <c r="AH66" s="52">
        <f>HLOOKUP(I66,ElecAvoidedCostsWOCC!$A$5:$Q$50,T66+1,FALSE)</f>
        <v>0.86650348716649883</v>
      </c>
      <c r="AI66" s="44">
        <f t="shared" si="32"/>
        <v>0</v>
      </c>
      <c r="AJ66" s="44">
        <f t="shared" si="33"/>
        <v>48136.001719073342</v>
      </c>
      <c r="AK66" s="44">
        <f>HLOOKUP(I66,ElecAvoidedCostsWOCC!$A$5:$Q$50,G66+1,FALSE)*J66*L66</f>
        <v>0</v>
      </c>
      <c r="AL66" s="44">
        <f t="shared" si="34"/>
        <v>48136.001719073342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48136.001719073342</v>
      </c>
      <c r="AN66" s="48">
        <f t="shared" si="35"/>
        <v>52949.601890980681</v>
      </c>
      <c r="AO66" s="47">
        <f t="shared" si="36"/>
        <v>1.7512518895483782</v>
      </c>
      <c r="AP66" s="47">
        <f t="shared" si="37"/>
        <v>2.5779450484579542</v>
      </c>
      <c r="AQ66">
        <v>2021</v>
      </c>
    </row>
    <row r="67" spans="2:43">
      <c r="B67" s="97" t="s">
        <v>70</v>
      </c>
      <c r="C67" s="98">
        <v>18231134</v>
      </c>
      <c r="D67" s="61" t="s">
        <v>176</v>
      </c>
      <c r="E67" s="38" t="s">
        <v>1403</v>
      </c>
      <c r="F67" s="39" t="s">
        <v>1404</v>
      </c>
      <c r="G67" s="39">
        <v>12</v>
      </c>
      <c r="H67" s="39"/>
      <c r="I67" s="40" t="s">
        <v>257</v>
      </c>
      <c r="J67" s="41">
        <v>48</v>
      </c>
      <c r="K67" s="41">
        <v>225</v>
      </c>
      <c r="L67" s="41"/>
      <c r="M67" s="42">
        <v>109</v>
      </c>
      <c r="N67" s="42">
        <v>109</v>
      </c>
      <c r="O67" s="43">
        <v>10800</v>
      </c>
      <c r="P67" s="44">
        <v>5232</v>
      </c>
      <c r="Q67" s="44">
        <v>5232</v>
      </c>
      <c r="R67" s="45">
        <v>0</v>
      </c>
      <c r="S67" s="46">
        <v>0</v>
      </c>
      <c r="T67" s="39">
        <f t="shared" si="19"/>
        <v>12</v>
      </c>
      <c r="U67" s="47">
        <f t="shared" si="20"/>
        <v>5.4132543826777811E-3</v>
      </c>
      <c r="V67" s="48">
        <f t="shared" si="21"/>
        <v>0</v>
      </c>
      <c r="W67" s="49">
        <f t="shared" si="22"/>
        <v>4.5110453188981509E-4</v>
      </c>
      <c r="X67" s="44">
        <f t="shared" si="23"/>
        <v>1111.0790600969926</v>
      </c>
      <c r="Y67" s="44">
        <f t="shared" si="24"/>
        <v>0</v>
      </c>
      <c r="Z67" s="44">
        <f t="shared" si="25"/>
        <v>5716.2004427468182</v>
      </c>
      <c r="AA67" s="50">
        <f t="shared" si="26"/>
        <v>6343.0790600969922</v>
      </c>
      <c r="AB67" s="51">
        <f t="shared" si="27"/>
        <v>5343.7416497586401</v>
      </c>
      <c r="AC67" s="44">
        <f t="shared" si="28"/>
        <v>5929.7738245274295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0.86650348716649883</v>
      </c>
      <c r="AG67" s="44">
        <f t="shared" si="31"/>
        <v>9358.2376613981869</v>
      </c>
      <c r="AH67" s="52">
        <f>HLOOKUP(I67,ElecAvoidedCostsWOCC!$A$5:$Q$50,T67+1,FALSE)</f>
        <v>0.86650348716649883</v>
      </c>
      <c r="AI67" s="44">
        <f t="shared" si="32"/>
        <v>0</v>
      </c>
      <c r="AJ67" s="44">
        <f t="shared" si="33"/>
        <v>9358.2376613981869</v>
      </c>
      <c r="AK67" s="44">
        <f>HLOOKUP(I67,ElecAvoidedCostsWOCC!$A$5:$Q$50,G67+1,FALSE)*J67*L67</f>
        <v>0</v>
      </c>
      <c r="AL67" s="44">
        <f t="shared" si="34"/>
        <v>9358.2376613981869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9358.2376613981869</v>
      </c>
      <c r="AN67" s="48">
        <f t="shared" si="35"/>
        <v>10294.061427538007</v>
      </c>
      <c r="AO67" s="47">
        <f t="shared" si="36"/>
        <v>1.7512518895483784</v>
      </c>
      <c r="AP67" s="47">
        <f t="shared" si="37"/>
        <v>1.7359956268413639</v>
      </c>
      <c r="AQ67">
        <v>2021</v>
      </c>
    </row>
    <row r="68" spans="2:43">
      <c r="B68" s="97" t="s">
        <v>70</v>
      </c>
      <c r="C68" s="98">
        <v>18231134</v>
      </c>
      <c r="D68" s="61" t="s">
        <v>176</v>
      </c>
      <c r="E68" s="38" t="s">
        <v>1405</v>
      </c>
      <c r="F68" s="39" t="s">
        <v>1404</v>
      </c>
      <c r="G68" s="39">
        <v>12</v>
      </c>
      <c r="H68" s="39"/>
      <c r="I68" s="40" t="s">
        <v>257</v>
      </c>
      <c r="J68" s="41">
        <v>313</v>
      </c>
      <c r="K68" s="41">
        <v>227</v>
      </c>
      <c r="L68" s="41"/>
      <c r="M68" s="42">
        <v>109</v>
      </c>
      <c r="N68" s="42">
        <v>109</v>
      </c>
      <c r="O68" s="43">
        <v>71051</v>
      </c>
      <c r="P68" s="44">
        <v>34117</v>
      </c>
      <c r="Q68" s="44">
        <v>34117</v>
      </c>
      <c r="R68" s="45">
        <v>0</v>
      </c>
      <c r="S68" s="46">
        <v>0</v>
      </c>
      <c r="T68" s="39">
        <f t="shared" si="19"/>
        <v>12</v>
      </c>
      <c r="U68" s="47">
        <f t="shared" si="20"/>
        <v>3.5612697883670281E-2</v>
      </c>
      <c r="V68" s="48">
        <f t="shared" si="21"/>
        <v>0</v>
      </c>
      <c r="W68" s="49">
        <f t="shared" si="22"/>
        <v>2.96772482363919E-3</v>
      </c>
      <c r="X68" s="44">
        <f t="shared" si="23"/>
        <v>7309.5628054584649</v>
      </c>
      <c r="Y68" s="44">
        <f t="shared" si="24"/>
        <v>0</v>
      </c>
      <c r="Z68" s="44">
        <f t="shared" si="25"/>
        <v>37605.718301630011</v>
      </c>
      <c r="AA68" s="50">
        <f t="shared" si="26"/>
        <v>41426.562805458467</v>
      </c>
      <c r="AB68" s="51">
        <f t="shared" si="27"/>
        <v>35155.387773796399</v>
      </c>
      <c r="AC68" s="44">
        <f t="shared" si="28"/>
        <v>38727.271950508053</v>
      </c>
      <c r="AD68" s="44">
        <f t="shared" si="29"/>
        <v>0</v>
      </c>
      <c r="AE68" s="44">
        <f t="shared" si="30"/>
        <v>0</v>
      </c>
      <c r="AF68" s="52">
        <f>HLOOKUP(I68,ElecAvoidedCostsWOCC!$A$5:$Q$50,G68+1,FALSE)</f>
        <v>0.86650348716649883</v>
      </c>
      <c r="AG68" s="44">
        <f t="shared" si="31"/>
        <v>61565.939266666901</v>
      </c>
      <c r="AH68" s="52">
        <f>HLOOKUP(I68,ElecAvoidedCostsWOCC!$A$5:$Q$50,T68+1,FALSE)</f>
        <v>0.86650348716649883</v>
      </c>
      <c r="AI68" s="44">
        <f t="shared" si="32"/>
        <v>0</v>
      </c>
      <c r="AJ68" s="44">
        <f t="shared" si="33"/>
        <v>61565.939266666901</v>
      </c>
      <c r="AK68" s="44">
        <f>HLOOKUP(I68,ElecAvoidedCostsWOCC!$A$5:$Q$50,G68+1,FALSE)*J68*L68</f>
        <v>0</v>
      </c>
      <c r="AL68" s="44">
        <f t="shared" si="34"/>
        <v>61565.939266666901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61565.939266666908</v>
      </c>
      <c r="AN68" s="48">
        <f t="shared" si="35"/>
        <v>67722.533193333598</v>
      </c>
      <c r="AO68" s="47">
        <f t="shared" si="36"/>
        <v>1.7512518895483784</v>
      </c>
      <c r="AP68" s="47">
        <f t="shared" si="37"/>
        <v>1.7487039438223368</v>
      </c>
      <c r="AQ68">
        <v>2021</v>
      </c>
    </row>
    <row r="69" spans="2:43">
      <c r="B69" s="97" t="s">
        <v>70</v>
      </c>
      <c r="C69" s="98">
        <v>18231134</v>
      </c>
      <c r="D69" s="61" t="s">
        <v>176</v>
      </c>
      <c r="E69" s="38" t="s">
        <v>1406</v>
      </c>
      <c r="F69" s="39" t="s">
        <v>1407</v>
      </c>
      <c r="G69" s="39">
        <v>12</v>
      </c>
      <c r="H69" s="39"/>
      <c r="I69" s="40" t="s">
        <v>257</v>
      </c>
      <c r="J69" s="41">
        <v>1080</v>
      </c>
      <c r="K69" s="41">
        <v>325</v>
      </c>
      <c r="L69" s="41"/>
      <c r="M69" s="42">
        <v>135</v>
      </c>
      <c r="N69" s="42">
        <v>135</v>
      </c>
      <c r="O69" s="43">
        <v>351000</v>
      </c>
      <c r="P69" s="44">
        <v>145800</v>
      </c>
      <c r="Q69" s="44">
        <v>145800</v>
      </c>
      <c r="R69" s="45">
        <v>0</v>
      </c>
      <c r="S69" s="46">
        <v>0</v>
      </c>
      <c r="T69" s="39">
        <f t="shared" si="19"/>
        <v>12</v>
      </c>
      <c r="U69" s="47">
        <f t="shared" si="20"/>
        <v>0.17593076743702787</v>
      </c>
      <c r="V69" s="48">
        <f t="shared" si="21"/>
        <v>0</v>
      </c>
      <c r="W69" s="49">
        <f t="shared" si="22"/>
        <v>1.466089728641899E-2</v>
      </c>
      <c r="X69" s="44">
        <f t="shared" si="23"/>
        <v>36110.06945315226</v>
      </c>
      <c r="Y69" s="44">
        <f t="shared" si="24"/>
        <v>0</v>
      </c>
      <c r="Z69" s="44">
        <f t="shared" si="25"/>
        <v>185776.51438927156</v>
      </c>
      <c r="AA69" s="50">
        <f t="shared" si="26"/>
        <v>181910.06945315225</v>
      </c>
      <c r="AB69" s="51">
        <f t="shared" si="27"/>
        <v>173671.60361715578</v>
      </c>
      <c r="AC69" s="44">
        <f t="shared" si="28"/>
        <v>170057.09026189795</v>
      </c>
      <c r="AD69" s="44">
        <f t="shared" si="29"/>
        <v>0</v>
      </c>
      <c r="AE69" s="44">
        <f t="shared" si="30"/>
        <v>0</v>
      </c>
      <c r="AF69" s="52">
        <f>HLOOKUP(I69,ElecAvoidedCostsWOCC!$A$5:$Q$50,G69+1,FALSE)</f>
        <v>0.86650348716649883</v>
      </c>
      <c r="AG69" s="44">
        <f t="shared" si="31"/>
        <v>304142.72399544111</v>
      </c>
      <c r="AH69" s="52">
        <f>HLOOKUP(I69,ElecAvoidedCostsWOCC!$A$5:$Q$50,T69+1,FALSE)</f>
        <v>0.86650348716649883</v>
      </c>
      <c r="AI69" s="44">
        <f t="shared" si="32"/>
        <v>0</v>
      </c>
      <c r="AJ69" s="44">
        <f t="shared" si="33"/>
        <v>304142.72399544111</v>
      </c>
      <c r="AK69" s="44">
        <f>HLOOKUP(I69,ElecAvoidedCostsWOCC!$A$5:$Q$50,G69+1,FALSE)*J69*L69</f>
        <v>0</v>
      </c>
      <c r="AL69" s="44">
        <f t="shared" si="34"/>
        <v>304142.72399544111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304142.72399544111</v>
      </c>
      <c r="AN69" s="48">
        <f t="shared" si="35"/>
        <v>334556.99639498524</v>
      </c>
      <c r="AO69" s="47">
        <f t="shared" si="36"/>
        <v>1.7512518895483786</v>
      </c>
      <c r="AP69" s="47">
        <f t="shared" si="37"/>
        <v>1.9673216558024587</v>
      </c>
      <c r="AQ69">
        <v>2021</v>
      </c>
    </row>
    <row r="70" spans="2:43">
      <c r="B70" s="97" t="s">
        <v>70</v>
      </c>
      <c r="C70" s="98">
        <v>18231134</v>
      </c>
      <c r="D70" s="61" t="s">
        <v>176</v>
      </c>
      <c r="E70" s="38" t="s">
        <v>1408</v>
      </c>
      <c r="F70" s="39" t="s">
        <v>1409</v>
      </c>
      <c r="G70" s="39">
        <v>12</v>
      </c>
      <c r="H70" s="39"/>
      <c r="I70" s="40" t="s">
        <v>257</v>
      </c>
      <c r="J70" s="41">
        <v>2</v>
      </c>
      <c r="K70" s="41">
        <v>1056</v>
      </c>
      <c r="L70" s="41"/>
      <c r="M70" s="42">
        <v>135</v>
      </c>
      <c r="N70" s="42">
        <v>135</v>
      </c>
      <c r="O70" s="43">
        <v>2112</v>
      </c>
      <c r="P70" s="44">
        <v>270</v>
      </c>
      <c r="Q70" s="44">
        <v>270</v>
      </c>
      <c r="R70" s="45">
        <v>0</v>
      </c>
      <c r="S70" s="46">
        <v>0</v>
      </c>
      <c r="T70" s="39">
        <f t="shared" si="19"/>
        <v>12</v>
      </c>
      <c r="U70" s="47">
        <f t="shared" si="20"/>
        <v>1.0585919681680993E-3</v>
      </c>
      <c r="V70" s="48">
        <f t="shared" si="21"/>
        <v>0</v>
      </c>
      <c r="W70" s="49">
        <f t="shared" si="22"/>
        <v>8.8215997347341617E-5</v>
      </c>
      <c r="X70" s="44">
        <f t="shared" si="23"/>
        <v>217.27768286341188</v>
      </c>
      <c r="Y70" s="44">
        <f t="shared" si="24"/>
        <v>0</v>
      </c>
      <c r="Z70" s="44">
        <f t="shared" si="25"/>
        <v>1117.8347532482667</v>
      </c>
      <c r="AA70" s="50">
        <f t="shared" si="26"/>
        <v>487.27768286341188</v>
      </c>
      <c r="AB70" s="51">
        <f t="shared" si="27"/>
        <v>1044.9983670639119</v>
      </c>
      <c r="AC70" s="44">
        <f t="shared" si="28"/>
        <v>455.52742157933238</v>
      </c>
      <c r="AD70" s="44">
        <f t="shared" si="29"/>
        <v>0</v>
      </c>
      <c r="AE70" s="44">
        <f t="shared" si="30"/>
        <v>0</v>
      </c>
      <c r="AF70" s="52">
        <f>HLOOKUP(I70,ElecAvoidedCostsWOCC!$A$5:$Q$50,G70+1,FALSE)</f>
        <v>0.86650348716649883</v>
      </c>
      <c r="AG70" s="44">
        <f t="shared" si="31"/>
        <v>1830.0553648956454</v>
      </c>
      <c r="AH70" s="52">
        <f>HLOOKUP(I70,ElecAvoidedCostsWOCC!$A$5:$Q$50,T70+1,FALSE)</f>
        <v>0.86650348716649883</v>
      </c>
      <c r="AI70" s="44">
        <f t="shared" si="32"/>
        <v>0</v>
      </c>
      <c r="AJ70" s="44">
        <f t="shared" si="33"/>
        <v>1830.0553648956454</v>
      </c>
      <c r="AK70" s="44">
        <f>HLOOKUP(I70,ElecAvoidedCostsWOCC!$A$5:$Q$50,G70+1,FALSE)*J70*L70</f>
        <v>0</v>
      </c>
      <c r="AL70" s="44">
        <f t="shared" si="34"/>
        <v>1830.0553648956454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1830.0553648956454</v>
      </c>
      <c r="AN70" s="48">
        <f t="shared" si="35"/>
        <v>2013.0609013852102</v>
      </c>
      <c r="AO70" s="47">
        <f t="shared" si="36"/>
        <v>1.7512518895483782</v>
      </c>
      <c r="AP70" s="47">
        <f t="shared" si="37"/>
        <v>4.4191870917580438</v>
      </c>
      <c r="AQ70">
        <v>2021</v>
      </c>
    </row>
    <row r="71" spans="2:43">
      <c r="B71" s="97" t="s">
        <v>70</v>
      </c>
      <c r="C71" s="98">
        <v>18231134</v>
      </c>
      <c r="D71" s="61" t="s">
        <v>176</v>
      </c>
      <c r="E71" s="38" t="s">
        <v>1410</v>
      </c>
      <c r="F71" s="39" t="s">
        <v>1411</v>
      </c>
      <c r="G71" s="39">
        <v>12</v>
      </c>
      <c r="H71" s="39"/>
      <c r="I71" s="40" t="s">
        <v>257</v>
      </c>
      <c r="J71" s="41">
        <v>8</v>
      </c>
      <c r="K71" s="41">
        <v>397</v>
      </c>
      <c r="L71" s="41"/>
      <c r="M71" s="42">
        <v>116</v>
      </c>
      <c r="N71" s="42">
        <v>116</v>
      </c>
      <c r="O71" s="43">
        <v>3176</v>
      </c>
      <c r="P71" s="44">
        <v>928</v>
      </c>
      <c r="Q71" s="44">
        <v>928</v>
      </c>
      <c r="R71" s="45">
        <v>0</v>
      </c>
      <c r="S71" s="46">
        <v>0</v>
      </c>
      <c r="T71" s="39">
        <f t="shared" si="19"/>
        <v>12</v>
      </c>
      <c r="U71" s="47">
        <f t="shared" si="20"/>
        <v>1.5918977703133917E-3</v>
      </c>
      <c r="V71" s="48">
        <f t="shared" si="21"/>
        <v>0</v>
      </c>
      <c r="W71" s="49">
        <f t="shared" si="22"/>
        <v>1.3265814752611599E-4</v>
      </c>
      <c r="X71" s="44">
        <f t="shared" si="23"/>
        <v>326.7395458211156</v>
      </c>
      <c r="Y71" s="44">
        <f t="shared" si="24"/>
        <v>0</v>
      </c>
      <c r="Z71" s="44">
        <f t="shared" si="25"/>
        <v>1680.9863524225827</v>
      </c>
      <c r="AA71" s="50">
        <f t="shared" si="26"/>
        <v>1254.7395458211156</v>
      </c>
      <c r="AB71" s="51">
        <f t="shared" si="27"/>
        <v>1571.4558777438372</v>
      </c>
      <c r="AC71" s="44">
        <f t="shared" si="28"/>
        <v>1172.9826547827572</v>
      </c>
      <c r="AD71" s="44">
        <f t="shared" si="29"/>
        <v>0</v>
      </c>
      <c r="AE71" s="44">
        <f t="shared" si="30"/>
        <v>0</v>
      </c>
      <c r="AF71" s="52">
        <f>HLOOKUP(I71,ElecAvoidedCostsWOCC!$A$5:$Q$50,G71+1,FALSE)</f>
        <v>0.86650348716649883</v>
      </c>
      <c r="AG71" s="44">
        <f t="shared" si="31"/>
        <v>2752.0150752408003</v>
      </c>
      <c r="AH71" s="52">
        <f>HLOOKUP(I71,ElecAvoidedCostsWOCC!$A$5:$Q$50,T71+1,FALSE)</f>
        <v>0.86650348716649883</v>
      </c>
      <c r="AI71" s="44">
        <f t="shared" si="32"/>
        <v>0</v>
      </c>
      <c r="AJ71" s="44">
        <f t="shared" si="33"/>
        <v>2752.0150752408003</v>
      </c>
      <c r="AK71" s="44">
        <f>HLOOKUP(I71,ElecAvoidedCostsWOCC!$A$5:$Q$50,G71+1,FALSE)*J71*L71</f>
        <v>0</v>
      </c>
      <c r="AL71" s="44">
        <f t="shared" si="34"/>
        <v>2752.0150752408003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2752.0150752408003</v>
      </c>
      <c r="AN71" s="48">
        <f t="shared" si="35"/>
        <v>3027.2165827648805</v>
      </c>
      <c r="AO71" s="47">
        <f t="shared" si="36"/>
        <v>1.7512518895483784</v>
      </c>
      <c r="AP71" s="47">
        <f t="shared" si="37"/>
        <v>2.5807854621051813</v>
      </c>
      <c r="AQ71">
        <v>2021</v>
      </c>
    </row>
    <row r="72" spans="2:43">
      <c r="B72" s="97" t="s">
        <v>70</v>
      </c>
      <c r="C72" s="98">
        <v>18231134</v>
      </c>
      <c r="D72" s="61" t="s">
        <v>176</v>
      </c>
      <c r="E72" s="38" t="s">
        <v>1412</v>
      </c>
      <c r="F72" s="39" t="s">
        <v>1411</v>
      </c>
      <c r="G72" s="39">
        <v>12</v>
      </c>
      <c r="H72" s="39"/>
      <c r="I72" s="40" t="s">
        <v>257</v>
      </c>
      <c r="J72" s="41">
        <v>871</v>
      </c>
      <c r="K72" s="41">
        <v>400</v>
      </c>
      <c r="L72" s="41"/>
      <c r="M72" s="42">
        <v>116</v>
      </c>
      <c r="N72" s="42">
        <v>116</v>
      </c>
      <c r="O72" s="43">
        <v>348400</v>
      </c>
      <c r="P72" s="44">
        <v>101036</v>
      </c>
      <c r="Q72" s="44">
        <v>101036</v>
      </c>
      <c r="R72" s="45">
        <v>0</v>
      </c>
      <c r="S72" s="46">
        <v>0</v>
      </c>
      <c r="T72" s="39">
        <f t="shared" si="19"/>
        <v>12</v>
      </c>
      <c r="U72" s="47">
        <f t="shared" si="20"/>
        <v>0.17462757656712397</v>
      </c>
      <c r="V72" s="48">
        <f t="shared" si="21"/>
        <v>0</v>
      </c>
      <c r="W72" s="49">
        <f t="shared" si="22"/>
        <v>1.4552298047260331E-2</v>
      </c>
      <c r="X72" s="44">
        <f t="shared" si="23"/>
        <v>35842.587457202986</v>
      </c>
      <c r="Y72" s="44">
        <f t="shared" si="24"/>
        <v>0</v>
      </c>
      <c r="Z72" s="44">
        <f t="shared" si="25"/>
        <v>184400.39206046215</v>
      </c>
      <c r="AA72" s="50">
        <f t="shared" si="26"/>
        <v>136878.58745720299</v>
      </c>
      <c r="AB72" s="51">
        <f t="shared" si="27"/>
        <v>172385.14729406574</v>
      </c>
      <c r="AC72" s="44">
        <f t="shared" si="28"/>
        <v>127959.79008806485</v>
      </c>
      <c r="AD72" s="44">
        <f t="shared" si="29"/>
        <v>0</v>
      </c>
      <c r="AE72" s="44">
        <f t="shared" si="30"/>
        <v>0</v>
      </c>
      <c r="AF72" s="52">
        <f>HLOOKUP(I72,ElecAvoidedCostsWOCC!$A$5:$Q$50,G72+1,FALSE)</f>
        <v>0.86650348716649883</v>
      </c>
      <c r="AG72" s="44">
        <f t="shared" si="31"/>
        <v>301889.81492880819</v>
      </c>
      <c r="AH72" s="52">
        <f>HLOOKUP(I72,ElecAvoidedCostsWOCC!$A$5:$Q$50,T72+1,FALSE)</f>
        <v>0.86650348716649883</v>
      </c>
      <c r="AI72" s="44">
        <f t="shared" si="32"/>
        <v>0</v>
      </c>
      <c r="AJ72" s="44">
        <f t="shared" si="33"/>
        <v>301889.81492880819</v>
      </c>
      <c r="AK72" s="44">
        <f>HLOOKUP(I72,ElecAvoidedCostsWOCC!$A$5:$Q$50,G72+1,FALSE)*J72*L72</f>
        <v>0</v>
      </c>
      <c r="AL72" s="44">
        <f t="shared" si="34"/>
        <v>301889.81492880819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301889.81492880819</v>
      </c>
      <c r="AN72" s="48">
        <f t="shared" si="35"/>
        <v>332078.79642168904</v>
      </c>
      <c r="AO72" s="47">
        <f t="shared" si="36"/>
        <v>1.7512518895483786</v>
      </c>
      <c r="AP72" s="47">
        <f t="shared" si="37"/>
        <v>2.5951808469922062</v>
      </c>
      <c r="AQ72">
        <v>2021</v>
      </c>
    </row>
    <row r="73" spans="2:43">
      <c r="B73" s="97" t="s">
        <v>70</v>
      </c>
      <c r="C73" s="98">
        <v>18231134</v>
      </c>
      <c r="D73" s="61" t="s">
        <v>176</v>
      </c>
      <c r="E73" s="38" t="s">
        <v>1413</v>
      </c>
      <c r="F73" s="39" t="s">
        <v>1414</v>
      </c>
      <c r="G73" s="39">
        <v>12</v>
      </c>
      <c r="H73" s="39"/>
      <c r="I73" s="40" t="s">
        <v>257</v>
      </c>
      <c r="J73" s="41">
        <v>40</v>
      </c>
      <c r="K73" s="41">
        <v>166</v>
      </c>
      <c r="L73" s="41"/>
      <c r="M73" s="42">
        <v>112</v>
      </c>
      <c r="N73" s="42">
        <v>112</v>
      </c>
      <c r="O73" s="43">
        <v>6640</v>
      </c>
      <c r="P73" s="44">
        <v>4480</v>
      </c>
      <c r="Q73" s="44">
        <v>4480</v>
      </c>
      <c r="R73" s="45">
        <v>0</v>
      </c>
      <c r="S73" s="46">
        <v>0</v>
      </c>
      <c r="T73" s="39">
        <f t="shared" si="19"/>
        <v>12</v>
      </c>
      <c r="U73" s="47">
        <f t="shared" si="20"/>
        <v>3.3281489908315249E-3</v>
      </c>
      <c r="V73" s="48">
        <f t="shared" si="21"/>
        <v>0</v>
      </c>
      <c r="W73" s="49">
        <f t="shared" si="22"/>
        <v>2.773457492359604E-4</v>
      </c>
      <c r="X73" s="44">
        <f t="shared" si="23"/>
        <v>683.10786657815106</v>
      </c>
      <c r="Y73" s="44">
        <f t="shared" si="24"/>
        <v>0</v>
      </c>
      <c r="Z73" s="44">
        <f t="shared" si="25"/>
        <v>3514.4047166517475</v>
      </c>
      <c r="AA73" s="50">
        <f t="shared" si="26"/>
        <v>5163.1078665781515</v>
      </c>
      <c r="AB73" s="51">
        <f t="shared" si="27"/>
        <v>3285.4115328145717</v>
      </c>
      <c r="AC73" s="44">
        <f t="shared" si="28"/>
        <v>4826.6877316800519</v>
      </c>
      <c r="AD73" s="44">
        <f t="shared" si="29"/>
        <v>0</v>
      </c>
      <c r="AE73" s="44">
        <f t="shared" si="30"/>
        <v>0</v>
      </c>
      <c r="AF73" s="52">
        <f>HLOOKUP(I73,ElecAvoidedCostsWOCC!$A$5:$Q$50,G73+1,FALSE)</f>
        <v>0.86650348716649883</v>
      </c>
      <c r="AG73" s="44">
        <f t="shared" si="31"/>
        <v>5753.5831547855514</v>
      </c>
      <c r="AH73" s="52">
        <f>HLOOKUP(I73,ElecAvoidedCostsWOCC!$A$5:$Q$50,T73+1,FALSE)</f>
        <v>0.86650348716649883</v>
      </c>
      <c r="AI73" s="44">
        <f t="shared" si="32"/>
        <v>0</v>
      </c>
      <c r="AJ73" s="44">
        <f t="shared" si="33"/>
        <v>5753.5831547855514</v>
      </c>
      <c r="AK73" s="44">
        <f>HLOOKUP(I73,ElecAvoidedCostsWOCC!$A$5:$Q$50,G73+1,FALSE)*J73*L73</f>
        <v>0</v>
      </c>
      <c r="AL73" s="44">
        <f t="shared" si="34"/>
        <v>5753.5831547855514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5753.5831547855523</v>
      </c>
      <c r="AN73" s="48">
        <f t="shared" si="35"/>
        <v>6328.9414702641079</v>
      </c>
      <c r="AO73" s="47">
        <f t="shared" si="36"/>
        <v>1.7512518895483782</v>
      </c>
      <c r="AP73" s="47">
        <f t="shared" si="37"/>
        <v>1.3112390571123933</v>
      </c>
      <c r="AQ73">
        <v>2021</v>
      </c>
    </row>
    <row r="74" spans="2:43">
      <c r="B74" s="97" t="s">
        <v>70</v>
      </c>
      <c r="C74" s="98">
        <v>18231134</v>
      </c>
      <c r="D74" s="61" t="s">
        <v>176</v>
      </c>
      <c r="E74" s="38" t="s">
        <v>1415</v>
      </c>
      <c r="F74" s="39" t="s">
        <v>1416</v>
      </c>
      <c r="G74" s="39">
        <v>12</v>
      </c>
      <c r="H74" s="39"/>
      <c r="I74" s="40" t="s">
        <v>257</v>
      </c>
      <c r="J74" s="41">
        <v>60</v>
      </c>
      <c r="K74" s="41">
        <v>288</v>
      </c>
      <c r="L74" s="41"/>
      <c r="M74" s="42">
        <v>112</v>
      </c>
      <c r="N74" s="42">
        <v>112</v>
      </c>
      <c r="O74" s="43">
        <v>17280</v>
      </c>
      <c r="P74" s="44">
        <v>6720</v>
      </c>
      <c r="Q74" s="44">
        <v>6720</v>
      </c>
      <c r="R74" s="45">
        <v>0</v>
      </c>
      <c r="S74" s="46">
        <v>0</v>
      </c>
      <c r="T74" s="39">
        <f t="shared" si="19"/>
        <v>12</v>
      </c>
      <c r="U74" s="47">
        <f t="shared" si="20"/>
        <v>8.6612070122844484E-3</v>
      </c>
      <c r="V74" s="48">
        <f t="shared" si="21"/>
        <v>0</v>
      </c>
      <c r="W74" s="49">
        <f t="shared" si="22"/>
        <v>7.217672510237041E-4</v>
      </c>
      <c r="X74" s="44">
        <f t="shared" si="23"/>
        <v>1777.726496155188</v>
      </c>
      <c r="Y74" s="44">
        <f t="shared" si="24"/>
        <v>0</v>
      </c>
      <c r="Z74" s="44">
        <f t="shared" si="25"/>
        <v>9145.9207083949077</v>
      </c>
      <c r="AA74" s="50">
        <f t="shared" si="26"/>
        <v>8497.7264961551882</v>
      </c>
      <c r="AB74" s="51">
        <f t="shared" si="27"/>
        <v>8549.9866396138241</v>
      </c>
      <c r="AC74" s="44">
        <f t="shared" si="28"/>
        <v>7944.0277611995771</v>
      </c>
      <c r="AD74" s="44">
        <f t="shared" si="29"/>
        <v>0</v>
      </c>
      <c r="AE74" s="44">
        <f t="shared" si="30"/>
        <v>0</v>
      </c>
      <c r="AF74" s="52">
        <f>HLOOKUP(I74,ElecAvoidedCostsWOCC!$A$5:$Q$50,G74+1,FALSE)</f>
        <v>0.86650348716649883</v>
      </c>
      <c r="AG74" s="44">
        <f t="shared" si="31"/>
        <v>14973.1802582371</v>
      </c>
      <c r="AH74" s="52">
        <f>HLOOKUP(I74,ElecAvoidedCostsWOCC!$A$5:$Q$50,T74+1,FALSE)</f>
        <v>0.86650348716649883</v>
      </c>
      <c r="AI74" s="44">
        <f t="shared" si="32"/>
        <v>0</v>
      </c>
      <c r="AJ74" s="44">
        <f t="shared" si="33"/>
        <v>14973.1802582371</v>
      </c>
      <c r="AK74" s="44">
        <f>HLOOKUP(I74,ElecAvoidedCostsWOCC!$A$5:$Q$50,G74+1,FALSE)*J74*L74</f>
        <v>0</v>
      </c>
      <c r="AL74" s="44">
        <f t="shared" si="34"/>
        <v>14973.1802582371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14973.1802582371</v>
      </c>
      <c r="AN74" s="48">
        <f t="shared" si="35"/>
        <v>16470.49828406081</v>
      </c>
      <c r="AO74" s="47">
        <f t="shared" si="36"/>
        <v>1.7512518895483784</v>
      </c>
      <c r="AP74" s="47">
        <f t="shared" si="37"/>
        <v>2.0733183190152529</v>
      </c>
      <c r="AQ74">
        <v>2021</v>
      </c>
    </row>
    <row r="75" spans="2:43">
      <c r="B75" s="97" t="s">
        <v>70</v>
      </c>
      <c r="C75" s="98">
        <v>18231134</v>
      </c>
      <c r="D75" s="61" t="s">
        <v>176</v>
      </c>
      <c r="E75" s="38" t="s">
        <v>1417</v>
      </c>
      <c r="F75" s="39" t="s">
        <v>1418</v>
      </c>
      <c r="G75" s="39">
        <v>12</v>
      </c>
      <c r="H75" s="39"/>
      <c r="I75" s="40" t="s">
        <v>257</v>
      </c>
      <c r="J75" s="41">
        <v>9</v>
      </c>
      <c r="K75" s="41">
        <v>329</v>
      </c>
      <c r="L75" s="41"/>
      <c r="M75" s="42">
        <v>154</v>
      </c>
      <c r="N75" s="42">
        <v>154</v>
      </c>
      <c r="O75" s="43">
        <v>2961</v>
      </c>
      <c r="P75" s="44">
        <v>1386</v>
      </c>
      <c r="Q75" s="44">
        <v>1386</v>
      </c>
      <c r="R75" s="45">
        <v>0</v>
      </c>
      <c r="S75" s="46">
        <v>0</v>
      </c>
      <c r="T75" s="39">
        <f t="shared" si="19"/>
        <v>12</v>
      </c>
      <c r="U75" s="47">
        <f t="shared" si="20"/>
        <v>1.4841339099174915E-3</v>
      </c>
      <c r="V75" s="48">
        <f t="shared" si="21"/>
        <v>0</v>
      </c>
      <c r="W75" s="49">
        <f t="shared" si="22"/>
        <v>1.2367782582645763E-4</v>
      </c>
      <c r="X75" s="44">
        <f t="shared" si="23"/>
        <v>304.62084230992548</v>
      </c>
      <c r="Y75" s="44">
        <f t="shared" si="24"/>
        <v>0</v>
      </c>
      <c r="Z75" s="44">
        <f t="shared" si="25"/>
        <v>1567.1916213864192</v>
      </c>
      <c r="AA75" s="50">
        <f t="shared" si="26"/>
        <v>1690.6208423099256</v>
      </c>
      <c r="AB75" s="51">
        <f t="shared" si="27"/>
        <v>1465.0758356421604</v>
      </c>
      <c r="AC75" s="44">
        <f t="shared" si="28"/>
        <v>1580.4625991492244</v>
      </c>
      <c r="AD75" s="44">
        <f t="shared" si="29"/>
        <v>0</v>
      </c>
      <c r="AE75" s="44">
        <f t="shared" si="30"/>
        <v>0</v>
      </c>
      <c r="AF75" s="52">
        <f>HLOOKUP(I75,ElecAvoidedCostsWOCC!$A$5:$Q$50,G75+1,FALSE)</f>
        <v>0.86650348716649883</v>
      </c>
      <c r="AG75" s="44">
        <f t="shared" si="31"/>
        <v>2565.7168255000029</v>
      </c>
      <c r="AH75" s="52">
        <f>HLOOKUP(I75,ElecAvoidedCostsWOCC!$A$5:$Q$50,T75+1,FALSE)</f>
        <v>0.86650348716649883</v>
      </c>
      <c r="AI75" s="44">
        <f t="shared" si="32"/>
        <v>0</v>
      </c>
      <c r="AJ75" s="44">
        <f t="shared" si="33"/>
        <v>2565.7168255000029</v>
      </c>
      <c r="AK75" s="44">
        <f>HLOOKUP(I75,ElecAvoidedCostsWOCC!$A$5:$Q$50,G75+1,FALSE)*J75*L75</f>
        <v>0</v>
      </c>
      <c r="AL75" s="44">
        <f t="shared" si="34"/>
        <v>2565.7168255000029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2565.7168255000033</v>
      </c>
      <c r="AN75" s="48">
        <f t="shared" si="35"/>
        <v>2822.2885080500041</v>
      </c>
      <c r="AO75" s="47">
        <f t="shared" si="36"/>
        <v>1.7512518895483786</v>
      </c>
      <c r="AP75" s="47">
        <f t="shared" si="37"/>
        <v>1.7857357140683143</v>
      </c>
      <c r="AQ75">
        <v>2021</v>
      </c>
    </row>
    <row r="76" spans="2:43">
      <c r="B76" s="97" t="s">
        <v>70</v>
      </c>
      <c r="C76" s="98">
        <v>18231134</v>
      </c>
      <c r="D76" s="61" t="s">
        <v>176</v>
      </c>
      <c r="E76" s="38" t="s">
        <v>1419</v>
      </c>
      <c r="F76" s="39" t="s">
        <v>1418</v>
      </c>
      <c r="G76" s="39">
        <v>12</v>
      </c>
      <c r="H76" s="39"/>
      <c r="I76" s="40" t="s">
        <v>257</v>
      </c>
      <c r="J76" s="41">
        <v>194</v>
      </c>
      <c r="K76" s="41">
        <v>332</v>
      </c>
      <c r="L76" s="41"/>
      <c r="M76" s="42">
        <v>154</v>
      </c>
      <c r="N76" s="42">
        <v>154</v>
      </c>
      <c r="O76" s="43">
        <v>64408</v>
      </c>
      <c r="P76" s="44">
        <v>29876</v>
      </c>
      <c r="Q76" s="44">
        <v>29876</v>
      </c>
      <c r="R76" s="45">
        <v>0</v>
      </c>
      <c r="S76" s="46">
        <v>0</v>
      </c>
      <c r="T76" s="39">
        <f t="shared" si="19"/>
        <v>12</v>
      </c>
      <c r="U76" s="47">
        <f t="shared" si="20"/>
        <v>3.2283045211065786E-2</v>
      </c>
      <c r="V76" s="48">
        <f t="shared" si="21"/>
        <v>0</v>
      </c>
      <c r="W76" s="49">
        <f t="shared" si="22"/>
        <v>2.6902537675888155E-3</v>
      </c>
      <c r="X76" s="44">
        <f t="shared" si="23"/>
        <v>6626.1463058080644</v>
      </c>
      <c r="Y76" s="44">
        <f t="shared" si="24"/>
        <v>0</v>
      </c>
      <c r="Z76" s="44">
        <f t="shared" si="25"/>
        <v>34089.725751521946</v>
      </c>
      <c r="AA76" s="50">
        <f t="shared" si="26"/>
        <v>36502.146305808063</v>
      </c>
      <c r="AB76" s="51">
        <f t="shared" si="27"/>
        <v>31868.491868301338</v>
      </c>
      <c r="AC76" s="44">
        <f t="shared" si="28"/>
        <v>34123.722824911711</v>
      </c>
      <c r="AD76" s="44">
        <f t="shared" si="29"/>
        <v>0</v>
      </c>
      <c r="AE76" s="44">
        <f t="shared" si="30"/>
        <v>0</v>
      </c>
      <c r="AF76" s="52">
        <f>HLOOKUP(I76,ElecAvoidedCostsWOCC!$A$5:$Q$50,G76+1,FALSE)</f>
        <v>0.86650348716649883</v>
      </c>
      <c r="AG76" s="44">
        <f t="shared" si="31"/>
        <v>55809.756601419853</v>
      </c>
      <c r="AH76" s="52">
        <f>HLOOKUP(I76,ElecAvoidedCostsWOCC!$A$5:$Q$50,T76+1,FALSE)</f>
        <v>0.86650348716649883</v>
      </c>
      <c r="AI76" s="44">
        <f t="shared" si="32"/>
        <v>0</v>
      </c>
      <c r="AJ76" s="44">
        <f t="shared" si="33"/>
        <v>55809.756601419853</v>
      </c>
      <c r="AK76" s="44">
        <f>HLOOKUP(I76,ElecAvoidedCostsWOCC!$A$5:$Q$50,G76+1,FALSE)*J76*L76</f>
        <v>0</v>
      </c>
      <c r="AL76" s="44">
        <f t="shared" si="34"/>
        <v>55809.756601419853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55809.75660141986</v>
      </c>
      <c r="AN76" s="48">
        <f t="shared" si="35"/>
        <v>61390.732261561854</v>
      </c>
      <c r="AO76" s="47">
        <f t="shared" si="36"/>
        <v>1.7512518895483786</v>
      </c>
      <c r="AP76" s="47">
        <f t="shared" si="37"/>
        <v>1.7990631496028948</v>
      </c>
      <c r="AQ76">
        <v>2021</v>
      </c>
    </row>
    <row r="77" spans="2:43">
      <c r="B77" s="97" t="s">
        <v>70</v>
      </c>
      <c r="C77" s="98">
        <v>18231134</v>
      </c>
      <c r="D77" s="61" t="s">
        <v>176</v>
      </c>
      <c r="E77" s="38" t="s">
        <v>1420</v>
      </c>
      <c r="F77" s="39" t="s">
        <v>1421</v>
      </c>
      <c r="G77" s="39">
        <v>12</v>
      </c>
      <c r="H77" s="39"/>
      <c r="I77" s="40" t="s">
        <v>257</v>
      </c>
      <c r="J77" s="41">
        <v>20</v>
      </c>
      <c r="K77" s="41">
        <v>571</v>
      </c>
      <c r="L77" s="41"/>
      <c r="M77" s="42">
        <v>170</v>
      </c>
      <c r="N77" s="42">
        <v>170</v>
      </c>
      <c r="O77" s="43">
        <v>11420</v>
      </c>
      <c r="P77" s="44">
        <v>3400</v>
      </c>
      <c r="Q77" s="44">
        <v>3400</v>
      </c>
      <c r="R77" s="45">
        <v>0</v>
      </c>
      <c r="S77" s="46">
        <v>0</v>
      </c>
      <c r="T77" s="39">
        <f t="shared" si="19"/>
        <v>12</v>
      </c>
      <c r="U77" s="47">
        <f t="shared" si="20"/>
        <v>5.7240152824240978E-3</v>
      </c>
      <c r="V77" s="48">
        <f t="shared" si="21"/>
        <v>0</v>
      </c>
      <c r="W77" s="49">
        <f t="shared" si="22"/>
        <v>4.7700127353534147E-4</v>
      </c>
      <c r="X77" s="44">
        <f t="shared" si="23"/>
        <v>1174.8632283618199</v>
      </c>
      <c r="Y77" s="44">
        <f t="shared" si="24"/>
        <v>0</v>
      </c>
      <c r="Z77" s="44">
        <f t="shared" si="25"/>
        <v>6044.3526903859865</v>
      </c>
      <c r="AA77" s="50">
        <f t="shared" si="26"/>
        <v>4574.8632283618199</v>
      </c>
      <c r="AB77" s="51">
        <f t="shared" si="27"/>
        <v>5650.512003726265</v>
      </c>
      <c r="AC77" s="44">
        <f t="shared" si="28"/>
        <v>4276.7722056294469</v>
      </c>
      <c r="AD77" s="44">
        <f t="shared" si="29"/>
        <v>0</v>
      </c>
      <c r="AE77" s="44">
        <f t="shared" si="30"/>
        <v>0</v>
      </c>
      <c r="AF77" s="52">
        <f>HLOOKUP(I77,ElecAvoidedCostsWOCC!$A$5:$Q$50,G77+1,FALSE)</f>
        <v>0.86650348716649883</v>
      </c>
      <c r="AG77" s="44">
        <f t="shared" si="31"/>
        <v>9895.4698234414154</v>
      </c>
      <c r="AH77" s="52">
        <f>HLOOKUP(I77,ElecAvoidedCostsWOCC!$A$5:$Q$50,T77+1,FALSE)</f>
        <v>0.86650348716649883</v>
      </c>
      <c r="AI77" s="44">
        <f t="shared" si="32"/>
        <v>0</v>
      </c>
      <c r="AJ77" s="44">
        <f t="shared" si="33"/>
        <v>9895.4698234414154</v>
      </c>
      <c r="AK77" s="44">
        <f>HLOOKUP(I77,ElecAvoidedCostsWOCC!$A$5:$Q$50,G77+1,FALSE)*J77*L77</f>
        <v>0</v>
      </c>
      <c r="AL77" s="44">
        <f t="shared" si="34"/>
        <v>9895.4698234414154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9895.4698234414154</v>
      </c>
      <c r="AN77" s="48">
        <f t="shared" si="35"/>
        <v>10885.016805785557</v>
      </c>
      <c r="AO77" s="47">
        <f t="shared" si="36"/>
        <v>1.7512518895483784</v>
      </c>
      <c r="AP77" s="47">
        <f t="shared" si="37"/>
        <v>2.5451476680141587</v>
      </c>
      <c r="AQ77">
        <v>2021</v>
      </c>
    </row>
    <row r="78" spans="2:43">
      <c r="B78" s="97" t="s">
        <v>70</v>
      </c>
      <c r="C78" s="98">
        <v>18231134</v>
      </c>
      <c r="D78" s="61" t="s">
        <v>176</v>
      </c>
      <c r="E78" s="38" t="s">
        <v>1422</v>
      </c>
      <c r="F78" s="39" t="s">
        <v>1421</v>
      </c>
      <c r="G78" s="39">
        <v>12</v>
      </c>
      <c r="H78" s="39"/>
      <c r="I78" s="40" t="s">
        <v>257</v>
      </c>
      <c r="J78" s="41">
        <v>257</v>
      </c>
      <c r="K78" s="41">
        <v>576</v>
      </c>
      <c r="L78" s="41"/>
      <c r="M78" s="42">
        <v>170</v>
      </c>
      <c r="N78" s="42">
        <v>170</v>
      </c>
      <c r="O78" s="43">
        <v>148032</v>
      </c>
      <c r="P78" s="44">
        <v>43690</v>
      </c>
      <c r="Q78" s="44">
        <v>43690</v>
      </c>
      <c r="R78" s="45">
        <v>0</v>
      </c>
      <c r="S78" s="46">
        <v>0</v>
      </c>
      <c r="T78" s="39">
        <f t="shared" si="19"/>
        <v>12</v>
      </c>
      <c r="U78" s="47">
        <f t="shared" si="20"/>
        <v>7.419767340523678E-2</v>
      </c>
      <c r="V78" s="48">
        <f t="shared" si="21"/>
        <v>0</v>
      </c>
      <c r="W78" s="49">
        <f t="shared" si="22"/>
        <v>6.1831394504363989E-3</v>
      </c>
      <c r="X78" s="44">
        <f t="shared" si="23"/>
        <v>15229.190317062779</v>
      </c>
      <c r="Y78" s="44">
        <f t="shared" si="24"/>
        <v>0</v>
      </c>
      <c r="Z78" s="44">
        <f t="shared" si="25"/>
        <v>78350.054068583049</v>
      </c>
      <c r="AA78" s="50">
        <f t="shared" si="26"/>
        <v>58919.190317062777</v>
      </c>
      <c r="AB78" s="51">
        <f t="shared" si="27"/>
        <v>73244.885546025092</v>
      </c>
      <c r="AC78" s="44">
        <f t="shared" si="28"/>
        <v>55080.106868339506</v>
      </c>
      <c r="AD78" s="44">
        <f t="shared" si="29"/>
        <v>0</v>
      </c>
      <c r="AE78" s="44">
        <f t="shared" si="30"/>
        <v>0</v>
      </c>
      <c r="AF78" s="52">
        <f>HLOOKUP(I78,ElecAvoidedCostsWOCC!$A$5:$Q$50,G78+1,FALSE)</f>
        <v>0.86650348716649883</v>
      </c>
      <c r="AG78" s="44">
        <f t="shared" si="31"/>
        <v>128270.24421223116</v>
      </c>
      <c r="AH78" s="52">
        <f>HLOOKUP(I78,ElecAvoidedCostsWOCC!$A$5:$Q$50,T78+1,FALSE)</f>
        <v>0.86650348716649883</v>
      </c>
      <c r="AI78" s="44">
        <f t="shared" si="32"/>
        <v>0</v>
      </c>
      <c r="AJ78" s="44">
        <f t="shared" si="33"/>
        <v>128270.24421223116</v>
      </c>
      <c r="AK78" s="44">
        <f>HLOOKUP(I78,ElecAvoidedCostsWOCC!$A$5:$Q$50,G78+1,FALSE)*J78*L78</f>
        <v>0</v>
      </c>
      <c r="AL78" s="44">
        <f t="shared" si="34"/>
        <v>128270.24421223116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128270.24421223116</v>
      </c>
      <c r="AN78" s="48">
        <f t="shared" si="35"/>
        <v>141097.26863345428</v>
      </c>
      <c r="AO78" s="47">
        <f t="shared" si="36"/>
        <v>1.7512518895483786</v>
      </c>
      <c r="AP78" s="47">
        <f t="shared" si="37"/>
        <v>2.5616738357230409</v>
      </c>
      <c r="AQ78">
        <v>2021</v>
      </c>
    </row>
    <row r="79" spans="2:43">
      <c r="B79" s="97" t="s">
        <v>70</v>
      </c>
      <c r="C79" s="98">
        <v>18231134</v>
      </c>
      <c r="D79" s="61" t="s">
        <v>176</v>
      </c>
      <c r="E79" s="38" t="s">
        <v>1423</v>
      </c>
      <c r="F79" s="39" t="s">
        <v>1424</v>
      </c>
      <c r="G79" s="39">
        <v>13</v>
      </c>
      <c r="H79" s="39"/>
      <c r="I79" s="40" t="s">
        <v>257</v>
      </c>
      <c r="J79" s="41">
        <v>60</v>
      </c>
      <c r="K79" s="41">
        <v>41.58</v>
      </c>
      <c r="L79" s="41"/>
      <c r="M79" s="42">
        <v>17</v>
      </c>
      <c r="N79" s="42">
        <v>17</v>
      </c>
      <c r="O79" s="43">
        <v>2494.8000000000002</v>
      </c>
      <c r="P79" s="44">
        <v>1020</v>
      </c>
      <c r="Q79" s="44">
        <v>1020</v>
      </c>
      <c r="R79" s="45">
        <v>0</v>
      </c>
      <c r="S79" s="46">
        <v>0</v>
      </c>
      <c r="T79" s="39">
        <f t="shared" si="19"/>
        <v>13</v>
      </c>
      <c r="U79" s="47">
        <f t="shared" si="20"/>
        <v>1.3546669092651148E-3</v>
      </c>
      <c r="V79" s="48">
        <f t="shared" si="21"/>
        <v>0</v>
      </c>
      <c r="W79" s="49">
        <f t="shared" si="22"/>
        <v>1.0420514686654729E-4</v>
      </c>
      <c r="X79" s="44">
        <f t="shared" si="23"/>
        <v>256.6592628824053</v>
      </c>
      <c r="Y79" s="44">
        <f t="shared" si="24"/>
        <v>0</v>
      </c>
      <c r="Z79" s="44">
        <f t="shared" si="25"/>
        <v>1320.442302274515</v>
      </c>
      <c r="AA79" s="50">
        <f t="shared" si="26"/>
        <v>1276.6592628824053</v>
      </c>
      <c r="AB79" s="51">
        <f t="shared" si="27"/>
        <v>1234.4043210942459</v>
      </c>
      <c r="AC79" s="44">
        <f t="shared" si="28"/>
        <v>1193.4741169322288</v>
      </c>
      <c r="AD79" s="44">
        <f t="shared" si="29"/>
        <v>0</v>
      </c>
      <c r="AE79" s="44">
        <f t="shared" si="30"/>
        <v>0</v>
      </c>
      <c r="AF79" s="52">
        <f>HLOOKUP(I79,ElecAvoidedCostsWOCC!$A$5:$Q$50,G79+1,FALSE)</f>
        <v>0.93164439687846989</v>
      </c>
      <c r="AG79" s="44">
        <f t="shared" si="31"/>
        <v>2324.2664413324064</v>
      </c>
      <c r="AH79" s="52">
        <f>HLOOKUP(I79,ElecAvoidedCostsWOCC!$A$5:$Q$50,T79+1,FALSE)</f>
        <v>0.93164439687846989</v>
      </c>
      <c r="AI79" s="44">
        <f t="shared" si="32"/>
        <v>0</v>
      </c>
      <c r="AJ79" s="44">
        <f t="shared" si="33"/>
        <v>2324.2664413324064</v>
      </c>
      <c r="AK79" s="44">
        <f>HLOOKUP(I79,ElecAvoidedCostsWOCC!$A$5:$Q$50,G79+1,FALSE)*J79*L79</f>
        <v>0</v>
      </c>
      <c r="AL79" s="44">
        <f t="shared" si="34"/>
        <v>2324.2664413324064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2324.2664413324069</v>
      </c>
      <c r="AN79" s="48">
        <f t="shared" si="35"/>
        <v>2556.693085465648</v>
      </c>
      <c r="AO79" s="47">
        <f t="shared" si="36"/>
        <v>1.8829053022692317</v>
      </c>
      <c r="AP79" s="47">
        <f t="shared" si="37"/>
        <v>2.1422275097490275</v>
      </c>
      <c r="AQ79">
        <v>2021</v>
      </c>
    </row>
    <row r="80" spans="2:43">
      <c r="B80" s="97" t="s">
        <v>70</v>
      </c>
      <c r="C80" s="98">
        <v>18231134</v>
      </c>
      <c r="D80" s="61" t="s">
        <v>176</v>
      </c>
      <c r="E80" s="38" t="s">
        <v>1425</v>
      </c>
      <c r="F80" s="39" t="s">
        <v>1426</v>
      </c>
      <c r="G80" s="39">
        <v>13</v>
      </c>
      <c r="H80" s="39"/>
      <c r="I80" s="40" t="s">
        <v>257</v>
      </c>
      <c r="J80" s="41">
        <v>24</v>
      </c>
      <c r="K80" s="41">
        <v>30.96</v>
      </c>
      <c r="L80" s="41"/>
      <c r="M80" s="42">
        <v>17</v>
      </c>
      <c r="N80" s="42">
        <v>17</v>
      </c>
      <c r="O80" s="43">
        <v>743.04</v>
      </c>
      <c r="P80" s="44">
        <v>408</v>
      </c>
      <c r="Q80" s="44">
        <v>408</v>
      </c>
      <c r="R80" s="45">
        <v>0</v>
      </c>
      <c r="S80" s="46">
        <v>0</v>
      </c>
      <c r="T80" s="39">
        <f t="shared" si="19"/>
        <v>13</v>
      </c>
      <c r="U80" s="47">
        <f t="shared" si="20"/>
        <v>4.0346789332225061E-4</v>
      </c>
      <c r="V80" s="48">
        <f t="shared" si="21"/>
        <v>0</v>
      </c>
      <c r="W80" s="49">
        <f t="shared" si="22"/>
        <v>3.1035991794019277E-5</v>
      </c>
      <c r="X80" s="44">
        <f t="shared" si="23"/>
        <v>76.44223933467309</v>
      </c>
      <c r="Y80" s="44">
        <f t="shared" si="24"/>
        <v>0</v>
      </c>
      <c r="Z80" s="44">
        <f t="shared" si="25"/>
        <v>393.27459046098107</v>
      </c>
      <c r="AA80" s="50">
        <f t="shared" si="26"/>
        <v>484.4422393346731</v>
      </c>
      <c r="AB80" s="51">
        <f t="shared" si="27"/>
        <v>367.64942550339447</v>
      </c>
      <c r="AC80" s="44">
        <f t="shared" si="28"/>
        <v>452.87673117198568</v>
      </c>
      <c r="AD80" s="44">
        <f t="shared" si="29"/>
        <v>0</v>
      </c>
      <c r="AE80" s="44">
        <f t="shared" si="30"/>
        <v>0</v>
      </c>
      <c r="AF80" s="52">
        <f>HLOOKUP(I80,ElecAvoidedCostsWOCC!$A$5:$Q$50,G80+1,FALSE)</f>
        <v>0.93164439687846989</v>
      </c>
      <c r="AG80" s="44">
        <f t="shared" si="31"/>
        <v>692.24905265657821</v>
      </c>
      <c r="AH80" s="52">
        <f>HLOOKUP(I80,ElecAvoidedCostsWOCC!$A$5:$Q$50,T80+1,FALSE)</f>
        <v>0.93164439687846989</v>
      </c>
      <c r="AI80" s="44">
        <f t="shared" si="32"/>
        <v>0</v>
      </c>
      <c r="AJ80" s="44">
        <f t="shared" si="33"/>
        <v>692.24905265657821</v>
      </c>
      <c r="AK80" s="44">
        <f>HLOOKUP(I80,ElecAvoidedCostsWOCC!$A$5:$Q$50,G80+1,FALSE)*J80*L80</f>
        <v>0</v>
      </c>
      <c r="AL80" s="44">
        <f t="shared" si="34"/>
        <v>692.24905265657821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692.24905265657833</v>
      </c>
      <c r="AN80" s="48">
        <f t="shared" si="35"/>
        <v>761.4739579222362</v>
      </c>
      <c r="AO80" s="47">
        <f t="shared" si="36"/>
        <v>1.8829053022692317</v>
      </c>
      <c r="AP80" s="47">
        <f t="shared" si="37"/>
        <v>1.6814155056093107</v>
      </c>
      <c r="AQ80">
        <v>2021</v>
      </c>
    </row>
    <row r="81" spans="2:43">
      <c r="B81" s="97" t="s">
        <v>70</v>
      </c>
      <c r="C81" s="98">
        <v>18231134</v>
      </c>
      <c r="D81" s="61" t="s">
        <v>176</v>
      </c>
      <c r="E81" s="38" t="s">
        <v>1427</v>
      </c>
      <c r="F81" s="39" t="s">
        <v>1428</v>
      </c>
      <c r="G81" s="39">
        <v>13</v>
      </c>
      <c r="H81" s="39"/>
      <c r="I81" s="40" t="s">
        <v>257</v>
      </c>
      <c r="J81" s="41">
        <v>202</v>
      </c>
      <c r="K81" s="41">
        <v>50.74</v>
      </c>
      <c r="L81" s="41"/>
      <c r="M81" s="42">
        <v>17</v>
      </c>
      <c r="N81" s="42">
        <v>17</v>
      </c>
      <c r="O81" s="43">
        <v>10249.48</v>
      </c>
      <c r="P81" s="44">
        <v>3434</v>
      </c>
      <c r="Q81" s="44">
        <v>3434</v>
      </c>
      <c r="R81" s="45">
        <v>0</v>
      </c>
      <c r="S81" s="46">
        <v>0</v>
      </c>
      <c r="T81" s="39">
        <f t="shared" si="19"/>
        <v>13</v>
      </c>
      <c r="U81" s="47">
        <f t="shared" si="20"/>
        <v>5.5654286488594704E-3</v>
      </c>
      <c r="V81" s="48">
        <f t="shared" si="21"/>
        <v>0</v>
      </c>
      <c r="W81" s="49">
        <f t="shared" si="22"/>
        <v>4.281098960661131E-4</v>
      </c>
      <c r="X81" s="44">
        <f t="shared" si="23"/>
        <v>1054.4428337854558</v>
      </c>
      <c r="Y81" s="44">
        <f t="shared" si="24"/>
        <v>0</v>
      </c>
      <c r="Z81" s="44">
        <f t="shared" si="25"/>
        <v>5424.8224179559866</v>
      </c>
      <c r="AA81" s="50">
        <f t="shared" si="26"/>
        <v>4488.4428337854561</v>
      </c>
      <c r="AB81" s="51">
        <f t="shared" si="27"/>
        <v>5071.3493670711287</v>
      </c>
      <c r="AC81" s="44">
        <f t="shared" si="28"/>
        <v>4195.9828304996317</v>
      </c>
      <c r="AD81" s="44">
        <f t="shared" si="29"/>
        <v>0</v>
      </c>
      <c r="AE81" s="44">
        <f t="shared" si="30"/>
        <v>0</v>
      </c>
      <c r="AF81" s="52">
        <f>HLOOKUP(I81,ElecAvoidedCostsWOCC!$A$5:$Q$50,G81+1,FALSE)</f>
        <v>0.93164439687846989</v>
      </c>
      <c r="AG81" s="44">
        <f t="shared" si="31"/>
        <v>9548.8706129179409</v>
      </c>
      <c r="AH81" s="52">
        <f>HLOOKUP(I81,ElecAvoidedCostsWOCC!$A$5:$Q$50,T81+1,FALSE)</f>
        <v>0.93164439687846989</v>
      </c>
      <c r="AI81" s="44">
        <f t="shared" si="32"/>
        <v>0</v>
      </c>
      <c r="AJ81" s="44">
        <f t="shared" si="33"/>
        <v>9548.8706129179409</v>
      </c>
      <c r="AK81" s="44">
        <f>HLOOKUP(I81,ElecAvoidedCostsWOCC!$A$5:$Q$50,G81+1,FALSE)*J81*L81</f>
        <v>0</v>
      </c>
      <c r="AL81" s="44">
        <f t="shared" si="34"/>
        <v>9548.8706129179409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9548.8706129179409</v>
      </c>
      <c r="AN81" s="48">
        <f t="shared" si="35"/>
        <v>10503.757674209735</v>
      </c>
      <c r="AO81" s="47">
        <f t="shared" si="36"/>
        <v>1.8829053022692317</v>
      </c>
      <c r="AP81" s="47">
        <f t="shared" si="37"/>
        <v>2.5032890024859831</v>
      </c>
      <c r="AQ81">
        <v>2021</v>
      </c>
    </row>
    <row r="82" spans="2:43">
      <c r="B82" s="97" t="s">
        <v>70</v>
      </c>
      <c r="C82" s="98">
        <v>18231134</v>
      </c>
      <c r="D82" s="61" t="s">
        <v>176</v>
      </c>
      <c r="E82" s="38" t="s">
        <v>1429</v>
      </c>
      <c r="F82" s="39" t="s">
        <v>1430</v>
      </c>
      <c r="G82" s="39">
        <v>7</v>
      </c>
      <c r="H82" s="39"/>
      <c r="I82" s="40" t="s">
        <v>257</v>
      </c>
      <c r="J82" s="41">
        <v>96</v>
      </c>
      <c r="K82" s="41">
        <v>37</v>
      </c>
      <c r="L82" s="41"/>
      <c r="M82" s="42">
        <v>17</v>
      </c>
      <c r="N82" s="42">
        <v>17</v>
      </c>
      <c r="O82" s="43">
        <v>3552</v>
      </c>
      <c r="P82" s="44">
        <v>1632</v>
      </c>
      <c r="Q82" s="44">
        <v>1632</v>
      </c>
      <c r="R82" s="45">
        <v>0</v>
      </c>
      <c r="S82" s="46">
        <v>0</v>
      </c>
      <c r="T82" s="39">
        <f t="shared" si="19"/>
        <v>7</v>
      </c>
      <c r="U82" s="47">
        <f t="shared" si="20"/>
        <v>1.0385428778618856E-3</v>
      </c>
      <c r="V82" s="48">
        <f t="shared" si="21"/>
        <v>0</v>
      </c>
      <c r="W82" s="49">
        <f t="shared" si="22"/>
        <v>1.4836326826598363E-4</v>
      </c>
      <c r="X82" s="44">
        <f t="shared" si="23"/>
        <v>365.42155754301092</v>
      </c>
      <c r="Y82" s="44">
        <f t="shared" si="24"/>
        <v>0</v>
      </c>
      <c r="Z82" s="44">
        <f t="shared" si="25"/>
        <v>1879.9948122811757</v>
      </c>
      <c r="AA82" s="50">
        <f t="shared" si="26"/>
        <v>1997.421557543011</v>
      </c>
      <c r="AB82" s="51">
        <f t="shared" si="27"/>
        <v>1757.4972536983971</v>
      </c>
      <c r="AC82" s="44">
        <f t="shared" si="28"/>
        <v>1867.2726535879319</v>
      </c>
      <c r="AD82" s="44">
        <f t="shared" si="29"/>
        <v>0</v>
      </c>
      <c r="AE82" s="44">
        <f t="shared" si="30"/>
        <v>0</v>
      </c>
      <c r="AF82" s="52">
        <f>HLOOKUP(I82,ElecAvoidedCostsWOCC!$A$5:$Q$50,G82+1,FALSE)</f>
        <v>0.51471879727314174</v>
      </c>
      <c r="AG82" s="44">
        <f t="shared" si="31"/>
        <v>1828.2811679141994</v>
      </c>
      <c r="AH82" s="52">
        <f>HLOOKUP(I82,ElecAvoidedCostsWOCC!$A$5:$Q$50,T82+1,FALSE)</f>
        <v>0.51471879727314174</v>
      </c>
      <c r="AI82" s="44">
        <f t="shared" si="32"/>
        <v>0</v>
      </c>
      <c r="AJ82" s="44">
        <f t="shared" si="33"/>
        <v>1828.2811679141994</v>
      </c>
      <c r="AK82" s="44">
        <f>HLOOKUP(I82,ElecAvoidedCostsWOCC!$A$5:$Q$50,G82+1,FALSE)*J82*L82</f>
        <v>0</v>
      </c>
      <c r="AL82" s="44">
        <f t="shared" si="34"/>
        <v>1828.2811679141994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1828.2811679141994</v>
      </c>
      <c r="AN82" s="48">
        <f t="shared" si="35"/>
        <v>2011.1092847056195</v>
      </c>
      <c r="AO82" s="47">
        <f t="shared" si="36"/>
        <v>1.040275405305384</v>
      </c>
      <c r="AP82" s="47">
        <f t="shared" si="37"/>
        <v>1.0770303312916343</v>
      </c>
      <c r="AQ82">
        <v>2021</v>
      </c>
    </row>
    <row r="83" spans="2:43">
      <c r="B83" s="97" t="s">
        <v>70</v>
      </c>
      <c r="C83" s="98">
        <v>18231134</v>
      </c>
      <c r="D83" s="61" t="s">
        <v>176</v>
      </c>
      <c r="E83" s="38" t="s">
        <v>1431</v>
      </c>
      <c r="F83" s="39" t="s">
        <v>1432</v>
      </c>
      <c r="G83" s="39">
        <v>7</v>
      </c>
      <c r="H83" s="39"/>
      <c r="I83" s="40" t="s">
        <v>257</v>
      </c>
      <c r="J83" s="41">
        <v>1389</v>
      </c>
      <c r="K83" s="41">
        <v>60.64</v>
      </c>
      <c r="L83" s="41"/>
      <c r="M83" s="42">
        <v>17</v>
      </c>
      <c r="N83" s="42">
        <v>17</v>
      </c>
      <c r="O83" s="43">
        <v>84228.96</v>
      </c>
      <c r="P83" s="44">
        <v>23613</v>
      </c>
      <c r="Q83" s="44">
        <v>23613</v>
      </c>
      <c r="R83" s="45">
        <v>0</v>
      </c>
      <c r="S83" s="46">
        <v>0</v>
      </c>
      <c r="T83" s="39">
        <f t="shared" si="19"/>
        <v>7</v>
      </c>
      <c r="U83" s="47">
        <f t="shared" si="20"/>
        <v>2.4627079537644602E-2</v>
      </c>
      <c r="V83" s="48">
        <f t="shared" si="21"/>
        <v>0</v>
      </c>
      <c r="W83" s="49">
        <f t="shared" si="22"/>
        <v>3.5181542196635147E-3</v>
      </c>
      <c r="X83" s="44">
        <f t="shared" si="23"/>
        <v>8665.2808990506655</v>
      </c>
      <c r="Y83" s="44">
        <f t="shared" si="24"/>
        <v>0</v>
      </c>
      <c r="Z83" s="44">
        <f t="shared" si="25"/>
        <v>44580.520226305925</v>
      </c>
      <c r="AA83" s="50">
        <f t="shared" si="26"/>
        <v>32278.280899050667</v>
      </c>
      <c r="AB83" s="51">
        <f t="shared" si="27"/>
        <v>41675.722376653197</v>
      </c>
      <c r="AC83" s="44">
        <f t="shared" si="28"/>
        <v>30175.077964897322</v>
      </c>
      <c r="AD83" s="44">
        <f t="shared" si="29"/>
        <v>0</v>
      </c>
      <c r="AE83" s="44">
        <f t="shared" si="30"/>
        <v>0</v>
      </c>
      <c r="AF83" s="52">
        <f>HLOOKUP(I83,ElecAvoidedCostsWOCC!$A$5:$Q$50,G83+1,FALSE)</f>
        <v>0.51471879727314174</v>
      </c>
      <c r="AG83" s="44">
        <f t="shared" si="31"/>
        <v>43354.228986767564</v>
      </c>
      <c r="AH83" s="52">
        <f>HLOOKUP(I83,ElecAvoidedCostsWOCC!$A$5:$Q$50,T83+1,FALSE)</f>
        <v>0.51471879727314174</v>
      </c>
      <c r="AI83" s="44">
        <f t="shared" si="32"/>
        <v>0</v>
      </c>
      <c r="AJ83" s="44">
        <f t="shared" si="33"/>
        <v>43354.228986767564</v>
      </c>
      <c r="AK83" s="44">
        <f>HLOOKUP(I83,ElecAvoidedCostsWOCC!$A$5:$Q$50,G83+1,FALSE)*J83*L83</f>
        <v>0</v>
      </c>
      <c r="AL83" s="44">
        <f t="shared" si="34"/>
        <v>43354.228986767564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43354.228986767564</v>
      </c>
      <c r="AN83" s="48">
        <f t="shared" si="35"/>
        <v>47689.651885444327</v>
      </c>
      <c r="AO83" s="47">
        <f t="shared" si="36"/>
        <v>1.040275405305384</v>
      </c>
      <c r="AP83" s="47">
        <f t="shared" si="37"/>
        <v>1.5804317702483393</v>
      </c>
      <c r="AQ83">
        <v>2021</v>
      </c>
    </row>
    <row r="84" spans="2:43">
      <c r="B84" s="97" t="s">
        <v>70</v>
      </c>
      <c r="C84" s="98">
        <v>18231134</v>
      </c>
      <c r="D84" s="61" t="s">
        <v>176</v>
      </c>
      <c r="E84" s="38" t="s">
        <v>1433</v>
      </c>
      <c r="F84" s="39" t="s">
        <v>1434</v>
      </c>
      <c r="G84" s="39">
        <v>7</v>
      </c>
      <c r="H84" s="39"/>
      <c r="I84" s="40" t="s">
        <v>257</v>
      </c>
      <c r="J84" s="41">
        <v>130</v>
      </c>
      <c r="K84" s="41">
        <v>45.15</v>
      </c>
      <c r="L84" s="41"/>
      <c r="M84" s="42">
        <v>17</v>
      </c>
      <c r="N84" s="42">
        <v>17</v>
      </c>
      <c r="O84" s="43">
        <v>5869.5</v>
      </c>
      <c r="P84" s="44">
        <v>2210</v>
      </c>
      <c r="Q84" s="44">
        <v>2210</v>
      </c>
      <c r="R84" s="45">
        <v>0</v>
      </c>
      <c r="S84" s="46">
        <v>0</v>
      </c>
      <c r="T84" s="39">
        <f t="shared" si="19"/>
        <v>7</v>
      </c>
      <c r="U84" s="47">
        <f t="shared" si="20"/>
        <v>1.7161394768047118E-3</v>
      </c>
      <c r="V84" s="48">
        <f t="shared" si="21"/>
        <v>0</v>
      </c>
      <c r="W84" s="49">
        <f t="shared" si="22"/>
        <v>2.4516278240067311E-4</v>
      </c>
      <c r="X84" s="44">
        <f t="shared" si="23"/>
        <v>603.84060585549059</v>
      </c>
      <c r="Y84" s="44">
        <f t="shared" si="24"/>
        <v>0</v>
      </c>
      <c r="Z84" s="44">
        <f t="shared" si="25"/>
        <v>3106.5961572872634</v>
      </c>
      <c r="AA84" s="50">
        <f t="shared" si="26"/>
        <v>2813.8406058554906</v>
      </c>
      <c r="AB84" s="51">
        <f t="shared" si="27"/>
        <v>2904.175149375772</v>
      </c>
      <c r="AC84" s="44">
        <f t="shared" si="28"/>
        <v>2630.4950975558477</v>
      </c>
      <c r="AD84" s="44">
        <f t="shared" si="29"/>
        <v>0</v>
      </c>
      <c r="AE84" s="44">
        <f t="shared" si="30"/>
        <v>0</v>
      </c>
      <c r="AF84" s="52">
        <f>HLOOKUP(I84,ElecAvoidedCostsWOCC!$A$5:$Q$50,G84+1,FALSE)</f>
        <v>0.51471879727314174</v>
      </c>
      <c r="AG84" s="44">
        <f t="shared" si="31"/>
        <v>3021.1419805947053</v>
      </c>
      <c r="AH84" s="52">
        <f>HLOOKUP(I84,ElecAvoidedCostsWOCC!$A$5:$Q$50,T84+1,FALSE)</f>
        <v>0.51471879727314174</v>
      </c>
      <c r="AI84" s="44">
        <f t="shared" si="32"/>
        <v>0</v>
      </c>
      <c r="AJ84" s="44">
        <f t="shared" si="33"/>
        <v>3021.1419805947053</v>
      </c>
      <c r="AK84" s="44">
        <f>HLOOKUP(I84,ElecAvoidedCostsWOCC!$A$5:$Q$50,G84+1,FALSE)*J84*L84</f>
        <v>0</v>
      </c>
      <c r="AL84" s="44">
        <f t="shared" si="34"/>
        <v>3021.1419805947053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3021.1419805947053</v>
      </c>
      <c r="AN84" s="48">
        <f t="shared" si="35"/>
        <v>3323.256178654176</v>
      </c>
      <c r="AO84" s="47">
        <f t="shared" si="36"/>
        <v>1.040275405305384</v>
      </c>
      <c r="AP84" s="47">
        <f t="shared" si="37"/>
        <v>1.2633576780819757</v>
      </c>
      <c r="AQ84">
        <v>2021</v>
      </c>
    </row>
    <row r="85" spans="2:43">
      <c r="B85" s="97" t="s">
        <v>70</v>
      </c>
      <c r="C85" s="98">
        <v>18231134</v>
      </c>
      <c r="D85" s="61" t="s">
        <v>176</v>
      </c>
      <c r="E85" s="38" t="s">
        <v>1435</v>
      </c>
      <c r="F85" s="39" t="s">
        <v>1436</v>
      </c>
      <c r="G85" s="39">
        <v>7</v>
      </c>
      <c r="H85" s="39"/>
      <c r="I85" s="40" t="s">
        <v>257</v>
      </c>
      <c r="J85" s="41">
        <v>292</v>
      </c>
      <c r="K85" s="41">
        <v>74</v>
      </c>
      <c r="L85" s="41"/>
      <c r="M85" s="42">
        <v>17</v>
      </c>
      <c r="N85" s="42">
        <v>17</v>
      </c>
      <c r="O85" s="43">
        <v>21608</v>
      </c>
      <c r="P85" s="44">
        <v>4964</v>
      </c>
      <c r="Q85" s="44">
        <v>4964</v>
      </c>
      <c r="R85" s="45">
        <v>0</v>
      </c>
      <c r="S85" s="46">
        <v>0</v>
      </c>
      <c r="T85" s="39">
        <f t="shared" si="19"/>
        <v>7</v>
      </c>
      <c r="U85" s="47">
        <f t="shared" si="20"/>
        <v>6.3178025069931358E-3</v>
      </c>
      <c r="V85" s="48">
        <f t="shared" si="21"/>
        <v>0</v>
      </c>
      <c r="W85" s="49">
        <f t="shared" si="22"/>
        <v>9.0254321528473373E-4</v>
      </c>
      <c r="X85" s="44">
        <f t="shared" si="23"/>
        <v>2222.981141719983</v>
      </c>
      <c r="Y85" s="44">
        <f t="shared" si="24"/>
        <v>0</v>
      </c>
      <c r="Z85" s="44">
        <f t="shared" si="25"/>
        <v>11436.635108043818</v>
      </c>
      <c r="AA85" s="50">
        <f t="shared" si="26"/>
        <v>7186.9811417199835</v>
      </c>
      <c r="AB85" s="51">
        <f t="shared" si="27"/>
        <v>10691.44162666525</v>
      </c>
      <c r="AC85" s="44">
        <f t="shared" si="28"/>
        <v>6718.6885497989933</v>
      </c>
      <c r="AD85" s="44">
        <f t="shared" si="29"/>
        <v>0</v>
      </c>
      <c r="AE85" s="44">
        <f t="shared" si="30"/>
        <v>0</v>
      </c>
      <c r="AF85" s="52">
        <f>HLOOKUP(I85,ElecAvoidedCostsWOCC!$A$5:$Q$50,G85+1,FALSE)</f>
        <v>0.51471879727314174</v>
      </c>
      <c r="AG85" s="44">
        <f t="shared" si="31"/>
        <v>11122.043771478047</v>
      </c>
      <c r="AH85" s="52">
        <f>HLOOKUP(I85,ElecAvoidedCostsWOCC!$A$5:$Q$50,T85+1,FALSE)</f>
        <v>0.51471879727314174</v>
      </c>
      <c r="AI85" s="44">
        <f t="shared" si="32"/>
        <v>0</v>
      </c>
      <c r="AJ85" s="44">
        <f t="shared" si="33"/>
        <v>11122.043771478047</v>
      </c>
      <c r="AK85" s="44">
        <f>HLOOKUP(I85,ElecAvoidedCostsWOCC!$A$5:$Q$50,G85+1,FALSE)*J85*L85</f>
        <v>0</v>
      </c>
      <c r="AL85" s="44">
        <f t="shared" si="34"/>
        <v>11122.043771478047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11122.043771478046</v>
      </c>
      <c r="AN85" s="48">
        <f t="shared" si="35"/>
        <v>12234.248148625851</v>
      </c>
      <c r="AO85" s="47">
        <f t="shared" si="36"/>
        <v>1.040275405305384</v>
      </c>
      <c r="AP85" s="47">
        <f t="shared" si="37"/>
        <v>1.8209280067003359</v>
      </c>
      <c r="AQ85">
        <v>2021</v>
      </c>
    </row>
    <row r="86" spans="2:43">
      <c r="B86" s="97" t="s">
        <v>70</v>
      </c>
      <c r="C86" s="98">
        <v>18231134</v>
      </c>
      <c r="D86" s="61" t="s">
        <v>176</v>
      </c>
      <c r="E86" s="38" t="s">
        <v>1437</v>
      </c>
      <c r="F86" s="39" t="s">
        <v>1438</v>
      </c>
      <c r="G86" s="39">
        <v>1</v>
      </c>
      <c r="H86" s="39"/>
      <c r="I86" s="40" t="s">
        <v>257</v>
      </c>
      <c r="J86" s="41">
        <v>1447</v>
      </c>
      <c r="K86" s="41">
        <v>0</v>
      </c>
      <c r="L86" s="41"/>
      <c r="M86" s="42">
        <v>240</v>
      </c>
      <c r="N86" s="42">
        <v>240</v>
      </c>
      <c r="O86" s="43">
        <v>0</v>
      </c>
      <c r="P86" s="44">
        <v>347280</v>
      </c>
      <c r="Q86" s="44">
        <v>347280</v>
      </c>
      <c r="R86" s="45">
        <v>0</v>
      </c>
      <c r="S86" s="46">
        <v>0</v>
      </c>
      <c r="T86" s="39">
        <f t="shared" si="19"/>
        <v>1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347280</v>
      </c>
      <c r="AB86" s="51">
        <f t="shared" si="27"/>
        <v>0</v>
      </c>
      <c r="AC86" s="44">
        <f t="shared" si="28"/>
        <v>324651.77152472653</v>
      </c>
      <c r="AD86" s="44">
        <f t="shared" si="29"/>
        <v>0</v>
      </c>
      <c r="AE86" s="44">
        <f t="shared" si="30"/>
        <v>0</v>
      </c>
      <c r="AF86" s="52">
        <f>HLOOKUP(I86,ElecAvoidedCostsWOCC!$A$5:$Q$50,G86+1,FALSE)</f>
        <v>8.1625385732676276E-2</v>
      </c>
      <c r="AG86" s="44">
        <f t="shared" si="31"/>
        <v>0</v>
      </c>
      <c r="AH86" s="52">
        <f>HLOOKUP(I86,ElecAvoidedCostsWOCC!$A$5:$Q$50,T86+1,FALSE)</f>
        <v>8.1625385732676276E-2</v>
      </c>
      <c r="AI86" s="44">
        <f t="shared" si="32"/>
        <v>0</v>
      </c>
      <c r="AJ86" s="44">
        <f t="shared" si="33"/>
        <v>0</v>
      </c>
      <c r="AK86" s="44">
        <f>HLOOKUP(I86,ElecAvoidedCostsWOCC!$A$5:$Q$50,G86+1,FALSE)*J86*L86</f>
        <v>0</v>
      </c>
      <c r="AL86" s="44">
        <f t="shared" si="34"/>
        <v>0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>
        <f t="shared" si="37"/>
        <v>0</v>
      </c>
      <c r="AQ86">
        <v>2021</v>
      </c>
    </row>
    <row r="87" spans="2:43">
      <c r="B87" s="97" t="s">
        <v>70</v>
      </c>
      <c r="C87" s="61">
        <v>18231134</v>
      </c>
      <c r="D87" s="61" t="s">
        <v>176</v>
      </c>
      <c r="E87" s="38" t="s">
        <v>2205</v>
      </c>
      <c r="F87" s="39" t="s">
        <v>2206</v>
      </c>
      <c r="G87" s="39">
        <v>12</v>
      </c>
      <c r="H87" s="39"/>
      <c r="I87" s="40" t="s">
        <v>257</v>
      </c>
      <c r="J87" s="41">
        <v>16</v>
      </c>
      <c r="K87" s="41">
        <v>289</v>
      </c>
      <c r="L87" s="41"/>
      <c r="M87" s="42">
        <v>112</v>
      </c>
      <c r="N87" s="42">
        <v>112</v>
      </c>
      <c r="O87" s="43">
        <v>4624</v>
      </c>
      <c r="P87" s="44">
        <v>1792</v>
      </c>
      <c r="Q87" s="44">
        <v>1792</v>
      </c>
      <c r="R87" s="45">
        <v>0</v>
      </c>
      <c r="S87" s="46">
        <v>0</v>
      </c>
      <c r="T87" s="39">
        <f t="shared" ref="T87:T150" si="38">G87+H87</f>
        <v>12</v>
      </c>
      <c r="U87" s="47">
        <f t="shared" ref="U87:U150" si="39">(O87/$A$10)*T87</f>
        <v>2.3176748393983386E-3</v>
      </c>
      <c r="V87" s="48">
        <f t="shared" ref="V87:V150" si="40">N87-M87</f>
        <v>0</v>
      </c>
      <c r="W87" s="49">
        <f t="shared" ref="W87:W150" si="41">(O87/A$10)</f>
        <v>1.9313956994986155E-4</v>
      </c>
      <c r="X87" s="44">
        <f t="shared" ref="X87:X150" si="42">W87*A$8</f>
        <v>475.70644202671235</v>
      </c>
      <c r="Y87" s="44">
        <f t="shared" ref="Y87:Y150" si="43">Q87-P87</f>
        <v>0</v>
      </c>
      <c r="Z87" s="44">
        <f t="shared" ref="Z87:Z150" si="44">X87+(A$6*W87)</f>
        <v>2447.3806340056744</v>
      </c>
      <c r="AA87" s="50">
        <f t="shared" ref="AA87:AA150" si="45">Q87+X87</f>
        <v>2267.7064420267125</v>
      </c>
      <c r="AB87" s="51">
        <f t="shared" ref="AB87:AB150" si="46">Z87/(1+ElecDiscountRate)^1</f>
        <v>2287.9130915262917</v>
      </c>
      <c r="AC87" s="44">
        <f t="shared" ref="AC87:AC150" si="47">AA87/(1+ElecDiscountRate)^1</f>
        <v>2119.9461924153616</v>
      </c>
      <c r="AD87" s="44">
        <f t="shared" ref="AD87:AD150" si="48">-PV(ElecDiscountRate,T87,R87)*J87</f>
        <v>0</v>
      </c>
      <c r="AE87" s="44">
        <f t="shared" ref="AE87:AE150" si="49">-PV(ElecDiscountRate,T87,S87)*J87</f>
        <v>0</v>
      </c>
      <c r="AF87" s="52">
        <f>HLOOKUP(I87,ElecAvoidedCostsWOCC!$A$5:$Q$50,G87+1,FALSE)</f>
        <v>0.86650348716649883</v>
      </c>
      <c r="AG87" s="44">
        <f t="shared" ref="AG87:AG150" si="50">AF87*J87*K87</f>
        <v>4006.7121246578904</v>
      </c>
      <c r="AH87" s="52">
        <f>HLOOKUP(I87,ElecAvoidedCostsWOCC!$A$5:$Q$50,T87+1,FALSE)</f>
        <v>0.86650348716649883</v>
      </c>
      <c r="AI87" s="44">
        <f t="shared" ref="AI87:AI150" si="51">AH87*J87*L87</f>
        <v>0</v>
      </c>
      <c r="AJ87" s="44">
        <f t="shared" ref="AJ87:AJ150" si="52">AG87+AI87</f>
        <v>4006.7121246578904</v>
      </c>
      <c r="AK87" s="44">
        <f>HLOOKUP(I87,ElecAvoidedCostsWOCC!$A$5:$Q$50,G87+1,FALSE)*J87*L87</f>
        <v>0</v>
      </c>
      <c r="AL87" s="44">
        <f t="shared" ref="AL87:AL150" si="53">AG87+AI87-AK87</f>
        <v>4006.7121246578904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4006.7121246578904</v>
      </c>
      <c r="AN87" s="48">
        <f t="shared" ref="AN87:AN150" si="54">AM87*1.1+AD87+AE87</f>
        <v>4407.3833371236797</v>
      </c>
      <c r="AO87" s="47">
        <f t="shared" ref="AO87:AO150" si="55">IFERROR(AM87/AB87,0)</f>
        <v>1.7512518895483784</v>
      </c>
      <c r="AP87" s="47">
        <f t="shared" ref="AP87:AP150" si="56">AN87/AC87</f>
        <v>2.079007171451897</v>
      </c>
      <c r="AQ87">
        <v>2020</v>
      </c>
    </row>
    <row r="88" spans="2:43">
      <c r="B88" s="97" t="s">
        <v>70</v>
      </c>
      <c r="C88" s="61">
        <v>18231134</v>
      </c>
      <c r="D88" s="61" t="s">
        <v>176</v>
      </c>
      <c r="E88" s="38" t="s">
        <v>2207</v>
      </c>
      <c r="F88" s="39" t="s">
        <v>2208</v>
      </c>
      <c r="G88" s="39">
        <v>12</v>
      </c>
      <c r="H88" s="39"/>
      <c r="I88" s="40" t="s">
        <v>257</v>
      </c>
      <c r="J88" s="41">
        <v>48</v>
      </c>
      <c r="K88" s="41">
        <v>333</v>
      </c>
      <c r="L88" s="41"/>
      <c r="M88" s="42">
        <v>154</v>
      </c>
      <c r="N88" s="42">
        <v>154</v>
      </c>
      <c r="O88" s="43">
        <v>15984</v>
      </c>
      <c r="P88" s="44">
        <v>7392</v>
      </c>
      <c r="Q88" s="44">
        <v>7392</v>
      </c>
      <c r="R88" s="45">
        <v>0</v>
      </c>
      <c r="S88" s="46">
        <v>0</v>
      </c>
      <c r="T88" s="39">
        <f t="shared" si="38"/>
        <v>12</v>
      </c>
      <c r="U88" s="47">
        <f t="shared" si="39"/>
        <v>8.0116164863631156E-3</v>
      </c>
      <c r="V88" s="48">
        <f t="shared" si="40"/>
        <v>0</v>
      </c>
      <c r="W88" s="49">
        <f t="shared" si="41"/>
        <v>6.676347071969263E-4</v>
      </c>
      <c r="X88" s="44">
        <f t="shared" si="42"/>
        <v>1644.3970089435491</v>
      </c>
      <c r="Y88" s="44">
        <f t="shared" si="43"/>
        <v>0</v>
      </c>
      <c r="Z88" s="44">
        <f t="shared" si="44"/>
        <v>8459.9766552652909</v>
      </c>
      <c r="AA88" s="50">
        <f t="shared" si="45"/>
        <v>9036.3970089435497</v>
      </c>
      <c r="AB88" s="51">
        <f t="shared" si="46"/>
        <v>7908.7376416427878</v>
      </c>
      <c r="AC88" s="44">
        <f t="shared" si="47"/>
        <v>8447.5993352748883</v>
      </c>
      <c r="AD88" s="44">
        <f t="shared" si="48"/>
        <v>0</v>
      </c>
      <c r="AE88" s="44">
        <f t="shared" si="49"/>
        <v>0</v>
      </c>
      <c r="AF88" s="52">
        <f>HLOOKUP(I88,ElecAvoidedCostsWOCC!$A$5:$Q$50,G88+1,FALSE)</f>
        <v>0.86650348716649883</v>
      </c>
      <c r="AG88" s="44">
        <f t="shared" si="50"/>
        <v>13850.191738869316</v>
      </c>
      <c r="AH88" s="52">
        <f>HLOOKUP(I88,ElecAvoidedCostsWOCC!$A$5:$Q$50,T88+1,FALSE)</f>
        <v>0.86650348716649883</v>
      </c>
      <c r="AI88" s="44">
        <f t="shared" si="51"/>
        <v>0</v>
      </c>
      <c r="AJ88" s="44">
        <f t="shared" si="52"/>
        <v>13850.191738869316</v>
      </c>
      <c r="AK88" s="44">
        <f>HLOOKUP(I88,ElecAvoidedCostsWOCC!$A$5:$Q$50,G88+1,FALSE)*J88*L88</f>
        <v>0</v>
      </c>
      <c r="AL88" s="44">
        <f t="shared" si="53"/>
        <v>13850.191738869316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13850.191738869318</v>
      </c>
      <c r="AN88" s="48">
        <f t="shared" si="54"/>
        <v>15235.210912756251</v>
      </c>
      <c r="AO88" s="47">
        <f t="shared" si="55"/>
        <v>1.7512518895483784</v>
      </c>
      <c r="AP88" s="47">
        <f t="shared" si="56"/>
        <v>1.8034959173712386</v>
      </c>
      <c r="AQ88">
        <v>2020</v>
      </c>
    </row>
    <row r="89" spans="2:43">
      <c r="B89" s="97" t="s">
        <v>70</v>
      </c>
      <c r="C89" s="61">
        <v>18231134</v>
      </c>
      <c r="D89" s="61" t="s">
        <v>176</v>
      </c>
      <c r="E89" s="38" t="s">
        <v>2209</v>
      </c>
      <c r="F89" s="39" t="s">
        <v>2210</v>
      </c>
      <c r="G89" s="39">
        <v>12</v>
      </c>
      <c r="H89" s="39"/>
      <c r="I89" s="40" t="s">
        <v>257</v>
      </c>
      <c r="J89" s="41">
        <v>88</v>
      </c>
      <c r="K89" s="41">
        <v>578</v>
      </c>
      <c r="L89" s="41"/>
      <c r="M89" s="42">
        <v>170</v>
      </c>
      <c r="N89" s="42">
        <v>170</v>
      </c>
      <c r="O89" s="43">
        <v>50864</v>
      </c>
      <c r="P89" s="44">
        <v>14960</v>
      </c>
      <c r="Q89" s="44">
        <v>14960</v>
      </c>
      <c r="R89" s="45">
        <v>0</v>
      </c>
      <c r="S89" s="46">
        <v>0</v>
      </c>
      <c r="T89" s="39">
        <f t="shared" si="38"/>
        <v>12</v>
      </c>
      <c r="U89" s="47">
        <f t="shared" si="39"/>
        <v>2.5494423233381726E-2</v>
      </c>
      <c r="V89" s="48">
        <f t="shared" si="40"/>
        <v>0</v>
      </c>
      <c r="W89" s="49">
        <f t="shared" si="41"/>
        <v>2.1245352694484773E-3</v>
      </c>
      <c r="X89" s="44">
        <f t="shared" si="42"/>
        <v>5232.7708622938362</v>
      </c>
      <c r="Y89" s="44">
        <f t="shared" si="43"/>
        <v>0</v>
      </c>
      <c r="Z89" s="44">
        <f t="shared" si="44"/>
        <v>26921.186974062421</v>
      </c>
      <c r="AA89" s="50">
        <f t="shared" si="45"/>
        <v>20192.770862293837</v>
      </c>
      <c r="AB89" s="51">
        <f t="shared" si="46"/>
        <v>25167.044006789209</v>
      </c>
      <c r="AC89" s="44">
        <f t="shared" si="47"/>
        <v>18877.041097778663</v>
      </c>
      <c r="AD89" s="44">
        <f t="shared" si="48"/>
        <v>0</v>
      </c>
      <c r="AE89" s="44">
        <f t="shared" si="49"/>
        <v>0</v>
      </c>
      <c r="AF89" s="52">
        <f>HLOOKUP(I89,ElecAvoidedCostsWOCC!$A$5:$Q$50,G89+1,FALSE)</f>
        <v>0.86650348716649883</v>
      </c>
      <c r="AG89" s="44">
        <f t="shared" si="50"/>
        <v>44073.833371236797</v>
      </c>
      <c r="AH89" s="52">
        <f>HLOOKUP(I89,ElecAvoidedCostsWOCC!$A$5:$Q$50,T89+1,FALSE)</f>
        <v>0.86650348716649883</v>
      </c>
      <c r="AI89" s="44">
        <f t="shared" si="51"/>
        <v>0</v>
      </c>
      <c r="AJ89" s="44">
        <f t="shared" si="52"/>
        <v>44073.833371236797</v>
      </c>
      <c r="AK89" s="44">
        <f>HLOOKUP(I89,ElecAvoidedCostsWOCC!$A$5:$Q$50,G89+1,FALSE)*J89*L89</f>
        <v>0</v>
      </c>
      <c r="AL89" s="44">
        <f t="shared" si="53"/>
        <v>44073.833371236797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44073.833371236797</v>
      </c>
      <c r="AN89" s="48">
        <f t="shared" si="54"/>
        <v>48481.21670836048</v>
      </c>
      <c r="AO89" s="47">
        <f t="shared" si="55"/>
        <v>1.7512518895483784</v>
      </c>
      <c r="AP89" s="47">
        <f t="shared" si="56"/>
        <v>2.5682635566262269</v>
      </c>
      <c r="AQ89">
        <v>2020</v>
      </c>
    </row>
    <row r="90" spans="2:43">
      <c r="B90" s="97" t="s">
        <v>70</v>
      </c>
      <c r="C90" s="61">
        <v>18231134</v>
      </c>
      <c r="D90" s="61" t="s">
        <v>176</v>
      </c>
      <c r="E90" s="38" t="s">
        <v>2211</v>
      </c>
      <c r="F90" s="39" t="s">
        <v>2212</v>
      </c>
      <c r="G90" s="39">
        <v>12</v>
      </c>
      <c r="H90" s="39"/>
      <c r="I90" s="40" t="s">
        <v>257</v>
      </c>
      <c r="J90" s="41">
        <v>15</v>
      </c>
      <c r="K90" s="41">
        <v>401</v>
      </c>
      <c r="L90" s="41"/>
      <c r="M90" s="42">
        <v>116</v>
      </c>
      <c r="N90" s="42">
        <v>116</v>
      </c>
      <c r="O90" s="43">
        <v>6015</v>
      </c>
      <c r="P90" s="44">
        <v>1740</v>
      </c>
      <c r="Q90" s="44">
        <v>1740</v>
      </c>
      <c r="R90" s="45">
        <v>0</v>
      </c>
      <c r="S90" s="46">
        <v>0</v>
      </c>
      <c r="T90" s="39">
        <f t="shared" si="38"/>
        <v>12</v>
      </c>
      <c r="U90" s="47">
        <f t="shared" si="39"/>
        <v>3.0148819547969304E-3</v>
      </c>
      <c r="V90" s="48">
        <f t="shared" si="40"/>
        <v>0</v>
      </c>
      <c r="W90" s="49">
        <f t="shared" si="41"/>
        <v>2.5124016289974422E-4</v>
      </c>
      <c r="X90" s="44">
        <f t="shared" si="42"/>
        <v>618.80930985957502</v>
      </c>
      <c r="Y90" s="44">
        <f t="shared" si="43"/>
        <v>0</v>
      </c>
      <c r="Z90" s="44">
        <f t="shared" si="44"/>
        <v>3183.6060799187135</v>
      </c>
      <c r="AA90" s="50">
        <f t="shared" si="45"/>
        <v>2358.809309859575</v>
      </c>
      <c r="AB90" s="51">
        <f t="shared" si="46"/>
        <v>2976.1672243794646</v>
      </c>
      <c r="AC90" s="44">
        <f t="shared" si="47"/>
        <v>2205.1129380756988</v>
      </c>
      <c r="AD90" s="44">
        <f t="shared" si="48"/>
        <v>0</v>
      </c>
      <c r="AE90" s="44">
        <f t="shared" si="49"/>
        <v>0</v>
      </c>
      <c r="AF90" s="52">
        <f>HLOOKUP(I90,ElecAvoidedCostsWOCC!$A$5:$Q$50,G90+1,FALSE)</f>
        <v>0.86650348716649883</v>
      </c>
      <c r="AG90" s="44">
        <f t="shared" si="50"/>
        <v>5212.0184753064905</v>
      </c>
      <c r="AH90" s="52">
        <f>HLOOKUP(I90,ElecAvoidedCostsWOCC!$A$5:$Q$50,T90+1,FALSE)</f>
        <v>0.86650348716649883</v>
      </c>
      <c r="AI90" s="44">
        <f t="shared" si="51"/>
        <v>0</v>
      </c>
      <c r="AJ90" s="44">
        <f t="shared" si="52"/>
        <v>5212.0184753064905</v>
      </c>
      <c r="AK90" s="44">
        <f>HLOOKUP(I90,ElecAvoidedCostsWOCC!$A$5:$Q$50,G90+1,FALSE)*J90*L90</f>
        <v>0</v>
      </c>
      <c r="AL90" s="44">
        <f t="shared" si="53"/>
        <v>5212.0184753064905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5212.0184753064905</v>
      </c>
      <c r="AN90" s="48">
        <f t="shared" si="54"/>
        <v>5733.22032283714</v>
      </c>
      <c r="AO90" s="47">
        <f t="shared" si="55"/>
        <v>1.7512518895483786</v>
      </c>
      <c r="AP90" s="47">
        <f t="shared" si="56"/>
        <v>2.5999667517439078</v>
      </c>
      <c r="AQ90">
        <v>2020</v>
      </c>
    </row>
    <row r="91" spans="2:43">
      <c r="B91" s="97" t="s">
        <v>70</v>
      </c>
      <c r="C91" s="61">
        <v>18231134</v>
      </c>
      <c r="D91" s="61" t="s">
        <v>176</v>
      </c>
      <c r="E91" s="38" t="s">
        <v>2213</v>
      </c>
      <c r="F91" s="39" t="s">
        <v>2214</v>
      </c>
      <c r="G91" s="39">
        <v>5</v>
      </c>
      <c r="H91" s="39"/>
      <c r="I91" s="40" t="s">
        <v>257</v>
      </c>
      <c r="J91" s="41">
        <v>9</v>
      </c>
      <c r="K91" s="41">
        <v>25</v>
      </c>
      <c r="L91" s="41"/>
      <c r="M91" s="42">
        <v>14.89</v>
      </c>
      <c r="N91" s="42">
        <v>14.89</v>
      </c>
      <c r="O91" s="43">
        <v>225</v>
      </c>
      <c r="P91" s="44">
        <v>134.01</v>
      </c>
      <c r="Q91" s="44">
        <v>134.01</v>
      </c>
      <c r="R91" s="45">
        <v>0</v>
      </c>
      <c r="S91" s="46"/>
      <c r="T91" s="39">
        <f t="shared" si="38"/>
        <v>5</v>
      </c>
      <c r="U91" s="47">
        <f t="shared" si="39"/>
        <v>4.6990055405189072E-5</v>
      </c>
      <c r="V91" s="48">
        <f t="shared" si="40"/>
        <v>0</v>
      </c>
      <c r="W91" s="49">
        <f t="shared" si="41"/>
        <v>9.3980110810378144E-6</v>
      </c>
      <c r="X91" s="44">
        <f t="shared" si="42"/>
        <v>23.147480418687348</v>
      </c>
      <c r="Y91" s="44">
        <f t="shared" si="43"/>
        <v>0</v>
      </c>
      <c r="Z91" s="44">
        <f t="shared" si="44"/>
        <v>119.08750922389204</v>
      </c>
      <c r="AA91" s="50">
        <f t="shared" si="45"/>
        <v>157.15748041868733</v>
      </c>
      <c r="AB91" s="51">
        <f t="shared" si="46"/>
        <v>111.32795103663834</v>
      </c>
      <c r="AC91" s="44">
        <f t="shared" si="47"/>
        <v>146.91734170205413</v>
      </c>
      <c r="AD91" s="44">
        <f t="shared" si="48"/>
        <v>0</v>
      </c>
      <c r="AE91" s="44">
        <f t="shared" si="49"/>
        <v>0</v>
      </c>
      <c r="AF91" s="52">
        <f>HLOOKUP(I91,ElecAvoidedCostsWOCC!$A$5:$Q$50,G91+1,FALSE)</f>
        <v>0.3694540986241362</v>
      </c>
      <c r="AG91" s="44">
        <f t="shared" si="50"/>
        <v>83.127172190430642</v>
      </c>
      <c r="AH91" s="52">
        <f>HLOOKUP(I91,ElecAvoidedCostsWOCC!$A$5:$Q$50,T91+1,FALSE)</f>
        <v>0.3694540986241362</v>
      </c>
      <c r="AI91" s="44">
        <f t="shared" si="51"/>
        <v>0</v>
      </c>
      <c r="AJ91" s="44">
        <f t="shared" si="52"/>
        <v>83.127172190430642</v>
      </c>
      <c r="AK91" s="44">
        <f>HLOOKUP(I91,ElecAvoidedCostsWOCC!$A$5:$Q$50,G91+1,FALSE)*J91*L91</f>
        <v>0</v>
      </c>
      <c r="AL91" s="44">
        <f t="shared" si="53"/>
        <v>83.127172190430642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83.127172190430642</v>
      </c>
      <c r="AN91" s="48">
        <f t="shared" si="54"/>
        <v>91.439889409473707</v>
      </c>
      <c r="AO91" s="47">
        <f t="shared" si="55"/>
        <v>0.74668734505922285</v>
      </c>
      <c r="AP91" s="47">
        <f t="shared" si="56"/>
        <v>0.62239003476466548</v>
      </c>
      <c r="AQ91">
        <v>2020</v>
      </c>
    </row>
    <row r="92" spans="2:43">
      <c r="B92" s="97" t="s">
        <v>70</v>
      </c>
      <c r="C92" s="61">
        <v>18231134</v>
      </c>
      <c r="D92" s="61" t="s">
        <v>176</v>
      </c>
      <c r="E92" s="38" t="s">
        <v>2215</v>
      </c>
      <c r="F92" s="39" t="s">
        <v>2216</v>
      </c>
      <c r="G92" s="39">
        <v>5</v>
      </c>
      <c r="H92" s="39"/>
      <c r="I92" s="40" t="s">
        <v>257</v>
      </c>
      <c r="J92" s="41">
        <v>7</v>
      </c>
      <c r="K92" s="41">
        <v>31</v>
      </c>
      <c r="L92" s="41"/>
      <c r="M92" s="42">
        <v>14.89</v>
      </c>
      <c r="N92" s="42">
        <v>14.89</v>
      </c>
      <c r="O92" s="43">
        <v>217</v>
      </c>
      <c r="P92" s="44">
        <v>104.23</v>
      </c>
      <c r="Q92" s="44">
        <v>104.23</v>
      </c>
      <c r="R92" s="45">
        <v>0</v>
      </c>
      <c r="S92" s="46"/>
      <c r="T92" s="39">
        <f t="shared" si="38"/>
        <v>5</v>
      </c>
      <c r="U92" s="47">
        <f t="shared" si="39"/>
        <v>4.5319297879671238E-5</v>
      </c>
      <c r="V92" s="48">
        <f t="shared" si="40"/>
        <v>0</v>
      </c>
      <c r="W92" s="49">
        <f t="shared" si="41"/>
        <v>9.0638595759342479E-6</v>
      </c>
      <c r="X92" s="44">
        <f t="shared" si="42"/>
        <v>22.324458892689574</v>
      </c>
      <c r="Y92" s="44">
        <f t="shared" si="43"/>
        <v>0</v>
      </c>
      <c r="Z92" s="44">
        <f t="shared" si="44"/>
        <v>114.85328667370922</v>
      </c>
      <c r="AA92" s="50">
        <f t="shared" si="45"/>
        <v>126.55445889268958</v>
      </c>
      <c r="AB92" s="51">
        <f t="shared" si="46"/>
        <v>107.36962388866898</v>
      </c>
      <c r="AC92" s="44">
        <f t="shared" si="47"/>
        <v>118.30836579666222</v>
      </c>
      <c r="AD92" s="44">
        <f t="shared" si="48"/>
        <v>0</v>
      </c>
      <c r="AE92" s="44">
        <f t="shared" si="49"/>
        <v>0</v>
      </c>
      <c r="AF92" s="52">
        <f>HLOOKUP(I92,ElecAvoidedCostsWOCC!$A$5:$Q$50,G92+1,FALSE)</f>
        <v>0.3694540986241362</v>
      </c>
      <c r="AG92" s="44">
        <f t="shared" si="50"/>
        <v>80.171539401437556</v>
      </c>
      <c r="AH92" s="52">
        <f>HLOOKUP(I92,ElecAvoidedCostsWOCC!$A$5:$Q$50,T92+1,FALSE)</f>
        <v>0.3694540986241362</v>
      </c>
      <c r="AI92" s="44">
        <f t="shared" si="51"/>
        <v>0</v>
      </c>
      <c r="AJ92" s="44">
        <f t="shared" si="52"/>
        <v>80.171539401437556</v>
      </c>
      <c r="AK92" s="44">
        <f>HLOOKUP(I92,ElecAvoidedCostsWOCC!$A$5:$Q$50,G92+1,FALSE)*J92*L92</f>
        <v>0</v>
      </c>
      <c r="AL92" s="44">
        <f t="shared" si="53"/>
        <v>80.171539401437556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80.171539401437556</v>
      </c>
      <c r="AN92" s="48">
        <f t="shared" si="54"/>
        <v>88.188693341581313</v>
      </c>
      <c r="AO92" s="47">
        <f t="shared" si="55"/>
        <v>0.74668734505922285</v>
      </c>
      <c r="AP92" s="47">
        <f t="shared" si="56"/>
        <v>0.74541384075198969</v>
      </c>
      <c r="AQ92">
        <v>2020</v>
      </c>
    </row>
    <row r="93" spans="2:43">
      <c r="B93" s="97" t="s">
        <v>70</v>
      </c>
      <c r="C93" s="61">
        <v>18231134</v>
      </c>
      <c r="D93" s="61" t="s">
        <v>176</v>
      </c>
      <c r="E93" s="38" t="s">
        <v>2217</v>
      </c>
      <c r="F93" s="39" t="s">
        <v>2218</v>
      </c>
      <c r="G93" s="39">
        <v>5</v>
      </c>
      <c r="H93" s="39"/>
      <c r="I93" s="40" t="s">
        <v>257</v>
      </c>
      <c r="J93" s="41">
        <v>4</v>
      </c>
      <c r="K93" s="41">
        <v>61</v>
      </c>
      <c r="L93" s="41"/>
      <c r="M93" s="42">
        <v>14.89</v>
      </c>
      <c r="N93" s="42">
        <v>14.89</v>
      </c>
      <c r="O93" s="43">
        <v>244</v>
      </c>
      <c r="P93" s="44">
        <v>59.56</v>
      </c>
      <c r="Q93" s="44">
        <v>59.56</v>
      </c>
      <c r="R93" s="45">
        <v>0</v>
      </c>
      <c r="S93" s="46"/>
      <c r="T93" s="39">
        <f t="shared" si="38"/>
        <v>5</v>
      </c>
      <c r="U93" s="47">
        <f t="shared" si="39"/>
        <v>5.0958104528293921E-5</v>
      </c>
      <c r="V93" s="48">
        <f t="shared" si="40"/>
        <v>0</v>
      </c>
      <c r="W93" s="49">
        <f t="shared" si="41"/>
        <v>1.0191620905658785E-5</v>
      </c>
      <c r="X93" s="44">
        <f t="shared" si="42"/>
        <v>25.102156542932054</v>
      </c>
      <c r="Y93" s="44">
        <f t="shared" si="43"/>
        <v>0</v>
      </c>
      <c r="Z93" s="44">
        <f t="shared" si="44"/>
        <v>129.14378778057625</v>
      </c>
      <c r="AA93" s="50">
        <f t="shared" si="45"/>
        <v>84.662156542932053</v>
      </c>
      <c r="AB93" s="51">
        <f t="shared" si="46"/>
        <v>120.72897801306557</v>
      </c>
      <c r="AC93" s="44">
        <f t="shared" si="47"/>
        <v>79.145701171292927</v>
      </c>
      <c r="AD93" s="44">
        <f t="shared" si="48"/>
        <v>0</v>
      </c>
      <c r="AE93" s="44">
        <f t="shared" si="49"/>
        <v>0</v>
      </c>
      <c r="AF93" s="52">
        <f>HLOOKUP(I93,ElecAvoidedCostsWOCC!$A$5:$Q$50,G93+1,FALSE)</f>
        <v>0.3694540986241362</v>
      </c>
      <c r="AG93" s="44">
        <f t="shared" si="50"/>
        <v>90.146800064289238</v>
      </c>
      <c r="AH93" s="52">
        <f>HLOOKUP(I93,ElecAvoidedCostsWOCC!$A$5:$Q$50,T93+1,FALSE)</f>
        <v>0.3694540986241362</v>
      </c>
      <c r="AI93" s="44">
        <f t="shared" si="51"/>
        <v>0</v>
      </c>
      <c r="AJ93" s="44">
        <f t="shared" si="52"/>
        <v>90.146800064289238</v>
      </c>
      <c r="AK93" s="44">
        <f>HLOOKUP(I93,ElecAvoidedCostsWOCC!$A$5:$Q$50,G93+1,FALSE)*J93*L93</f>
        <v>0</v>
      </c>
      <c r="AL93" s="44">
        <f t="shared" si="53"/>
        <v>90.146800064289238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90.146800064289238</v>
      </c>
      <c r="AN93" s="48">
        <f t="shared" si="54"/>
        <v>99.16148007071817</v>
      </c>
      <c r="AO93" s="47">
        <f t="shared" si="55"/>
        <v>0.74668734505922296</v>
      </c>
      <c r="AP93" s="47">
        <f t="shared" si="56"/>
        <v>1.2528978656226144</v>
      </c>
      <c r="AQ93">
        <v>2020</v>
      </c>
    </row>
    <row r="94" spans="2:43">
      <c r="B94" s="97" t="s">
        <v>70</v>
      </c>
      <c r="C94" s="61">
        <v>18231134</v>
      </c>
      <c r="D94" s="61" t="s">
        <v>176</v>
      </c>
      <c r="E94" s="38" t="s">
        <v>2219</v>
      </c>
      <c r="F94" s="39" t="s">
        <v>2220</v>
      </c>
      <c r="G94" s="39">
        <v>5</v>
      </c>
      <c r="H94" s="39"/>
      <c r="I94" s="40" t="s">
        <v>257</v>
      </c>
      <c r="J94" s="41">
        <v>3</v>
      </c>
      <c r="K94" s="41">
        <v>50</v>
      </c>
      <c r="L94" s="41"/>
      <c r="M94" s="42">
        <v>14.89</v>
      </c>
      <c r="N94" s="42">
        <v>14.89</v>
      </c>
      <c r="O94" s="43">
        <v>150</v>
      </c>
      <c r="P94" s="44">
        <v>44.67</v>
      </c>
      <c r="Q94" s="44">
        <v>44.67</v>
      </c>
      <c r="R94" s="45">
        <v>0</v>
      </c>
      <c r="S94" s="46"/>
      <c r="T94" s="39">
        <f t="shared" si="38"/>
        <v>5</v>
      </c>
      <c r="U94" s="47">
        <f t="shared" si="39"/>
        <v>3.1326703603459381E-5</v>
      </c>
      <c r="V94" s="48">
        <f t="shared" si="40"/>
        <v>0</v>
      </c>
      <c r="W94" s="49">
        <f t="shared" si="41"/>
        <v>6.2653407206918763E-6</v>
      </c>
      <c r="X94" s="44">
        <f t="shared" si="42"/>
        <v>15.431653612458231</v>
      </c>
      <c r="Y94" s="44">
        <f t="shared" si="43"/>
        <v>0</v>
      </c>
      <c r="Z94" s="44">
        <f t="shared" si="44"/>
        <v>79.391672815928018</v>
      </c>
      <c r="AA94" s="50">
        <f t="shared" si="45"/>
        <v>60.101653612458236</v>
      </c>
      <c r="AB94" s="51">
        <f t="shared" si="46"/>
        <v>74.218634024425555</v>
      </c>
      <c r="AC94" s="44">
        <f t="shared" si="47"/>
        <v>56.18552268155392</v>
      </c>
      <c r="AD94" s="44">
        <f t="shared" si="48"/>
        <v>0</v>
      </c>
      <c r="AE94" s="44">
        <f t="shared" si="49"/>
        <v>0</v>
      </c>
      <c r="AF94" s="52">
        <f>HLOOKUP(I94,ElecAvoidedCostsWOCC!$A$5:$Q$50,G94+1,FALSE)</f>
        <v>0.3694540986241362</v>
      </c>
      <c r="AG94" s="44">
        <f t="shared" si="50"/>
        <v>55.418114793620433</v>
      </c>
      <c r="AH94" s="52">
        <f>HLOOKUP(I94,ElecAvoidedCostsWOCC!$A$5:$Q$50,T94+1,FALSE)</f>
        <v>0.3694540986241362</v>
      </c>
      <c r="AI94" s="44">
        <f t="shared" si="51"/>
        <v>0</v>
      </c>
      <c r="AJ94" s="44">
        <f t="shared" si="52"/>
        <v>55.418114793620433</v>
      </c>
      <c r="AK94" s="44">
        <f>HLOOKUP(I94,ElecAvoidedCostsWOCC!$A$5:$Q$50,G94+1,FALSE)*J94*L94</f>
        <v>0</v>
      </c>
      <c r="AL94" s="44">
        <f t="shared" si="53"/>
        <v>55.418114793620433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55.418114793620433</v>
      </c>
      <c r="AN94" s="48">
        <f t="shared" si="54"/>
        <v>60.959926272982479</v>
      </c>
      <c r="AO94" s="47">
        <f t="shared" si="55"/>
        <v>0.74668734505922296</v>
      </c>
      <c r="AP94" s="47">
        <f t="shared" si="56"/>
        <v>1.0849756905971799</v>
      </c>
      <c r="AQ94">
        <v>2020</v>
      </c>
    </row>
    <row r="95" spans="2:43">
      <c r="B95" s="97" t="s">
        <v>70</v>
      </c>
      <c r="C95" s="61">
        <v>18231134</v>
      </c>
      <c r="D95" s="61" t="s">
        <v>176</v>
      </c>
      <c r="E95" s="38" t="s">
        <v>2221</v>
      </c>
      <c r="F95" s="39" t="s">
        <v>2222</v>
      </c>
      <c r="G95" s="39">
        <v>5</v>
      </c>
      <c r="H95" s="39"/>
      <c r="I95" s="40" t="s">
        <v>257</v>
      </c>
      <c r="J95" s="41">
        <v>3</v>
      </c>
      <c r="K95" s="41">
        <v>33</v>
      </c>
      <c r="L95" s="41"/>
      <c r="M95" s="42">
        <v>14.89</v>
      </c>
      <c r="N95" s="42">
        <v>14.89</v>
      </c>
      <c r="O95" s="43">
        <v>99</v>
      </c>
      <c r="P95" s="44">
        <v>44.67</v>
      </c>
      <c r="Q95" s="44">
        <v>44.67</v>
      </c>
      <c r="R95" s="45">
        <v>0</v>
      </c>
      <c r="S95" s="46"/>
      <c r="T95" s="39">
        <f t="shared" si="38"/>
        <v>5</v>
      </c>
      <c r="U95" s="47">
        <f t="shared" si="39"/>
        <v>2.0675624378283188E-5</v>
      </c>
      <c r="V95" s="48">
        <f t="shared" si="40"/>
        <v>0</v>
      </c>
      <c r="W95" s="49">
        <f t="shared" si="41"/>
        <v>4.1351248756566379E-6</v>
      </c>
      <c r="X95" s="44">
        <f t="shared" si="42"/>
        <v>10.184891384222432</v>
      </c>
      <c r="Y95" s="44">
        <f t="shared" si="43"/>
        <v>0</v>
      </c>
      <c r="Z95" s="44">
        <f t="shared" si="44"/>
        <v>52.398504058512493</v>
      </c>
      <c r="AA95" s="50">
        <f t="shared" si="45"/>
        <v>54.854891384222434</v>
      </c>
      <c r="AB95" s="51">
        <f t="shared" si="46"/>
        <v>48.984298456120868</v>
      </c>
      <c r="AC95" s="44">
        <f t="shared" si="47"/>
        <v>51.280631377229533</v>
      </c>
      <c r="AD95" s="44">
        <f t="shared" si="48"/>
        <v>0</v>
      </c>
      <c r="AE95" s="44">
        <f t="shared" si="49"/>
        <v>0</v>
      </c>
      <c r="AF95" s="52">
        <f>HLOOKUP(I95,ElecAvoidedCostsWOCC!$A$5:$Q$50,G95+1,FALSE)</f>
        <v>0.3694540986241362</v>
      </c>
      <c r="AG95" s="44">
        <f t="shared" si="50"/>
        <v>36.575955763789487</v>
      </c>
      <c r="AH95" s="52">
        <f>HLOOKUP(I95,ElecAvoidedCostsWOCC!$A$5:$Q$50,T95+1,FALSE)</f>
        <v>0.3694540986241362</v>
      </c>
      <c r="AI95" s="44">
        <f t="shared" si="51"/>
        <v>0</v>
      </c>
      <c r="AJ95" s="44">
        <f t="shared" si="52"/>
        <v>36.575955763789487</v>
      </c>
      <c r="AK95" s="44">
        <f>HLOOKUP(I95,ElecAvoidedCostsWOCC!$A$5:$Q$50,G95+1,FALSE)*J95*L95</f>
        <v>0</v>
      </c>
      <c r="AL95" s="44">
        <f t="shared" si="53"/>
        <v>36.575955763789487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36.57595576378948</v>
      </c>
      <c r="AN95" s="48">
        <f t="shared" si="54"/>
        <v>40.233551340168432</v>
      </c>
      <c r="AO95" s="47">
        <f t="shared" si="55"/>
        <v>0.74668734505922285</v>
      </c>
      <c r="AP95" s="47">
        <f t="shared" si="56"/>
        <v>0.78457597458586659</v>
      </c>
      <c r="AQ95">
        <v>2020</v>
      </c>
    </row>
    <row r="96" spans="2:43">
      <c r="B96" s="97" t="s">
        <v>70</v>
      </c>
      <c r="C96" s="61">
        <v>18231134</v>
      </c>
      <c r="D96" s="61" t="s">
        <v>176</v>
      </c>
      <c r="E96" s="38" t="s">
        <v>2223</v>
      </c>
      <c r="F96" s="39" t="s">
        <v>2224</v>
      </c>
      <c r="G96" s="39">
        <v>5</v>
      </c>
      <c r="H96" s="39"/>
      <c r="I96" s="40" t="s">
        <v>257</v>
      </c>
      <c r="J96" s="41">
        <v>8</v>
      </c>
      <c r="K96" s="41">
        <v>92</v>
      </c>
      <c r="L96" s="41"/>
      <c r="M96" s="42">
        <v>19</v>
      </c>
      <c r="N96" s="42">
        <v>19</v>
      </c>
      <c r="O96" s="43">
        <v>736</v>
      </c>
      <c r="P96" s="44">
        <v>152</v>
      </c>
      <c r="Q96" s="44">
        <v>152</v>
      </c>
      <c r="R96" s="45">
        <v>0</v>
      </c>
      <c r="S96" s="46"/>
      <c r="T96" s="39">
        <f t="shared" si="38"/>
        <v>5</v>
      </c>
      <c r="U96" s="47">
        <f t="shared" si="39"/>
        <v>1.537096923476407E-4</v>
      </c>
      <c r="V96" s="48">
        <f t="shared" si="40"/>
        <v>0</v>
      </c>
      <c r="W96" s="49">
        <f t="shared" si="41"/>
        <v>3.0741938469528139E-5</v>
      </c>
      <c r="X96" s="44">
        <f t="shared" si="42"/>
        <v>75.717980391795052</v>
      </c>
      <c r="Y96" s="44">
        <f t="shared" si="43"/>
        <v>0</v>
      </c>
      <c r="Z96" s="44">
        <f t="shared" si="44"/>
        <v>389.54847461682016</v>
      </c>
      <c r="AA96" s="50">
        <f t="shared" si="45"/>
        <v>227.71798039179504</v>
      </c>
      <c r="AB96" s="51">
        <f t="shared" si="46"/>
        <v>364.16609761318136</v>
      </c>
      <c r="AC96" s="44">
        <f t="shared" si="47"/>
        <v>212.88022846760308</v>
      </c>
      <c r="AD96" s="44">
        <f t="shared" si="48"/>
        <v>0</v>
      </c>
      <c r="AE96" s="44">
        <f t="shared" si="49"/>
        <v>0</v>
      </c>
      <c r="AF96" s="52">
        <f>HLOOKUP(I96,ElecAvoidedCostsWOCC!$A$5:$Q$50,G96+1,FALSE)</f>
        <v>0.3694540986241362</v>
      </c>
      <c r="AG96" s="44">
        <f t="shared" si="50"/>
        <v>271.91821658736421</v>
      </c>
      <c r="AH96" s="52">
        <f>HLOOKUP(I96,ElecAvoidedCostsWOCC!$A$5:$Q$50,T96+1,FALSE)</f>
        <v>0.3694540986241362</v>
      </c>
      <c r="AI96" s="44">
        <f t="shared" si="51"/>
        <v>0</v>
      </c>
      <c r="AJ96" s="44">
        <f t="shared" si="52"/>
        <v>271.91821658736421</v>
      </c>
      <c r="AK96" s="44">
        <f>HLOOKUP(I96,ElecAvoidedCostsWOCC!$A$5:$Q$50,G96+1,FALSE)*J96*L96</f>
        <v>0</v>
      </c>
      <c r="AL96" s="44">
        <f t="shared" si="53"/>
        <v>271.91821658736421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271.91821658736421</v>
      </c>
      <c r="AN96" s="48">
        <f t="shared" si="54"/>
        <v>299.11003824610066</v>
      </c>
      <c r="AO96" s="47">
        <f t="shared" si="55"/>
        <v>0.74668734505922296</v>
      </c>
      <c r="AP96" s="47">
        <f t="shared" si="56"/>
        <v>1.4050625574728766</v>
      </c>
      <c r="AQ96">
        <v>2020</v>
      </c>
    </row>
    <row r="97" spans="2:43">
      <c r="B97" s="97" t="s">
        <v>70</v>
      </c>
      <c r="C97" s="61">
        <v>18231134</v>
      </c>
      <c r="D97" s="61" t="s">
        <v>176</v>
      </c>
      <c r="E97" s="38" t="s">
        <v>2225</v>
      </c>
      <c r="F97" s="39" t="s">
        <v>2226</v>
      </c>
      <c r="G97" s="39">
        <v>5</v>
      </c>
      <c r="H97" s="39"/>
      <c r="I97" s="40" t="s">
        <v>257</v>
      </c>
      <c r="J97" s="41">
        <v>1</v>
      </c>
      <c r="K97" s="41">
        <v>68</v>
      </c>
      <c r="L97" s="41"/>
      <c r="M97" s="42">
        <v>13.78</v>
      </c>
      <c r="N97" s="42">
        <v>13.78</v>
      </c>
      <c r="O97" s="43">
        <v>68</v>
      </c>
      <c r="P97" s="44">
        <v>13.78</v>
      </c>
      <c r="Q97" s="44">
        <v>13.78</v>
      </c>
      <c r="R97" s="45">
        <v>0</v>
      </c>
      <c r="S97" s="46">
        <v>0</v>
      </c>
      <c r="T97" s="39">
        <f t="shared" si="38"/>
        <v>5</v>
      </c>
      <c r="U97" s="47">
        <f t="shared" si="39"/>
        <v>1.4201438966901585E-5</v>
      </c>
      <c r="V97" s="48">
        <f t="shared" si="40"/>
        <v>0</v>
      </c>
      <c r="W97" s="49">
        <f t="shared" si="41"/>
        <v>2.8402877933803172E-6</v>
      </c>
      <c r="X97" s="44">
        <f t="shared" si="42"/>
        <v>6.9956829709810648</v>
      </c>
      <c r="Y97" s="44">
        <f t="shared" si="43"/>
        <v>0</v>
      </c>
      <c r="Z97" s="44">
        <f t="shared" si="44"/>
        <v>35.990891676554043</v>
      </c>
      <c r="AA97" s="50">
        <f t="shared" si="45"/>
        <v>20.775682970981066</v>
      </c>
      <c r="AB97" s="51">
        <f t="shared" si="46"/>
        <v>33.645780757739587</v>
      </c>
      <c r="AC97" s="44">
        <f t="shared" si="47"/>
        <v>19.421971553688945</v>
      </c>
      <c r="AD97" s="44">
        <f t="shared" si="48"/>
        <v>0</v>
      </c>
      <c r="AE97" s="44">
        <f t="shared" si="49"/>
        <v>0</v>
      </c>
      <c r="AF97" s="52">
        <f>HLOOKUP(I97,ElecAvoidedCostsWOCC!$A$5:$Q$50,G97+1,FALSE)</f>
        <v>0.3694540986241362</v>
      </c>
      <c r="AG97" s="44">
        <f t="shared" si="50"/>
        <v>25.122878706441263</v>
      </c>
      <c r="AH97" s="52">
        <f>HLOOKUP(I97,ElecAvoidedCostsWOCC!$A$5:$Q$50,T97+1,FALSE)</f>
        <v>0.3694540986241362</v>
      </c>
      <c r="AI97" s="44">
        <f t="shared" si="51"/>
        <v>0</v>
      </c>
      <c r="AJ97" s="44">
        <f t="shared" si="52"/>
        <v>25.122878706441263</v>
      </c>
      <c r="AK97" s="44">
        <f>HLOOKUP(I97,ElecAvoidedCostsWOCC!$A$5:$Q$50,G97+1,FALSE)*J97*L97</f>
        <v>0</v>
      </c>
      <c r="AL97" s="44">
        <f t="shared" si="53"/>
        <v>25.122878706441263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25.122878706441263</v>
      </c>
      <c r="AN97" s="48">
        <f t="shared" si="54"/>
        <v>27.635166577085393</v>
      </c>
      <c r="AO97" s="47">
        <f t="shared" si="55"/>
        <v>0.74668734505922296</v>
      </c>
      <c r="AP97" s="47">
        <f t="shared" si="56"/>
        <v>1.4228816317999633</v>
      </c>
      <c r="AQ97">
        <v>2020</v>
      </c>
    </row>
    <row r="98" spans="2:43">
      <c r="B98" s="97" t="s">
        <v>70</v>
      </c>
      <c r="C98" s="61">
        <v>18231134</v>
      </c>
      <c r="D98" s="61" t="s">
        <v>176</v>
      </c>
      <c r="E98" s="38" t="s">
        <v>2227</v>
      </c>
      <c r="F98" s="39" t="s">
        <v>2228</v>
      </c>
      <c r="G98" s="39">
        <v>5</v>
      </c>
      <c r="H98" s="39"/>
      <c r="I98" s="40" t="s">
        <v>257</v>
      </c>
      <c r="J98" s="41">
        <v>19</v>
      </c>
      <c r="K98" s="41">
        <v>150</v>
      </c>
      <c r="L98" s="41"/>
      <c r="M98" s="42">
        <v>13.78</v>
      </c>
      <c r="N98" s="42">
        <v>13.78</v>
      </c>
      <c r="O98" s="43">
        <v>2850</v>
      </c>
      <c r="P98" s="44">
        <v>261.82</v>
      </c>
      <c r="Q98" s="44">
        <v>261.82</v>
      </c>
      <c r="R98" s="45">
        <v>0</v>
      </c>
      <c r="S98" s="46">
        <v>0</v>
      </c>
      <c r="T98" s="39">
        <f t="shared" si="38"/>
        <v>5</v>
      </c>
      <c r="U98" s="47">
        <f t="shared" si="39"/>
        <v>5.9520736846572825E-4</v>
      </c>
      <c r="V98" s="48">
        <f t="shared" si="40"/>
        <v>0</v>
      </c>
      <c r="W98" s="49">
        <f t="shared" si="41"/>
        <v>1.1904147369314565E-4</v>
      </c>
      <c r="X98" s="44">
        <f t="shared" si="42"/>
        <v>293.20141863670636</v>
      </c>
      <c r="Y98" s="44">
        <f t="shared" si="43"/>
        <v>0</v>
      </c>
      <c r="Z98" s="44">
        <f t="shared" si="44"/>
        <v>1508.4417835026325</v>
      </c>
      <c r="AA98" s="50">
        <f t="shared" si="45"/>
        <v>555.02141863670636</v>
      </c>
      <c r="AB98" s="51">
        <f t="shared" si="46"/>
        <v>1410.1540464640855</v>
      </c>
      <c r="AC98" s="44">
        <f t="shared" si="47"/>
        <v>518.85708015023488</v>
      </c>
      <c r="AD98" s="44">
        <f t="shared" si="48"/>
        <v>0</v>
      </c>
      <c r="AE98" s="44">
        <f t="shared" si="49"/>
        <v>0</v>
      </c>
      <c r="AF98" s="52">
        <f>HLOOKUP(I98,ElecAvoidedCostsWOCC!$A$5:$Q$50,G98+1,FALSE)</f>
        <v>0.3694540986241362</v>
      </c>
      <c r="AG98" s="44">
        <f t="shared" si="50"/>
        <v>1052.9441810787882</v>
      </c>
      <c r="AH98" s="52">
        <f>HLOOKUP(I98,ElecAvoidedCostsWOCC!$A$5:$Q$50,T98+1,FALSE)</f>
        <v>0.3694540986241362</v>
      </c>
      <c r="AI98" s="44">
        <f t="shared" si="51"/>
        <v>0</v>
      </c>
      <c r="AJ98" s="44">
        <f t="shared" si="52"/>
        <v>1052.9441810787882</v>
      </c>
      <c r="AK98" s="44">
        <f>HLOOKUP(I98,ElecAvoidedCostsWOCC!$A$5:$Q$50,G98+1,FALSE)*J98*L98</f>
        <v>0</v>
      </c>
      <c r="AL98" s="44">
        <f t="shared" si="53"/>
        <v>1052.9441810787882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1052.9441810787882</v>
      </c>
      <c r="AN98" s="48">
        <f t="shared" si="54"/>
        <v>1158.2385991866672</v>
      </c>
      <c r="AO98" s="47">
        <f t="shared" si="55"/>
        <v>0.74668734505922307</v>
      </c>
      <c r="AP98" s="47">
        <f t="shared" si="56"/>
        <v>2.2322883188782923</v>
      </c>
      <c r="AQ98">
        <v>2020</v>
      </c>
    </row>
    <row r="99" spans="2:43">
      <c r="B99" s="97" t="s">
        <v>70</v>
      </c>
      <c r="C99" s="61">
        <v>18231134</v>
      </c>
      <c r="D99" s="61" t="s">
        <v>176</v>
      </c>
      <c r="E99" s="38" t="s">
        <v>2229</v>
      </c>
      <c r="F99" s="39" t="s">
        <v>2228</v>
      </c>
      <c r="G99" s="39">
        <v>1</v>
      </c>
      <c r="H99" s="39"/>
      <c r="I99" s="40" t="s">
        <v>257</v>
      </c>
      <c r="J99" s="41">
        <v>7</v>
      </c>
      <c r="K99" s="41">
        <v>150</v>
      </c>
      <c r="L99" s="41"/>
      <c r="M99" s="42">
        <v>8.59</v>
      </c>
      <c r="N99" s="42">
        <v>8.59</v>
      </c>
      <c r="O99" s="43">
        <v>1050</v>
      </c>
      <c r="P99" s="44">
        <v>60.13</v>
      </c>
      <c r="Q99" s="44">
        <v>60.13</v>
      </c>
      <c r="R99" s="45">
        <v>0.05</v>
      </c>
      <c r="S99" s="46">
        <v>0</v>
      </c>
      <c r="T99" s="39">
        <f t="shared" si="38"/>
        <v>1</v>
      </c>
      <c r="U99" s="47">
        <f t="shared" si="39"/>
        <v>4.3857385044843134E-5</v>
      </c>
      <c r="V99" s="48">
        <f t="shared" si="40"/>
        <v>0</v>
      </c>
      <c r="W99" s="49">
        <f t="shared" si="41"/>
        <v>4.3857385044843134E-5</v>
      </c>
      <c r="X99" s="44">
        <f t="shared" si="42"/>
        <v>108.02157528720761</v>
      </c>
      <c r="Y99" s="44">
        <f t="shared" si="43"/>
        <v>0</v>
      </c>
      <c r="Z99" s="44">
        <f t="shared" si="44"/>
        <v>555.74170971149624</v>
      </c>
      <c r="AA99" s="50">
        <f t="shared" si="45"/>
        <v>168.15157528720761</v>
      </c>
      <c r="AB99" s="51">
        <f t="shared" si="46"/>
        <v>519.53043817097898</v>
      </c>
      <c r="AC99" s="44">
        <f t="shared" si="47"/>
        <v>157.19507832776253</v>
      </c>
      <c r="AD99" s="44">
        <f t="shared" si="48"/>
        <v>0.32719454052538138</v>
      </c>
      <c r="AE99" s="44">
        <f t="shared" si="49"/>
        <v>0</v>
      </c>
      <c r="AF99" s="52">
        <f>HLOOKUP(I99,ElecAvoidedCostsWOCC!$A$5:$Q$50,G99+1,FALSE)</f>
        <v>8.1625385732676276E-2</v>
      </c>
      <c r="AG99" s="44">
        <f t="shared" si="50"/>
        <v>85.706655019310091</v>
      </c>
      <c r="AH99" s="52">
        <f>HLOOKUP(I99,ElecAvoidedCostsWOCC!$A$5:$Q$50,T99+1,FALSE)</f>
        <v>8.1625385732676276E-2</v>
      </c>
      <c r="AI99" s="44">
        <f t="shared" si="51"/>
        <v>0</v>
      </c>
      <c r="AJ99" s="44">
        <f t="shared" si="52"/>
        <v>85.706655019310091</v>
      </c>
      <c r="AK99" s="44">
        <f>HLOOKUP(I99,ElecAvoidedCostsWOCC!$A$5:$Q$50,G99+1,FALSE)*J99*L99</f>
        <v>0</v>
      </c>
      <c r="AL99" s="44">
        <f t="shared" si="53"/>
        <v>85.706655019310091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85.706655019310091</v>
      </c>
      <c r="AN99" s="48">
        <f t="shared" si="54"/>
        <v>94.604515061766492</v>
      </c>
      <c r="AO99" s="47">
        <f t="shared" si="55"/>
        <v>0.16496945842296112</v>
      </c>
      <c r="AP99" s="47">
        <f t="shared" si="56"/>
        <v>0.60182873451361873</v>
      </c>
      <c r="AQ99">
        <v>2020</v>
      </c>
    </row>
    <row r="100" spans="2:43">
      <c r="B100" s="97" t="s">
        <v>70</v>
      </c>
      <c r="C100" s="61">
        <v>18231134</v>
      </c>
      <c r="D100" s="61" t="s">
        <v>176</v>
      </c>
      <c r="E100" s="38" t="s">
        <v>2230</v>
      </c>
      <c r="F100" s="39" t="s">
        <v>2231</v>
      </c>
      <c r="G100" s="39">
        <v>1</v>
      </c>
      <c r="H100" s="39"/>
      <c r="I100" s="40" t="s">
        <v>257</v>
      </c>
      <c r="J100" s="41">
        <v>2</v>
      </c>
      <c r="K100" s="41">
        <v>195</v>
      </c>
      <c r="L100" s="41"/>
      <c r="M100" s="42">
        <v>8.59</v>
      </c>
      <c r="N100" s="42">
        <v>8.59</v>
      </c>
      <c r="O100" s="43">
        <v>390</v>
      </c>
      <c r="P100" s="44">
        <v>17.18</v>
      </c>
      <c r="Q100" s="44">
        <v>17.18</v>
      </c>
      <c r="R100" s="45">
        <v>0.05</v>
      </c>
      <c r="S100" s="46">
        <v>0</v>
      </c>
      <c r="T100" s="39">
        <f t="shared" si="38"/>
        <v>1</v>
      </c>
      <c r="U100" s="47">
        <f t="shared" si="39"/>
        <v>1.6289885873798877E-5</v>
      </c>
      <c r="V100" s="48">
        <f t="shared" si="40"/>
        <v>0</v>
      </c>
      <c r="W100" s="49">
        <f t="shared" si="41"/>
        <v>1.6289885873798877E-5</v>
      </c>
      <c r="X100" s="44">
        <f t="shared" si="42"/>
        <v>40.122299392391398</v>
      </c>
      <c r="Y100" s="44">
        <f t="shared" si="43"/>
        <v>0</v>
      </c>
      <c r="Z100" s="44">
        <f t="shared" si="44"/>
        <v>206.41834932141285</v>
      </c>
      <c r="AA100" s="50">
        <f t="shared" si="45"/>
        <v>57.302299392391397</v>
      </c>
      <c r="AB100" s="51">
        <f t="shared" si="46"/>
        <v>192.96844846350643</v>
      </c>
      <c r="AC100" s="44">
        <f t="shared" si="47"/>
        <v>53.568570059260907</v>
      </c>
      <c r="AD100" s="44">
        <f t="shared" si="48"/>
        <v>9.3484154435823252E-2</v>
      </c>
      <c r="AE100" s="44">
        <f t="shared" si="49"/>
        <v>0</v>
      </c>
      <c r="AF100" s="52">
        <f>HLOOKUP(I100,ElecAvoidedCostsWOCC!$A$5:$Q$50,G100+1,FALSE)</f>
        <v>8.1625385732676276E-2</v>
      </c>
      <c r="AG100" s="44">
        <f t="shared" si="50"/>
        <v>31.833900435743747</v>
      </c>
      <c r="AH100" s="52">
        <f>HLOOKUP(I100,ElecAvoidedCostsWOCC!$A$5:$Q$50,T100+1,FALSE)</f>
        <v>8.1625385732676276E-2</v>
      </c>
      <c r="AI100" s="44">
        <f t="shared" si="51"/>
        <v>0</v>
      </c>
      <c r="AJ100" s="44">
        <f t="shared" si="52"/>
        <v>31.833900435743747</v>
      </c>
      <c r="AK100" s="44">
        <f>HLOOKUP(I100,ElecAvoidedCostsWOCC!$A$5:$Q$50,G100+1,FALSE)*J100*L100</f>
        <v>0</v>
      </c>
      <c r="AL100" s="44">
        <f t="shared" si="53"/>
        <v>31.833900435743747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31.833900435743747</v>
      </c>
      <c r="AN100" s="48">
        <f t="shared" si="54"/>
        <v>35.110774633753948</v>
      </c>
      <c r="AO100" s="47">
        <f t="shared" si="55"/>
        <v>0.16496945842296115</v>
      </c>
      <c r="AP100" s="47">
        <f t="shared" si="56"/>
        <v>0.65543609984198214</v>
      </c>
      <c r="AQ100">
        <v>2020</v>
      </c>
    </row>
    <row r="101" spans="2:43">
      <c r="B101" s="97" t="s">
        <v>70</v>
      </c>
      <c r="C101" s="61">
        <v>18231134</v>
      </c>
      <c r="D101" s="61" t="s">
        <v>176</v>
      </c>
      <c r="E101" s="38" t="s">
        <v>2232</v>
      </c>
      <c r="F101" s="39" t="s">
        <v>2233</v>
      </c>
      <c r="G101" s="39">
        <v>5</v>
      </c>
      <c r="H101" s="39"/>
      <c r="I101" s="40" t="s">
        <v>257</v>
      </c>
      <c r="J101" s="41">
        <v>19</v>
      </c>
      <c r="K101" s="41">
        <v>111</v>
      </c>
      <c r="L101" s="41"/>
      <c r="M101" s="42">
        <v>13.78</v>
      </c>
      <c r="N101" s="42">
        <v>13.78</v>
      </c>
      <c r="O101" s="43">
        <v>2109</v>
      </c>
      <c r="P101" s="44">
        <v>261.82</v>
      </c>
      <c r="Q101" s="44">
        <v>261.82</v>
      </c>
      <c r="R101" s="45">
        <v>0</v>
      </c>
      <c r="S101" s="46">
        <v>0</v>
      </c>
      <c r="T101" s="39">
        <f t="shared" si="38"/>
        <v>5</v>
      </c>
      <c r="U101" s="47">
        <f t="shared" si="39"/>
        <v>4.4045345266463889E-4</v>
      </c>
      <c r="V101" s="48">
        <f t="shared" si="40"/>
        <v>0</v>
      </c>
      <c r="W101" s="49">
        <f t="shared" si="41"/>
        <v>8.8090690532927773E-5</v>
      </c>
      <c r="X101" s="44">
        <f t="shared" si="42"/>
        <v>216.96904979116272</v>
      </c>
      <c r="Y101" s="44">
        <f t="shared" si="43"/>
        <v>0</v>
      </c>
      <c r="Z101" s="44">
        <f t="shared" si="44"/>
        <v>1116.2469197919479</v>
      </c>
      <c r="AA101" s="50">
        <f t="shared" si="45"/>
        <v>478.78904979116271</v>
      </c>
      <c r="AB101" s="51">
        <f t="shared" si="46"/>
        <v>1043.5139943834231</v>
      </c>
      <c r="AC101" s="44">
        <f t="shared" si="47"/>
        <v>447.5918947285806</v>
      </c>
      <c r="AD101" s="44">
        <f t="shared" si="48"/>
        <v>0</v>
      </c>
      <c r="AE101" s="44">
        <f t="shared" si="49"/>
        <v>0</v>
      </c>
      <c r="AF101" s="52">
        <f>HLOOKUP(I101,ElecAvoidedCostsWOCC!$A$5:$Q$50,G101+1,FALSE)</f>
        <v>0.3694540986241362</v>
      </c>
      <c r="AG101" s="44">
        <f t="shared" si="50"/>
        <v>779.17869399830329</v>
      </c>
      <c r="AH101" s="52">
        <f>HLOOKUP(I101,ElecAvoidedCostsWOCC!$A$5:$Q$50,T101+1,FALSE)</f>
        <v>0.3694540986241362</v>
      </c>
      <c r="AI101" s="44">
        <f t="shared" si="51"/>
        <v>0</v>
      </c>
      <c r="AJ101" s="44">
        <f t="shared" si="52"/>
        <v>779.17869399830329</v>
      </c>
      <c r="AK101" s="44">
        <f>HLOOKUP(I101,ElecAvoidedCostsWOCC!$A$5:$Q$50,G101+1,FALSE)*J101*L101</f>
        <v>0</v>
      </c>
      <c r="AL101" s="44">
        <f t="shared" si="53"/>
        <v>779.17869399830329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779.17869399830317</v>
      </c>
      <c r="AN101" s="48">
        <f t="shared" si="54"/>
        <v>857.09656339813353</v>
      </c>
      <c r="AO101" s="47">
        <f t="shared" si="55"/>
        <v>0.74668734505922307</v>
      </c>
      <c r="AP101" s="47">
        <f t="shared" si="56"/>
        <v>1.9149063544099167</v>
      </c>
      <c r="AQ101">
        <v>2020</v>
      </c>
    </row>
    <row r="102" spans="2:43">
      <c r="B102" s="97" t="s">
        <v>70</v>
      </c>
      <c r="C102" s="61">
        <v>18231134</v>
      </c>
      <c r="D102" s="61" t="s">
        <v>176</v>
      </c>
      <c r="E102" s="38" t="s">
        <v>2234</v>
      </c>
      <c r="F102" s="39" t="s">
        <v>2233</v>
      </c>
      <c r="G102" s="39">
        <v>1</v>
      </c>
      <c r="H102" s="39"/>
      <c r="I102" s="40" t="s">
        <v>257</v>
      </c>
      <c r="J102" s="41">
        <v>2</v>
      </c>
      <c r="K102" s="41">
        <v>111</v>
      </c>
      <c r="L102" s="41"/>
      <c r="M102" s="42">
        <v>8.59</v>
      </c>
      <c r="N102" s="42">
        <v>8.59</v>
      </c>
      <c r="O102" s="43">
        <v>222</v>
      </c>
      <c r="P102" s="44">
        <v>27.56</v>
      </c>
      <c r="Q102" s="44">
        <v>17.18</v>
      </c>
      <c r="R102" s="45">
        <v>0.05</v>
      </c>
      <c r="S102" s="46">
        <v>0</v>
      </c>
      <c r="T102" s="39">
        <f t="shared" si="38"/>
        <v>1</v>
      </c>
      <c r="U102" s="47">
        <f t="shared" si="39"/>
        <v>9.2727042666239772E-6</v>
      </c>
      <c r="V102" s="48">
        <f t="shared" si="40"/>
        <v>0</v>
      </c>
      <c r="W102" s="49">
        <f t="shared" si="41"/>
        <v>9.2727042666239772E-6</v>
      </c>
      <c r="X102" s="44">
        <f t="shared" si="42"/>
        <v>22.838847346438182</v>
      </c>
      <c r="Y102" s="44">
        <f t="shared" si="43"/>
        <v>-10.379999999999999</v>
      </c>
      <c r="Z102" s="44">
        <f t="shared" si="44"/>
        <v>117.49967576757348</v>
      </c>
      <c r="AA102" s="50">
        <f t="shared" si="45"/>
        <v>40.018847346438179</v>
      </c>
      <c r="AB102" s="51">
        <f t="shared" si="46"/>
        <v>109.84357835614982</v>
      </c>
      <c r="AC102" s="44">
        <f t="shared" si="47"/>
        <v>37.411281056780567</v>
      </c>
      <c r="AD102" s="44">
        <f t="shared" si="48"/>
        <v>9.3484154435823252E-2</v>
      </c>
      <c r="AE102" s="44">
        <f t="shared" si="49"/>
        <v>0</v>
      </c>
      <c r="AF102" s="52">
        <f>HLOOKUP(I102,ElecAvoidedCostsWOCC!$A$5:$Q$50,G102+1,FALSE)</f>
        <v>8.1625385732676276E-2</v>
      </c>
      <c r="AG102" s="44">
        <f t="shared" si="50"/>
        <v>18.120835632654135</v>
      </c>
      <c r="AH102" s="52">
        <f>HLOOKUP(I102,ElecAvoidedCostsWOCC!$A$5:$Q$50,T102+1,FALSE)</f>
        <v>8.1625385732676276E-2</v>
      </c>
      <c r="AI102" s="44">
        <f t="shared" si="51"/>
        <v>0</v>
      </c>
      <c r="AJ102" s="44">
        <f t="shared" si="52"/>
        <v>18.120835632654135</v>
      </c>
      <c r="AK102" s="44">
        <f>HLOOKUP(I102,ElecAvoidedCostsWOCC!$A$5:$Q$50,G102+1,FALSE)*J102*L102</f>
        <v>0</v>
      </c>
      <c r="AL102" s="44">
        <f t="shared" si="53"/>
        <v>18.120835632654135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18.120835632654135</v>
      </c>
      <c r="AN102" s="48">
        <f t="shared" si="54"/>
        <v>20.026403350355373</v>
      </c>
      <c r="AO102" s="47">
        <f t="shared" si="55"/>
        <v>0.16496945842296118</v>
      </c>
      <c r="AP102" s="47">
        <f t="shared" si="56"/>
        <v>0.5353038651619686</v>
      </c>
      <c r="AQ102">
        <v>2020</v>
      </c>
    </row>
    <row r="103" spans="2:43">
      <c r="B103" s="97" t="s">
        <v>70</v>
      </c>
      <c r="C103" s="61">
        <v>18231134</v>
      </c>
      <c r="D103" s="61" t="s">
        <v>176</v>
      </c>
      <c r="E103" s="38" t="s">
        <v>2235</v>
      </c>
      <c r="F103" s="39" t="s">
        <v>2236</v>
      </c>
      <c r="G103" s="39">
        <v>5</v>
      </c>
      <c r="H103" s="39"/>
      <c r="I103" s="40" t="s">
        <v>257</v>
      </c>
      <c r="J103" s="41">
        <v>52</v>
      </c>
      <c r="K103" s="41">
        <v>84</v>
      </c>
      <c r="L103" s="41"/>
      <c r="M103" s="42">
        <v>13.78</v>
      </c>
      <c r="N103" s="42">
        <v>13.78</v>
      </c>
      <c r="O103" s="43">
        <v>4368</v>
      </c>
      <c r="P103" s="44">
        <v>716.56</v>
      </c>
      <c r="Q103" s="44">
        <v>716.56</v>
      </c>
      <c r="R103" s="45">
        <v>0</v>
      </c>
      <c r="S103" s="46">
        <v>0</v>
      </c>
      <c r="T103" s="39">
        <f t="shared" si="38"/>
        <v>5</v>
      </c>
      <c r="U103" s="47">
        <f t="shared" si="39"/>
        <v>9.1223360893273706E-4</v>
      </c>
      <c r="V103" s="48">
        <f t="shared" si="40"/>
        <v>0</v>
      </c>
      <c r="W103" s="49">
        <f t="shared" si="41"/>
        <v>1.8244672178654742E-4</v>
      </c>
      <c r="X103" s="44">
        <f t="shared" si="42"/>
        <v>449.36975319478364</v>
      </c>
      <c r="Y103" s="44">
        <f t="shared" si="43"/>
        <v>0</v>
      </c>
      <c r="Z103" s="44">
        <f t="shared" si="44"/>
        <v>2311.8855123998237</v>
      </c>
      <c r="AA103" s="50">
        <f t="shared" si="45"/>
        <v>1165.9297531947836</v>
      </c>
      <c r="AB103" s="51">
        <f t="shared" si="46"/>
        <v>2161.2466227912719</v>
      </c>
      <c r="AC103" s="44">
        <f t="shared" si="47"/>
        <v>1089.9595710898229</v>
      </c>
      <c r="AD103" s="44">
        <f t="shared" si="48"/>
        <v>0</v>
      </c>
      <c r="AE103" s="44">
        <f t="shared" si="49"/>
        <v>0</v>
      </c>
      <c r="AF103" s="52">
        <f>HLOOKUP(I103,ElecAvoidedCostsWOCC!$A$5:$Q$50,G103+1,FALSE)</f>
        <v>0.3694540986241362</v>
      </c>
      <c r="AG103" s="44">
        <f t="shared" si="50"/>
        <v>1613.7755027902267</v>
      </c>
      <c r="AH103" s="52">
        <f>HLOOKUP(I103,ElecAvoidedCostsWOCC!$A$5:$Q$50,T103+1,FALSE)</f>
        <v>0.3694540986241362</v>
      </c>
      <c r="AI103" s="44">
        <f t="shared" si="51"/>
        <v>0</v>
      </c>
      <c r="AJ103" s="44">
        <f t="shared" si="52"/>
        <v>1613.7755027902267</v>
      </c>
      <c r="AK103" s="44">
        <f>HLOOKUP(I103,ElecAvoidedCostsWOCC!$A$5:$Q$50,G103+1,FALSE)*J103*L103</f>
        <v>0</v>
      </c>
      <c r="AL103" s="44">
        <f t="shared" si="53"/>
        <v>1613.7755027902267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1613.7755027902269</v>
      </c>
      <c r="AN103" s="48">
        <f t="shared" si="54"/>
        <v>1775.1530530692498</v>
      </c>
      <c r="AO103" s="47">
        <f t="shared" si="55"/>
        <v>0.74668734505922307</v>
      </c>
      <c r="AP103" s="47">
        <f t="shared" si="56"/>
        <v>1.6286411901446209</v>
      </c>
      <c r="AQ103">
        <v>2020</v>
      </c>
    </row>
    <row r="104" spans="2:43">
      <c r="B104" s="97" t="s">
        <v>70</v>
      </c>
      <c r="C104" s="61">
        <v>18231134</v>
      </c>
      <c r="D104" s="61" t="s">
        <v>176</v>
      </c>
      <c r="E104" s="38" t="s">
        <v>2237</v>
      </c>
      <c r="F104" s="39" t="s">
        <v>2238</v>
      </c>
      <c r="G104" s="39">
        <v>1</v>
      </c>
      <c r="H104" s="39"/>
      <c r="I104" s="40" t="s">
        <v>257</v>
      </c>
      <c r="J104" s="41">
        <v>16</v>
      </c>
      <c r="K104" s="41">
        <v>163</v>
      </c>
      <c r="L104" s="41"/>
      <c r="M104" s="42">
        <v>8.59</v>
      </c>
      <c r="N104" s="42">
        <v>8.59</v>
      </c>
      <c r="O104" s="43">
        <v>2608</v>
      </c>
      <c r="P104" s="44">
        <v>137.44</v>
      </c>
      <c r="Q104" s="44">
        <v>137.44</v>
      </c>
      <c r="R104" s="45">
        <v>0.05</v>
      </c>
      <c r="S104" s="46">
        <v>0</v>
      </c>
      <c r="T104" s="39">
        <f t="shared" si="38"/>
        <v>1</v>
      </c>
      <c r="U104" s="47">
        <f t="shared" si="39"/>
        <v>1.0893339066376275E-4</v>
      </c>
      <c r="V104" s="48">
        <f t="shared" si="40"/>
        <v>0</v>
      </c>
      <c r="W104" s="49">
        <f t="shared" si="41"/>
        <v>1.0893339066376275E-4</v>
      </c>
      <c r="X104" s="44">
        <f t="shared" si="42"/>
        <v>268.30501747527376</v>
      </c>
      <c r="Y104" s="44">
        <f t="shared" si="43"/>
        <v>0</v>
      </c>
      <c r="Z104" s="44">
        <f t="shared" si="44"/>
        <v>1380.3565513596018</v>
      </c>
      <c r="AA104" s="50">
        <f t="shared" si="45"/>
        <v>405.74501747527376</v>
      </c>
      <c r="AB104" s="51">
        <f t="shared" si="46"/>
        <v>1290.4146502380122</v>
      </c>
      <c r="AC104" s="44">
        <f t="shared" si="47"/>
        <v>379.30729875224245</v>
      </c>
      <c r="AD104" s="44">
        <f t="shared" si="48"/>
        <v>0.74787323548658602</v>
      </c>
      <c r="AE104" s="44">
        <f t="shared" si="49"/>
        <v>0</v>
      </c>
      <c r="AF104" s="52">
        <f>HLOOKUP(I104,ElecAvoidedCostsWOCC!$A$5:$Q$50,G104+1,FALSE)</f>
        <v>8.1625385732676276E-2</v>
      </c>
      <c r="AG104" s="44">
        <f t="shared" si="50"/>
        <v>212.87900599081973</v>
      </c>
      <c r="AH104" s="52">
        <f>HLOOKUP(I104,ElecAvoidedCostsWOCC!$A$5:$Q$50,T104+1,FALSE)</f>
        <v>8.1625385732676276E-2</v>
      </c>
      <c r="AI104" s="44">
        <f t="shared" si="51"/>
        <v>0</v>
      </c>
      <c r="AJ104" s="44">
        <f t="shared" si="52"/>
        <v>212.87900599081973</v>
      </c>
      <c r="AK104" s="44">
        <f>HLOOKUP(I104,ElecAvoidedCostsWOCC!$A$5:$Q$50,G104+1,FALSE)*J104*L104</f>
        <v>0</v>
      </c>
      <c r="AL104" s="44">
        <f t="shared" si="53"/>
        <v>212.87900599081973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212.87900599081973</v>
      </c>
      <c r="AN104" s="48">
        <f t="shared" si="54"/>
        <v>234.91477982538831</v>
      </c>
      <c r="AO104" s="47">
        <f t="shared" si="55"/>
        <v>0.16496945842296118</v>
      </c>
      <c r="AP104" s="47">
        <f t="shared" si="56"/>
        <v>0.61932575671007839</v>
      </c>
      <c r="AQ104">
        <v>2020</v>
      </c>
    </row>
    <row r="105" spans="2:43">
      <c r="B105" s="97" t="s">
        <v>70</v>
      </c>
      <c r="C105" s="61">
        <v>18231134</v>
      </c>
      <c r="D105" s="61" t="s">
        <v>176</v>
      </c>
      <c r="E105" s="38" t="s">
        <v>2239</v>
      </c>
      <c r="F105" s="39" t="s">
        <v>2240</v>
      </c>
      <c r="G105" s="39">
        <v>5</v>
      </c>
      <c r="H105" s="39"/>
      <c r="I105" s="40" t="s">
        <v>257</v>
      </c>
      <c r="J105" s="41">
        <v>19</v>
      </c>
      <c r="K105" s="41">
        <v>134</v>
      </c>
      <c r="L105" s="41"/>
      <c r="M105" s="42">
        <v>13.78</v>
      </c>
      <c r="N105" s="42">
        <v>13.78</v>
      </c>
      <c r="O105" s="43">
        <v>2546</v>
      </c>
      <c r="P105" s="44">
        <v>261.82</v>
      </c>
      <c r="Q105" s="44">
        <v>261.82</v>
      </c>
      <c r="R105" s="45">
        <v>0</v>
      </c>
      <c r="S105" s="46">
        <v>0</v>
      </c>
      <c r="T105" s="39">
        <f t="shared" si="38"/>
        <v>5</v>
      </c>
      <c r="U105" s="47">
        <f t="shared" si="39"/>
        <v>5.3171858249605056E-4</v>
      </c>
      <c r="V105" s="48">
        <f t="shared" si="40"/>
        <v>0</v>
      </c>
      <c r="W105" s="49">
        <f t="shared" si="41"/>
        <v>1.0634371649921011E-4</v>
      </c>
      <c r="X105" s="44">
        <f t="shared" si="42"/>
        <v>261.92660064879101</v>
      </c>
      <c r="Y105" s="44">
        <f t="shared" si="43"/>
        <v>0</v>
      </c>
      <c r="Z105" s="44">
        <f t="shared" si="44"/>
        <v>1347.541326595685</v>
      </c>
      <c r="AA105" s="50">
        <f t="shared" si="45"/>
        <v>523.74660064879095</v>
      </c>
      <c r="AB105" s="51">
        <f t="shared" si="46"/>
        <v>1259.7376148412498</v>
      </c>
      <c r="AC105" s="44">
        <f t="shared" si="47"/>
        <v>489.62008100288949</v>
      </c>
      <c r="AD105" s="44">
        <f t="shared" si="48"/>
        <v>0</v>
      </c>
      <c r="AE105" s="44">
        <f t="shared" si="49"/>
        <v>0</v>
      </c>
      <c r="AF105" s="52">
        <f>HLOOKUP(I105,ElecAvoidedCostsWOCC!$A$5:$Q$50,G105+1,FALSE)</f>
        <v>0.3694540986241362</v>
      </c>
      <c r="AG105" s="44">
        <f t="shared" si="50"/>
        <v>940.63013509705081</v>
      </c>
      <c r="AH105" s="52">
        <f>HLOOKUP(I105,ElecAvoidedCostsWOCC!$A$5:$Q$50,T105+1,FALSE)</f>
        <v>0.3694540986241362</v>
      </c>
      <c r="AI105" s="44">
        <f t="shared" si="51"/>
        <v>0</v>
      </c>
      <c r="AJ105" s="44">
        <f t="shared" si="52"/>
        <v>940.63013509705081</v>
      </c>
      <c r="AK105" s="44">
        <f>HLOOKUP(I105,ElecAvoidedCostsWOCC!$A$5:$Q$50,G105+1,FALSE)*J105*L105</f>
        <v>0</v>
      </c>
      <c r="AL105" s="44">
        <f t="shared" si="53"/>
        <v>940.63013509705081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940.6301350970507</v>
      </c>
      <c r="AN105" s="48">
        <f t="shared" si="54"/>
        <v>1034.6931486067558</v>
      </c>
      <c r="AO105" s="47">
        <f t="shared" si="55"/>
        <v>0.74668734505922296</v>
      </c>
      <c r="AP105" s="47">
        <f t="shared" si="56"/>
        <v>2.1132571737813377</v>
      </c>
      <c r="AQ105">
        <v>2020</v>
      </c>
    </row>
    <row r="106" spans="2:43">
      <c r="B106" s="97" t="s">
        <v>70</v>
      </c>
      <c r="C106" s="61">
        <v>18231134</v>
      </c>
      <c r="D106" s="61" t="s">
        <v>176</v>
      </c>
      <c r="E106" s="38" t="s">
        <v>2241</v>
      </c>
      <c r="F106" s="39" t="s">
        <v>2240</v>
      </c>
      <c r="G106" s="39">
        <v>1</v>
      </c>
      <c r="H106" s="39"/>
      <c r="I106" s="40" t="s">
        <v>257</v>
      </c>
      <c r="J106" s="41">
        <v>29</v>
      </c>
      <c r="K106" s="41">
        <v>134</v>
      </c>
      <c r="L106" s="41"/>
      <c r="M106" s="42">
        <v>8.59</v>
      </c>
      <c r="N106" s="42">
        <v>8.59</v>
      </c>
      <c r="O106" s="43">
        <v>3886</v>
      </c>
      <c r="P106" s="44">
        <v>249.11</v>
      </c>
      <c r="Q106" s="44">
        <v>249.11</v>
      </c>
      <c r="R106" s="45">
        <v>0.05</v>
      </c>
      <c r="S106" s="46">
        <v>0</v>
      </c>
      <c r="T106" s="39">
        <f t="shared" si="38"/>
        <v>1</v>
      </c>
      <c r="U106" s="47">
        <f t="shared" si="39"/>
        <v>1.6231409360405755E-4</v>
      </c>
      <c r="V106" s="48">
        <f t="shared" si="40"/>
        <v>0</v>
      </c>
      <c r="W106" s="49">
        <f t="shared" si="41"/>
        <v>1.6231409360405755E-4</v>
      </c>
      <c r="X106" s="44">
        <f t="shared" si="42"/>
        <v>399.78270625341793</v>
      </c>
      <c r="Y106" s="44">
        <f t="shared" si="43"/>
        <v>0</v>
      </c>
      <c r="Z106" s="44">
        <f t="shared" si="44"/>
        <v>2056.7736037513087</v>
      </c>
      <c r="AA106" s="50">
        <f t="shared" si="45"/>
        <v>648.89270625341794</v>
      </c>
      <c r="AB106" s="51">
        <f t="shared" si="46"/>
        <v>1922.757412126118</v>
      </c>
      <c r="AC106" s="44">
        <f t="shared" si="47"/>
        <v>606.61185963673734</v>
      </c>
      <c r="AD106" s="44">
        <f t="shared" si="48"/>
        <v>1.3555202393194372</v>
      </c>
      <c r="AE106" s="44">
        <f t="shared" si="49"/>
        <v>0</v>
      </c>
      <c r="AF106" s="52">
        <f>HLOOKUP(I106,ElecAvoidedCostsWOCC!$A$5:$Q$50,G106+1,FALSE)</f>
        <v>8.1625385732676276E-2</v>
      </c>
      <c r="AG106" s="44">
        <f t="shared" si="50"/>
        <v>317.19624895717999</v>
      </c>
      <c r="AH106" s="52">
        <f>HLOOKUP(I106,ElecAvoidedCostsWOCC!$A$5:$Q$50,T106+1,FALSE)</f>
        <v>8.1625385732676276E-2</v>
      </c>
      <c r="AI106" s="44">
        <f t="shared" si="51"/>
        <v>0</v>
      </c>
      <c r="AJ106" s="44">
        <f t="shared" si="52"/>
        <v>317.19624895717999</v>
      </c>
      <c r="AK106" s="44">
        <f>HLOOKUP(I106,ElecAvoidedCostsWOCC!$A$5:$Q$50,G106+1,FALSE)*J106*L106</f>
        <v>0</v>
      </c>
      <c r="AL106" s="44">
        <f t="shared" si="53"/>
        <v>317.19624895717999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317.19624895717999</v>
      </c>
      <c r="AN106" s="48">
        <f t="shared" si="54"/>
        <v>350.27139409221746</v>
      </c>
      <c r="AO106" s="47">
        <f t="shared" si="55"/>
        <v>0.16496945842296115</v>
      </c>
      <c r="AP106" s="47">
        <f t="shared" si="56"/>
        <v>0.57742259490603021</v>
      </c>
      <c r="AQ106">
        <v>2020</v>
      </c>
    </row>
    <row r="107" spans="2:43">
      <c r="B107" s="97" t="s">
        <v>70</v>
      </c>
      <c r="C107" s="61">
        <v>18231134</v>
      </c>
      <c r="D107" s="61" t="s">
        <v>176</v>
      </c>
      <c r="E107" s="38" t="s">
        <v>2242</v>
      </c>
      <c r="F107" s="39" t="s">
        <v>2243</v>
      </c>
      <c r="G107" s="39">
        <v>5</v>
      </c>
      <c r="H107" s="39"/>
      <c r="I107" s="40" t="s">
        <v>257</v>
      </c>
      <c r="J107" s="41">
        <v>14</v>
      </c>
      <c r="K107" s="41">
        <v>123</v>
      </c>
      <c r="L107" s="41"/>
      <c r="M107" s="42">
        <v>13.78</v>
      </c>
      <c r="N107" s="42">
        <v>13.78</v>
      </c>
      <c r="O107" s="43">
        <v>1722</v>
      </c>
      <c r="P107" s="44">
        <v>192.92</v>
      </c>
      <c r="Q107" s="44">
        <v>192.92</v>
      </c>
      <c r="R107" s="45">
        <v>0</v>
      </c>
      <c r="S107" s="46">
        <v>0</v>
      </c>
      <c r="T107" s="39">
        <f t="shared" si="38"/>
        <v>5</v>
      </c>
      <c r="U107" s="47">
        <f t="shared" si="39"/>
        <v>3.5963055736771367E-4</v>
      </c>
      <c r="V107" s="48">
        <f t="shared" si="40"/>
        <v>0</v>
      </c>
      <c r="W107" s="49">
        <f t="shared" si="41"/>
        <v>7.1926111473542733E-5</v>
      </c>
      <c r="X107" s="44">
        <f t="shared" si="42"/>
        <v>177.15538347102049</v>
      </c>
      <c r="Y107" s="44">
        <f t="shared" si="43"/>
        <v>0</v>
      </c>
      <c r="Z107" s="44">
        <f t="shared" si="44"/>
        <v>911.41640392685372</v>
      </c>
      <c r="AA107" s="50">
        <f t="shared" si="45"/>
        <v>370.07538347102047</v>
      </c>
      <c r="AB107" s="51">
        <f t="shared" si="46"/>
        <v>852.02991860040538</v>
      </c>
      <c r="AC107" s="44">
        <f t="shared" si="47"/>
        <v>345.96184301301338</v>
      </c>
      <c r="AD107" s="44">
        <f t="shared" si="48"/>
        <v>0</v>
      </c>
      <c r="AE107" s="44">
        <f t="shared" si="49"/>
        <v>0</v>
      </c>
      <c r="AF107" s="52">
        <f>HLOOKUP(I107,ElecAvoidedCostsWOCC!$A$5:$Q$50,G107+1,FALSE)</f>
        <v>0.3694540986241362</v>
      </c>
      <c r="AG107" s="44">
        <f t="shared" si="50"/>
        <v>636.19995783076251</v>
      </c>
      <c r="AH107" s="52">
        <f>HLOOKUP(I107,ElecAvoidedCostsWOCC!$A$5:$Q$50,T107+1,FALSE)</f>
        <v>0.3694540986241362</v>
      </c>
      <c r="AI107" s="44">
        <f t="shared" si="51"/>
        <v>0</v>
      </c>
      <c r="AJ107" s="44">
        <f t="shared" si="52"/>
        <v>636.19995783076251</v>
      </c>
      <c r="AK107" s="44">
        <f>HLOOKUP(I107,ElecAvoidedCostsWOCC!$A$5:$Q$50,G107+1,FALSE)*J107*L107</f>
        <v>0</v>
      </c>
      <c r="AL107" s="44">
        <f t="shared" si="53"/>
        <v>636.19995783076251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636.19995783076251</v>
      </c>
      <c r="AN107" s="48">
        <f t="shared" si="54"/>
        <v>699.81995361383883</v>
      </c>
      <c r="AO107" s="47">
        <f t="shared" si="55"/>
        <v>0.74668734505922296</v>
      </c>
      <c r="AP107" s="47">
        <f t="shared" si="56"/>
        <v>2.0228240996725035</v>
      </c>
      <c r="AQ107">
        <v>2020</v>
      </c>
    </row>
    <row r="108" spans="2:43">
      <c r="B108" s="97" t="s">
        <v>70</v>
      </c>
      <c r="C108" s="61">
        <v>18231134</v>
      </c>
      <c r="D108" s="61" t="s">
        <v>176</v>
      </c>
      <c r="E108" s="38" t="s">
        <v>2244</v>
      </c>
      <c r="F108" s="39" t="s">
        <v>2243</v>
      </c>
      <c r="G108" s="39">
        <v>1</v>
      </c>
      <c r="H108" s="39"/>
      <c r="I108" s="40" t="s">
        <v>257</v>
      </c>
      <c r="J108" s="41">
        <v>8</v>
      </c>
      <c r="K108" s="41">
        <v>123</v>
      </c>
      <c r="L108" s="41"/>
      <c r="M108" s="42">
        <v>8.59</v>
      </c>
      <c r="N108" s="42">
        <v>8.59</v>
      </c>
      <c r="O108" s="43">
        <v>984</v>
      </c>
      <c r="P108" s="44">
        <v>68.72</v>
      </c>
      <c r="Q108" s="44">
        <v>68.72</v>
      </c>
      <c r="R108" s="45">
        <v>0.05</v>
      </c>
      <c r="S108" s="46">
        <v>0</v>
      </c>
      <c r="T108" s="39">
        <f t="shared" si="38"/>
        <v>1</v>
      </c>
      <c r="U108" s="47">
        <f t="shared" si="39"/>
        <v>4.1100635127738708E-5</v>
      </c>
      <c r="V108" s="48">
        <f t="shared" si="40"/>
        <v>0</v>
      </c>
      <c r="W108" s="49">
        <f t="shared" si="41"/>
        <v>4.1100635127738708E-5</v>
      </c>
      <c r="X108" s="44">
        <f t="shared" si="42"/>
        <v>101.23164769772599</v>
      </c>
      <c r="Y108" s="44">
        <f t="shared" si="43"/>
        <v>0</v>
      </c>
      <c r="Z108" s="44">
        <f t="shared" si="44"/>
        <v>520.80937367248782</v>
      </c>
      <c r="AA108" s="50">
        <f t="shared" si="45"/>
        <v>169.951647697726</v>
      </c>
      <c r="AB108" s="51">
        <f t="shared" si="46"/>
        <v>486.87423920023161</v>
      </c>
      <c r="AC108" s="44">
        <f t="shared" si="47"/>
        <v>158.8778607999682</v>
      </c>
      <c r="AD108" s="44">
        <f t="shared" si="48"/>
        <v>0.37393661774329301</v>
      </c>
      <c r="AE108" s="44">
        <f t="shared" si="49"/>
        <v>0</v>
      </c>
      <c r="AF108" s="52">
        <f>HLOOKUP(I108,ElecAvoidedCostsWOCC!$A$5:$Q$50,G108+1,FALSE)</f>
        <v>8.1625385732676276E-2</v>
      </c>
      <c r="AG108" s="44">
        <f t="shared" si="50"/>
        <v>80.31937956095345</v>
      </c>
      <c r="AH108" s="52">
        <f>HLOOKUP(I108,ElecAvoidedCostsWOCC!$A$5:$Q$50,T108+1,FALSE)</f>
        <v>8.1625385732676276E-2</v>
      </c>
      <c r="AI108" s="44">
        <f t="shared" si="51"/>
        <v>0</v>
      </c>
      <c r="AJ108" s="44">
        <f t="shared" si="52"/>
        <v>80.31937956095345</v>
      </c>
      <c r="AK108" s="44">
        <f>HLOOKUP(I108,ElecAvoidedCostsWOCC!$A$5:$Q$50,G108+1,FALSE)*J108*L108</f>
        <v>0</v>
      </c>
      <c r="AL108" s="44">
        <f t="shared" si="53"/>
        <v>80.31937956095345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80.31937956095345</v>
      </c>
      <c r="AN108" s="48">
        <f t="shared" si="54"/>
        <v>88.725254134792095</v>
      </c>
      <c r="AO108" s="47">
        <f t="shared" si="55"/>
        <v>0.16496945842296115</v>
      </c>
      <c r="AP108" s="47">
        <f t="shared" si="56"/>
        <v>0.55844945096850052</v>
      </c>
      <c r="AQ108">
        <v>2020</v>
      </c>
    </row>
    <row r="109" spans="2:43">
      <c r="B109" s="97" t="s">
        <v>70</v>
      </c>
      <c r="C109" s="61">
        <v>18231134</v>
      </c>
      <c r="D109" s="61" t="s">
        <v>176</v>
      </c>
      <c r="E109" s="38" t="s">
        <v>2245</v>
      </c>
      <c r="F109" s="39" t="s">
        <v>2246</v>
      </c>
      <c r="G109" s="39">
        <v>5</v>
      </c>
      <c r="H109" s="39"/>
      <c r="I109" s="40" t="s">
        <v>257</v>
      </c>
      <c r="J109" s="41">
        <v>10</v>
      </c>
      <c r="K109" s="41">
        <v>88</v>
      </c>
      <c r="L109" s="41"/>
      <c r="M109" s="42">
        <v>13.78</v>
      </c>
      <c r="N109" s="42">
        <v>13.78</v>
      </c>
      <c r="O109" s="43">
        <v>880</v>
      </c>
      <c r="P109" s="44">
        <v>137.80000000000001</v>
      </c>
      <c r="Q109" s="44">
        <v>137.80000000000001</v>
      </c>
      <c r="R109" s="45">
        <v>0</v>
      </c>
      <c r="S109" s="46">
        <v>0</v>
      </c>
      <c r="T109" s="39">
        <f t="shared" si="38"/>
        <v>5</v>
      </c>
      <c r="U109" s="47">
        <f t="shared" si="39"/>
        <v>1.837833278069617E-4</v>
      </c>
      <c r="V109" s="48">
        <f t="shared" si="40"/>
        <v>0</v>
      </c>
      <c r="W109" s="49">
        <f t="shared" si="41"/>
        <v>3.675666556139234E-5</v>
      </c>
      <c r="X109" s="44">
        <f t="shared" si="42"/>
        <v>90.532367859754956</v>
      </c>
      <c r="Y109" s="44">
        <f t="shared" si="43"/>
        <v>0</v>
      </c>
      <c r="Z109" s="44">
        <f t="shared" si="44"/>
        <v>465.76448052011108</v>
      </c>
      <c r="AA109" s="50">
        <f t="shared" si="45"/>
        <v>228.33236785975498</v>
      </c>
      <c r="AB109" s="51">
        <f t="shared" si="46"/>
        <v>435.41598627662995</v>
      </c>
      <c r="AC109" s="44">
        <f t="shared" si="47"/>
        <v>213.4545833969851</v>
      </c>
      <c r="AD109" s="44">
        <f t="shared" si="48"/>
        <v>0</v>
      </c>
      <c r="AE109" s="44">
        <f t="shared" si="49"/>
        <v>0</v>
      </c>
      <c r="AF109" s="52">
        <f>HLOOKUP(I109,ElecAvoidedCostsWOCC!$A$5:$Q$50,G109+1,FALSE)</f>
        <v>0.3694540986241362</v>
      </c>
      <c r="AG109" s="44">
        <f t="shared" si="50"/>
        <v>325.11960678923987</v>
      </c>
      <c r="AH109" s="52">
        <f>HLOOKUP(I109,ElecAvoidedCostsWOCC!$A$5:$Q$50,T109+1,FALSE)</f>
        <v>0.3694540986241362</v>
      </c>
      <c r="AI109" s="44">
        <f t="shared" si="51"/>
        <v>0</v>
      </c>
      <c r="AJ109" s="44">
        <f t="shared" si="52"/>
        <v>325.11960678923987</v>
      </c>
      <c r="AK109" s="44">
        <f>HLOOKUP(I109,ElecAvoidedCostsWOCC!$A$5:$Q$50,G109+1,FALSE)*J109*L109</f>
        <v>0</v>
      </c>
      <c r="AL109" s="44">
        <f t="shared" si="53"/>
        <v>325.11960678923987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325.11960678923981</v>
      </c>
      <c r="AN109" s="48">
        <f t="shared" si="54"/>
        <v>357.63156746816384</v>
      </c>
      <c r="AO109" s="47">
        <f t="shared" si="55"/>
        <v>0.74668734505922285</v>
      </c>
      <c r="AP109" s="47">
        <f t="shared" si="56"/>
        <v>1.6754457167267141</v>
      </c>
      <c r="AQ109">
        <v>2020</v>
      </c>
    </row>
    <row r="110" spans="2:43">
      <c r="B110" s="97" t="s">
        <v>70</v>
      </c>
      <c r="C110" s="61">
        <v>18231134</v>
      </c>
      <c r="D110" s="61" t="s">
        <v>176</v>
      </c>
      <c r="E110" s="38" t="s">
        <v>2247</v>
      </c>
      <c r="F110" s="39" t="s">
        <v>2248</v>
      </c>
      <c r="G110" s="39">
        <v>5</v>
      </c>
      <c r="H110" s="39"/>
      <c r="I110" s="40" t="s">
        <v>257</v>
      </c>
      <c r="J110" s="41">
        <v>22</v>
      </c>
      <c r="K110" s="41">
        <v>48</v>
      </c>
      <c r="L110" s="41"/>
      <c r="M110" s="42">
        <v>13.78</v>
      </c>
      <c r="N110" s="42">
        <v>13.78</v>
      </c>
      <c r="O110" s="43">
        <v>1056</v>
      </c>
      <c r="P110" s="44">
        <v>303.16000000000003</v>
      </c>
      <c r="Q110" s="44">
        <v>303.16000000000003</v>
      </c>
      <c r="R110" s="45">
        <v>0</v>
      </c>
      <c r="S110" s="46">
        <v>0</v>
      </c>
      <c r="T110" s="39">
        <f t="shared" si="38"/>
        <v>5</v>
      </c>
      <c r="U110" s="47">
        <f t="shared" si="39"/>
        <v>2.2053999336835406E-4</v>
      </c>
      <c r="V110" s="48">
        <f t="shared" si="40"/>
        <v>0</v>
      </c>
      <c r="W110" s="49">
        <f t="shared" si="41"/>
        <v>4.4107998673670809E-5</v>
      </c>
      <c r="X110" s="44">
        <f t="shared" si="42"/>
        <v>108.63884143170594</v>
      </c>
      <c r="Y110" s="44">
        <f t="shared" si="43"/>
        <v>0</v>
      </c>
      <c r="Z110" s="44">
        <f t="shared" si="44"/>
        <v>558.91737662413334</v>
      </c>
      <c r="AA110" s="50">
        <f t="shared" si="45"/>
        <v>411.79884143170597</v>
      </c>
      <c r="AB110" s="51">
        <f t="shared" si="46"/>
        <v>522.49918353195596</v>
      </c>
      <c r="AC110" s="44">
        <f t="shared" si="47"/>
        <v>384.96666488894635</v>
      </c>
      <c r="AD110" s="44">
        <f t="shared" si="48"/>
        <v>0</v>
      </c>
      <c r="AE110" s="44">
        <f t="shared" si="49"/>
        <v>0</v>
      </c>
      <c r="AF110" s="52">
        <f>HLOOKUP(I110,ElecAvoidedCostsWOCC!$A$5:$Q$50,G110+1,FALSE)</f>
        <v>0.3694540986241362</v>
      </c>
      <c r="AG110" s="44">
        <f t="shared" si="50"/>
        <v>390.14352814708781</v>
      </c>
      <c r="AH110" s="52">
        <f>HLOOKUP(I110,ElecAvoidedCostsWOCC!$A$5:$Q$50,T110+1,FALSE)</f>
        <v>0.3694540986241362</v>
      </c>
      <c r="AI110" s="44">
        <f t="shared" si="51"/>
        <v>0</v>
      </c>
      <c r="AJ110" s="44">
        <f t="shared" si="52"/>
        <v>390.14352814708781</v>
      </c>
      <c r="AK110" s="44">
        <f>HLOOKUP(I110,ElecAvoidedCostsWOCC!$A$5:$Q$50,G110+1,FALSE)*J110*L110</f>
        <v>0</v>
      </c>
      <c r="AL110" s="44">
        <f t="shared" si="53"/>
        <v>390.14352814708781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390.14352814708786</v>
      </c>
      <c r="AN110" s="48">
        <f t="shared" si="54"/>
        <v>429.15788096179671</v>
      </c>
      <c r="AO110" s="47">
        <f t="shared" si="55"/>
        <v>0.74668734505922296</v>
      </c>
      <c r="AP110" s="47">
        <f t="shared" si="56"/>
        <v>1.1147923186689384</v>
      </c>
      <c r="AQ110">
        <v>2020</v>
      </c>
    </row>
    <row r="111" spans="2:43">
      <c r="B111" s="97" t="s">
        <v>70</v>
      </c>
      <c r="C111" s="61">
        <v>18231134</v>
      </c>
      <c r="D111" s="61" t="s">
        <v>176</v>
      </c>
      <c r="E111" s="38" t="s">
        <v>2249</v>
      </c>
      <c r="F111" s="39" t="s">
        <v>2250</v>
      </c>
      <c r="G111" s="39">
        <v>5</v>
      </c>
      <c r="H111" s="39"/>
      <c r="I111" s="40" t="s">
        <v>257</v>
      </c>
      <c r="J111" s="41">
        <v>2</v>
      </c>
      <c r="K111" s="41">
        <v>107</v>
      </c>
      <c r="L111" s="41"/>
      <c r="M111" s="42">
        <v>13.78</v>
      </c>
      <c r="N111" s="42">
        <v>13.78</v>
      </c>
      <c r="O111" s="43">
        <v>214</v>
      </c>
      <c r="P111" s="44">
        <v>27.56</v>
      </c>
      <c r="Q111" s="44">
        <v>27.56</v>
      </c>
      <c r="R111" s="45">
        <v>0</v>
      </c>
      <c r="S111" s="46">
        <v>0</v>
      </c>
      <c r="T111" s="39">
        <f t="shared" si="38"/>
        <v>5</v>
      </c>
      <c r="U111" s="47">
        <f t="shared" si="39"/>
        <v>4.4692763807602051E-5</v>
      </c>
      <c r="V111" s="48">
        <f t="shared" si="40"/>
        <v>0</v>
      </c>
      <c r="W111" s="49">
        <f t="shared" si="41"/>
        <v>8.9385527615204106E-6</v>
      </c>
      <c r="X111" s="44">
        <f t="shared" si="42"/>
        <v>22.015825820440412</v>
      </c>
      <c r="Y111" s="44">
        <f t="shared" si="43"/>
        <v>0</v>
      </c>
      <c r="Z111" s="44">
        <f t="shared" si="44"/>
        <v>113.26545321739066</v>
      </c>
      <c r="AA111" s="50">
        <f t="shared" si="45"/>
        <v>49.575825820440414</v>
      </c>
      <c r="AB111" s="51">
        <f t="shared" si="46"/>
        <v>105.88525120818046</v>
      </c>
      <c r="AC111" s="44">
        <f t="shared" si="47"/>
        <v>46.345541572815193</v>
      </c>
      <c r="AD111" s="44">
        <f t="shared" si="48"/>
        <v>0</v>
      </c>
      <c r="AE111" s="44">
        <f t="shared" si="49"/>
        <v>0</v>
      </c>
      <c r="AF111" s="52">
        <f>HLOOKUP(I111,ElecAvoidedCostsWOCC!$A$5:$Q$50,G111+1,FALSE)</f>
        <v>0.3694540986241362</v>
      </c>
      <c r="AG111" s="44">
        <f t="shared" si="50"/>
        <v>79.063177105565146</v>
      </c>
      <c r="AH111" s="52">
        <f>HLOOKUP(I111,ElecAvoidedCostsWOCC!$A$5:$Q$50,T111+1,FALSE)</f>
        <v>0.3694540986241362</v>
      </c>
      <c r="AI111" s="44">
        <f t="shared" si="51"/>
        <v>0</v>
      </c>
      <c r="AJ111" s="44">
        <f t="shared" si="52"/>
        <v>79.063177105565146</v>
      </c>
      <c r="AK111" s="44">
        <f>HLOOKUP(I111,ElecAvoidedCostsWOCC!$A$5:$Q$50,G111+1,FALSE)*J111*L111</f>
        <v>0</v>
      </c>
      <c r="AL111" s="44">
        <f t="shared" si="53"/>
        <v>79.063177105565146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79.063177105565146</v>
      </c>
      <c r="AN111" s="48">
        <f t="shared" si="54"/>
        <v>86.969494816121667</v>
      </c>
      <c r="AO111" s="47">
        <f t="shared" si="55"/>
        <v>0.74668734505922296</v>
      </c>
      <c r="AP111" s="47">
        <f t="shared" si="56"/>
        <v>1.8765450109042459</v>
      </c>
      <c r="AQ111">
        <v>2020</v>
      </c>
    </row>
    <row r="112" spans="2:43">
      <c r="B112" s="97" t="s">
        <v>70</v>
      </c>
      <c r="C112" s="61">
        <v>18231134</v>
      </c>
      <c r="D112" s="61" t="s">
        <v>176</v>
      </c>
      <c r="E112" s="38" t="s">
        <v>2251</v>
      </c>
      <c r="F112" s="39" t="s">
        <v>2250</v>
      </c>
      <c r="G112" s="39">
        <v>1</v>
      </c>
      <c r="H112" s="39"/>
      <c r="I112" s="40" t="s">
        <v>257</v>
      </c>
      <c r="J112" s="41">
        <v>8</v>
      </c>
      <c r="K112" s="41">
        <v>107</v>
      </c>
      <c r="L112" s="41"/>
      <c r="M112" s="42">
        <v>8.59</v>
      </c>
      <c r="N112" s="42">
        <v>8.59</v>
      </c>
      <c r="O112" s="43">
        <v>856</v>
      </c>
      <c r="P112" s="44">
        <v>68.72</v>
      </c>
      <c r="Q112" s="44">
        <v>68.72</v>
      </c>
      <c r="R112" s="45">
        <v>0.11</v>
      </c>
      <c r="S112" s="46">
        <v>0</v>
      </c>
      <c r="T112" s="39">
        <f t="shared" si="38"/>
        <v>1</v>
      </c>
      <c r="U112" s="47">
        <f t="shared" si="39"/>
        <v>3.5754211046081642E-5</v>
      </c>
      <c r="V112" s="48">
        <f t="shared" si="40"/>
        <v>0</v>
      </c>
      <c r="W112" s="49">
        <f t="shared" si="41"/>
        <v>3.5754211046081642E-5</v>
      </c>
      <c r="X112" s="44">
        <f t="shared" si="42"/>
        <v>88.063303281761648</v>
      </c>
      <c r="Y112" s="44">
        <f t="shared" si="43"/>
        <v>0</v>
      </c>
      <c r="Z112" s="44">
        <f t="shared" si="44"/>
        <v>453.06181286956263</v>
      </c>
      <c r="AA112" s="50">
        <f t="shared" si="45"/>
        <v>156.78330328176165</v>
      </c>
      <c r="AB112" s="51">
        <f t="shared" si="46"/>
        <v>423.54100483272185</v>
      </c>
      <c r="AC112" s="44">
        <f t="shared" si="47"/>
        <v>146.567545369507</v>
      </c>
      <c r="AD112" s="44">
        <f t="shared" si="48"/>
        <v>0.8226605590352446</v>
      </c>
      <c r="AE112" s="44">
        <f t="shared" si="49"/>
        <v>0</v>
      </c>
      <c r="AF112" s="52">
        <f>HLOOKUP(I112,ElecAvoidedCostsWOCC!$A$5:$Q$50,G112+1,FALSE)</f>
        <v>8.1625385732676276E-2</v>
      </c>
      <c r="AG112" s="44">
        <f t="shared" si="50"/>
        <v>69.871330187170898</v>
      </c>
      <c r="AH112" s="52">
        <f>HLOOKUP(I112,ElecAvoidedCostsWOCC!$A$5:$Q$50,T112+1,FALSE)</f>
        <v>8.1625385732676276E-2</v>
      </c>
      <c r="AI112" s="44">
        <f t="shared" si="51"/>
        <v>0</v>
      </c>
      <c r="AJ112" s="44">
        <f t="shared" si="52"/>
        <v>69.871330187170898</v>
      </c>
      <c r="AK112" s="44">
        <f>HLOOKUP(I112,ElecAvoidedCostsWOCC!$A$5:$Q$50,G112+1,FALSE)*J112*L112</f>
        <v>0</v>
      </c>
      <c r="AL112" s="44">
        <f t="shared" si="53"/>
        <v>69.871330187170898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69.871330187170898</v>
      </c>
      <c r="AN112" s="48">
        <f t="shared" si="54"/>
        <v>77.681123764923242</v>
      </c>
      <c r="AO112" s="47">
        <f t="shared" si="55"/>
        <v>0.16496945842296115</v>
      </c>
      <c r="AP112" s="47">
        <f t="shared" si="56"/>
        <v>0.53000221549104687</v>
      </c>
      <c r="AQ112">
        <v>2020</v>
      </c>
    </row>
    <row r="113" spans="2:43">
      <c r="B113" s="97" t="s">
        <v>70</v>
      </c>
      <c r="C113" s="61">
        <v>18231134</v>
      </c>
      <c r="D113" s="61" t="s">
        <v>176</v>
      </c>
      <c r="E113" s="38" t="s">
        <v>2252</v>
      </c>
      <c r="F113" s="39" t="s">
        <v>2253</v>
      </c>
      <c r="G113" s="39">
        <v>5</v>
      </c>
      <c r="H113" s="39"/>
      <c r="I113" s="40" t="s">
        <v>257</v>
      </c>
      <c r="J113" s="41">
        <v>5</v>
      </c>
      <c r="K113" s="41">
        <v>80</v>
      </c>
      <c r="L113" s="41"/>
      <c r="M113" s="42">
        <v>13.78</v>
      </c>
      <c r="N113" s="42">
        <v>13.78</v>
      </c>
      <c r="O113" s="43">
        <v>400</v>
      </c>
      <c r="P113" s="44">
        <v>68.900000000000006</v>
      </c>
      <c r="Q113" s="44">
        <v>68.900000000000006</v>
      </c>
      <c r="R113" s="45">
        <v>0</v>
      </c>
      <c r="S113" s="46">
        <v>0</v>
      </c>
      <c r="T113" s="39">
        <f t="shared" si="38"/>
        <v>5</v>
      </c>
      <c r="U113" s="47">
        <f t="shared" si="39"/>
        <v>8.3537876275891675E-5</v>
      </c>
      <c r="V113" s="48">
        <f t="shared" si="40"/>
        <v>0</v>
      </c>
      <c r="W113" s="49">
        <f t="shared" si="41"/>
        <v>1.6707575255178336E-5</v>
      </c>
      <c r="X113" s="44">
        <f t="shared" si="42"/>
        <v>41.151076299888615</v>
      </c>
      <c r="Y113" s="44">
        <f t="shared" si="43"/>
        <v>0</v>
      </c>
      <c r="Z113" s="44">
        <f t="shared" si="44"/>
        <v>211.71112750914139</v>
      </c>
      <c r="AA113" s="50">
        <f t="shared" si="45"/>
        <v>110.05107629988862</v>
      </c>
      <c r="AB113" s="51">
        <f t="shared" si="46"/>
        <v>197.91635739846814</v>
      </c>
      <c r="AC113" s="44">
        <f t="shared" si="47"/>
        <v>102.88031812647341</v>
      </c>
      <c r="AD113" s="44">
        <f t="shared" si="48"/>
        <v>0</v>
      </c>
      <c r="AE113" s="44">
        <f t="shared" si="49"/>
        <v>0</v>
      </c>
      <c r="AF113" s="52">
        <f>HLOOKUP(I113,ElecAvoidedCostsWOCC!$A$5:$Q$50,G113+1,FALSE)</f>
        <v>0.3694540986241362</v>
      </c>
      <c r="AG113" s="44">
        <f t="shared" si="50"/>
        <v>147.78163944965448</v>
      </c>
      <c r="AH113" s="52">
        <f>HLOOKUP(I113,ElecAvoidedCostsWOCC!$A$5:$Q$50,T113+1,FALSE)</f>
        <v>0.3694540986241362</v>
      </c>
      <c r="AI113" s="44">
        <f t="shared" si="51"/>
        <v>0</v>
      </c>
      <c r="AJ113" s="44">
        <f t="shared" si="52"/>
        <v>147.78163944965448</v>
      </c>
      <c r="AK113" s="44">
        <f>HLOOKUP(I113,ElecAvoidedCostsWOCC!$A$5:$Q$50,G113+1,FALSE)*J113*L113</f>
        <v>0</v>
      </c>
      <c r="AL113" s="44">
        <f t="shared" si="53"/>
        <v>147.78163944965448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147.78163944965448</v>
      </c>
      <c r="AN113" s="48">
        <f t="shared" si="54"/>
        <v>162.55980339461993</v>
      </c>
      <c r="AO113" s="47">
        <f t="shared" si="55"/>
        <v>0.74668734505922296</v>
      </c>
      <c r="AP113" s="47">
        <f t="shared" si="56"/>
        <v>1.580086515622755</v>
      </c>
      <c r="AQ113">
        <v>2020</v>
      </c>
    </row>
    <row r="114" spans="2:43">
      <c r="B114" s="97" t="s">
        <v>70</v>
      </c>
      <c r="C114" s="61">
        <v>18231134</v>
      </c>
      <c r="D114" s="61" t="s">
        <v>176</v>
      </c>
      <c r="E114" s="38" t="s">
        <v>2254</v>
      </c>
      <c r="F114" s="39" t="s">
        <v>2255</v>
      </c>
      <c r="G114" s="39">
        <v>5</v>
      </c>
      <c r="H114" s="39"/>
      <c r="I114" s="40" t="s">
        <v>257</v>
      </c>
      <c r="J114" s="41">
        <v>1</v>
      </c>
      <c r="K114" s="41">
        <v>60</v>
      </c>
      <c r="L114" s="41"/>
      <c r="M114" s="42">
        <v>13.78</v>
      </c>
      <c r="N114" s="42">
        <v>13.78</v>
      </c>
      <c r="O114" s="43">
        <v>60</v>
      </c>
      <c r="P114" s="44">
        <v>13.78</v>
      </c>
      <c r="Q114" s="44">
        <v>13.78</v>
      </c>
      <c r="R114" s="45">
        <v>0</v>
      </c>
      <c r="S114" s="46">
        <v>0</v>
      </c>
      <c r="T114" s="39">
        <f t="shared" si="38"/>
        <v>5</v>
      </c>
      <c r="U114" s="47">
        <f t="shared" si="39"/>
        <v>1.2530681441383753E-5</v>
      </c>
      <c r="V114" s="48">
        <f t="shared" si="40"/>
        <v>0</v>
      </c>
      <c r="W114" s="49">
        <f t="shared" si="41"/>
        <v>2.5061362882767506E-6</v>
      </c>
      <c r="X114" s="44">
        <f t="shared" si="42"/>
        <v>6.1726614449832926</v>
      </c>
      <c r="Y114" s="44">
        <f t="shared" si="43"/>
        <v>0</v>
      </c>
      <c r="Z114" s="44">
        <f t="shared" si="44"/>
        <v>31.756669126371214</v>
      </c>
      <c r="AA114" s="50">
        <f t="shared" si="45"/>
        <v>19.952661444983292</v>
      </c>
      <c r="AB114" s="51">
        <f t="shared" si="46"/>
        <v>29.687453609770227</v>
      </c>
      <c r="AC114" s="44">
        <f t="shared" si="47"/>
        <v>18.652576839285118</v>
      </c>
      <c r="AD114" s="44">
        <f t="shared" si="48"/>
        <v>0</v>
      </c>
      <c r="AE114" s="44">
        <f t="shared" si="49"/>
        <v>0</v>
      </c>
      <c r="AF114" s="52">
        <f>HLOOKUP(I114,ElecAvoidedCostsWOCC!$A$5:$Q$50,G114+1,FALSE)</f>
        <v>0.3694540986241362</v>
      </c>
      <c r="AG114" s="44">
        <f t="shared" si="50"/>
        <v>22.16724591744817</v>
      </c>
      <c r="AH114" s="52">
        <f>HLOOKUP(I114,ElecAvoidedCostsWOCC!$A$5:$Q$50,T114+1,FALSE)</f>
        <v>0.3694540986241362</v>
      </c>
      <c r="AI114" s="44">
        <f t="shared" si="51"/>
        <v>0</v>
      </c>
      <c r="AJ114" s="44">
        <f t="shared" si="52"/>
        <v>22.16724591744817</v>
      </c>
      <c r="AK114" s="44">
        <f>HLOOKUP(I114,ElecAvoidedCostsWOCC!$A$5:$Q$50,G114+1,FALSE)*J114*L114</f>
        <v>0</v>
      </c>
      <c r="AL114" s="44">
        <f t="shared" si="53"/>
        <v>22.16724591744817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22.16724591744817</v>
      </c>
      <c r="AN114" s="48">
        <f t="shared" si="54"/>
        <v>24.383970509192988</v>
      </c>
      <c r="AO114" s="47">
        <f t="shared" si="55"/>
        <v>0.74668734505922274</v>
      </c>
      <c r="AP114" s="47">
        <f t="shared" si="56"/>
        <v>1.3072708784041407</v>
      </c>
      <c r="AQ114">
        <v>2020</v>
      </c>
    </row>
    <row r="115" spans="2:43">
      <c r="B115" s="97" t="s">
        <v>70</v>
      </c>
      <c r="C115" s="61">
        <v>18231134</v>
      </c>
      <c r="D115" s="61" t="s">
        <v>176</v>
      </c>
      <c r="E115" s="38" t="s">
        <v>2256</v>
      </c>
      <c r="F115" s="39" t="s">
        <v>2257</v>
      </c>
      <c r="G115" s="39">
        <v>5</v>
      </c>
      <c r="H115" s="39"/>
      <c r="I115" s="40" t="s">
        <v>257</v>
      </c>
      <c r="J115" s="41">
        <v>10</v>
      </c>
      <c r="K115" s="41">
        <v>110</v>
      </c>
      <c r="L115" s="41"/>
      <c r="M115" s="42">
        <v>20.07</v>
      </c>
      <c r="N115" s="42">
        <v>20.07</v>
      </c>
      <c r="O115" s="43">
        <v>1100</v>
      </c>
      <c r="P115" s="44">
        <v>200.7</v>
      </c>
      <c r="Q115" s="44">
        <v>200.7</v>
      </c>
      <c r="R115" s="45">
        <v>0</v>
      </c>
      <c r="S115" s="46"/>
      <c r="T115" s="39">
        <f t="shared" si="38"/>
        <v>5</v>
      </c>
      <c r="U115" s="47">
        <f t="shared" si="39"/>
        <v>2.2972915975870211E-4</v>
      </c>
      <c r="V115" s="48">
        <f t="shared" si="40"/>
        <v>0</v>
      </c>
      <c r="W115" s="49">
        <f t="shared" si="41"/>
        <v>4.5945831951740424E-5</v>
      </c>
      <c r="X115" s="44">
        <f t="shared" si="42"/>
        <v>113.16545982469368</v>
      </c>
      <c r="Y115" s="44">
        <f t="shared" si="43"/>
        <v>0</v>
      </c>
      <c r="Z115" s="44">
        <f t="shared" si="44"/>
        <v>582.20560065013876</v>
      </c>
      <c r="AA115" s="50">
        <f t="shared" si="45"/>
        <v>313.86545982469369</v>
      </c>
      <c r="AB115" s="51">
        <f t="shared" si="46"/>
        <v>544.26998284578735</v>
      </c>
      <c r="AC115" s="44">
        <f t="shared" si="47"/>
        <v>293.41447118322304</v>
      </c>
      <c r="AD115" s="44">
        <f t="shared" si="48"/>
        <v>0</v>
      </c>
      <c r="AE115" s="44">
        <f t="shared" si="49"/>
        <v>0</v>
      </c>
      <c r="AF115" s="52">
        <f>HLOOKUP(I115,ElecAvoidedCostsWOCC!$A$5:$Q$50,G115+1,FALSE)</f>
        <v>0.3694540986241362</v>
      </c>
      <c r="AG115" s="44">
        <f t="shared" si="50"/>
        <v>406.39950848654979</v>
      </c>
      <c r="AH115" s="52">
        <f>HLOOKUP(I115,ElecAvoidedCostsWOCC!$A$5:$Q$50,T115+1,FALSE)</f>
        <v>0.3694540986241362</v>
      </c>
      <c r="AI115" s="44">
        <f t="shared" si="51"/>
        <v>0</v>
      </c>
      <c r="AJ115" s="44">
        <f t="shared" si="52"/>
        <v>406.39950848654979</v>
      </c>
      <c r="AK115" s="44">
        <f>HLOOKUP(I115,ElecAvoidedCostsWOCC!$A$5:$Q$50,G115+1,FALSE)*J115*L115</f>
        <v>0</v>
      </c>
      <c r="AL115" s="44">
        <f t="shared" si="53"/>
        <v>406.39950848654979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406.39950848654985</v>
      </c>
      <c r="AN115" s="48">
        <f t="shared" si="54"/>
        <v>447.03945933520487</v>
      </c>
      <c r="AO115" s="47">
        <f t="shared" si="55"/>
        <v>0.74668734505922307</v>
      </c>
      <c r="AP115" s="47">
        <f t="shared" si="56"/>
        <v>1.5235767258938313</v>
      </c>
      <c r="AQ115">
        <v>2020</v>
      </c>
    </row>
    <row r="116" spans="2:43">
      <c r="B116" s="97" t="s">
        <v>70</v>
      </c>
      <c r="C116" s="61">
        <v>18231134</v>
      </c>
      <c r="D116" s="61" t="s">
        <v>176</v>
      </c>
      <c r="E116" s="38" t="s">
        <v>2258</v>
      </c>
      <c r="F116" s="39" t="s">
        <v>2259</v>
      </c>
      <c r="G116" s="39">
        <v>5</v>
      </c>
      <c r="H116" s="39"/>
      <c r="I116" s="40" t="s">
        <v>257</v>
      </c>
      <c r="J116" s="41">
        <v>37</v>
      </c>
      <c r="K116" s="41">
        <v>57</v>
      </c>
      <c r="L116" s="41"/>
      <c r="M116" s="42">
        <v>22.41</v>
      </c>
      <c r="N116" s="42">
        <v>22.41</v>
      </c>
      <c r="O116" s="43">
        <v>2109</v>
      </c>
      <c r="P116" s="44">
        <v>829.17</v>
      </c>
      <c r="Q116" s="44">
        <v>829.17</v>
      </c>
      <c r="R116" s="45">
        <v>0</v>
      </c>
      <c r="S116" s="46"/>
      <c r="T116" s="39">
        <f t="shared" si="38"/>
        <v>5</v>
      </c>
      <c r="U116" s="47">
        <f t="shared" si="39"/>
        <v>4.4045345266463889E-4</v>
      </c>
      <c r="V116" s="48">
        <f t="shared" si="40"/>
        <v>0</v>
      </c>
      <c r="W116" s="49">
        <f t="shared" si="41"/>
        <v>8.8090690532927773E-5</v>
      </c>
      <c r="X116" s="44">
        <f t="shared" si="42"/>
        <v>216.96904979116272</v>
      </c>
      <c r="Y116" s="44">
        <f t="shared" si="43"/>
        <v>0</v>
      </c>
      <c r="Z116" s="44">
        <f t="shared" si="44"/>
        <v>1116.2469197919479</v>
      </c>
      <c r="AA116" s="50">
        <f t="shared" si="45"/>
        <v>1046.1390497911627</v>
      </c>
      <c r="AB116" s="51">
        <f t="shared" si="46"/>
        <v>1043.5139943834231</v>
      </c>
      <c r="AC116" s="44">
        <f t="shared" si="47"/>
        <v>977.9742449202231</v>
      </c>
      <c r="AD116" s="44">
        <f t="shared" si="48"/>
        <v>0</v>
      </c>
      <c r="AE116" s="44">
        <f t="shared" si="49"/>
        <v>0</v>
      </c>
      <c r="AF116" s="52">
        <f>HLOOKUP(I116,ElecAvoidedCostsWOCC!$A$5:$Q$50,G116+1,FALSE)</f>
        <v>0.3694540986241362</v>
      </c>
      <c r="AG116" s="44">
        <f t="shared" si="50"/>
        <v>779.17869399830317</v>
      </c>
      <c r="AH116" s="52">
        <f>HLOOKUP(I116,ElecAvoidedCostsWOCC!$A$5:$Q$50,T116+1,FALSE)</f>
        <v>0.3694540986241362</v>
      </c>
      <c r="AI116" s="44">
        <f t="shared" si="51"/>
        <v>0</v>
      </c>
      <c r="AJ116" s="44">
        <f t="shared" si="52"/>
        <v>779.17869399830317</v>
      </c>
      <c r="AK116" s="44">
        <f>HLOOKUP(I116,ElecAvoidedCostsWOCC!$A$5:$Q$50,G116+1,FALSE)*J116*L116</f>
        <v>0</v>
      </c>
      <c r="AL116" s="44">
        <f t="shared" si="53"/>
        <v>779.17869399830317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779.17869399830329</v>
      </c>
      <c r="AN116" s="48">
        <f t="shared" si="54"/>
        <v>857.09656339813364</v>
      </c>
      <c r="AO116" s="47">
        <f t="shared" si="55"/>
        <v>0.74668734505922318</v>
      </c>
      <c r="AP116" s="47">
        <f t="shared" si="56"/>
        <v>0.87639993368951152</v>
      </c>
      <c r="AQ116">
        <v>2020</v>
      </c>
    </row>
    <row r="117" spans="2:43">
      <c r="B117" s="97" t="s">
        <v>70</v>
      </c>
      <c r="C117" s="61">
        <v>18231134</v>
      </c>
      <c r="D117" s="61" t="s">
        <v>176</v>
      </c>
      <c r="E117" s="38" t="s">
        <v>2260</v>
      </c>
      <c r="F117" s="39" t="s">
        <v>2261</v>
      </c>
      <c r="G117" s="39">
        <v>5</v>
      </c>
      <c r="H117" s="39"/>
      <c r="I117" s="40" t="s">
        <v>257</v>
      </c>
      <c r="J117" s="41">
        <v>16</v>
      </c>
      <c r="K117" s="41">
        <v>126</v>
      </c>
      <c r="L117" s="41"/>
      <c r="M117" s="42">
        <v>22.41</v>
      </c>
      <c r="N117" s="42">
        <v>22.41</v>
      </c>
      <c r="O117" s="43">
        <v>2016</v>
      </c>
      <c r="P117" s="44">
        <v>358.56</v>
      </c>
      <c r="Q117" s="44">
        <v>358.56</v>
      </c>
      <c r="R117" s="45">
        <v>0</v>
      </c>
      <c r="S117" s="46"/>
      <c r="T117" s="39">
        <f t="shared" si="38"/>
        <v>5</v>
      </c>
      <c r="U117" s="47">
        <f t="shared" si="39"/>
        <v>4.2103089643049404E-4</v>
      </c>
      <c r="V117" s="48">
        <f t="shared" si="40"/>
        <v>0</v>
      </c>
      <c r="W117" s="49">
        <f t="shared" si="41"/>
        <v>8.4206179286098811E-5</v>
      </c>
      <c r="X117" s="44">
        <f t="shared" si="42"/>
        <v>207.40142455143862</v>
      </c>
      <c r="Y117" s="44">
        <f t="shared" si="43"/>
        <v>0</v>
      </c>
      <c r="Z117" s="44">
        <f t="shared" si="44"/>
        <v>1067.0240826460727</v>
      </c>
      <c r="AA117" s="50">
        <f t="shared" si="45"/>
        <v>565.96142455143865</v>
      </c>
      <c r="AB117" s="51">
        <f t="shared" si="46"/>
        <v>997.49844128827954</v>
      </c>
      <c r="AC117" s="44">
        <f t="shared" si="47"/>
        <v>529.08425217485149</v>
      </c>
      <c r="AD117" s="44">
        <f t="shared" si="48"/>
        <v>0</v>
      </c>
      <c r="AE117" s="44">
        <f t="shared" si="49"/>
        <v>0</v>
      </c>
      <c r="AF117" s="52">
        <f>HLOOKUP(I117,ElecAvoidedCostsWOCC!$A$5:$Q$50,G117+1,FALSE)</f>
        <v>0.3694540986241362</v>
      </c>
      <c r="AG117" s="44">
        <f t="shared" si="50"/>
        <v>744.81946282625859</v>
      </c>
      <c r="AH117" s="52">
        <f>HLOOKUP(I117,ElecAvoidedCostsWOCC!$A$5:$Q$50,T117+1,FALSE)</f>
        <v>0.3694540986241362</v>
      </c>
      <c r="AI117" s="44">
        <f t="shared" si="51"/>
        <v>0</v>
      </c>
      <c r="AJ117" s="44">
        <f t="shared" si="52"/>
        <v>744.81946282625859</v>
      </c>
      <c r="AK117" s="44">
        <f>HLOOKUP(I117,ElecAvoidedCostsWOCC!$A$5:$Q$50,G117+1,FALSE)*J117*L117</f>
        <v>0</v>
      </c>
      <c r="AL117" s="44">
        <f t="shared" si="53"/>
        <v>744.81946282625859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744.81946282625859</v>
      </c>
      <c r="AN117" s="48">
        <f t="shared" si="54"/>
        <v>819.30140910888451</v>
      </c>
      <c r="AO117" s="47">
        <f t="shared" si="55"/>
        <v>0.74668734505922296</v>
      </c>
      <c r="AP117" s="47">
        <f t="shared" si="56"/>
        <v>1.5485273011643563</v>
      </c>
      <c r="AQ117">
        <v>2020</v>
      </c>
    </row>
    <row r="118" spans="2:43">
      <c r="B118" s="97" t="s">
        <v>70</v>
      </c>
      <c r="C118" s="61">
        <v>18231134</v>
      </c>
      <c r="D118" s="61" t="s">
        <v>176</v>
      </c>
      <c r="E118" s="38" t="s">
        <v>2262</v>
      </c>
      <c r="F118" s="39" t="s">
        <v>2263</v>
      </c>
      <c r="G118" s="39">
        <v>5</v>
      </c>
      <c r="H118" s="39"/>
      <c r="I118" s="40" t="s">
        <v>257</v>
      </c>
      <c r="J118" s="41">
        <v>4</v>
      </c>
      <c r="K118" s="41">
        <v>163</v>
      </c>
      <c r="L118" s="41"/>
      <c r="M118" s="42">
        <v>22.41</v>
      </c>
      <c r="N118" s="42">
        <v>22.41</v>
      </c>
      <c r="O118" s="43">
        <v>652</v>
      </c>
      <c r="P118" s="44">
        <v>89.64</v>
      </c>
      <c r="Q118" s="44">
        <v>89.64</v>
      </c>
      <c r="R118" s="45">
        <v>0</v>
      </c>
      <c r="S118" s="46"/>
      <c r="T118" s="39">
        <f t="shared" si="38"/>
        <v>5</v>
      </c>
      <c r="U118" s="47">
        <f t="shared" si="39"/>
        <v>1.3616673832970343E-4</v>
      </c>
      <c r="V118" s="48">
        <f t="shared" si="40"/>
        <v>0</v>
      </c>
      <c r="W118" s="49">
        <f t="shared" si="41"/>
        <v>2.7233347665940689E-5</v>
      </c>
      <c r="X118" s="44">
        <f t="shared" si="42"/>
        <v>67.076254368818439</v>
      </c>
      <c r="Y118" s="44">
        <f t="shared" si="43"/>
        <v>0</v>
      </c>
      <c r="Z118" s="44">
        <f t="shared" si="44"/>
        <v>345.08913783990045</v>
      </c>
      <c r="AA118" s="50">
        <f t="shared" si="45"/>
        <v>156.71625436881845</v>
      </c>
      <c r="AB118" s="51">
        <f t="shared" si="46"/>
        <v>322.60366255950305</v>
      </c>
      <c r="AC118" s="44">
        <f t="shared" si="47"/>
        <v>146.50486526018364</v>
      </c>
      <c r="AD118" s="44">
        <f t="shared" si="48"/>
        <v>0</v>
      </c>
      <c r="AE118" s="44">
        <f t="shared" si="49"/>
        <v>0</v>
      </c>
      <c r="AF118" s="52">
        <f>HLOOKUP(I118,ElecAvoidedCostsWOCC!$A$5:$Q$50,G118+1,FALSE)</f>
        <v>0.3694540986241362</v>
      </c>
      <c r="AG118" s="44">
        <f t="shared" si="50"/>
        <v>240.8840723029368</v>
      </c>
      <c r="AH118" s="52">
        <f>HLOOKUP(I118,ElecAvoidedCostsWOCC!$A$5:$Q$50,T118+1,FALSE)</f>
        <v>0.3694540986241362</v>
      </c>
      <c r="AI118" s="44">
        <f t="shared" si="51"/>
        <v>0</v>
      </c>
      <c r="AJ118" s="44">
        <f t="shared" si="52"/>
        <v>240.8840723029368</v>
      </c>
      <c r="AK118" s="44">
        <f>HLOOKUP(I118,ElecAvoidedCostsWOCC!$A$5:$Q$50,G118+1,FALSE)*J118*L118</f>
        <v>0</v>
      </c>
      <c r="AL118" s="44">
        <f t="shared" si="53"/>
        <v>240.8840723029368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240.8840723029368</v>
      </c>
      <c r="AN118" s="48">
        <f t="shared" si="54"/>
        <v>264.97247953323051</v>
      </c>
      <c r="AO118" s="47">
        <f t="shared" si="55"/>
        <v>0.74668734505922307</v>
      </c>
      <c r="AP118" s="47">
        <f t="shared" si="56"/>
        <v>1.8086258027175799</v>
      </c>
      <c r="AQ118">
        <v>2020</v>
      </c>
    </row>
    <row r="119" spans="2:43">
      <c r="B119" s="97" t="s">
        <v>70</v>
      </c>
      <c r="C119" s="61">
        <v>18231134</v>
      </c>
      <c r="D119" s="61" t="s">
        <v>176</v>
      </c>
      <c r="E119" s="38" t="s">
        <v>2264</v>
      </c>
      <c r="F119" s="39" t="s">
        <v>2263</v>
      </c>
      <c r="G119" s="39">
        <v>1</v>
      </c>
      <c r="H119" s="39"/>
      <c r="I119" s="40" t="s">
        <v>257</v>
      </c>
      <c r="J119" s="41">
        <v>19</v>
      </c>
      <c r="K119" s="41">
        <v>163</v>
      </c>
      <c r="L119" s="41"/>
      <c r="M119" s="42">
        <v>11.55</v>
      </c>
      <c r="N119" s="42">
        <v>11.55</v>
      </c>
      <c r="O119" s="43">
        <v>3097</v>
      </c>
      <c r="P119" s="44">
        <v>219.45</v>
      </c>
      <c r="Q119" s="44">
        <v>219.45</v>
      </c>
      <c r="R119" s="45">
        <v>0.09</v>
      </c>
      <c r="S119" s="46">
        <v>0</v>
      </c>
      <c r="T119" s="39">
        <f t="shared" si="38"/>
        <v>1</v>
      </c>
      <c r="U119" s="47">
        <f t="shared" si="39"/>
        <v>1.2935840141321827E-4</v>
      </c>
      <c r="V119" s="48">
        <f t="shared" si="40"/>
        <v>0</v>
      </c>
      <c r="W119" s="49">
        <f t="shared" si="41"/>
        <v>1.2935840141321827E-4</v>
      </c>
      <c r="X119" s="44">
        <f t="shared" si="42"/>
        <v>318.61220825188764</v>
      </c>
      <c r="Y119" s="44">
        <f t="shared" si="43"/>
        <v>0</v>
      </c>
      <c r="Z119" s="44">
        <f t="shared" si="44"/>
        <v>1639.1734047395275</v>
      </c>
      <c r="AA119" s="50">
        <f t="shared" si="45"/>
        <v>538.06220825188757</v>
      </c>
      <c r="AB119" s="51">
        <f t="shared" si="46"/>
        <v>1532.36739715764</v>
      </c>
      <c r="AC119" s="44">
        <f t="shared" si="47"/>
        <v>503.0029057229948</v>
      </c>
      <c r="AD119" s="44">
        <f t="shared" si="48"/>
        <v>1.5985790408525773</v>
      </c>
      <c r="AE119" s="44">
        <f t="shared" si="49"/>
        <v>0</v>
      </c>
      <c r="AF119" s="52">
        <f>HLOOKUP(I119,ElecAvoidedCostsWOCC!$A$5:$Q$50,G119+1,FALSE)</f>
        <v>8.1625385732676276E-2</v>
      </c>
      <c r="AG119" s="44">
        <f t="shared" si="50"/>
        <v>252.79381961409842</v>
      </c>
      <c r="AH119" s="52">
        <f>HLOOKUP(I119,ElecAvoidedCostsWOCC!$A$5:$Q$50,T119+1,FALSE)</f>
        <v>8.1625385732676276E-2</v>
      </c>
      <c r="AI119" s="44">
        <f t="shared" si="51"/>
        <v>0</v>
      </c>
      <c r="AJ119" s="44">
        <f t="shared" si="52"/>
        <v>252.79381961409842</v>
      </c>
      <c r="AK119" s="44">
        <f>HLOOKUP(I119,ElecAvoidedCostsWOCC!$A$5:$Q$50,G119+1,FALSE)*J119*L119</f>
        <v>0</v>
      </c>
      <c r="AL119" s="44">
        <f t="shared" si="53"/>
        <v>252.79381961409842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252.79381961409842</v>
      </c>
      <c r="AN119" s="48">
        <f t="shared" si="54"/>
        <v>279.67178061636088</v>
      </c>
      <c r="AO119" s="47">
        <f t="shared" si="55"/>
        <v>0.16496945842296112</v>
      </c>
      <c r="AP119" s="47">
        <f t="shared" si="56"/>
        <v>0.55600430421842728</v>
      </c>
      <c r="AQ119">
        <v>2020</v>
      </c>
    </row>
    <row r="120" spans="2:43">
      <c r="B120" s="97" t="s">
        <v>70</v>
      </c>
      <c r="C120" s="61">
        <v>18231134</v>
      </c>
      <c r="D120" s="61" t="s">
        <v>176</v>
      </c>
      <c r="E120" s="38" t="s">
        <v>2265</v>
      </c>
      <c r="F120" s="39" t="s">
        <v>2266</v>
      </c>
      <c r="G120" s="39">
        <v>5</v>
      </c>
      <c r="H120" s="39"/>
      <c r="I120" s="40" t="s">
        <v>257</v>
      </c>
      <c r="J120" s="41">
        <v>2</v>
      </c>
      <c r="K120" s="41">
        <v>93</v>
      </c>
      <c r="L120" s="41"/>
      <c r="M120" s="42">
        <v>22.41</v>
      </c>
      <c r="N120" s="42">
        <v>22.41</v>
      </c>
      <c r="O120" s="43">
        <v>186</v>
      </c>
      <c r="P120" s="44">
        <v>44.82</v>
      </c>
      <c r="Q120" s="44">
        <v>44.82</v>
      </c>
      <c r="R120" s="45">
        <v>0</v>
      </c>
      <c r="S120" s="46"/>
      <c r="T120" s="39">
        <f t="shared" si="38"/>
        <v>5</v>
      </c>
      <c r="U120" s="47">
        <f t="shared" si="39"/>
        <v>3.884511246828963E-5</v>
      </c>
      <c r="V120" s="48">
        <f t="shared" si="40"/>
        <v>0</v>
      </c>
      <c r="W120" s="49">
        <f t="shared" si="41"/>
        <v>7.7690224936579267E-6</v>
      </c>
      <c r="X120" s="44">
        <f t="shared" si="42"/>
        <v>19.135250479448207</v>
      </c>
      <c r="Y120" s="44">
        <f t="shared" si="43"/>
        <v>0</v>
      </c>
      <c r="Z120" s="44">
        <f t="shared" si="44"/>
        <v>98.445674291750748</v>
      </c>
      <c r="AA120" s="50">
        <f t="shared" si="45"/>
        <v>63.95525047944821</v>
      </c>
      <c r="AB120" s="51">
        <f t="shared" si="46"/>
        <v>92.031106190287687</v>
      </c>
      <c r="AC120" s="44">
        <f t="shared" si="47"/>
        <v>59.78802512802487</v>
      </c>
      <c r="AD120" s="44">
        <f t="shared" si="48"/>
        <v>0</v>
      </c>
      <c r="AE120" s="44">
        <f t="shared" si="49"/>
        <v>0</v>
      </c>
      <c r="AF120" s="52">
        <f>HLOOKUP(I120,ElecAvoidedCostsWOCC!$A$5:$Q$50,G120+1,FALSE)</f>
        <v>0.3694540986241362</v>
      </c>
      <c r="AG120" s="44">
        <f t="shared" si="50"/>
        <v>68.718462344089332</v>
      </c>
      <c r="AH120" s="52">
        <f>HLOOKUP(I120,ElecAvoidedCostsWOCC!$A$5:$Q$50,T120+1,FALSE)</f>
        <v>0.3694540986241362</v>
      </c>
      <c r="AI120" s="44">
        <f t="shared" si="51"/>
        <v>0</v>
      </c>
      <c r="AJ120" s="44">
        <f t="shared" si="52"/>
        <v>68.718462344089332</v>
      </c>
      <c r="AK120" s="44">
        <f>HLOOKUP(I120,ElecAvoidedCostsWOCC!$A$5:$Q$50,G120+1,FALSE)*J120*L120</f>
        <v>0</v>
      </c>
      <c r="AL120" s="44">
        <f t="shared" si="53"/>
        <v>68.718462344089332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68.718462344089332</v>
      </c>
      <c r="AN120" s="48">
        <f t="shared" si="54"/>
        <v>75.590308578498266</v>
      </c>
      <c r="AO120" s="47">
        <f t="shared" si="55"/>
        <v>0.74668734505922296</v>
      </c>
      <c r="AP120" s="47">
        <f t="shared" si="56"/>
        <v>1.2643051583763767</v>
      </c>
      <c r="AQ120">
        <v>2020</v>
      </c>
    </row>
    <row r="121" spans="2:43">
      <c r="B121" s="97" t="s">
        <v>70</v>
      </c>
      <c r="C121" s="61">
        <v>18231134</v>
      </c>
      <c r="D121" s="61" t="s">
        <v>176</v>
      </c>
      <c r="E121" s="38" t="s">
        <v>2267</v>
      </c>
      <c r="F121" s="39" t="s">
        <v>2268</v>
      </c>
      <c r="G121" s="39">
        <v>5</v>
      </c>
      <c r="H121" s="39"/>
      <c r="I121" s="40" t="s">
        <v>257</v>
      </c>
      <c r="J121" s="41">
        <v>17</v>
      </c>
      <c r="K121" s="41">
        <v>70</v>
      </c>
      <c r="L121" s="41"/>
      <c r="M121" s="42">
        <v>22.41</v>
      </c>
      <c r="N121" s="42">
        <v>22.41</v>
      </c>
      <c r="O121" s="43">
        <v>1190</v>
      </c>
      <c r="P121" s="44">
        <v>380.97</v>
      </c>
      <c r="Q121" s="44">
        <v>380.97</v>
      </c>
      <c r="R121" s="45">
        <v>0</v>
      </c>
      <c r="S121" s="46"/>
      <c r="T121" s="39">
        <f t="shared" si="38"/>
        <v>5</v>
      </c>
      <c r="U121" s="47">
        <f t="shared" si="39"/>
        <v>2.4852518192077774E-4</v>
      </c>
      <c r="V121" s="48">
        <f t="shared" si="40"/>
        <v>0</v>
      </c>
      <c r="W121" s="49">
        <f t="shared" si="41"/>
        <v>4.9705036384155548E-5</v>
      </c>
      <c r="X121" s="44">
        <f t="shared" si="42"/>
        <v>122.42445199216863</v>
      </c>
      <c r="Y121" s="44">
        <f t="shared" si="43"/>
        <v>0</v>
      </c>
      <c r="Z121" s="44">
        <f t="shared" si="44"/>
        <v>629.84060433969557</v>
      </c>
      <c r="AA121" s="50">
        <f t="shared" si="45"/>
        <v>503.39445199216868</v>
      </c>
      <c r="AB121" s="51">
        <f t="shared" si="46"/>
        <v>588.80116326044265</v>
      </c>
      <c r="AC121" s="44">
        <f t="shared" si="47"/>
        <v>470.59404692172444</v>
      </c>
      <c r="AD121" s="44">
        <f t="shared" si="48"/>
        <v>0</v>
      </c>
      <c r="AE121" s="44">
        <f t="shared" si="49"/>
        <v>0</v>
      </c>
      <c r="AF121" s="52">
        <f>HLOOKUP(I121,ElecAvoidedCostsWOCC!$A$5:$Q$50,G121+1,FALSE)</f>
        <v>0.3694540986241362</v>
      </c>
      <c r="AG121" s="44">
        <f t="shared" si="50"/>
        <v>439.65037736272211</v>
      </c>
      <c r="AH121" s="52">
        <f>HLOOKUP(I121,ElecAvoidedCostsWOCC!$A$5:$Q$50,T121+1,FALSE)</f>
        <v>0.3694540986241362</v>
      </c>
      <c r="AI121" s="44">
        <f t="shared" si="51"/>
        <v>0</v>
      </c>
      <c r="AJ121" s="44">
        <f t="shared" si="52"/>
        <v>439.65037736272211</v>
      </c>
      <c r="AK121" s="44">
        <f>HLOOKUP(I121,ElecAvoidedCostsWOCC!$A$5:$Q$50,G121+1,FALSE)*J121*L121</f>
        <v>0</v>
      </c>
      <c r="AL121" s="44">
        <f t="shared" si="53"/>
        <v>439.65037736272211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439.65037736272211</v>
      </c>
      <c r="AN121" s="48">
        <f t="shared" si="54"/>
        <v>483.61541509899433</v>
      </c>
      <c r="AO121" s="47">
        <f t="shared" si="55"/>
        <v>0.74668734505922307</v>
      </c>
      <c r="AP121" s="47">
        <f t="shared" si="56"/>
        <v>1.0276700656594489</v>
      </c>
      <c r="AQ121">
        <v>2020</v>
      </c>
    </row>
    <row r="122" spans="2:43">
      <c r="B122" s="97" t="s">
        <v>70</v>
      </c>
      <c r="C122" s="61">
        <v>18231134</v>
      </c>
      <c r="D122" s="61" t="s">
        <v>176</v>
      </c>
      <c r="E122" s="38" t="s">
        <v>2269</v>
      </c>
      <c r="F122" s="39" t="s">
        <v>2270</v>
      </c>
      <c r="G122" s="39">
        <v>5</v>
      </c>
      <c r="H122" s="39"/>
      <c r="I122" s="40" t="s">
        <v>257</v>
      </c>
      <c r="J122" s="41">
        <v>54</v>
      </c>
      <c r="K122" s="41">
        <v>112</v>
      </c>
      <c r="L122" s="41"/>
      <c r="M122" s="42">
        <v>22.41</v>
      </c>
      <c r="N122" s="42">
        <v>22.41</v>
      </c>
      <c r="O122" s="43">
        <v>6048</v>
      </c>
      <c r="P122" s="44">
        <v>1210.1400000000001</v>
      </c>
      <c r="Q122" s="44">
        <v>1210.1400000000001</v>
      </c>
      <c r="R122" s="45">
        <v>0</v>
      </c>
      <c r="S122" s="46"/>
      <c r="T122" s="39">
        <f t="shared" si="38"/>
        <v>5</v>
      </c>
      <c r="U122" s="47">
        <f t="shared" si="39"/>
        <v>1.2630926892914823E-3</v>
      </c>
      <c r="V122" s="48">
        <f t="shared" si="40"/>
        <v>0</v>
      </c>
      <c r="W122" s="49">
        <f t="shared" si="41"/>
        <v>2.5261853785829645E-4</v>
      </c>
      <c r="X122" s="44">
        <f t="shared" si="42"/>
        <v>622.2042736543159</v>
      </c>
      <c r="Y122" s="44">
        <f t="shared" si="43"/>
        <v>0</v>
      </c>
      <c r="Z122" s="44">
        <f t="shared" si="44"/>
        <v>3201.072247938218</v>
      </c>
      <c r="AA122" s="50">
        <f t="shared" si="45"/>
        <v>1832.3442736543161</v>
      </c>
      <c r="AB122" s="51">
        <f t="shared" si="46"/>
        <v>2992.4953238648386</v>
      </c>
      <c r="AC122" s="44">
        <f t="shared" si="47"/>
        <v>1712.9515505789623</v>
      </c>
      <c r="AD122" s="44">
        <f t="shared" si="48"/>
        <v>0</v>
      </c>
      <c r="AE122" s="44">
        <f t="shared" si="49"/>
        <v>0</v>
      </c>
      <c r="AF122" s="52">
        <f>HLOOKUP(I122,ElecAvoidedCostsWOCC!$A$5:$Q$50,G122+1,FALSE)</f>
        <v>0.3694540986241362</v>
      </c>
      <c r="AG122" s="44">
        <f t="shared" si="50"/>
        <v>2234.4583884787758</v>
      </c>
      <c r="AH122" s="52">
        <f>HLOOKUP(I122,ElecAvoidedCostsWOCC!$A$5:$Q$50,T122+1,FALSE)</f>
        <v>0.3694540986241362</v>
      </c>
      <c r="AI122" s="44">
        <f t="shared" si="51"/>
        <v>0</v>
      </c>
      <c r="AJ122" s="44">
        <f t="shared" si="52"/>
        <v>2234.4583884787758</v>
      </c>
      <c r="AK122" s="44">
        <f>HLOOKUP(I122,ElecAvoidedCostsWOCC!$A$5:$Q$50,G122+1,FALSE)*J122*L122</f>
        <v>0</v>
      </c>
      <c r="AL122" s="44">
        <f t="shared" si="53"/>
        <v>2234.4583884787758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2234.4583884787758</v>
      </c>
      <c r="AN122" s="48">
        <f t="shared" si="54"/>
        <v>2457.9042273266537</v>
      </c>
      <c r="AO122" s="47">
        <f t="shared" si="55"/>
        <v>0.74668734505922296</v>
      </c>
      <c r="AP122" s="47">
        <f t="shared" si="56"/>
        <v>1.4348941897953296</v>
      </c>
      <c r="AQ122">
        <v>2020</v>
      </c>
    </row>
    <row r="123" spans="2:43">
      <c r="B123" s="97" t="s">
        <v>70</v>
      </c>
      <c r="C123" s="61">
        <v>18231134</v>
      </c>
      <c r="D123" s="61" t="s">
        <v>176</v>
      </c>
      <c r="E123" s="38" t="s">
        <v>2271</v>
      </c>
      <c r="F123" s="39" t="s">
        <v>2272</v>
      </c>
      <c r="G123" s="39">
        <v>1</v>
      </c>
      <c r="H123" s="39"/>
      <c r="I123" s="40" t="s">
        <v>257</v>
      </c>
      <c r="J123" s="41">
        <v>54</v>
      </c>
      <c r="K123" s="41">
        <v>170</v>
      </c>
      <c r="L123" s="41"/>
      <c r="M123" s="42">
        <v>11.55</v>
      </c>
      <c r="N123" s="42">
        <v>11.55</v>
      </c>
      <c r="O123" s="43">
        <v>9180</v>
      </c>
      <c r="P123" s="44">
        <v>623.70000000000005</v>
      </c>
      <c r="Q123" s="44">
        <v>623.70000000000005</v>
      </c>
      <c r="R123" s="45">
        <v>0.1</v>
      </c>
      <c r="S123" s="46">
        <v>0</v>
      </c>
      <c r="T123" s="39">
        <f t="shared" si="38"/>
        <v>1</v>
      </c>
      <c r="U123" s="47">
        <f t="shared" si="39"/>
        <v>3.8343885210634284E-4</v>
      </c>
      <c r="V123" s="48">
        <f t="shared" si="40"/>
        <v>0</v>
      </c>
      <c r="W123" s="49">
        <f t="shared" si="41"/>
        <v>3.8343885210634284E-4</v>
      </c>
      <c r="X123" s="44">
        <f t="shared" si="42"/>
        <v>944.41720108244374</v>
      </c>
      <c r="Y123" s="44">
        <f t="shared" si="43"/>
        <v>0</v>
      </c>
      <c r="Z123" s="44">
        <f t="shared" si="44"/>
        <v>4858.7703763347954</v>
      </c>
      <c r="AA123" s="50">
        <f t="shared" si="45"/>
        <v>1568.1172010824439</v>
      </c>
      <c r="AB123" s="51">
        <f t="shared" si="46"/>
        <v>4542.1804022948445</v>
      </c>
      <c r="AC123" s="44">
        <f t="shared" si="47"/>
        <v>1465.9411059946187</v>
      </c>
      <c r="AD123" s="44">
        <f t="shared" si="48"/>
        <v>5.0481443395344554</v>
      </c>
      <c r="AE123" s="44">
        <f t="shared" si="49"/>
        <v>0</v>
      </c>
      <c r="AF123" s="52">
        <f>HLOOKUP(I123,ElecAvoidedCostsWOCC!$A$5:$Q$50,G123+1,FALSE)</f>
        <v>8.1625385732676276E-2</v>
      </c>
      <c r="AG123" s="44">
        <f t="shared" si="50"/>
        <v>749.32104102596816</v>
      </c>
      <c r="AH123" s="52">
        <f>HLOOKUP(I123,ElecAvoidedCostsWOCC!$A$5:$Q$50,T123+1,FALSE)</f>
        <v>8.1625385732676276E-2</v>
      </c>
      <c r="AI123" s="44">
        <f t="shared" si="51"/>
        <v>0</v>
      </c>
      <c r="AJ123" s="44">
        <f t="shared" si="52"/>
        <v>749.32104102596816</v>
      </c>
      <c r="AK123" s="44">
        <f>HLOOKUP(I123,ElecAvoidedCostsWOCC!$A$5:$Q$50,G123+1,FALSE)*J123*L123</f>
        <v>0</v>
      </c>
      <c r="AL123" s="44">
        <f t="shared" si="53"/>
        <v>749.32104102596816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749.32104102596827</v>
      </c>
      <c r="AN123" s="48">
        <f t="shared" si="54"/>
        <v>829.30128946809964</v>
      </c>
      <c r="AO123" s="47">
        <f t="shared" si="55"/>
        <v>0.16496945842296115</v>
      </c>
      <c r="AP123" s="47">
        <f t="shared" si="56"/>
        <v>0.56571255562509881</v>
      </c>
      <c r="AQ123">
        <v>2020</v>
      </c>
    </row>
    <row r="124" spans="2:43">
      <c r="B124" s="97" t="s">
        <v>70</v>
      </c>
      <c r="C124" s="61">
        <v>18231134</v>
      </c>
      <c r="D124" s="61" t="s">
        <v>176</v>
      </c>
      <c r="E124" s="38" t="s">
        <v>2273</v>
      </c>
      <c r="F124" s="39" t="s">
        <v>1307</v>
      </c>
      <c r="G124" s="39">
        <v>12</v>
      </c>
      <c r="H124" s="39"/>
      <c r="I124" s="40" t="s">
        <v>257</v>
      </c>
      <c r="J124" s="41">
        <v>2</v>
      </c>
      <c r="K124" s="41">
        <v>54</v>
      </c>
      <c r="L124" s="41"/>
      <c r="M124" s="42">
        <v>37</v>
      </c>
      <c r="N124" s="42">
        <v>37</v>
      </c>
      <c r="O124" s="43">
        <v>108</v>
      </c>
      <c r="P124" s="44">
        <v>74</v>
      </c>
      <c r="Q124" s="44">
        <v>74</v>
      </c>
      <c r="R124" s="45">
        <v>0</v>
      </c>
      <c r="S124" s="46">
        <v>0</v>
      </c>
      <c r="T124" s="39">
        <f t="shared" si="38"/>
        <v>12</v>
      </c>
      <c r="U124" s="47">
        <f t="shared" si="39"/>
        <v>5.4132543826777802E-5</v>
      </c>
      <c r="V124" s="48">
        <f t="shared" si="40"/>
        <v>0</v>
      </c>
      <c r="W124" s="49">
        <f t="shared" si="41"/>
        <v>4.5110453188981505E-6</v>
      </c>
      <c r="X124" s="44">
        <f t="shared" si="42"/>
        <v>11.110790600969926</v>
      </c>
      <c r="Y124" s="44">
        <f t="shared" si="43"/>
        <v>0</v>
      </c>
      <c r="Z124" s="44">
        <f t="shared" si="44"/>
        <v>57.162004427468176</v>
      </c>
      <c r="AA124" s="50">
        <f t="shared" si="45"/>
        <v>85.110790600969921</v>
      </c>
      <c r="AB124" s="51">
        <f t="shared" si="46"/>
        <v>53.437416497586398</v>
      </c>
      <c r="AC124" s="44">
        <f t="shared" si="47"/>
        <v>79.565102926960748</v>
      </c>
      <c r="AD124" s="44">
        <f t="shared" si="48"/>
        <v>0</v>
      </c>
      <c r="AE124" s="44">
        <f t="shared" si="49"/>
        <v>0</v>
      </c>
      <c r="AF124" s="52">
        <f>HLOOKUP(I124,ElecAvoidedCostsWOCC!$A$5:$Q$50,G124+1,FALSE)</f>
        <v>0.86650348716649883</v>
      </c>
      <c r="AG124" s="44">
        <f t="shared" si="50"/>
        <v>93.582376613981879</v>
      </c>
      <c r="AH124" s="52">
        <f>HLOOKUP(I124,ElecAvoidedCostsWOCC!$A$5:$Q$50,T124+1,FALSE)</f>
        <v>0.86650348716649883</v>
      </c>
      <c r="AI124" s="44">
        <f t="shared" si="51"/>
        <v>0</v>
      </c>
      <c r="AJ124" s="44">
        <f t="shared" si="52"/>
        <v>93.582376613981879</v>
      </c>
      <c r="AK124" s="44">
        <f>HLOOKUP(I124,ElecAvoidedCostsWOCC!$A$5:$Q$50,G124+1,FALSE)*J124*L124</f>
        <v>0</v>
      </c>
      <c r="AL124" s="44">
        <f t="shared" si="53"/>
        <v>93.582376613981879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93.582376613981879</v>
      </c>
      <c r="AN124" s="48">
        <f t="shared" si="54"/>
        <v>102.94061427538007</v>
      </c>
      <c r="AO124" s="47">
        <f t="shared" si="55"/>
        <v>1.7512518895483786</v>
      </c>
      <c r="AP124" s="47">
        <f t="shared" si="56"/>
        <v>1.2937910024433399</v>
      </c>
      <c r="AQ124">
        <v>2020</v>
      </c>
    </row>
    <row r="125" spans="2:43">
      <c r="B125" s="97" t="s">
        <v>70</v>
      </c>
      <c r="C125" s="61">
        <v>18231134</v>
      </c>
      <c r="D125" s="61" t="s">
        <v>176</v>
      </c>
      <c r="E125" s="38" t="s">
        <v>2274</v>
      </c>
      <c r="F125" s="39" t="s">
        <v>1307</v>
      </c>
      <c r="G125" s="39">
        <v>12</v>
      </c>
      <c r="H125" s="39"/>
      <c r="I125" s="40" t="s">
        <v>257</v>
      </c>
      <c r="J125" s="41">
        <v>24</v>
      </c>
      <c r="K125" s="41">
        <v>54</v>
      </c>
      <c r="L125" s="41"/>
      <c r="M125" s="42">
        <v>37</v>
      </c>
      <c r="N125" s="42">
        <v>37</v>
      </c>
      <c r="O125" s="43">
        <v>1296</v>
      </c>
      <c r="P125" s="44">
        <v>888</v>
      </c>
      <c r="Q125" s="44">
        <v>888</v>
      </c>
      <c r="R125" s="45">
        <v>0</v>
      </c>
      <c r="S125" s="46">
        <v>0</v>
      </c>
      <c r="T125" s="39">
        <f t="shared" si="38"/>
        <v>12</v>
      </c>
      <c r="U125" s="47">
        <f t="shared" si="39"/>
        <v>6.4959052592133374E-4</v>
      </c>
      <c r="V125" s="48">
        <f t="shared" si="40"/>
        <v>0</v>
      </c>
      <c r="W125" s="49">
        <f t="shared" si="41"/>
        <v>5.4132543826777809E-5</v>
      </c>
      <c r="X125" s="44">
        <f t="shared" si="42"/>
        <v>133.3294872116391</v>
      </c>
      <c r="Y125" s="44">
        <f t="shared" si="43"/>
        <v>0</v>
      </c>
      <c r="Z125" s="44">
        <f t="shared" si="44"/>
        <v>685.94405312961817</v>
      </c>
      <c r="AA125" s="50">
        <f t="shared" si="45"/>
        <v>1021.3294872116392</v>
      </c>
      <c r="AB125" s="51">
        <f t="shared" si="46"/>
        <v>641.24899797103683</v>
      </c>
      <c r="AC125" s="44">
        <f t="shared" si="47"/>
        <v>954.78123512352909</v>
      </c>
      <c r="AD125" s="44">
        <f t="shared" si="48"/>
        <v>0</v>
      </c>
      <c r="AE125" s="44">
        <f t="shared" si="49"/>
        <v>0</v>
      </c>
      <c r="AF125" s="52">
        <f>HLOOKUP(I125,ElecAvoidedCostsWOCC!$A$5:$Q$50,G125+1,FALSE)</f>
        <v>0.86650348716649883</v>
      </c>
      <c r="AG125" s="44">
        <f t="shared" si="50"/>
        <v>1122.9885193677824</v>
      </c>
      <c r="AH125" s="52">
        <f>HLOOKUP(I125,ElecAvoidedCostsWOCC!$A$5:$Q$50,T125+1,FALSE)</f>
        <v>0.86650348716649883</v>
      </c>
      <c r="AI125" s="44">
        <f t="shared" si="51"/>
        <v>0</v>
      </c>
      <c r="AJ125" s="44">
        <f t="shared" si="52"/>
        <v>1122.9885193677824</v>
      </c>
      <c r="AK125" s="44">
        <f>HLOOKUP(I125,ElecAvoidedCostsWOCC!$A$5:$Q$50,G125+1,FALSE)*J125*L125</f>
        <v>0</v>
      </c>
      <c r="AL125" s="44">
        <f t="shared" si="53"/>
        <v>1122.9885193677824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1122.9885193677826</v>
      </c>
      <c r="AN125" s="48">
        <f t="shared" si="54"/>
        <v>1235.287371304561</v>
      </c>
      <c r="AO125" s="47">
        <f t="shared" si="55"/>
        <v>1.7512518895483786</v>
      </c>
      <c r="AP125" s="47">
        <f t="shared" si="56"/>
        <v>1.2937910024433401</v>
      </c>
      <c r="AQ125">
        <v>2020</v>
      </c>
    </row>
    <row r="126" spans="2:43">
      <c r="B126" s="97" t="s">
        <v>70</v>
      </c>
      <c r="C126" s="61">
        <v>18231134</v>
      </c>
      <c r="D126" s="61" t="s">
        <v>176</v>
      </c>
      <c r="E126" s="38" t="s">
        <v>2275</v>
      </c>
      <c r="F126" s="39" t="s">
        <v>1311</v>
      </c>
      <c r="G126" s="39">
        <v>12</v>
      </c>
      <c r="H126" s="39"/>
      <c r="I126" s="40" t="s">
        <v>257</v>
      </c>
      <c r="J126" s="41">
        <v>35</v>
      </c>
      <c r="K126" s="41">
        <v>92</v>
      </c>
      <c r="L126" s="41"/>
      <c r="M126" s="42">
        <v>37</v>
      </c>
      <c r="N126" s="42">
        <v>37</v>
      </c>
      <c r="O126" s="43">
        <v>3220</v>
      </c>
      <c r="P126" s="44">
        <v>1295</v>
      </c>
      <c r="Q126" s="44">
        <v>1295</v>
      </c>
      <c r="R126" s="45">
        <v>0</v>
      </c>
      <c r="S126" s="46">
        <v>0</v>
      </c>
      <c r="T126" s="39">
        <f t="shared" si="38"/>
        <v>12</v>
      </c>
      <c r="U126" s="47">
        <f t="shared" si="39"/>
        <v>1.6139517696502274E-3</v>
      </c>
      <c r="V126" s="48">
        <f t="shared" si="40"/>
        <v>0</v>
      </c>
      <c r="W126" s="49">
        <f t="shared" si="41"/>
        <v>1.3449598080418561E-4</v>
      </c>
      <c r="X126" s="44">
        <f t="shared" si="42"/>
        <v>331.26616421410336</v>
      </c>
      <c r="Y126" s="44">
        <f t="shared" si="43"/>
        <v>0</v>
      </c>
      <c r="Z126" s="44">
        <f t="shared" si="44"/>
        <v>1704.2745764485883</v>
      </c>
      <c r="AA126" s="50">
        <f t="shared" si="45"/>
        <v>1626.2661642141034</v>
      </c>
      <c r="AB126" s="51">
        <f t="shared" si="46"/>
        <v>1593.2266770576687</v>
      </c>
      <c r="AC126" s="44">
        <f t="shared" si="47"/>
        <v>1520.3011724914493</v>
      </c>
      <c r="AD126" s="44">
        <f t="shared" si="48"/>
        <v>0</v>
      </c>
      <c r="AE126" s="44">
        <f t="shared" si="49"/>
        <v>0</v>
      </c>
      <c r="AF126" s="52">
        <f>HLOOKUP(I126,ElecAvoidedCostsWOCC!$A$5:$Q$50,G126+1,FALSE)</f>
        <v>0.86650348716649883</v>
      </c>
      <c r="AG126" s="44">
        <f t="shared" si="50"/>
        <v>2790.141228676126</v>
      </c>
      <c r="AH126" s="52">
        <f>HLOOKUP(I126,ElecAvoidedCostsWOCC!$A$5:$Q$50,T126+1,FALSE)</f>
        <v>0.86650348716649883</v>
      </c>
      <c r="AI126" s="44">
        <f t="shared" si="51"/>
        <v>0</v>
      </c>
      <c r="AJ126" s="44">
        <f t="shared" si="52"/>
        <v>2790.141228676126</v>
      </c>
      <c r="AK126" s="44">
        <f>HLOOKUP(I126,ElecAvoidedCostsWOCC!$A$5:$Q$50,G126+1,FALSE)*J126*L126</f>
        <v>0</v>
      </c>
      <c r="AL126" s="44">
        <f t="shared" si="53"/>
        <v>2790.141228676126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2790.1412286761265</v>
      </c>
      <c r="AN126" s="48">
        <f t="shared" si="54"/>
        <v>3069.1553515437395</v>
      </c>
      <c r="AO126" s="47">
        <f t="shared" si="55"/>
        <v>1.7512518895483786</v>
      </c>
      <c r="AP126" s="47">
        <f t="shared" si="56"/>
        <v>2.0187811514438607</v>
      </c>
      <c r="AQ126">
        <v>2020</v>
      </c>
    </row>
    <row r="127" spans="2:43">
      <c r="B127" s="97" t="s">
        <v>70</v>
      </c>
      <c r="C127" s="61">
        <v>18231134</v>
      </c>
      <c r="D127" s="61" t="s">
        <v>176</v>
      </c>
      <c r="E127" s="38" t="s">
        <v>1310</v>
      </c>
      <c r="F127" s="39" t="s">
        <v>1311</v>
      </c>
      <c r="G127" s="39">
        <v>12</v>
      </c>
      <c r="H127" s="39"/>
      <c r="I127" s="40" t="s">
        <v>257</v>
      </c>
      <c r="J127" s="41">
        <v>120</v>
      </c>
      <c r="K127" s="41">
        <v>91</v>
      </c>
      <c r="L127" s="41"/>
      <c r="M127" s="42">
        <v>37</v>
      </c>
      <c r="N127" s="42">
        <v>37</v>
      </c>
      <c r="O127" s="43">
        <v>10920</v>
      </c>
      <c r="P127" s="44">
        <v>4440</v>
      </c>
      <c r="Q127" s="44">
        <v>4440</v>
      </c>
      <c r="R127" s="45">
        <v>0</v>
      </c>
      <c r="S127" s="46">
        <v>0</v>
      </c>
      <c r="T127" s="39">
        <f t="shared" si="38"/>
        <v>12</v>
      </c>
      <c r="U127" s="47">
        <f t="shared" si="39"/>
        <v>5.4734016535964228E-3</v>
      </c>
      <c r="V127" s="48">
        <f t="shared" si="40"/>
        <v>0</v>
      </c>
      <c r="W127" s="49">
        <f t="shared" si="41"/>
        <v>4.5611680446636858E-4</v>
      </c>
      <c r="X127" s="44">
        <f t="shared" si="42"/>
        <v>1123.4243829869592</v>
      </c>
      <c r="Y127" s="44">
        <f t="shared" si="43"/>
        <v>0</v>
      </c>
      <c r="Z127" s="44">
        <f t="shared" si="44"/>
        <v>5779.7137809995602</v>
      </c>
      <c r="AA127" s="50">
        <f t="shared" si="45"/>
        <v>5563.4243829869592</v>
      </c>
      <c r="AB127" s="51">
        <f t="shared" si="46"/>
        <v>5403.1165569781806</v>
      </c>
      <c r="AC127" s="44">
        <f t="shared" si="47"/>
        <v>5200.9202421117689</v>
      </c>
      <c r="AD127" s="44">
        <f t="shared" si="48"/>
        <v>0</v>
      </c>
      <c r="AE127" s="44">
        <f t="shared" si="49"/>
        <v>0</v>
      </c>
      <c r="AF127" s="52">
        <f>HLOOKUP(I127,ElecAvoidedCostsWOCC!$A$5:$Q$50,G127+1,FALSE)</f>
        <v>0.86650348716649883</v>
      </c>
      <c r="AG127" s="44">
        <f t="shared" si="50"/>
        <v>9462.2180798581667</v>
      </c>
      <c r="AH127" s="52">
        <f>HLOOKUP(I127,ElecAvoidedCostsWOCC!$A$5:$Q$50,T127+1,FALSE)</f>
        <v>0.86650348716649883</v>
      </c>
      <c r="AI127" s="44">
        <f t="shared" si="51"/>
        <v>0</v>
      </c>
      <c r="AJ127" s="44">
        <f t="shared" si="52"/>
        <v>9462.2180798581667</v>
      </c>
      <c r="AK127" s="44">
        <f>HLOOKUP(I127,ElecAvoidedCostsWOCC!$A$5:$Q$50,G127+1,FALSE)*J127*L127</f>
        <v>0</v>
      </c>
      <c r="AL127" s="44">
        <f t="shared" si="53"/>
        <v>9462.2180798581667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9462.2180798581685</v>
      </c>
      <c r="AN127" s="48">
        <f t="shared" si="54"/>
        <v>10408.439887843986</v>
      </c>
      <c r="AO127" s="47">
        <f t="shared" si="55"/>
        <v>1.7512518895483786</v>
      </c>
      <c r="AP127" s="47">
        <f t="shared" si="56"/>
        <v>2.0012688915255827</v>
      </c>
      <c r="AQ127">
        <v>2020</v>
      </c>
    </row>
    <row r="128" spans="2:43">
      <c r="B128" s="97" t="s">
        <v>70</v>
      </c>
      <c r="C128" s="61">
        <v>18231134</v>
      </c>
      <c r="D128" s="61" t="s">
        <v>176</v>
      </c>
      <c r="E128" s="38" t="s">
        <v>2276</v>
      </c>
      <c r="F128" s="39" t="s">
        <v>1314</v>
      </c>
      <c r="G128" s="39">
        <v>12</v>
      </c>
      <c r="H128" s="39"/>
      <c r="I128" s="40" t="s">
        <v>257</v>
      </c>
      <c r="J128" s="41">
        <v>176</v>
      </c>
      <c r="K128" s="41">
        <v>183</v>
      </c>
      <c r="L128" s="41"/>
      <c r="M128" s="42">
        <v>65</v>
      </c>
      <c r="N128" s="42">
        <v>65</v>
      </c>
      <c r="O128" s="43">
        <v>32208</v>
      </c>
      <c r="P128" s="44">
        <v>11440</v>
      </c>
      <c r="Q128" s="44">
        <v>11440</v>
      </c>
      <c r="R128" s="45">
        <v>0</v>
      </c>
      <c r="S128" s="46">
        <v>0</v>
      </c>
      <c r="T128" s="39">
        <f t="shared" si="38"/>
        <v>12</v>
      </c>
      <c r="U128" s="47">
        <f t="shared" si="39"/>
        <v>1.6143527514563515E-2</v>
      </c>
      <c r="V128" s="48">
        <f t="shared" si="40"/>
        <v>0</v>
      </c>
      <c r="W128" s="49">
        <f t="shared" si="41"/>
        <v>1.3452939595469597E-3</v>
      </c>
      <c r="X128" s="44">
        <f t="shared" si="42"/>
        <v>3313.4846636670313</v>
      </c>
      <c r="Y128" s="44">
        <f t="shared" si="43"/>
        <v>0</v>
      </c>
      <c r="Z128" s="44">
        <f t="shared" si="44"/>
        <v>17046.979987036066</v>
      </c>
      <c r="AA128" s="50">
        <f t="shared" si="45"/>
        <v>14753.484663667032</v>
      </c>
      <c r="AB128" s="51">
        <f t="shared" si="46"/>
        <v>15936.225097724655</v>
      </c>
      <c r="AC128" s="44">
        <f t="shared" si="47"/>
        <v>13792.170387647968</v>
      </c>
      <c r="AD128" s="44">
        <f t="shared" si="48"/>
        <v>0</v>
      </c>
      <c r="AE128" s="44">
        <f t="shared" si="49"/>
        <v>0</v>
      </c>
      <c r="AF128" s="52">
        <f>HLOOKUP(I128,ElecAvoidedCostsWOCC!$A$5:$Q$50,G128+1,FALSE)</f>
        <v>0.86650348716649883</v>
      </c>
      <c r="AG128" s="44">
        <f t="shared" si="50"/>
        <v>27908.344314658592</v>
      </c>
      <c r="AH128" s="52">
        <f>HLOOKUP(I128,ElecAvoidedCostsWOCC!$A$5:$Q$50,T128+1,FALSE)</f>
        <v>0.86650348716649883</v>
      </c>
      <c r="AI128" s="44">
        <f t="shared" si="51"/>
        <v>0</v>
      </c>
      <c r="AJ128" s="44">
        <f t="shared" si="52"/>
        <v>27908.344314658592</v>
      </c>
      <c r="AK128" s="44">
        <f>HLOOKUP(I128,ElecAvoidedCostsWOCC!$A$5:$Q$50,G128+1,FALSE)*J128*L128</f>
        <v>0</v>
      </c>
      <c r="AL128" s="44">
        <f t="shared" si="53"/>
        <v>27908.344314658592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27908.344314658592</v>
      </c>
      <c r="AN128" s="48">
        <f t="shared" si="54"/>
        <v>30699.178746124453</v>
      </c>
      <c r="AO128" s="47">
        <f t="shared" si="55"/>
        <v>1.7512518895483784</v>
      </c>
      <c r="AP128" s="47">
        <f t="shared" si="56"/>
        <v>2.2258410303296507</v>
      </c>
      <c r="AQ128">
        <v>2020</v>
      </c>
    </row>
    <row r="129" spans="2:43">
      <c r="B129" s="97" t="s">
        <v>70</v>
      </c>
      <c r="C129" s="61">
        <v>18231134</v>
      </c>
      <c r="D129" s="61" t="s">
        <v>176</v>
      </c>
      <c r="E129" s="38" t="s">
        <v>1313</v>
      </c>
      <c r="F129" s="39" t="s">
        <v>1314</v>
      </c>
      <c r="G129" s="39">
        <v>12</v>
      </c>
      <c r="H129" s="39"/>
      <c r="I129" s="40" t="s">
        <v>257</v>
      </c>
      <c r="J129" s="41">
        <v>808</v>
      </c>
      <c r="K129" s="41">
        <v>181</v>
      </c>
      <c r="L129" s="41"/>
      <c r="M129" s="42">
        <v>65</v>
      </c>
      <c r="N129" s="42">
        <v>65</v>
      </c>
      <c r="O129" s="43">
        <v>146248</v>
      </c>
      <c r="P129" s="44">
        <v>52520</v>
      </c>
      <c r="Q129" s="44">
        <v>52520</v>
      </c>
      <c r="R129" s="45">
        <v>0</v>
      </c>
      <c r="S129" s="46">
        <v>0</v>
      </c>
      <c r="T129" s="39">
        <f t="shared" si="38"/>
        <v>12</v>
      </c>
      <c r="U129" s="47">
        <f t="shared" si="39"/>
        <v>7.3303483977579631E-2</v>
      </c>
      <c r="V129" s="48">
        <f t="shared" si="40"/>
        <v>0</v>
      </c>
      <c r="W129" s="49">
        <f t="shared" si="41"/>
        <v>6.1086236647983029E-3</v>
      </c>
      <c r="X129" s="44">
        <f t="shared" si="42"/>
        <v>15045.656516765273</v>
      </c>
      <c r="Y129" s="44">
        <f t="shared" si="43"/>
        <v>0</v>
      </c>
      <c r="Z129" s="44">
        <f t="shared" si="44"/>
        <v>77405.822439892276</v>
      </c>
      <c r="AA129" s="50">
        <f t="shared" si="45"/>
        <v>67565.656516765273</v>
      </c>
      <c r="AB129" s="51">
        <f t="shared" si="46"/>
        <v>72362.178592027922</v>
      </c>
      <c r="AC129" s="44">
        <f t="shared" si="47"/>
        <v>63163.182683710635</v>
      </c>
      <c r="AD129" s="44">
        <f t="shared" si="48"/>
        <v>0</v>
      </c>
      <c r="AE129" s="44">
        <f t="shared" si="49"/>
        <v>0</v>
      </c>
      <c r="AF129" s="52">
        <f>HLOOKUP(I129,ElecAvoidedCostsWOCC!$A$5:$Q$50,G129+1,FALSE)</f>
        <v>0.86650348716649883</v>
      </c>
      <c r="AG129" s="44">
        <f t="shared" si="50"/>
        <v>126724.40199112613</v>
      </c>
      <c r="AH129" s="52">
        <f>HLOOKUP(I129,ElecAvoidedCostsWOCC!$A$5:$Q$50,T129+1,FALSE)</f>
        <v>0.86650348716649883</v>
      </c>
      <c r="AI129" s="44">
        <f t="shared" si="51"/>
        <v>0</v>
      </c>
      <c r="AJ129" s="44">
        <f t="shared" si="52"/>
        <v>126724.40199112613</v>
      </c>
      <c r="AK129" s="44">
        <f>HLOOKUP(I129,ElecAvoidedCostsWOCC!$A$5:$Q$50,G129+1,FALSE)*J129*L129</f>
        <v>0</v>
      </c>
      <c r="AL129" s="44">
        <f t="shared" si="53"/>
        <v>126724.40199112613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126724.40199112611</v>
      </c>
      <c r="AN129" s="48">
        <f t="shared" si="54"/>
        <v>139396.84219023873</v>
      </c>
      <c r="AO129" s="47">
        <f t="shared" si="55"/>
        <v>1.7512518895483784</v>
      </c>
      <c r="AP129" s="47">
        <f t="shared" si="56"/>
        <v>2.2069318908179123</v>
      </c>
      <c r="AQ129">
        <v>2020</v>
      </c>
    </row>
    <row r="130" spans="2:43">
      <c r="B130" s="97" t="s">
        <v>70</v>
      </c>
      <c r="C130" s="61">
        <v>18231134</v>
      </c>
      <c r="D130" s="61" t="s">
        <v>176</v>
      </c>
      <c r="E130" s="38" t="s">
        <v>1316</v>
      </c>
      <c r="F130" s="39" t="s">
        <v>1317</v>
      </c>
      <c r="G130" s="39">
        <v>12</v>
      </c>
      <c r="H130" s="39"/>
      <c r="I130" s="40" t="s">
        <v>257</v>
      </c>
      <c r="J130" s="41">
        <v>2</v>
      </c>
      <c r="K130" s="41">
        <v>417</v>
      </c>
      <c r="L130" s="41"/>
      <c r="M130" s="42">
        <v>65</v>
      </c>
      <c r="N130" s="42">
        <v>65</v>
      </c>
      <c r="O130" s="43">
        <v>834</v>
      </c>
      <c r="P130" s="44">
        <v>130</v>
      </c>
      <c r="Q130" s="44">
        <v>130</v>
      </c>
      <c r="R130" s="45">
        <v>0</v>
      </c>
      <c r="S130" s="46">
        <v>0</v>
      </c>
      <c r="T130" s="39">
        <f t="shared" si="38"/>
        <v>12</v>
      </c>
      <c r="U130" s="47">
        <f t="shared" si="39"/>
        <v>4.18023532884562E-4</v>
      </c>
      <c r="V130" s="48">
        <f t="shared" si="40"/>
        <v>0</v>
      </c>
      <c r="W130" s="49">
        <f t="shared" si="41"/>
        <v>3.4835294407046831E-5</v>
      </c>
      <c r="X130" s="44">
        <f t="shared" si="42"/>
        <v>85.799994085267755</v>
      </c>
      <c r="Y130" s="44">
        <f t="shared" si="43"/>
        <v>0</v>
      </c>
      <c r="Z130" s="44">
        <f t="shared" si="44"/>
        <v>441.4177008565598</v>
      </c>
      <c r="AA130" s="50">
        <f t="shared" si="45"/>
        <v>215.79999408526777</v>
      </c>
      <c r="AB130" s="51">
        <f t="shared" si="46"/>
        <v>412.6556051758061</v>
      </c>
      <c r="AC130" s="44">
        <f t="shared" si="47"/>
        <v>201.73879974316887</v>
      </c>
      <c r="AD130" s="44">
        <f t="shared" si="48"/>
        <v>0</v>
      </c>
      <c r="AE130" s="44">
        <f t="shared" si="49"/>
        <v>0</v>
      </c>
      <c r="AF130" s="52">
        <f>HLOOKUP(I130,ElecAvoidedCostsWOCC!$A$5:$Q$50,G130+1,FALSE)</f>
        <v>0.86650348716649883</v>
      </c>
      <c r="AG130" s="44">
        <f t="shared" si="50"/>
        <v>722.66390829685997</v>
      </c>
      <c r="AH130" s="52">
        <f>HLOOKUP(I130,ElecAvoidedCostsWOCC!$A$5:$Q$50,T130+1,FALSE)</f>
        <v>0.86650348716649883</v>
      </c>
      <c r="AI130" s="44">
        <f t="shared" si="51"/>
        <v>0</v>
      </c>
      <c r="AJ130" s="44">
        <f t="shared" si="52"/>
        <v>722.66390829685997</v>
      </c>
      <c r="AK130" s="44">
        <f>HLOOKUP(I130,ElecAvoidedCostsWOCC!$A$5:$Q$50,G130+1,FALSE)*J130*L130</f>
        <v>0</v>
      </c>
      <c r="AL130" s="44">
        <f t="shared" si="53"/>
        <v>722.66390829685997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722.66390829685997</v>
      </c>
      <c r="AN130" s="48">
        <f t="shared" si="54"/>
        <v>794.93029912654606</v>
      </c>
      <c r="AO130" s="47">
        <f t="shared" si="55"/>
        <v>1.7512518895483782</v>
      </c>
      <c r="AP130" s="47">
        <f t="shared" si="56"/>
        <v>3.9403937177110295</v>
      </c>
      <c r="AQ130">
        <v>2020</v>
      </c>
    </row>
    <row r="131" spans="2:43">
      <c r="B131" s="97" t="s">
        <v>70</v>
      </c>
      <c r="C131" s="61">
        <v>18231134</v>
      </c>
      <c r="D131" s="61" t="s">
        <v>176</v>
      </c>
      <c r="E131" s="38" t="s">
        <v>1319</v>
      </c>
      <c r="F131" s="39" t="s">
        <v>1320</v>
      </c>
      <c r="G131" s="39">
        <v>12</v>
      </c>
      <c r="H131" s="39"/>
      <c r="I131" s="40" t="s">
        <v>257</v>
      </c>
      <c r="J131" s="41">
        <v>283</v>
      </c>
      <c r="K131" s="41">
        <v>272</v>
      </c>
      <c r="L131" s="41"/>
      <c r="M131" s="42">
        <v>100</v>
      </c>
      <c r="N131" s="42">
        <v>100</v>
      </c>
      <c r="O131" s="43">
        <v>76976</v>
      </c>
      <c r="P131" s="44">
        <v>28300</v>
      </c>
      <c r="Q131" s="44">
        <v>28300</v>
      </c>
      <c r="R131" s="45">
        <v>0</v>
      </c>
      <c r="S131" s="46">
        <v>0</v>
      </c>
      <c r="T131" s="39">
        <f t="shared" si="38"/>
        <v>12</v>
      </c>
      <c r="U131" s="47">
        <f t="shared" si="39"/>
        <v>3.8582469385278227E-2</v>
      </c>
      <c r="V131" s="48">
        <f t="shared" si="40"/>
        <v>0</v>
      </c>
      <c r="W131" s="49">
        <f t="shared" si="41"/>
        <v>3.2152057821065189E-3</v>
      </c>
      <c r="X131" s="44">
        <f t="shared" si="42"/>
        <v>7919.1131231505651</v>
      </c>
      <c r="Y131" s="44">
        <f t="shared" si="43"/>
        <v>0</v>
      </c>
      <c r="Z131" s="44">
        <f t="shared" si="44"/>
        <v>40741.689377859169</v>
      </c>
      <c r="AA131" s="50">
        <f t="shared" si="45"/>
        <v>36219.113123150564</v>
      </c>
      <c r="AB131" s="51">
        <f t="shared" si="46"/>
        <v>38087.023817761212</v>
      </c>
      <c r="AC131" s="44">
        <f t="shared" si="47"/>
        <v>33859.131647331553</v>
      </c>
      <c r="AD131" s="44">
        <f t="shared" si="48"/>
        <v>0</v>
      </c>
      <c r="AE131" s="44">
        <f t="shared" si="49"/>
        <v>0</v>
      </c>
      <c r="AF131" s="52">
        <f>HLOOKUP(I131,ElecAvoidedCostsWOCC!$A$5:$Q$50,G131+1,FALSE)</f>
        <v>0.86650348716649883</v>
      </c>
      <c r="AG131" s="44">
        <f t="shared" si="50"/>
        <v>66699.972428128414</v>
      </c>
      <c r="AH131" s="52">
        <f>HLOOKUP(I131,ElecAvoidedCostsWOCC!$A$5:$Q$50,T131+1,FALSE)</f>
        <v>0.86650348716649883</v>
      </c>
      <c r="AI131" s="44">
        <f t="shared" si="51"/>
        <v>0</v>
      </c>
      <c r="AJ131" s="44">
        <f t="shared" si="52"/>
        <v>66699.972428128414</v>
      </c>
      <c r="AK131" s="44">
        <f>HLOOKUP(I131,ElecAvoidedCostsWOCC!$A$5:$Q$50,G131+1,FALSE)*J131*L131</f>
        <v>0</v>
      </c>
      <c r="AL131" s="44">
        <f t="shared" si="53"/>
        <v>66699.972428128414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66699.972428128414</v>
      </c>
      <c r="AN131" s="48">
        <f t="shared" si="54"/>
        <v>73369.969670941267</v>
      </c>
      <c r="AO131" s="47">
        <f t="shared" si="55"/>
        <v>1.7512518895483784</v>
      </c>
      <c r="AP131" s="47">
        <f t="shared" si="56"/>
        <v>2.1669182315466609</v>
      </c>
      <c r="AQ131">
        <v>2020</v>
      </c>
    </row>
    <row r="132" spans="2:43">
      <c r="B132" s="97" t="s">
        <v>70</v>
      </c>
      <c r="C132" s="61">
        <v>18231134</v>
      </c>
      <c r="D132" s="61" t="s">
        <v>176</v>
      </c>
      <c r="E132" s="38" t="s">
        <v>2277</v>
      </c>
      <c r="F132" s="39" t="s">
        <v>1323</v>
      </c>
      <c r="G132" s="39">
        <v>12</v>
      </c>
      <c r="H132" s="39"/>
      <c r="I132" s="40" t="s">
        <v>257</v>
      </c>
      <c r="J132" s="41">
        <v>22</v>
      </c>
      <c r="K132" s="41">
        <v>367</v>
      </c>
      <c r="L132" s="41"/>
      <c r="M132" s="42">
        <v>127</v>
      </c>
      <c r="N132" s="42">
        <v>127</v>
      </c>
      <c r="O132" s="43">
        <v>8074</v>
      </c>
      <c r="P132" s="44">
        <v>2794</v>
      </c>
      <c r="Q132" s="44">
        <v>2794</v>
      </c>
      <c r="R132" s="45">
        <v>0</v>
      </c>
      <c r="S132" s="46">
        <v>0</v>
      </c>
      <c r="T132" s="39">
        <f t="shared" si="38"/>
        <v>12</v>
      </c>
      <c r="U132" s="47">
        <f t="shared" si="39"/>
        <v>4.0469088783092969E-3</v>
      </c>
      <c r="V132" s="48">
        <f t="shared" si="40"/>
        <v>0</v>
      </c>
      <c r="W132" s="49">
        <f t="shared" si="41"/>
        <v>3.3724240652577471E-4</v>
      </c>
      <c r="X132" s="44">
        <f t="shared" si="42"/>
        <v>830.63447511325171</v>
      </c>
      <c r="Y132" s="44">
        <f t="shared" si="43"/>
        <v>0</v>
      </c>
      <c r="Z132" s="44">
        <f t="shared" si="44"/>
        <v>4273.3891087720185</v>
      </c>
      <c r="AA132" s="50">
        <f t="shared" si="45"/>
        <v>3624.6344751132519</v>
      </c>
      <c r="AB132" s="51">
        <f t="shared" si="46"/>
        <v>3994.9416740880793</v>
      </c>
      <c r="AC132" s="44">
        <f t="shared" si="47"/>
        <v>3388.4588904489592</v>
      </c>
      <c r="AD132" s="44">
        <f t="shared" si="48"/>
        <v>0</v>
      </c>
      <c r="AE132" s="44">
        <f t="shared" si="49"/>
        <v>0</v>
      </c>
      <c r="AF132" s="52">
        <f>HLOOKUP(I132,ElecAvoidedCostsWOCC!$A$5:$Q$50,G132+1,FALSE)</f>
        <v>0.86650348716649883</v>
      </c>
      <c r="AG132" s="44">
        <f t="shared" si="50"/>
        <v>6996.1491553823107</v>
      </c>
      <c r="AH132" s="52">
        <f>HLOOKUP(I132,ElecAvoidedCostsWOCC!$A$5:$Q$50,T132+1,FALSE)</f>
        <v>0.86650348716649883</v>
      </c>
      <c r="AI132" s="44">
        <f t="shared" si="51"/>
        <v>0</v>
      </c>
      <c r="AJ132" s="44">
        <f t="shared" si="52"/>
        <v>6996.1491553823107</v>
      </c>
      <c r="AK132" s="44">
        <f>HLOOKUP(I132,ElecAvoidedCostsWOCC!$A$5:$Q$50,G132+1,FALSE)*J132*L132</f>
        <v>0</v>
      </c>
      <c r="AL132" s="44">
        <f t="shared" si="53"/>
        <v>6996.1491553823107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6996.1491553823125</v>
      </c>
      <c r="AN132" s="48">
        <f t="shared" si="54"/>
        <v>7695.7640709205443</v>
      </c>
      <c r="AO132" s="47">
        <f t="shared" si="55"/>
        <v>1.7512518895483788</v>
      </c>
      <c r="AP132" s="47">
        <f t="shared" si="56"/>
        <v>2.2711693780947368</v>
      </c>
      <c r="AQ132">
        <v>2020</v>
      </c>
    </row>
    <row r="133" spans="2:43">
      <c r="B133" s="97" t="s">
        <v>70</v>
      </c>
      <c r="C133" s="61">
        <v>18231134</v>
      </c>
      <c r="D133" s="61" t="s">
        <v>176</v>
      </c>
      <c r="E133" s="38" t="s">
        <v>1322</v>
      </c>
      <c r="F133" s="39" t="s">
        <v>1323</v>
      </c>
      <c r="G133" s="39">
        <v>12</v>
      </c>
      <c r="H133" s="39"/>
      <c r="I133" s="40" t="s">
        <v>257</v>
      </c>
      <c r="J133" s="41">
        <v>445</v>
      </c>
      <c r="K133" s="41">
        <v>363</v>
      </c>
      <c r="L133" s="41"/>
      <c r="M133" s="42">
        <v>127</v>
      </c>
      <c r="N133" s="42">
        <v>127</v>
      </c>
      <c r="O133" s="43">
        <v>161535</v>
      </c>
      <c r="P133" s="44">
        <v>56515</v>
      </c>
      <c r="Q133" s="44">
        <v>56515</v>
      </c>
      <c r="R133" s="45">
        <v>0</v>
      </c>
      <c r="S133" s="46">
        <v>0</v>
      </c>
      <c r="T133" s="39">
        <f t="shared" si="38"/>
        <v>12</v>
      </c>
      <c r="U133" s="47">
        <f t="shared" si="39"/>
        <v>8.0965745065356975E-2</v>
      </c>
      <c r="V133" s="48">
        <f t="shared" si="40"/>
        <v>0</v>
      </c>
      <c r="W133" s="49">
        <f t="shared" si="41"/>
        <v>6.747145422113081E-3</v>
      </c>
      <c r="X133" s="44">
        <f t="shared" si="42"/>
        <v>16618.347775256269</v>
      </c>
      <c r="Y133" s="44">
        <f t="shared" si="43"/>
        <v>0</v>
      </c>
      <c r="Z133" s="44">
        <f t="shared" si="44"/>
        <v>85496.892455472873</v>
      </c>
      <c r="AA133" s="50">
        <f t="shared" si="45"/>
        <v>73133.347775256261</v>
      </c>
      <c r="AB133" s="51">
        <f t="shared" si="46"/>
        <v>79926.046980903862</v>
      </c>
      <c r="AC133" s="44">
        <f t="shared" si="47"/>
        <v>68368.091778308168</v>
      </c>
      <c r="AD133" s="44">
        <f t="shared" si="48"/>
        <v>0</v>
      </c>
      <c r="AE133" s="44">
        <f t="shared" si="49"/>
        <v>0</v>
      </c>
      <c r="AF133" s="52">
        <f>HLOOKUP(I133,ElecAvoidedCostsWOCC!$A$5:$Q$50,G133+1,FALSE)</f>
        <v>0.86650348716649883</v>
      </c>
      <c r="AG133" s="44">
        <f t="shared" si="50"/>
        <v>139970.64079944039</v>
      </c>
      <c r="AH133" s="52">
        <f>HLOOKUP(I133,ElecAvoidedCostsWOCC!$A$5:$Q$50,T133+1,FALSE)</f>
        <v>0.86650348716649883</v>
      </c>
      <c r="AI133" s="44">
        <f t="shared" si="51"/>
        <v>0</v>
      </c>
      <c r="AJ133" s="44">
        <f t="shared" si="52"/>
        <v>139970.64079944039</v>
      </c>
      <c r="AK133" s="44">
        <f>HLOOKUP(I133,ElecAvoidedCostsWOCC!$A$5:$Q$50,G133+1,FALSE)*J133*L133</f>
        <v>0</v>
      </c>
      <c r="AL133" s="44">
        <f t="shared" si="53"/>
        <v>139970.64079944039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139970.64079944039</v>
      </c>
      <c r="AN133" s="48">
        <f t="shared" si="54"/>
        <v>153967.70487938443</v>
      </c>
      <c r="AO133" s="47">
        <f t="shared" si="55"/>
        <v>1.7512518895483788</v>
      </c>
      <c r="AP133" s="47">
        <f t="shared" si="56"/>
        <v>2.2520404018097127</v>
      </c>
      <c r="AQ133">
        <v>2020</v>
      </c>
    </row>
    <row r="134" spans="2:43">
      <c r="B134" s="97" t="s">
        <v>70</v>
      </c>
      <c r="C134" s="61">
        <v>18231134</v>
      </c>
      <c r="D134" s="61" t="s">
        <v>176</v>
      </c>
      <c r="E134" s="38" t="s">
        <v>2278</v>
      </c>
      <c r="F134" s="39" t="s">
        <v>1326</v>
      </c>
      <c r="G134" s="39">
        <v>12</v>
      </c>
      <c r="H134" s="39"/>
      <c r="I134" s="40" t="s">
        <v>257</v>
      </c>
      <c r="J134" s="41">
        <v>46</v>
      </c>
      <c r="K134" s="41">
        <v>834</v>
      </c>
      <c r="L134" s="41"/>
      <c r="M134" s="42">
        <v>127</v>
      </c>
      <c r="N134" s="42">
        <v>127</v>
      </c>
      <c r="O134" s="43">
        <v>38364</v>
      </c>
      <c r="P134" s="44">
        <v>5842</v>
      </c>
      <c r="Q134" s="44">
        <v>5842</v>
      </c>
      <c r="R134" s="45">
        <v>0</v>
      </c>
      <c r="S134" s="46">
        <v>0</v>
      </c>
      <c r="T134" s="39">
        <f t="shared" si="38"/>
        <v>12</v>
      </c>
      <c r="U134" s="47">
        <f t="shared" si="39"/>
        <v>1.922908251268985E-2</v>
      </c>
      <c r="V134" s="48">
        <f t="shared" si="40"/>
        <v>0</v>
      </c>
      <c r="W134" s="49">
        <f t="shared" si="41"/>
        <v>1.6024235427241542E-3</v>
      </c>
      <c r="X134" s="44">
        <f t="shared" si="42"/>
        <v>3946.7997279223168</v>
      </c>
      <c r="Y134" s="44">
        <f t="shared" si="43"/>
        <v>0</v>
      </c>
      <c r="Z134" s="44">
        <f t="shared" si="44"/>
        <v>20305.21423940175</v>
      </c>
      <c r="AA134" s="50">
        <f t="shared" si="45"/>
        <v>9788.7997279223164</v>
      </c>
      <c r="AB134" s="51">
        <f t="shared" si="46"/>
        <v>18982.157838087078</v>
      </c>
      <c r="AC134" s="44">
        <f t="shared" si="47"/>
        <v>9150.9766550643308</v>
      </c>
      <c r="AD134" s="44">
        <f t="shared" si="48"/>
        <v>0</v>
      </c>
      <c r="AE134" s="44">
        <f t="shared" si="49"/>
        <v>0</v>
      </c>
      <c r="AF134" s="52">
        <f>HLOOKUP(I134,ElecAvoidedCostsWOCC!$A$5:$Q$50,G134+1,FALSE)</f>
        <v>0.86650348716649883</v>
      </c>
      <c r="AG134" s="44">
        <f t="shared" si="50"/>
        <v>33242.539781655563</v>
      </c>
      <c r="AH134" s="52">
        <f>HLOOKUP(I134,ElecAvoidedCostsWOCC!$A$5:$Q$50,T134+1,FALSE)</f>
        <v>0.86650348716649883</v>
      </c>
      <c r="AI134" s="44">
        <f t="shared" si="51"/>
        <v>0</v>
      </c>
      <c r="AJ134" s="44">
        <f t="shared" si="52"/>
        <v>33242.539781655563</v>
      </c>
      <c r="AK134" s="44">
        <f>HLOOKUP(I134,ElecAvoidedCostsWOCC!$A$5:$Q$50,G134+1,FALSE)*J134*L134</f>
        <v>0</v>
      </c>
      <c r="AL134" s="44">
        <f t="shared" si="53"/>
        <v>33242.539781655563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33242.539781655556</v>
      </c>
      <c r="AN134" s="48">
        <f t="shared" si="54"/>
        <v>36566.793759821114</v>
      </c>
      <c r="AO134" s="47">
        <f t="shared" si="55"/>
        <v>1.7512518895483784</v>
      </c>
      <c r="AP134" s="47">
        <f t="shared" si="56"/>
        <v>3.995944382568644</v>
      </c>
      <c r="AQ134">
        <v>2020</v>
      </c>
    </row>
    <row r="135" spans="2:43">
      <c r="B135" s="97" t="s">
        <v>70</v>
      </c>
      <c r="C135" s="61">
        <v>18231134</v>
      </c>
      <c r="D135" s="61" t="s">
        <v>176</v>
      </c>
      <c r="E135" s="38" t="s">
        <v>1327</v>
      </c>
      <c r="F135" s="39" t="s">
        <v>1328</v>
      </c>
      <c r="G135" s="39">
        <v>9</v>
      </c>
      <c r="H135" s="39"/>
      <c r="I135" s="40" t="s">
        <v>256</v>
      </c>
      <c r="J135" s="41">
        <v>48</v>
      </c>
      <c r="K135" s="41">
        <v>153.30000000000001</v>
      </c>
      <c r="L135" s="41"/>
      <c r="M135" s="42">
        <v>60</v>
      </c>
      <c r="N135" s="42">
        <v>60</v>
      </c>
      <c r="O135" s="43">
        <v>7358.4</v>
      </c>
      <c r="P135" s="44">
        <v>2880</v>
      </c>
      <c r="Q135" s="44">
        <v>2880</v>
      </c>
      <c r="R135" s="45"/>
      <c r="S135" s="46"/>
      <c r="T135" s="39">
        <f t="shared" si="38"/>
        <v>9</v>
      </c>
      <c r="U135" s="47">
        <f t="shared" si="39"/>
        <v>2.7661729895483459E-3</v>
      </c>
      <c r="V135" s="48">
        <f t="shared" si="40"/>
        <v>0</v>
      </c>
      <c r="W135" s="49">
        <f t="shared" si="41"/>
        <v>3.0735255439426064E-4</v>
      </c>
      <c r="X135" s="44">
        <f t="shared" si="42"/>
        <v>757.01519961275085</v>
      </c>
      <c r="Y135" s="44">
        <f t="shared" si="43"/>
        <v>0</v>
      </c>
      <c r="Z135" s="44">
        <f t="shared" si="44"/>
        <v>3894.637901658165</v>
      </c>
      <c r="AA135" s="50">
        <f t="shared" si="45"/>
        <v>3637.0151996127506</v>
      </c>
      <c r="AB135" s="51">
        <f t="shared" si="46"/>
        <v>3640.86931070222</v>
      </c>
      <c r="AC135" s="44">
        <f t="shared" si="47"/>
        <v>3400.0329060603444</v>
      </c>
      <c r="AD135" s="44">
        <f t="shared" si="48"/>
        <v>0</v>
      </c>
      <c r="AE135" s="44">
        <f t="shared" si="49"/>
        <v>0</v>
      </c>
      <c r="AF135" s="52">
        <f>HLOOKUP(I135,ElecAvoidedCostsWOCC!$A$5:$Q$50,G135+1,FALSE)</f>
        <v>0.63677272899882087</v>
      </c>
      <c r="AG135" s="44">
        <f t="shared" si="50"/>
        <v>4685.6284490649232</v>
      </c>
      <c r="AH135" s="52">
        <f>HLOOKUP(I135,ElecAvoidedCostsWOCC!$A$5:$Q$50,T135+1,FALSE)</f>
        <v>0.63677272899882087</v>
      </c>
      <c r="AI135" s="44">
        <f t="shared" si="51"/>
        <v>0</v>
      </c>
      <c r="AJ135" s="44">
        <f t="shared" si="52"/>
        <v>4685.6284490649232</v>
      </c>
      <c r="AK135" s="44">
        <f>HLOOKUP(I135,ElecAvoidedCostsWOCC!$A$5:$Q$50,G135+1,FALSE)*J135*L135</f>
        <v>0</v>
      </c>
      <c r="AL135" s="44">
        <f t="shared" si="53"/>
        <v>4685.6284490649232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4685.6284490649241</v>
      </c>
      <c r="AN135" s="48">
        <f t="shared" si="54"/>
        <v>5154.1912939714166</v>
      </c>
      <c r="AO135" s="47">
        <f t="shared" si="55"/>
        <v>1.2869532106773698</v>
      </c>
      <c r="AP135" s="47">
        <f t="shared" si="56"/>
        <v>1.5159239443784192</v>
      </c>
      <c r="AQ135">
        <v>2020</v>
      </c>
    </row>
    <row r="136" spans="2:43">
      <c r="B136" s="97" t="s">
        <v>70</v>
      </c>
      <c r="C136" s="61">
        <v>18231134</v>
      </c>
      <c r="D136" s="61" t="s">
        <v>176</v>
      </c>
      <c r="E136" s="38" t="s">
        <v>2279</v>
      </c>
      <c r="F136" s="39" t="s">
        <v>1331</v>
      </c>
      <c r="G136" s="39">
        <v>16</v>
      </c>
      <c r="H136" s="39"/>
      <c r="I136" s="40" t="s">
        <v>257</v>
      </c>
      <c r="J136" s="41">
        <v>1</v>
      </c>
      <c r="K136" s="41">
        <v>408</v>
      </c>
      <c r="L136" s="41"/>
      <c r="M136" s="42">
        <v>130.65</v>
      </c>
      <c r="N136" s="42">
        <v>130.65</v>
      </c>
      <c r="O136" s="43">
        <v>408</v>
      </c>
      <c r="P136" s="44">
        <v>130.65</v>
      </c>
      <c r="Q136" s="44">
        <v>130.65</v>
      </c>
      <c r="R136" s="45">
        <v>0</v>
      </c>
      <c r="S136" s="46">
        <v>0</v>
      </c>
      <c r="T136" s="39">
        <f t="shared" si="38"/>
        <v>16</v>
      </c>
      <c r="U136" s="47">
        <f t="shared" si="39"/>
        <v>2.7266762816451046E-4</v>
      </c>
      <c r="V136" s="48">
        <f t="shared" si="40"/>
        <v>0</v>
      </c>
      <c r="W136" s="49">
        <f t="shared" si="41"/>
        <v>1.7041726760281904E-5</v>
      </c>
      <c r="X136" s="44">
        <f t="shared" si="42"/>
        <v>41.974097825886389</v>
      </c>
      <c r="Y136" s="44">
        <f t="shared" si="43"/>
        <v>0</v>
      </c>
      <c r="Z136" s="44">
        <f t="shared" si="44"/>
        <v>215.94535005932423</v>
      </c>
      <c r="AA136" s="50">
        <f t="shared" si="45"/>
        <v>172.62409782588639</v>
      </c>
      <c r="AB136" s="51">
        <f t="shared" si="46"/>
        <v>201.87468454643752</v>
      </c>
      <c r="AC136" s="44">
        <f t="shared" si="47"/>
        <v>161.37617820499801</v>
      </c>
      <c r="AD136" s="44">
        <f t="shared" si="48"/>
        <v>0</v>
      </c>
      <c r="AE136" s="44">
        <f t="shared" si="49"/>
        <v>0</v>
      </c>
      <c r="AF136" s="52">
        <f>HLOOKUP(I136,ElecAvoidedCostsWOCC!$A$5:$Q$50,G136+1,FALSE)</f>
        <v>1.1126010938169359</v>
      </c>
      <c r="AG136" s="44">
        <f t="shared" si="50"/>
        <v>453.94124627730986</v>
      </c>
      <c r="AH136" s="52">
        <f>HLOOKUP(I136,ElecAvoidedCostsWOCC!$A$5:$Q$50,T136+1,FALSE)</f>
        <v>1.1126010938169359</v>
      </c>
      <c r="AI136" s="44">
        <f t="shared" si="51"/>
        <v>0</v>
      </c>
      <c r="AJ136" s="44">
        <f t="shared" si="52"/>
        <v>453.94124627730986</v>
      </c>
      <c r="AK136" s="44">
        <f>HLOOKUP(I136,ElecAvoidedCostsWOCC!$A$5:$Q$50,G136+1,FALSE)*J136*L136</f>
        <v>0</v>
      </c>
      <c r="AL136" s="44">
        <f t="shared" si="53"/>
        <v>453.94124627730986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453.94124627730986</v>
      </c>
      <c r="AN136" s="48">
        <f t="shared" si="54"/>
        <v>499.33537090504086</v>
      </c>
      <c r="AO136" s="47">
        <f t="shared" si="55"/>
        <v>2.248628882304899</v>
      </c>
      <c r="AP136" s="47">
        <f t="shared" si="56"/>
        <v>3.0942322247260647</v>
      </c>
      <c r="AQ136">
        <v>2020</v>
      </c>
    </row>
    <row r="137" spans="2:43">
      <c r="B137" s="97" t="s">
        <v>70</v>
      </c>
      <c r="C137" s="61">
        <v>18231134</v>
      </c>
      <c r="D137" s="61" t="s">
        <v>176</v>
      </c>
      <c r="E137" s="38" t="s">
        <v>2280</v>
      </c>
      <c r="F137" s="39" t="s">
        <v>1331</v>
      </c>
      <c r="G137" s="39">
        <v>16</v>
      </c>
      <c r="H137" s="39"/>
      <c r="I137" s="40" t="s">
        <v>257</v>
      </c>
      <c r="J137" s="41">
        <v>1</v>
      </c>
      <c r="K137" s="41">
        <v>92</v>
      </c>
      <c r="L137" s="41"/>
      <c r="M137" s="42">
        <v>130.65</v>
      </c>
      <c r="N137" s="42">
        <v>130.65</v>
      </c>
      <c r="O137" s="43">
        <v>92</v>
      </c>
      <c r="P137" s="44">
        <v>130.65</v>
      </c>
      <c r="Q137" s="44">
        <v>130.65</v>
      </c>
      <c r="R137" s="45">
        <v>0</v>
      </c>
      <c r="S137" s="46">
        <v>0</v>
      </c>
      <c r="T137" s="39">
        <f t="shared" si="38"/>
        <v>16</v>
      </c>
      <c r="U137" s="47">
        <f t="shared" si="39"/>
        <v>6.1483876939056277E-5</v>
      </c>
      <c r="V137" s="48">
        <f t="shared" si="40"/>
        <v>0</v>
      </c>
      <c r="W137" s="49">
        <f t="shared" si="41"/>
        <v>3.8427423086910173E-6</v>
      </c>
      <c r="X137" s="44">
        <f t="shared" si="42"/>
        <v>9.4647475489743815</v>
      </c>
      <c r="Y137" s="44">
        <f t="shared" si="43"/>
        <v>0</v>
      </c>
      <c r="Z137" s="44">
        <f t="shared" si="44"/>
        <v>48.69355932710252</v>
      </c>
      <c r="AA137" s="50">
        <f t="shared" si="45"/>
        <v>140.11474754897438</v>
      </c>
      <c r="AB137" s="51">
        <f t="shared" si="46"/>
        <v>45.520762201647671</v>
      </c>
      <c r="AC137" s="44">
        <f t="shared" si="47"/>
        <v>130.98508698604689</v>
      </c>
      <c r="AD137" s="44">
        <f t="shared" si="48"/>
        <v>0</v>
      </c>
      <c r="AE137" s="44">
        <f t="shared" si="49"/>
        <v>0</v>
      </c>
      <c r="AF137" s="52">
        <f>HLOOKUP(I137,ElecAvoidedCostsWOCC!$A$5:$Q$50,G137+1,FALSE)</f>
        <v>1.1126010938169359</v>
      </c>
      <c r="AG137" s="44">
        <f t="shared" si="50"/>
        <v>102.35930063115811</v>
      </c>
      <c r="AH137" s="52">
        <f>HLOOKUP(I137,ElecAvoidedCostsWOCC!$A$5:$Q$50,T137+1,FALSE)</f>
        <v>1.1126010938169359</v>
      </c>
      <c r="AI137" s="44">
        <f t="shared" si="51"/>
        <v>0</v>
      </c>
      <c r="AJ137" s="44">
        <f t="shared" si="52"/>
        <v>102.35930063115811</v>
      </c>
      <c r="AK137" s="44">
        <f>HLOOKUP(I137,ElecAvoidedCostsWOCC!$A$5:$Q$50,G137+1,FALSE)*J137*L137</f>
        <v>0</v>
      </c>
      <c r="AL137" s="44">
        <f t="shared" si="53"/>
        <v>102.35930063115811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102.35930063115811</v>
      </c>
      <c r="AN137" s="48">
        <f t="shared" si="54"/>
        <v>112.59523069427392</v>
      </c>
      <c r="AO137" s="47">
        <f t="shared" si="55"/>
        <v>2.2486288823048994</v>
      </c>
      <c r="AP137" s="47">
        <f t="shared" si="56"/>
        <v>0.85960343490299829</v>
      </c>
      <c r="AQ137">
        <v>2020</v>
      </c>
    </row>
    <row r="138" spans="2:43">
      <c r="B138" s="97" t="s">
        <v>70</v>
      </c>
      <c r="C138" s="61">
        <v>18231134</v>
      </c>
      <c r="D138" s="61" t="s">
        <v>176</v>
      </c>
      <c r="E138" s="38" t="s">
        <v>2281</v>
      </c>
      <c r="F138" s="39" t="s">
        <v>2282</v>
      </c>
      <c r="G138" s="39">
        <v>10</v>
      </c>
      <c r="H138" s="39"/>
      <c r="I138" s="40" t="s">
        <v>257</v>
      </c>
      <c r="J138" s="41">
        <v>2</v>
      </c>
      <c r="K138" s="41">
        <v>231</v>
      </c>
      <c r="L138" s="41"/>
      <c r="M138" s="42">
        <v>68</v>
      </c>
      <c r="N138" s="42">
        <v>68</v>
      </c>
      <c r="O138" s="43">
        <v>462</v>
      </c>
      <c r="P138" s="44">
        <v>136</v>
      </c>
      <c r="Q138" s="44">
        <v>136</v>
      </c>
      <c r="R138" s="45">
        <v>0</v>
      </c>
      <c r="S138" s="46">
        <v>0</v>
      </c>
      <c r="T138" s="39">
        <f t="shared" si="38"/>
        <v>10</v>
      </c>
      <c r="U138" s="47">
        <f t="shared" si="39"/>
        <v>1.9297249419730978E-4</v>
      </c>
      <c r="V138" s="48">
        <f t="shared" si="40"/>
        <v>0</v>
      </c>
      <c r="W138" s="49">
        <f t="shared" si="41"/>
        <v>1.9297249419730978E-5</v>
      </c>
      <c r="X138" s="44">
        <f t="shared" si="42"/>
        <v>47.529493126371349</v>
      </c>
      <c r="Y138" s="44">
        <f t="shared" si="43"/>
        <v>0</v>
      </c>
      <c r="Z138" s="44">
        <f t="shared" si="44"/>
        <v>244.52635227305831</v>
      </c>
      <c r="AA138" s="50">
        <f t="shared" si="45"/>
        <v>183.52949312637134</v>
      </c>
      <c r="AB138" s="51">
        <f t="shared" si="46"/>
        <v>228.5933927952307</v>
      </c>
      <c r="AC138" s="44">
        <f t="shared" si="47"/>
        <v>171.57099478954035</v>
      </c>
      <c r="AD138" s="44">
        <f t="shared" si="48"/>
        <v>0</v>
      </c>
      <c r="AE138" s="44">
        <f t="shared" si="49"/>
        <v>0</v>
      </c>
      <c r="AF138" s="52">
        <f>HLOOKUP(I138,ElecAvoidedCostsWOCC!$A$5:$Q$50,G138+1,FALSE)</f>
        <v>0.7278724357900942</v>
      </c>
      <c r="AG138" s="44">
        <f t="shared" si="50"/>
        <v>336.27706533502351</v>
      </c>
      <c r="AH138" s="52">
        <f>HLOOKUP(I138,ElecAvoidedCostsWOCC!$A$5:$Q$50,T138+1,FALSE)</f>
        <v>0.7278724357900942</v>
      </c>
      <c r="AI138" s="44">
        <f t="shared" si="51"/>
        <v>0</v>
      </c>
      <c r="AJ138" s="44">
        <f t="shared" si="52"/>
        <v>336.27706533502351</v>
      </c>
      <c r="AK138" s="44">
        <f>HLOOKUP(I138,ElecAvoidedCostsWOCC!$A$5:$Q$50,G138+1,FALSE)*J138*L138</f>
        <v>0</v>
      </c>
      <c r="AL138" s="44">
        <f t="shared" si="53"/>
        <v>336.27706533502351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336.27706533502351</v>
      </c>
      <c r="AN138" s="48">
        <f t="shared" si="54"/>
        <v>369.90477186852587</v>
      </c>
      <c r="AO138" s="47">
        <f t="shared" si="55"/>
        <v>1.4710708005294522</v>
      </c>
      <c r="AP138" s="47">
        <f t="shared" si="56"/>
        <v>2.1559866358662432</v>
      </c>
      <c r="AQ138">
        <v>2020</v>
      </c>
    </row>
    <row r="139" spans="2:43">
      <c r="B139" s="97" t="s">
        <v>70</v>
      </c>
      <c r="C139" s="61">
        <v>18231134</v>
      </c>
      <c r="D139" s="61" t="s">
        <v>176</v>
      </c>
      <c r="E139" s="38" t="s">
        <v>2283</v>
      </c>
      <c r="F139" s="39" t="s">
        <v>2284</v>
      </c>
      <c r="G139" s="39">
        <v>10</v>
      </c>
      <c r="H139" s="39"/>
      <c r="I139" s="40" t="s">
        <v>257</v>
      </c>
      <c r="J139" s="41">
        <v>24</v>
      </c>
      <c r="K139" s="41">
        <v>36</v>
      </c>
      <c r="L139" s="41"/>
      <c r="M139" s="42">
        <v>68</v>
      </c>
      <c r="N139" s="42">
        <v>68</v>
      </c>
      <c r="O139" s="43">
        <v>864</v>
      </c>
      <c r="P139" s="44">
        <v>1632</v>
      </c>
      <c r="Q139" s="44">
        <v>1632</v>
      </c>
      <c r="R139" s="45">
        <v>0</v>
      </c>
      <c r="S139" s="46">
        <v>0</v>
      </c>
      <c r="T139" s="39">
        <f t="shared" si="38"/>
        <v>10</v>
      </c>
      <c r="U139" s="47">
        <f t="shared" si="39"/>
        <v>3.6088362551185205E-4</v>
      </c>
      <c r="V139" s="48">
        <f t="shared" si="40"/>
        <v>0</v>
      </c>
      <c r="W139" s="49">
        <f t="shared" si="41"/>
        <v>3.6088362551185204E-5</v>
      </c>
      <c r="X139" s="44">
        <f t="shared" si="42"/>
        <v>88.886324807759408</v>
      </c>
      <c r="Y139" s="44">
        <f t="shared" si="43"/>
        <v>0</v>
      </c>
      <c r="Z139" s="44">
        <f t="shared" si="44"/>
        <v>457.29603541974541</v>
      </c>
      <c r="AA139" s="50">
        <f t="shared" si="45"/>
        <v>1720.8863248077594</v>
      </c>
      <c r="AB139" s="51">
        <f t="shared" si="46"/>
        <v>427.49933198069118</v>
      </c>
      <c r="AC139" s="44">
        <f t="shared" si="47"/>
        <v>1608.7560295482465</v>
      </c>
      <c r="AD139" s="44">
        <f t="shared" si="48"/>
        <v>0</v>
      </c>
      <c r="AE139" s="44">
        <f t="shared" si="49"/>
        <v>0</v>
      </c>
      <c r="AF139" s="52">
        <f>HLOOKUP(I139,ElecAvoidedCostsWOCC!$A$5:$Q$50,G139+1,FALSE)</f>
        <v>0.7278724357900942</v>
      </c>
      <c r="AG139" s="44">
        <f t="shared" si="50"/>
        <v>628.8817845226414</v>
      </c>
      <c r="AH139" s="52">
        <f>HLOOKUP(I139,ElecAvoidedCostsWOCC!$A$5:$Q$50,T139+1,FALSE)</f>
        <v>0.7278724357900942</v>
      </c>
      <c r="AI139" s="44">
        <f t="shared" si="51"/>
        <v>0</v>
      </c>
      <c r="AJ139" s="44">
        <f t="shared" si="52"/>
        <v>628.8817845226414</v>
      </c>
      <c r="AK139" s="44">
        <f>HLOOKUP(I139,ElecAvoidedCostsWOCC!$A$5:$Q$50,G139+1,FALSE)*J139*L139</f>
        <v>0</v>
      </c>
      <c r="AL139" s="44">
        <f t="shared" si="53"/>
        <v>628.8817845226414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628.8817845226414</v>
      </c>
      <c r="AN139" s="48">
        <f t="shared" si="54"/>
        <v>691.76996297490564</v>
      </c>
      <c r="AO139" s="47">
        <f t="shared" si="55"/>
        <v>1.4710708005294522</v>
      </c>
      <c r="AP139" s="47">
        <f t="shared" si="56"/>
        <v>0.43000302735099055</v>
      </c>
      <c r="AQ139">
        <v>2020</v>
      </c>
    </row>
    <row r="140" spans="2:43">
      <c r="B140" s="97" t="s">
        <v>70</v>
      </c>
      <c r="C140" s="61">
        <v>18231134</v>
      </c>
      <c r="D140" s="61" t="s">
        <v>176</v>
      </c>
      <c r="E140" s="38" t="s">
        <v>2287</v>
      </c>
      <c r="F140" s="39" t="s">
        <v>2288</v>
      </c>
      <c r="G140" s="39">
        <v>4</v>
      </c>
      <c r="H140" s="39"/>
      <c r="I140" s="40" t="s">
        <v>255</v>
      </c>
      <c r="J140" s="41">
        <v>1</v>
      </c>
      <c r="K140" s="41">
        <v>34</v>
      </c>
      <c r="L140" s="41"/>
      <c r="M140" s="42">
        <v>0</v>
      </c>
      <c r="N140" s="42">
        <v>0</v>
      </c>
      <c r="O140" s="43">
        <v>34</v>
      </c>
      <c r="P140" s="44">
        <v>0</v>
      </c>
      <c r="Q140" s="44">
        <v>0</v>
      </c>
      <c r="R140" s="45">
        <v>0</v>
      </c>
      <c r="S140" s="46">
        <v>0</v>
      </c>
      <c r="T140" s="39">
        <f t="shared" si="38"/>
        <v>4</v>
      </c>
      <c r="U140" s="47">
        <f t="shared" si="39"/>
        <v>5.6805755867606344E-6</v>
      </c>
      <c r="V140" s="48">
        <f t="shared" si="40"/>
        <v>0</v>
      </c>
      <c r="W140" s="49">
        <f t="shared" si="41"/>
        <v>1.4201438966901586E-6</v>
      </c>
      <c r="X140" s="44">
        <f t="shared" si="42"/>
        <v>3.4978414854905324</v>
      </c>
      <c r="Y140" s="44">
        <f t="shared" si="43"/>
        <v>0</v>
      </c>
      <c r="Z140" s="44">
        <f t="shared" si="44"/>
        <v>17.995445838277021</v>
      </c>
      <c r="AA140" s="50">
        <f t="shared" si="45"/>
        <v>3.4978414854905324</v>
      </c>
      <c r="AB140" s="51">
        <f t="shared" si="46"/>
        <v>16.822890378869793</v>
      </c>
      <c r="AC140" s="44">
        <f t="shared" si="47"/>
        <v>3.269927536216259</v>
      </c>
      <c r="AD140" s="44">
        <f t="shared" si="48"/>
        <v>0</v>
      </c>
      <c r="AE140" s="44">
        <f t="shared" si="49"/>
        <v>0</v>
      </c>
      <c r="AF140" s="52">
        <f>HLOOKUP(I140,ElecAvoidedCostsWOCC!$A$5:$Q$50,G140+1,FALSE)</f>
        <v>0.28227359464993806</v>
      </c>
      <c r="AG140" s="44">
        <f t="shared" si="50"/>
        <v>9.5973022180978944</v>
      </c>
      <c r="AH140" s="52">
        <f>HLOOKUP(I140,ElecAvoidedCostsWOCC!$A$5:$Q$50,T140+1,FALSE)</f>
        <v>0.28227359464993806</v>
      </c>
      <c r="AI140" s="44">
        <f t="shared" si="51"/>
        <v>0</v>
      </c>
      <c r="AJ140" s="44">
        <f t="shared" si="52"/>
        <v>9.5973022180978944</v>
      </c>
      <c r="AK140" s="44">
        <f>HLOOKUP(I140,ElecAvoidedCostsWOCC!$A$5:$Q$50,G140+1,FALSE)*J140*L140</f>
        <v>0</v>
      </c>
      <c r="AL140" s="44">
        <f t="shared" si="53"/>
        <v>9.5973022180978944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9.5973022180978944</v>
      </c>
      <c r="AN140" s="48">
        <f t="shared" si="54"/>
        <v>10.557032439907685</v>
      </c>
      <c r="AO140" s="47">
        <f t="shared" si="55"/>
        <v>0.57049068275166792</v>
      </c>
      <c r="AP140" s="47">
        <f t="shared" si="56"/>
        <v>3.2285218320536777</v>
      </c>
      <c r="AQ140">
        <v>2020</v>
      </c>
    </row>
    <row r="141" spans="2:43">
      <c r="B141" s="97" t="s">
        <v>70</v>
      </c>
      <c r="C141" s="61">
        <v>18231134</v>
      </c>
      <c r="D141" s="61" t="s">
        <v>176</v>
      </c>
      <c r="E141" s="38" t="s">
        <v>2289</v>
      </c>
      <c r="F141" s="39" t="s">
        <v>1343</v>
      </c>
      <c r="G141" s="39">
        <v>15</v>
      </c>
      <c r="H141" s="39"/>
      <c r="I141" s="40" t="s">
        <v>257</v>
      </c>
      <c r="J141" s="41">
        <v>9</v>
      </c>
      <c r="K141" s="41">
        <v>1216</v>
      </c>
      <c r="L141" s="41"/>
      <c r="M141" s="42">
        <v>239.32</v>
      </c>
      <c r="N141" s="42">
        <v>239.32</v>
      </c>
      <c r="O141" s="43">
        <v>10944</v>
      </c>
      <c r="P141" s="44">
        <v>2153.88</v>
      </c>
      <c r="Q141" s="44">
        <v>2153.88</v>
      </c>
      <c r="R141" s="45">
        <v>0</v>
      </c>
      <c r="S141" s="46">
        <v>0</v>
      </c>
      <c r="T141" s="39">
        <f t="shared" si="38"/>
        <v>15</v>
      </c>
      <c r="U141" s="47">
        <f t="shared" si="39"/>
        <v>6.8567888847251889E-3</v>
      </c>
      <c r="V141" s="48">
        <f t="shared" si="40"/>
        <v>0</v>
      </c>
      <c r="W141" s="49">
        <f t="shared" si="41"/>
        <v>4.5711925898167928E-4</v>
      </c>
      <c r="X141" s="44">
        <f t="shared" si="42"/>
        <v>1125.8934475649526</v>
      </c>
      <c r="Y141" s="44">
        <f t="shared" si="43"/>
        <v>0</v>
      </c>
      <c r="Z141" s="44">
        <f t="shared" si="44"/>
        <v>5792.4164486501086</v>
      </c>
      <c r="AA141" s="50">
        <f t="shared" si="45"/>
        <v>3279.7734475649527</v>
      </c>
      <c r="AB141" s="51">
        <f t="shared" si="46"/>
        <v>5414.9915384220885</v>
      </c>
      <c r="AC141" s="44">
        <f t="shared" si="47"/>
        <v>3066.0684748667404</v>
      </c>
      <c r="AD141" s="44">
        <f t="shared" si="48"/>
        <v>0</v>
      </c>
      <c r="AE141" s="44">
        <f t="shared" si="49"/>
        <v>0</v>
      </c>
      <c r="AF141" s="52">
        <f>HLOOKUP(I141,ElecAvoidedCostsWOCC!$A$5:$Q$50,G141+1,FALSE)</f>
        <v>1.0545904948077327</v>
      </c>
      <c r="AG141" s="44">
        <f t="shared" si="50"/>
        <v>11541.438375175829</v>
      </c>
      <c r="AH141" s="52">
        <f>HLOOKUP(I141,ElecAvoidedCostsWOCC!$A$5:$Q$50,T141+1,FALSE)</f>
        <v>1.0545904948077327</v>
      </c>
      <c r="AI141" s="44">
        <f t="shared" si="51"/>
        <v>0</v>
      </c>
      <c r="AJ141" s="44">
        <f t="shared" si="52"/>
        <v>11541.438375175829</v>
      </c>
      <c r="AK141" s="44">
        <f>HLOOKUP(I141,ElecAvoidedCostsWOCC!$A$5:$Q$50,G141+1,FALSE)*J141*L141</f>
        <v>0</v>
      </c>
      <c r="AL141" s="44">
        <f t="shared" si="53"/>
        <v>11541.438375175829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11541.438375175827</v>
      </c>
      <c r="AN141" s="48">
        <f t="shared" si="54"/>
        <v>12695.582212693411</v>
      </c>
      <c r="AO141" s="47">
        <f t="shared" si="55"/>
        <v>2.1313862253123603</v>
      </c>
      <c r="AP141" s="47">
        <f t="shared" si="56"/>
        <v>4.1406714549143251</v>
      </c>
      <c r="AQ141">
        <v>2020</v>
      </c>
    </row>
    <row r="142" spans="2:43">
      <c r="B142" s="97" t="s">
        <v>70</v>
      </c>
      <c r="C142" s="61">
        <v>18231134</v>
      </c>
      <c r="D142" s="61" t="s">
        <v>176</v>
      </c>
      <c r="E142" s="38" t="s">
        <v>1342</v>
      </c>
      <c r="F142" s="39" t="s">
        <v>1343</v>
      </c>
      <c r="G142" s="39">
        <v>15</v>
      </c>
      <c r="H142" s="39"/>
      <c r="I142" s="40" t="s">
        <v>257</v>
      </c>
      <c r="J142" s="41">
        <v>816</v>
      </c>
      <c r="K142" s="41">
        <v>1206</v>
      </c>
      <c r="L142" s="41"/>
      <c r="M142" s="42">
        <v>239.32</v>
      </c>
      <c r="N142" s="42">
        <v>239.32</v>
      </c>
      <c r="O142" s="43">
        <v>984096</v>
      </c>
      <c r="P142" s="44">
        <v>195285.12</v>
      </c>
      <c r="Q142" s="44">
        <v>195285.12</v>
      </c>
      <c r="R142" s="45">
        <v>0</v>
      </c>
      <c r="S142" s="46">
        <v>0</v>
      </c>
      <c r="T142" s="39">
        <f t="shared" si="38"/>
        <v>15</v>
      </c>
      <c r="U142" s="47">
        <f t="shared" si="39"/>
        <v>0.61656967418699926</v>
      </c>
      <c r="V142" s="48">
        <f t="shared" si="40"/>
        <v>0</v>
      </c>
      <c r="W142" s="49">
        <f t="shared" si="41"/>
        <v>4.1104644945799948E-2</v>
      </c>
      <c r="X142" s="44">
        <f t="shared" si="42"/>
        <v>101241.52395603796</v>
      </c>
      <c r="Y142" s="44">
        <f t="shared" si="43"/>
        <v>0</v>
      </c>
      <c r="Z142" s="44">
        <f t="shared" si="44"/>
        <v>520860.18434308999</v>
      </c>
      <c r="AA142" s="50">
        <f t="shared" si="45"/>
        <v>296526.64395603794</v>
      </c>
      <c r="AB142" s="51">
        <f t="shared" si="46"/>
        <v>486921.73912600725</v>
      </c>
      <c r="AC142" s="44">
        <f t="shared" si="47"/>
        <v>277205.42577922589</v>
      </c>
      <c r="AD142" s="44">
        <f t="shared" si="48"/>
        <v>0</v>
      </c>
      <c r="AE142" s="44">
        <f t="shared" si="49"/>
        <v>0</v>
      </c>
      <c r="AF142" s="52">
        <f>HLOOKUP(I142,ElecAvoidedCostsWOCC!$A$5:$Q$50,G142+1,FALSE)</f>
        <v>1.0545904948077327</v>
      </c>
      <c r="AG142" s="44">
        <f t="shared" si="50"/>
        <v>1037818.2875783106</v>
      </c>
      <c r="AH142" s="52">
        <f>HLOOKUP(I142,ElecAvoidedCostsWOCC!$A$5:$Q$50,T142+1,FALSE)</f>
        <v>1.0545904948077327</v>
      </c>
      <c r="AI142" s="44">
        <f t="shared" si="51"/>
        <v>0</v>
      </c>
      <c r="AJ142" s="44">
        <f t="shared" si="52"/>
        <v>1037818.2875783106</v>
      </c>
      <c r="AK142" s="44">
        <f>HLOOKUP(I142,ElecAvoidedCostsWOCC!$A$5:$Q$50,G142+1,FALSE)*J142*L142</f>
        <v>0</v>
      </c>
      <c r="AL142" s="44">
        <f t="shared" si="53"/>
        <v>1037818.2875783106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1037818.2875783105</v>
      </c>
      <c r="AN142" s="48">
        <f t="shared" si="54"/>
        <v>1141600.1163361417</v>
      </c>
      <c r="AO142" s="47">
        <f t="shared" si="55"/>
        <v>2.1313862253123603</v>
      </c>
      <c r="AP142" s="47">
        <f t="shared" si="56"/>
        <v>4.1182459294478013</v>
      </c>
      <c r="AQ142">
        <v>2020</v>
      </c>
    </row>
    <row r="143" spans="2:43">
      <c r="B143" s="97" t="s">
        <v>70</v>
      </c>
      <c r="C143" s="61">
        <v>18231134</v>
      </c>
      <c r="D143" s="61" t="s">
        <v>176</v>
      </c>
      <c r="E143" s="38" t="s">
        <v>2290</v>
      </c>
      <c r="F143" s="39" t="s">
        <v>2291</v>
      </c>
      <c r="G143" s="39">
        <v>12</v>
      </c>
      <c r="H143" s="39"/>
      <c r="I143" s="40" t="s">
        <v>257</v>
      </c>
      <c r="J143" s="41">
        <v>22</v>
      </c>
      <c r="K143" s="41">
        <v>326</v>
      </c>
      <c r="L143" s="41"/>
      <c r="M143" s="42">
        <v>135</v>
      </c>
      <c r="N143" s="42">
        <v>135</v>
      </c>
      <c r="O143" s="43">
        <v>7172</v>
      </c>
      <c r="P143" s="44">
        <v>2970</v>
      </c>
      <c r="Q143" s="44">
        <v>2970</v>
      </c>
      <c r="R143" s="45">
        <v>0</v>
      </c>
      <c r="S143" s="46">
        <v>0</v>
      </c>
      <c r="T143" s="39">
        <f t="shared" si="38"/>
        <v>12</v>
      </c>
      <c r="U143" s="47">
        <f t="shared" si="39"/>
        <v>3.5948018919041711E-3</v>
      </c>
      <c r="V143" s="48">
        <f t="shared" si="40"/>
        <v>0</v>
      </c>
      <c r="W143" s="49">
        <f t="shared" si="41"/>
        <v>2.9956682432534759E-4</v>
      </c>
      <c r="X143" s="44">
        <f t="shared" si="42"/>
        <v>737.83879805700292</v>
      </c>
      <c r="Y143" s="44">
        <f t="shared" si="43"/>
        <v>0</v>
      </c>
      <c r="Z143" s="44">
        <f t="shared" si="44"/>
        <v>3795.9805162389052</v>
      </c>
      <c r="AA143" s="50">
        <f t="shared" si="45"/>
        <v>3707.8387980570028</v>
      </c>
      <c r="AB143" s="51">
        <f t="shared" si="46"/>
        <v>3548.6402881545337</v>
      </c>
      <c r="AC143" s="44">
        <f t="shared" si="47"/>
        <v>3466.2417482069764</v>
      </c>
      <c r="AD143" s="44">
        <f t="shared" si="48"/>
        <v>0</v>
      </c>
      <c r="AE143" s="44">
        <f t="shared" si="49"/>
        <v>0</v>
      </c>
      <c r="AF143" s="52">
        <f>HLOOKUP(I143,ElecAvoidedCostsWOCC!$A$5:$Q$50,G143+1,FALSE)</f>
        <v>0.86650348716649883</v>
      </c>
      <c r="AG143" s="44">
        <f t="shared" si="50"/>
        <v>6214.5630099581294</v>
      </c>
      <c r="AH143" s="52">
        <f>HLOOKUP(I143,ElecAvoidedCostsWOCC!$A$5:$Q$50,T143+1,FALSE)</f>
        <v>0.86650348716649883</v>
      </c>
      <c r="AI143" s="44">
        <f t="shared" si="51"/>
        <v>0</v>
      </c>
      <c r="AJ143" s="44">
        <f t="shared" si="52"/>
        <v>6214.5630099581294</v>
      </c>
      <c r="AK143" s="44">
        <f>HLOOKUP(I143,ElecAvoidedCostsWOCC!$A$5:$Q$50,G143+1,FALSE)*J143*L143</f>
        <v>0</v>
      </c>
      <c r="AL143" s="44">
        <f t="shared" si="53"/>
        <v>6214.5630099581294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6214.5630099581294</v>
      </c>
      <c r="AN143" s="48">
        <f t="shared" si="54"/>
        <v>6836.0193109539432</v>
      </c>
      <c r="AO143" s="47">
        <f t="shared" si="55"/>
        <v>1.7512518895483784</v>
      </c>
      <c r="AP143" s="47">
        <f t="shared" si="56"/>
        <v>1.9721703815061633</v>
      </c>
      <c r="AQ143">
        <v>2020</v>
      </c>
    </row>
    <row r="144" spans="2:43">
      <c r="B144" s="97" t="s">
        <v>70</v>
      </c>
      <c r="C144" s="61">
        <v>18231134</v>
      </c>
      <c r="D144" s="61" t="s">
        <v>176</v>
      </c>
      <c r="E144" s="38" t="s">
        <v>1345</v>
      </c>
      <c r="F144" s="39" t="s">
        <v>1346</v>
      </c>
      <c r="G144" s="39">
        <v>15</v>
      </c>
      <c r="H144" s="39"/>
      <c r="I144" s="40" t="s">
        <v>257</v>
      </c>
      <c r="J144" s="41">
        <v>74</v>
      </c>
      <c r="K144" s="41">
        <v>457.8</v>
      </c>
      <c r="L144" s="41"/>
      <c r="M144" s="42">
        <v>123.77</v>
      </c>
      <c r="N144" s="42">
        <v>176.82</v>
      </c>
      <c r="O144" s="43">
        <v>33877.199999999997</v>
      </c>
      <c r="P144" s="44">
        <v>12023.68</v>
      </c>
      <c r="Q144" s="44">
        <v>13084.68</v>
      </c>
      <c r="R144" s="45">
        <v>0</v>
      </c>
      <c r="S144" s="46">
        <v>0</v>
      </c>
      <c r="T144" s="39">
        <f t="shared" si="38"/>
        <v>15</v>
      </c>
      <c r="U144" s="47">
        <f t="shared" si="39"/>
        <v>2.1225220066302283E-2</v>
      </c>
      <c r="V144" s="48">
        <f t="shared" si="40"/>
        <v>53.05</v>
      </c>
      <c r="W144" s="49">
        <f t="shared" si="41"/>
        <v>1.4150146710868187E-3</v>
      </c>
      <c r="X144" s="44">
        <f t="shared" si="42"/>
        <v>3485.208105066466</v>
      </c>
      <c r="Y144" s="44">
        <f t="shared" si="43"/>
        <v>1061</v>
      </c>
      <c r="Z144" s="44">
        <f t="shared" si="44"/>
        <v>17930.450522131712</v>
      </c>
      <c r="AA144" s="50">
        <f t="shared" si="45"/>
        <v>16569.888105066468</v>
      </c>
      <c r="AB144" s="51">
        <f t="shared" si="46"/>
        <v>16762.130057148464</v>
      </c>
      <c r="AC144" s="44">
        <f t="shared" si="47"/>
        <v>15490.219785983421</v>
      </c>
      <c r="AD144" s="44">
        <f t="shared" si="48"/>
        <v>0</v>
      </c>
      <c r="AE144" s="44">
        <f t="shared" si="49"/>
        <v>0</v>
      </c>
      <c r="AF144" s="52">
        <f>HLOOKUP(I144,ElecAvoidedCostsWOCC!$A$5:$Q$50,G144+1,FALSE)</f>
        <v>1.0545904948077327</v>
      </c>
      <c r="AG144" s="44">
        <f t="shared" si="50"/>
        <v>35726.573110700519</v>
      </c>
      <c r="AH144" s="52">
        <f>HLOOKUP(I144,ElecAvoidedCostsWOCC!$A$5:$Q$50,T144+1,FALSE)</f>
        <v>1.0545904948077327</v>
      </c>
      <c r="AI144" s="44">
        <f t="shared" si="51"/>
        <v>0</v>
      </c>
      <c r="AJ144" s="44">
        <f t="shared" si="52"/>
        <v>35726.573110700519</v>
      </c>
      <c r="AK144" s="44">
        <f>HLOOKUP(I144,ElecAvoidedCostsWOCC!$A$5:$Q$50,G144+1,FALSE)*J144*L144</f>
        <v>0</v>
      </c>
      <c r="AL144" s="44">
        <f t="shared" si="53"/>
        <v>35726.573110700519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35726.573110700527</v>
      </c>
      <c r="AN144" s="48">
        <f t="shared" si="54"/>
        <v>39299.230421770582</v>
      </c>
      <c r="AO144" s="47">
        <f t="shared" si="55"/>
        <v>2.1313862253123603</v>
      </c>
      <c r="AP144" s="47">
        <f t="shared" si="56"/>
        <v>2.5370350430618895</v>
      </c>
      <c r="AQ144">
        <v>2020</v>
      </c>
    </row>
    <row r="145" spans="2:43">
      <c r="B145" s="97" t="s">
        <v>70</v>
      </c>
      <c r="C145" s="61">
        <v>18231134</v>
      </c>
      <c r="D145" s="61" t="s">
        <v>176</v>
      </c>
      <c r="E145" s="38" t="s">
        <v>2292</v>
      </c>
      <c r="F145" s="39" t="s">
        <v>1348</v>
      </c>
      <c r="G145" s="39">
        <v>12</v>
      </c>
      <c r="H145" s="39"/>
      <c r="I145" s="40" t="s">
        <v>257</v>
      </c>
      <c r="J145" s="41">
        <v>9</v>
      </c>
      <c r="K145" s="41">
        <v>42</v>
      </c>
      <c r="L145" s="41"/>
      <c r="M145" s="42">
        <v>37</v>
      </c>
      <c r="N145" s="42">
        <v>37</v>
      </c>
      <c r="O145" s="43">
        <v>378</v>
      </c>
      <c r="P145" s="44">
        <v>333</v>
      </c>
      <c r="Q145" s="44">
        <v>333</v>
      </c>
      <c r="R145" s="45">
        <v>0</v>
      </c>
      <c r="S145" s="46">
        <v>0</v>
      </c>
      <c r="T145" s="39">
        <f t="shared" si="38"/>
        <v>12</v>
      </c>
      <c r="U145" s="47">
        <f t="shared" si="39"/>
        <v>1.8946390339372234E-4</v>
      </c>
      <c r="V145" s="48">
        <f t="shared" si="40"/>
        <v>0</v>
      </c>
      <c r="W145" s="49">
        <f t="shared" si="41"/>
        <v>1.5788658616143528E-5</v>
      </c>
      <c r="X145" s="44">
        <f t="shared" si="42"/>
        <v>38.887767103394744</v>
      </c>
      <c r="Y145" s="44">
        <f t="shared" si="43"/>
        <v>0</v>
      </c>
      <c r="Z145" s="44">
        <f t="shared" si="44"/>
        <v>200.06701549613862</v>
      </c>
      <c r="AA145" s="50">
        <f t="shared" si="45"/>
        <v>371.88776710339476</v>
      </c>
      <c r="AB145" s="51">
        <f t="shared" si="46"/>
        <v>187.03095774155241</v>
      </c>
      <c r="AC145" s="44">
        <f t="shared" si="47"/>
        <v>347.65613452687177</v>
      </c>
      <c r="AD145" s="44">
        <f t="shared" si="48"/>
        <v>0</v>
      </c>
      <c r="AE145" s="44">
        <f t="shared" si="49"/>
        <v>0</v>
      </c>
      <c r="AF145" s="52">
        <f>HLOOKUP(I145,ElecAvoidedCostsWOCC!$A$5:$Q$50,G145+1,FALSE)</f>
        <v>0.86650348716649883</v>
      </c>
      <c r="AG145" s="44">
        <f t="shared" si="50"/>
        <v>327.53831814893658</v>
      </c>
      <c r="AH145" s="52">
        <f>HLOOKUP(I145,ElecAvoidedCostsWOCC!$A$5:$Q$50,T145+1,FALSE)</f>
        <v>0.86650348716649883</v>
      </c>
      <c r="AI145" s="44">
        <f t="shared" si="51"/>
        <v>0</v>
      </c>
      <c r="AJ145" s="44">
        <f t="shared" si="52"/>
        <v>327.53831814893658</v>
      </c>
      <c r="AK145" s="44">
        <f>HLOOKUP(I145,ElecAvoidedCostsWOCC!$A$5:$Q$50,G145+1,FALSE)*J145*L145</f>
        <v>0</v>
      </c>
      <c r="AL145" s="44">
        <f t="shared" si="53"/>
        <v>327.53831814893658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327.53831814893658</v>
      </c>
      <c r="AN145" s="48">
        <f t="shared" si="54"/>
        <v>360.2921499638303</v>
      </c>
      <c r="AO145" s="47">
        <f t="shared" si="55"/>
        <v>1.7512518895483784</v>
      </c>
      <c r="AP145" s="47">
        <f t="shared" si="56"/>
        <v>1.0363463036662792</v>
      </c>
      <c r="AQ145">
        <v>2020</v>
      </c>
    </row>
    <row r="146" spans="2:43">
      <c r="B146" s="97" t="s">
        <v>70</v>
      </c>
      <c r="C146" s="61">
        <v>18231134</v>
      </c>
      <c r="D146" s="61" t="s">
        <v>176</v>
      </c>
      <c r="E146" s="38" t="s">
        <v>2293</v>
      </c>
      <c r="F146" s="39" t="s">
        <v>1350</v>
      </c>
      <c r="G146" s="39">
        <v>12</v>
      </c>
      <c r="H146" s="39"/>
      <c r="I146" s="40" t="s">
        <v>257</v>
      </c>
      <c r="J146" s="41">
        <v>50</v>
      </c>
      <c r="K146" s="41">
        <v>65</v>
      </c>
      <c r="L146" s="41"/>
      <c r="M146" s="42">
        <v>37</v>
      </c>
      <c r="N146" s="42">
        <v>37</v>
      </c>
      <c r="O146" s="43">
        <v>3250</v>
      </c>
      <c r="P146" s="44">
        <v>1850</v>
      </c>
      <c r="Q146" s="44">
        <v>1850</v>
      </c>
      <c r="R146" s="45">
        <v>0</v>
      </c>
      <c r="S146" s="46">
        <v>0</v>
      </c>
      <c r="T146" s="39">
        <f t="shared" si="38"/>
        <v>12</v>
      </c>
      <c r="U146" s="47">
        <f t="shared" si="39"/>
        <v>1.6289885873798876E-3</v>
      </c>
      <c r="V146" s="48">
        <f t="shared" si="40"/>
        <v>0</v>
      </c>
      <c r="W146" s="49">
        <f t="shared" si="41"/>
        <v>1.3574904894832397E-4</v>
      </c>
      <c r="X146" s="44">
        <f t="shared" si="42"/>
        <v>334.35249493659495</v>
      </c>
      <c r="Y146" s="44">
        <f t="shared" si="43"/>
        <v>0</v>
      </c>
      <c r="Z146" s="44">
        <f t="shared" si="44"/>
        <v>1720.1529110117735</v>
      </c>
      <c r="AA146" s="50">
        <f t="shared" si="45"/>
        <v>2184.3524949365951</v>
      </c>
      <c r="AB146" s="51">
        <f t="shared" si="46"/>
        <v>1608.0704038625533</v>
      </c>
      <c r="AC146" s="44">
        <f t="shared" si="47"/>
        <v>2042.023459789282</v>
      </c>
      <c r="AD146" s="44">
        <f t="shared" si="48"/>
        <v>0</v>
      </c>
      <c r="AE146" s="44">
        <f t="shared" si="49"/>
        <v>0</v>
      </c>
      <c r="AF146" s="52">
        <f>HLOOKUP(I146,ElecAvoidedCostsWOCC!$A$5:$Q$50,G146+1,FALSE)</f>
        <v>0.86650348716649883</v>
      </c>
      <c r="AG146" s="44">
        <f t="shared" si="50"/>
        <v>2816.1363332911214</v>
      </c>
      <c r="AH146" s="52">
        <f>HLOOKUP(I146,ElecAvoidedCostsWOCC!$A$5:$Q$50,T146+1,FALSE)</f>
        <v>0.86650348716649883</v>
      </c>
      <c r="AI146" s="44">
        <f t="shared" si="51"/>
        <v>0</v>
      </c>
      <c r="AJ146" s="44">
        <f t="shared" si="52"/>
        <v>2816.1363332911214</v>
      </c>
      <c r="AK146" s="44">
        <f>HLOOKUP(I146,ElecAvoidedCostsWOCC!$A$5:$Q$50,G146+1,FALSE)*J146*L146</f>
        <v>0</v>
      </c>
      <c r="AL146" s="44">
        <f t="shared" si="53"/>
        <v>2816.1363332911214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2816.136333291121</v>
      </c>
      <c r="AN146" s="48">
        <f t="shared" si="54"/>
        <v>3097.7499666202334</v>
      </c>
      <c r="AO146" s="47">
        <f t="shared" si="55"/>
        <v>1.7512518895483786</v>
      </c>
      <c r="AP146" s="47">
        <f t="shared" si="56"/>
        <v>1.5170001851692207</v>
      </c>
      <c r="AQ146">
        <v>2020</v>
      </c>
    </row>
    <row r="147" spans="2:43">
      <c r="B147" s="97" t="s">
        <v>70</v>
      </c>
      <c r="C147" s="61">
        <v>18231134</v>
      </c>
      <c r="D147" s="61" t="s">
        <v>176</v>
      </c>
      <c r="E147" s="38" t="s">
        <v>1349</v>
      </c>
      <c r="F147" s="39" t="s">
        <v>1350</v>
      </c>
      <c r="G147" s="39">
        <v>12</v>
      </c>
      <c r="H147" s="39"/>
      <c r="I147" s="40" t="s">
        <v>257</v>
      </c>
      <c r="J147" s="41">
        <v>678</v>
      </c>
      <c r="K147" s="41">
        <v>64</v>
      </c>
      <c r="L147" s="41"/>
      <c r="M147" s="42">
        <v>37</v>
      </c>
      <c r="N147" s="42">
        <v>37</v>
      </c>
      <c r="O147" s="43">
        <v>43392</v>
      </c>
      <c r="P147" s="44">
        <v>25086</v>
      </c>
      <c r="Q147" s="44">
        <v>25086</v>
      </c>
      <c r="R147" s="45">
        <v>0</v>
      </c>
      <c r="S147" s="46">
        <v>0</v>
      </c>
      <c r="T147" s="39">
        <f t="shared" si="38"/>
        <v>12</v>
      </c>
      <c r="U147" s="47">
        <f t="shared" si="39"/>
        <v>2.174925316418095E-2</v>
      </c>
      <c r="V147" s="48">
        <f t="shared" si="40"/>
        <v>0</v>
      </c>
      <c r="W147" s="49">
        <f t="shared" si="41"/>
        <v>1.812437763681746E-3</v>
      </c>
      <c r="X147" s="44">
        <f t="shared" si="42"/>
        <v>4464.0687570119171</v>
      </c>
      <c r="Y147" s="44">
        <f t="shared" si="43"/>
        <v>0</v>
      </c>
      <c r="Z147" s="44">
        <f t="shared" si="44"/>
        <v>22966.42311219166</v>
      </c>
      <c r="AA147" s="50">
        <f t="shared" si="45"/>
        <v>29550.068757011919</v>
      </c>
      <c r="AB147" s="51">
        <f t="shared" si="46"/>
        <v>21469.966450585827</v>
      </c>
      <c r="AC147" s="44">
        <f t="shared" si="47"/>
        <v>27624.631912696939</v>
      </c>
      <c r="AD147" s="44">
        <f t="shared" si="48"/>
        <v>0</v>
      </c>
      <c r="AE147" s="44">
        <f t="shared" si="49"/>
        <v>0</v>
      </c>
      <c r="AF147" s="52">
        <f>HLOOKUP(I147,ElecAvoidedCostsWOCC!$A$5:$Q$50,G147+1,FALSE)</f>
        <v>0.86650348716649883</v>
      </c>
      <c r="AG147" s="44">
        <f t="shared" si="50"/>
        <v>37599.31931512872</v>
      </c>
      <c r="AH147" s="52">
        <f>HLOOKUP(I147,ElecAvoidedCostsWOCC!$A$5:$Q$50,T147+1,FALSE)</f>
        <v>0.86650348716649883</v>
      </c>
      <c r="AI147" s="44">
        <f t="shared" si="51"/>
        <v>0</v>
      </c>
      <c r="AJ147" s="44">
        <f t="shared" si="52"/>
        <v>37599.31931512872</v>
      </c>
      <c r="AK147" s="44">
        <f>HLOOKUP(I147,ElecAvoidedCostsWOCC!$A$5:$Q$50,G147+1,FALSE)*J147*L147</f>
        <v>0</v>
      </c>
      <c r="AL147" s="44">
        <f t="shared" si="53"/>
        <v>37599.31931512872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37599.31931512872</v>
      </c>
      <c r="AN147" s="48">
        <f t="shared" si="54"/>
        <v>41359.251246641594</v>
      </c>
      <c r="AO147" s="47">
        <f t="shared" si="55"/>
        <v>1.7512518895483784</v>
      </c>
      <c r="AP147" s="47">
        <f t="shared" si="56"/>
        <v>1.4971874151065845</v>
      </c>
      <c r="AQ147">
        <v>2020</v>
      </c>
    </row>
    <row r="148" spans="2:43">
      <c r="B148" s="97" t="s">
        <v>70</v>
      </c>
      <c r="C148" s="61">
        <v>18231134</v>
      </c>
      <c r="D148" s="61" t="s">
        <v>176</v>
      </c>
      <c r="E148" s="38" t="s">
        <v>2294</v>
      </c>
      <c r="F148" s="39" t="s">
        <v>1353</v>
      </c>
      <c r="G148" s="39">
        <v>12</v>
      </c>
      <c r="H148" s="39"/>
      <c r="I148" s="40" t="s">
        <v>257</v>
      </c>
      <c r="J148" s="41">
        <v>81</v>
      </c>
      <c r="K148" s="41">
        <v>84</v>
      </c>
      <c r="L148" s="41"/>
      <c r="M148" s="42">
        <v>65</v>
      </c>
      <c r="N148" s="42">
        <v>65</v>
      </c>
      <c r="O148" s="43">
        <v>6804</v>
      </c>
      <c r="P148" s="44">
        <v>5265</v>
      </c>
      <c r="Q148" s="44">
        <v>5265</v>
      </c>
      <c r="R148" s="45">
        <v>0</v>
      </c>
      <c r="S148" s="46">
        <v>0</v>
      </c>
      <c r="T148" s="39">
        <f t="shared" si="38"/>
        <v>12</v>
      </c>
      <c r="U148" s="47">
        <f t="shared" si="39"/>
        <v>3.4103502610870022E-3</v>
      </c>
      <c r="V148" s="48">
        <f t="shared" si="40"/>
        <v>0</v>
      </c>
      <c r="W148" s="49">
        <f t="shared" si="41"/>
        <v>2.8419585509058352E-4</v>
      </c>
      <c r="X148" s="44">
        <f t="shared" si="42"/>
        <v>699.97980786110543</v>
      </c>
      <c r="Y148" s="44">
        <f t="shared" si="43"/>
        <v>0</v>
      </c>
      <c r="Z148" s="44">
        <f t="shared" si="44"/>
        <v>3601.2062789304955</v>
      </c>
      <c r="AA148" s="50">
        <f t="shared" si="45"/>
        <v>5964.9798078611057</v>
      </c>
      <c r="AB148" s="51">
        <f t="shared" si="46"/>
        <v>3366.5572393479433</v>
      </c>
      <c r="AC148" s="44">
        <f t="shared" si="47"/>
        <v>5576.3109356465411</v>
      </c>
      <c r="AD148" s="44">
        <f t="shared" si="48"/>
        <v>0</v>
      </c>
      <c r="AE148" s="44">
        <f t="shared" si="49"/>
        <v>0</v>
      </c>
      <c r="AF148" s="52">
        <f>HLOOKUP(I148,ElecAvoidedCostsWOCC!$A$5:$Q$50,G148+1,FALSE)</f>
        <v>0.86650348716649883</v>
      </c>
      <c r="AG148" s="44">
        <f t="shared" si="50"/>
        <v>5895.6897266808573</v>
      </c>
      <c r="AH148" s="52">
        <f>HLOOKUP(I148,ElecAvoidedCostsWOCC!$A$5:$Q$50,T148+1,FALSE)</f>
        <v>0.86650348716649883</v>
      </c>
      <c r="AI148" s="44">
        <f t="shared" si="51"/>
        <v>0</v>
      </c>
      <c r="AJ148" s="44">
        <f t="shared" si="52"/>
        <v>5895.6897266808573</v>
      </c>
      <c r="AK148" s="44">
        <f>HLOOKUP(I148,ElecAvoidedCostsWOCC!$A$5:$Q$50,G148+1,FALSE)*J148*L148</f>
        <v>0</v>
      </c>
      <c r="AL148" s="44">
        <f t="shared" si="53"/>
        <v>5895.6897266808573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5895.6897266808583</v>
      </c>
      <c r="AN148" s="48">
        <f t="shared" si="54"/>
        <v>6485.2586993489449</v>
      </c>
      <c r="AO148" s="47">
        <f t="shared" si="55"/>
        <v>1.7512518895483784</v>
      </c>
      <c r="AP148" s="47">
        <f t="shared" si="56"/>
        <v>1.163001628530425</v>
      </c>
      <c r="AQ148">
        <v>2020</v>
      </c>
    </row>
    <row r="149" spans="2:43">
      <c r="B149" s="97" t="s">
        <v>70</v>
      </c>
      <c r="C149" s="61">
        <v>18231134</v>
      </c>
      <c r="D149" s="61" t="s">
        <v>176</v>
      </c>
      <c r="E149" s="38" t="s">
        <v>2295</v>
      </c>
      <c r="F149" s="39" t="s">
        <v>1355</v>
      </c>
      <c r="G149" s="39">
        <v>12</v>
      </c>
      <c r="H149" s="39"/>
      <c r="I149" s="40" t="s">
        <v>257</v>
      </c>
      <c r="J149" s="41">
        <v>141</v>
      </c>
      <c r="K149" s="41">
        <v>129</v>
      </c>
      <c r="L149" s="41"/>
      <c r="M149" s="42">
        <v>65</v>
      </c>
      <c r="N149" s="42">
        <v>65</v>
      </c>
      <c r="O149" s="43">
        <v>18189</v>
      </c>
      <c r="P149" s="44">
        <v>9165</v>
      </c>
      <c r="Q149" s="44">
        <v>9165</v>
      </c>
      <c r="R149" s="45">
        <v>0</v>
      </c>
      <c r="S149" s="46">
        <v>0</v>
      </c>
      <c r="T149" s="39">
        <f t="shared" si="38"/>
        <v>12</v>
      </c>
      <c r="U149" s="47">
        <f t="shared" si="39"/>
        <v>9.1168225894931627E-3</v>
      </c>
      <c r="V149" s="48">
        <f t="shared" si="40"/>
        <v>0</v>
      </c>
      <c r="W149" s="49">
        <f t="shared" si="41"/>
        <v>7.5973521579109689E-4</v>
      </c>
      <c r="X149" s="44">
        <f t="shared" si="42"/>
        <v>1871.242317046685</v>
      </c>
      <c r="Y149" s="44">
        <f t="shared" si="43"/>
        <v>0</v>
      </c>
      <c r="Z149" s="44">
        <f t="shared" si="44"/>
        <v>9627.0342456594317</v>
      </c>
      <c r="AA149" s="50">
        <f t="shared" si="45"/>
        <v>11036.242317046685</v>
      </c>
      <c r="AB149" s="51">
        <f t="shared" si="46"/>
        <v>8999.7515618018424</v>
      </c>
      <c r="AC149" s="44">
        <f t="shared" si="47"/>
        <v>10317.137811579587</v>
      </c>
      <c r="AD149" s="44">
        <f t="shared" si="48"/>
        <v>0</v>
      </c>
      <c r="AE149" s="44">
        <f t="shared" si="49"/>
        <v>0</v>
      </c>
      <c r="AF149" s="52">
        <f>HLOOKUP(I149,ElecAvoidedCostsWOCC!$A$5:$Q$50,G149+1,FALSE)</f>
        <v>0.86650348716649883</v>
      </c>
      <c r="AG149" s="44">
        <f t="shared" si="50"/>
        <v>15760.831928071448</v>
      </c>
      <c r="AH149" s="52">
        <f>HLOOKUP(I149,ElecAvoidedCostsWOCC!$A$5:$Q$50,T149+1,FALSE)</f>
        <v>0.86650348716649883</v>
      </c>
      <c r="AI149" s="44">
        <f t="shared" si="51"/>
        <v>0</v>
      </c>
      <c r="AJ149" s="44">
        <f t="shared" si="52"/>
        <v>15760.831928071448</v>
      </c>
      <c r="AK149" s="44">
        <f>HLOOKUP(I149,ElecAvoidedCostsWOCC!$A$5:$Q$50,G149+1,FALSE)*J149*L149</f>
        <v>0</v>
      </c>
      <c r="AL149" s="44">
        <f t="shared" si="53"/>
        <v>15760.831928071448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15760.831928071448</v>
      </c>
      <c r="AN149" s="48">
        <f t="shared" si="54"/>
        <v>17336.915120878595</v>
      </c>
      <c r="AO149" s="47">
        <f t="shared" si="55"/>
        <v>1.7512518895483786</v>
      </c>
      <c r="AP149" s="47">
        <f t="shared" si="56"/>
        <v>1.6803996842438473</v>
      </c>
      <c r="AQ149">
        <v>2020</v>
      </c>
    </row>
    <row r="150" spans="2:43">
      <c r="B150" s="97" t="s">
        <v>70</v>
      </c>
      <c r="C150" s="61">
        <v>18231134</v>
      </c>
      <c r="D150" s="61" t="s">
        <v>176</v>
      </c>
      <c r="E150" s="38" t="s">
        <v>1354</v>
      </c>
      <c r="F150" s="39" t="s">
        <v>1355</v>
      </c>
      <c r="G150" s="39">
        <v>12</v>
      </c>
      <c r="H150" s="39"/>
      <c r="I150" s="40" t="s">
        <v>257</v>
      </c>
      <c r="J150" s="41">
        <v>9063</v>
      </c>
      <c r="K150" s="41">
        <v>128</v>
      </c>
      <c r="L150" s="41"/>
      <c r="M150" s="42">
        <v>65</v>
      </c>
      <c r="N150" s="42">
        <v>65</v>
      </c>
      <c r="O150" s="43">
        <v>1160064</v>
      </c>
      <c r="P150" s="44">
        <v>589095</v>
      </c>
      <c r="Q150" s="44">
        <v>589095</v>
      </c>
      <c r="R150" s="45">
        <v>0</v>
      </c>
      <c r="S150" s="46">
        <v>0</v>
      </c>
      <c r="T150" s="39">
        <f t="shared" si="38"/>
        <v>12</v>
      </c>
      <c r="U150" s="47">
        <f t="shared" si="39"/>
        <v>0.58145569742469605</v>
      </c>
      <c r="V150" s="48">
        <f t="shared" si="40"/>
        <v>0</v>
      </c>
      <c r="W150" s="49">
        <f t="shared" si="41"/>
        <v>4.8454641452058002E-2</v>
      </c>
      <c r="X150" s="44">
        <f t="shared" si="42"/>
        <v>119344.70544188496</v>
      </c>
      <c r="Y150" s="44">
        <f t="shared" si="43"/>
        <v>0</v>
      </c>
      <c r="Z150" s="44">
        <f t="shared" si="44"/>
        <v>613996.1435569115</v>
      </c>
      <c r="AA150" s="50">
        <f t="shared" si="45"/>
        <v>708439.70544188493</v>
      </c>
      <c r="AB150" s="51">
        <f t="shared" si="46"/>
        <v>573989.10307274142</v>
      </c>
      <c r="AC150" s="44">
        <f t="shared" si="47"/>
        <v>662278.86831998208</v>
      </c>
      <c r="AD150" s="44">
        <f t="shared" si="48"/>
        <v>0</v>
      </c>
      <c r="AE150" s="44">
        <f t="shared" si="49"/>
        <v>0</v>
      </c>
      <c r="AF150" s="52">
        <f>HLOOKUP(I150,ElecAvoidedCostsWOCC!$A$5:$Q$50,G150+1,FALSE)</f>
        <v>0.86650348716649883</v>
      </c>
      <c r="AG150" s="44">
        <f t="shared" si="50"/>
        <v>1005199.5013363173</v>
      </c>
      <c r="AH150" s="52">
        <f>HLOOKUP(I150,ElecAvoidedCostsWOCC!$A$5:$Q$50,T150+1,FALSE)</f>
        <v>0.86650348716649883</v>
      </c>
      <c r="AI150" s="44">
        <f t="shared" si="51"/>
        <v>0</v>
      </c>
      <c r="AJ150" s="44">
        <f t="shared" si="52"/>
        <v>1005199.5013363173</v>
      </c>
      <c r="AK150" s="44">
        <f>HLOOKUP(I150,ElecAvoidedCostsWOCC!$A$5:$Q$50,G150+1,FALSE)*J150*L150</f>
        <v>0</v>
      </c>
      <c r="AL150" s="44">
        <f t="shared" si="53"/>
        <v>1005199.5013363173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1005199.5013363173</v>
      </c>
      <c r="AN150" s="48">
        <f t="shared" si="54"/>
        <v>1105719.451469949</v>
      </c>
      <c r="AO150" s="47">
        <f t="shared" si="55"/>
        <v>1.7512518895483782</v>
      </c>
      <c r="AP150" s="47">
        <f t="shared" si="56"/>
        <v>1.6695677672380711</v>
      </c>
      <c r="AQ150">
        <v>2020</v>
      </c>
    </row>
    <row r="151" spans="2:43">
      <c r="B151" s="97" t="s">
        <v>70</v>
      </c>
      <c r="C151" s="61">
        <v>18231134</v>
      </c>
      <c r="D151" s="61" t="s">
        <v>176</v>
      </c>
      <c r="E151" s="38" t="s">
        <v>2296</v>
      </c>
      <c r="F151" s="39" t="s">
        <v>1358</v>
      </c>
      <c r="G151" s="39">
        <v>12</v>
      </c>
      <c r="H151" s="39"/>
      <c r="I151" s="40" t="s">
        <v>257</v>
      </c>
      <c r="J151" s="41">
        <v>354</v>
      </c>
      <c r="K151" s="41">
        <v>126</v>
      </c>
      <c r="L151" s="41"/>
      <c r="M151" s="42">
        <v>78</v>
      </c>
      <c r="N151" s="42">
        <v>78</v>
      </c>
      <c r="O151" s="43">
        <v>44604</v>
      </c>
      <c r="P151" s="44">
        <v>27612</v>
      </c>
      <c r="Q151" s="44">
        <v>27612</v>
      </c>
      <c r="R151" s="45">
        <v>0</v>
      </c>
      <c r="S151" s="46">
        <v>0</v>
      </c>
      <c r="T151" s="39">
        <f t="shared" ref="T151:T172" si="57">G151+H151</f>
        <v>12</v>
      </c>
      <c r="U151" s="47">
        <f t="shared" ref="U151:U172" si="58">(O151/$A$10)*T151</f>
        <v>2.2356740600459238E-2</v>
      </c>
      <c r="V151" s="48">
        <f t="shared" ref="V151:V172" si="59">N151-M151</f>
        <v>0</v>
      </c>
      <c r="W151" s="49">
        <f t="shared" ref="W151:W172" si="60">(O151/A$10)</f>
        <v>1.8630617167049363E-3</v>
      </c>
      <c r="X151" s="44">
        <f t="shared" ref="X151:X172" si="61">W151*A$8</f>
        <v>4588.7565182005792</v>
      </c>
      <c r="Y151" s="44">
        <f t="shared" ref="Y151:Y172" si="62">Q151-P151</f>
        <v>0</v>
      </c>
      <c r="Z151" s="44">
        <f t="shared" ref="Z151:Z172" si="63">X151+(A$6*W151)</f>
        <v>23607.907828544357</v>
      </c>
      <c r="AA151" s="50">
        <f t="shared" ref="AA151:AA172" si="64">Q151+X151</f>
        <v>32200.756518200578</v>
      </c>
      <c r="AB151" s="51">
        <f t="shared" ref="AB151:AB172" si="65">Z151/(1+ElecDiscountRate)^1</f>
        <v>22069.653013503183</v>
      </c>
      <c r="AC151" s="44">
        <f t="shared" ref="AC151:AC172" si="66">AA151/(1+ElecDiscountRate)^1</f>
        <v>30102.604952978007</v>
      </c>
      <c r="AD151" s="44">
        <f t="shared" ref="AD151:AD172" si="67">-PV(ElecDiscountRate,T151,R151)*J151</f>
        <v>0</v>
      </c>
      <c r="AE151" s="44">
        <f t="shared" ref="AE151:AE172" si="68">-PV(ElecDiscountRate,T151,S151)*J151</f>
        <v>0</v>
      </c>
      <c r="AF151" s="52">
        <f>HLOOKUP(I151,ElecAvoidedCostsWOCC!$A$5:$Q$50,G151+1,FALSE)</f>
        <v>0.86650348716649883</v>
      </c>
      <c r="AG151" s="44">
        <f t="shared" ref="AG151:AG172" si="69">AF151*J151*K151</f>
        <v>38649.521541574512</v>
      </c>
      <c r="AH151" s="52">
        <f>HLOOKUP(I151,ElecAvoidedCostsWOCC!$A$5:$Q$50,T151+1,FALSE)</f>
        <v>0.86650348716649883</v>
      </c>
      <c r="AI151" s="44">
        <f t="shared" ref="AI151:AI172" si="70">AH151*J151*L151</f>
        <v>0</v>
      </c>
      <c r="AJ151" s="44">
        <f t="shared" ref="AJ151:AJ172" si="71">AG151+AI151</f>
        <v>38649.521541574512</v>
      </c>
      <c r="AK151" s="44">
        <f>HLOOKUP(I151,ElecAvoidedCostsWOCC!$A$5:$Q$50,G151+1,FALSE)*J151*L151</f>
        <v>0</v>
      </c>
      <c r="AL151" s="44">
        <f t="shared" ref="AL151:AL172" si="72">AG151+AI151-AK151</f>
        <v>38649.521541574512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38649.521541574512</v>
      </c>
      <c r="AN151" s="48">
        <f t="shared" ref="AN151:AN172" si="73">AM151*1.1+AD151+AE151</f>
        <v>42514.473695731969</v>
      </c>
      <c r="AO151" s="47">
        <f t="shared" ref="AO151:AO172" si="74">IFERROR(AM151/AB151,0)</f>
        <v>1.7512518895483784</v>
      </c>
      <c r="AP151" s="47">
        <f t="shared" ref="AP151:AP172" si="75">AN151/AC151</f>
        <v>1.4123187598595541</v>
      </c>
      <c r="AQ151">
        <v>2020</v>
      </c>
    </row>
    <row r="152" spans="2:43">
      <c r="B152" s="97" t="s">
        <v>70</v>
      </c>
      <c r="C152" s="61">
        <v>18231134</v>
      </c>
      <c r="D152" s="61" t="s">
        <v>176</v>
      </c>
      <c r="E152" s="38" t="s">
        <v>2297</v>
      </c>
      <c r="F152" s="39" t="s">
        <v>1360</v>
      </c>
      <c r="G152" s="39">
        <v>12</v>
      </c>
      <c r="H152" s="39"/>
      <c r="I152" s="40" t="s">
        <v>257</v>
      </c>
      <c r="J152" s="41">
        <v>94</v>
      </c>
      <c r="K152" s="41">
        <v>194</v>
      </c>
      <c r="L152" s="41"/>
      <c r="M152" s="42">
        <v>78</v>
      </c>
      <c r="N152" s="42">
        <v>78</v>
      </c>
      <c r="O152" s="43">
        <v>18236</v>
      </c>
      <c r="P152" s="44">
        <v>7332</v>
      </c>
      <c r="Q152" s="44">
        <v>7332</v>
      </c>
      <c r="R152" s="45">
        <v>0</v>
      </c>
      <c r="S152" s="46">
        <v>0</v>
      </c>
      <c r="T152" s="39">
        <f t="shared" si="57"/>
        <v>12</v>
      </c>
      <c r="U152" s="47">
        <f t="shared" si="58"/>
        <v>9.1403802706029637E-3</v>
      </c>
      <c r="V152" s="48">
        <f t="shared" si="59"/>
        <v>0</v>
      </c>
      <c r="W152" s="49">
        <f t="shared" si="60"/>
        <v>7.6169835588358031E-4</v>
      </c>
      <c r="X152" s="44">
        <f t="shared" si="61"/>
        <v>1876.0775685119218</v>
      </c>
      <c r="Y152" s="44">
        <f t="shared" si="62"/>
        <v>0</v>
      </c>
      <c r="Z152" s="44">
        <f t="shared" si="63"/>
        <v>9651.9103031417562</v>
      </c>
      <c r="AA152" s="50">
        <f t="shared" si="64"/>
        <v>9208.0775685119224</v>
      </c>
      <c r="AB152" s="51">
        <f t="shared" si="65"/>
        <v>9023.0067337961627</v>
      </c>
      <c r="AC152" s="44">
        <f t="shared" si="66"/>
        <v>8608.0934547180714</v>
      </c>
      <c r="AD152" s="44">
        <f t="shared" si="67"/>
        <v>0</v>
      </c>
      <c r="AE152" s="44">
        <f t="shared" si="68"/>
        <v>0</v>
      </c>
      <c r="AF152" s="52">
        <f>HLOOKUP(I152,ElecAvoidedCostsWOCC!$A$5:$Q$50,G152+1,FALSE)</f>
        <v>0.86650348716649883</v>
      </c>
      <c r="AG152" s="44">
        <f t="shared" si="69"/>
        <v>15801.557591968272</v>
      </c>
      <c r="AH152" s="52">
        <f>HLOOKUP(I152,ElecAvoidedCostsWOCC!$A$5:$Q$50,T152+1,FALSE)</f>
        <v>0.86650348716649883</v>
      </c>
      <c r="AI152" s="44">
        <f t="shared" si="70"/>
        <v>0</v>
      </c>
      <c r="AJ152" s="44">
        <f t="shared" si="71"/>
        <v>15801.557591968272</v>
      </c>
      <c r="AK152" s="44">
        <f>HLOOKUP(I152,ElecAvoidedCostsWOCC!$A$5:$Q$50,G152+1,FALSE)*J152*L152</f>
        <v>0</v>
      </c>
      <c r="AL152" s="44">
        <f t="shared" si="72"/>
        <v>15801.557591968272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15801.557591968272</v>
      </c>
      <c r="AN152" s="48">
        <f t="shared" si="73"/>
        <v>17381.713351165101</v>
      </c>
      <c r="AO152" s="47">
        <f t="shared" si="74"/>
        <v>1.7512518895483784</v>
      </c>
      <c r="AP152" s="47">
        <f t="shared" si="75"/>
        <v>2.0192291641116227</v>
      </c>
      <c r="AQ152">
        <v>2020</v>
      </c>
    </row>
    <row r="153" spans="2:43">
      <c r="B153" s="97" t="s">
        <v>70</v>
      </c>
      <c r="C153" s="61">
        <v>18231134</v>
      </c>
      <c r="D153" s="61" t="s">
        <v>176</v>
      </c>
      <c r="E153" s="38" t="s">
        <v>1359</v>
      </c>
      <c r="F153" s="39" t="s">
        <v>1360</v>
      </c>
      <c r="G153" s="39">
        <v>12</v>
      </c>
      <c r="H153" s="39"/>
      <c r="I153" s="40" t="s">
        <v>257</v>
      </c>
      <c r="J153" s="41">
        <v>1771</v>
      </c>
      <c r="K153" s="41">
        <v>192</v>
      </c>
      <c r="L153" s="41"/>
      <c r="M153" s="42">
        <v>78</v>
      </c>
      <c r="N153" s="42">
        <v>78</v>
      </c>
      <c r="O153" s="43">
        <v>340032</v>
      </c>
      <c r="P153" s="44">
        <v>138138</v>
      </c>
      <c r="Q153" s="44">
        <v>138138</v>
      </c>
      <c r="R153" s="45">
        <v>0</v>
      </c>
      <c r="S153" s="46">
        <v>0</v>
      </c>
      <c r="T153" s="39">
        <f t="shared" si="57"/>
        <v>12</v>
      </c>
      <c r="U153" s="47">
        <f t="shared" si="58"/>
        <v>0.170433306875064</v>
      </c>
      <c r="V153" s="48">
        <f t="shared" si="59"/>
        <v>0</v>
      </c>
      <c r="W153" s="49">
        <f t="shared" si="60"/>
        <v>1.4202775572922001E-2</v>
      </c>
      <c r="X153" s="44">
        <f t="shared" si="61"/>
        <v>34981.706941009317</v>
      </c>
      <c r="Y153" s="44">
        <f t="shared" si="62"/>
        <v>0</v>
      </c>
      <c r="Z153" s="44">
        <f t="shared" si="63"/>
        <v>179971.39527297093</v>
      </c>
      <c r="AA153" s="50">
        <f t="shared" si="64"/>
        <v>173119.70694100932</v>
      </c>
      <c r="AB153" s="51">
        <f t="shared" si="65"/>
        <v>168244.73709728982</v>
      </c>
      <c r="AC153" s="44">
        <f t="shared" si="66"/>
        <v>161839.49419557754</v>
      </c>
      <c r="AD153" s="44">
        <f t="shared" si="67"/>
        <v>0</v>
      </c>
      <c r="AE153" s="44">
        <f t="shared" si="68"/>
        <v>0</v>
      </c>
      <c r="AF153" s="52">
        <f>HLOOKUP(I153,ElecAvoidedCostsWOCC!$A$5:$Q$50,G153+1,FALSE)</f>
        <v>0.86650348716649883</v>
      </c>
      <c r="AG153" s="44">
        <f t="shared" si="69"/>
        <v>294638.91374819895</v>
      </c>
      <c r="AH153" s="52">
        <f>HLOOKUP(I153,ElecAvoidedCostsWOCC!$A$5:$Q$50,T153+1,FALSE)</f>
        <v>0.86650348716649883</v>
      </c>
      <c r="AI153" s="44">
        <f t="shared" si="70"/>
        <v>0</v>
      </c>
      <c r="AJ153" s="44">
        <f t="shared" si="71"/>
        <v>294638.91374819895</v>
      </c>
      <c r="AK153" s="44">
        <f>HLOOKUP(I153,ElecAvoidedCostsWOCC!$A$5:$Q$50,G153+1,FALSE)*J153*L153</f>
        <v>0</v>
      </c>
      <c r="AL153" s="44">
        <f t="shared" si="72"/>
        <v>294638.91374819895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294638.91374819895</v>
      </c>
      <c r="AN153" s="48">
        <f t="shared" si="73"/>
        <v>324102.80512301886</v>
      </c>
      <c r="AO153" s="47">
        <f t="shared" si="74"/>
        <v>1.7512518895483784</v>
      </c>
      <c r="AP153" s="47">
        <f t="shared" si="75"/>
        <v>2.0026187472592545</v>
      </c>
      <c r="AQ153">
        <v>2020</v>
      </c>
    </row>
    <row r="154" spans="2:43">
      <c r="B154" s="97" t="s">
        <v>70</v>
      </c>
      <c r="C154" s="61">
        <v>18231134</v>
      </c>
      <c r="D154" s="61" t="s">
        <v>176</v>
      </c>
      <c r="E154" s="38" t="s">
        <v>2298</v>
      </c>
      <c r="F154" s="39" t="s">
        <v>2299</v>
      </c>
      <c r="G154" s="39">
        <v>12</v>
      </c>
      <c r="H154" s="39"/>
      <c r="I154" s="40" t="s">
        <v>257</v>
      </c>
      <c r="J154" s="41">
        <v>2</v>
      </c>
      <c r="K154" s="41">
        <v>228</v>
      </c>
      <c r="L154" s="41"/>
      <c r="M154" s="42">
        <v>109</v>
      </c>
      <c r="N154" s="42">
        <v>109</v>
      </c>
      <c r="O154" s="43">
        <v>456</v>
      </c>
      <c r="P154" s="44">
        <v>218</v>
      </c>
      <c r="Q154" s="44">
        <v>218</v>
      </c>
      <c r="R154" s="45">
        <v>0</v>
      </c>
      <c r="S154" s="46">
        <v>0</v>
      </c>
      <c r="T154" s="39">
        <f t="shared" si="57"/>
        <v>12</v>
      </c>
      <c r="U154" s="47">
        <f t="shared" si="58"/>
        <v>2.2855962949083964E-4</v>
      </c>
      <c r="V154" s="48">
        <f t="shared" si="59"/>
        <v>0</v>
      </c>
      <c r="W154" s="49">
        <f t="shared" si="60"/>
        <v>1.9046635790903303E-5</v>
      </c>
      <c r="X154" s="44">
        <f t="shared" si="61"/>
        <v>46.912226981873019</v>
      </c>
      <c r="Y154" s="44">
        <f t="shared" si="62"/>
        <v>0</v>
      </c>
      <c r="Z154" s="44">
        <f t="shared" si="63"/>
        <v>241.35068536042121</v>
      </c>
      <c r="AA154" s="50">
        <f t="shared" si="64"/>
        <v>264.912226981873</v>
      </c>
      <c r="AB154" s="51">
        <f t="shared" si="65"/>
        <v>225.62464743425372</v>
      </c>
      <c r="AC154" s="44">
        <f t="shared" si="66"/>
        <v>247.65095539111243</v>
      </c>
      <c r="AD154" s="44">
        <f t="shared" si="67"/>
        <v>0</v>
      </c>
      <c r="AE154" s="44">
        <f t="shared" si="68"/>
        <v>0</v>
      </c>
      <c r="AF154" s="52">
        <f>HLOOKUP(I154,ElecAvoidedCostsWOCC!$A$5:$Q$50,G154+1,FALSE)</f>
        <v>0.86650348716649883</v>
      </c>
      <c r="AG154" s="44">
        <f t="shared" si="69"/>
        <v>395.12559014792345</v>
      </c>
      <c r="AH154" s="52">
        <f>HLOOKUP(I154,ElecAvoidedCostsWOCC!$A$5:$Q$50,T154+1,FALSE)</f>
        <v>0.86650348716649883</v>
      </c>
      <c r="AI154" s="44">
        <f t="shared" si="70"/>
        <v>0</v>
      </c>
      <c r="AJ154" s="44">
        <f t="shared" si="71"/>
        <v>395.12559014792345</v>
      </c>
      <c r="AK154" s="44">
        <f>HLOOKUP(I154,ElecAvoidedCostsWOCC!$A$5:$Q$50,G154+1,FALSE)*J154*L154</f>
        <v>0</v>
      </c>
      <c r="AL154" s="44">
        <f t="shared" si="72"/>
        <v>395.12559014792345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395.12559014792345</v>
      </c>
      <c r="AN154" s="48">
        <f t="shared" si="73"/>
        <v>434.63814916271582</v>
      </c>
      <c r="AO154" s="47">
        <f t="shared" si="74"/>
        <v>1.7512518895483782</v>
      </c>
      <c r="AP154" s="47">
        <f t="shared" si="75"/>
        <v>1.7550432966280973</v>
      </c>
      <c r="AQ154">
        <v>2020</v>
      </c>
    </row>
    <row r="155" spans="2:43">
      <c r="B155" s="97" t="s">
        <v>70</v>
      </c>
      <c r="C155" s="61">
        <v>18231134</v>
      </c>
      <c r="D155" s="61" t="s">
        <v>176</v>
      </c>
      <c r="E155" s="38" t="s">
        <v>1362</v>
      </c>
      <c r="F155" s="39" t="s">
        <v>1363</v>
      </c>
      <c r="G155" s="39">
        <v>12</v>
      </c>
      <c r="H155" s="39"/>
      <c r="I155" s="40" t="s">
        <v>257</v>
      </c>
      <c r="J155" s="41">
        <v>12</v>
      </c>
      <c r="K155" s="41">
        <v>225</v>
      </c>
      <c r="L155" s="41"/>
      <c r="M155" s="42">
        <v>100</v>
      </c>
      <c r="N155" s="42">
        <v>100</v>
      </c>
      <c r="O155" s="43">
        <v>2700</v>
      </c>
      <c r="P155" s="44">
        <v>1200</v>
      </c>
      <c r="Q155" s="44">
        <v>1200</v>
      </c>
      <c r="R155" s="45">
        <v>0</v>
      </c>
      <c r="S155" s="46">
        <v>0</v>
      </c>
      <c r="T155" s="39">
        <f t="shared" si="57"/>
        <v>12</v>
      </c>
      <c r="U155" s="47">
        <f t="shared" si="58"/>
        <v>1.3533135956694453E-3</v>
      </c>
      <c r="V155" s="48">
        <f t="shared" si="59"/>
        <v>0</v>
      </c>
      <c r="W155" s="49">
        <f t="shared" si="60"/>
        <v>1.1277613297245377E-4</v>
      </c>
      <c r="X155" s="44">
        <f t="shared" si="61"/>
        <v>277.76976502424816</v>
      </c>
      <c r="Y155" s="44">
        <f t="shared" si="62"/>
        <v>0</v>
      </c>
      <c r="Z155" s="44">
        <f t="shared" si="63"/>
        <v>1429.0501106867046</v>
      </c>
      <c r="AA155" s="50">
        <f t="shared" si="64"/>
        <v>1477.769765024248</v>
      </c>
      <c r="AB155" s="51">
        <f t="shared" si="65"/>
        <v>1335.93541243966</v>
      </c>
      <c r="AC155" s="44">
        <f t="shared" si="66"/>
        <v>1381.4805693411686</v>
      </c>
      <c r="AD155" s="44">
        <f t="shared" si="67"/>
        <v>0</v>
      </c>
      <c r="AE155" s="44">
        <f t="shared" si="68"/>
        <v>0</v>
      </c>
      <c r="AF155" s="52">
        <f>HLOOKUP(I155,ElecAvoidedCostsWOCC!$A$5:$Q$50,G155+1,FALSE)</f>
        <v>0.86650348716649883</v>
      </c>
      <c r="AG155" s="44">
        <f t="shared" si="69"/>
        <v>2339.5594153495467</v>
      </c>
      <c r="AH155" s="52">
        <f>HLOOKUP(I155,ElecAvoidedCostsWOCC!$A$5:$Q$50,T155+1,FALSE)</f>
        <v>0.86650348716649883</v>
      </c>
      <c r="AI155" s="44">
        <f t="shared" si="70"/>
        <v>0</v>
      </c>
      <c r="AJ155" s="44">
        <f t="shared" si="71"/>
        <v>2339.5594153495467</v>
      </c>
      <c r="AK155" s="44">
        <f>HLOOKUP(I155,ElecAvoidedCostsWOCC!$A$5:$Q$50,G155+1,FALSE)*J155*L155</f>
        <v>0</v>
      </c>
      <c r="AL155" s="44">
        <f t="shared" si="72"/>
        <v>2339.5594153495467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2339.5594153495467</v>
      </c>
      <c r="AN155" s="48">
        <f t="shared" si="73"/>
        <v>2573.5153568845017</v>
      </c>
      <c r="AO155" s="47">
        <f t="shared" si="74"/>
        <v>1.7512518895483784</v>
      </c>
      <c r="AP155" s="47">
        <f t="shared" si="75"/>
        <v>1.8628675741069722</v>
      </c>
      <c r="AQ155">
        <v>2020</v>
      </c>
    </row>
    <row r="156" spans="2:43">
      <c r="B156" s="97" t="s">
        <v>70</v>
      </c>
      <c r="C156" s="61">
        <v>18231134</v>
      </c>
      <c r="D156" s="61" t="s">
        <v>176</v>
      </c>
      <c r="E156" s="38" t="s">
        <v>2300</v>
      </c>
      <c r="F156" s="39" t="s">
        <v>1366</v>
      </c>
      <c r="G156" s="39">
        <v>12</v>
      </c>
      <c r="H156" s="39"/>
      <c r="I156" s="40" t="s">
        <v>257</v>
      </c>
      <c r="J156" s="41">
        <v>318</v>
      </c>
      <c r="K156" s="41">
        <v>258</v>
      </c>
      <c r="L156" s="41"/>
      <c r="M156" s="42">
        <v>100</v>
      </c>
      <c r="N156" s="42">
        <v>100</v>
      </c>
      <c r="O156" s="43">
        <v>82044</v>
      </c>
      <c r="P156" s="44">
        <v>31800</v>
      </c>
      <c r="Q156" s="44">
        <v>31800</v>
      </c>
      <c r="R156" s="45">
        <v>0</v>
      </c>
      <c r="S156" s="46">
        <v>0</v>
      </c>
      <c r="T156" s="39">
        <f t="shared" si="57"/>
        <v>12</v>
      </c>
      <c r="U156" s="47">
        <f t="shared" si="58"/>
        <v>4.1122689127075542E-2</v>
      </c>
      <c r="V156" s="48">
        <f t="shared" si="59"/>
        <v>0</v>
      </c>
      <c r="W156" s="49">
        <f t="shared" si="60"/>
        <v>3.4268907605896283E-3</v>
      </c>
      <c r="X156" s="44">
        <f t="shared" si="61"/>
        <v>8440.4972598701534</v>
      </c>
      <c r="Y156" s="44">
        <f t="shared" si="62"/>
        <v>0</v>
      </c>
      <c r="Z156" s="44">
        <f t="shared" si="63"/>
        <v>43424.069363399991</v>
      </c>
      <c r="AA156" s="50">
        <f t="shared" si="64"/>
        <v>40240.497259870157</v>
      </c>
      <c r="AB156" s="51">
        <f t="shared" si="65"/>
        <v>40594.6240659998</v>
      </c>
      <c r="AC156" s="44">
        <f t="shared" si="66"/>
        <v>37618.488604160186</v>
      </c>
      <c r="AD156" s="44">
        <f t="shared" si="67"/>
        <v>0</v>
      </c>
      <c r="AE156" s="44">
        <f t="shared" si="68"/>
        <v>0</v>
      </c>
      <c r="AF156" s="52">
        <f>HLOOKUP(I156,ElecAvoidedCostsWOCC!$A$5:$Q$50,G156+1,FALSE)</f>
        <v>0.86650348716649883</v>
      </c>
      <c r="AG156" s="44">
        <f t="shared" si="69"/>
        <v>71091.412101088237</v>
      </c>
      <c r="AH156" s="52">
        <f>HLOOKUP(I156,ElecAvoidedCostsWOCC!$A$5:$Q$50,T156+1,FALSE)</f>
        <v>0.86650348716649883</v>
      </c>
      <c r="AI156" s="44">
        <f t="shared" si="70"/>
        <v>0</v>
      </c>
      <c r="AJ156" s="44">
        <f t="shared" si="71"/>
        <v>71091.412101088237</v>
      </c>
      <c r="AK156" s="44">
        <f>HLOOKUP(I156,ElecAvoidedCostsWOCC!$A$5:$Q$50,G156+1,FALSE)*J156*L156</f>
        <v>0</v>
      </c>
      <c r="AL156" s="44">
        <f t="shared" si="72"/>
        <v>71091.412101088237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71091.412101088223</v>
      </c>
      <c r="AN156" s="48">
        <f t="shared" si="73"/>
        <v>78200.553311197058</v>
      </c>
      <c r="AO156" s="47">
        <f t="shared" si="74"/>
        <v>1.7512518895483784</v>
      </c>
      <c r="AP156" s="47">
        <f t="shared" si="75"/>
        <v>2.0787797759251005</v>
      </c>
      <c r="AQ156">
        <v>2020</v>
      </c>
    </row>
    <row r="157" spans="2:43">
      <c r="B157" s="97" t="s">
        <v>70</v>
      </c>
      <c r="C157" s="61">
        <v>18231134</v>
      </c>
      <c r="D157" s="61" t="s">
        <v>176</v>
      </c>
      <c r="E157" s="38" t="s">
        <v>1365</v>
      </c>
      <c r="F157" s="39" t="s">
        <v>1366</v>
      </c>
      <c r="G157" s="39">
        <v>12</v>
      </c>
      <c r="H157" s="39"/>
      <c r="I157" s="40" t="s">
        <v>257</v>
      </c>
      <c r="J157" s="41">
        <v>5391</v>
      </c>
      <c r="K157" s="41">
        <v>255</v>
      </c>
      <c r="L157" s="41"/>
      <c r="M157" s="42">
        <v>100</v>
      </c>
      <c r="N157" s="42">
        <v>100</v>
      </c>
      <c r="O157" s="43">
        <v>1374705</v>
      </c>
      <c r="P157" s="44">
        <v>539100</v>
      </c>
      <c r="Q157" s="44">
        <v>539100</v>
      </c>
      <c r="R157" s="45">
        <v>0</v>
      </c>
      <c r="S157" s="46">
        <v>0</v>
      </c>
      <c r="T157" s="39">
        <f t="shared" si="57"/>
        <v>12</v>
      </c>
      <c r="U157" s="47">
        <f t="shared" si="58"/>
        <v>0.6890396172350981</v>
      </c>
      <c r="V157" s="48">
        <f t="shared" si="59"/>
        <v>0</v>
      </c>
      <c r="W157" s="49">
        <f t="shared" si="60"/>
        <v>5.7419968102924837E-2</v>
      </c>
      <c r="X157" s="44">
        <f t="shared" si="61"/>
        <v>141426.47586209595</v>
      </c>
      <c r="Y157" s="44">
        <f t="shared" si="62"/>
        <v>0</v>
      </c>
      <c r="Z157" s="44">
        <f t="shared" si="63"/>
        <v>727600.86385613552</v>
      </c>
      <c r="AA157" s="50">
        <f t="shared" si="64"/>
        <v>680526.47586209595</v>
      </c>
      <c r="AB157" s="51">
        <f t="shared" si="65"/>
        <v>680191.51524365286</v>
      </c>
      <c r="AC157" s="44">
        <f t="shared" si="66"/>
        <v>636184.42167158634</v>
      </c>
      <c r="AD157" s="44">
        <f t="shared" si="67"/>
        <v>0</v>
      </c>
      <c r="AE157" s="44">
        <f t="shared" si="68"/>
        <v>0</v>
      </c>
      <c r="AF157" s="52">
        <f>HLOOKUP(I157,ElecAvoidedCostsWOCC!$A$5:$Q$50,G157+1,FALSE)</f>
        <v>0.86650348716649883</v>
      </c>
      <c r="AG157" s="44">
        <f t="shared" si="69"/>
        <v>1191186.6763252218</v>
      </c>
      <c r="AH157" s="52">
        <f>HLOOKUP(I157,ElecAvoidedCostsWOCC!$A$5:$Q$50,T157+1,FALSE)</f>
        <v>0.86650348716649883</v>
      </c>
      <c r="AI157" s="44">
        <f t="shared" si="70"/>
        <v>0</v>
      </c>
      <c r="AJ157" s="44">
        <f t="shared" si="71"/>
        <v>1191186.6763252218</v>
      </c>
      <c r="AK157" s="44">
        <f>HLOOKUP(I157,ElecAvoidedCostsWOCC!$A$5:$Q$50,G157+1,FALSE)*J157*L157</f>
        <v>0</v>
      </c>
      <c r="AL157" s="44">
        <f t="shared" si="72"/>
        <v>1191186.6763252218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1191186.6763252218</v>
      </c>
      <c r="AN157" s="48">
        <f t="shared" si="73"/>
        <v>1310305.3439577441</v>
      </c>
      <c r="AO157" s="47">
        <f t="shared" si="74"/>
        <v>1.7512518895483786</v>
      </c>
      <c r="AP157" s="47">
        <f t="shared" si="75"/>
        <v>2.0596312945150284</v>
      </c>
      <c r="AQ157">
        <v>2020</v>
      </c>
    </row>
    <row r="158" spans="2:43">
      <c r="B158" s="97" t="s">
        <v>70</v>
      </c>
      <c r="C158" s="61">
        <v>18231134</v>
      </c>
      <c r="D158" s="61" t="s">
        <v>176</v>
      </c>
      <c r="E158" s="38" t="s">
        <v>1368</v>
      </c>
      <c r="F158" s="39" t="s">
        <v>1369</v>
      </c>
      <c r="G158" s="39">
        <v>15</v>
      </c>
      <c r="H158" s="39"/>
      <c r="I158" s="40" t="s">
        <v>257</v>
      </c>
      <c r="J158" s="41">
        <v>742</v>
      </c>
      <c r="K158" s="41">
        <v>424</v>
      </c>
      <c r="L158" s="41"/>
      <c r="M158" s="42">
        <v>119.1</v>
      </c>
      <c r="N158" s="42">
        <v>185</v>
      </c>
      <c r="O158" s="43">
        <v>314608</v>
      </c>
      <c r="P158" s="44">
        <v>133447.79999999999</v>
      </c>
      <c r="Q158" s="44">
        <v>137270</v>
      </c>
      <c r="R158" s="45">
        <v>0</v>
      </c>
      <c r="S158" s="46">
        <v>0</v>
      </c>
      <c r="T158" s="39">
        <f t="shared" si="57"/>
        <v>15</v>
      </c>
      <c r="U158" s="47">
        <f t="shared" si="58"/>
        <v>0.19711263134554297</v>
      </c>
      <c r="V158" s="48">
        <f t="shared" si="59"/>
        <v>65.900000000000006</v>
      </c>
      <c r="W158" s="49">
        <f t="shared" si="60"/>
        <v>1.3140842089702865E-2</v>
      </c>
      <c r="X158" s="44">
        <f t="shared" si="61"/>
        <v>32366.144531388392</v>
      </c>
      <c r="Y158" s="44">
        <f t="shared" si="62"/>
        <v>3822.2000000000116</v>
      </c>
      <c r="Z158" s="44">
        <f t="shared" si="63"/>
        <v>166515.03600848987</v>
      </c>
      <c r="AA158" s="50">
        <f t="shared" si="64"/>
        <v>169636.14453138839</v>
      </c>
      <c r="AB158" s="51">
        <f t="shared" si="65"/>
        <v>155665.17342104315</v>
      </c>
      <c r="AC158" s="44">
        <f t="shared" si="66"/>
        <v>158582.91533269922</v>
      </c>
      <c r="AD158" s="44">
        <f t="shared" si="67"/>
        <v>0</v>
      </c>
      <c r="AE158" s="44">
        <f t="shared" si="68"/>
        <v>0</v>
      </c>
      <c r="AF158" s="52">
        <f>HLOOKUP(I158,ElecAvoidedCostsWOCC!$A$5:$Q$50,G158+1,FALSE)</f>
        <v>1.0545904948077327</v>
      </c>
      <c r="AG158" s="44">
        <f t="shared" si="69"/>
        <v>331782.60639047116</v>
      </c>
      <c r="AH158" s="52">
        <f>HLOOKUP(I158,ElecAvoidedCostsWOCC!$A$5:$Q$50,T158+1,FALSE)</f>
        <v>1.0545904948077327</v>
      </c>
      <c r="AI158" s="44">
        <f t="shared" si="70"/>
        <v>0</v>
      </c>
      <c r="AJ158" s="44">
        <f t="shared" si="71"/>
        <v>331782.60639047116</v>
      </c>
      <c r="AK158" s="44">
        <f>HLOOKUP(I158,ElecAvoidedCostsWOCC!$A$5:$Q$50,G158+1,FALSE)*J158*L158</f>
        <v>0</v>
      </c>
      <c r="AL158" s="44">
        <f t="shared" si="72"/>
        <v>331782.60639047116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331782.60639047116</v>
      </c>
      <c r="AN158" s="48">
        <f t="shared" si="73"/>
        <v>364960.8670295183</v>
      </c>
      <c r="AO158" s="47">
        <f t="shared" si="74"/>
        <v>2.1313862253123608</v>
      </c>
      <c r="AP158" s="47">
        <f t="shared" si="75"/>
        <v>2.3013883069550602</v>
      </c>
      <c r="AQ158">
        <v>2020</v>
      </c>
    </row>
    <row r="159" spans="2:43">
      <c r="B159" s="97" t="s">
        <v>70</v>
      </c>
      <c r="C159" s="61">
        <v>18231134</v>
      </c>
      <c r="D159" s="61" t="s">
        <v>176</v>
      </c>
      <c r="E159" s="38" t="s">
        <v>2301</v>
      </c>
      <c r="F159" s="39" t="s">
        <v>1372</v>
      </c>
      <c r="G159" s="39">
        <v>15</v>
      </c>
      <c r="H159" s="39"/>
      <c r="I159" s="40" t="s">
        <v>257</v>
      </c>
      <c r="J159" s="41">
        <v>1042</v>
      </c>
      <c r="K159" s="41">
        <v>315</v>
      </c>
      <c r="L159" s="41"/>
      <c r="M159" s="42">
        <v>80.7</v>
      </c>
      <c r="N159" s="42">
        <v>185</v>
      </c>
      <c r="O159" s="43">
        <v>328230</v>
      </c>
      <c r="P159" s="44">
        <v>192770</v>
      </c>
      <c r="Q159" s="44">
        <v>192770</v>
      </c>
      <c r="R159" s="45">
        <v>0</v>
      </c>
      <c r="S159" s="46">
        <v>0</v>
      </c>
      <c r="T159" s="39">
        <f t="shared" si="57"/>
        <v>15</v>
      </c>
      <c r="U159" s="47">
        <f t="shared" si="58"/>
        <v>0.20564727847526945</v>
      </c>
      <c r="V159" s="48">
        <f t="shared" si="59"/>
        <v>104.3</v>
      </c>
      <c r="W159" s="49">
        <f t="shared" si="60"/>
        <v>1.3709818565017963E-2</v>
      </c>
      <c r="X159" s="44">
        <f t="shared" si="61"/>
        <v>33767.544434781099</v>
      </c>
      <c r="Y159" s="44">
        <f t="shared" si="62"/>
        <v>0</v>
      </c>
      <c r="Z159" s="44">
        <f t="shared" si="63"/>
        <v>173724.85845581369</v>
      </c>
      <c r="AA159" s="50">
        <f t="shared" si="64"/>
        <v>226537.5444347811</v>
      </c>
      <c r="AB159" s="51">
        <f t="shared" si="65"/>
        <v>162405.21497224798</v>
      </c>
      <c r="AC159" s="44">
        <f t="shared" si="66"/>
        <v>211776.70789453218</v>
      </c>
      <c r="AD159" s="44">
        <f t="shared" si="67"/>
        <v>0</v>
      </c>
      <c r="AE159" s="44">
        <f t="shared" si="68"/>
        <v>0</v>
      </c>
      <c r="AF159" s="52">
        <f>HLOOKUP(I159,ElecAvoidedCostsWOCC!$A$5:$Q$50,G159+1,FALSE)</f>
        <v>1.0545904948077327</v>
      </c>
      <c r="AG159" s="44">
        <f t="shared" si="69"/>
        <v>346148.23811074212</v>
      </c>
      <c r="AH159" s="52">
        <f>HLOOKUP(I159,ElecAvoidedCostsWOCC!$A$5:$Q$50,T159+1,FALSE)</f>
        <v>1.0545904948077327</v>
      </c>
      <c r="AI159" s="44">
        <f t="shared" si="70"/>
        <v>0</v>
      </c>
      <c r="AJ159" s="44">
        <f t="shared" si="71"/>
        <v>346148.23811074212</v>
      </c>
      <c r="AK159" s="44">
        <f>HLOOKUP(I159,ElecAvoidedCostsWOCC!$A$5:$Q$50,G159+1,FALSE)*J159*L159</f>
        <v>0</v>
      </c>
      <c r="AL159" s="44">
        <f t="shared" si="72"/>
        <v>346148.23811074212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346148.23811074207</v>
      </c>
      <c r="AN159" s="48">
        <f t="shared" si="73"/>
        <v>380763.06192181632</v>
      </c>
      <c r="AO159" s="47">
        <f t="shared" si="74"/>
        <v>2.1313862253123603</v>
      </c>
      <c r="AP159" s="47">
        <f t="shared" si="75"/>
        <v>1.7979458917240405</v>
      </c>
      <c r="AQ159">
        <v>2020</v>
      </c>
    </row>
    <row r="160" spans="2:43">
      <c r="B160" s="97" t="s">
        <v>70</v>
      </c>
      <c r="C160" s="61">
        <v>18231134</v>
      </c>
      <c r="D160" s="61" t="s">
        <v>176</v>
      </c>
      <c r="E160" s="38" t="s">
        <v>2302</v>
      </c>
      <c r="F160" s="39" t="s">
        <v>1374</v>
      </c>
      <c r="G160" s="39">
        <v>15</v>
      </c>
      <c r="H160" s="39"/>
      <c r="I160" s="40" t="s">
        <v>257</v>
      </c>
      <c r="J160" s="41">
        <v>135</v>
      </c>
      <c r="K160" s="41">
        <v>216</v>
      </c>
      <c r="L160" s="41"/>
      <c r="M160" s="42">
        <v>54.6</v>
      </c>
      <c r="N160" s="42">
        <v>185</v>
      </c>
      <c r="O160" s="43">
        <v>29160</v>
      </c>
      <c r="P160" s="44">
        <v>11152.6</v>
      </c>
      <c r="Q160" s="44">
        <v>24975</v>
      </c>
      <c r="R160" s="45">
        <v>0</v>
      </c>
      <c r="S160" s="46">
        <v>0</v>
      </c>
      <c r="T160" s="39">
        <f t="shared" si="57"/>
        <v>15</v>
      </c>
      <c r="U160" s="47">
        <f t="shared" si="58"/>
        <v>1.8269733541537509E-2</v>
      </c>
      <c r="V160" s="48">
        <f t="shared" si="59"/>
        <v>130.4</v>
      </c>
      <c r="W160" s="49">
        <f t="shared" si="60"/>
        <v>1.2179822361025007E-3</v>
      </c>
      <c r="X160" s="44">
        <f t="shared" si="61"/>
        <v>2999.9134622618799</v>
      </c>
      <c r="Y160" s="44">
        <f t="shared" si="62"/>
        <v>13822.4</v>
      </c>
      <c r="Z160" s="44">
        <f t="shared" si="63"/>
        <v>15433.741195416407</v>
      </c>
      <c r="AA160" s="50">
        <f t="shared" si="64"/>
        <v>27974.91346226188</v>
      </c>
      <c r="AB160" s="51">
        <f t="shared" si="65"/>
        <v>14428.102454348327</v>
      </c>
      <c r="AC160" s="44">
        <f t="shared" si="66"/>
        <v>26152.111304348768</v>
      </c>
      <c r="AD160" s="44">
        <f t="shared" si="67"/>
        <v>0</v>
      </c>
      <c r="AE160" s="44">
        <f t="shared" si="68"/>
        <v>0</v>
      </c>
      <c r="AF160" s="52">
        <f>HLOOKUP(I160,ElecAvoidedCostsWOCC!$A$5:$Q$50,G160+1,FALSE)</f>
        <v>1.0545904948077327</v>
      </c>
      <c r="AG160" s="44">
        <f t="shared" si="69"/>
        <v>30751.858828593486</v>
      </c>
      <c r="AH160" s="52">
        <f>HLOOKUP(I160,ElecAvoidedCostsWOCC!$A$5:$Q$50,T160+1,FALSE)</f>
        <v>1.0545904948077327</v>
      </c>
      <c r="AI160" s="44">
        <f t="shared" si="70"/>
        <v>0</v>
      </c>
      <c r="AJ160" s="44">
        <f t="shared" si="71"/>
        <v>30751.858828593486</v>
      </c>
      <c r="AK160" s="44">
        <f>HLOOKUP(I160,ElecAvoidedCostsWOCC!$A$5:$Q$50,G160+1,FALSE)*J160*L160</f>
        <v>0</v>
      </c>
      <c r="AL160" s="44">
        <f t="shared" si="72"/>
        <v>30751.858828593486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30751.858828593486</v>
      </c>
      <c r="AN160" s="48">
        <f t="shared" si="73"/>
        <v>33827.044711452836</v>
      </c>
      <c r="AO160" s="47">
        <f t="shared" si="74"/>
        <v>2.1313862253123603</v>
      </c>
      <c r="AP160" s="47">
        <f t="shared" si="75"/>
        <v>1.2934728029330398</v>
      </c>
      <c r="AQ160">
        <v>2020</v>
      </c>
    </row>
    <row r="161" spans="2:43">
      <c r="B161" s="97" t="s">
        <v>70</v>
      </c>
      <c r="C161" s="61">
        <v>18231134</v>
      </c>
      <c r="D161" s="61" t="s">
        <v>176</v>
      </c>
      <c r="E161" s="38" t="s">
        <v>1375</v>
      </c>
      <c r="F161" s="39" t="s">
        <v>1376</v>
      </c>
      <c r="G161" s="39">
        <v>15</v>
      </c>
      <c r="H161" s="39"/>
      <c r="I161" s="40" t="s">
        <v>257</v>
      </c>
      <c r="J161" s="41">
        <v>143</v>
      </c>
      <c r="K161" s="41">
        <v>735</v>
      </c>
      <c r="L161" s="41"/>
      <c r="M161" s="42">
        <v>153.16999999999999</v>
      </c>
      <c r="N161" s="42">
        <v>218.82</v>
      </c>
      <c r="O161" s="43">
        <v>105105</v>
      </c>
      <c r="P161" s="44">
        <v>28271.360000000001</v>
      </c>
      <c r="Q161" s="44">
        <v>31291.26</v>
      </c>
      <c r="R161" s="45">
        <v>0</v>
      </c>
      <c r="S161" s="46">
        <v>0</v>
      </c>
      <c r="T161" s="39">
        <f t="shared" si="57"/>
        <v>15</v>
      </c>
      <c r="U161" s="47">
        <f t="shared" si="58"/>
        <v>6.5851863644831976E-2</v>
      </c>
      <c r="V161" s="48">
        <f t="shared" si="59"/>
        <v>65.650000000000006</v>
      </c>
      <c r="W161" s="49">
        <f t="shared" si="60"/>
        <v>4.3901242429887979E-3</v>
      </c>
      <c r="X161" s="44">
        <f t="shared" si="61"/>
        <v>10812.959686249484</v>
      </c>
      <c r="Y161" s="44">
        <f t="shared" si="62"/>
        <v>3019.8999999999978</v>
      </c>
      <c r="Z161" s="44">
        <f t="shared" si="63"/>
        <v>55629.745142120766</v>
      </c>
      <c r="AA161" s="50">
        <f t="shared" si="64"/>
        <v>42104.219686249482</v>
      </c>
      <c r="AB161" s="51">
        <f t="shared" si="65"/>
        <v>52004.996860914987</v>
      </c>
      <c r="AC161" s="44">
        <f t="shared" si="66"/>
        <v>39360.773755491704</v>
      </c>
      <c r="AD161" s="44">
        <f t="shared" si="67"/>
        <v>0</v>
      </c>
      <c r="AE161" s="44">
        <f t="shared" si="68"/>
        <v>0</v>
      </c>
      <c r="AF161" s="52">
        <f>HLOOKUP(I161,ElecAvoidedCostsWOCC!$A$5:$Q$50,G161+1,FALSE)</f>
        <v>1.0545904948077327</v>
      </c>
      <c r="AG161" s="44">
        <f t="shared" si="69"/>
        <v>110842.73395676675</v>
      </c>
      <c r="AH161" s="52">
        <f>HLOOKUP(I161,ElecAvoidedCostsWOCC!$A$5:$Q$50,T161+1,FALSE)</f>
        <v>1.0545904948077327</v>
      </c>
      <c r="AI161" s="44">
        <f t="shared" si="70"/>
        <v>0</v>
      </c>
      <c r="AJ161" s="44">
        <f t="shared" si="71"/>
        <v>110842.73395676675</v>
      </c>
      <c r="AK161" s="44">
        <f>HLOOKUP(I161,ElecAvoidedCostsWOCC!$A$5:$Q$50,G161+1,FALSE)*J161*L161</f>
        <v>0</v>
      </c>
      <c r="AL161" s="44">
        <f t="shared" si="72"/>
        <v>110842.73395676675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110842.73395676675</v>
      </c>
      <c r="AN161" s="48">
        <f t="shared" si="73"/>
        <v>121927.00735244344</v>
      </c>
      <c r="AO161" s="47">
        <f t="shared" si="74"/>
        <v>2.1313862253123603</v>
      </c>
      <c r="AP161" s="47">
        <f t="shared" si="75"/>
        <v>3.0976781124744002</v>
      </c>
      <c r="AQ161">
        <v>2020</v>
      </c>
    </row>
    <row r="162" spans="2:43">
      <c r="B162" s="97" t="s">
        <v>70</v>
      </c>
      <c r="C162" s="61">
        <v>18231134</v>
      </c>
      <c r="D162" s="61" t="s">
        <v>176</v>
      </c>
      <c r="E162" s="38" t="s">
        <v>2303</v>
      </c>
      <c r="F162" s="39" t="s">
        <v>2304</v>
      </c>
      <c r="G162" s="39">
        <v>5</v>
      </c>
      <c r="H162" s="39"/>
      <c r="I162" s="40" t="s">
        <v>257</v>
      </c>
      <c r="J162" s="41">
        <v>18</v>
      </c>
      <c r="K162" s="41">
        <v>304</v>
      </c>
      <c r="L162" s="41"/>
      <c r="M162" s="42">
        <v>13.78</v>
      </c>
      <c r="N162" s="42">
        <v>13.78</v>
      </c>
      <c r="O162" s="43">
        <v>5472</v>
      </c>
      <c r="P162" s="44">
        <v>248.04</v>
      </c>
      <c r="Q162" s="44">
        <v>248.04</v>
      </c>
      <c r="R162" s="45">
        <v>0</v>
      </c>
      <c r="S162" s="46">
        <v>0</v>
      </c>
      <c r="T162" s="39">
        <f t="shared" si="57"/>
        <v>5</v>
      </c>
      <c r="U162" s="47">
        <f t="shared" si="58"/>
        <v>1.1427981474541981E-3</v>
      </c>
      <c r="V162" s="48">
        <f t="shared" si="59"/>
        <v>0</v>
      </c>
      <c r="W162" s="49">
        <f t="shared" si="60"/>
        <v>2.2855962949083964E-4</v>
      </c>
      <c r="X162" s="44">
        <f t="shared" si="61"/>
        <v>562.94672378247628</v>
      </c>
      <c r="Y162" s="44">
        <f t="shared" si="62"/>
        <v>0</v>
      </c>
      <c r="Z162" s="44">
        <f t="shared" si="63"/>
        <v>2896.2082243250543</v>
      </c>
      <c r="AA162" s="50">
        <f t="shared" si="64"/>
        <v>810.98672378247625</v>
      </c>
      <c r="AB162" s="51">
        <f t="shared" si="65"/>
        <v>2707.4957692110443</v>
      </c>
      <c r="AC162" s="44">
        <f t="shared" si="66"/>
        <v>758.14408131483231</v>
      </c>
      <c r="AD162" s="44">
        <f t="shared" si="67"/>
        <v>0</v>
      </c>
      <c r="AE162" s="44">
        <f t="shared" si="68"/>
        <v>0</v>
      </c>
      <c r="AF162" s="52">
        <f>HLOOKUP(I162,ElecAvoidedCostsWOCC!$A$5:$Q$50,G162+1,FALSE)</f>
        <v>0.3694540986241362</v>
      </c>
      <c r="AG162" s="44">
        <f t="shared" si="69"/>
        <v>2021.6528276712731</v>
      </c>
      <c r="AH162" s="52">
        <f>HLOOKUP(I162,ElecAvoidedCostsWOCC!$A$5:$Q$50,T162+1,FALSE)</f>
        <v>0.3694540986241362</v>
      </c>
      <c r="AI162" s="44">
        <f t="shared" si="70"/>
        <v>0</v>
      </c>
      <c r="AJ162" s="44">
        <f t="shared" si="71"/>
        <v>2021.6528276712731</v>
      </c>
      <c r="AK162" s="44">
        <f>HLOOKUP(I162,ElecAvoidedCostsWOCC!$A$5:$Q$50,G162+1,FALSE)*J162*L162</f>
        <v>0</v>
      </c>
      <c r="AL162" s="44">
        <f t="shared" si="72"/>
        <v>2021.6528276712731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2021.6528276712734</v>
      </c>
      <c r="AN162" s="48">
        <f t="shared" si="73"/>
        <v>2223.8181104384007</v>
      </c>
      <c r="AO162" s="47">
        <f t="shared" si="74"/>
        <v>0.74668734505922296</v>
      </c>
      <c r="AP162" s="47">
        <f t="shared" si="75"/>
        <v>2.9332394267085524</v>
      </c>
      <c r="AQ162">
        <v>2020</v>
      </c>
    </row>
    <row r="163" spans="2:43">
      <c r="B163" s="97" t="s">
        <v>70</v>
      </c>
      <c r="C163" s="61">
        <v>18231134</v>
      </c>
      <c r="D163" s="61" t="s">
        <v>176</v>
      </c>
      <c r="E163" s="38" t="s">
        <v>2305</v>
      </c>
      <c r="F163" s="39" t="s">
        <v>2306</v>
      </c>
      <c r="G163" s="39">
        <v>5</v>
      </c>
      <c r="H163" s="39"/>
      <c r="I163" s="40" t="s">
        <v>257</v>
      </c>
      <c r="J163" s="41">
        <v>29</v>
      </c>
      <c r="K163" s="41">
        <v>255</v>
      </c>
      <c r="L163" s="41"/>
      <c r="M163" s="42">
        <v>22.41</v>
      </c>
      <c r="N163" s="42">
        <v>22.41</v>
      </c>
      <c r="O163" s="43">
        <v>7395</v>
      </c>
      <c r="P163" s="44">
        <v>649.89</v>
      </c>
      <c r="Q163" s="44">
        <v>649.89</v>
      </c>
      <c r="R163" s="45">
        <v>0</v>
      </c>
      <c r="S163" s="46">
        <v>0</v>
      </c>
      <c r="T163" s="39">
        <f t="shared" si="57"/>
        <v>5</v>
      </c>
      <c r="U163" s="47">
        <f t="shared" si="58"/>
        <v>1.5444064876505475E-3</v>
      </c>
      <c r="V163" s="48">
        <f t="shared" si="59"/>
        <v>0</v>
      </c>
      <c r="W163" s="49">
        <f t="shared" si="60"/>
        <v>3.0888129753010949E-4</v>
      </c>
      <c r="X163" s="44">
        <f t="shared" si="61"/>
        <v>760.78052309419081</v>
      </c>
      <c r="Y163" s="44">
        <f t="shared" si="62"/>
        <v>0</v>
      </c>
      <c r="Z163" s="44">
        <f t="shared" si="63"/>
        <v>3914.0094698252515</v>
      </c>
      <c r="AA163" s="50">
        <f t="shared" si="64"/>
        <v>1410.6705230941907</v>
      </c>
      <c r="AB163" s="51">
        <f t="shared" si="65"/>
        <v>3658.97865740418</v>
      </c>
      <c r="AC163" s="44">
        <f t="shared" si="66"/>
        <v>1318.753410390007</v>
      </c>
      <c r="AD163" s="44">
        <f t="shared" si="67"/>
        <v>0</v>
      </c>
      <c r="AE163" s="44">
        <f t="shared" si="68"/>
        <v>0</v>
      </c>
      <c r="AF163" s="52">
        <f>HLOOKUP(I163,ElecAvoidedCostsWOCC!$A$5:$Q$50,G163+1,FALSE)</f>
        <v>0.3694540986241362</v>
      </c>
      <c r="AG163" s="44">
        <f t="shared" si="69"/>
        <v>2732.113059325487</v>
      </c>
      <c r="AH163" s="52">
        <f>HLOOKUP(I163,ElecAvoidedCostsWOCC!$A$5:$Q$50,T163+1,FALSE)</f>
        <v>0.3694540986241362</v>
      </c>
      <c r="AI163" s="44">
        <f t="shared" si="70"/>
        <v>0</v>
      </c>
      <c r="AJ163" s="44">
        <f t="shared" si="71"/>
        <v>2732.113059325487</v>
      </c>
      <c r="AK163" s="44">
        <f>HLOOKUP(I163,ElecAvoidedCostsWOCC!$A$5:$Q$50,G163+1,FALSE)*J163*L163</f>
        <v>0</v>
      </c>
      <c r="AL163" s="44">
        <f t="shared" si="72"/>
        <v>2732.113059325487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2732.1130593254875</v>
      </c>
      <c r="AN163" s="48">
        <f t="shared" si="73"/>
        <v>3005.3243652580363</v>
      </c>
      <c r="AO163" s="47">
        <f t="shared" si="74"/>
        <v>0.74668734505922296</v>
      </c>
      <c r="AP163" s="47">
        <f t="shared" si="75"/>
        <v>2.2789130565123954</v>
      </c>
      <c r="AQ163">
        <v>2020</v>
      </c>
    </row>
    <row r="164" spans="2:43">
      <c r="B164" s="97" t="s">
        <v>70</v>
      </c>
      <c r="C164" s="61">
        <v>18231134</v>
      </c>
      <c r="D164" s="61" t="s">
        <v>176</v>
      </c>
      <c r="E164" s="38" t="s">
        <v>2307</v>
      </c>
      <c r="F164" s="39" t="s">
        <v>2308</v>
      </c>
      <c r="G164" s="39">
        <v>12</v>
      </c>
      <c r="H164" s="39"/>
      <c r="I164" s="40" t="s">
        <v>257</v>
      </c>
      <c r="J164" s="41">
        <v>13</v>
      </c>
      <c r="K164" s="41">
        <v>230</v>
      </c>
      <c r="L164" s="41"/>
      <c r="M164" s="42">
        <v>37</v>
      </c>
      <c r="N164" s="42">
        <v>37</v>
      </c>
      <c r="O164" s="43">
        <v>2990</v>
      </c>
      <c r="P164" s="44">
        <v>481</v>
      </c>
      <c r="Q164" s="44">
        <v>481</v>
      </c>
      <c r="R164" s="45">
        <v>0</v>
      </c>
      <c r="S164" s="46">
        <v>0</v>
      </c>
      <c r="T164" s="39">
        <f t="shared" si="57"/>
        <v>12</v>
      </c>
      <c r="U164" s="47">
        <f t="shared" si="58"/>
        <v>1.4986695003894968E-3</v>
      </c>
      <c r="V164" s="48">
        <f t="shared" si="59"/>
        <v>0</v>
      </c>
      <c r="W164" s="49">
        <f t="shared" si="60"/>
        <v>1.2488912503245806E-4</v>
      </c>
      <c r="X164" s="44">
        <f t="shared" si="61"/>
        <v>307.60429534166741</v>
      </c>
      <c r="Y164" s="44">
        <f t="shared" si="62"/>
        <v>0</v>
      </c>
      <c r="Z164" s="44">
        <f t="shared" si="63"/>
        <v>1582.540678130832</v>
      </c>
      <c r="AA164" s="50">
        <f t="shared" si="64"/>
        <v>788.60429534166747</v>
      </c>
      <c r="AB164" s="51">
        <f t="shared" si="65"/>
        <v>1479.4247715535496</v>
      </c>
      <c r="AC164" s="44">
        <f t="shared" si="66"/>
        <v>737.22005734473908</v>
      </c>
      <c r="AD164" s="44">
        <f t="shared" si="67"/>
        <v>0</v>
      </c>
      <c r="AE164" s="44">
        <f t="shared" si="68"/>
        <v>0</v>
      </c>
      <c r="AF164" s="52">
        <f>HLOOKUP(I164,ElecAvoidedCostsWOCC!$A$5:$Q$50,G164+1,FALSE)</f>
        <v>0.86650348716649883</v>
      </c>
      <c r="AG164" s="44">
        <f t="shared" si="69"/>
        <v>2590.8454266278313</v>
      </c>
      <c r="AH164" s="52">
        <f>HLOOKUP(I164,ElecAvoidedCostsWOCC!$A$5:$Q$50,T164+1,FALSE)</f>
        <v>0.86650348716649883</v>
      </c>
      <c r="AI164" s="44">
        <f t="shared" si="70"/>
        <v>0</v>
      </c>
      <c r="AJ164" s="44">
        <f t="shared" si="71"/>
        <v>2590.8454266278313</v>
      </c>
      <c r="AK164" s="44">
        <f>HLOOKUP(I164,ElecAvoidedCostsWOCC!$A$5:$Q$50,G164+1,FALSE)*J164*L164</f>
        <v>0</v>
      </c>
      <c r="AL164" s="44">
        <f t="shared" si="72"/>
        <v>2590.8454266278313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2590.8454266278313</v>
      </c>
      <c r="AN164" s="48">
        <f t="shared" si="73"/>
        <v>2849.9299692906147</v>
      </c>
      <c r="AO164" s="47">
        <f t="shared" si="74"/>
        <v>1.7512518895483782</v>
      </c>
      <c r="AP164" s="47">
        <f t="shared" si="75"/>
        <v>3.8657792078463888</v>
      </c>
      <c r="AQ164">
        <v>2020</v>
      </c>
    </row>
    <row r="165" spans="2:43">
      <c r="B165" s="97" t="s">
        <v>70</v>
      </c>
      <c r="C165" s="61">
        <v>18231134</v>
      </c>
      <c r="D165" s="61" t="s">
        <v>176</v>
      </c>
      <c r="E165" s="38" t="s">
        <v>2309</v>
      </c>
      <c r="F165" s="39" t="s">
        <v>2310</v>
      </c>
      <c r="G165" s="39">
        <v>12</v>
      </c>
      <c r="H165" s="39"/>
      <c r="I165" s="40" t="s">
        <v>257</v>
      </c>
      <c r="J165" s="41">
        <v>14</v>
      </c>
      <c r="K165" s="41">
        <v>460</v>
      </c>
      <c r="L165" s="41"/>
      <c r="M165" s="42">
        <v>65</v>
      </c>
      <c r="N165" s="42">
        <v>65</v>
      </c>
      <c r="O165" s="43">
        <v>6440</v>
      </c>
      <c r="P165" s="44">
        <v>910</v>
      </c>
      <c r="Q165" s="44">
        <v>910</v>
      </c>
      <c r="R165" s="45">
        <v>0</v>
      </c>
      <c r="S165" s="46">
        <v>0</v>
      </c>
      <c r="T165" s="39">
        <f t="shared" si="57"/>
        <v>12</v>
      </c>
      <c r="U165" s="47">
        <f t="shared" si="58"/>
        <v>3.2279035393004548E-3</v>
      </c>
      <c r="V165" s="48">
        <f t="shared" si="59"/>
        <v>0</v>
      </c>
      <c r="W165" s="49">
        <f t="shared" si="60"/>
        <v>2.6899196160837122E-4</v>
      </c>
      <c r="X165" s="44">
        <f t="shared" si="61"/>
        <v>662.53232842820671</v>
      </c>
      <c r="Y165" s="44">
        <f t="shared" si="62"/>
        <v>0</v>
      </c>
      <c r="Z165" s="44">
        <f t="shared" si="63"/>
        <v>3408.5491528971766</v>
      </c>
      <c r="AA165" s="50">
        <f t="shared" si="64"/>
        <v>1572.5323284282067</v>
      </c>
      <c r="AB165" s="51">
        <f t="shared" si="65"/>
        <v>3186.4533541153373</v>
      </c>
      <c r="AC165" s="44">
        <f t="shared" si="66"/>
        <v>1470.0685504610699</v>
      </c>
      <c r="AD165" s="44">
        <f t="shared" si="67"/>
        <v>0</v>
      </c>
      <c r="AE165" s="44">
        <f t="shared" si="68"/>
        <v>0</v>
      </c>
      <c r="AF165" s="52">
        <f>HLOOKUP(I165,ElecAvoidedCostsWOCC!$A$5:$Q$50,G165+1,FALSE)</f>
        <v>0.86650348716649883</v>
      </c>
      <c r="AG165" s="44">
        <f t="shared" si="69"/>
        <v>5580.2824573522521</v>
      </c>
      <c r="AH165" s="52">
        <f>HLOOKUP(I165,ElecAvoidedCostsWOCC!$A$5:$Q$50,T165+1,FALSE)</f>
        <v>0.86650348716649883</v>
      </c>
      <c r="AI165" s="44">
        <f t="shared" si="70"/>
        <v>0</v>
      </c>
      <c r="AJ165" s="44">
        <f t="shared" si="71"/>
        <v>5580.2824573522521</v>
      </c>
      <c r="AK165" s="44">
        <f>HLOOKUP(I165,ElecAvoidedCostsWOCC!$A$5:$Q$50,G165+1,FALSE)*J165*L165</f>
        <v>0</v>
      </c>
      <c r="AL165" s="44">
        <f t="shared" si="72"/>
        <v>5580.2824573522521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5580.2824573522521</v>
      </c>
      <c r="AN165" s="48">
        <f t="shared" si="73"/>
        <v>6138.310703087478</v>
      </c>
      <c r="AO165" s="47">
        <f t="shared" si="74"/>
        <v>1.7512518895483782</v>
      </c>
      <c r="AP165" s="47">
        <f t="shared" si="75"/>
        <v>4.1755268495215878</v>
      </c>
      <c r="AQ165">
        <v>2020</v>
      </c>
    </row>
    <row r="166" spans="2:43">
      <c r="B166" s="97" t="s">
        <v>70</v>
      </c>
      <c r="C166" s="61">
        <v>18231134</v>
      </c>
      <c r="D166" s="61" t="s">
        <v>176</v>
      </c>
      <c r="E166" s="38" t="s">
        <v>2311</v>
      </c>
      <c r="F166" s="39" t="s">
        <v>2312</v>
      </c>
      <c r="G166" s="39">
        <v>12</v>
      </c>
      <c r="H166" s="39"/>
      <c r="I166" s="40" t="s">
        <v>257</v>
      </c>
      <c r="J166" s="41">
        <v>2</v>
      </c>
      <c r="K166" s="41">
        <v>920</v>
      </c>
      <c r="L166" s="41"/>
      <c r="M166" s="42">
        <v>127</v>
      </c>
      <c r="N166" s="42">
        <v>127</v>
      </c>
      <c r="O166" s="43">
        <v>1840</v>
      </c>
      <c r="P166" s="44">
        <v>254</v>
      </c>
      <c r="Q166" s="44">
        <v>254</v>
      </c>
      <c r="R166" s="45">
        <v>0</v>
      </c>
      <c r="S166" s="46">
        <v>0</v>
      </c>
      <c r="T166" s="39">
        <f t="shared" si="57"/>
        <v>12</v>
      </c>
      <c r="U166" s="47">
        <f t="shared" si="58"/>
        <v>9.2225815408584415E-4</v>
      </c>
      <c r="V166" s="48">
        <f t="shared" si="59"/>
        <v>0</v>
      </c>
      <c r="W166" s="49">
        <f t="shared" si="60"/>
        <v>7.685484617382035E-5</v>
      </c>
      <c r="X166" s="44">
        <f t="shared" si="61"/>
        <v>189.29495097948762</v>
      </c>
      <c r="Y166" s="44">
        <f t="shared" si="62"/>
        <v>0</v>
      </c>
      <c r="Z166" s="44">
        <f t="shared" si="63"/>
        <v>973.87118654205051</v>
      </c>
      <c r="AA166" s="50">
        <f t="shared" si="64"/>
        <v>443.29495097948762</v>
      </c>
      <c r="AB166" s="51">
        <f t="shared" si="65"/>
        <v>910.41524403295352</v>
      </c>
      <c r="AC166" s="44">
        <f t="shared" si="66"/>
        <v>414.41053657987061</v>
      </c>
      <c r="AD166" s="44">
        <f t="shared" si="67"/>
        <v>0</v>
      </c>
      <c r="AE166" s="44">
        <f t="shared" si="68"/>
        <v>0</v>
      </c>
      <c r="AF166" s="52">
        <f>HLOOKUP(I166,ElecAvoidedCostsWOCC!$A$5:$Q$50,G166+1,FALSE)</f>
        <v>0.86650348716649883</v>
      </c>
      <c r="AG166" s="44">
        <f t="shared" si="69"/>
        <v>1594.3664163863577</v>
      </c>
      <c r="AH166" s="52">
        <f>HLOOKUP(I166,ElecAvoidedCostsWOCC!$A$5:$Q$50,T166+1,FALSE)</f>
        <v>0.86650348716649883</v>
      </c>
      <c r="AI166" s="44">
        <f t="shared" si="70"/>
        <v>0</v>
      </c>
      <c r="AJ166" s="44">
        <f t="shared" si="71"/>
        <v>1594.3664163863577</v>
      </c>
      <c r="AK166" s="44">
        <f>HLOOKUP(I166,ElecAvoidedCostsWOCC!$A$5:$Q$50,G166+1,FALSE)*J166*L166</f>
        <v>0</v>
      </c>
      <c r="AL166" s="44">
        <f t="shared" si="72"/>
        <v>1594.3664163863577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1594.3664163863577</v>
      </c>
      <c r="AN166" s="48">
        <f t="shared" si="73"/>
        <v>1753.8030580249936</v>
      </c>
      <c r="AO166" s="47">
        <f t="shared" si="74"/>
        <v>1.7512518895483782</v>
      </c>
      <c r="AP166" s="47">
        <f t="shared" si="75"/>
        <v>4.2320426321664666</v>
      </c>
      <c r="AQ166">
        <v>2020</v>
      </c>
    </row>
    <row r="167" spans="2:43">
      <c r="B167" s="97" t="s">
        <v>70</v>
      </c>
      <c r="C167" s="61">
        <v>18231134</v>
      </c>
      <c r="D167" s="61" t="s">
        <v>176</v>
      </c>
      <c r="E167" s="38" t="s">
        <v>2313</v>
      </c>
      <c r="F167" s="39" t="s">
        <v>2314</v>
      </c>
      <c r="G167" s="39">
        <v>12</v>
      </c>
      <c r="H167" s="39"/>
      <c r="I167" s="40" t="s">
        <v>257</v>
      </c>
      <c r="J167" s="41">
        <v>1</v>
      </c>
      <c r="K167" s="41">
        <v>145</v>
      </c>
      <c r="L167" s="41"/>
      <c r="M167" s="42">
        <v>37</v>
      </c>
      <c r="N167" s="42">
        <v>37</v>
      </c>
      <c r="O167" s="43">
        <v>145</v>
      </c>
      <c r="P167" s="44">
        <v>37</v>
      </c>
      <c r="Q167" s="44">
        <v>37</v>
      </c>
      <c r="R167" s="45">
        <v>0</v>
      </c>
      <c r="S167" s="46">
        <v>0</v>
      </c>
      <c r="T167" s="39">
        <f t="shared" si="57"/>
        <v>12</v>
      </c>
      <c r="U167" s="47">
        <f t="shared" si="58"/>
        <v>7.267795236002577E-5</v>
      </c>
      <c r="V167" s="48">
        <f t="shared" si="59"/>
        <v>0</v>
      </c>
      <c r="W167" s="49">
        <f t="shared" si="60"/>
        <v>6.056496030002147E-6</v>
      </c>
      <c r="X167" s="44">
        <f t="shared" si="61"/>
        <v>14.917265158709624</v>
      </c>
      <c r="Y167" s="44">
        <f t="shared" si="62"/>
        <v>0</v>
      </c>
      <c r="Z167" s="44">
        <f t="shared" si="63"/>
        <v>76.74528372206376</v>
      </c>
      <c r="AA167" s="50">
        <f t="shared" si="64"/>
        <v>51.917265158709625</v>
      </c>
      <c r="AB167" s="51">
        <f t="shared" si="65"/>
        <v>71.744679556944703</v>
      </c>
      <c r="AC167" s="44">
        <f t="shared" si="66"/>
        <v>48.534416339823892</v>
      </c>
      <c r="AD167" s="44">
        <f t="shared" si="67"/>
        <v>0</v>
      </c>
      <c r="AE167" s="44">
        <f t="shared" si="68"/>
        <v>0</v>
      </c>
      <c r="AF167" s="52">
        <f>HLOOKUP(I167,ElecAvoidedCostsWOCC!$A$5:$Q$50,G167+1,FALSE)</f>
        <v>0.86650348716649883</v>
      </c>
      <c r="AG167" s="44">
        <f t="shared" si="69"/>
        <v>125.64300563914233</v>
      </c>
      <c r="AH167" s="52">
        <f>HLOOKUP(I167,ElecAvoidedCostsWOCC!$A$5:$Q$50,T167+1,FALSE)</f>
        <v>0.86650348716649883</v>
      </c>
      <c r="AI167" s="44">
        <f t="shared" si="70"/>
        <v>0</v>
      </c>
      <c r="AJ167" s="44">
        <f t="shared" si="71"/>
        <v>125.64300563914233</v>
      </c>
      <c r="AK167" s="44">
        <f>HLOOKUP(I167,ElecAvoidedCostsWOCC!$A$5:$Q$50,G167+1,FALSE)*J167*L167</f>
        <v>0</v>
      </c>
      <c r="AL167" s="44">
        <f t="shared" si="72"/>
        <v>125.64300563914233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125.64300563914233</v>
      </c>
      <c r="AN167" s="48">
        <f t="shared" si="73"/>
        <v>138.20730620305656</v>
      </c>
      <c r="AO167" s="47">
        <f t="shared" si="74"/>
        <v>1.7512518895483784</v>
      </c>
      <c r="AP167" s="47">
        <f t="shared" si="75"/>
        <v>2.847614468779621</v>
      </c>
      <c r="AQ167">
        <v>2020</v>
      </c>
    </row>
    <row r="168" spans="2:43">
      <c r="B168" s="97" t="s">
        <v>70</v>
      </c>
      <c r="C168" s="61">
        <v>18231134</v>
      </c>
      <c r="D168" s="61" t="s">
        <v>176</v>
      </c>
      <c r="E168" s="38" t="s">
        <v>1377</v>
      </c>
      <c r="F168" s="39" t="s">
        <v>1378</v>
      </c>
      <c r="G168" s="39">
        <v>12</v>
      </c>
      <c r="H168" s="39"/>
      <c r="I168" s="40" t="s">
        <v>257</v>
      </c>
      <c r="J168" s="41">
        <v>37</v>
      </c>
      <c r="K168" s="41">
        <v>290</v>
      </c>
      <c r="L168" s="41"/>
      <c r="M168" s="42">
        <v>65</v>
      </c>
      <c r="N168" s="42">
        <v>65</v>
      </c>
      <c r="O168" s="43">
        <v>10730</v>
      </c>
      <c r="P168" s="44">
        <v>2405</v>
      </c>
      <c r="Q168" s="44">
        <v>2405</v>
      </c>
      <c r="R168" s="45">
        <v>0</v>
      </c>
      <c r="S168" s="46">
        <v>0</v>
      </c>
      <c r="T168" s="39">
        <f t="shared" si="57"/>
        <v>12</v>
      </c>
      <c r="U168" s="47">
        <f t="shared" si="58"/>
        <v>5.3781684746419065E-3</v>
      </c>
      <c r="V168" s="48">
        <f t="shared" si="59"/>
        <v>0</v>
      </c>
      <c r="W168" s="49">
        <f t="shared" si="60"/>
        <v>4.4818070622015886E-4</v>
      </c>
      <c r="X168" s="44">
        <f t="shared" si="61"/>
        <v>1103.877621744512</v>
      </c>
      <c r="Y168" s="44">
        <f t="shared" si="62"/>
        <v>0</v>
      </c>
      <c r="Z168" s="44">
        <f t="shared" si="63"/>
        <v>5679.1509954327175</v>
      </c>
      <c r="AA168" s="50">
        <f t="shared" si="64"/>
        <v>3508.877621744512</v>
      </c>
      <c r="AB168" s="51">
        <f t="shared" si="65"/>
        <v>5309.1062872139073</v>
      </c>
      <c r="AC168" s="44">
        <f t="shared" si="66"/>
        <v>3280.2445748756768</v>
      </c>
      <c r="AD168" s="44">
        <f t="shared" si="67"/>
        <v>0</v>
      </c>
      <c r="AE168" s="44">
        <f t="shared" si="68"/>
        <v>0</v>
      </c>
      <c r="AF168" s="52">
        <f>HLOOKUP(I168,ElecAvoidedCostsWOCC!$A$5:$Q$50,G168+1,FALSE)</f>
        <v>0.86650348716649883</v>
      </c>
      <c r="AG168" s="44">
        <f t="shared" si="69"/>
        <v>9297.5824172965331</v>
      </c>
      <c r="AH168" s="52">
        <f>HLOOKUP(I168,ElecAvoidedCostsWOCC!$A$5:$Q$50,T168+1,FALSE)</f>
        <v>0.86650348716649883</v>
      </c>
      <c r="AI168" s="44">
        <f t="shared" si="70"/>
        <v>0</v>
      </c>
      <c r="AJ168" s="44">
        <f t="shared" si="71"/>
        <v>9297.5824172965331</v>
      </c>
      <c r="AK168" s="44">
        <f>HLOOKUP(I168,ElecAvoidedCostsWOCC!$A$5:$Q$50,G168+1,FALSE)*J168*L168</f>
        <v>0</v>
      </c>
      <c r="AL168" s="44">
        <f t="shared" si="72"/>
        <v>9297.5824172965331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9297.5824172965331</v>
      </c>
      <c r="AN168" s="48">
        <f t="shared" si="73"/>
        <v>10227.340659026187</v>
      </c>
      <c r="AO168" s="47">
        <f t="shared" si="74"/>
        <v>1.7512518895483788</v>
      </c>
      <c r="AP168" s="47">
        <f t="shared" si="75"/>
        <v>3.1178591795746846</v>
      </c>
      <c r="AQ168">
        <v>2020</v>
      </c>
    </row>
    <row r="169" spans="2:43">
      <c r="B169" s="97" t="s">
        <v>70</v>
      </c>
      <c r="C169" s="61">
        <v>18231134</v>
      </c>
      <c r="D169" s="61" t="s">
        <v>176</v>
      </c>
      <c r="E169" s="38" t="s">
        <v>1379</v>
      </c>
      <c r="F169" s="39" t="s">
        <v>1380</v>
      </c>
      <c r="G169" s="39">
        <v>12</v>
      </c>
      <c r="H169" s="39"/>
      <c r="I169" s="40" t="s">
        <v>257</v>
      </c>
      <c r="J169" s="41">
        <v>2</v>
      </c>
      <c r="K169" s="41">
        <v>886</v>
      </c>
      <c r="L169" s="41"/>
      <c r="M169" s="42">
        <v>100</v>
      </c>
      <c r="N169" s="42">
        <v>100</v>
      </c>
      <c r="O169" s="43">
        <v>1772</v>
      </c>
      <c r="P169" s="44">
        <v>200</v>
      </c>
      <c r="Q169" s="44">
        <v>200</v>
      </c>
      <c r="R169" s="45">
        <v>0</v>
      </c>
      <c r="S169" s="46">
        <v>0</v>
      </c>
      <c r="T169" s="39">
        <f t="shared" si="57"/>
        <v>12</v>
      </c>
      <c r="U169" s="47">
        <f t="shared" si="58"/>
        <v>8.881747005652803E-4</v>
      </c>
      <c r="V169" s="48">
        <f t="shared" si="59"/>
        <v>0</v>
      </c>
      <c r="W169" s="49">
        <f t="shared" si="60"/>
        <v>7.401455838044003E-5</v>
      </c>
      <c r="X169" s="44">
        <f t="shared" si="61"/>
        <v>182.29926800850657</v>
      </c>
      <c r="Y169" s="44">
        <f t="shared" si="62"/>
        <v>0</v>
      </c>
      <c r="Z169" s="44">
        <f t="shared" si="63"/>
        <v>937.88029486549647</v>
      </c>
      <c r="AA169" s="50">
        <f t="shared" si="64"/>
        <v>382.2992680085066</v>
      </c>
      <c r="AB169" s="51">
        <f t="shared" si="65"/>
        <v>876.76946327521398</v>
      </c>
      <c r="AC169" s="44">
        <f t="shared" si="66"/>
        <v>357.38923811209366</v>
      </c>
      <c r="AD169" s="44">
        <f t="shared" si="67"/>
        <v>0</v>
      </c>
      <c r="AE169" s="44">
        <f t="shared" si="68"/>
        <v>0</v>
      </c>
      <c r="AF169" s="52">
        <f>HLOOKUP(I169,ElecAvoidedCostsWOCC!$A$5:$Q$50,G169+1,FALSE)</f>
        <v>0.86650348716649883</v>
      </c>
      <c r="AG169" s="44">
        <f t="shared" si="69"/>
        <v>1535.444179259036</v>
      </c>
      <c r="AH169" s="52">
        <f>HLOOKUP(I169,ElecAvoidedCostsWOCC!$A$5:$Q$50,T169+1,FALSE)</f>
        <v>0.86650348716649883</v>
      </c>
      <c r="AI169" s="44">
        <f t="shared" si="70"/>
        <v>0</v>
      </c>
      <c r="AJ169" s="44">
        <f t="shared" si="71"/>
        <v>1535.444179259036</v>
      </c>
      <c r="AK169" s="44">
        <f>HLOOKUP(I169,ElecAvoidedCostsWOCC!$A$5:$Q$50,G169+1,FALSE)*J169*L169</f>
        <v>0</v>
      </c>
      <c r="AL169" s="44">
        <f t="shared" si="72"/>
        <v>1535.444179259036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1535.444179259036</v>
      </c>
      <c r="AN169" s="48">
        <f t="shared" si="73"/>
        <v>1688.9885971849396</v>
      </c>
      <c r="AO169" s="47">
        <f t="shared" si="74"/>
        <v>1.7512518895483784</v>
      </c>
      <c r="AP169" s="47">
        <f t="shared" si="75"/>
        <v>4.7259078256161571</v>
      </c>
      <c r="AQ169">
        <v>2020</v>
      </c>
    </row>
    <row r="170" spans="2:43">
      <c r="B170" s="97" t="s">
        <v>70</v>
      </c>
      <c r="C170" s="61">
        <v>18231134</v>
      </c>
      <c r="D170" s="61" t="s">
        <v>176</v>
      </c>
      <c r="E170" s="38" t="s">
        <v>1381</v>
      </c>
      <c r="F170" s="39" t="s">
        <v>1382</v>
      </c>
      <c r="G170" s="39">
        <v>15</v>
      </c>
      <c r="H170" s="39"/>
      <c r="I170" s="40" t="s">
        <v>257</v>
      </c>
      <c r="J170" s="41">
        <v>105</v>
      </c>
      <c r="K170" s="41">
        <v>1075</v>
      </c>
      <c r="L170" s="41"/>
      <c r="M170" s="42">
        <v>153.16999999999999</v>
      </c>
      <c r="N170" s="42">
        <v>218.82</v>
      </c>
      <c r="O170" s="43">
        <v>112875</v>
      </c>
      <c r="P170" s="44">
        <v>19560.2</v>
      </c>
      <c r="Q170" s="44">
        <v>22976.1</v>
      </c>
      <c r="R170" s="45">
        <v>0</v>
      </c>
      <c r="S170" s="46">
        <v>0</v>
      </c>
      <c r="T170" s="39">
        <f t="shared" si="57"/>
        <v>15</v>
      </c>
      <c r="U170" s="47">
        <f t="shared" si="58"/>
        <v>7.0720033384809547E-2</v>
      </c>
      <c r="V170" s="48">
        <f t="shared" si="59"/>
        <v>65.650000000000006</v>
      </c>
      <c r="W170" s="49">
        <f t="shared" si="60"/>
        <v>4.7146688923206366E-3</v>
      </c>
      <c r="X170" s="44">
        <f t="shared" si="61"/>
        <v>11612.319343374818</v>
      </c>
      <c r="Y170" s="44">
        <f t="shared" si="62"/>
        <v>3415.8999999999978</v>
      </c>
      <c r="Z170" s="44">
        <f t="shared" si="63"/>
        <v>59742.233793985833</v>
      </c>
      <c r="AA170" s="50">
        <f t="shared" si="64"/>
        <v>34588.419343374815</v>
      </c>
      <c r="AB170" s="51">
        <f t="shared" si="65"/>
        <v>55849.52210338023</v>
      </c>
      <c r="AC170" s="44">
        <f t="shared" si="66"/>
        <v>32334.691355870629</v>
      </c>
      <c r="AD170" s="44">
        <f t="shared" si="67"/>
        <v>0</v>
      </c>
      <c r="AE170" s="44">
        <f t="shared" si="68"/>
        <v>0</v>
      </c>
      <c r="AF170" s="52">
        <f>HLOOKUP(I170,ElecAvoidedCostsWOCC!$A$5:$Q$50,G170+1,FALSE)</f>
        <v>1.0545904948077327</v>
      </c>
      <c r="AG170" s="44">
        <f t="shared" si="69"/>
        <v>119036.90210142283</v>
      </c>
      <c r="AH170" s="52">
        <f>HLOOKUP(I170,ElecAvoidedCostsWOCC!$A$5:$Q$50,T170+1,FALSE)</f>
        <v>1.0545904948077327</v>
      </c>
      <c r="AI170" s="44">
        <f t="shared" si="70"/>
        <v>0</v>
      </c>
      <c r="AJ170" s="44">
        <f t="shared" si="71"/>
        <v>119036.90210142283</v>
      </c>
      <c r="AK170" s="44">
        <f>HLOOKUP(I170,ElecAvoidedCostsWOCC!$A$5:$Q$50,G170+1,FALSE)*J170*L170</f>
        <v>0</v>
      </c>
      <c r="AL170" s="44">
        <f t="shared" si="72"/>
        <v>119036.90210142283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119036.90210142282</v>
      </c>
      <c r="AN170" s="48">
        <f t="shared" si="73"/>
        <v>130940.59231156511</v>
      </c>
      <c r="AO170" s="47">
        <f t="shared" si="74"/>
        <v>2.1313862253123603</v>
      </c>
      <c r="AP170" s="47">
        <f t="shared" si="75"/>
        <v>4.049538957105022</v>
      </c>
      <c r="AQ170">
        <v>2020</v>
      </c>
    </row>
    <row r="171" spans="2:43">
      <c r="B171" s="97" t="s">
        <v>70</v>
      </c>
      <c r="C171" s="61">
        <v>18231134</v>
      </c>
      <c r="D171" s="61" t="s">
        <v>176</v>
      </c>
      <c r="E171" s="38" t="s">
        <v>2315</v>
      </c>
      <c r="F171" s="39" t="s">
        <v>1384</v>
      </c>
      <c r="G171" s="39">
        <v>15</v>
      </c>
      <c r="H171" s="39"/>
      <c r="I171" s="40" t="s">
        <v>257</v>
      </c>
      <c r="J171" s="41">
        <v>8</v>
      </c>
      <c r="K171" s="41">
        <v>970</v>
      </c>
      <c r="L171" s="41"/>
      <c r="M171" s="42">
        <v>194.04</v>
      </c>
      <c r="N171" s="42">
        <v>298.62</v>
      </c>
      <c r="O171" s="43">
        <v>7760</v>
      </c>
      <c r="P171" s="44">
        <v>1552.32</v>
      </c>
      <c r="Q171" s="44">
        <v>2388.96</v>
      </c>
      <c r="R171" s="45">
        <v>0</v>
      </c>
      <c r="S171" s="46">
        <v>0</v>
      </c>
      <c r="T171" s="39">
        <f t="shared" si="57"/>
        <v>15</v>
      </c>
      <c r="U171" s="47">
        <f t="shared" si="58"/>
        <v>4.861904399256896E-3</v>
      </c>
      <c r="V171" s="48">
        <f t="shared" si="59"/>
        <v>104.58000000000001</v>
      </c>
      <c r="W171" s="49">
        <f t="shared" si="60"/>
        <v>3.2412695995045972E-4</v>
      </c>
      <c r="X171" s="44">
        <f t="shared" si="61"/>
        <v>798.33088021783908</v>
      </c>
      <c r="Y171" s="44">
        <f t="shared" si="62"/>
        <v>836.6400000000001</v>
      </c>
      <c r="Z171" s="44">
        <f t="shared" si="63"/>
        <v>4107.1958736773431</v>
      </c>
      <c r="AA171" s="50">
        <f t="shared" si="64"/>
        <v>3187.290880217839</v>
      </c>
      <c r="AB171" s="51">
        <f t="shared" si="65"/>
        <v>3839.577333530282</v>
      </c>
      <c r="AC171" s="44">
        <f t="shared" si="66"/>
        <v>2979.6119287817505</v>
      </c>
      <c r="AD171" s="44">
        <f t="shared" si="67"/>
        <v>0</v>
      </c>
      <c r="AE171" s="44">
        <f t="shared" si="68"/>
        <v>0</v>
      </c>
      <c r="AF171" s="52">
        <f>HLOOKUP(I171,ElecAvoidedCostsWOCC!$A$5:$Q$50,G171+1,FALSE)</f>
        <v>1.0545904948077327</v>
      </c>
      <c r="AG171" s="44">
        <f t="shared" si="69"/>
        <v>8183.6222397080055</v>
      </c>
      <c r="AH171" s="52">
        <f>HLOOKUP(I171,ElecAvoidedCostsWOCC!$A$5:$Q$50,T171+1,FALSE)</f>
        <v>1.0545904948077327</v>
      </c>
      <c r="AI171" s="44">
        <f t="shared" si="70"/>
        <v>0</v>
      </c>
      <c r="AJ171" s="44">
        <f t="shared" si="71"/>
        <v>8183.6222397080055</v>
      </c>
      <c r="AK171" s="44">
        <f>HLOOKUP(I171,ElecAvoidedCostsWOCC!$A$5:$Q$50,G171+1,FALSE)*J171*L171</f>
        <v>0</v>
      </c>
      <c r="AL171" s="44">
        <f t="shared" si="72"/>
        <v>8183.6222397080055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8183.6222397080055</v>
      </c>
      <c r="AN171" s="48">
        <f t="shared" si="73"/>
        <v>9001.9844636788075</v>
      </c>
      <c r="AO171" s="47">
        <f t="shared" si="74"/>
        <v>2.1313862253123603</v>
      </c>
      <c r="AP171" s="47">
        <f t="shared" si="75"/>
        <v>3.0211935912605155</v>
      </c>
      <c r="AQ171">
        <v>2020</v>
      </c>
    </row>
    <row r="172" spans="2:43">
      <c r="B172" s="97" t="s">
        <v>70</v>
      </c>
      <c r="C172" s="61">
        <v>18231134</v>
      </c>
      <c r="D172" s="61" t="s">
        <v>176</v>
      </c>
      <c r="E172" s="38" t="s">
        <v>1383</v>
      </c>
      <c r="F172" s="39" t="s">
        <v>1384</v>
      </c>
      <c r="G172" s="39">
        <v>15</v>
      </c>
      <c r="H172" s="39"/>
      <c r="I172" s="40" t="s">
        <v>257</v>
      </c>
      <c r="J172" s="41">
        <v>494</v>
      </c>
      <c r="K172" s="41">
        <v>970.2</v>
      </c>
      <c r="L172" s="41"/>
      <c r="M172" s="42">
        <v>209.03</v>
      </c>
      <c r="N172" s="42">
        <v>298.62</v>
      </c>
      <c r="O172" s="43">
        <v>479278.8</v>
      </c>
      <c r="P172" s="44">
        <v>134527.73000000001</v>
      </c>
      <c r="Q172" s="44">
        <v>147518.28</v>
      </c>
      <c r="R172" s="45">
        <v>0</v>
      </c>
      <c r="S172" s="46">
        <v>0</v>
      </c>
      <c r="T172" s="39">
        <f t="shared" si="57"/>
        <v>15</v>
      </c>
      <c r="U172" s="47">
        <f t="shared" si="58"/>
        <v>0.30028449822043374</v>
      </c>
      <c r="V172" s="48">
        <f t="shared" si="59"/>
        <v>89.59</v>
      </c>
      <c r="W172" s="49">
        <f t="shared" si="60"/>
        <v>2.0018966548028917E-2</v>
      </c>
      <c r="X172" s="44">
        <f t="shared" si="61"/>
        <v>49307.096169297634</v>
      </c>
      <c r="Y172" s="44">
        <f t="shared" si="62"/>
        <v>12990.549999999988</v>
      </c>
      <c r="Z172" s="44">
        <f t="shared" si="63"/>
        <v>253671.63784807068</v>
      </c>
      <c r="AA172" s="50">
        <f t="shared" si="64"/>
        <v>196825.37616929764</v>
      </c>
      <c r="AB172" s="51">
        <f t="shared" si="65"/>
        <v>237142.78568577231</v>
      </c>
      <c r="AC172" s="44">
        <f t="shared" si="66"/>
        <v>184000.53862699601</v>
      </c>
      <c r="AD172" s="44">
        <f t="shared" si="67"/>
        <v>0</v>
      </c>
      <c r="AE172" s="44">
        <f t="shared" si="68"/>
        <v>0</v>
      </c>
      <c r="AF172" s="52">
        <f>HLOOKUP(I172,ElecAvoidedCostsWOCC!$A$5:$Q$50,G172+1,FALSE)</f>
        <v>1.0545904948077327</v>
      </c>
      <c r="AG172" s="44">
        <f t="shared" si="69"/>
        <v>505442.8668428564</v>
      </c>
      <c r="AH172" s="52">
        <f>HLOOKUP(I172,ElecAvoidedCostsWOCC!$A$5:$Q$50,T172+1,FALSE)</f>
        <v>1.0545904948077327</v>
      </c>
      <c r="AI172" s="44">
        <f t="shared" si="70"/>
        <v>0</v>
      </c>
      <c r="AJ172" s="44">
        <f t="shared" si="71"/>
        <v>505442.8668428564</v>
      </c>
      <c r="AK172" s="44">
        <f>HLOOKUP(I172,ElecAvoidedCostsWOCC!$A$5:$Q$50,G172+1,FALSE)*J172*L172</f>
        <v>0</v>
      </c>
      <c r="AL172" s="44">
        <f t="shared" si="72"/>
        <v>505442.8668428564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505442.8668428564</v>
      </c>
      <c r="AN172" s="48">
        <f t="shared" si="73"/>
        <v>555987.15352714213</v>
      </c>
      <c r="AO172" s="47">
        <f t="shared" si="74"/>
        <v>2.1313862253123608</v>
      </c>
      <c r="AP172" s="47">
        <f t="shared" si="75"/>
        <v>3.0216604672784872</v>
      </c>
      <c r="AQ172">
        <v>2020</v>
      </c>
    </row>
    <row r="173" spans="2:43">
      <c r="B173" s="97" t="s">
        <v>70</v>
      </c>
      <c r="C173" s="61">
        <v>18231134</v>
      </c>
      <c r="D173" s="61" t="s">
        <v>176</v>
      </c>
      <c r="E173" s="38" t="s">
        <v>1385</v>
      </c>
      <c r="F173" s="39" t="s">
        <v>1386</v>
      </c>
      <c r="G173" s="39">
        <v>15</v>
      </c>
      <c r="H173" s="39"/>
      <c r="I173" s="40" t="s">
        <v>257</v>
      </c>
      <c r="J173" s="41">
        <v>45</v>
      </c>
      <c r="K173" s="41">
        <v>1672</v>
      </c>
      <c r="L173" s="41"/>
      <c r="M173" s="42">
        <v>329.75</v>
      </c>
      <c r="N173" s="42">
        <v>471.07</v>
      </c>
      <c r="O173" s="43">
        <v>75240</v>
      </c>
      <c r="P173" s="44">
        <v>20350.23</v>
      </c>
      <c r="Q173" s="44">
        <v>21198.15</v>
      </c>
      <c r="R173" s="45">
        <v>0</v>
      </c>
      <c r="S173" s="46">
        <v>0</v>
      </c>
      <c r="T173" s="39">
        <f t="shared" ref="T173:T212" si="76">G173+H173</f>
        <v>15</v>
      </c>
      <c r="U173" s="47">
        <f t="shared" ref="U173:U212" si="77">(O173/$A$10)*T173</f>
        <v>4.7140423582485672E-2</v>
      </c>
      <c r="V173" s="48">
        <f t="shared" ref="V173:V212" si="78">N173-M173</f>
        <v>141.32</v>
      </c>
      <c r="W173" s="49">
        <f t="shared" ref="W173:W212" si="79">(O173/A$10)</f>
        <v>3.1426949054990448E-3</v>
      </c>
      <c r="X173" s="44">
        <f t="shared" ref="X173:X212" si="80">W173*A$8</f>
        <v>7740.5174520090477</v>
      </c>
      <c r="Y173" s="44">
        <f t="shared" ref="Y173:Y212" si="81">Q173-P173</f>
        <v>847.92000000000189</v>
      </c>
      <c r="Z173" s="44">
        <f t="shared" ref="Z173:Z212" si="82">X173+(A$6*W173)</f>
        <v>39822.863084469493</v>
      </c>
      <c r="AA173" s="50">
        <f t="shared" ref="AA173:AA212" si="83">Q173+X173</f>
        <v>28938.667452009049</v>
      </c>
      <c r="AB173" s="51">
        <f t="shared" ref="AB173:AB212" si="84">Z173/(1+ElecDiscountRate)^1</f>
        <v>37228.066826651855</v>
      </c>
      <c r="AC173" s="44">
        <f t="shared" ref="AC173:AC212" si="85">AA173/(1+ElecDiscountRate)^1</f>
        <v>27053.068572505417</v>
      </c>
      <c r="AD173" s="44">
        <f t="shared" ref="AD173:AD212" si="86">-PV(ElecDiscountRate,T173,R173)*J173</f>
        <v>0</v>
      </c>
      <c r="AE173" s="44">
        <f t="shared" ref="AE173:AE212" si="87">-PV(ElecDiscountRate,T173,S173)*J173</f>
        <v>0</v>
      </c>
      <c r="AF173" s="52">
        <f>HLOOKUP(I173,ElecAvoidedCostsWOCC!$A$5:$Q$50,G173+1,FALSE)</f>
        <v>1.0545904948077327</v>
      </c>
      <c r="AG173" s="44">
        <f t="shared" ref="AG173:AG212" si="88">AF173*J173*K173</f>
        <v>79347.38882933381</v>
      </c>
      <c r="AH173" s="52">
        <f>HLOOKUP(I173,ElecAvoidedCostsWOCC!$A$5:$Q$50,T173+1,FALSE)</f>
        <v>1.0545904948077327</v>
      </c>
      <c r="AI173" s="44">
        <f t="shared" ref="AI173:AI212" si="89">AH173*J173*L173</f>
        <v>0</v>
      </c>
      <c r="AJ173" s="44">
        <f t="shared" ref="AJ173:AJ212" si="90">AG173+AI173</f>
        <v>79347.38882933381</v>
      </c>
      <c r="AK173" s="44">
        <f>HLOOKUP(I173,ElecAvoidedCostsWOCC!$A$5:$Q$50,G173+1,FALSE)*J173*L173</f>
        <v>0</v>
      </c>
      <c r="AL173" s="44">
        <f t="shared" ref="AL173:AL212" si="91">AG173+AI173-AK173</f>
        <v>79347.38882933381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79347.38882933381</v>
      </c>
      <c r="AN173" s="48">
        <f t="shared" ref="AN173:AN212" si="92">AM173*1.1+AD173+AE173</f>
        <v>87282.127712267204</v>
      </c>
      <c r="AO173" s="47">
        <f t="shared" ref="AO173:AO212" si="93">IFERROR(AM173/AB173,0)</f>
        <v>2.1313862253123608</v>
      </c>
      <c r="AP173" s="47">
        <f t="shared" ref="AP173:AP212" si="94">AN173/AC173</f>
        <v>3.2263300364001517</v>
      </c>
      <c r="AQ173">
        <v>2020</v>
      </c>
    </row>
    <row r="174" spans="2:43">
      <c r="B174" s="97" t="s">
        <v>70</v>
      </c>
      <c r="C174" s="61">
        <v>18231134</v>
      </c>
      <c r="D174" s="61" t="s">
        <v>176</v>
      </c>
      <c r="E174" s="38" t="s">
        <v>2316</v>
      </c>
      <c r="F174" s="39" t="s">
        <v>1388</v>
      </c>
      <c r="G174" s="39">
        <v>15</v>
      </c>
      <c r="H174" s="39"/>
      <c r="I174" s="40" t="s">
        <v>257</v>
      </c>
      <c r="J174" s="41">
        <v>4</v>
      </c>
      <c r="K174" s="41">
        <v>1588</v>
      </c>
      <c r="L174" s="41"/>
      <c r="M174" s="42">
        <v>317.52</v>
      </c>
      <c r="N174" s="42">
        <v>471.07</v>
      </c>
      <c r="O174" s="43">
        <v>6352</v>
      </c>
      <c r="P174" s="44">
        <v>1270.08</v>
      </c>
      <c r="Q174" s="44">
        <v>1884.28</v>
      </c>
      <c r="R174" s="45">
        <v>0</v>
      </c>
      <c r="S174" s="46">
        <v>0</v>
      </c>
      <c r="T174" s="39">
        <f t="shared" si="76"/>
        <v>15</v>
      </c>
      <c r="U174" s="47">
        <f t="shared" si="77"/>
        <v>3.97974442578348E-3</v>
      </c>
      <c r="V174" s="48">
        <f t="shared" si="78"/>
        <v>153.55000000000001</v>
      </c>
      <c r="W174" s="49">
        <f t="shared" si="79"/>
        <v>2.6531629505223197E-4</v>
      </c>
      <c r="X174" s="44">
        <f t="shared" si="80"/>
        <v>653.4790916422312</v>
      </c>
      <c r="Y174" s="44">
        <f t="shared" si="81"/>
        <v>614.20000000000005</v>
      </c>
      <c r="Z174" s="44">
        <f t="shared" si="82"/>
        <v>3361.9727048451655</v>
      </c>
      <c r="AA174" s="50">
        <f t="shared" si="83"/>
        <v>2537.7590916422314</v>
      </c>
      <c r="AB174" s="51">
        <f t="shared" si="84"/>
        <v>3142.9117554876743</v>
      </c>
      <c r="AC174" s="44">
        <f t="shared" si="85"/>
        <v>2372.4026284399656</v>
      </c>
      <c r="AD174" s="44">
        <f t="shared" si="86"/>
        <v>0</v>
      </c>
      <c r="AE174" s="44">
        <f t="shared" si="87"/>
        <v>0</v>
      </c>
      <c r="AF174" s="52">
        <f>HLOOKUP(I174,ElecAvoidedCostsWOCC!$A$5:$Q$50,G174+1,FALSE)</f>
        <v>1.0545904948077327</v>
      </c>
      <c r="AG174" s="44">
        <f t="shared" si="88"/>
        <v>6698.7588230187184</v>
      </c>
      <c r="AH174" s="52">
        <f>HLOOKUP(I174,ElecAvoidedCostsWOCC!$A$5:$Q$50,T174+1,FALSE)</f>
        <v>1.0545904948077327</v>
      </c>
      <c r="AI174" s="44">
        <f t="shared" si="89"/>
        <v>0</v>
      </c>
      <c r="AJ174" s="44">
        <f t="shared" si="90"/>
        <v>6698.7588230187184</v>
      </c>
      <c r="AK174" s="44">
        <f>HLOOKUP(I174,ElecAvoidedCostsWOCC!$A$5:$Q$50,G174+1,FALSE)*J174*L174</f>
        <v>0</v>
      </c>
      <c r="AL174" s="44">
        <f t="shared" si="91"/>
        <v>6698.7588230187184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6698.7588230187184</v>
      </c>
      <c r="AN174" s="48">
        <f t="shared" si="92"/>
        <v>7368.6347053205909</v>
      </c>
      <c r="AO174" s="47">
        <f t="shared" si="93"/>
        <v>2.1313862253123603</v>
      </c>
      <c r="AP174" s="47">
        <f t="shared" si="94"/>
        <v>3.1059798269427925</v>
      </c>
      <c r="AQ174">
        <v>2020</v>
      </c>
    </row>
    <row r="175" spans="2:43">
      <c r="B175" s="97" t="s">
        <v>70</v>
      </c>
      <c r="C175" s="61">
        <v>18231134</v>
      </c>
      <c r="D175" s="61" t="s">
        <v>176</v>
      </c>
      <c r="E175" s="38" t="s">
        <v>1387</v>
      </c>
      <c r="F175" s="39" t="s">
        <v>1388</v>
      </c>
      <c r="G175" s="39">
        <v>15</v>
      </c>
      <c r="H175" s="39"/>
      <c r="I175" s="40" t="s">
        <v>257</v>
      </c>
      <c r="J175" s="41">
        <v>239</v>
      </c>
      <c r="K175" s="41">
        <v>1587.6</v>
      </c>
      <c r="L175" s="41"/>
      <c r="M175" s="42">
        <v>329.75</v>
      </c>
      <c r="N175" s="42">
        <v>471.07</v>
      </c>
      <c r="O175" s="43">
        <v>379436.4</v>
      </c>
      <c r="P175" s="44">
        <v>96899.21</v>
      </c>
      <c r="Q175" s="44">
        <v>112585.73</v>
      </c>
      <c r="R175" s="45">
        <v>0</v>
      </c>
      <c r="S175" s="46">
        <v>0</v>
      </c>
      <c r="T175" s="39">
        <f t="shared" si="76"/>
        <v>15</v>
      </c>
      <c r="U175" s="47">
        <f t="shared" si="77"/>
        <v>0.23772983278327309</v>
      </c>
      <c r="V175" s="48">
        <f t="shared" si="78"/>
        <v>141.32</v>
      </c>
      <c r="W175" s="49">
        <f t="shared" si="79"/>
        <v>1.5848655518884872E-2</v>
      </c>
      <c r="X175" s="44">
        <f t="shared" si="80"/>
        <v>39035.54061838764</v>
      </c>
      <c r="Y175" s="44">
        <f t="shared" si="81"/>
        <v>15686.51999999999</v>
      </c>
      <c r="Z175" s="44">
        <f t="shared" si="82"/>
        <v>200827.27015502393</v>
      </c>
      <c r="AA175" s="50">
        <f t="shared" si="83"/>
        <v>151621.27061838764</v>
      </c>
      <c r="AB175" s="51">
        <f t="shared" si="84"/>
        <v>187741.67538097029</v>
      </c>
      <c r="AC175" s="44">
        <f t="shared" si="85"/>
        <v>141741.8627824508</v>
      </c>
      <c r="AD175" s="44">
        <f t="shared" si="86"/>
        <v>0</v>
      </c>
      <c r="AE175" s="44">
        <f t="shared" si="87"/>
        <v>0</v>
      </c>
      <c r="AF175" s="52">
        <f>HLOOKUP(I175,ElecAvoidedCostsWOCC!$A$5:$Q$50,G175+1,FALSE)</f>
        <v>1.0545904948077327</v>
      </c>
      <c r="AG175" s="44">
        <f t="shared" si="88"/>
        <v>400150.02082406479</v>
      </c>
      <c r="AH175" s="52">
        <f>HLOOKUP(I175,ElecAvoidedCostsWOCC!$A$5:$Q$50,T175+1,FALSE)</f>
        <v>1.0545904948077327</v>
      </c>
      <c r="AI175" s="44">
        <f t="shared" si="89"/>
        <v>0</v>
      </c>
      <c r="AJ175" s="44">
        <f t="shared" si="90"/>
        <v>400150.02082406479</v>
      </c>
      <c r="AK175" s="44">
        <f>HLOOKUP(I175,ElecAvoidedCostsWOCC!$A$5:$Q$50,G175+1,FALSE)*J175*L175</f>
        <v>0</v>
      </c>
      <c r="AL175" s="44">
        <f t="shared" si="91"/>
        <v>400150.02082406479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400150.02082406473</v>
      </c>
      <c r="AN175" s="48">
        <f t="shared" si="92"/>
        <v>440165.02290647122</v>
      </c>
      <c r="AO175" s="47">
        <f t="shared" si="93"/>
        <v>2.1313862253123603</v>
      </c>
      <c r="AP175" s="47">
        <f t="shared" si="94"/>
        <v>3.1053988868627207</v>
      </c>
      <c r="AQ175">
        <v>2020</v>
      </c>
    </row>
    <row r="176" spans="2:43">
      <c r="B176" s="97" t="s">
        <v>70</v>
      </c>
      <c r="C176" s="61">
        <v>18231134</v>
      </c>
      <c r="D176" s="61" t="s">
        <v>176</v>
      </c>
      <c r="E176" s="38" t="s">
        <v>2317</v>
      </c>
      <c r="F176" s="39" t="s">
        <v>2318</v>
      </c>
      <c r="G176" s="39">
        <v>15</v>
      </c>
      <c r="H176" s="39"/>
      <c r="I176" s="40" t="s">
        <v>257</v>
      </c>
      <c r="J176" s="41">
        <v>17</v>
      </c>
      <c r="K176" s="41">
        <v>348</v>
      </c>
      <c r="L176" s="41"/>
      <c r="M176" s="42">
        <v>150</v>
      </c>
      <c r="N176" s="42">
        <v>225</v>
      </c>
      <c r="O176" s="43">
        <v>5916</v>
      </c>
      <c r="P176" s="44">
        <v>2550</v>
      </c>
      <c r="Q176" s="44">
        <v>3825</v>
      </c>
      <c r="R176" s="45">
        <v>0</v>
      </c>
      <c r="S176" s="46">
        <v>0</v>
      </c>
      <c r="T176" s="39">
        <f t="shared" si="76"/>
        <v>15</v>
      </c>
      <c r="U176" s="47">
        <f t="shared" si="77"/>
        <v>3.7065755703613139E-3</v>
      </c>
      <c r="V176" s="48">
        <f t="shared" si="78"/>
        <v>75</v>
      </c>
      <c r="W176" s="49">
        <f t="shared" si="79"/>
        <v>2.4710503802408758E-4</v>
      </c>
      <c r="X176" s="44">
        <f t="shared" si="80"/>
        <v>608.62441847535263</v>
      </c>
      <c r="Y176" s="44">
        <f t="shared" si="81"/>
        <v>1275</v>
      </c>
      <c r="Z176" s="44">
        <f t="shared" si="82"/>
        <v>3131.2075758602014</v>
      </c>
      <c r="AA176" s="50">
        <f t="shared" si="83"/>
        <v>4433.6244184753523</v>
      </c>
      <c r="AB176" s="51">
        <f t="shared" si="84"/>
        <v>2927.1829259233441</v>
      </c>
      <c r="AC176" s="44">
        <f t="shared" si="85"/>
        <v>4144.7362984718629</v>
      </c>
      <c r="AD176" s="44">
        <f t="shared" si="86"/>
        <v>0</v>
      </c>
      <c r="AE176" s="44">
        <f t="shared" si="87"/>
        <v>0</v>
      </c>
      <c r="AF176" s="52">
        <f>HLOOKUP(I176,ElecAvoidedCostsWOCC!$A$5:$Q$50,G176+1,FALSE)</f>
        <v>1.0545904948077327</v>
      </c>
      <c r="AG176" s="44">
        <f t="shared" si="88"/>
        <v>6238.9573672825472</v>
      </c>
      <c r="AH176" s="52">
        <f>HLOOKUP(I176,ElecAvoidedCostsWOCC!$A$5:$Q$50,T176+1,FALSE)</f>
        <v>1.0545904948077327</v>
      </c>
      <c r="AI176" s="44">
        <f t="shared" si="89"/>
        <v>0</v>
      </c>
      <c r="AJ176" s="44">
        <f t="shared" si="90"/>
        <v>6238.9573672825472</v>
      </c>
      <c r="AK176" s="44">
        <f>HLOOKUP(I176,ElecAvoidedCostsWOCC!$A$5:$Q$50,G176+1,FALSE)*J176*L176</f>
        <v>0</v>
      </c>
      <c r="AL176" s="44">
        <f t="shared" si="91"/>
        <v>6238.9573672825472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6238.9573672825463</v>
      </c>
      <c r="AN176" s="48">
        <f t="shared" si="92"/>
        <v>6862.8531040108019</v>
      </c>
      <c r="AO176" s="47">
        <f t="shared" si="93"/>
        <v>2.1313862253123603</v>
      </c>
      <c r="AP176" s="47">
        <f t="shared" si="94"/>
        <v>1.6557996962414934</v>
      </c>
      <c r="AQ176">
        <v>2020</v>
      </c>
    </row>
    <row r="177" spans="2:43">
      <c r="B177" s="97" t="s">
        <v>70</v>
      </c>
      <c r="C177" s="61">
        <v>18231134</v>
      </c>
      <c r="D177" s="61" t="s">
        <v>176</v>
      </c>
      <c r="E177" s="38" t="s">
        <v>1395</v>
      </c>
      <c r="F177" s="39" t="s">
        <v>1396</v>
      </c>
      <c r="G177" s="39">
        <v>15</v>
      </c>
      <c r="H177" s="39"/>
      <c r="I177" s="40" t="s">
        <v>257</v>
      </c>
      <c r="J177" s="41">
        <v>7</v>
      </c>
      <c r="K177" s="41">
        <v>883</v>
      </c>
      <c r="L177" s="41"/>
      <c r="M177" s="42">
        <v>150</v>
      </c>
      <c r="N177" s="42">
        <v>225</v>
      </c>
      <c r="O177" s="43">
        <v>6181</v>
      </c>
      <c r="P177" s="44">
        <v>1350</v>
      </c>
      <c r="Q177" s="44">
        <v>1575</v>
      </c>
      <c r="R177" s="45">
        <v>0</v>
      </c>
      <c r="S177" s="46">
        <v>0</v>
      </c>
      <c r="T177" s="39">
        <f t="shared" si="76"/>
        <v>15</v>
      </c>
      <c r="U177" s="47">
        <f t="shared" si="77"/>
        <v>3.8726070994596485E-3</v>
      </c>
      <c r="V177" s="48">
        <f t="shared" si="78"/>
        <v>75</v>
      </c>
      <c r="W177" s="49">
        <f t="shared" si="79"/>
        <v>2.5817380663064324E-4</v>
      </c>
      <c r="X177" s="44">
        <f t="shared" si="80"/>
        <v>635.88700652402883</v>
      </c>
      <c r="Y177" s="44">
        <f t="shared" si="81"/>
        <v>225</v>
      </c>
      <c r="Z177" s="44">
        <f t="shared" si="82"/>
        <v>3271.4661978350077</v>
      </c>
      <c r="AA177" s="50">
        <f t="shared" si="83"/>
        <v>2210.8870065240289</v>
      </c>
      <c r="AB177" s="51">
        <f t="shared" si="84"/>
        <v>3058.3025126998295</v>
      </c>
      <c r="AC177" s="44">
        <f t="shared" si="85"/>
        <v>2066.8290235804698</v>
      </c>
      <c r="AD177" s="44">
        <f t="shared" si="86"/>
        <v>0</v>
      </c>
      <c r="AE177" s="44">
        <f t="shared" si="87"/>
        <v>0</v>
      </c>
      <c r="AF177" s="52">
        <f>HLOOKUP(I177,ElecAvoidedCostsWOCC!$A$5:$Q$50,G177+1,FALSE)</f>
        <v>1.0545904948077327</v>
      </c>
      <c r="AG177" s="44">
        <f t="shared" si="88"/>
        <v>6518.4238484065954</v>
      </c>
      <c r="AH177" s="52">
        <f>HLOOKUP(I177,ElecAvoidedCostsWOCC!$A$5:$Q$50,T177+1,FALSE)</f>
        <v>1.0545904948077327</v>
      </c>
      <c r="AI177" s="44">
        <f t="shared" si="89"/>
        <v>0</v>
      </c>
      <c r="AJ177" s="44">
        <f t="shared" si="90"/>
        <v>6518.4238484065954</v>
      </c>
      <c r="AK177" s="44">
        <f>HLOOKUP(I177,ElecAvoidedCostsWOCC!$A$5:$Q$50,G177+1,FALSE)*J177*L177</f>
        <v>0</v>
      </c>
      <c r="AL177" s="44">
        <f t="shared" si="91"/>
        <v>6518.4238484065954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6518.4238484065963</v>
      </c>
      <c r="AN177" s="48">
        <f t="shared" si="92"/>
        <v>7170.2662332472564</v>
      </c>
      <c r="AO177" s="47">
        <f t="shared" si="93"/>
        <v>2.1313862253123603</v>
      </c>
      <c r="AP177" s="47">
        <f t="shared" si="94"/>
        <v>3.4692111207272727</v>
      </c>
      <c r="AQ177">
        <v>2020</v>
      </c>
    </row>
    <row r="178" spans="2:43">
      <c r="B178" s="97" t="s">
        <v>70</v>
      </c>
      <c r="C178" s="61">
        <v>18231134</v>
      </c>
      <c r="D178" s="61" t="s">
        <v>176</v>
      </c>
      <c r="E178" s="38" t="s">
        <v>1397</v>
      </c>
      <c r="F178" s="39" t="s">
        <v>1398</v>
      </c>
      <c r="G178" s="39">
        <v>15</v>
      </c>
      <c r="H178" s="39"/>
      <c r="I178" s="40" t="s">
        <v>257</v>
      </c>
      <c r="J178" s="41">
        <v>12</v>
      </c>
      <c r="K178" s="41">
        <v>3276</v>
      </c>
      <c r="L178" s="41"/>
      <c r="M178" s="42">
        <v>400</v>
      </c>
      <c r="N178" s="42">
        <v>588</v>
      </c>
      <c r="O178" s="43">
        <v>39312</v>
      </c>
      <c r="P178" s="44">
        <v>5364</v>
      </c>
      <c r="Q178" s="44">
        <v>7056</v>
      </c>
      <c r="R178" s="45">
        <v>0</v>
      </c>
      <c r="S178" s="46">
        <v>0</v>
      </c>
      <c r="T178" s="39">
        <f t="shared" si="76"/>
        <v>15</v>
      </c>
      <c r="U178" s="47">
        <f t="shared" si="77"/>
        <v>2.4630307441183906E-2</v>
      </c>
      <c r="V178" s="48">
        <f t="shared" si="78"/>
        <v>188</v>
      </c>
      <c r="W178" s="49">
        <f t="shared" si="79"/>
        <v>1.642020496078927E-3</v>
      </c>
      <c r="X178" s="44">
        <f t="shared" si="80"/>
        <v>4044.3277787530533</v>
      </c>
      <c r="Y178" s="44">
        <f t="shared" si="81"/>
        <v>1692</v>
      </c>
      <c r="Z178" s="44">
        <f t="shared" si="82"/>
        <v>20806.969611598419</v>
      </c>
      <c r="AA178" s="50">
        <f t="shared" si="83"/>
        <v>11100.327778753053</v>
      </c>
      <c r="AB178" s="51">
        <f t="shared" si="84"/>
        <v>19451.219605121452</v>
      </c>
      <c r="AC178" s="44">
        <f t="shared" si="85"/>
        <v>10377.047563572078</v>
      </c>
      <c r="AD178" s="44">
        <f t="shared" si="86"/>
        <v>0</v>
      </c>
      <c r="AE178" s="44">
        <f t="shared" si="87"/>
        <v>0</v>
      </c>
      <c r="AF178" s="52">
        <f>HLOOKUP(I178,ElecAvoidedCostsWOCC!$A$5:$Q$50,G178+1,FALSE)</f>
        <v>1.0545904948077327</v>
      </c>
      <c r="AG178" s="44">
        <f t="shared" si="88"/>
        <v>41458.061531881591</v>
      </c>
      <c r="AH178" s="52">
        <f>HLOOKUP(I178,ElecAvoidedCostsWOCC!$A$5:$Q$50,T178+1,FALSE)</f>
        <v>1.0545904948077327</v>
      </c>
      <c r="AI178" s="44">
        <f t="shared" si="89"/>
        <v>0</v>
      </c>
      <c r="AJ178" s="44">
        <f t="shared" si="90"/>
        <v>41458.061531881591</v>
      </c>
      <c r="AK178" s="44">
        <f>HLOOKUP(I178,ElecAvoidedCostsWOCC!$A$5:$Q$50,G178+1,FALSE)*J178*L178</f>
        <v>0</v>
      </c>
      <c r="AL178" s="44">
        <f t="shared" si="91"/>
        <v>41458.061531881591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41458.061531881584</v>
      </c>
      <c r="AN178" s="48">
        <f t="shared" si="92"/>
        <v>45603.867685069745</v>
      </c>
      <c r="AO178" s="47">
        <f t="shared" si="93"/>
        <v>2.1313862253123599</v>
      </c>
      <c r="AP178" s="47">
        <f t="shared" si="94"/>
        <v>4.394686196212402</v>
      </c>
      <c r="AQ178">
        <v>2020</v>
      </c>
    </row>
    <row r="179" spans="2:43">
      <c r="B179" s="97" t="s">
        <v>70</v>
      </c>
      <c r="C179" s="61">
        <v>18231134</v>
      </c>
      <c r="D179" s="61" t="s">
        <v>176</v>
      </c>
      <c r="E179" s="38" t="s">
        <v>2319</v>
      </c>
      <c r="F179" s="39" t="s">
        <v>1400</v>
      </c>
      <c r="G179" s="39">
        <v>12</v>
      </c>
      <c r="H179" s="39"/>
      <c r="I179" s="40" t="s">
        <v>257</v>
      </c>
      <c r="J179" s="41">
        <v>60</v>
      </c>
      <c r="K179" s="41">
        <v>306</v>
      </c>
      <c r="L179" s="41"/>
      <c r="M179" s="42">
        <v>114</v>
      </c>
      <c r="N179" s="42">
        <v>114</v>
      </c>
      <c r="O179" s="43">
        <v>18360</v>
      </c>
      <c r="P179" s="44">
        <v>6840</v>
      </c>
      <c r="Q179" s="44">
        <v>6840</v>
      </c>
      <c r="R179" s="45">
        <v>0</v>
      </c>
      <c r="S179" s="46">
        <v>0</v>
      </c>
      <c r="T179" s="39">
        <f t="shared" si="76"/>
        <v>12</v>
      </c>
      <c r="U179" s="47">
        <f t="shared" si="77"/>
        <v>9.2025324505522286E-3</v>
      </c>
      <c r="V179" s="48">
        <f t="shared" si="78"/>
        <v>0</v>
      </c>
      <c r="W179" s="49">
        <f t="shared" si="79"/>
        <v>7.6687770421268568E-4</v>
      </c>
      <c r="X179" s="44">
        <f t="shared" si="80"/>
        <v>1888.8344021648875</v>
      </c>
      <c r="Y179" s="44">
        <f t="shared" si="81"/>
        <v>0</v>
      </c>
      <c r="Z179" s="44">
        <f t="shared" si="82"/>
        <v>9717.5407526695908</v>
      </c>
      <c r="AA179" s="50">
        <f t="shared" si="83"/>
        <v>8728.8344021648882</v>
      </c>
      <c r="AB179" s="51">
        <f t="shared" si="84"/>
        <v>9084.360804589689</v>
      </c>
      <c r="AC179" s="44">
        <f t="shared" si="85"/>
        <v>8160.0770329670822</v>
      </c>
      <c r="AD179" s="44">
        <f t="shared" si="86"/>
        <v>0</v>
      </c>
      <c r="AE179" s="44">
        <f t="shared" si="87"/>
        <v>0</v>
      </c>
      <c r="AF179" s="52">
        <f>HLOOKUP(I179,ElecAvoidedCostsWOCC!$A$5:$Q$50,G179+1,FALSE)</f>
        <v>0.86650348716649883</v>
      </c>
      <c r="AG179" s="44">
        <f t="shared" si="88"/>
        <v>15909.004024376918</v>
      </c>
      <c r="AH179" s="52">
        <f>HLOOKUP(I179,ElecAvoidedCostsWOCC!$A$5:$Q$50,T179+1,FALSE)</f>
        <v>0.86650348716649883</v>
      </c>
      <c r="AI179" s="44">
        <f t="shared" si="89"/>
        <v>0</v>
      </c>
      <c r="AJ179" s="44">
        <f t="shared" si="90"/>
        <v>15909.004024376918</v>
      </c>
      <c r="AK179" s="44">
        <f>HLOOKUP(I179,ElecAvoidedCostsWOCC!$A$5:$Q$50,G179+1,FALSE)*J179*L179</f>
        <v>0</v>
      </c>
      <c r="AL179" s="44">
        <f t="shared" si="91"/>
        <v>15909.004024376918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15909.004024376916</v>
      </c>
      <c r="AN179" s="48">
        <f t="shared" si="92"/>
        <v>17499.90442681461</v>
      </c>
      <c r="AO179" s="47">
        <f t="shared" si="93"/>
        <v>1.751251889548378</v>
      </c>
      <c r="AP179" s="47">
        <f t="shared" si="94"/>
        <v>2.1445758852660584</v>
      </c>
      <c r="AQ179">
        <v>2020</v>
      </c>
    </row>
    <row r="180" spans="2:43">
      <c r="B180" s="97" t="s">
        <v>70</v>
      </c>
      <c r="C180" s="61">
        <v>18231134</v>
      </c>
      <c r="D180" s="61" t="s">
        <v>176</v>
      </c>
      <c r="E180" s="38" t="s">
        <v>2320</v>
      </c>
      <c r="F180" s="39" t="s">
        <v>2321</v>
      </c>
      <c r="G180" s="39">
        <v>12</v>
      </c>
      <c r="H180" s="39"/>
      <c r="I180" s="40" t="s">
        <v>257</v>
      </c>
      <c r="J180" s="41">
        <v>1</v>
      </c>
      <c r="K180" s="41">
        <v>1090</v>
      </c>
      <c r="L180" s="41"/>
      <c r="M180" s="42">
        <v>127</v>
      </c>
      <c r="N180" s="42">
        <v>127</v>
      </c>
      <c r="O180" s="43">
        <v>1090</v>
      </c>
      <c r="P180" s="44">
        <v>127</v>
      </c>
      <c r="Q180" s="44">
        <v>127</v>
      </c>
      <c r="R180" s="45">
        <v>0</v>
      </c>
      <c r="S180" s="46">
        <v>0</v>
      </c>
      <c r="T180" s="39">
        <f t="shared" si="76"/>
        <v>12</v>
      </c>
      <c r="U180" s="47">
        <f t="shared" si="77"/>
        <v>5.4633771084433157E-4</v>
      </c>
      <c r="V180" s="48">
        <f t="shared" si="78"/>
        <v>0</v>
      </c>
      <c r="W180" s="49">
        <f t="shared" si="79"/>
        <v>4.5528142570360969E-5</v>
      </c>
      <c r="X180" s="44">
        <f t="shared" si="80"/>
        <v>112.13668291719648</v>
      </c>
      <c r="Y180" s="44">
        <f t="shared" si="81"/>
        <v>0</v>
      </c>
      <c r="Z180" s="44">
        <f t="shared" si="82"/>
        <v>576.9128224624103</v>
      </c>
      <c r="AA180" s="50">
        <f t="shared" si="83"/>
        <v>239.13668291719648</v>
      </c>
      <c r="AB180" s="51">
        <f t="shared" si="84"/>
        <v>539.32207391082568</v>
      </c>
      <c r="AC180" s="44">
        <f t="shared" si="85"/>
        <v>223.55490597101661</v>
      </c>
      <c r="AD180" s="44">
        <f t="shared" si="86"/>
        <v>0</v>
      </c>
      <c r="AE180" s="44">
        <f t="shared" si="87"/>
        <v>0</v>
      </c>
      <c r="AF180" s="52">
        <f>HLOOKUP(I180,ElecAvoidedCostsWOCC!$A$5:$Q$50,G180+1,FALSE)</f>
        <v>0.86650348716649883</v>
      </c>
      <c r="AG180" s="44">
        <f t="shared" si="88"/>
        <v>944.4888010114837</v>
      </c>
      <c r="AH180" s="52">
        <f>HLOOKUP(I180,ElecAvoidedCostsWOCC!$A$5:$Q$50,T180+1,FALSE)</f>
        <v>0.86650348716649883</v>
      </c>
      <c r="AI180" s="44">
        <f t="shared" si="89"/>
        <v>0</v>
      </c>
      <c r="AJ180" s="44">
        <f t="shared" si="90"/>
        <v>944.4888010114837</v>
      </c>
      <c r="AK180" s="44">
        <f>HLOOKUP(I180,ElecAvoidedCostsWOCC!$A$5:$Q$50,G180+1,FALSE)*J180*L180</f>
        <v>0</v>
      </c>
      <c r="AL180" s="44">
        <f t="shared" si="91"/>
        <v>944.4888010114837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944.4888010114837</v>
      </c>
      <c r="AN180" s="48">
        <f t="shared" si="92"/>
        <v>1038.9376811126322</v>
      </c>
      <c r="AO180" s="47">
        <f t="shared" si="93"/>
        <v>1.7512518895483784</v>
      </c>
      <c r="AP180" s="47">
        <f t="shared" si="94"/>
        <v>4.647349055481377</v>
      </c>
      <c r="AQ180">
        <v>2020</v>
      </c>
    </row>
    <row r="181" spans="2:43">
      <c r="B181" s="97" t="s">
        <v>70</v>
      </c>
      <c r="C181" s="61">
        <v>18231134</v>
      </c>
      <c r="D181" s="61" t="s">
        <v>176</v>
      </c>
      <c r="E181" s="38" t="s">
        <v>2322</v>
      </c>
      <c r="F181" s="39" t="s">
        <v>1402</v>
      </c>
      <c r="G181" s="39">
        <v>12</v>
      </c>
      <c r="H181" s="39"/>
      <c r="I181" s="40" t="s">
        <v>257</v>
      </c>
      <c r="J181" s="41">
        <v>918</v>
      </c>
      <c r="K181" s="41">
        <v>430</v>
      </c>
      <c r="L181" s="41"/>
      <c r="M181" s="42">
        <v>127</v>
      </c>
      <c r="N181" s="42">
        <v>127</v>
      </c>
      <c r="O181" s="43">
        <v>394740</v>
      </c>
      <c r="P181" s="44">
        <v>116586</v>
      </c>
      <c r="Q181" s="44">
        <v>116586</v>
      </c>
      <c r="R181" s="45">
        <v>0</v>
      </c>
      <c r="S181" s="46">
        <v>0</v>
      </c>
      <c r="T181" s="39">
        <f t="shared" si="76"/>
        <v>12</v>
      </c>
      <c r="U181" s="47">
        <f t="shared" si="77"/>
        <v>0.19785444768687291</v>
      </c>
      <c r="V181" s="48">
        <f t="shared" si="78"/>
        <v>0</v>
      </c>
      <c r="W181" s="49">
        <f t="shared" si="79"/>
        <v>1.6487870640572742E-2</v>
      </c>
      <c r="X181" s="44">
        <f t="shared" si="80"/>
        <v>40609.939646545085</v>
      </c>
      <c r="Y181" s="44">
        <f t="shared" si="81"/>
        <v>0</v>
      </c>
      <c r="Z181" s="44">
        <f t="shared" si="82"/>
        <v>208927.1261823962</v>
      </c>
      <c r="AA181" s="50">
        <f t="shared" si="83"/>
        <v>157195.9396465451</v>
      </c>
      <c r="AB181" s="51">
        <f t="shared" si="84"/>
        <v>195313.75729867831</v>
      </c>
      <c r="AC181" s="44">
        <f t="shared" si="85"/>
        <v>146953.29498601952</v>
      </c>
      <c r="AD181" s="44">
        <f t="shared" si="86"/>
        <v>0</v>
      </c>
      <c r="AE181" s="44">
        <f t="shared" si="87"/>
        <v>0</v>
      </c>
      <c r="AF181" s="52">
        <f>HLOOKUP(I181,ElecAvoidedCostsWOCC!$A$5:$Q$50,G181+1,FALSE)</f>
        <v>0.86650348716649883</v>
      </c>
      <c r="AG181" s="44">
        <f t="shared" si="88"/>
        <v>342043.58652410377</v>
      </c>
      <c r="AH181" s="52">
        <f>HLOOKUP(I181,ElecAvoidedCostsWOCC!$A$5:$Q$50,T181+1,FALSE)</f>
        <v>0.86650348716649883</v>
      </c>
      <c r="AI181" s="44">
        <f t="shared" si="89"/>
        <v>0</v>
      </c>
      <c r="AJ181" s="44">
        <f t="shared" si="90"/>
        <v>342043.58652410377</v>
      </c>
      <c r="AK181" s="44">
        <f>HLOOKUP(I181,ElecAvoidedCostsWOCC!$A$5:$Q$50,G181+1,FALSE)*J181*L181</f>
        <v>0</v>
      </c>
      <c r="AL181" s="44">
        <f t="shared" si="91"/>
        <v>342043.58652410377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342043.58652410377</v>
      </c>
      <c r="AN181" s="48">
        <f t="shared" si="92"/>
        <v>376247.94517651416</v>
      </c>
      <c r="AO181" s="47">
        <f t="shared" si="93"/>
        <v>1.7512518895483784</v>
      </c>
      <c r="AP181" s="47">
        <f t="shared" si="94"/>
        <v>2.5603233000818983</v>
      </c>
      <c r="AQ181">
        <v>2020</v>
      </c>
    </row>
    <row r="182" spans="2:43">
      <c r="B182" s="97" t="s">
        <v>70</v>
      </c>
      <c r="C182" s="61">
        <v>18231134</v>
      </c>
      <c r="D182" s="61" t="s">
        <v>176</v>
      </c>
      <c r="E182" s="38" t="s">
        <v>2323</v>
      </c>
      <c r="F182" s="39" t="s">
        <v>2324</v>
      </c>
      <c r="G182" s="39">
        <v>12</v>
      </c>
      <c r="H182" s="39"/>
      <c r="I182" s="40" t="s">
        <v>257</v>
      </c>
      <c r="J182" s="41">
        <v>26</v>
      </c>
      <c r="K182" s="41">
        <v>901</v>
      </c>
      <c r="L182" s="41"/>
      <c r="M182" s="42">
        <v>127</v>
      </c>
      <c r="N182" s="42">
        <v>127</v>
      </c>
      <c r="O182" s="43">
        <v>23426</v>
      </c>
      <c r="P182" s="44">
        <v>3302</v>
      </c>
      <c r="Q182" s="44">
        <v>3302</v>
      </c>
      <c r="R182" s="45">
        <v>0</v>
      </c>
      <c r="S182" s="46">
        <v>0</v>
      </c>
      <c r="T182" s="39">
        <f t="shared" si="76"/>
        <v>12</v>
      </c>
      <c r="U182" s="47">
        <f t="shared" si="77"/>
        <v>1.174174973783423E-2</v>
      </c>
      <c r="V182" s="48">
        <f t="shared" si="78"/>
        <v>0</v>
      </c>
      <c r="W182" s="49">
        <f t="shared" si="79"/>
        <v>9.784791448195192E-4</v>
      </c>
      <c r="X182" s="44">
        <f t="shared" si="80"/>
        <v>2410.0127835029766</v>
      </c>
      <c r="Y182" s="44">
        <f t="shared" si="81"/>
        <v>0</v>
      </c>
      <c r="Z182" s="44">
        <f t="shared" si="82"/>
        <v>12398.862182572864</v>
      </c>
      <c r="AA182" s="50">
        <f t="shared" si="83"/>
        <v>5712.0127835029762</v>
      </c>
      <c r="AB182" s="51">
        <f t="shared" si="84"/>
        <v>11590.971471041286</v>
      </c>
      <c r="AC182" s="44">
        <f t="shared" si="85"/>
        <v>5339.8268519238809</v>
      </c>
      <c r="AD182" s="44">
        <f t="shared" si="86"/>
        <v>0</v>
      </c>
      <c r="AE182" s="44">
        <f t="shared" si="87"/>
        <v>0</v>
      </c>
      <c r="AF182" s="52">
        <f>HLOOKUP(I182,ElecAvoidedCostsWOCC!$A$5:$Q$50,G182+1,FALSE)</f>
        <v>0.86650348716649883</v>
      </c>
      <c r="AG182" s="44">
        <f t="shared" si="88"/>
        <v>20298.710690362401</v>
      </c>
      <c r="AH182" s="52">
        <f>HLOOKUP(I182,ElecAvoidedCostsWOCC!$A$5:$Q$50,T182+1,FALSE)</f>
        <v>0.86650348716649883</v>
      </c>
      <c r="AI182" s="44">
        <f t="shared" si="89"/>
        <v>0</v>
      </c>
      <c r="AJ182" s="44">
        <f t="shared" si="90"/>
        <v>20298.710690362401</v>
      </c>
      <c r="AK182" s="44">
        <f>HLOOKUP(I182,ElecAvoidedCostsWOCC!$A$5:$Q$50,G182+1,FALSE)*J182*L182</f>
        <v>0</v>
      </c>
      <c r="AL182" s="44">
        <f t="shared" si="91"/>
        <v>20298.710690362401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20298.710690362401</v>
      </c>
      <c r="AN182" s="48">
        <f t="shared" si="92"/>
        <v>22328.581759398643</v>
      </c>
      <c r="AO182" s="47">
        <f t="shared" si="93"/>
        <v>1.7512518895483784</v>
      </c>
      <c r="AP182" s="47">
        <f t="shared" si="94"/>
        <v>4.1815179365514261</v>
      </c>
      <c r="AQ182">
        <v>2020</v>
      </c>
    </row>
    <row r="183" spans="2:43">
      <c r="B183" s="97" t="s">
        <v>70</v>
      </c>
      <c r="C183" s="61">
        <v>18231134</v>
      </c>
      <c r="D183" s="61" t="s">
        <v>176</v>
      </c>
      <c r="E183" s="38" t="s">
        <v>1403</v>
      </c>
      <c r="F183" s="39" t="s">
        <v>1404</v>
      </c>
      <c r="G183" s="39">
        <v>12</v>
      </c>
      <c r="H183" s="39"/>
      <c r="I183" s="40" t="s">
        <v>257</v>
      </c>
      <c r="J183" s="41">
        <v>1250</v>
      </c>
      <c r="K183" s="41">
        <v>225</v>
      </c>
      <c r="L183" s="41"/>
      <c r="M183" s="42">
        <v>109</v>
      </c>
      <c r="N183" s="42">
        <v>109</v>
      </c>
      <c r="O183" s="43">
        <v>281250</v>
      </c>
      <c r="P183" s="44">
        <v>137762</v>
      </c>
      <c r="Q183" s="44">
        <v>136250</v>
      </c>
      <c r="R183" s="45">
        <v>0</v>
      </c>
      <c r="S183" s="46">
        <v>0</v>
      </c>
      <c r="T183" s="39">
        <f t="shared" si="76"/>
        <v>12</v>
      </c>
      <c r="U183" s="47">
        <f t="shared" si="77"/>
        <v>0.14097016621556721</v>
      </c>
      <c r="V183" s="48">
        <f t="shared" si="78"/>
        <v>0</v>
      </c>
      <c r="W183" s="49">
        <f t="shared" si="79"/>
        <v>1.1747513851297268E-2</v>
      </c>
      <c r="X183" s="44">
        <f t="shared" si="80"/>
        <v>28934.350523359182</v>
      </c>
      <c r="Y183" s="44">
        <f t="shared" si="81"/>
        <v>-1512</v>
      </c>
      <c r="Z183" s="44">
        <f t="shared" si="82"/>
        <v>148859.38652986503</v>
      </c>
      <c r="AA183" s="50">
        <f t="shared" si="83"/>
        <v>165184.35052335917</v>
      </c>
      <c r="AB183" s="51">
        <f t="shared" si="84"/>
        <v>139159.93879579791</v>
      </c>
      <c r="AC183" s="44">
        <f t="shared" si="85"/>
        <v>154421.19334706847</v>
      </c>
      <c r="AD183" s="44">
        <f t="shared" si="86"/>
        <v>0</v>
      </c>
      <c r="AE183" s="44">
        <f t="shared" si="87"/>
        <v>0</v>
      </c>
      <c r="AF183" s="52">
        <f>HLOOKUP(I183,ElecAvoidedCostsWOCC!$A$5:$Q$50,G183+1,FALSE)</f>
        <v>0.86650348716649883</v>
      </c>
      <c r="AG183" s="44">
        <f t="shared" si="88"/>
        <v>243704.10576557778</v>
      </c>
      <c r="AH183" s="52">
        <f>HLOOKUP(I183,ElecAvoidedCostsWOCC!$A$5:$Q$50,T183+1,FALSE)</f>
        <v>0.86650348716649883</v>
      </c>
      <c r="AI183" s="44">
        <f t="shared" si="89"/>
        <v>0</v>
      </c>
      <c r="AJ183" s="44">
        <f t="shared" si="90"/>
        <v>243704.10576557778</v>
      </c>
      <c r="AK183" s="44">
        <f>HLOOKUP(I183,ElecAvoidedCostsWOCC!$A$5:$Q$50,G183+1,FALSE)*J183*L183</f>
        <v>0</v>
      </c>
      <c r="AL183" s="44">
        <f t="shared" si="91"/>
        <v>243704.10576557778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243704.10576557781</v>
      </c>
      <c r="AN183" s="48">
        <f t="shared" si="92"/>
        <v>268074.51634213561</v>
      </c>
      <c r="AO183" s="47">
        <f t="shared" si="93"/>
        <v>1.7512518895483786</v>
      </c>
      <c r="AP183" s="47">
        <f t="shared" si="94"/>
        <v>1.7359956268413641</v>
      </c>
      <c r="AQ183">
        <v>2020</v>
      </c>
    </row>
    <row r="184" spans="2:43">
      <c r="B184" s="97" t="s">
        <v>70</v>
      </c>
      <c r="C184" s="61">
        <v>18231134</v>
      </c>
      <c r="D184" s="61" t="s">
        <v>176</v>
      </c>
      <c r="E184" s="38" t="s">
        <v>2325</v>
      </c>
      <c r="F184" s="39" t="s">
        <v>1407</v>
      </c>
      <c r="G184" s="39">
        <v>12</v>
      </c>
      <c r="H184" s="39"/>
      <c r="I184" s="40" t="s">
        <v>257</v>
      </c>
      <c r="J184" s="41">
        <v>2399</v>
      </c>
      <c r="K184" s="41">
        <v>323</v>
      </c>
      <c r="L184" s="41"/>
      <c r="M184" s="42">
        <v>135</v>
      </c>
      <c r="N184" s="42">
        <v>135</v>
      </c>
      <c r="O184" s="43">
        <v>774877</v>
      </c>
      <c r="P184" s="44">
        <v>323865</v>
      </c>
      <c r="Q184" s="44">
        <v>323865</v>
      </c>
      <c r="R184" s="45">
        <v>0</v>
      </c>
      <c r="S184" s="46">
        <v>0</v>
      </c>
      <c r="T184" s="39">
        <f t="shared" si="76"/>
        <v>12</v>
      </c>
      <c r="U184" s="47">
        <f t="shared" si="77"/>
        <v>0.38838947373020472</v>
      </c>
      <c r="V184" s="48">
        <f t="shared" si="78"/>
        <v>0</v>
      </c>
      <c r="W184" s="49">
        <f t="shared" si="79"/>
        <v>3.236578947751706E-2</v>
      </c>
      <c r="X184" s="44">
        <f t="shared" si="80"/>
        <v>79717.556375071974</v>
      </c>
      <c r="Y184" s="44">
        <f t="shared" si="81"/>
        <v>0</v>
      </c>
      <c r="Z184" s="44">
        <f t="shared" si="82"/>
        <v>410125.20837725239</v>
      </c>
      <c r="AA184" s="50">
        <f t="shared" si="83"/>
        <v>403582.55637507199</v>
      </c>
      <c r="AB184" s="51">
        <f t="shared" si="84"/>
        <v>383402.08317963203</v>
      </c>
      <c r="AC184" s="44">
        <f t="shared" si="85"/>
        <v>377285.7402777152</v>
      </c>
      <c r="AD184" s="44">
        <f t="shared" si="86"/>
        <v>0</v>
      </c>
      <c r="AE184" s="44">
        <f t="shared" si="87"/>
        <v>0</v>
      </c>
      <c r="AF184" s="52">
        <f>HLOOKUP(I184,ElecAvoidedCostsWOCC!$A$5:$Q$50,G184+1,FALSE)</f>
        <v>0.86650348716649883</v>
      </c>
      <c r="AG184" s="44">
        <f t="shared" si="88"/>
        <v>671433.62262511509</v>
      </c>
      <c r="AH184" s="52">
        <f>HLOOKUP(I184,ElecAvoidedCostsWOCC!$A$5:$Q$50,T184+1,FALSE)</f>
        <v>0.86650348716649883</v>
      </c>
      <c r="AI184" s="44">
        <f t="shared" si="89"/>
        <v>0</v>
      </c>
      <c r="AJ184" s="44">
        <f t="shared" si="90"/>
        <v>671433.62262511509</v>
      </c>
      <c r="AK184" s="44">
        <f>HLOOKUP(I184,ElecAvoidedCostsWOCC!$A$5:$Q$50,G184+1,FALSE)*J184*L184</f>
        <v>0</v>
      </c>
      <c r="AL184" s="44">
        <f t="shared" si="91"/>
        <v>671433.62262511509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671433.62262511509</v>
      </c>
      <c r="AN184" s="48">
        <f t="shared" si="92"/>
        <v>738576.98488762672</v>
      </c>
      <c r="AO184" s="47">
        <f t="shared" si="93"/>
        <v>1.7512518895483784</v>
      </c>
      <c r="AP184" s="47">
        <f t="shared" si="94"/>
        <v>1.9576064134943707</v>
      </c>
      <c r="AQ184">
        <v>2020</v>
      </c>
    </row>
    <row r="185" spans="2:43">
      <c r="B185" s="97" t="s">
        <v>70</v>
      </c>
      <c r="C185" s="61">
        <v>18231134</v>
      </c>
      <c r="D185" s="61" t="s">
        <v>176</v>
      </c>
      <c r="E185" s="38" t="s">
        <v>2326</v>
      </c>
      <c r="F185" s="39" t="s">
        <v>2327</v>
      </c>
      <c r="G185" s="39">
        <v>12</v>
      </c>
      <c r="H185" s="39"/>
      <c r="I185" s="40" t="s">
        <v>257</v>
      </c>
      <c r="J185" s="41">
        <v>14</v>
      </c>
      <c r="K185" s="41">
        <v>750</v>
      </c>
      <c r="L185" s="41"/>
      <c r="M185" s="42">
        <v>135</v>
      </c>
      <c r="N185" s="42">
        <v>135</v>
      </c>
      <c r="O185" s="43">
        <v>10500</v>
      </c>
      <c r="P185" s="44">
        <v>1890</v>
      </c>
      <c r="Q185" s="44">
        <v>1890</v>
      </c>
      <c r="R185" s="45">
        <v>0</v>
      </c>
      <c r="S185" s="46">
        <v>0</v>
      </c>
      <c r="T185" s="39">
        <f t="shared" si="76"/>
        <v>12</v>
      </c>
      <c r="U185" s="47">
        <f t="shared" si="77"/>
        <v>5.2628862053811761E-3</v>
      </c>
      <c r="V185" s="48">
        <f t="shared" si="78"/>
        <v>0</v>
      </c>
      <c r="W185" s="49">
        <f t="shared" si="79"/>
        <v>4.3857385044843134E-4</v>
      </c>
      <c r="X185" s="44">
        <f t="shared" si="80"/>
        <v>1080.2157528720761</v>
      </c>
      <c r="Y185" s="44">
        <f t="shared" si="81"/>
        <v>0</v>
      </c>
      <c r="Z185" s="44">
        <f t="shared" si="82"/>
        <v>5557.4170971149615</v>
      </c>
      <c r="AA185" s="50">
        <f t="shared" si="83"/>
        <v>2970.2157528720763</v>
      </c>
      <c r="AB185" s="51">
        <f t="shared" si="84"/>
        <v>5195.3043817097887</v>
      </c>
      <c r="AC185" s="44">
        <f t="shared" si="85"/>
        <v>2776.6810814920782</v>
      </c>
      <c r="AD185" s="44">
        <f t="shared" si="86"/>
        <v>0</v>
      </c>
      <c r="AE185" s="44">
        <f t="shared" si="87"/>
        <v>0</v>
      </c>
      <c r="AF185" s="52">
        <f>HLOOKUP(I185,ElecAvoidedCostsWOCC!$A$5:$Q$50,G185+1,FALSE)</f>
        <v>0.86650348716649883</v>
      </c>
      <c r="AG185" s="44">
        <f t="shared" si="88"/>
        <v>9098.2866152482384</v>
      </c>
      <c r="AH185" s="52">
        <f>HLOOKUP(I185,ElecAvoidedCostsWOCC!$A$5:$Q$50,T185+1,FALSE)</f>
        <v>0.86650348716649883</v>
      </c>
      <c r="AI185" s="44">
        <f t="shared" si="89"/>
        <v>0</v>
      </c>
      <c r="AJ185" s="44">
        <f t="shared" si="90"/>
        <v>9098.2866152482384</v>
      </c>
      <c r="AK185" s="44">
        <f>HLOOKUP(I185,ElecAvoidedCostsWOCC!$A$5:$Q$50,G185+1,FALSE)*J185*L185</f>
        <v>0</v>
      </c>
      <c r="AL185" s="44">
        <f t="shared" si="91"/>
        <v>9098.2866152482384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9098.2866152482384</v>
      </c>
      <c r="AN185" s="48">
        <f t="shared" si="92"/>
        <v>10008.115276773064</v>
      </c>
      <c r="AO185" s="47">
        <f t="shared" si="93"/>
        <v>1.7512518895483786</v>
      </c>
      <c r="AP185" s="47">
        <f t="shared" si="94"/>
        <v>3.6043445332926387</v>
      </c>
      <c r="AQ185">
        <v>2020</v>
      </c>
    </row>
    <row r="186" spans="2:43">
      <c r="B186" s="97" t="s">
        <v>70</v>
      </c>
      <c r="C186" s="61">
        <v>18231134</v>
      </c>
      <c r="D186" s="61" t="s">
        <v>176</v>
      </c>
      <c r="E186" s="38" t="s">
        <v>1410</v>
      </c>
      <c r="F186" s="39" t="s">
        <v>1411</v>
      </c>
      <c r="G186" s="39">
        <v>12</v>
      </c>
      <c r="H186" s="39"/>
      <c r="I186" s="40" t="s">
        <v>257</v>
      </c>
      <c r="J186" s="41">
        <v>591</v>
      </c>
      <c r="K186" s="41">
        <v>397</v>
      </c>
      <c r="L186" s="41"/>
      <c r="M186" s="42">
        <v>116</v>
      </c>
      <c r="N186" s="42">
        <v>116</v>
      </c>
      <c r="O186" s="43">
        <v>234627</v>
      </c>
      <c r="P186" s="44">
        <v>68556</v>
      </c>
      <c r="Q186" s="44">
        <v>68556</v>
      </c>
      <c r="R186" s="45">
        <v>0</v>
      </c>
      <c r="S186" s="46">
        <v>0</v>
      </c>
      <c r="T186" s="39">
        <f t="shared" si="76"/>
        <v>12</v>
      </c>
      <c r="U186" s="47">
        <f t="shared" si="77"/>
        <v>0.11760144778190182</v>
      </c>
      <c r="V186" s="48">
        <f t="shared" si="78"/>
        <v>0</v>
      </c>
      <c r="W186" s="49">
        <f t="shared" si="79"/>
        <v>9.8001206484918182E-3</v>
      </c>
      <c r="X186" s="44">
        <f t="shared" si="80"/>
        <v>24137.883947534912</v>
      </c>
      <c r="Y186" s="44">
        <f t="shared" si="81"/>
        <v>0</v>
      </c>
      <c r="Z186" s="44">
        <f t="shared" si="82"/>
        <v>124182.86678521828</v>
      </c>
      <c r="AA186" s="50">
        <f t="shared" si="83"/>
        <v>92693.883947534909</v>
      </c>
      <c r="AB186" s="51">
        <f t="shared" si="84"/>
        <v>116091.30296832595</v>
      </c>
      <c r="AC186" s="44">
        <f t="shared" si="85"/>
        <v>86654.093622076194</v>
      </c>
      <c r="AD186" s="44">
        <f t="shared" si="86"/>
        <v>0</v>
      </c>
      <c r="AE186" s="44">
        <f t="shared" si="87"/>
        <v>0</v>
      </c>
      <c r="AF186" s="52">
        <f>HLOOKUP(I186,ElecAvoidedCostsWOCC!$A$5:$Q$50,G186+1,FALSE)</f>
        <v>0.86650348716649883</v>
      </c>
      <c r="AG186" s="44">
        <f t="shared" si="88"/>
        <v>203305.11368341415</v>
      </c>
      <c r="AH186" s="52">
        <f>HLOOKUP(I186,ElecAvoidedCostsWOCC!$A$5:$Q$50,T186+1,FALSE)</f>
        <v>0.86650348716649883</v>
      </c>
      <c r="AI186" s="44">
        <f t="shared" si="89"/>
        <v>0</v>
      </c>
      <c r="AJ186" s="44">
        <f t="shared" si="90"/>
        <v>203305.11368341415</v>
      </c>
      <c r="AK186" s="44">
        <f>HLOOKUP(I186,ElecAvoidedCostsWOCC!$A$5:$Q$50,G186+1,FALSE)*J186*L186</f>
        <v>0</v>
      </c>
      <c r="AL186" s="44">
        <f t="shared" si="91"/>
        <v>203305.11368341415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203305.11368341412</v>
      </c>
      <c r="AN186" s="48">
        <f t="shared" si="92"/>
        <v>223635.62505175555</v>
      </c>
      <c r="AO186" s="47">
        <f t="shared" si="93"/>
        <v>1.7512518895483786</v>
      </c>
      <c r="AP186" s="47">
        <f t="shared" si="94"/>
        <v>2.5807854621051813</v>
      </c>
      <c r="AQ186">
        <v>2020</v>
      </c>
    </row>
    <row r="187" spans="2:43">
      <c r="B187" s="97" t="s">
        <v>70</v>
      </c>
      <c r="C187" s="61">
        <v>18231134</v>
      </c>
      <c r="D187" s="61" t="s">
        <v>176</v>
      </c>
      <c r="E187" s="38" t="s">
        <v>2328</v>
      </c>
      <c r="F187" s="39" t="s">
        <v>1414</v>
      </c>
      <c r="G187" s="39">
        <v>12</v>
      </c>
      <c r="H187" s="39"/>
      <c r="I187" s="40" t="s">
        <v>257</v>
      </c>
      <c r="J187" s="41">
        <v>56</v>
      </c>
      <c r="K187" s="41">
        <v>165</v>
      </c>
      <c r="L187" s="41"/>
      <c r="M187" s="42">
        <v>112</v>
      </c>
      <c r="N187" s="42">
        <v>112</v>
      </c>
      <c r="O187" s="43">
        <v>9240</v>
      </c>
      <c r="P187" s="44">
        <v>6272</v>
      </c>
      <c r="Q187" s="44">
        <v>6272</v>
      </c>
      <c r="R187" s="45">
        <v>0</v>
      </c>
      <c r="S187" s="46">
        <v>0</v>
      </c>
      <c r="T187" s="39">
        <f t="shared" si="76"/>
        <v>12</v>
      </c>
      <c r="U187" s="47">
        <f t="shared" si="77"/>
        <v>4.6313398607354343E-3</v>
      </c>
      <c r="V187" s="48">
        <f t="shared" si="78"/>
        <v>0</v>
      </c>
      <c r="W187" s="49">
        <f t="shared" si="79"/>
        <v>3.8594498839461956E-4</v>
      </c>
      <c r="X187" s="44">
        <f t="shared" si="80"/>
        <v>950.58986252742693</v>
      </c>
      <c r="Y187" s="44">
        <f t="shared" si="81"/>
        <v>0</v>
      </c>
      <c r="Z187" s="44">
        <f t="shared" si="82"/>
        <v>4890.5270454611664</v>
      </c>
      <c r="AA187" s="50">
        <f t="shared" si="83"/>
        <v>7222.5898625274267</v>
      </c>
      <c r="AB187" s="51">
        <f t="shared" si="84"/>
        <v>4571.8678559046148</v>
      </c>
      <c r="AC187" s="44">
        <f t="shared" si="85"/>
        <v>6751.9770613512446</v>
      </c>
      <c r="AD187" s="44">
        <f t="shared" si="86"/>
        <v>0</v>
      </c>
      <c r="AE187" s="44">
        <f t="shared" si="87"/>
        <v>0</v>
      </c>
      <c r="AF187" s="52">
        <f>HLOOKUP(I187,ElecAvoidedCostsWOCC!$A$5:$Q$50,G187+1,FALSE)</f>
        <v>0.86650348716649883</v>
      </c>
      <c r="AG187" s="44">
        <f t="shared" si="88"/>
        <v>8006.4922214184489</v>
      </c>
      <c r="AH187" s="52">
        <f>HLOOKUP(I187,ElecAvoidedCostsWOCC!$A$5:$Q$50,T187+1,FALSE)</f>
        <v>0.86650348716649883</v>
      </c>
      <c r="AI187" s="44">
        <f t="shared" si="89"/>
        <v>0</v>
      </c>
      <c r="AJ187" s="44">
        <f t="shared" si="90"/>
        <v>8006.4922214184489</v>
      </c>
      <c r="AK187" s="44">
        <f>HLOOKUP(I187,ElecAvoidedCostsWOCC!$A$5:$Q$50,G187+1,FALSE)*J187*L187</f>
        <v>0</v>
      </c>
      <c r="AL187" s="44">
        <f t="shared" si="91"/>
        <v>8006.4922214184489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8006.4922214184489</v>
      </c>
      <c r="AN187" s="48">
        <f t="shared" si="92"/>
        <v>8807.1414435602946</v>
      </c>
      <c r="AO187" s="47">
        <f t="shared" si="93"/>
        <v>1.7512518895483782</v>
      </c>
      <c r="AP187" s="47">
        <f t="shared" si="94"/>
        <v>1.3043796451816971</v>
      </c>
      <c r="AQ187">
        <v>2020</v>
      </c>
    </row>
    <row r="188" spans="2:43">
      <c r="B188" s="97" t="s">
        <v>70</v>
      </c>
      <c r="C188" s="61">
        <v>18231134</v>
      </c>
      <c r="D188" s="61" t="s">
        <v>176</v>
      </c>
      <c r="E188" s="38" t="s">
        <v>2329</v>
      </c>
      <c r="F188" s="39" t="s">
        <v>1416</v>
      </c>
      <c r="G188" s="39">
        <v>12</v>
      </c>
      <c r="H188" s="39"/>
      <c r="I188" s="40" t="s">
        <v>257</v>
      </c>
      <c r="J188" s="41">
        <v>17</v>
      </c>
      <c r="K188" s="41">
        <v>286</v>
      </c>
      <c r="L188" s="41"/>
      <c r="M188" s="42">
        <v>112</v>
      </c>
      <c r="N188" s="42">
        <v>112</v>
      </c>
      <c r="O188" s="43">
        <v>4862</v>
      </c>
      <c r="P188" s="44">
        <v>1904</v>
      </c>
      <c r="Q188" s="44">
        <v>1904</v>
      </c>
      <c r="R188" s="45">
        <v>0</v>
      </c>
      <c r="S188" s="46">
        <v>0</v>
      </c>
      <c r="T188" s="39">
        <f t="shared" si="76"/>
        <v>12</v>
      </c>
      <c r="U188" s="47">
        <f t="shared" si="77"/>
        <v>2.4369669267203121E-3</v>
      </c>
      <c r="V188" s="48">
        <f t="shared" si="78"/>
        <v>0</v>
      </c>
      <c r="W188" s="49">
        <f t="shared" si="79"/>
        <v>2.0308057722669267E-4</v>
      </c>
      <c r="X188" s="44">
        <f t="shared" si="80"/>
        <v>500.19133242514613</v>
      </c>
      <c r="Y188" s="44">
        <f t="shared" si="81"/>
        <v>0</v>
      </c>
      <c r="Z188" s="44">
        <f t="shared" si="82"/>
        <v>2573.3487548736139</v>
      </c>
      <c r="AA188" s="50">
        <f t="shared" si="83"/>
        <v>2404.1913324251464</v>
      </c>
      <c r="AB188" s="51">
        <f t="shared" si="84"/>
        <v>2405.6733241783804</v>
      </c>
      <c r="AC188" s="44">
        <f t="shared" si="85"/>
        <v>2247.5379381369976</v>
      </c>
      <c r="AD188" s="44">
        <f t="shared" si="86"/>
        <v>0</v>
      </c>
      <c r="AE188" s="44">
        <f t="shared" si="87"/>
        <v>0</v>
      </c>
      <c r="AF188" s="52">
        <f>HLOOKUP(I188,ElecAvoidedCostsWOCC!$A$5:$Q$50,G188+1,FALSE)</f>
        <v>0.86650348716649883</v>
      </c>
      <c r="AG188" s="44">
        <f t="shared" si="88"/>
        <v>4212.9399546035174</v>
      </c>
      <c r="AH188" s="52">
        <f>HLOOKUP(I188,ElecAvoidedCostsWOCC!$A$5:$Q$50,T188+1,FALSE)</f>
        <v>0.86650348716649883</v>
      </c>
      <c r="AI188" s="44">
        <f t="shared" si="89"/>
        <v>0</v>
      </c>
      <c r="AJ188" s="44">
        <f t="shared" si="90"/>
        <v>4212.9399546035174</v>
      </c>
      <c r="AK188" s="44">
        <f>HLOOKUP(I188,ElecAvoidedCostsWOCC!$A$5:$Q$50,G188+1,FALSE)*J188*L188</f>
        <v>0</v>
      </c>
      <c r="AL188" s="44">
        <f t="shared" si="91"/>
        <v>4212.9399546035174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4212.9399546035174</v>
      </c>
      <c r="AN188" s="48">
        <f t="shared" si="92"/>
        <v>4634.23395006387</v>
      </c>
      <c r="AO188" s="47">
        <f t="shared" si="93"/>
        <v>1.7512518895483784</v>
      </c>
      <c r="AP188" s="47">
        <f t="shared" si="94"/>
        <v>2.0619157841247495</v>
      </c>
      <c r="AQ188">
        <v>2020</v>
      </c>
    </row>
    <row r="189" spans="2:43">
      <c r="B189" s="97" t="s">
        <v>70</v>
      </c>
      <c r="C189" s="61">
        <v>18231134</v>
      </c>
      <c r="D189" s="61" t="s">
        <v>176</v>
      </c>
      <c r="E189" s="38" t="s">
        <v>2330</v>
      </c>
      <c r="F189" s="39" t="s">
        <v>2331</v>
      </c>
      <c r="G189" s="39">
        <v>12</v>
      </c>
      <c r="H189" s="39"/>
      <c r="I189" s="40" t="s">
        <v>257</v>
      </c>
      <c r="J189" s="41">
        <v>1</v>
      </c>
      <c r="K189" s="41">
        <v>181</v>
      </c>
      <c r="L189" s="41"/>
      <c r="M189" s="42">
        <v>110</v>
      </c>
      <c r="N189" s="42">
        <v>110</v>
      </c>
      <c r="O189" s="43">
        <v>181</v>
      </c>
      <c r="P189" s="44">
        <v>110</v>
      </c>
      <c r="Q189" s="44">
        <v>110</v>
      </c>
      <c r="R189" s="45">
        <v>0</v>
      </c>
      <c r="S189" s="46">
        <v>0</v>
      </c>
      <c r="T189" s="39">
        <f t="shared" si="76"/>
        <v>12</v>
      </c>
      <c r="U189" s="47">
        <f t="shared" si="77"/>
        <v>9.0722133635618362E-5</v>
      </c>
      <c r="V189" s="48">
        <f t="shared" si="78"/>
        <v>0</v>
      </c>
      <c r="W189" s="49">
        <f t="shared" si="79"/>
        <v>7.5601778029681974E-6</v>
      </c>
      <c r="X189" s="44">
        <f t="shared" si="80"/>
        <v>18.620862025699598</v>
      </c>
      <c r="Y189" s="44">
        <f t="shared" si="81"/>
        <v>0</v>
      </c>
      <c r="Z189" s="44">
        <f t="shared" si="82"/>
        <v>95.799285197886476</v>
      </c>
      <c r="AA189" s="50">
        <f t="shared" si="83"/>
        <v>128.62086202569961</v>
      </c>
      <c r="AB189" s="51">
        <f t="shared" si="84"/>
        <v>89.557151722806836</v>
      </c>
      <c r="AC189" s="44">
        <f t="shared" si="85"/>
        <v>120.240125292792</v>
      </c>
      <c r="AD189" s="44">
        <f t="shared" si="86"/>
        <v>0</v>
      </c>
      <c r="AE189" s="44">
        <f t="shared" si="87"/>
        <v>0</v>
      </c>
      <c r="AF189" s="52">
        <f>HLOOKUP(I189,ElecAvoidedCostsWOCC!$A$5:$Q$50,G189+1,FALSE)</f>
        <v>0.86650348716649883</v>
      </c>
      <c r="AG189" s="44">
        <f t="shared" si="88"/>
        <v>156.83713117713629</v>
      </c>
      <c r="AH189" s="52">
        <f>HLOOKUP(I189,ElecAvoidedCostsWOCC!$A$5:$Q$50,T189+1,FALSE)</f>
        <v>0.86650348716649883</v>
      </c>
      <c r="AI189" s="44">
        <f t="shared" si="89"/>
        <v>0</v>
      </c>
      <c r="AJ189" s="44">
        <f t="shared" si="90"/>
        <v>156.83713117713629</v>
      </c>
      <c r="AK189" s="44">
        <f>HLOOKUP(I189,ElecAvoidedCostsWOCC!$A$5:$Q$50,G189+1,FALSE)*J189*L189</f>
        <v>0</v>
      </c>
      <c r="AL189" s="44">
        <f t="shared" si="91"/>
        <v>156.83713117713629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156.83713117713629</v>
      </c>
      <c r="AN189" s="48">
        <f t="shared" si="92"/>
        <v>172.52084429484992</v>
      </c>
      <c r="AO189" s="47">
        <f t="shared" si="93"/>
        <v>1.7512518895483784</v>
      </c>
      <c r="AP189" s="47">
        <f t="shared" si="94"/>
        <v>1.4348025991718754</v>
      </c>
      <c r="AQ189">
        <v>2020</v>
      </c>
    </row>
    <row r="190" spans="2:43">
      <c r="B190" s="97" t="s">
        <v>70</v>
      </c>
      <c r="C190" s="61">
        <v>18231134</v>
      </c>
      <c r="D190" s="61" t="s">
        <v>176</v>
      </c>
      <c r="E190" s="38" t="s">
        <v>1417</v>
      </c>
      <c r="F190" s="39" t="s">
        <v>1418</v>
      </c>
      <c r="G190" s="39">
        <v>12</v>
      </c>
      <c r="H190" s="39"/>
      <c r="I190" s="40" t="s">
        <v>257</v>
      </c>
      <c r="J190" s="41">
        <v>164</v>
      </c>
      <c r="K190" s="41">
        <v>329</v>
      </c>
      <c r="L190" s="41"/>
      <c r="M190" s="42">
        <v>154</v>
      </c>
      <c r="N190" s="42">
        <v>154</v>
      </c>
      <c r="O190" s="43">
        <v>53956</v>
      </c>
      <c r="P190" s="44">
        <v>25256</v>
      </c>
      <c r="Q190" s="44">
        <v>25256</v>
      </c>
      <c r="R190" s="45">
        <v>0</v>
      </c>
      <c r="S190" s="46">
        <v>0</v>
      </c>
      <c r="T190" s="39">
        <f t="shared" si="76"/>
        <v>12</v>
      </c>
      <c r="U190" s="47">
        <f t="shared" si="77"/>
        <v>2.7044217914052072E-2</v>
      </c>
      <c r="V190" s="48">
        <f t="shared" si="78"/>
        <v>0</v>
      </c>
      <c r="W190" s="49">
        <f t="shared" si="79"/>
        <v>2.2536848261710059E-3</v>
      </c>
      <c r="X190" s="44">
        <f t="shared" si="80"/>
        <v>5550.8686820919756</v>
      </c>
      <c r="Y190" s="44">
        <f t="shared" si="81"/>
        <v>0</v>
      </c>
      <c r="Z190" s="44">
        <f t="shared" si="82"/>
        <v>28557.713989708085</v>
      </c>
      <c r="AA190" s="50">
        <f t="shared" si="83"/>
        <v>30806.868682091976</v>
      </c>
      <c r="AB190" s="51">
        <f t="shared" si="84"/>
        <v>26696.93744947937</v>
      </c>
      <c r="AC190" s="44">
        <f t="shared" si="85"/>
        <v>28799.540695608088</v>
      </c>
      <c r="AD190" s="44">
        <f t="shared" si="86"/>
        <v>0</v>
      </c>
      <c r="AE190" s="44">
        <f t="shared" si="87"/>
        <v>0</v>
      </c>
      <c r="AF190" s="52">
        <f>HLOOKUP(I190,ElecAvoidedCostsWOCC!$A$5:$Q$50,G190+1,FALSE)</f>
        <v>0.86650348716649883</v>
      </c>
      <c r="AG190" s="44">
        <f t="shared" si="88"/>
        <v>46753.062153555613</v>
      </c>
      <c r="AH190" s="52">
        <f>HLOOKUP(I190,ElecAvoidedCostsWOCC!$A$5:$Q$50,T190+1,FALSE)</f>
        <v>0.86650348716649883</v>
      </c>
      <c r="AI190" s="44">
        <f t="shared" si="89"/>
        <v>0</v>
      </c>
      <c r="AJ190" s="44">
        <f t="shared" si="90"/>
        <v>46753.062153555613</v>
      </c>
      <c r="AK190" s="44">
        <f>HLOOKUP(I190,ElecAvoidedCostsWOCC!$A$5:$Q$50,G190+1,FALSE)*J190*L190</f>
        <v>0</v>
      </c>
      <c r="AL190" s="44">
        <f t="shared" si="91"/>
        <v>46753.062153555613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46753.062153555613</v>
      </c>
      <c r="AN190" s="48">
        <f t="shared" si="92"/>
        <v>51428.368368911179</v>
      </c>
      <c r="AO190" s="47">
        <f t="shared" si="93"/>
        <v>1.7512518895483784</v>
      </c>
      <c r="AP190" s="47">
        <f t="shared" si="94"/>
        <v>1.7857357140683141</v>
      </c>
      <c r="AQ190">
        <v>2020</v>
      </c>
    </row>
    <row r="191" spans="2:43">
      <c r="B191" s="97" t="s">
        <v>70</v>
      </c>
      <c r="C191" s="61">
        <v>18231134</v>
      </c>
      <c r="D191" s="61" t="s">
        <v>176</v>
      </c>
      <c r="E191" s="38" t="s">
        <v>1420</v>
      </c>
      <c r="F191" s="39" t="s">
        <v>1421</v>
      </c>
      <c r="G191" s="39">
        <v>12</v>
      </c>
      <c r="H191" s="39"/>
      <c r="I191" s="40" t="s">
        <v>257</v>
      </c>
      <c r="J191" s="41">
        <v>540</v>
      </c>
      <c r="K191" s="41">
        <v>571</v>
      </c>
      <c r="L191" s="41"/>
      <c r="M191" s="42">
        <v>170</v>
      </c>
      <c r="N191" s="42">
        <v>170</v>
      </c>
      <c r="O191" s="43">
        <v>308340</v>
      </c>
      <c r="P191" s="44">
        <v>91800</v>
      </c>
      <c r="Q191" s="44">
        <v>91800</v>
      </c>
      <c r="R191" s="45">
        <v>0</v>
      </c>
      <c r="S191" s="46">
        <v>0</v>
      </c>
      <c r="T191" s="39">
        <f t="shared" si="76"/>
        <v>12</v>
      </c>
      <c r="U191" s="47">
        <f t="shared" si="77"/>
        <v>0.15454841262545063</v>
      </c>
      <c r="V191" s="48">
        <f t="shared" si="78"/>
        <v>0</v>
      </c>
      <c r="W191" s="49">
        <f t="shared" si="79"/>
        <v>1.287903438545422E-2</v>
      </c>
      <c r="X191" s="44">
        <f t="shared" si="80"/>
        <v>31721.307165769136</v>
      </c>
      <c r="Y191" s="44">
        <f t="shared" si="81"/>
        <v>0</v>
      </c>
      <c r="Z191" s="44">
        <f t="shared" si="82"/>
        <v>163197.52264042164</v>
      </c>
      <c r="AA191" s="50">
        <f t="shared" si="83"/>
        <v>123521.30716576913</v>
      </c>
      <c r="AB191" s="51">
        <f t="shared" si="84"/>
        <v>152563.82410060917</v>
      </c>
      <c r="AC191" s="44">
        <f t="shared" si="85"/>
        <v>115472.84955199507</v>
      </c>
      <c r="AD191" s="44">
        <f t="shared" si="86"/>
        <v>0</v>
      </c>
      <c r="AE191" s="44">
        <f t="shared" si="87"/>
        <v>0</v>
      </c>
      <c r="AF191" s="52">
        <f>HLOOKUP(I191,ElecAvoidedCostsWOCC!$A$5:$Q$50,G191+1,FALSE)</f>
        <v>0.86650348716649883</v>
      </c>
      <c r="AG191" s="44">
        <f t="shared" si="88"/>
        <v>267177.68523291824</v>
      </c>
      <c r="AH191" s="52">
        <f>HLOOKUP(I191,ElecAvoidedCostsWOCC!$A$5:$Q$50,T191+1,FALSE)</f>
        <v>0.86650348716649883</v>
      </c>
      <c r="AI191" s="44">
        <f t="shared" si="89"/>
        <v>0</v>
      </c>
      <c r="AJ191" s="44">
        <f t="shared" si="90"/>
        <v>267177.68523291824</v>
      </c>
      <c r="AK191" s="44">
        <f>HLOOKUP(I191,ElecAvoidedCostsWOCC!$A$5:$Q$50,G191+1,FALSE)*J191*L191</f>
        <v>0</v>
      </c>
      <c r="AL191" s="44">
        <f t="shared" si="91"/>
        <v>267177.68523291824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267177.68523291824</v>
      </c>
      <c r="AN191" s="48">
        <f t="shared" si="92"/>
        <v>293895.4537562101</v>
      </c>
      <c r="AO191" s="47">
        <f t="shared" si="93"/>
        <v>1.7512518895483784</v>
      </c>
      <c r="AP191" s="47">
        <f t="shared" si="94"/>
        <v>2.5451476680141591</v>
      </c>
      <c r="AQ191">
        <v>2020</v>
      </c>
    </row>
    <row r="192" spans="2:43">
      <c r="B192" s="97" t="s">
        <v>70</v>
      </c>
      <c r="C192" s="61">
        <v>18231134</v>
      </c>
      <c r="D192" s="61" t="s">
        <v>176</v>
      </c>
      <c r="E192" s="38" t="s">
        <v>2332</v>
      </c>
      <c r="F192" s="39" t="s">
        <v>2333</v>
      </c>
      <c r="G192" s="39">
        <v>13</v>
      </c>
      <c r="H192" s="39"/>
      <c r="I192" s="40" t="s">
        <v>257</v>
      </c>
      <c r="J192" s="41">
        <v>88</v>
      </c>
      <c r="K192" s="41">
        <v>25.37</v>
      </c>
      <c r="L192" s="41"/>
      <c r="M192" s="42">
        <v>17</v>
      </c>
      <c r="N192" s="42">
        <v>17</v>
      </c>
      <c r="O192" s="43">
        <v>2232.56</v>
      </c>
      <c r="P192" s="44">
        <v>1496</v>
      </c>
      <c r="Q192" s="44">
        <v>1496</v>
      </c>
      <c r="R192" s="45">
        <v>0</v>
      </c>
      <c r="S192" s="46">
        <v>0</v>
      </c>
      <c r="T192" s="39">
        <f t="shared" si="76"/>
        <v>13</v>
      </c>
      <c r="U192" s="47">
        <f t="shared" si="77"/>
        <v>1.2122715868802807E-3</v>
      </c>
      <c r="V192" s="48">
        <f t="shared" si="78"/>
        <v>0</v>
      </c>
      <c r="W192" s="49">
        <f t="shared" si="79"/>
        <v>9.3251660529252366E-5</v>
      </c>
      <c r="X192" s="44">
        <f t="shared" si="80"/>
        <v>229.68061726019832</v>
      </c>
      <c r="Y192" s="44">
        <f t="shared" si="81"/>
        <v>0</v>
      </c>
      <c r="Z192" s="44">
        <f t="shared" si="82"/>
        <v>1181.6444870795217</v>
      </c>
      <c r="AA192" s="50">
        <f t="shared" si="83"/>
        <v>1725.6806172601982</v>
      </c>
      <c r="AB192" s="51">
        <f t="shared" si="84"/>
        <v>1104.65035718381</v>
      </c>
      <c r="AC192" s="44">
        <f t="shared" si="85"/>
        <v>1613.2379333085894</v>
      </c>
      <c r="AD192" s="44">
        <f t="shared" si="86"/>
        <v>0</v>
      </c>
      <c r="AE192" s="44">
        <f t="shared" si="87"/>
        <v>0</v>
      </c>
      <c r="AF192" s="52">
        <f>HLOOKUP(I192,ElecAvoidedCostsWOCC!$A$5:$Q$50,G192+1,FALSE)</f>
        <v>0.93164439687846989</v>
      </c>
      <c r="AG192" s="44">
        <f t="shared" si="88"/>
        <v>2079.9520146949967</v>
      </c>
      <c r="AH192" s="52">
        <f>HLOOKUP(I192,ElecAvoidedCostsWOCC!$A$5:$Q$50,T192+1,FALSE)</f>
        <v>0.93164439687846989</v>
      </c>
      <c r="AI192" s="44">
        <f t="shared" si="89"/>
        <v>0</v>
      </c>
      <c r="AJ192" s="44">
        <f t="shared" si="90"/>
        <v>2079.9520146949967</v>
      </c>
      <c r="AK192" s="44">
        <f>HLOOKUP(I192,ElecAvoidedCostsWOCC!$A$5:$Q$50,G192+1,FALSE)*J192*L192</f>
        <v>0</v>
      </c>
      <c r="AL192" s="44">
        <f t="shared" si="91"/>
        <v>2079.9520146949967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2079.9520146949967</v>
      </c>
      <c r="AN192" s="48">
        <f t="shared" si="92"/>
        <v>2287.9472161644967</v>
      </c>
      <c r="AO192" s="47">
        <f t="shared" si="93"/>
        <v>1.8829053022692319</v>
      </c>
      <c r="AP192" s="47">
        <f t="shared" si="94"/>
        <v>1.4182329642299858</v>
      </c>
      <c r="AQ192">
        <v>2020</v>
      </c>
    </row>
    <row r="193" spans="2:43">
      <c r="B193" s="97" t="s">
        <v>70</v>
      </c>
      <c r="C193" s="61">
        <v>18231134</v>
      </c>
      <c r="D193" s="61" t="s">
        <v>176</v>
      </c>
      <c r="E193" s="38" t="s">
        <v>1429</v>
      </c>
      <c r="F193" s="39" t="s">
        <v>1430</v>
      </c>
      <c r="G193" s="39">
        <v>7</v>
      </c>
      <c r="H193" s="39"/>
      <c r="I193" s="40" t="s">
        <v>257</v>
      </c>
      <c r="J193" s="41">
        <v>304</v>
      </c>
      <c r="K193" s="41">
        <v>37</v>
      </c>
      <c r="L193" s="41"/>
      <c r="M193" s="42">
        <v>17</v>
      </c>
      <c r="N193" s="42">
        <v>17</v>
      </c>
      <c r="O193" s="43">
        <v>11248</v>
      </c>
      <c r="P193" s="44">
        <v>5168</v>
      </c>
      <c r="Q193" s="44">
        <v>5168</v>
      </c>
      <c r="R193" s="45">
        <v>0</v>
      </c>
      <c r="S193" s="46">
        <v>0</v>
      </c>
      <c r="T193" s="39">
        <f t="shared" si="76"/>
        <v>7</v>
      </c>
      <c r="U193" s="47">
        <f t="shared" si="77"/>
        <v>3.2887191132293038E-3</v>
      </c>
      <c r="V193" s="48">
        <f t="shared" si="78"/>
        <v>0</v>
      </c>
      <c r="W193" s="49">
        <f t="shared" si="79"/>
        <v>4.6981701617561481E-4</v>
      </c>
      <c r="X193" s="44">
        <f t="shared" si="80"/>
        <v>1157.1682655528678</v>
      </c>
      <c r="Y193" s="44">
        <f t="shared" si="81"/>
        <v>0</v>
      </c>
      <c r="Z193" s="44">
        <f t="shared" si="82"/>
        <v>5953.3169055570552</v>
      </c>
      <c r="AA193" s="50">
        <f t="shared" si="83"/>
        <v>6325.1682655528675</v>
      </c>
      <c r="AB193" s="51">
        <f t="shared" si="84"/>
        <v>5565.4079700449238</v>
      </c>
      <c r="AC193" s="44">
        <f t="shared" si="85"/>
        <v>5913.0300696951172</v>
      </c>
      <c r="AD193" s="44">
        <f t="shared" si="86"/>
        <v>0</v>
      </c>
      <c r="AE193" s="44">
        <f t="shared" si="87"/>
        <v>0</v>
      </c>
      <c r="AF193" s="52">
        <f>HLOOKUP(I193,ElecAvoidedCostsWOCC!$A$5:$Q$50,G193+1,FALSE)</f>
        <v>0.51471879727314174</v>
      </c>
      <c r="AG193" s="44">
        <f t="shared" si="88"/>
        <v>5789.5570317282991</v>
      </c>
      <c r="AH193" s="52">
        <f>HLOOKUP(I193,ElecAvoidedCostsWOCC!$A$5:$Q$50,T193+1,FALSE)</f>
        <v>0.51471879727314174</v>
      </c>
      <c r="AI193" s="44">
        <f t="shared" si="89"/>
        <v>0</v>
      </c>
      <c r="AJ193" s="44">
        <f t="shared" si="90"/>
        <v>5789.5570317282991</v>
      </c>
      <c r="AK193" s="44">
        <f>HLOOKUP(I193,ElecAvoidedCostsWOCC!$A$5:$Q$50,G193+1,FALSE)*J193*L193</f>
        <v>0</v>
      </c>
      <c r="AL193" s="44">
        <f t="shared" si="91"/>
        <v>5789.5570317282991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5789.5570317282982</v>
      </c>
      <c r="AN193" s="48">
        <f t="shared" si="92"/>
        <v>6368.5127349011282</v>
      </c>
      <c r="AO193" s="47">
        <f t="shared" si="93"/>
        <v>1.0402754053053842</v>
      </c>
      <c r="AP193" s="47">
        <f t="shared" si="94"/>
        <v>1.0770303312916345</v>
      </c>
      <c r="AQ193">
        <v>2020</v>
      </c>
    </row>
    <row r="194" spans="2:43">
      <c r="B194" s="97" t="s">
        <v>70</v>
      </c>
      <c r="C194" s="61">
        <v>18231134</v>
      </c>
      <c r="D194" s="61" t="s">
        <v>176</v>
      </c>
      <c r="E194" s="38" t="s">
        <v>1431</v>
      </c>
      <c r="F194" s="39" t="s">
        <v>1432</v>
      </c>
      <c r="G194" s="39">
        <v>7</v>
      </c>
      <c r="H194" s="39"/>
      <c r="I194" s="40" t="s">
        <v>257</v>
      </c>
      <c r="J194" s="41">
        <v>168</v>
      </c>
      <c r="K194" s="41">
        <v>60.64</v>
      </c>
      <c r="L194" s="41"/>
      <c r="M194" s="42">
        <v>17</v>
      </c>
      <c r="N194" s="42">
        <v>17</v>
      </c>
      <c r="O194" s="43">
        <v>10187.52</v>
      </c>
      <c r="P194" s="44">
        <v>2856</v>
      </c>
      <c r="Q194" s="44">
        <v>2856</v>
      </c>
      <c r="R194" s="45">
        <v>0</v>
      </c>
      <c r="S194" s="46">
        <v>0</v>
      </c>
      <c r="T194" s="39">
        <f t="shared" si="76"/>
        <v>7</v>
      </c>
      <c r="U194" s="47">
        <f t="shared" si="77"/>
        <v>2.9786532486136023E-3</v>
      </c>
      <c r="V194" s="48">
        <f t="shared" si="78"/>
        <v>0</v>
      </c>
      <c r="W194" s="49">
        <f t="shared" si="79"/>
        <v>4.2552189265908602E-4</v>
      </c>
      <c r="X194" s="44">
        <f t="shared" si="80"/>
        <v>1048.0685320666032</v>
      </c>
      <c r="Y194" s="44">
        <f t="shared" si="81"/>
        <v>0</v>
      </c>
      <c r="Z194" s="44">
        <f t="shared" si="82"/>
        <v>5392.0283643048206</v>
      </c>
      <c r="AA194" s="50">
        <f t="shared" si="83"/>
        <v>3904.0685320666034</v>
      </c>
      <c r="AB194" s="51">
        <f t="shared" si="84"/>
        <v>5040.6921233101057</v>
      </c>
      <c r="AC194" s="44">
        <f t="shared" si="85"/>
        <v>3649.6854557975162</v>
      </c>
      <c r="AD194" s="44">
        <f t="shared" si="86"/>
        <v>0</v>
      </c>
      <c r="AE194" s="44">
        <f t="shared" si="87"/>
        <v>0</v>
      </c>
      <c r="AF194" s="52">
        <f>HLOOKUP(I194,ElecAvoidedCostsWOCC!$A$5:$Q$50,G194+1,FALSE)</f>
        <v>0.51471879727314174</v>
      </c>
      <c r="AG194" s="44">
        <f t="shared" si="88"/>
        <v>5243.7080415960763</v>
      </c>
      <c r="AH194" s="52">
        <f>HLOOKUP(I194,ElecAvoidedCostsWOCC!$A$5:$Q$50,T194+1,FALSE)</f>
        <v>0.51471879727314174</v>
      </c>
      <c r="AI194" s="44">
        <f t="shared" si="89"/>
        <v>0</v>
      </c>
      <c r="AJ194" s="44">
        <f t="shared" si="90"/>
        <v>5243.7080415960763</v>
      </c>
      <c r="AK194" s="44">
        <f>HLOOKUP(I194,ElecAvoidedCostsWOCC!$A$5:$Q$50,G194+1,FALSE)*J194*L194</f>
        <v>0</v>
      </c>
      <c r="AL194" s="44">
        <f t="shared" si="91"/>
        <v>5243.7080415960763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5243.7080415960772</v>
      </c>
      <c r="AN194" s="48">
        <f t="shared" si="92"/>
        <v>5768.0788457556855</v>
      </c>
      <c r="AO194" s="47">
        <f t="shared" si="93"/>
        <v>1.040275405305384</v>
      </c>
      <c r="AP194" s="47">
        <f t="shared" si="94"/>
        <v>1.5804317702483393</v>
      </c>
      <c r="AQ194">
        <v>2020</v>
      </c>
    </row>
    <row r="195" spans="2:43">
      <c r="B195" s="97" t="s">
        <v>70</v>
      </c>
      <c r="C195" s="61">
        <v>18231134</v>
      </c>
      <c r="D195" s="61" t="s">
        <v>176</v>
      </c>
      <c r="E195" s="38" t="s">
        <v>1433</v>
      </c>
      <c r="F195" s="39" t="s">
        <v>1434</v>
      </c>
      <c r="G195" s="39">
        <v>7</v>
      </c>
      <c r="H195" s="39"/>
      <c r="I195" s="40" t="s">
        <v>257</v>
      </c>
      <c r="J195" s="41">
        <v>24</v>
      </c>
      <c r="K195" s="41">
        <v>45.15</v>
      </c>
      <c r="L195" s="41"/>
      <c r="M195" s="42">
        <v>17</v>
      </c>
      <c r="N195" s="42">
        <v>17</v>
      </c>
      <c r="O195" s="43">
        <v>1083.5999999999999</v>
      </c>
      <c r="P195" s="44">
        <v>408</v>
      </c>
      <c r="Q195" s="44">
        <v>408</v>
      </c>
      <c r="R195" s="45">
        <v>0</v>
      </c>
      <c r="S195" s="46">
        <v>0</v>
      </c>
      <c r="T195" s="39">
        <f t="shared" si="76"/>
        <v>7</v>
      </c>
      <c r="U195" s="47">
        <f t="shared" si="77"/>
        <v>3.1682574956394679E-4</v>
      </c>
      <c r="V195" s="48">
        <f t="shared" si="78"/>
        <v>0</v>
      </c>
      <c r="W195" s="49">
        <f t="shared" si="79"/>
        <v>4.526082136627811E-5</v>
      </c>
      <c r="X195" s="44">
        <f t="shared" si="80"/>
        <v>111.47826569639825</v>
      </c>
      <c r="Y195" s="44">
        <f t="shared" si="81"/>
        <v>0</v>
      </c>
      <c r="Z195" s="44">
        <f t="shared" si="82"/>
        <v>573.52544442226406</v>
      </c>
      <c r="AA195" s="50">
        <f t="shared" si="83"/>
        <v>519.47826569639824</v>
      </c>
      <c r="AB195" s="51">
        <f t="shared" si="84"/>
        <v>536.15541219245017</v>
      </c>
      <c r="AC195" s="44">
        <f t="shared" si="85"/>
        <v>485.62986416415646</v>
      </c>
      <c r="AD195" s="44">
        <f t="shared" si="86"/>
        <v>0</v>
      </c>
      <c r="AE195" s="44">
        <f t="shared" si="87"/>
        <v>0</v>
      </c>
      <c r="AF195" s="52">
        <f>HLOOKUP(I195,ElecAvoidedCostsWOCC!$A$5:$Q$50,G195+1,FALSE)</f>
        <v>0.51471879727314174</v>
      </c>
      <c r="AG195" s="44">
        <f t="shared" si="88"/>
        <v>557.74928872517637</v>
      </c>
      <c r="AH195" s="52">
        <f>HLOOKUP(I195,ElecAvoidedCostsWOCC!$A$5:$Q$50,T195+1,FALSE)</f>
        <v>0.51471879727314174</v>
      </c>
      <c r="AI195" s="44">
        <f t="shared" si="89"/>
        <v>0</v>
      </c>
      <c r="AJ195" s="44">
        <f t="shared" si="90"/>
        <v>557.74928872517637</v>
      </c>
      <c r="AK195" s="44">
        <f>HLOOKUP(I195,ElecAvoidedCostsWOCC!$A$5:$Q$50,G195+1,FALSE)*J195*L195</f>
        <v>0</v>
      </c>
      <c r="AL195" s="44">
        <f t="shared" si="91"/>
        <v>557.74928872517637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557.74928872517637</v>
      </c>
      <c r="AN195" s="48">
        <f t="shared" si="92"/>
        <v>613.52421759769402</v>
      </c>
      <c r="AO195" s="47">
        <f t="shared" si="93"/>
        <v>1.040275405305384</v>
      </c>
      <c r="AP195" s="47">
        <f t="shared" si="94"/>
        <v>1.2633576780819757</v>
      </c>
      <c r="AQ195">
        <v>2020</v>
      </c>
    </row>
    <row r="196" spans="2:43">
      <c r="B196" s="97" t="s">
        <v>70</v>
      </c>
      <c r="C196" s="61">
        <v>18231134</v>
      </c>
      <c r="D196" s="61" t="s">
        <v>176</v>
      </c>
      <c r="E196" s="38" t="s">
        <v>1435</v>
      </c>
      <c r="F196" s="39" t="s">
        <v>1436</v>
      </c>
      <c r="G196" s="39">
        <v>7</v>
      </c>
      <c r="H196" s="39"/>
      <c r="I196" s="40" t="s">
        <v>257</v>
      </c>
      <c r="J196" s="41">
        <v>244</v>
      </c>
      <c r="K196" s="41">
        <v>74</v>
      </c>
      <c r="L196" s="41"/>
      <c r="M196" s="42">
        <v>17</v>
      </c>
      <c r="N196" s="42">
        <v>17</v>
      </c>
      <c r="O196" s="43">
        <v>18056</v>
      </c>
      <c r="P196" s="44">
        <v>4148</v>
      </c>
      <c r="Q196" s="44">
        <v>4148</v>
      </c>
      <c r="R196" s="45">
        <v>0</v>
      </c>
      <c r="S196" s="46">
        <v>0</v>
      </c>
      <c r="T196" s="39">
        <f t="shared" si="76"/>
        <v>7</v>
      </c>
      <c r="U196" s="47">
        <f t="shared" si="77"/>
        <v>5.2792596291312503E-3</v>
      </c>
      <c r="V196" s="48">
        <f t="shared" si="78"/>
        <v>0</v>
      </c>
      <c r="W196" s="49">
        <f t="shared" si="79"/>
        <v>7.541799470187501E-4</v>
      </c>
      <c r="X196" s="44">
        <f t="shared" si="80"/>
        <v>1857.5595841769721</v>
      </c>
      <c r="Y196" s="44">
        <f t="shared" si="81"/>
        <v>0</v>
      </c>
      <c r="Z196" s="44">
        <f t="shared" si="82"/>
        <v>9556.6402957626433</v>
      </c>
      <c r="AA196" s="50">
        <f t="shared" si="83"/>
        <v>6005.5595841769718</v>
      </c>
      <c r="AB196" s="51">
        <f t="shared" si="84"/>
        <v>8933.9443729668528</v>
      </c>
      <c r="AC196" s="44">
        <f t="shared" si="85"/>
        <v>5614.2465964073772</v>
      </c>
      <c r="AD196" s="44">
        <f t="shared" si="86"/>
        <v>0</v>
      </c>
      <c r="AE196" s="44">
        <f t="shared" si="87"/>
        <v>0</v>
      </c>
      <c r="AF196" s="52">
        <f>HLOOKUP(I196,ElecAvoidedCostsWOCC!$A$5:$Q$50,G196+1,FALSE)</f>
        <v>0.51471879727314174</v>
      </c>
      <c r="AG196" s="44">
        <f t="shared" si="88"/>
        <v>9293.7626035638477</v>
      </c>
      <c r="AH196" s="52">
        <f>HLOOKUP(I196,ElecAvoidedCostsWOCC!$A$5:$Q$50,T196+1,FALSE)</f>
        <v>0.51471879727314174</v>
      </c>
      <c r="AI196" s="44">
        <f t="shared" si="89"/>
        <v>0</v>
      </c>
      <c r="AJ196" s="44">
        <f t="shared" si="90"/>
        <v>9293.7626035638477</v>
      </c>
      <c r="AK196" s="44">
        <f>HLOOKUP(I196,ElecAvoidedCostsWOCC!$A$5:$Q$50,G196+1,FALSE)*J196*L196</f>
        <v>0</v>
      </c>
      <c r="AL196" s="44">
        <f t="shared" si="91"/>
        <v>9293.7626035638477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9293.7626035638477</v>
      </c>
      <c r="AN196" s="48">
        <f t="shared" si="92"/>
        <v>10223.138863920234</v>
      </c>
      <c r="AO196" s="47">
        <f t="shared" si="93"/>
        <v>1.040275405305384</v>
      </c>
      <c r="AP196" s="47">
        <f t="shared" si="94"/>
        <v>1.8209280067003366</v>
      </c>
      <c r="AQ196">
        <v>2020</v>
      </c>
    </row>
    <row r="197" spans="2:43">
      <c r="B197" s="97" t="s">
        <v>70</v>
      </c>
      <c r="C197" s="61">
        <v>18231134</v>
      </c>
      <c r="D197" s="61" t="s">
        <v>176</v>
      </c>
      <c r="E197" s="38" t="s">
        <v>1437</v>
      </c>
      <c r="F197" s="39" t="s">
        <v>1438</v>
      </c>
      <c r="G197" s="39">
        <v>1</v>
      </c>
      <c r="H197" s="39"/>
      <c r="I197" s="40" t="s">
        <v>257</v>
      </c>
      <c r="J197" s="41">
        <v>414</v>
      </c>
      <c r="K197" s="41">
        <v>0</v>
      </c>
      <c r="L197" s="41"/>
      <c r="M197" s="42">
        <v>240</v>
      </c>
      <c r="N197" s="42">
        <v>240</v>
      </c>
      <c r="O197" s="43">
        <v>0</v>
      </c>
      <c r="P197" s="44">
        <v>99360</v>
      </c>
      <c r="Q197" s="44">
        <v>99360</v>
      </c>
      <c r="R197" s="45">
        <v>0</v>
      </c>
      <c r="S197" s="46">
        <v>0</v>
      </c>
      <c r="T197" s="39">
        <f t="shared" si="76"/>
        <v>1</v>
      </c>
      <c r="U197" s="47">
        <f t="shared" si="77"/>
        <v>0</v>
      </c>
      <c r="V197" s="48">
        <f t="shared" si="78"/>
        <v>0</v>
      </c>
      <c r="W197" s="49">
        <f t="shared" si="79"/>
        <v>0</v>
      </c>
      <c r="X197" s="44">
        <f t="shared" si="80"/>
        <v>0</v>
      </c>
      <c r="Y197" s="44">
        <f t="shared" si="81"/>
        <v>0</v>
      </c>
      <c r="Z197" s="44">
        <f t="shared" si="82"/>
        <v>0</v>
      </c>
      <c r="AA197" s="50">
        <f t="shared" si="83"/>
        <v>99360</v>
      </c>
      <c r="AB197" s="51">
        <f t="shared" si="84"/>
        <v>0</v>
      </c>
      <c r="AC197" s="44">
        <f t="shared" si="85"/>
        <v>92885.85584743385</v>
      </c>
      <c r="AD197" s="44">
        <f t="shared" si="86"/>
        <v>0</v>
      </c>
      <c r="AE197" s="44">
        <f t="shared" si="87"/>
        <v>0</v>
      </c>
      <c r="AF197" s="52">
        <f>HLOOKUP(I197,ElecAvoidedCostsWOCC!$A$5:$Q$50,G197+1,FALSE)</f>
        <v>8.1625385732676276E-2</v>
      </c>
      <c r="AG197" s="44">
        <f t="shared" si="88"/>
        <v>0</v>
      </c>
      <c r="AH197" s="52">
        <f>HLOOKUP(I197,ElecAvoidedCostsWOCC!$A$5:$Q$50,T197+1,FALSE)</f>
        <v>8.1625385732676276E-2</v>
      </c>
      <c r="AI197" s="44">
        <f t="shared" si="89"/>
        <v>0</v>
      </c>
      <c r="AJ197" s="44">
        <f t="shared" si="90"/>
        <v>0</v>
      </c>
      <c r="AK197" s="44">
        <f>HLOOKUP(I197,ElecAvoidedCostsWOCC!$A$5:$Q$50,G197+1,FALSE)*J197*L197</f>
        <v>0</v>
      </c>
      <c r="AL197" s="44">
        <f t="shared" si="91"/>
        <v>0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92"/>
        <v>0</v>
      </c>
      <c r="AO197" s="47">
        <f t="shared" si="93"/>
        <v>0</v>
      </c>
      <c r="AP197" s="47">
        <f t="shared" si="94"/>
        <v>0</v>
      </c>
      <c r="AQ197">
        <v>2020</v>
      </c>
    </row>
    <row r="198" spans="2:43">
      <c r="B198" s="9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76"/>
        <v>0</v>
      </c>
      <c r="U198" s="47">
        <f t="shared" si="77"/>
        <v>0</v>
      </c>
      <c r="V198" s="48">
        <f t="shared" si="78"/>
        <v>0</v>
      </c>
      <c r="W198" s="49">
        <f t="shared" si="79"/>
        <v>0</v>
      </c>
      <c r="X198" s="44">
        <f t="shared" si="80"/>
        <v>0</v>
      </c>
      <c r="Y198" s="44">
        <f t="shared" si="81"/>
        <v>0</v>
      </c>
      <c r="Z198" s="44">
        <f t="shared" si="82"/>
        <v>0</v>
      </c>
      <c r="AA198" s="50">
        <f t="shared" si="83"/>
        <v>0</v>
      </c>
      <c r="AB198" s="51">
        <f t="shared" si="84"/>
        <v>0</v>
      </c>
      <c r="AC198" s="44">
        <f t="shared" si="85"/>
        <v>0</v>
      </c>
      <c r="AD198" s="44">
        <f t="shared" si="86"/>
        <v>0</v>
      </c>
      <c r="AE198" s="44">
        <f t="shared" si="87"/>
        <v>0</v>
      </c>
      <c r="AF198" s="52" t="e">
        <f>HLOOKUP(I198,ElecAvoidedCostsWOCC!$A$5:$Q$50,G198+1,FALSE)</f>
        <v>#N/A</v>
      </c>
      <c r="AG198" s="44" t="e">
        <f t="shared" si="88"/>
        <v>#N/A</v>
      </c>
      <c r="AH198" s="52" t="e">
        <f>HLOOKUP(I198,ElecAvoidedCostsWOCC!$A$5:$Q$50,T198+1,FALSE)</f>
        <v>#N/A</v>
      </c>
      <c r="AI198" s="44" t="e">
        <f t="shared" si="89"/>
        <v>#N/A</v>
      </c>
      <c r="AJ198" s="44" t="e">
        <f t="shared" si="90"/>
        <v>#N/A</v>
      </c>
      <c r="AK198" s="44" t="e">
        <f>HLOOKUP(I198,ElecAvoidedCostsWOCC!$A$5:$Q$50,G198+1,FALSE)*J198*L198</f>
        <v>#N/A</v>
      </c>
      <c r="AL198" s="44" t="e">
        <f t="shared" si="91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92"/>
        <v>0</v>
      </c>
      <c r="AO198" s="47">
        <f t="shared" si="93"/>
        <v>0</v>
      </c>
      <c r="AP198" s="47" t="e">
        <f t="shared" si="94"/>
        <v>#DIV/0!</v>
      </c>
    </row>
    <row r="199" spans="2:43">
      <c r="B199" s="3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76"/>
        <v>0</v>
      </c>
      <c r="U199" s="47">
        <f t="shared" si="77"/>
        <v>0</v>
      </c>
      <c r="V199" s="48">
        <f t="shared" si="78"/>
        <v>0</v>
      </c>
      <c r="W199" s="49">
        <f t="shared" si="79"/>
        <v>0</v>
      </c>
      <c r="X199" s="44">
        <f t="shared" si="80"/>
        <v>0</v>
      </c>
      <c r="Y199" s="44">
        <f t="shared" si="81"/>
        <v>0</v>
      </c>
      <c r="Z199" s="44">
        <f t="shared" si="82"/>
        <v>0</v>
      </c>
      <c r="AA199" s="50">
        <f t="shared" si="83"/>
        <v>0</v>
      </c>
      <c r="AB199" s="51">
        <f t="shared" si="84"/>
        <v>0</v>
      </c>
      <c r="AC199" s="44">
        <f t="shared" si="85"/>
        <v>0</v>
      </c>
      <c r="AD199" s="44">
        <f t="shared" si="86"/>
        <v>0</v>
      </c>
      <c r="AE199" s="44">
        <f t="shared" si="87"/>
        <v>0</v>
      </c>
      <c r="AF199" s="52" t="e">
        <f>HLOOKUP(I199,ElecAvoidedCostsWOCC!$A$5:$Q$50,G199+1,FALSE)</f>
        <v>#N/A</v>
      </c>
      <c r="AG199" s="44" t="e">
        <f t="shared" si="88"/>
        <v>#N/A</v>
      </c>
      <c r="AH199" s="52" t="e">
        <f>HLOOKUP(I199,ElecAvoidedCostsWOCC!$A$5:$Q$50,T199+1,FALSE)</f>
        <v>#N/A</v>
      </c>
      <c r="AI199" s="44" t="e">
        <f t="shared" si="89"/>
        <v>#N/A</v>
      </c>
      <c r="AJ199" s="44" t="e">
        <f t="shared" si="90"/>
        <v>#N/A</v>
      </c>
      <c r="AK199" s="44" t="e">
        <f>HLOOKUP(I199,ElecAvoidedCostsWOCC!$A$5:$Q$50,G199+1,FALSE)*J199*L199</f>
        <v>#N/A</v>
      </c>
      <c r="AL199" s="44" t="e">
        <f t="shared" si="91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92"/>
        <v>0</v>
      </c>
      <c r="AO199" s="47">
        <f t="shared" si="93"/>
        <v>0</v>
      </c>
      <c r="AP199" s="47" t="e">
        <f t="shared" si="94"/>
        <v>#DIV/0!</v>
      </c>
    </row>
    <row r="200" spans="2:43">
      <c r="B200" s="3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76"/>
        <v>0</v>
      </c>
      <c r="U200" s="47">
        <f t="shared" si="77"/>
        <v>0</v>
      </c>
      <c r="V200" s="48">
        <f t="shared" si="78"/>
        <v>0</v>
      </c>
      <c r="W200" s="49">
        <f t="shared" si="79"/>
        <v>0</v>
      </c>
      <c r="X200" s="44">
        <f t="shared" si="80"/>
        <v>0</v>
      </c>
      <c r="Y200" s="44">
        <f t="shared" si="81"/>
        <v>0</v>
      </c>
      <c r="Z200" s="44">
        <f t="shared" si="82"/>
        <v>0</v>
      </c>
      <c r="AA200" s="50">
        <f t="shared" si="83"/>
        <v>0</v>
      </c>
      <c r="AB200" s="51">
        <f t="shared" si="84"/>
        <v>0</v>
      </c>
      <c r="AC200" s="44">
        <f t="shared" si="85"/>
        <v>0</v>
      </c>
      <c r="AD200" s="44">
        <f t="shared" si="86"/>
        <v>0</v>
      </c>
      <c r="AE200" s="44">
        <f t="shared" si="87"/>
        <v>0</v>
      </c>
      <c r="AF200" s="52" t="e">
        <f>HLOOKUP(I200,ElecAvoidedCostsWOCC!$A$5:$Q$50,G200+1,FALSE)</f>
        <v>#N/A</v>
      </c>
      <c r="AG200" s="44" t="e">
        <f t="shared" si="88"/>
        <v>#N/A</v>
      </c>
      <c r="AH200" s="52" t="e">
        <f>HLOOKUP(I200,ElecAvoidedCostsWOCC!$A$5:$Q$50,T200+1,FALSE)</f>
        <v>#N/A</v>
      </c>
      <c r="AI200" s="44" t="e">
        <f t="shared" si="89"/>
        <v>#N/A</v>
      </c>
      <c r="AJ200" s="44" t="e">
        <f t="shared" si="90"/>
        <v>#N/A</v>
      </c>
      <c r="AK200" s="44" t="e">
        <f>HLOOKUP(I200,ElecAvoidedCostsWOCC!$A$5:$Q$50,G200+1,FALSE)*J200*L200</f>
        <v>#N/A</v>
      </c>
      <c r="AL200" s="44" t="e">
        <f t="shared" si="91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92"/>
        <v>0</v>
      </c>
      <c r="AO200" s="47">
        <f t="shared" si="93"/>
        <v>0</v>
      </c>
      <c r="AP200" s="47" t="e">
        <f t="shared" si="94"/>
        <v>#DIV/0!</v>
      </c>
    </row>
    <row r="201" spans="2:43">
      <c r="B201" s="3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76"/>
        <v>0</v>
      </c>
      <c r="U201" s="47">
        <f t="shared" si="77"/>
        <v>0</v>
      </c>
      <c r="V201" s="48">
        <f t="shared" si="78"/>
        <v>0</v>
      </c>
      <c r="W201" s="49">
        <f t="shared" si="79"/>
        <v>0</v>
      </c>
      <c r="X201" s="44">
        <f t="shared" si="80"/>
        <v>0</v>
      </c>
      <c r="Y201" s="44">
        <f t="shared" si="81"/>
        <v>0</v>
      </c>
      <c r="Z201" s="44">
        <f t="shared" si="82"/>
        <v>0</v>
      </c>
      <c r="AA201" s="50">
        <f t="shared" si="83"/>
        <v>0</v>
      </c>
      <c r="AB201" s="51">
        <f t="shared" si="84"/>
        <v>0</v>
      </c>
      <c r="AC201" s="44">
        <f t="shared" si="85"/>
        <v>0</v>
      </c>
      <c r="AD201" s="44">
        <f t="shared" si="86"/>
        <v>0</v>
      </c>
      <c r="AE201" s="44">
        <f t="shared" si="87"/>
        <v>0</v>
      </c>
      <c r="AF201" s="52" t="e">
        <f>HLOOKUP(I201,ElecAvoidedCostsWOCC!$A$5:$Q$50,G201+1,FALSE)</f>
        <v>#N/A</v>
      </c>
      <c r="AG201" s="44" t="e">
        <f t="shared" si="88"/>
        <v>#N/A</v>
      </c>
      <c r="AH201" s="52" t="e">
        <f>HLOOKUP(I201,ElecAvoidedCostsWOCC!$A$5:$Q$50,T201+1,FALSE)</f>
        <v>#N/A</v>
      </c>
      <c r="AI201" s="44" t="e">
        <f t="shared" si="89"/>
        <v>#N/A</v>
      </c>
      <c r="AJ201" s="44" t="e">
        <f t="shared" si="90"/>
        <v>#N/A</v>
      </c>
      <c r="AK201" s="44" t="e">
        <f>HLOOKUP(I201,ElecAvoidedCostsWOCC!$A$5:$Q$50,G201+1,FALSE)*J201*L201</f>
        <v>#N/A</v>
      </c>
      <c r="AL201" s="44" t="e">
        <f t="shared" si="91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92"/>
        <v>0</v>
      </c>
      <c r="AO201" s="47">
        <f t="shared" si="93"/>
        <v>0</v>
      </c>
      <c r="AP201" s="47" t="e">
        <f t="shared" si="94"/>
        <v>#DIV/0!</v>
      </c>
    </row>
    <row r="202" spans="2:43">
      <c r="B202" s="3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76"/>
        <v>0</v>
      </c>
      <c r="U202" s="47">
        <f t="shared" si="77"/>
        <v>0</v>
      </c>
      <c r="V202" s="48">
        <f t="shared" si="78"/>
        <v>0</v>
      </c>
      <c r="W202" s="49">
        <f t="shared" si="79"/>
        <v>0</v>
      </c>
      <c r="X202" s="44">
        <f t="shared" si="80"/>
        <v>0</v>
      </c>
      <c r="Y202" s="44">
        <f t="shared" si="81"/>
        <v>0</v>
      </c>
      <c r="Z202" s="44">
        <f t="shared" si="82"/>
        <v>0</v>
      </c>
      <c r="AA202" s="50">
        <f t="shared" si="83"/>
        <v>0</v>
      </c>
      <c r="AB202" s="51">
        <f t="shared" si="84"/>
        <v>0</v>
      </c>
      <c r="AC202" s="44">
        <f t="shared" si="85"/>
        <v>0</v>
      </c>
      <c r="AD202" s="44">
        <f t="shared" si="86"/>
        <v>0</v>
      </c>
      <c r="AE202" s="44">
        <f t="shared" si="87"/>
        <v>0</v>
      </c>
      <c r="AF202" s="52" t="e">
        <f>HLOOKUP(I202,ElecAvoidedCostsWOCC!$A$5:$Q$50,G202+1,FALSE)</f>
        <v>#N/A</v>
      </c>
      <c r="AG202" s="44" t="e">
        <f t="shared" si="88"/>
        <v>#N/A</v>
      </c>
      <c r="AH202" s="52" t="e">
        <f>HLOOKUP(I202,ElecAvoidedCostsWOCC!$A$5:$Q$50,T202+1,FALSE)</f>
        <v>#N/A</v>
      </c>
      <c r="AI202" s="44" t="e">
        <f t="shared" si="89"/>
        <v>#N/A</v>
      </c>
      <c r="AJ202" s="44" t="e">
        <f t="shared" si="90"/>
        <v>#N/A</v>
      </c>
      <c r="AK202" s="44" t="e">
        <f>HLOOKUP(I202,ElecAvoidedCostsWOCC!$A$5:$Q$50,G202+1,FALSE)*J202*L202</f>
        <v>#N/A</v>
      </c>
      <c r="AL202" s="44" t="e">
        <f t="shared" si="91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92"/>
        <v>0</v>
      </c>
      <c r="AO202" s="47">
        <f t="shared" si="93"/>
        <v>0</v>
      </c>
      <c r="AP202" s="47" t="e">
        <f t="shared" si="94"/>
        <v>#DIV/0!</v>
      </c>
    </row>
    <row r="203" spans="2:43">
      <c r="B203" s="3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76"/>
        <v>0</v>
      </c>
      <c r="U203" s="47">
        <f t="shared" si="77"/>
        <v>0</v>
      </c>
      <c r="V203" s="48">
        <f t="shared" si="78"/>
        <v>0</v>
      </c>
      <c r="W203" s="49">
        <f t="shared" si="79"/>
        <v>0</v>
      </c>
      <c r="X203" s="44">
        <f t="shared" si="80"/>
        <v>0</v>
      </c>
      <c r="Y203" s="44">
        <f t="shared" si="81"/>
        <v>0</v>
      </c>
      <c r="Z203" s="44">
        <f t="shared" si="82"/>
        <v>0</v>
      </c>
      <c r="AA203" s="50">
        <f t="shared" si="83"/>
        <v>0</v>
      </c>
      <c r="AB203" s="51">
        <f t="shared" si="84"/>
        <v>0</v>
      </c>
      <c r="AC203" s="44">
        <f t="shared" si="85"/>
        <v>0</v>
      </c>
      <c r="AD203" s="44">
        <f t="shared" si="86"/>
        <v>0</v>
      </c>
      <c r="AE203" s="44">
        <f t="shared" si="87"/>
        <v>0</v>
      </c>
      <c r="AF203" s="52" t="e">
        <f>HLOOKUP(I203,ElecAvoidedCostsWOCC!$A$5:$Q$50,G203+1,FALSE)</f>
        <v>#N/A</v>
      </c>
      <c r="AG203" s="44" t="e">
        <f t="shared" si="88"/>
        <v>#N/A</v>
      </c>
      <c r="AH203" s="52" t="e">
        <f>HLOOKUP(I203,ElecAvoidedCostsWOCC!$A$5:$Q$50,T203+1,FALSE)</f>
        <v>#N/A</v>
      </c>
      <c r="AI203" s="44" t="e">
        <f t="shared" si="89"/>
        <v>#N/A</v>
      </c>
      <c r="AJ203" s="44" t="e">
        <f t="shared" si="90"/>
        <v>#N/A</v>
      </c>
      <c r="AK203" s="44" t="e">
        <f>HLOOKUP(I203,ElecAvoidedCostsWOCC!$A$5:$Q$50,G203+1,FALSE)*J203*L203</f>
        <v>#N/A</v>
      </c>
      <c r="AL203" s="44" t="e">
        <f t="shared" si="91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92"/>
        <v>0</v>
      </c>
      <c r="AO203" s="47">
        <f t="shared" si="93"/>
        <v>0</v>
      </c>
      <c r="AP203" s="47" t="e">
        <f t="shared" si="94"/>
        <v>#DIV/0!</v>
      </c>
    </row>
    <row r="204" spans="2:43">
      <c r="B204" s="3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76"/>
        <v>0</v>
      </c>
      <c r="U204" s="47">
        <f t="shared" si="77"/>
        <v>0</v>
      </c>
      <c r="V204" s="48">
        <f t="shared" si="78"/>
        <v>0</v>
      </c>
      <c r="W204" s="49">
        <f t="shared" si="79"/>
        <v>0</v>
      </c>
      <c r="X204" s="44">
        <f t="shared" si="80"/>
        <v>0</v>
      </c>
      <c r="Y204" s="44">
        <f t="shared" si="81"/>
        <v>0</v>
      </c>
      <c r="Z204" s="44">
        <f t="shared" si="82"/>
        <v>0</v>
      </c>
      <c r="AA204" s="50">
        <f t="shared" si="83"/>
        <v>0</v>
      </c>
      <c r="AB204" s="51">
        <f t="shared" si="84"/>
        <v>0</v>
      </c>
      <c r="AC204" s="44">
        <f t="shared" si="85"/>
        <v>0</v>
      </c>
      <c r="AD204" s="44">
        <f t="shared" si="86"/>
        <v>0</v>
      </c>
      <c r="AE204" s="44">
        <f t="shared" si="87"/>
        <v>0</v>
      </c>
      <c r="AF204" s="52" t="e">
        <f>HLOOKUP(I204,ElecAvoidedCostsWOCC!$A$5:$Q$50,G204+1,FALSE)</f>
        <v>#N/A</v>
      </c>
      <c r="AG204" s="44" t="e">
        <f t="shared" si="88"/>
        <v>#N/A</v>
      </c>
      <c r="AH204" s="52" t="e">
        <f>HLOOKUP(I204,ElecAvoidedCostsWOCC!$A$5:$Q$50,T204+1,FALSE)</f>
        <v>#N/A</v>
      </c>
      <c r="AI204" s="44" t="e">
        <f t="shared" si="89"/>
        <v>#N/A</v>
      </c>
      <c r="AJ204" s="44" t="e">
        <f t="shared" si="90"/>
        <v>#N/A</v>
      </c>
      <c r="AK204" s="44" t="e">
        <f>HLOOKUP(I204,ElecAvoidedCostsWOCC!$A$5:$Q$50,G204+1,FALSE)*J204*L204</f>
        <v>#N/A</v>
      </c>
      <c r="AL204" s="44" t="e">
        <f t="shared" si="91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92"/>
        <v>0</v>
      </c>
      <c r="AO204" s="47">
        <f t="shared" si="93"/>
        <v>0</v>
      </c>
      <c r="AP204" s="47" t="e">
        <f t="shared" si="94"/>
        <v>#DIV/0!</v>
      </c>
    </row>
    <row r="205" spans="2:43">
      <c r="B205" s="3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76"/>
        <v>0</v>
      </c>
      <c r="U205" s="47">
        <f t="shared" si="77"/>
        <v>0</v>
      </c>
      <c r="V205" s="48">
        <f t="shared" si="78"/>
        <v>0</v>
      </c>
      <c r="W205" s="49">
        <f t="shared" si="79"/>
        <v>0</v>
      </c>
      <c r="X205" s="44">
        <f t="shared" si="80"/>
        <v>0</v>
      </c>
      <c r="Y205" s="44">
        <f t="shared" si="81"/>
        <v>0</v>
      </c>
      <c r="Z205" s="44">
        <f t="shared" si="82"/>
        <v>0</v>
      </c>
      <c r="AA205" s="50">
        <f t="shared" si="83"/>
        <v>0</v>
      </c>
      <c r="AB205" s="51">
        <f t="shared" si="84"/>
        <v>0</v>
      </c>
      <c r="AC205" s="44">
        <f t="shared" si="85"/>
        <v>0</v>
      </c>
      <c r="AD205" s="44">
        <f t="shared" si="86"/>
        <v>0</v>
      </c>
      <c r="AE205" s="44">
        <f t="shared" si="87"/>
        <v>0</v>
      </c>
      <c r="AF205" s="52" t="e">
        <f>HLOOKUP(I205,ElecAvoidedCostsWOCC!$A$5:$Q$50,G205+1,FALSE)</f>
        <v>#N/A</v>
      </c>
      <c r="AG205" s="44" t="e">
        <f t="shared" si="88"/>
        <v>#N/A</v>
      </c>
      <c r="AH205" s="52" t="e">
        <f>HLOOKUP(I205,ElecAvoidedCostsWOCC!$A$5:$Q$50,T205+1,FALSE)</f>
        <v>#N/A</v>
      </c>
      <c r="AI205" s="44" t="e">
        <f t="shared" si="89"/>
        <v>#N/A</v>
      </c>
      <c r="AJ205" s="44" t="e">
        <f t="shared" si="90"/>
        <v>#N/A</v>
      </c>
      <c r="AK205" s="44" t="e">
        <f>HLOOKUP(I205,ElecAvoidedCostsWOCC!$A$5:$Q$50,G205+1,FALSE)*J205*L205</f>
        <v>#N/A</v>
      </c>
      <c r="AL205" s="44" t="e">
        <f t="shared" si="91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92"/>
        <v>0</v>
      </c>
      <c r="AO205" s="47">
        <f t="shared" si="93"/>
        <v>0</v>
      </c>
      <c r="AP205" s="47" t="e">
        <f t="shared" si="94"/>
        <v>#DIV/0!</v>
      </c>
    </row>
    <row r="206" spans="2:43">
      <c r="B206" s="3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76"/>
        <v>0</v>
      </c>
      <c r="U206" s="47">
        <f t="shared" si="77"/>
        <v>0</v>
      </c>
      <c r="V206" s="48">
        <f t="shared" si="78"/>
        <v>0</v>
      </c>
      <c r="W206" s="49">
        <f t="shared" si="79"/>
        <v>0</v>
      </c>
      <c r="X206" s="44">
        <f t="shared" si="80"/>
        <v>0</v>
      </c>
      <c r="Y206" s="44">
        <f t="shared" si="81"/>
        <v>0</v>
      </c>
      <c r="Z206" s="44">
        <f t="shared" si="82"/>
        <v>0</v>
      </c>
      <c r="AA206" s="50">
        <f t="shared" si="83"/>
        <v>0</v>
      </c>
      <c r="AB206" s="51">
        <f t="shared" si="84"/>
        <v>0</v>
      </c>
      <c r="AC206" s="44">
        <f t="shared" si="85"/>
        <v>0</v>
      </c>
      <c r="AD206" s="44">
        <f t="shared" si="86"/>
        <v>0</v>
      </c>
      <c r="AE206" s="44">
        <f t="shared" si="87"/>
        <v>0</v>
      </c>
      <c r="AF206" s="52" t="e">
        <f>HLOOKUP(I206,ElecAvoidedCostsWOCC!$A$5:$Q$50,G206+1,FALSE)</f>
        <v>#N/A</v>
      </c>
      <c r="AG206" s="44" t="e">
        <f t="shared" si="88"/>
        <v>#N/A</v>
      </c>
      <c r="AH206" s="52" t="e">
        <f>HLOOKUP(I206,ElecAvoidedCostsWOCC!$A$5:$Q$50,T206+1,FALSE)</f>
        <v>#N/A</v>
      </c>
      <c r="AI206" s="44" t="e">
        <f t="shared" si="89"/>
        <v>#N/A</v>
      </c>
      <c r="AJ206" s="44" t="e">
        <f t="shared" si="90"/>
        <v>#N/A</v>
      </c>
      <c r="AK206" s="44" t="e">
        <f>HLOOKUP(I206,ElecAvoidedCostsWOCC!$A$5:$Q$50,G206+1,FALSE)*J206*L206</f>
        <v>#N/A</v>
      </c>
      <c r="AL206" s="44" t="e">
        <f t="shared" si="91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92"/>
        <v>0</v>
      </c>
      <c r="AO206" s="47">
        <f t="shared" si="93"/>
        <v>0</v>
      </c>
      <c r="AP206" s="47" t="e">
        <f t="shared" si="94"/>
        <v>#DIV/0!</v>
      </c>
    </row>
    <row r="207" spans="2:43">
      <c r="B207" s="3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76"/>
        <v>0</v>
      </c>
      <c r="U207" s="47">
        <f t="shared" si="77"/>
        <v>0</v>
      </c>
      <c r="V207" s="48">
        <f t="shared" si="78"/>
        <v>0</v>
      </c>
      <c r="W207" s="49">
        <f t="shared" si="79"/>
        <v>0</v>
      </c>
      <c r="X207" s="44">
        <f t="shared" si="80"/>
        <v>0</v>
      </c>
      <c r="Y207" s="44">
        <f t="shared" si="81"/>
        <v>0</v>
      </c>
      <c r="Z207" s="44">
        <f t="shared" si="82"/>
        <v>0</v>
      </c>
      <c r="AA207" s="50">
        <f t="shared" si="83"/>
        <v>0</v>
      </c>
      <c r="AB207" s="51">
        <f t="shared" si="84"/>
        <v>0</v>
      </c>
      <c r="AC207" s="44">
        <f t="shared" si="85"/>
        <v>0</v>
      </c>
      <c r="AD207" s="44">
        <f t="shared" si="86"/>
        <v>0</v>
      </c>
      <c r="AE207" s="44">
        <f t="shared" si="87"/>
        <v>0</v>
      </c>
      <c r="AF207" s="52" t="e">
        <f>HLOOKUP(I207,ElecAvoidedCostsWOCC!$A$5:$Q$50,G207+1,FALSE)</f>
        <v>#N/A</v>
      </c>
      <c r="AG207" s="44" t="e">
        <f t="shared" si="88"/>
        <v>#N/A</v>
      </c>
      <c r="AH207" s="52" t="e">
        <f>HLOOKUP(I207,ElecAvoidedCostsWOCC!$A$5:$Q$50,T207+1,FALSE)</f>
        <v>#N/A</v>
      </c>
      <c r="AI207" s="44" t="e">
        <f t="shared" si="89"/>
        <v>#N/A</v>
      </c>
      <c r="AJ207" s="44" t="e">
        <f t="shared" si="90"/>
        <v>#N/A</v>
      </c>
      <c r="AK207" s="44" t="e">
        <f>HLOOKUP(I207,ElecAvoidedCostsWOCC!$A$5:$Q$50,G207+1,FALSE)*J207*L207</f>
        <v>#N/A</v>
      </c>
      <c r="AL207" s="44" t="e">
        <f t="shared" si="91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92"/>
        <v>0</v>
      </c>
      <c r="AO207" s="47">
        <f t="shared" si="93"/>
        <v>0</v>
      </c>
      <c r="AP207" s="47" t="e">
        <f t="shared" si="94"/>
        <v>#DIV/0!</v>
      </c>
    </row>
    <row r="208" spans="2:43">
      <c r="B208" s="3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76"/>
        <v>0</v>
      </c>
      <c r="U208" s="47">
        <f t="shared" si="77"/>
        <v>0</v>
      </c>
      <c r="V208" s="48">
        <f t="shared" si="78"/>
        <v>0</v>
      </c>
      <c r="W208" s="49">
        <f t="shared" si="79"/>
        <v>0</v>
      </c>
      <c r="X208" s="44">
        <f t="shared" si="80"/>
        <v>0</v>
      </c>
      <c r="Y208" s="44">
        <f t="shared" si="81"/>
        <v>0</v>
      </c>
      <c r="Z208" s="44">
        <f t="shared" si="82"/>
        <v>0</v>
      </c>
      <c r="AA208" s="50">
        <f t="shared" si="83"/>
        <v>0</v>
      </c>
      <c r="AB208" s="51">
        <f t="shared" si="84"/>
        <v>0</v>
      </c>
      <c r="AC208" s="44">
        <f t="shared" si="85"/>
        <v>0</v>
      </c>
      <c r="AD208" s="44">
        <f t="shared" si="86"/>
        <v>0</v>
      </c>
      <c r="AE208" s="44">
        <f t="shared" si="87"/>
        <v>0</v>
      </c>
      <c r="AF208" s="52" t="e">
        <f>HLOOKUP(I208,ElecAvoidedCostsWOCC!$A$5:$Q$50,G208+1,FALSE)</f>
        <v>#N/A</v>
      </c>
      <c r="AG208" s="44" t="e">
        <f t="shared" si="88"/>
        <v>#N/A</v>
      </c>
      <c r="AH208" s="52" t="e">
        <f>HLOOKUP(I208,ElecAvoidedCostsWOCC!$A$5:$Q$50,T208+1,FALSE)</f>
        <v>#N/A</v>
      </c>
      <c r="AI208" s="44" t="e">
        <f t="shared" si="89"/>
        <v>#N/A</v>
      </c>
      <c r="AJ208" s="44" t="e">
        <f t="shared" si="90"/>
        <v>#N/A</v>
      </c>
      <c r="AK208" s="44" t="e">
        <f>HLOOKUP(I208,ElecAvoidedCostsWOCC!$A$5:$Q$50,G208+1,FALSE)*J208*L208</f>
        <v>#N/A</v>
      </c>
      <c r="AL208" s="44" t="e">
        <f t="shared" si="91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92"/>
        <v>0</v>
      </c>
      <c r="AO208" s="47">
        <f t="shared" si="93"/>
        <v>0</v>
      </c>
      <c r="AP208" s="47" t="e">
        <f t="shared" si="94"/>
        <v>#DIV/0!</v>
      </c>
    </row>
    <row r="209" spans="2:42">
      <c r="B209" s="3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76"/>
        <v>0</v>
      </c>
      <c r="U209" s="47">
        <f t="shared" si="77"/>
        <v>0</v>
      </c>
      <c r="V209" s="48">
        <f t="shared" si="78"/>
        <v>0</v>
      </c>
      <c r="W209" s="49">
        <f t="shared" si="79"/>
        <v>0</v>
      </c>
      <c r="X209" s="44">
        <f t="shared" si="80"/>
        <v>0</v>
      </c>
      <c r="Y209" s="44">
        <f t="shared" si="81"/>
        <v>0</v>
      </c>
      <c r="Z209" s="44">
        <f t="shared" si="82"/>
        <v>0</v>
      </c>
      <c r="AA209" s="50">
        <f t="shared" si="83"/>
        <v>0</v>
      </c>
      <c r="AB209" s="51">
        <f t="shared" si="84"/>
        <v>0</v>
      </c>
      <c r="AC209" s="44">
        <f t="shared" si="85"/>
        <v>0</v>
      </c>
      <c r="AD209" s="44">
        <f t="shared" si="86"/>
        <v>0</v>
      </c>
      <c r="AE209" s="44">
        <f t="shared" si="87"/>
        <v>0</v>
      </c>
      <c r="AF209" s="52" t="e">
        <f>HLOOKUP(I209,ElecAvoidedCostsWOCC!$A$5:$Q$50,G209+1,FALSE)</f>
        <v>#N/A</v>
      </c>
      <c r="AG209" s="44" t="e">
        <f t="shared" si="88"/>
        <v>#N/A</v>
      </c>
      <c r="AH209" s="52" t="e">
        <f>HLOOKUP(I209,ElecAvoidedCostsWOCC!$A$5:$Q$50,T209+1,FALSE)</f>
        <v>#N/A</v>
      </c>
      <c r="AI209" s="44" t="e">
        <f t="shared" si="89"/>
        <v>#N/A</v>
      </c>
      <c r="AJ209" s="44" t="e">
        <f t="shared" si="90"/>
        <v>#N/A</v>
      </c>
      <c r="AK209" s="44" t="e">
        <f>HLOOKUP(I209,ElecAvoidedCostsWOCC!$A$5:$Q$50,G209+1,FALSE)*J209*L209</f>
        <v>#N/A</v>
      </c>
      <c r="AL209" s="44" t="e">
        <f t="shared" si="91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92"/>
        <v>0</v>
      </c>
      <c r="AO209" s="47">
        <f t="shared" si="93"/>
        <v>0</v>
      </c>
      <c r="AP209" s="47" t="e">
        <f t="shared" si="94"/>
        <v>#DIV/0!</v>
      </c>
    </row>
    <row r="210" spans="2:42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76"/>
        <v>0</v>
      </c>
      <c r="U210" s="47">
        <f t="shared" si="77"/>
        <v>0</v>
      </c>
      <c r="V210" s="48">
        <f t="shared" si="78"/>
        <v>0</v>
      </c>
      <c r="W210" s="49">
        <f t="shared" si="79"/>
        <v>0</v>
      </c>
      <c r="X210" s="44">
        <f t="shared" si="80"/>
        <v>0</v>
      </c>
      <c r="Y210" s="44">
        <f t="shared" si="81"/>
        <v>0</v>
      </c>
      <c r="Z210" s="44">
        <f t="shared" si="82"/>
        <v>0</v>
      </c>
      <c r="AA210" s="50">
        <f t="shared" si="83"/>
        <v>0</v>
      </c>
      <c r="AB210" s="51">
        <f t="shared" si="84"/>
        <v>0</v>
      </c>
      <c r="AC210" s="44">
        <f t="shared" si="85"/>
        <v>0</v>
      </c>
      <c r="AD210" s="44">
        <f t="shared" si="86"/>
        <v>0</v>
      </c>
      <c r="AE210" s="44">
        <f t="shared" si="87"/>
        <v>0</v>
      </c>
      <c r="AF210" s="52" t="e">
        <f>HLOOKUP(I210,ElecAvoidedCostsWOCC!$A$5:$Q$50,G210+1,FALSE)</f>
        <v>#N/A</v>
      </c>
      <c r="AG210" s="44" t="e">
        <f t="shared" si="88"/>
        <v>#N/A</v>
      </c>
      <c r="AH210" s="52" t="e">
        <f>HLOOKUP(I210,ElecAvoidedCostsWOCC!$A$5:$Q$50,T210+1,FALSE)</f>
        <v>#N/A</v>
      </c>
      <c r="AI210" s="44" t="e">
        <f t="shared" si="89"/>
        <v>#N/A</v>
      </c>
      <c r="AJ210" s="44" t="e">
        <f t="shared" si="90"/>
        <v>#N/A</v>
      </c>
      <c r="AK210" s="44" t="e">
        <f>HLOOKUP(I210,ElecAvoidedCostsWOCC!$A$5:$Q$50,G210+1,FALSE)*J210*L210</f>
        <v>#N/A</v>
      </c>
      <c r="AL210" s="44" t="e">
        <f t="shared" si="91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92"/>
        <v>0</v>
      </c>
      <c r="AO210" s="47">
        <f t="shared" si="93"/>
        <v>0</v>
      </c>
      <c r="AP210" s="47" t="e">
        <f t="shared" si="94"/>
        <v>#DIV/0!</v>
      </c>
    </row>
    <row r="211" spans="2:42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76"/>
        <v>0</v>
      </c>
      <c r="U211" s="47">
        <f t="shared" si="77"/>
        <v>0</v>
      </c>
      <c r="V211" s="48">
        <f t="shared" si="78"/>
        <v>0</v>
      </c>
      <c r="W211" s="49">
        <f t="shared" si="79"/>
        <v>0</v>
      </c>
      <c r="X211" s="44">
        <f t="shared" si="80"/>
        <v>0</v>
      </c>
      <c r="Y211" s="44">
        <f t="shared" si="81"/>
        <v>0</v>
      </c>
      <c r="Z211" s="44">
        <f t="shared" si="82"/>
        <v>0</v>
      </c>
      <c r="AA211" s="50">
        <f t="shared" si="83"/>
        <v>0</v>
      </c>
      <c r="AB211" s="51">
        <f t="shared" si="84"/>
        <v>0</v>
      </c>
      <c r="AC211" s="44">
        <f t="shared" si="85"/>
        <v>0</v>
      </c>
      <c r="AD211" s="44">
        <f t="shared" si="86"/>
        <v>0</v>
      </c>
      <c r="AE211" s="44">
        <f t="shared" si="87"/>
        <v>0</v>
      </c>
      <c r="AF211" s="52" t="e">
        <f>HLOOKUP(I211,ElecAvoidedCostsWOCC!$A$5:$Q$50,G211+1,FALSE)</f>
        <v>#N/A</v>
      </c>
      <c r="AG211" s="44" t="e">
        <f t="shared" si="88"/>
        <v>#N/A</v>
      </c>
      <c r="AH211" s="52" t="e">
        <f>HLOOKUP(I211,ElecAvoidedCostsWOCC!$A$5:$Q$50,T211+1,FALSE)</f>
        <v>#N/A</v>
      </c>
      <c r="AI211" s="44" t="e">
        <f t="shared" si="89"/>
        <v>#N/A</v>
      </c>
      <c r="AJ211" s="44" t="e">
        <f t="shared" si="90"/>
        <v>#N/A</v>
      </c>
      <c r="AK211" s="44" t="e">
        <f>HLOOKUP(I211,ElecAvoidedCostsWOCC!$A$5:$Q$50,G211+1,FALSE)*J211*L211</f>
        <v>#N/A</v>
      </c>
      <c r="AL211" s="44" t="e">
        <f t="shared" si="91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92"/>
        <v>0</v>
      </c>
      <c r="AO211" s="47">
        <f t="shared" si="93"/>
        <v>0</v>
      </c>
      <c r="AP211" s="47" t="e">
        <f t="shared" si="94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76"/>
        <v>0</v>
      </c>
      <c r="U212" s="47">
        <f t="shared" si="77"/>
        <v>0</v>
      </c>
      <c r="V212" s="48">
        <f t="shared" si="78"/>
        <v>0</v>
      </c>
      <c r="W212" s="49">
        <f t="shared" si="79"/>
        <v>0</v>
      </c>
      <c r="X212" s="44">
        <f t="shared" si="80"/>
        <v>0</v>
      </c>
      <c r="Y212" s="44">
        <f t="shared" si="81"/>
        <v>0</v>
      </c>
      <c r="Z212" s="44">
        <f t="shared" si="82"/>
        <v>0</v>
      </c>
      <c r="AA212" s="50">
        <f t="shared" si="83"/>
        <v>0</v>
      </c>
      <c r="AB212" s="51">
        <f t="shared" si="84"/>
        <v>0</v>
      </c>
      <c r="AC212" s="44">
        <f t="shared" si="85"/>
        <v>0</v>
      </c>
      <c r="AD212" s="44">
        <f t="shared" si="86"/>
        <v>0</v>
      </c>
      <c r="AE212" s="44">
        <f t="shared" si="87"/>
        <v>0</v>
      </c>
      <c r="AF212" s="52" t="e">
        <f>HLOOKUP(I212,ElecAvoidedCostsWOCC!$A$5:$Q$50,G212+1,FALSE)</f>
        <v>#N/A</v>
      </c>
      <c r="AG212" s="44" t="e">
        <f t="shared" si="88"/>
        <v>#N/A</v>
      </c>
      <c r="AH212" s="52" t="e">
        <f>HLOOKUP(I212,ElecAvoidedCostsWOCC!$A$5:$Q$50,T212+1,FALSE)</f>
        <v>#N/A</v>
      </c>
      <c r="AI212" s="44" t="e">
        <f t="shared" si="89"/>
        <v>#N/A</v>
      </c>
      <c r="AJ212" s="44" t="e">
        <f t="shared" si="90"/>
        <v>#N/A</v>
      </c>
      <c r="AK212" s="44" t="e">
        <f>HLOOKUP(I212,ElecAvoidedCostsWOCC!$A$5:$Q$50,G212+1,FALSE)*J212*L212</f>
        <v>#N/A</v>
      </c>
      <c r="AL212" s="44" t="e">
        <f t="shared" si="91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92"/>
        <v>0</v>
      </c>
      <c r="AO212" s="47">
        <f t="shared" si="93"/>
        <v>0</v>
      </c>
      <c r="AP212" s="47" t="e">
        <f t="shared" si="94"/>
        <v>#DIV/0!</v>
      </c>
    </row>
  </sheetData>
  <conditionalFormatting sqref="J5:L212">
    <cfRule type="expression" dxfId="179" priority="4">
      <formula>ISTEXT(J5)</formula>
    </cfRule>
    <cfRule type="notContainsBlanks" dxfId="178" priority="5">
      <formula>LEN(TRIM(J5))&gt;0</formula>
    </cfRule>
  </conditionalFormatting>
  <conditionalFormatting sqref="M5:N212 R5:S212">
    <cfRule type="expression" dxfId="177" priority="2">
      <formula>ISTEXT(M5)</formula>
    </cfRule>
  </conditionalFormatting>
  <conditionalFormatting sqref="M5:N212 R5:S212">
    <cfRule type="notContainsBlanks" dxfId="176" priority="3">
      <formula>LEN(TRIM(M5))&gt;0</formula>
    </cfRule>
  </conditionalFormatting>
  <conditionalFormatting sqref="R5:S212">
    <cfRule type="expression" dxfId="1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18230014</v>
      </c>
      <c r="D2" s="20" t="s">
        <v>299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18230014</v>
      </c>
      <c r="D5" s="61" t="s">
        <v>299</v>
      </c>
      <c r="E5" s="38" t="s">
        <v>1439</v>
      </c>
      <c r="F5" s="39" t="s">
        <v>1440</v>
      </c>
      <c r="G5" s="39">
        <v>10</v>
      </c>
      <c r="H5" s="39"/>
      <c r="I5" s="40" t="s">
        <v>261</v>
      </c>
      <c r="J5" s="41">
        <v>1204</v>
      </c>
      <c r="K5" s="41">
        <v>253</v>
      </c>
      <c r="L5" s="41"/>
      <c r="M5" s="42">
        <v>200</v>
      </c>
      <c r="N5" s="42">
        <v>206.08</v>
      </c>
      <c r="O5" s="43">
        <v>304612</v>
      </c>
      <c r="P5" s="44">
        <v>240767.76</v>
      </c>
      <c r="Q5" s="44">
        <v>248120.32000000001</v>
      </c>
      <c r="R5" s="45">
        <v>0</v>
      </c>
      <c r="S5" s="46">
        <v>0</v>
      </c>
      <c r="T5" s="39">
        <f t="shared" ref="T5:T24" si="0">G5+H5</f>
        <v>10</v>
      </c>
      <c r="U5" s="47">
        <f t="shared" ref="U5:U24" si="1">(O5/$A$10)*T5</f>
        <v>5.0308594569330145</v>
      </c>
      <c r="V5" s="48">
        <f t="shared" ref="V5:V24" si="2">N5-M5</f>
        <v>6.0800000000000125</v>
      </c>
      <c r="W5" s="49">
        <f t="shared" ref="W5:W24" si="3">(O5/A$10)</f>
        <v>0.50308594569330145</v>
      </c>
      <c r="X5" s="44">
        <f t="shared" ref="X5:X24" si="4">W5*A$8</f>
        <v>247.62393332968117</v>
      </c>
      <c r="Y5" s="44">
        <f t="shared" ref="Y5:Y24" si="5">Q5-P5</f>
        <v>7352.5599999999977</v>
      </c>
      <c r="Z5" s="44">
        <f t="shared" ref="Z5:Z24" si="6">X5+(A$6*W5)</f>
        <v>302553.35721764463</v>
      </c>
      <c r="AA5" s="50">
        <f t="shared" ref="AA5:AA24" si="7">Q5+X5</f>
        <v>248367.94393332969</v>
      </c>
      <c r="AB5" s="51">
        <f t="shared" ref="AB5:AC20" si="8">Z5/(1+ElecDiscountRate)^1</f>
        <v>282839.44771211053</v>
      </c>
      <c r="AC5" s="44">
        <f t="shared" si="8"/>
        <v>232184.67227571251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0.97334887994043018</v>
      </c>
      <c r="AG5" s="44">
        <f t="shared" ref="AG5:AG24" si="10">AF5*J5*K5</f>
        <v>296493.74901641434</v>
      </c>
      <c r="AH5" s="52">
        <f>HLOOKUP(I5,ElecAvoidedCostsWOCC!$A$5:$Q$50,T5+1,FALSE)</f>
        <v>0.97334887994043018</v>
      </c>
      <c r="AI5" s="44">
        <f t="shared" ref="AI5:AI24" si="11">AH5*J5*L5</f>
        <v>0</v>
      </c>
      <c r="AJ5" s="44">
        <f>AG5+AI5</f>
        <v>296493.74901641434</v>
      </c>
      <c r="AK5" s="44">
        <f>HLOOKUP(I5,ElecAvoidedCostsWOCC!$A$5:$Q$50,G5+1,FALSE)*J5*L5</f>
        <v>0</v>
      </c>
      <c r="AL5" s="44">
        <f>AG5+AI5-AK5</f>
        <v>296493.74901641434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296493.74901641434</v>
      </c>
      <c r="AN5" s="48">
        <f>AM5*1.1+AD5+AE5</f>
        <v>326143.12391805579</v>
      </c>
      <c r="AO5" s="47">
        <f>IFERROR(AM5/AB5,0)</f>
        <v>1.048275802455257</v>
      </c>
      <c r="AP5" s="47">
        <f>AN5/AC5</f>
        <v>1.4046712072826684</v>
      </c>
      <c r="AQ5">
        <v>2021</v>
      </c>
    </row>
    <row r="6" spans="1:43" ht="13.5" customHeight="1">
      <c r="A6" s="53">
        <f>SUMIF('Program Costs'!D:D,C2,'Program Costs'!L:L)+SUMIF('Program Costs'!C:C,"Lodging Direct Install {E}",'Program Costs'!L:L)</f>
        <v>600902.76</v>
      </c>
      <c r="B6" s="97" t="s">
        <v>70</v>
      </c>
      <c r="C6" s="98">
        <v>18230014</v>
      </c>
      <c r="D6" s="61" t="s">
        <v>299</v>
      </c>
      <c r="E6" s="38" t="s">
        <v>1441</v>
      </c>
      <c r="F6" s="39" t="s">
        <v>1442</v>
      </c>
      <c r="G6" s="39">
        <v>15</v>
      </c>
      <c r="H6" s="39"/>
      <c r="I6" s="40" t="s">
        <v>261</v>
      </c>
      <c r="J6" s="41">
        <v>415</v>
      </c>
      <c r="K6" s="41">
        <v>725</v>
      </c>
      <c r="L6" s="41"/>
      <c r="M6" s="42">
        <v>900</v>
      </c>
      <c r="N6" s="42">
        <v>907</v>
      </c>
      <c r="O6" s="43">
        <v>300875</v>
      </c>
      <c r="P6" s="44">
        <v>360135</v>
      </c>
      <c r="Q6" s="44">
        <v>376405</v>
      </c>
      <c r="R6" s="45">
        <v>0</v>
      </c>
      <c r="S6" s="46">
        <v>0</v>
      </c>
      <c r="T6" s="39">
        <f t="shared" si="0"/>
        <v>15</v>
      </c>
      <c r="U6" s="47">
        <f t="shared" si="1"/>
        <v>7.4537108146004787</v>
      </c>
      <c r="V6" s="48">
        <f t="shared" si="2"/>
        <v>7</v>
      </c>
      <c r="W6" s="49">
        <f t="shared" si="3"/>
        <v>0.49691405430669855</v>
      </c>
      <c r="X6" s="44">
        <f t="shared" si="4"/>
        <v>244.58606667028158</v>
      </c>
      <c r="Y6" s="44">
        <f t="shared" si="5"/>
        <v>16270</v>
      </c>
      <c r="Z6" s="44">
        <f t="shared" si="6"/>
        <v>298841.61278235534</v>
      </c>
      <c r="AA6" s="50">
        <f t="shared" si="7"/>
        <v>376649.58606667031</v>
      </c>
      <c r="AB6" s="51">
        <f t="shared" si="8"/>
        <v>279369.5548119616</v>
      </c>
      <c r="AC6" s="44">
        <f t="shared" si="8"/>
        <v>352107.68072045461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414841.27175632032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414841.27175632032</v>
      </c>
      <c r="AK6" s="44">
        <f>HLOOKUP(I6,ElecAvoidedCostsWOCC!$A$5:$Q$50,G6+1,FALSE)*J6*L6</f>
        <v>0</v>
      </c>
      <c r="AL6" s="44">
        <f t="shared" ref="AL6:AL24" si="13">AG6+AI6-AK6</f>
        <v>414841.27175632032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414841.27175632032</v>
      </c>
      <c r="AN6" s="48">
        <f t="shared" ref="AN6:AN24" si="14">AM6*1.1+AD6+AE6</f>
        <v>456325.39893195237</v>
      </c>
      <c r="AO6" s="47">
        <f t="shared" ref="AO6:AO24" si="15">IFERROR(AM6/AB6,0)</f>
        <v>1.4849194001670734</v>
      </c>
      <c r="AP6" s="47">
        <f t="shared" ref="AP6:AP24" si="16">AN6/AC6</f>
        <v>1.2959825187518086</v>
      </c>
      <c r="AQ6">
        <v>2021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Costs'!O:O)+SUMIF('Program Costs'!C:C,"Lodging Direct Install {E}",'Program Costs'!O:O)</f>
        <v>492.20999999996275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605487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600902.76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23622.559999999998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12.484570271533492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601394.97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625017.53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1.2652501428812988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1.3391729651049209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74" priority="4">
      <formula>ISTEXT(J5)</formula>
    </cfRule>
    <cfRule type="notContainsBlanks" dxfId="173" priority="5">
      <formula>LEN(TRIM(J5))&gt;0</formula>
    </cfRule>
  </conditionalFormatting>
  <conditionalFormatting sqref="M5:N24 R5:S24">
    <cfRule type="expression" dxfId="172" priority="2">
      <formula>ISTEXT(M5)</formula>
    </cfRule>
  </conditionalFormatting>
  <conditionalFormatting sqref="M5:N24 R5:S24">
    <cfRule type="notContainsBlanks" dxfId="171" priority="3">
      <formula>LEN(TRIM(M5))&gt;0</formula>
    </cfRule>
  </conditionalFormatting>
  <conditionalFormatting sqref="R5:S24">
    <cfRule type="expression" dxfId="1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Q28"/>
  <sheetViews>
    <sheetView zoomScale="85" zoomScaleNormal="85" workbookViewId="0">
      <selection activeCell="F13" sqref="F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18230525</v>
      </c>
      <c r="D2" s="20" t="s">
        <v>300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s="516" t="s">
        <v>2458</v>
      </c>
    </row>
    <row r="5" spans="1:43" ht="13.5" customHeight="1">
      <c r="A5" s="36" t="s">
        <v>247</v>
      </c>
      <c r="B5" s="97" t="s">
        <v>156</v>
      </c>
      <c r="C5" s="100">
        <v>18230750</v>
      </c>
      <c r="D5" s="100" t="s">
        <v>158</v>
      </c>
      <c r="E5" s="38" t="s">
        <v>1807</v>
      </c>
      <c r="F5" s="39" t="s">
        <v>2568</v>
      </c>
      <c r="G5" s="39">
        <v>2</v>
      </c>
      <c r="H5" s="39"/>
      <c r="I5" s="40" t="s">
        <v>269</v>
      </c>
      <c r="J5" s="41">
        <v>1</v>
      </c>
      <c r="K5" s="41">
        <v>204000</v>
      </c>
      <c r="L5" s="41"/>
      <c r="M5" s="42">
        <v>0</v>
      </c>
      <c r="N5" s="42">
        <v>0</v>
      </c>
      <c r="O5" s="43">
        <v>204000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3" si="0">G5+H5</f>
        <v>2</v>
      </c>
      <c r="U5" s="47">
        <f>(O5/$A$10)*T5</f>
        <v>2</v>
      </c>
      <c r="V5" s="48">
        <f t="shared" ref="V5" si="1">N5-M5</f>
        <v>0</v>
      </c>
      <c r="W5" s="49">
        <f t="shared" ref="W5" si="2">(O5/A$10)</f>
        <v>1</v>
      </c>
      <c r="X5" s="44">
        <f t="shared" ref="X5" si="3">W5*A$8</f>
        <v>576297</v>
      </c>
      <c r="Y5" s="44">
        <f t="shared" ref="Y5" si="4">Q5-P5</f>
        <v>0</v>
      </c>
      <c r="Z5" s="44">
        <f t="shared" ref="Z5" si="5">X5+(A$6*W5)</f>
        <v>671679.5</v>
      </c>
      <c r="AA5" s="50">
        <f t="shared" ref="AA5" si="6">Q5+X5</f>
        <v>576297</v>
      </c>
      <c r="AB5" s="51">
        <f t="shared" ref="AB5" si="7">Z5/(1+ElecDiscountRate)^1</f>
        <v>627913.90109376458</v>
      </c>
      <c r="AC5" s="44">
        <f t="shared" ref="AC5" si="8">AA5/(1+ElecDiscountRate)^1</f>
        <v>538746.37748901558</v>
      </c>
      <c r="AD5" s="44">
        <f t="shared" ref="AD5" si="9">-PV(ElecDiscountRate,T5,R5)*J5</f>
        <v>0</v>
      </c>
      <c r="AE5" s="44">
        <v>0</v>
      </c>
      <c r="AF5" s="52">
        <f>HLOOKUP(I5,ElecAvoidedCostsWOCC!$A$5:$Q$50,G5+1,FALSE)</f>
        <v>0.21937348911677185</v>
      </c>
      <c r="AG5" s="44">
        <f t="shared" ref="AG5" si="10">AF5*J5*K5</f>
        <v>44752.191779821456</v>
      </c>
      <c r="AH5" s="52">
        <f>HLOOKUP(I5,ElecAvoidedCostsWOCC!$A$5:$Q$50,T5+1,FALSE)</f>
        <v>0.21937348911677185</v>
      </c>
      <c r="AI5" s="44">
        <f t="shared" ref="AI5" si="11">AH5*J5*L5</f>
        <v>0</v>
      </c>
      <c r="AJ5" s="44">
        <f t="shared" ref="AJ5" si="12">AG5+AI5</f>
        <v>44752.191779821456</v>
      </c>
      <c r="AK5" s="44">
        <f>HLOOKUP(I5,ElecAvoidedCostsWOCC!$A$5:$Q$50,G5+1,FALSE)*J5*L5</f>
        <v>0</v>
      </c>
      <c r="AL5" s="44">
        <f t="shared" ref="AL5" si="13">AG5+AI5-AK5</f>
        <v>44752.191779821456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44752.191779821456</v>
      </c>
      <c r="AN5" s="48">
        <f t="shared" ref="AN5" si="14">AM5*1.1+AD5+AE5</f>
        <v>49227.410957803608</v>
      </c>
      <c r="AO5" s="47">
        <f t="shared" ref="AO5" si="15">IFERROR(AM5/AB5,0)</f>
        <v>7.127122317545051E-2</v>
      </c>
      <c r="AP5" s="47">
        <f t="shared" ref="AP5" si="16">AN5/AC5</f>
        <v>9.1373998999756248E-2</v>
      </c>
      <c r="AQ5">
        <v>2021</v>
      </c>
    </row>
    <row r="6" spans="1:43" ht="13.5" customHeight="1">
      <c r="A6" s="53">
        <f>SUMIF('Program Costs'!D:D,C5,'Program Costs'!L:L)+SUMIF('Program Costs'!D:D,C7,'Program Costs'!L:L)+SUMIF('Program Costs'!D:D,C6,'Program Costs'!L:L)</f>
        <v>95382.5</v>
      </c>
      <c r="B6" s="97" t="s">
        <v>156</v>
      </c>
      <c r="C6" s="100">
        <v>18230748</v>
      </c>
      <c r="D6" s="100" t="s">
        <v>1832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ref="U6:U23" si="17">(O6/$A$10)*T6</f>
        <v>0</v>
      </c>
      <c r="V6" s="48">
        <f t="shared" ref="V6:V23" si="18">N6-M6</f>
        <v>0</v>
      </c>
      <c r="W6" s="49">
        <f t="shared" ref="W6:W23" si="19">(O6/A$10)</f>
        <v>0</v>
      </c>
      <c r="X6" s="44">
        <f t="shared" ref="X6:X23" si="20">W6*A$8</f>
        <v>0</v>
      </c>
      <c r="Y6" s="44">
        <f t="shared" ref="Y6:Y23" si="21">Q6-P6</f>
        <v>0</v>
      </c>
      <c r="Z6" s="44">
        <f t="shared" ref="Z6:Z23" si="22">X6+(A$6*W6)</f>
        <v>0</v>
      </c>
      <c r="AA6" s="50">
        <f t="shared" ref="AA6:AA23" si="23">Q6+X6</f>
        <v>0</v>
      </c>
      <c r="AB6" s="51">
        <f t="shared" ref="AB6:AC19" si="24">Z6/(1+ElecDiscountRate)^1</f>
        <v>0</v>
      </c>
      <c r="AC6" s="44">
        <f t="shared" si="24"/>
        <v>0</v>
      </c>
      <c r="AD6" s="44">
        <f t="shared" ref="AD6:AD23" si="25">-PV(ElecDiscountRate,T6,R6)*J6</f>
        <v>0</v>
      </c>
      <c r="AE6" s="44">
        <v>0</v>
      </c>
      <c r="AF6" s="52" t="e">
        <f>HLOOKUP(I6,ElecAvoidedCostsWOCC!$A$5:$Q$50,G6+1,FALSE)</f>
        <v>#N/A</v>
      </c>
      <c r="AG6" s="44" t="e">
        <f t="shared" ref="AG6:AG23" si="26">AF6*J6*K6</f>
        <v>#N/A</v>
      </c>
      <c r="AH6" s="52" t="e">
        <f>HLOOKUP(I6,ElecAvoidedCostsWOCC!$A$5:$Q$50,T6+1,FALSE)</f>
        <v>#N/A</v>
      </c>
      <c r="AI6" s="44" t="e">
        <f t="shared" ref="AI6:AI23" si="27">AH6*J6*L6</f>
        <v>#N/A</v>
      </c>
      <c r="AJ6" s="44" t="e">
        <f t="shared" ref="AJ6:AJ23" si="28">AG6+AI6</f>
        <v>#N/A</v>
      </c>
      <c r="AK6" s="44" t="e">
        <f>HLOOKUP(I6,ElecAvoidedCostsWOCC!$A$5:$Q$50,G6+1,FALSE)*J6*L6</f>
        <v>#N/A</v>
      </c>
      <c r="AL6" s="44" t="e">
        <f t="shared" ref="AL6:AL23" si="29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3" si="30">AM6*1.1+AD6+AE6</f>
        <v>0</v>
      </c>
      <c r="AO6" s="47">
        <f t="shared" ref="AO6:AO23" si="31">IFERROR(AM6/AB6,0)</f>
        <v>0</v>
      </c>
      <c r="AP6" s="47" t="e">
        <f t="shared" ref="AP6:AP23" si="32">AN6/AC6</f>
        <v>#DIV/0!</v>
      </c>
      <c r="AQ6">
        <v>2021</v>
      </c>
    </row>
    <row r="7" spans="1:43" ht="13.5" customHeight="1">
      <c r="A7" s="36" t="s">
        <v>249</v>
      </c>
      <c r="B7" s="97" t="s">
        <v>301</v>
      </c>
      <c r="C7" s="100">
        <v>18230749</v>
      </c>
      <c r="D7" s="100" t="s">
        <v>1810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7"/>
        <v>0</v>
      </c>
      <c r="V7" s="48">
        <f t="shared" si="18"/>
        <v>0</v>
      </c>
      <c r="W7" s="49">
        <f t="shared" si="19"/>
        <v>0</v>
      </c>
      <c r="X7" s="44">
        <f t="shared" si="20"/>
        <v>0</v>
      </c>
      <c r="Y7" s="44">
        <f t="shared" si="21"/>
        <v>0</v>
      </c>
      <c r="Z7" s="44">
        <f t="shared" si="22"/>
        <v>0</v>
      </c>
      <c r="AA7" s="50">
        <f t="shared" si="23"/>
        <v>0</v>
      </c>
      <c r="AB7" s="51">
        <f t="shared" si="24"/>
        <v>0</v>
      </c>
      <c r="AC7" s="44">
        <f t="shared" si="24"/>
        <v>0</v>
      </c>
      <c r="AD7" s="44">
        <f t="shared" si="25"/>
        <v>0</v>
      </c>
      <c r="AE7" s="44">
        <v>0</v>
      </c>
      <c r="AF7" s="52" t="e">
        <f>HLOOKUP(I7,ElecAvoidedCostsWOCC!$A$5:$Q$50,G7+1,FALSE)</f>
        <v>#N/A</v>
      </c>
      <c r="AG7" s="44" t="e">
        <f t="shared" si="26"/>
        <v>#N/A</v>
      </c>
      <c r="AH7" s="52" t="e">
        <f>HLOOKUP(I7,ElecAvoidedCostsWOCC!$A$5:$Q$50,T7+1,FALSE)</f>
        <v>#N/A</v>
      </c>
      <c r="AI7" s="44" t="e">
        <f t="shared" si="27"/>
        <v>#N/A</v>
      </c>
      <c r="AJ7" s="44" t="e">
        <f t="shared" si="28"/>
        <v>#N/A</v>
      </c>
      <c r="AK7" s="44" t="e">
        <f>HLOOKUP(I7,ElecAvoidedCostsWOCC!$A$5:$Q$50,G7+1,FALSE)*J7*L7</f>
        <v>#N/A</v>
      </c>
      <c r="AL7" s="44" t="e">
        <f t="shared" si="29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30"/>
        <v>0</v>
      </c>
      <c r="AO7" s="47">
        <f t="shared" si="31"/>
        <v>0</v>
      </c>
      <c r="AP7" s="47" t="e">
        <f t="shared" si="32"/>
        <v>#DIV/0!</v>
      </c>
      <c r="AQ7">
        <v>2021</v>
      </c>
    </row>
    <row r="8" spans="1:43" ht="13.5" customHeight="1">
      <c r="A8" s="53">
        <f>SUMIF('Program Costs'!D:D,C5,'Program Costs'!O:O)+SUMIF('Program Costs'!D:D,C7,'Program Costs'!O:O)+SUMIF('Program Costs'!D:D,C6,'Program Costs'!O:O)</f>
        <v>576297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>(O5/$A$10)*T8</f>
        <v>0</v>
      </c>
      <c r="V8" s="48">
        <f>N5-M5</f>
        <v>0</v>
      </c>
      <c r="W8" s="49">
        <f>(O8/A$10)</f>
        <v>0</v>
      </c>
      <c r="X8" s="44">
        <f t="shared" si="20"/>
        <v>0</v>
      </c>
      <c r="Y8" s="44">
        <f>Q5-P5</f>
        <v>0</v>
      </c>
      <c r="Z8" s="44">
        <f t="shared" si="22"/>
        <v>0</v>
      </c>
      <c r="AA8" s="50">
        <f>Q5+X8</f>
        <v>0</v>
      </c>
      <c r="AB8" s="51">
        <f t="shared" si="24"/>
        <v>0</v>
      </c>
      <c r="AC8" s="44">
        <f t="shared" si="24"/>
        <v>0</v>
      </c>
      <c r="AD8" s="44">
        <f>-PV(ElecDiscountRate,T8,R5)*J5</f>
        <v>0</v>
      </c>
      <c r="AE8" s="44">
        <f>-PV(ElecDiscountRate,T8,S5)*J5</f>
        <v>0</v>
      </c>
      <c r="AF8" s="52" t="e">
        <f>HLOOKUP(I8,ElecAvoidedCostsWOCC!$A$5:$Q$50,G8+1,FALSE)</f>
        <v>#N/A</v>
      </c>
      <c r="AG8" s="44" t="e">
        <f t="shared" ref="AG8" si="33">AF8*J8*K8</f>
        <v>#N/A</v>
      </c>
      <c r="AH8" s="52" t="e">
        <f>HLOOKUP(I8,ElecAvoidedCostsWOCC!$A$5:$Q$50,T8+1,FALSE)</f>
        <v>#N/A</v>
      </c>
      <c r="AI8" s="44" t="e">
        <f t="shared" ref="AI8" si="34">AH8*J8*L8</f>
        <v>#N/A</v>
      </c>
      <c r="AJ8" s="44" t="e">
        <f t="shared" ref="AJ8" si="35">AG8+AI8</f>
        <v>#N/A</v>
      </c>
      <c r="AK8" s="44" t="e">
        <f>HLOOKUP(I8,ElecAvoidedCostsWOCC!$A$5:$Q$50,G8+1,FALSE)*J8*L8</f>
        <v>#N/A</v>
      </c>
      <c r="AL8" s="44" t="e">
        <f t="shared" ref="AL8" si="36">AG8+AI8-AK8</f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ref="AN8" si="37">AM8*1.1+AD8+AE8</f>
        <v>0</v>
      </c>
      <c r="AO8" s="47">
        <f t="shared" ref="AO8" si="38">IFERROR(AM8/AB8,0)</f>
        <v>0</v>
      </c>
      <c r="AP8" s="47" t="e">
        <f t="shared" ref="AP8" si="39">AN8/AC8</f>
        <v>#DIV/0!</v>
      </c>
      <c r="AQ8">
        <v>2020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7"/>
        <v>0</v>
      </c>
      <c r="V9" s="48">
        <f t="shared" si="18"/>
        <v>0</v>
      </c>
      <c r="W9" s="49">
        <f t="shared" si="19"/>
        <v>0</v>
      </c>
      <c r="X9" s="44">
        <f t="shared" si="20"/>
        <v>0</v>
      </c>
      <c r="Y9" s="44">
        <f t="shared" si="21"/>
        <v>0</v>
      </c>
      <c r="Z9" s="44">
        <f t="shared" si="22"/>
        <v>0</v>
      </c>
      <c r="AA9" s="50">
        <f t="shared" si="23"/>
        <v>0</v>
      </c>
      <c r="AB9" s="51">
        <f t="shared" si="24"/>
        <v>0</v>
      </c>
      <c r="AC9" s="44">
        <f t="shared" si="24"/>
        <v>0</v>
      </c>
      <c r="AD9" s="44">
        <f t="shared" si="25"/>
        <v>0</v>
      </c>
      <c r="AE9" s="44">
        <f t="shared" ref="AE9:AE23" si="40">-PV(ElecDiscountRate,T9,S9)*J9</f>
        <v>0</v>
      </c>
      <c r="AF9" s="52" t="e">
        <f>HLOOKUP(I9,ElecAvoidedCostsWOCC!$A$5:$Q$50,G9+1,FALSE)</f>
        <v>#N/A</v>
      </c>
      <c r="AG9" s="44" t="e">
        <f t="shared" si="26"/>
        <v>#N/A</v>
      </c>
      <c r="AH9" s="52" t="e">
        <f>HLOOKUP(I9,ElecAvoidedCostsWOCC!$A$5:$Q$50,T9+1,FALSE)</f>
        <v>#N/A</v>
      </c>
      <c r="AI9" s="44" t="e">
        <f t="shared" si="27"/>
        <v>#N/A</v>
      </c>
      <c r="AJ9" s="44" t="e">
        <f t="shared" si="28"/>
        <v>#N/A</v>
      </c>
      <c r="AK9" s="44" t="e">
        <f>HLOOKUP(I9,ElecAvoidedCostsWOCC!$A$5:$Q$50,G9+1,FALSE)*J9*L9</f>
        <v>#N/A</v>
      </c>
      <c r="AL9" s="44" t="e">
        <f t="shared" si="29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30"/>
        <v>0</v>
      </c>
      <c r="AO9" s="47">
        <f t="shared" si="31"/>
        <v>0</v>
      </c>
      <c r="AP9" s="47" t="e">
        <f t="shared" si="32"/>
        <v>#DIV/0!</v>
      </c>
      <c r="AQ9">
        <v>2020</v>
      </c>
    </row>
    <row r="10" spans="1:43" ht="13.5" customHeight="1">
      <c r="A10" s="54">
        <f>SUM(O5:O998)</f>
        <v>204000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7"/>
        <v>0</v>
      </c>
      <c r="V10" s="48">
        <f t="shared" si="18"/>
        <v>0</v>
      </c>
      <c r="W10" s="49">
        <f t="shared" si="19"/>
        <v>0</v>
      </c>
      <c r="X10" s="44">
        <f t="shared" si="20"/>
        <v>0</v>
      </c>
      <c r="Y10" s="44">
        <f t="shared" si="21"/>
        <v>0</v>
      </c>
      <c r="Z10" s="44">
        <f t="shared" si="22"/>
        <v>0</v>
      </c>
      <c r="AA10" s="50">
        <f t="shared" si="23"/>
        <v>0</v>
      </c>
      <c r="AB10" s="51">
        <f t="shared" si="24"/>
        <v>0</v>
      </c>
      <c r="AC10" s="44">
        <f t="shared" si="24"/>
        <v>0</v>
      </c>
      <c r="AD10" s="44">
        <f t="shared" si="25"/>
        <v>0</v>
      </c>
      <c r="AE10" s="44">
        <f t="shared" si="40"/>
        <v>0</v>
      </c>
      <c r="AF10" s="52" t="e">
        <f>HLOOKUP(I10,ElecAvoidedCostsWOCC!$A$5:$Q$50,G10+1,FALSE)</f>
        <v>#N/A</v>
      </c>
      <c r="AG10" s="44" t="e">
        <f t="shared" si="26"/>
        <v>#N/A</v>
      </c>
      <c r="AH10" s="52" t="e">
        <f>HLOOKUP(I10,ElecAvoidedCostsWOCC!$A$5:$Q$50,T10+1,FALSE)</f>
        <v>#N/A</v>
      </c>
      <c r="AI10" s="44" t="e">
        <f t="shared" si="27"/>
        <v>#N/A</v>
      </c>
      <c r="AJ10" s="44" t="e">
        <f t="shared" si="28"/>
        <v>#N/A</v>
      </c>
      <c r="AK10" s="44" t="e">
        <f>HLOOKUP(I10,ElecAvoidedCostsWOCC!$A$5:$Q$50,G10+1,FALSE)*J10*L10</f>
        <v>#N/A</v>
      </c>
      <c r="AL10" s="44" t="e">
        <f t="shared" si="29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30"/>
        <v>0</v>
      </c>
      <c r="AO10" s="47">
        <f t="shared" si="31"/>
        <v>0</v>
      </c>
      <c r="AP10" s="47" t="e">
        <f t="shared" si="32"/>
        <v>#DIV/0!</v>
      </c>
      <c r="AQ10">
        <v>2020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7"/>
        <v>0</v>
      </c>
      <c r="V11" s="48">
        <f t="shared" si="18"/>
        <v>0</v>
      </c>
      <c r="W11" s="49">
        <f t="shared" si="19"/>
        <v>0</v>
      </c>
      <c r="X11" s="44">
        <f t="shared" si="20"/>
        <v>0</v>
      </c>
      <c r="Y11" s="44">
        <f t="shared" si="21"/>
        <v>0</v>
      </c>
      <c r="Z11" s="44">
        <f t="shared" si="22"/>
        <v>0</v>
      </c>
      <c r="AA11" s="50">
        <f t="shared" si="23"/>
        <v>0</v>
      </c>
      <c r="AB11" s="51">
        <f t="shared" si="24"/>
        <v>0</v>
      </c>
      <c r="AC11" s="44">
        <f t="shared" si="24"/>
        <v>0</v>
      </c>
      <c r="AD11" s="44">
        <f t="shared" si="25"/>
        <v>0</v>
      </c>
      <c r="AE11" s="44">
        <f t="shared" si="40"/>
        <v>0</v>
      </c>
      <c r="AF11" s="52" t="e">
        <f>HLOOKUP(I11,ElecAvoidedCostsWOCC!$A$5:$Q$50,G11+1,FALSE)</f>
        <v>#N/A</v>
      </c>
      <c r="AG11" s="44" t="e">
        <f t="shared" si="26"/>
        <v>#N/A</v>
      </c>
      <c r="AH11" s="52" t="e">
        <f>HLOOKUP(I11,ElecAvoidedCostsWOCC!$A$5:$Q$50,T11+1,FALSE)</f>
        <v>#N/A</v>
      </c>
      <c r="AI11" s="44" t="e">
        <f t="shared" si="27"/>
        <v>#N/A</v>
      </c>
      <c r="AJ11" s="44" t="e">
        <f t="shared" si="28"/>
        <v>#N/A</v>
      </c>
      <c r="AK11" s="44" t="e">
        <f>HLOOKUP(I11,ElecAvoidedCostsWOCC!$A$5:$Q$50,G11+1,FALSE)*J11*L11</f>
        <v>#N/A</v>
      </c>
      <c r="AL11" s="44" t="e">
        <f t="shared" si="29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30"/>
        <v>0</v>
      </c>
      <c r="AO11" s="47">
        <f t="shared" si="31"/>
        <v>0</v>
      </c>
      <c r="AP11" s="47" t="e">
        <f t="shared" si="32"/>
        <v>#DIV/0!</v>
      </c>
      <c r="AQ11">
        <v>2020</v>
      </c>
    </row>
    <row r="12" spans="1:43" ht="13.5" customHeight="1">
      <c r="A12" s="55">
        <f>SUM(P5:P999)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7"/>
        <v>0</v>
      </c>
      <c r="V12" s="48">
        <f t="shared" si="18"/>
        <v>0</v>
      </c>
      <c r="W12" s="49">
        <f t="shared" si="19"/>
        <v>0</v>
      </c>
      <c r="X12" s="44">
        <f t="shared" si="20"/>
        <v>0</v>
      </c>
      <c r="Y12" s="44">
        <f t="shared" si="21"/>
        <v>0</v>
      </c>
      <c r="Z12" s="44">
        <f t="shared" si="22"/>
        <v>0</v>
      </c>
      <c r="AA12" s="50">
        <f t="shared" si="23"/>
        <v>0</v>
      </c>
      <c r="AB12" s="51">
        <f t="shared" si="24"/>
        <v>0</v>
      </c>
      <c r="AC12" s="44">
        <f t="shared" si="24"/>
        <v>0</v>
      </c>
      <c r="AD12" s="44">
        <f t="shared" si="25"/>
        <v>0</v>
      </c>
      <c r="AE12" s="44">
        <f t="shared" si="40"/>
        <v>0</v>
      </c>
      <c r="AF12" s="52" t="e">
        <f>HLOOKUP(I12,ElecAvoidedCostsWOCC!$A$5:$Q$50,G12+1,FALSE)</f>
        <v>#N/A</v>
      </c>
      <c r="AG12" s="44" t="e">
        <f t="shared" si="26"/>
        <v>#N/A</v>
      </c>
      <c r="AH12" s="52" t="e">
        <f>HLOOKUP(I12,ElecAvoidedCostsWOCC!$A$5:$Q$50,T12+1,FALSE)</f>
        <v>#N/A</v>
      </c>
      <c r="AI12" s="44" t="e">
        <f t="shared" si="27"/>
        <v>#N/A</v>
      </c>
      <c r="AJ12" s="44" t="e">
        <f t="shared" si="28"/>
        <v>#N/A</v>
      </c>
      <c r="AK12" s="44" t="e">
        <f>HLOOKUP(I12,ElecAvoidedCostsWOCC!$A$5:$Q$50,G12+1,FALSE)*J12*L12</f>
        <v>#N/A</v>
      </c>
      <c r="AL12" s="44" t="e">
        <f t="shared" si="29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30"/>
        <v>0</v>
      </c>
      <c r="AO12" s="47">
        <f t="shared" si="31"/>
        <v>0</v>
      </c>
      <c r="AP12" s="47" t="e">
        <f t="shared" si="32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7"/>
        <v>0</v>
      </c>
      <c r="V13" s="48">
        <f t="shared" si="18"/>
        <v>0</v>
      </c>
      <c r="W13" s="49">
        <f t="shared" si="19"/>
        <v>0</v>
      </c>
      <c r="X13" s="44">
        <f t="shared" si="20"/>
        <v>0</v>
      </c>
      <c r="Y13" s="44">
        <f t="shared" si="21"/>
        <v>0</v>
      </c>
      <c r="Z13" s="44">
        <f t="shared" si="22"/>
        <v>0</v>
      </c>
      <c r="AA13" s="50">
        <f t="shared" si="23"/>
        <v>0</v>
      </c>
      <c r="AB13" s="51">
        <f t="shared" si="24"/>
        <v>0</v>
      </c>
      <c r="AC13" s="44">
        <f t="shared" si="24"/>
        <v>0</v>
      </c>
      <c r="AD13" s="44">
        <f t="shared" si="25"/>
        <v>0</v>
      </c>
      <c r="AE13" s="44">
        <f t="shared" si="40"/>
        <v>0</v>
      </c>
      <c r="AF13" s="52" t="e">
        <f>HLOOKUP(I13,ElecAvoidedCostsWOCC!$A$5:$Q$50,G13+1,FALSE)</f>
        <v>#N/A</v>
      </c>
      <c r="AG13" s="44" t="e">
        <f t="shared" si="26"/>
        <v>#N/A</v>
      </c>
      <c r="AH13" s="52" t="e">
        <f>HLOOKUP(I13,ElecAvoidedCostsWOCC!$A$5:$Q$50,T13+1,FALSE)</f>
        <v>#N/A</v>
      </c>
      <c r="AI13" s="44" t="e">
        <f t="shared" si="27"/>
        <v>#N/A</v>
      </c>
      <c r="AJ13" s="44" t="e">
        <f t="shared" si="28"/>
        <v>#N/A</v>
      </c>
      <c r="AK13" s="44" t="e">
        <f>HLOOKUP(I13,ElecAvoidedCostsWOCC!$A$5:$Q$50,G13+1,FALSE)*J13*L13</f>
        <v>#N/A</v>
      </c>
      <c r="AL13" s="44" t="e">
        <f t="shared" si="29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30"/>
        <v>0</v>
      </c>
      <c r="AO13" s="47">
        <f t="shared" si="31"/>
        <v>0</v>
      </c>
      <c r="AP13" s="47" t="e">
        <f t="shared" si="32"/>
        <v>#DIV/0!</v>
      </c>
    </row>
    <row r="14" spans="1:43" ht="13.5" customHeight="1">
      <c r="A14" s="55">
        <f>SUM(Y5:Y999)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7"/>
        <v>0</v>
      </c>
      <c r="V14" s="48">
        <f t="shared" si="18"/>
        <v>0</v>
      </c>
      <c r="W14" s="49">
        <f t="shared" si="19"/>
        <v>0</v>
      </c>
      <c r="X14" s="44">
        <f t="shared" si="20"/>
        <v>0</v>
      </c>
      <c r="Y14" s="44">
        <f t="shared" si="21"/>
        <v>0</v>
      </c>
      <c r="Z14" s="44">
        <f t="shared" si="22"/>
        <v>0</v>
      </c>
      <c r="AA14" s="50">
        <f t="shared" si="23"/>
        <v>0</v>
      </c>
      <c r="AB14" s="51">
        <f t="shared" si="24"/>
        <v>0</v>
      </c>
      <c r="AC14" s="44">
        <f t="shared" si="24"/>
        <v>0</v>
      </c>
      <c r="AD14" s="44">
        <f t="shared" si="25"/>
        <v>0</v>
      </c>
      <c r="AE14" s="44">
        <f t="shared" si="40"/>
        <v>0</v>
      </c>
      <c r="AF14" s="52" t="e">
        <f>HLOOKUP(I14,ElecAvoidedCostsWOCC!$A$5:$Q$50,G14+1,FALSE)</f>
        <v>#N/A</v>
      </c>
      <c r="AG14" s="44" t="e">
        <f t="shared" si="26"/>
        <v>#N/A</v>
      </c>
      <c r="AH14" s="52" t="e">
        <f>HLOOKUP(I14,ElecAvoidedCostsWOCC!$A$5:$Q$50,T14+1,FALSE)</f>
        <v>#N/A</v>
      </c>
      <c r="AI14" s="44" t="e">
        <f t="shared" si="27"/>
        <v>#N/A</v>
      </c>
      <c r="AJ14" s="44" t="e">
        <f t="shared" si="28"/>
        <v>#N/A</v>
      </c>
      <c r="AK14" s="44" t="e">
        <f>HLOOKUP(I14,ElecAvoidedCostsWOCC!$A$5:$Q$50,G14+1,FALSE)*J14*L14</f>
        <v>#N/A</v>
      </c>
      <c r="AL14" s="44" t="e">
        <f t="shared" si="29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30"/>
        <v>0</v>
      </c>
      <c r="AO14" s="47">
        <f t="shared" si="31"/>
        <v>0</v>
      </c>
      <c r="AP14" s="47" t="e">
        <f t="shared" si="32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7"/>
        <v>0</v>
      </c>
      <c r="V15" s="48">
        <f t="shared" si="18"/>
        <v>0</v>
      </c>
      <c r="W15" s="49">
        <f t="shared" si="19"/>
        <v>0</v>
      </c>
      <c r="X15" s="44">
        <f t="shared" si="20"/>
        <v>0</v>
      </c>
      <c r="Y15" s="44">
        <f t="shared" si="21"/>
        <v>0</v>
      </c>
      <c r="Z15" s="44">
        <f t="shared" si="22"/>
        <v>0</v>
      </c>
      <c r="AA15" s="50">
        <f t="shared" si="23"/>
        <v>0</v>
      </c>
      <c r="AB15" s="51">
        <f t="shared" si="24"/>
        <v>0</v>
      </c>
      <c r="AC15" s="44">
        <f t="shared" si="24"/>
        <v>0</v>
      </c>
      <c r="AD15" s="44">
        <f t="shared" si="25"/>
        <v>0</v>
      </c>
      <c r="AE15" s="44">
        <f t="shared" si="40"/>
        <v>0</v>
      </c>
      <c r="AF15" s="52" t="e">
        <f>HLOOKUP(I15,ElecAvoidedCostsWOCC!$A$5:$Q$50,G15+1,FALSE)</f>
        <v>#N/A</v>
      </c>
      <c r="AG15" s="44" t="e">
        <f t="shared" si="26"/>
        <v>#N/A</v>
      </c>
      <c r="AH15" s="52" t="e">
        <f>HLOOKUP(I15,ElecAvoidedCostsWOCC!$A$5:$Q$50,T15+1,FALSE)</f>
        <v>#N/A</v>
      </c>
      <c r="AI15" s="44" t="e">
        <f t="shared" si="27"/>
        <v>#N/A</v>
      </c>
      <c r="AJ15" s="44" t="e">
        <f t="shared" si="28"/>
        <v>#N/A</v>
      </c>
      <c r="AK15" s="44" t="e">
        <f>HLOOKUP(I15,ElecAvoidedCostsWOCC!$A$5:$Q$50,G15+1,FALSE)*J15*L15</f>
        <v>#N/A</v>
      </c>
      <c r="AL15" s="44" t="e">
        <f t="shared" si="29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30"/>
        <v>0</v>
      </c>
      <c r="AO15" s="47">
        <f t="shared" si="31"/>
        <v>0</v>
      </c>
      <c r="AP15" s="47" t="e">
        <f t="shared" si="32"/>
        <v>#DIV/0!</v>
      </c>
    </row>
    <row r="16" spans="1:43" ht="13.5" customHeight="1">
      <c r="A16" s="54">
        <f>SUM(U5:U998)</f>
        <v>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7"/>
        <v>0</v>
      </c>
      <c r="V16" s="48">
        <f t="shared" si="18"/>
        <v>0</v>
      </c>
      <c r="W16" s="49">
        <f t="shared" si="19"/>
        <v>0</v>
      </c>
      <c r="X16" s="44">
        <f t="shared" si="20"/>
        <v>0</v>
      </c>
      <c r="Y16" s="44">
        <f t="shared" si="21"/>
        <v>0</v>
      </c>
      <c r="Z16" s="44">
        <f t="shared" si="22"/>
        <v>0</v>
      </c>
      <c r="AA16" s="50">
        <f t="shared" si="23"/>
        <v>0</v>
      </c>
      <c r="AB16" s="51">
        <f t="shared" si="24"/>
        <v>0</v>
      </c>
      <c r="AC16" s="44">
        <f t="shared" si="24"/>
        <v>0</v>
      </c>
      <c r="AD16" s="44">
        <f t="shared" si="25"/>
        <v>0</v>
      </c>
      <c r="AE16" s="44">
        <f t="shared" si="40"/>
        <v>0</v>
      </c>
      <c r="AF16" s="52" t="e">
        <f>HLOOKUP(I16,ElecAvoidedCostsWOCC!$A$5:$Q$50,G16+1,FALSE)</f>
        <v>#N/A</v>
      </c>
      <c r="AG16" s="44" t="e">
        <f t="shared" si="26"/>
        <v>#N/A</v>
      </c>
      <c r="AH16" s="52" t="e">
        <f>HLOOKUP(I16,ElecAvoidedCostsWOCC!$A$5:$Q$50,T16+1,FALSE)</f>
        <v>#N/A</v>
      </c>
      <c r="AI16" s="44" t="e">
        <f t="shared" si="27"/>
        <v>#N/A</v>
      </c>
      <c r="AJ16" s="44" t="e">
        <f t="shared" si="28"/>
        <v>#N/A</v>
      </c>
      <c r="AK16" s="44" t="e">
        <f>HLOOKUP(I16,ElecAvoidedCostsWOCC!$A$5:$Q$50,G16+1,FALSE)*J16*L16</f>
        <v>#N/A</v>
      </c>
      <c r="AL16" s="44" t="e">
        <f t="shared" si="29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30"/>
        <v>0</v>
      </c>
      <c r="AO16" s="47">
        <f t="shared" si="31"/>
        <v>0</v>
      </c>
      <c r="AP16" s="47" t="e">
        <f t="shared" si="32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7"/>
        <v>0</v>
      </c>
      <c r="V17" s="48">
        <f t="shared" si="18"/>
        <v>0</v>
      </c>
      <c r="W17" s="49">
        <f t="shared" si="19"/>
        <v>0</v>
      </c>
      <c r="X17" s="44">
        <f t="shared" si="20"/>
        <v>0</v>
      </c>
      <c r="Y17" s="44">
        <f t="shared" si="21"/>
        <v>0</v>
      </c>
      <c r="Z17" s="44">
        <f t="shared" si="22"/>
        <v>0</v>
      </c>
      <c r="AA17" s="50">
        <f t="shared" si="23"/>
        <v>0</v>
      </c>
      <c r="AB17" s="51">
        <f t="shared" si="24"/>
        <v>0</v>
      </c>
      <c r="AC17" s="44">
        <f t="shared" si="24"/>
        <v>0</v>
      </c>
      <c r="AD17" s="44">
        <f t="shared" si="25"/>
        <v>0</v>
      </c>
      <c r="AE17" s="44">
        <f t="shared" si="40"/>
        <v>0</v>
      </c>
      <c r="AF17" s="52" t="e">
        <f>HLOOKUP(I17,ElecAvoidedCostsWOCC!$A$5:$Q$50,G17+1,FALSE)</f>
        <v>#N/A</v>
      </c>
      <c r="AG17" s="44" t="e">
        <f t="shared" si="26"/>
        <v>#N/A</v>
      </c>
      <c r="AH17" s="52" t="e">
        <f>HLOOKUP(I17,ElecAvoidedCostsWOCC!$A$5:$Q$50,T17+1,FALSE)</f>
        <v>#N/A</v>
      </c>
      <c r="AI17" s="44" t="e">
        <f t="shared" si="27"/>
        <v>#N/A</v>
      </c>
      <c r="AJ17" s="44" t="e">
        <f t="shared" si="28"/>
        <v>#N/A</v>
      </c>
      <c r="AK17" s="44" t="e">
        <f>HLOOKUP(I17,ElecAvoidedCostsWOCC!$A$5:$Q$50,G17+1,FALSE)*J17*L17</f>
        <v>#N/A</v>
      </c>
      <c r="AL17" s="44" t="e">
        <f t="shared" si="29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30"/>
        <v>0</v>
      </c>
      <c r="AO17" s="47">
        <f t="shared" si="31"/>
        <v>0</v>
      </c>
      <c r="AP17" s="47" t="e">
        <f t="shared" si="32"/>
        <v>#DIV/0!</v>
      </c>
    </row>
    <row r="18" spans="1:42" ht="13.5" customHeight="1">
      <c r="A18" s="59">
        <f>A6+A8</f>
        <v>671679.5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7"/>
        <v>0</v>
      </c>
      <c r="V18" s="48">
        <f t="shared" si="18"/>
        <v>0</v>
      </c>
      <c r="W18" s="49">
        <f t="shared" si="19"/>
        <v>0</v>
      </c>
      <c r="X18" s="44">
        <f t="shared" si="20"/>
        <v>0</v>
      </c>
      <c r="Y18" s="44">
        <f t="shared" si="21"/>
        <v>0</v>
      </c>
      <c r="Z18" s="44">
        <f t="shared" si="22"/>
        <v>0</v>
      </c>
      <c r="AA18" s="50">
        <f t="shared" si="23"/>
        <v>0</v>
      </c>
      <c r="AB18" s="51">
        <f t="shared" si="24"/>
        <v>0</v>
      </c>
      <c r="AC18" s="44">
        <f t="shared" si="24"/>
        <v>0</v>
      </c>
      <c r="AD18" s="44">
        <f t="shared" si="25"/>
        <v>0</v>
      </c>
      <c r="AE18" s="44">
        <f t="shared" si="40"/>
        <v>0</v>
      </c>
      <c r="AF18" s="52" t="e">
        <f>HLOOKUP(I18,ElecAvoidedCostsWOCC!$A$5:$Q$50,G18+1,FALSE)</f>
        <v>#N/A</v>
      </c>
      <c r="AG18" s="44" t="e">
        <f t="shared" si="26"/>
        <v>#N/A</v>
      </c>
      <c r="AH18" s="52" t="e">
        <f>HLOOKUP(I18,ElecAvoidedCostsWOCC!$A$5:$Q$50,T18+1,FALSE)</f>
        <v>#N/A</v>
      </c>
      <c r="AI18" s="44" t="e">
        <f t="shared" si="27"/>
        <v>#N/A</v>
      </c>
      <c r="AJ18" s="44" t="e">
        <f t="shared" si="28"/>
        <v>#N/A</v>
      </c>
      <c r="AK18" s="44" t="e">
        <f>HLOOKUP(I18,ElecAvoidedCostsWOCC!$A$5:$Q$50,G18+1,FALSE)*J18*L18</f>
        <v>#N/A</v>
      </c>
      <c r="AL18" s="44" t="e">
        <f t="shared" si="29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30"/>
        <v>0</v>
      </c>
      <c r="AO18" s="47">
        <f t="shared" si="31"/>
        <v>0</v>
      </c>
      <c r="AP18" s="47" t="e">
        <f t="shared" si="32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7"/>
        <v>0</v>
      </c>
      <c r="V19" s="48">
        <f t="shared" si="18"/>
        <v>0</v>
      </c>
      <c r="W19" s="49">
        <f t="shared" si="19"/>
        <v>0</v>
      </c>
      <c r="X19" s="44">
        <f t="shared" si="20"/>
        <v>0</v>
      </c>
      <c r="Y19" s="44">
        <f t="shared" si="21"/>
        <v>0</v>
      </c>
      <c r="Z19" s="44">
        <f t="shared" si="22"/>
        <v>0</v>
      </c>
      <c r="AA19" s="50">
        <f t="shared" si="23"/>
        <v>0</v>
      </c>
      <c r="AB19" s="51">
        <f t="shared" si="24"/>
        <v>0</v>
      </c>
      <c r="AC19" s="44">
        <f t="shared" si="24"/>
        <v>0</v>
      </c>
      <c r="AD19" s="44">
        <f t="shared" si="25"/>
        <v>0</v>
      </c>
      <c r="AE19" s="44">
        <f t="shared" si="40"/>
        <v>0</v>
      </c>
      <c r="AF19" s="52" t="e">
        <f>HLOOKUP(I19,ElecAvoidedCostsWOCC!$A$5:$Q$50,G19+1,FALSE)</f>
        <v>#N/A</v>
      </c>
      <c r="AG19" s="44" t="e">
        <f t="shared" si="26"/>
        <v>#N/A</v>
      </c>
      <c r="AH19" s="52" t="e">
        <f>HLOOKUP(I19,ElecAvoidedCostsWOCC!$A$5:$Q$50,T19+1,FALSE)</f>
        <v>#N/A</v>
      </c>
      <c r="AI19" s="44" t="e">
        <f t="shared" si="27"/>
        <v>#N/A</v>
      </c>
      <c r="AJ19" s="44" t="e">
        <f t="shared" si="28"/>
        <v>#N/A</v>
      </c>
      <c r="AK19" s="44" t="e">
        <f>HLOOKUP(I19,ElecAvoidedCostsWOCC!$A$5:$Q$50,G19+1,FALSE)*J19*L19</f>
        <v>#N/A</v>
      </c>
      <c r="AL19" s="44" t="e">
        <f t="shared" si="29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30"/>
        <v>0</v>
      </c>
      <c r="AO19" s="47">
        <f t="shared" si="31"/>
        <v>0</v>
      </c>
      <c r="AP19" s="47" t="e">
        <f t="shared" si="32"/>
        <v>#DIV/0!</v>
      </c>
    </row>
    <row r="20" spans="1:42" ht="13.5" customHeight="1">
      <c r="A20" s="59">
        <f>A8+SUM(Q5:Q905)</f>
        <v>576297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7"/>
        <v>0</v>
      </c>
      <c r="V20" s="48">
        <f t="shared" si="18"/>
        <v>0</v>
      </c>
      <c r="W20" s="49">
        <f t="shared" si="19"/>
        <v>0</v>
      </c>
      <c r="X20" s="44">
        <f t="shared" si="20"/>
        <v>0</v>
      </c>
      <c r="Y20" s="44">
        <f t="shared" si="21"/>
        <v>0</v>
      </c>
      <c r="Z20" s="44">
        <f t="shared" si="22"/>
        <v>0</v>
      </c>
      <c r="AA20" s="50">
        <f t="shared" si="23"/>
        <v>0</v>
      </c>
      <c r="AB20" s="51">
        <f t="shared" ref="AB20:AC23" si="41">Z20/(1+ElecDiscountRate)^1</f>
        <v>0</v>
      </c>
      <c r="AC20" s="44">
        <f t="shared" si="41"/>
        <v>0</v>
      </c>
      <c r="AD20" s="44">
        <f t="shared" si="25"/>
        <v>0</v>
      </c>
      <c r="AE20" s="44">
        <f t="shared" si="40"/>
        <v>0</v>
      </c>
      <c r="AF20" s="52" t="e">
        <f>HLOOKUP(I20,ElecAvoidedCostsWOCC!$A$5:$Q$50,G20+1,FALSE)</f>
        <v>#N/A</v>
      </c>
      <c r="AG20" s="44" t="e">
        <f t="shared" si="26"/>
        <v>#N/A</v>
      </c>
      <c r="AH20" s="52" t="e">
        <f>HLOOKUP(I20,ElecAvoidedCostsWOCC!$A$5:$Q$50,T20+1,FALSE)</f>
        <v>#N/A</v>
      </c>
      <c r="AI20" s="44" t="e">
        <f t="shared" si="27"/>
        <v>#N/A</v>
      </c>
      <c r="AJ20" s="44" t="e">
        <f t="shared" si="28"/>
        <v>#N/A</v>
      </c>
      <c r="AK20" s="44" t="e">
        <f>HLOOKUP(I20,ElecAvoidedCostsWOCC!$A$5:$Q$50,G20+1,FALSE)*J20*L20</f>
        <v>#N/A</v>
      </c>
      <c r="AL20" s="44" t="e">
        <f t="shared" si="29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30"/>
        <v>0</v>
      </c>
      <c r="AO20" s="47">
        <f t="shared" si="31"/>
        <v>0</v>
      </c>
      <c r="AP20" s="47" t="e">
        <f t="shared" si="32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7"/>
        <v>0</v>
      </c>
      <c r="V21" s="48">
        <f t="shared" si="18"/>
        <v>0</v>
      </c>
      <c r="W21" s="49">
        <f t="shared" si="19"/>
        <v>0</v>
      </c>
      <c r="X21" s="44">
        <f t="shared" si="20"/>
        <v>0</v>
      </c>
      <c r="Y21" s="44">
        <f t="shared" si="21"/>
        <v>0</v>
      </c>
      <c r="Z21" s="44">
        <f t="shared" si="22"/>
        <v>0</v>
      </c>
      <c r="AA21" s="50">
        <f t="shared" si="23"/>
        <v>0</v>
      </c>
      <c r="AB21" s="51">
        <f t="shared" si="41"/>
        <v>0</v>
      </c>
      <c r="AC21" s="44">
        <f t="shared" si="41"/>
        <v>0</v>
      </c>
      <c r="AD21" s="44">
        <f t="shared" si="25"/>
        <v>0</v>
      </c>
      <c r="AE21" s="44">
        <f t="shared" si="40"/>
        <v>0</v>
      </c>
      <c r="AF21" s="52" t="e">
        <f>HLOOKUP(I21,ElecAvoidedCostsWOCC!$A$5:$Q$50,G21+1,FALSE)</f>
        <v>#N/A</v>
      </c>
      <c r="AG21" s="44" t="e">
        <f t="shared" si="26"/>
        <v>#N/A</v>
      </c>
      <c r="AH21" s="52" t="e">
        <f>HLOOKUP(I21,ElecAvoidedCostsWOCC!$A$5:$Q$50,T21+1,FALSE)</f>
        <v>#N/A</v>
      </c>
      <c r="AI21" s="44" t="e">
        <f t="shared" si="27"/>
        <v>#N/A</v>
      </c>
      <c r="AJ21" s="44" t="e">
        <f t="shared" si="28"/>
        <v>#N/A</v>
      </c>
      <c r="AK21" s="44" t="e">
        <f>HLOOKUP(I21,ElecAvoidedCostsWOCC!$A$5:$Q$50,G21+1,FALSE)*J21*L21</f>
        <v>#N/A</v>
      </c>
      <c r="AL21" s="44" t="e">
        <f t="shared" si="29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0"/>
        <v>0</v>
      </c>
      <c r="AO21" s="47">
        <f t="shared" si="31"/>
        <v>0</v>
      </c>
      <c r="AP21" s="47" t="e">
        <f t="shared" si="32"/>
        <v>#DIV/0!</v>
      </c>
    </row>
    <row r="22" spans="1:42" ht="13.5" customHeight="1">
      <c r="A22" s="60">
        <f>(SUM(AM5:AM999)/(SUM(AB5:AB999)))</f>
        <v>7.127122317545051E-2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7"/>
        <v>0</v>
      </c>
      <c r="V22" s="48">
        <f t="shared" si="18"/>
        <v>0</v>
      </c>
      <c r="W22" s="49">
        <f t="shared" si="19"/>
        <v>0</v>
      </c>
      <c r="X22" s="44">
        <f t="shared" si="20"/>
        <v>0</v>
      </c>
      <c r="Y22" s="44">
        <f t="shared" si="21"/>
        <v>0</v>
      </c>
      <c r="Z22" s="44">
        <f t="shared" si="22"/>
        <v>0</v>
      </c>
      <c r="AA22" s="50">
        <f t="shared" si="23"/>
        <v>0</v>
      </c>
      <c r="AB22" s="51">
        <f t="shared" si="41"/>
        <v>0</v>
      </c>
      <c r="AC22" s="44">
        <f t="shared" si="41"/>
        <v>0</v>
      </c>
      <c r="AD22" s="44">
        <f t="shared" si="25"/>
        <v>0</v>
      </c>
      <c r="AE22" s="44">
        <f t="shared" si="40"/>
        <v>0</v>
      </c>
      <c r="AF22" s="52" t="e">
        <f>HLOOKUP(I22,ElecAvoidedCostsWOCC!$A$5:$Q$50,G22+1,FALSE)</f>
        <v>#N/A</v>
      </c>
      <c r="AG22" s="44" t="e">
        <f t="shared" si="26"/>
        <v>#N/A</v>
      </c>
      <c r="AH22" s="52" t="e">
        <f>HLOOKUP(I22,ElecAvoidedCostsWOCC!$A$5:$Q$50,T22+1,FALSE)</f>
        <v>#N/A</v>
      </c>
      <c r="AI22" s="44" t="e">
        <f t="shared" si="27"/>
        <v>#N/A</v>
      </c>
      <c r="AJ22" s="44" t="e">
        <f t="shared" si="28"/>
        <v>#N/A</v>
      </c>
      <c r="AK22" s="44" t="e">
        <f>HLOOKUP(I22,ElecAvoidedCostsWOCC!$A$5:$Q$50,G22+1,FALSE)*J22*L22</f>
        <v>#N/A</v>
      </c>
      <c r="AL22" s="44" t="e">
        <f t="shared" si="29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0"/>
        <v>0</v>
      </c>
      <c r="AO22" s="47">
        <f t="shared" si="31"/>
        <v>0</v>
      </c>
      <c r="AP22" s="47" t="e">
        <f t="shared" si="32"/>
        <v>#DIV/0!</v>
      </c>
    </row>
    <row r="23" spans="1:42" ht="13.5" customHeight="1">
      <c r="A23" s="58" t="s">
        <v>246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7"/>
        <v>0</v>
      </c>
      <c r="V23" s="48">
        <f t="shared" si="18"/>
        <v>0</v>
      </c>
      <c r="W23" s="49">
        <f t="shared" si="19"/>
        <v>0</v>
      </c>
      <c r="X23" s="44">
        <f t="shared" si="20"/>
        <v>0</v>
      </c>
      <c r="Y23" s="44">
        <f t="shared" si="21"/>
        <v>0</v>
      </c>
      <c r="Z23" s="44">
        <f t="shared" si="22"/>
        <v>0</v>
      </c>
      <c r="AA23" s="50">
        <f t="shared" si="23"/>
        <v>0</v>
      </c>
      <c r="AB23" s="51">
        <f t="shared" si="41"/>
        <v>0</v>
      </c>
      <c r="AC23" s="44">
        <f t="shared" si="41"/>
        <v>0</v>
      </c>
      <c r="AD23" s="44">
        <f t="shared" si="25"/>
        <v>0</v>
      </c>
      <c r="AE23" s="44">
        <f t="shared" si="40"/>
        <v>0</v>
      </c>
      <c r="AF23" s="52" t="e">
        <f>HLOOKUP(I23,ElecAvoidedCostsWOCC!$A$5:$Q$50,G23+1,FALSE)</f>
        <v>#N/A</v>
      </c>
      <c r="AG23" s="44" t="e">
        <f t="shared" si="26"/>
        <v>#N/A</v>
      </c>
      <c r="AH23" s="52" t="e">
        <f>HLOOKUP(I23,ElecAvoidedCostsWOCC!$A$5:$Q$50,T23+1,FALSE)</f>
        <v>#N/A</v>
      </c>
      <c r="AI23" s="44" t="e">
        <f t="shared" si="27"/>
        <v>#N/A</v>
      </c>
      <c r="AJ23" s="44" t="e">
        <f t="shared" si="28"/>
        <v>#N/A</v>
      </c>
      <c r="AK23" s="44" t="e">
        <f>HLOOKUP(I23,ElecAvoidedCostsWOCC!$A$5:$Q$50,G23+1,FALSE)*J23*L23</f>
        <v>#N/A</v>
      </c>
      <c r="AL23" s="44" t="e">
        <f t="shared" si="29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0"/>
        <v>0</v>
      </c>
      <c r="AO23" s="47">
        <f t="shared" si="31"/>
        <v>0</v>
      </c>
      <c r="AP23" s="47" t="e">
        <f t="shared" si="32"/>
        <v>#DIV/0!</v>
      </c>
    </row>
    <row r="24" spans="1:42" ht="13.5" customHeight="1">
      <c r="A24" s="60">
        <f>(SUM(AN5:AN999)/SUM(AC5:AC999))</f>
        <v>9.1373998999756248E-2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3">
    <cfRule type="expression" dxfId="169" priority="4">
      <formula>ISTEXT(J5)</formula>
    </cfRule>
    <cfRule type="notContainsBlanks" dxfId="168" priority="5">
      <formula>LEN(TRIM(J5))&gt;0</formula>
    </cfRule>
  </conditionalFormatting>
  <conditionalFormatting sqref="M5:N23 R5:S23">
    <cfRule type="expression" dxfId="167" priority="2">
      <formula>ISTEXT(M5)</formula>
    </cfRule>
  </conditionalFormatting>
  <conditionalFormatting sqref="M5:N23 R5:S23">
    <cfRule type="notContainsBlanks" dxfId="166" priority="3">
      <formula>LEN(TRIM(M5))&gt;0</formula>
    </cfRule>
  </conditionalFormatting>
  <conditionalFormatting sqref="R5:S23">
    <cfRule type="expression" dxfId="1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Q28"/>
  <sheetViews>
    <sheetView zoomScale="85" zoomScaleNormal="85" workbookViewId="0">
      <selection activeCell="D10" sqref="D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18230140</v>
      </c>
      <c r="D2" s="20" t="s">
        <v>26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301</v>
      </c>
      <c r="C5" s="98">
        <v>18230140</v>
      </c>
      <c r="D5" s="61" t="s">
        <v>26</v>
      </c>
      <c r="E5" s="38" t="s">
        <v>1074</v>
      </c>
      <c r="F5" s="39" t="s">
        <v>1075</v>
      </c>
      <c r="G5" s="39">
        <v>13.5</v>
      </c>
      <c r="H5" s="39"/>
      <c r="I5" s="40" t="s">
        <v>256</v>
      </c>
      <c r="J5" s="41">
        <v>1</v>
      </c>
      <c r="K5" s="41">
        <v>143598</v>
      </c>
      <c r="L5" s="41"/>
      <c r="M5" s="42">
        <v>43079</v>
      </c>
      <c r="N5" s="42">
        <v>43079</v>
      </c>
      <c r="O5" s="43">
        <v>143598</v>
      </c>
      <c r="P5" s="44">
        <v>43079</v>
      </c>
      <c r="Q5" s="44">
        <v>43079</v>
      </c>
      <c r="R5" s="45"/>
      <c r="S5" s="46"/>
      <c r="T5" s="39">
        <f t="shared" ref="T5:T24" si="0">G5+H5</f>
        <v>13.5</v>
      </c>
      <c r="U5" s="47">
        <f t="shared" ref="U5:U24" si="1">(O5/$A$10)*T5</f>
        <v>3.1911139424287769</v>
      </c>
      <c r="V5" s="48">
        <f t="shared" ref="V5:V24" si="2">N5-M5</f>
        <v>0</v>
      </c>
      <c r="W5" s="49">
        <f t="shared" ref="W5:W24" si="3">(O5/A$10)</f>
        <v>0.23637881055027976</v>
      </c>
      <c r="X5" s="44">
        <f t="shared" ref="X5:X24" si="4">W5*A$8</f>
        <v>9072.8333338271659</v>
      </c>
      <c r="Y5" s="44">
        <f t="shared" ref="Y5:Y24" si="5">Q5-P5</f>
        <v>0</v>
      </c>
      <c r="Z5" s="44">
        <f t="shared" ref="Z5:Z24" si="6">X5+(A$6*W5)</f>
        <v>55146.609192234944</v>
      </c>
      <c r="AA5" s="50">
        <f t="shared" ref="AA5:AA24" si="7">Q5+X5</f>
        <v>52151.833333827162</v>
      </c>
      <c r="AB5" s="51">
        <f t="shared" ref="AB5:AC20" si="8">Z5/(1+ElecDiscountRate)^1</f>
        <v>51553.341303388741</v>
      </c>
      <c r="AC5" s="44">
        <f t="shared" si="8"/>
        <v>48753.700414908068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0.90851002629939792</v>
      </c>
      <c r="AG5" s="44">
        <f t="shared" ref="AG5:AG24" si="10">AF5*J5*K5</f>
        <v>130460.22275654094</v>
      </c>
      <c r="AH5" s="52">
        <f>HLOOKUP(I5,ElecAvoidedCostsWOCC!$A$5:$Q$50,T5+1,FALSE)</f>
        <v>0.90851002629939792</v>
      </c>
      <c r="AI5" s="44">
        <f t="shared" ref="AI5:AI24" si="11">AH5*J5*L5</f>
        <v>0</v>
      </c>
      <c r="AJ5" s="44">
        <f>AG5+AI5</f>
        <v>130460.22275654094</v>
      </c>
      <c r="AK5" s="44">
        <f>HLOOKUP(I5,ElecAvoidedCostsWOCC!$A$5:$Q$50,G5+1,FALSE)*J5*L5</f>
        <v>0</v>
      </c>
      <c r="AL5" s="44">
        <f>AG5+AI5-AK5</f>
        <v>130460.22275654094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130460.22275654094</v>
      </c>
      <c r="AN5" s="48">
        <f>AM5*1.1+AD5+AE5</f>
        <v>143506.24503219506</v>
      </c>
      <c r="AO5" s="47">
        <f>IFERROR(AM5/AB5,0)</f>
        <v>2.5305871444643966</v>
      </c>
      <c r="AP5" s="47">
        <f>AN5/AC5</f>
        <v>2.9434944180834579</v>
      </c>
      <c r="AQ5">
        <v>221</v>
      </c>
    </row>
    <row r="6" spans="1:43" ht="13.5" customHeight="1">
      <c r="A6" s="53">
        <f>SUMIF('Program Costs'!D:D,C2,'Program Costs'!L:L)+SUMIF('Program Costs'!D:D,C8,'Program Costs'!L:L)</f>
        <v>194915</v>
      </c>
      <c r="B6" s="97" t="s">
        <v>301</v>
      </c>
      <c r="C6" s="98">
        <v>18230140</v>
      </c>
      <c r="D6" s="61" t="s">
        <v>26</v>
      </c>
      <c r="E6" s="38" t="s">
        <v>1074</v>
      </c>
      <c r="F6" s="39" t="s">
        <v>1075</v>
      </c>
      <c r="G6" s="39">
        <v>12</v>
      </c>
      <c r="H6" s="39"/>
      <c r="I6" s="40" t="s">
        <v>256</v>
      </c>
      <c r="J6" s="41">
        <v>1</v>
      </c>
      <c r="K6" s="41">
        <v>253367</v>
      </c>
      <c r="L6" s="41"/>
      <c r="M6" s="42">
        <v>88678</v>
      </c>
      <c r="N6" s="42">
        <v>88678</v>
      </c>
      <c r="O6" s="43">
        <v>253367</v>
      </c>
      <c r="P6" s="44">
        <v>88678</v>
      </c>
      <c r="Q6" s="44">
        <v>88678</v>
      </c>
      <c r="R6" s="45"/>
      <c r="S6" s="46"/>
      <c r="T6" s="39">
        <f t="shared" si="0"/>
        <v>12</v>
      </c>
      <c r="U6" s="47">
        <f t="shared" si="1"/>
        <v>5.0048543929045861</v>
      </c>
      <c r="V6" s="48">
        <f t="shared" si="2"/>
        <v>0</v>
      </c>
      <c r="W6" s="49">
        <f t="shared" si="3"/>
        <v>0.41707119940871551</v>
      </c>
      <c r="X6" s="44">
        <f t="shared" si="4"/>
        <v>16008.27701842496</v>
      </c>
      <c r="Y6" s="44">
        <f t="shared" si="5"/>
        <v>0</v>
      </c>
      <c r="Z6" s="44">
        <f t="shared" si="6"/>
        <v>97301.709851174732</v>
      </c>
      <c r="AA6" s="50">
        <f t="shared" si="7"/>
        <v>104686.27701842497</v>
      </c>
      <c r="AB6" s="51">
        <f t="shared" si="8"/>
        <v>90961.680705968698</v>
      </c>
      <c r="AC6" s="44">
        <f t="shared" si="8"/>
        <v>97865.080881018002</v>
      </c>
      <c r="AD6" s="44">
        <f t="shared" si="9"/>
        <v>0</v>
      </c>
      <c r="AE6" s="44">
        <v>0</v>
      </c>
      <c r="AF6" s="52">
        <f>HLOOKUP(I6,ElecAvoidedCostsWOCC!$A$5:$Q$50,G6+1,FALSE)</f>
        <v>0.84449631507500578</v>
      </c>
      <c r="AG6" s="44">
        <f t="shared" si="10"/>
        <v>213967.49786160898</v>
      </c>
      <c r="AH6" s="52">
        <f>HLOOKUP(I6,ElecAvoidedCostsWOCC!$A$5:$Q$50,T6+1,FALSE)</f>
        <v>0.84449631507500578</v>
      </c>
      <c r="AI6" s="44">
        <f t="shared" si="11"/>
        <v>0</v>
      </c>
      <c r="AJ6" s="44">
        <f t="shared" ref="AJ6:AJ24" si="12">AG6+AI6</f>
        <v>213967.49786160898</v>
      </c>
      <c r="AK6" s="44">
        <f>HLOOKUP(I6,ElecAvoidedCostsWOCC!$A$5:$Q$50,G6+1,FALSE)*J6*L6</f>
        <v>0</v>
      </c>
      <c r="AL6" s="44">
        <f t="shared" ref="AL6:AL24" si="13">AG6+AI6-AK6</f>
        <v>213967.49786160898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213967.49786160898</v>
      </c>
      <c r="AN6" s="48">
        <f t="shared" ref="AN6:AN24" si="14">AM6*1.1+AD6+AE6</f>
        <v>235364.24764776989</v>
      </c>
      <c r="AO6" s="47">
        <f t="shared" ref="AO6:AO24" si="15">IFERROR(AM6/AB6,0)</f>
        <v>2.3522817102869222</v>
      </c>
      <c r="AP6" s="47">
        <f t="shared" ref="AP6:AP24" si="16">AN6/AC6</f>
        <v>2.4049870038315304</v>
      </c>
      <c r="AQ6">
        <v>2021</v>
      </c>
    </row>
    <row r="7" spans="1:43" ht="13.5" customHeight="1">
      <c r="A7" s="36" t="s">
        <v>249</v>
      </c>
      <c r="B7" s="97" t="s">
        <v>301</v>
      </c>
      <c r="C7" s="98">
        <v>18230140</v>
      </c>
      <c r="D7" s="61" t="s">
        <v>26</v>
      </c>
      <c r="E7" s="38" t="s">
        <v>1074</v>
      </c>
      <c r="F7" s="39" t="s">
        <v>1075</v>
      </c>
      <c r="G7" s="39">
        <v>15</v>
      </c>
      <c r="H7" s="39"/>
      <c r="I7" s="40" t="s">
        <v>256</v>
      </c>
      <c r="J7" s="41">
        <v>1</v>
      </c>
      <c r="K7" s="41">
        <v>210526</v>
      </c>
      <c r="L7" s="41"/>
      <c r="M7" s="42">
        <v>63158</v>
      </c>
      <c r="N7" s="42">
        <v>63158</v>
      </c>
      <c r="O7" s="43">
        <v>210526</v>
      </c>
      <c r="P7" s="44">
        <v>63158</v>
      </c>
      <c r="Q7" s="44">
        <v>63158</v>
      </c>
      <c r="R7" s="45"/>
      <c r="S7" s="46"/>
      <c r="T7" s="39">
        <f t="shared" si="0"/>
        <v>15</v>
      </c>
      <c r="U7" s="47">
        <f t="shared" si="1"/>
        <v>5.1982498506150705</v>
      </c>
      <c r="V7" s="48">
        <f t="shared" si="2"/>
        <v>0</v>
      </c>
      <c r="W7" s="49">
        <f t="shared" si="3"/>
        <v>0.34654999004100473</v>
      </c>
      <c r="X7" s="44">
        <f t="shared" si="4"/>
        <v>13301.489647747865</v>
      </c>
      <c r="Y7" s="44">
        <f t="shared" si="5"/>
        <v>0</v>
      </c>
      <c r="Z7" s="44">
        <f t="shared" si="6"/>
        <v>80849.280956590301</v>
      </c>
      <c r="AA7" s="50">
        <f t="shared" si="7"/>
        <v>76459.489647747861</v>
      </c>
      <c r="AB7" s="51">
        <f t="shared" si="8"/>
        <v>75581.266669711404</v>
      </c>
      <c r="AC7" s="44">
        <f t="shared" si="8"/>
        <v>71477.507383142802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216714.7031678145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216714.7031678145</v>
      </c>
      <c r="AK7" s="44">
        <f>HLOOKUP(I7,ElecAvoidedCostsWOCC!$A$5:$Q$50,G7+1,FALSE)*J7*L7</f>
        <v>0</v>
      </c>
      <c r="AL7" s="44">
        <f t="shared" si="13"/>
        <v>216714.7031678145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216714.7031678145</v>
      </c>
      <c r="AN7" s="48">
        <f t="shared" si="14"/>
        <v>238386.17348459596</v>
      </c>
      <c r="AO7" s="47">
        <f t="shared" si="15"/>
        <v>2.8673071081866532</v>
      </c>
      <c r="AP7" s="47">
        <f t="shared" si="16"/>
        <v>3.3351215258076663</v>
      </c>
      <c r="AQ7">
        <v>2021</v>
      </c>
    </row>
    <row r="8" spans="1:43" ht="13.5" customHeight="1">
      <c r="A8" s="53">
        <f>SUMIF('Program Costs'!D:D,C2,'Program Costs'!O:O)+SUMIF('Program Costs'!D:D,C8,'Program Costs'!O:O)</f>
        <v>38382.599999999991</v>
      </c>
      <c r="B8" s="97"/>
      <c r="C8" s="100">
        <v>18231128</v>
      </c>
      <c r="D8" s="100" t="s">
        <v>1809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  <c r="AQ8">
        <v>2021</v>
      </c>
    </row>
    <row r="9" spans="1:43" ht="13.5" customHeight="1">
      <c r="A9" s="36" t="s">
        <v>250</v>
      </c>
      <c r="B9" s="97" t="s">
        <v>25</v>
      </c>
      <c r="C9" s="100">
        <v>18230140</v>
      </c>
      <c r="D9" s="100" t="s">
        <v>26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  <c r="AQ9">
        <v>2020</v>
      </c>
    </row>
    <row r="10" spans="1:43" ht="13.5" customHeight="1">
      <c r="A10" s="54">
        <f>SUM(O5:O999)</f>
        <v>607491</v>
      </c>
      <c r="B10" s="97" t="s">
        <v>25</v>
      </c>
      <c r="C10" s="100">
        <v>18231128</v>
      </c>
      <c r="D10" s="100" t="s">
        <v>162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  <c r="AQ10">
        <v>2020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194915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13.394218185948434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233297.59999999998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233297.59999999998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2.5729113832454606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2.8302025215700071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64" priority="4">
      <formula>ISTEXT(J5)</formula>
    </cfRule>
    <cfRule type="notContainsBlanks" dxfId="163" priority="5">
      <formula>LEN(TRIM(J5))&gt;0</formula>
    </cfRule>
  </conditionalFormatting>
  <conditionalFormatting sqref="M5:N24 R5:S24">
    <cfRule type="expression" dxfId="162" priority="2">
      <formula>ISTEXT(M5)</formula>
    </cfRule>
  </conditionalFormatting>
  <conditionalFormatting sqref="M5:N24 R5:S24">
    <cfRule type="notContainsBlanks" dxfId="161" priority="3">
      <formula>LEN(TRIM(M5))&gt;0</formula>
    </cfRule>
  </conditionalFormatting>
  <conditionalFormatting sqref="R5:S24">
    <cfRule type="expression" dxfId="1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Q28"/>
  <sheetViews>
    <sheetView zoomScale="85" zoomScaleNormal="85" workbookViewId="0">
      <selection activeCell="D10" sqref="D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18230134</v>
      </c>
      <c r="D2" s="20" t="s">
        <v>174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173</v>
      </c>
      <c r="C5" s="98">
        <v>18230134</v>
      </c>
      <c r="D5" s="61" t="s">
        <v>174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25615.18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25615.18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25615.18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59" priority="4">
      <formula>ISTEXT(J5)</formula>
    </cfRule>
    <cfRule type="notContainsBlanks" dxfId="158" priority="5">
      <formula>LEN(TRIM(J5))&gt;0</formula>
    </cfRule>
  </conditionalFormatting>
  <conditionalFormatting sqref="M5:N24 R5:S24">
    <cfRule type="expression" dxfId="157" priority="2">
      <formula>ISTEXT(M5)</formula>
    </cfRule>
  </conditionalFormatting>
  <conditionalFormatting sqref="M5:N24 R5:S24">
    <cfRule type="notContainsBlanks" dxfId="156" priority="3">
      <formula>LEN(TRIM(M5))&gt;0</formula>
    </cfRule>
  </conditionalFormatting>
  <conditionalFormatting sqref="R5:S24">
    <cfRule type="expression" dxfId="1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24"/>
  <sheetViews>
    <sheetView zoomScale="85" zoomScaleNormal="85" workbookViewId="0">
      <pane ySplit="1" topLeftCell="A2" activePane="bottomLeft" state="frozen"/>
      <selection pane="bottomLeft" activeCell="F129" sqref="F129"/>
    </sheetView>
  </sheetViews>
  <sheetFormatPr defaultRowHeight="15"/>
  <cols>
    <col min="3" max="3" width="45.85546875" customWidth="1"/>
    <col min="4" max="4" width="13.28515625" customWidth="1"/>
    <col min="5" max="15" width="15.28515625" customWidth="1"/>
    <col min="16" max="16" width="23.7109375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3" t="s">
        <v>14</v>
      </c>
      <c r="P1" s="494" t="s">
        <v>518</v>
      </c>
    </row>
    <row r="2" spans="1:16" hidden="1">
      <c r="B2" t="s">
        <v>19</v>
      </c>
      <c r="C2" t="s">
        <v>20</v>
      </c>
      <c r="D2">
        <v>18230411</v>
      </c>
      <c r="E2" s="4">
        <v>239727.13</v>
      </c>
      <c r="F2" s="4">
        <v>214827.2</v>
      </c>
      <c r="G2" s="4">
        <v>0</v>
      </c>
      <c r="H2" s="4">
        <v>0</v>
      </c>
      <c r="I2" s="4">
        <v>1135217.27</v>
      </c>
      <c r="J2" s="4">
        <v>3202.26</v>
      </c>
      <c r="K2" s="4">
        <v>634.6</v>
      </c>
      <c r="L2" s="4">
        <v>0</v>
      </c>
      <c r="M2" s="4">
        <v>0</v>
      </c>
      <c r="N2" s="5">
        <v>1593608.4600000002</v>
      </c>
      <c r="O2" s="5">
        <v>1593608.4600000002</v>
      </c>
      <c r="P2" t="s">
        <v>524</v>
      </c>
    </row>
    <row r="3" spans="1:16" hidden="1">
      <c r="B3" t="s">
        <v>23</v>
      </c>
      <c r="C3" t="s">
        <v>24</v>
      </c>
      <c r="D3">
        <v>18230667</v>
      </c>
      <c r="E3" s="4">
        <v>82748.83</v>
      </c>
      <c r="F3" s="4">
        <v>74944.259999999995</v>
      </c>
      <c r="G3" s="4">
        <v>0</v>
      </c>
      <c r="H3" s="4">
        <v>0</v>
      </c>
      <c r="I3" s="4">
        <v>271062.09000000003</v>
      </c>
      <c r="J3" s="4">
        <v>800.56</v>
      </c>
      <c r="K3" s="4">
        <v>158.65</v>
      </c>
      <c r="L3" s="4">
        <v>0</v>
      </c>
      <c r="M3" s="4">
        <v>0</v>
      </c>
      <c r="N3" s="5">
        <v>429714.39000000007</v>
      </c>
      <c r="O3" s="5">
        <v>429714.39000000007</v>
      </c>
      <c r="P3" t="s">
        <v>524</v>
      </c>
    </row>
    <row r="4" spans="1:16" hidden="1">
      <c r="B4" t="s">
        <v>29</v>
      </c>
      <c r="C4" t="s">
        <v>30</v>
      </c>
      <c r="D4">
        <v>18230624</v>
      </c>
      <c r="E4" s="4">
        <v>0</v>
      </c>
      <c r="F4" s="4">
        <v>0</v>
      </c>
      <c r="G4" s="4">
        <v>0</v>
      </c>
      <c r="H4" s="4">
        <v>0</v>
      </c>
      <c r="I4" s="4">
        <v>121941</v>
      </c>
      <c r="J4" s="4">
        <v>0</v>
      </c>
      <c r="K4" s="4">
        <v>0</v>
      </c>
      <c r="L4" s="4">
        <v>0</v>
      </c>
      <c r="M4" s="4">
        <v>0</v>
      </c>
      <c r="N4" s="5">
        <v>121941</v>
      </c>
      <c r="O4" s="5">
        <v>121941</v>
      </c>
      <c r="P4" t="s">
        <v>525</v>
      </c>
    </row>
    <row r="5" spans="1:16" hidden="1">
      <c r="B5" t="s">
        <v>1825</v>
      </c>
      <c r="C5" t="s">
        <v>1826</v>
      </c>
      <c r="D5">
        <v>18230482</v>
      </c>
      <c r="E5" s="4">
        <v>0</v>
      </c>
      <c r="F5" s="4">
        <v>0</v>
      </c>
      <c r="G5" s="4">
        <v>47.25</v>
      </c>
      <c r="H5" s="4">
        <v>0</v>
      </c>
      <c r="I5" s="4">
        <v>0</v>
      </c>
      <c r="J5" s="4">
        <v>424.98</v>
      </c>
      <c r="K5" s="4">
        <v>0</v>
      </c>
      <c r="L5" s="4">
        <v>0</v>
      </c>
      <c r="M5" s="4">
        <v>0</v>
      </c>
      <c r="N5" s="5">
        <v>472.23</v>
      </c>
      <c r="O5" s="5">
        <v>472.23</v>
      </c>
      <c r="P5" t="s">
        <v>524</v>
      </c>
    </row>
    <row r="6" spans="1:16" hidden="1">
      <c r="B6" t="s">
        <v>1827</v>
      </c>
      <c r="C6" t="s">
        <v>1828</v>
      </c>
      <c r="D6">
        <v>18230685</v>
      </c>
      <c r="E6" s="4">
        <v>0</v>
      </c>
      <c r="F6" s="4">
        <v>0</v>
      </c>
      <c r="G6" s="4">
        <v>9</v>
      </c>
      <c r="H6" s="4">
        <v>0</v>
      </c>
      <c r="I6" s="4">
        <v>0</v>
      </c>
      <c r="J6" s="4">
        <v>0.42</v>
      </c>
      <c r="K6" s="4">
        <v>0</v>
      </c>
      <c r="L6" s="4">
        <v>0</v>
      </c>
      <c r="M6" s="4">
        <v>0</v>
      </c>
      <c r="N6" s="5">
        <v>9.42</v>
      </c>
      <c r="O6" s="5">
        <v>9.42</v>
      </c>
      <c r="P6" t="s">
        <v>524</v>
      </c>
    </row>
    <row r="7" spans="1:16" hidden="1">
      <c r="B7" t="s">
        <v>65</v>
      </c>
      <c r="C7" t="s">
        <v>138</v>
      </c>
      <c r="D7">
        <v>18230724</v>
      </c>
      <c r="E7" s="4">
        <v>2488110.37</v>
      </c>
      <c r="F7" s="4">
        <v>2166216.63</v>
      </c>
      <c r="G7" s="4">
        <v>20262.900000000001</v>
      </c>
      <c r="H7" s="4">
        <v>18735.54</v>
      </c>
      <c r="I7" s="4">
        <v>43607.92</v>
      </c>
      <c r="J7" s="4">
        <v>17083</v>
      </c>
      <c r="K7" s="4">
        <v>9550</v>
      </c>
      <c r="L7" s="4">
        <v>19739300.93</v>
      </c>
      <c r="M7" s="4">
        <v>0</v>
      </c>
      <c r="N7" s="5">
        <v>24502867.289999999</v>
      </c>
      <c r="O7" s="5">
        <v>4763566.3599999994</v>
      </c>
      <c r="P7" t="s">
        <v>523</v>
      </c>
    </row>
    <row r="8" spans="1:16" hidden="1">
      <c r="B8" t="s">
        <v>41</v>
      </c>
      <c r="C8" t="s">
        <v>42</v>
      </c>
      <c r="D8">
        <v>80500012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5">
        <v>0</v>
      </c>
      <c r="O8" s="5">
        <v>0</v>
      </c>
      <c r="P8" t="s">
        <v>526</v>
      </c>
    </row>
    <row r="9" spans="1:16" hidden="1">
      <c r="B9" t="s">
        <v>65</v>
      </c>
      <c r="C9" t="s">
        <v>507</v>
      </c>
      <c r="D9">
        <v>18230013</v>
      </c>
      <c r="E9" s="4">
        <v>0</v>
      </c>
      <c r="F9" s="4">
        <v>0</v>
      </c>
      <c r="G9" s="4">
        <v>0</v>
      </c>
      <c r="H9" s="4">
        <v>0</v>
      </c>
      <c r="I9" s="4">
        <v>42645</v>
      </c>
      <c r="J9" s="4">
        <v>0</v>
      </c>
      <c r="K9" s="4">
        <v>0</v>
      </c>
      <c r="L9" s="4">
        <v>0</v>
      </c>
      <c r="M9" s="4">
        <v>0</v>
      </c>
      <c r="N9" s="5">
        <v>42645</v>
      </c>
      <c r="O9" s="5">
        <v>42645</v>
      </c>
      <c r="P9" t="s">
        <v>523</v>
      </c>
    </row>
    <row r="10" spans="1:16">
      <c r="B10" t="s">
        <v>141</v>
      </c>
      <c r="C10" t="s">
        <v>512</v>
      </c>
      <c r="D10">
        <v>18230220</v>
      </c>
      <c r="E10" s="4">
        <v>0</v>
      </c>
      <c r="F10" s="4">
        <v>0</v>
      </c>
      <c r="G10" s="4">
        <v>0</v>
      </c>
      <c r="H10" s="4">
        <v>0</v>
      </c>
      <c r="I10" s="4">
        <v>42645</v>
      </c>
      <c r="J10" s="4">
        <v>0</v>
      </c>
      <c r="K10" s="4">
        <v>0</v>
      </c>
      <c r="L10" s="4">
        <v>0</v>
      </c>
      <c r="M10" s="4">
        <v>0</v>
      </c>
      <c r="N10" s="5">
        <v>42645</v>
      </c>
      <c r="O10" s="5">
        <v>42645</v>
      </c>
      <c r="P10" t="s">
        <v>523</v>
      </c>
    </row>
    <row r="11" spans="1:16" hidden="1">
      <c r="B11" t="s">
        <v>70</v>
      </c>
      <c r="C11" t="s">
        <v>131</v>
      </c>
      <c r="D11">
        <v>18230716</v>
      </c>
      <c r="E11" s="4">
        <v>29612.79</v>
      </c>
      <c r="F11" s="4">
        <v>25453</v>
      </c>
      <c r="G11" s="4">
        <v>2101.79</v>
      </c>
      <c r="H11" s="4">
        <v>15</v>
      </c>
      <c r="I11" s="4">
        <v>57817.54</v>
      </c>
      <c r="J11" s="4">
        <v>129.16999999999999</v>
      </c>
      <c r="K11" s="4">
        <v>0</v>
      </c>
      <c r="L11" s="4">
        <v>173366.19</v>
      </c>
      <c r="M11" s="4">
        <v>0</v>
      </c>
      <c r="N11" s="5">
        <v>288495.48</v>
      </c>
      <c r="O11" s="5">
        <v>115129.28999999998</v>
      </c>
      <c r="P11" t="s">
        <v>523</v>
      </c>
    </row>
    <row r="12" spans="1:16" hidden="1">
      <c r="B12" t="s">
        <v>31</v>
      </c>
      <c r="C12" t="s">
        <v>1830</v>
      </c>
      <c r="D12">
        <v>18231027</v>
      </c>
      <c r="E12" s="4">
        <v>175527.05</v>
      </c>
      <c r="F12" s="4">
        <v>152021.34</v>
      </c>
      <c r="G12" s="4">
        <v>13109.24</v>
      </c>
      <c r="H12" s="4">
        <v>203.38</v>
      </c>
      <c r="I12" s="4">
        <v>425939.82</v>
      </c>
      <c r="J12" s="4">
        <v>465.45</v>
      </c>
      <c r="K12" s="4">
        <v>7455.81</v>
      </c>
      <c r="L12" s="4">
        <v>774806.11</v>
      </c>
      <c r="M12" s="4">
        <v>0</v>
      </c>
      <c r="N12" s="5">
        <v>1549528.2000000002</v>
      </c>
      <c r="O12" s="5">
        <v>774722.0900000002</v>
      </c>
      <c r="P12" t="s">
        <v>523</v>
      </c>
    </row>
    <row r="13" spans="1:16" hidden="1">
      <c r="B13" t="s">
        <v>70</v>
      </c>
      <c r="C13" t="s">
        <v>511</v>
      </c>
      <c r="D13">
        <v>18230718</v>
      </c>
      <c r="E13" s="4">
        <v>51009.73</v>
      </c>
      <c r="F13" s="4">
        <v>43650.29</v>
      </c>
      <c r="G13" s="4">
        <v>3267.06</v>
      </c>
      <c r="H13" s="4">
        <v>200</v>
      </c>
      <c r="I13" s="4">
        <v>4965.18</v>
      </c>
      <c r="J13" s="4">
        <v>692.61</v>
      </c>
      <c r="K13" s="4">
        <v>0</v>
      </c>
      <c r="L13" s="4">
        <v>290697.87</v>
      </c>
      <c r="M13" s="4">
        <v>0</v>
      </c>
      <c r="N13" s="5">
        <v>394482.74</v>
      </c>
      <c r="O13" s="5">
        <v>103784.87</v>
      </c>
      <c r="P13" t="s">
        <v>523</v>
      </c>
    </row>
    <row r="14" spans="1:16" hidden="1">
      <c r="B14" t="s">
        <v>31</v>
      </c>
      <c r="C14" t="s">
        <v>515</v>
      </c>
      <c r="D14">
        <v>18231029</v>
      </c>
      <c r="E14" s="4">
        <v>25781.16</v>
      </c>
      <c r="F14" s="4">
        <v>23184.16</v>
      </c>
      <c r="G14" s="4">
        <v>77.45</v>
      </c>
      <c r="H14" s="4">
        <v>0</v>
      </c>
      <c r="I14" s="4">
        <v>0</v>
      </c>
      <c r="J14" s="4">
        <v>0</v>
      </c>
      <c r="K14" s="4">
        <v>0</v>
      </c>
      <c r="L14" s="4">
        <v>2250</v>
      </c>
      <c r="M14" s="4">
        <v>0</v>
      </c>
      <c r="N14" s="5">
        <v>51292.77</v>
      </c>
      <c r="O14" s="5">
        <v>49042.77</v>
      </c>
      <c r="P14" t="s">
        <v>523</v>
      </c>
    </row>
    <row r="15" spans="1:16" hidden="1">
      <c r="B15" t="s">
        <v>129</v>
      </c>
      <c r="C15" t="s">
        <v>130</v>
      </c>
      <c r="D15">
        <v>18230715</v>
      </c>
      <c r="E15" s="4">
        <v>239038.56</v>
      </c>
      <c r="F15" s="4">
        <v>207483.51</v>
      </c>
      <c r="G15" s="4">
        <v>1083.52</v>
      </c>
      <c r="H15" s="4">
        <v>29526.5</v>
      </c>
      <c r="I15" s="4">
        <f>92844.7+10.03</f>
        <v>92854.73</v>
      </c>
      <c r="J15" s="4">
        <v>26.4</v>
      </c>
      <c r="K15" s="4">
        <v>366.3</v>
      </c>
      <c r="L15" s="4">
        <v>4722671.5999999996</v>
      </c>
      <c r="M15" s="4">
        <v>0</v>
      </c>
      <c r="N15" s="5">
        <f>5293041.09+10.03</f>
        <v>5293051.12</v>
      </c>
      <c r="O15" s="5">
        <f>N15-L15</f>
        <v>570379.52000000048</v>
      </c>
      <c r="P15" t="s">
        <v>523</v>
      </c>
    </row>
    <row r="16" spans="1:16" hidden="1">
      <c r="B16" t="s">
        <v>123</v>
      </c>
      <c r="C16" t="s">
        <v>124</v>
      </c>
      <c r="D16">
        <v>18230706</v>
      </c>
      <c r="E16" s="4">
        <v>34998.89</v>
      </c>
      <c r="F16" s="4">
        <v>30587.27</v>
      </c>
      <c r="G16" s="4">
        <v>1277.31</v>
      </c>
      <c r="H16" s="4">
        <v>12287.02</v>
      </c>
      <c r="I16" s="4">
        <v>40094.86</v>
      </c>
      <c r="J16" s="4">
        <v>0</v>
      </c>
      <c r="K16" s="4">
        <v>0</v>
      </c>
      <c r="L16" s="4">
        <v>429718</v>
      </c>
      <c r="M16" s="4">
        <v>0</v>
      </c>
      <c r="N16" s="5">
        <v>548963.35</v>
      </c>
      <c r="O16" s="5">
        <v>119245.34999999998</v>
      </c>
      <c r="P16" t="s">
        <v>523</v>
      </c>
    </row>
    <row r="17" spans="2:16" hidden="1">
      <c r="B17" t="s">
        <v>65</v>
      </c>
      <c r="C17" t="s">
        <v>125</v>
      </c>
      <c r="D17">
        <v>18230711</v>
      </c>
      <c r="E17" s="4">
        <v>601405.06000000006</v>
      </c>
      <c r="F17" s="4">
        <v>1298010.77</v>
      </c>
      <c r="G17" s="4">
        <v>6114.28</v>
      </c>
      <c r="H17" s="4">
        <v>31069.439999999999</v>
      </c>
      <c r="I17" s="4">
        <v>243706.31</v>
      </c>
      <c r="J17" s="4">
        <v>7386.53</v>
      </c>
      <c r="K17" s="4">
        <v>18380.7</v>
      </c>
      <c r="L17" s="4">
        <v>4087198.45</v>
      </c>
      <c r="M17" s="4">
        <v>0</v>
      </c>
      <c r="N17" s="5">
        <v>6293271.54</v>
      </c>
      <c r="O17" s="5">
        <v>2206073.09</v>
      </c>
      <c r="P17" t="s">
        <v>523</v>
      </c>
    </row>
    <row r="18" spans="2:16">
      <c r="B18" t="s">
        <v>141</v>
      </c>
      <c r="C18" t="s">
        <v>142</v>
      </c>
      <c r="D18">
        <v>18230731</v>
      </c>
      <c r="E18" s="4">
        <v>407118.12</v>
      </c>
      <c r="F18" s="4">
        <v>353493.74</v>
      </c>
      <c r="G18" s="4">
        <v>432.88</v>
      </c>
      <c r="H18" s="4">
        <v>5580.03</v>
      </c>
      <c r="I18" s="4">
        <v>53902.46</v>
      </c>
      <c r="J18" s="4">
        <v>538.37</v>
      </c>
      <c r="K18" s="4">
        <v>5947.5</v>
      </c>
      <c r="L18" s="4">
        <v>2575098.4500000002</v>
      </c>
      <c r="M18" s="4">
        <v>0</v>
      </c>
      <c r="N18" s="5">
        <v>3402111.5500000003</v>
      </c>
      <c r="O18" s="5">
        <v>827013.10000000009</v>
      </c>
      <c r="P18" t="s">
        <v>523</v>
      </c>
    </row>
    <row r="19" spans="2:16" hidden="1">
      <c r="B19" t="s">
        <v>70</v>
      </c>
      <c r="C19" t="s">
        <v>510</v>
      </c>
      <c r="D19">
        <v>18230524</v>
      </c>
      <c r="E19" s="4">
        <v>55150.28</v>
      </c>
      <c r="F19" s="4">
        <v>47611.97</v>
      </c>
      <c r="G19" s="4">
        <v>36.5</v>
      </c>
      <c r="H19" s="4">
        <v>0</v>
      </c>
      <c r="I19" s="4">
        <v>82361.710000000006</v>
      </c>
      <c r="J19" s="4">
        <v>299.32</v>
      </c>
      <c r="K19" s="4">
        <v>2485.27</v>
      </c>
      <c r="L19" s="4">
        <v>649907.18000000005</v>
      </c>
      <c r="M19" s="4">
        <v>0</v>
      </c>
      <c r="N19" s="5">
        <v>837852.2300000001</v>
      </c>
      <c r="O19" s="5">
        <v>187945.05000000005</v>
      </c>
      <c r="P19" t="s">
        <v>523</v>
      </c>
    </row>
    <row r="20" spans="2:16" hidden="1">
      <c r="B20" t="s">
        <v>31</v>
      </c>
      <c r="C20" t="s">
        <v>514</v>
      </c>
      <c r="D20">
        <v>18230248</v>
      </c>
      <c r="E20" s="4">
        <v>45456.5</v>
      </c>
      <c r="F20" s="4">
        <v>39367.18</v>
      </c>
      <c r="G20" s="4">
        <v>36.5</v>
      </c>
      <c r="H20" s="4">
        <v>351.29</v>
      </c>
      <c r="I20" s="4">
        <v>636643.68999999994</v>
      </c>
      <c r="J20" s="4">
        <v>463.86</v>
      </c>
      <c r="K20" s="4">
        <v>0</v>
      </c>
      <c r="L20" s="4">
        <v>2953994.22</v>
      </c>
      <c r="M20" s="4">
        <v>0</v>
      </c>
      <c r="N20" s="5">
        <v>3676313.24</v>
      </c>
      <c r="O20" s="5">
        <v>722319.02</v>
      </c>
      <c r="P20" t="s">
        <v>523</v>
      </c>
    </row>
    <row r="21" spans="2:16" hidden="1">
      <c r="B21" t="s">
        <v>25</v>
      </c>
      <c r="C21" t="s">
        <v>26</v>
      </c>
      <c r="D21">
        <v>18230140</v>
      </c>
      <c r="E21" s="4">
        <v>17775.36</v>
      </c>
      <c r="F21" s="4">
        <v>15614.15</v>
      </c>
      <c r="G21" s="4">
        <v>0</v>
      </c>
      <c r="H21" s="4">
        <v>115.96</v>
      </c>
      <c r="I21" s="4">
        <v>10.99</v>
      </c>
      <c r="J21" s="4">
        <v>0</v>
      </c>
      <c r="K21" s="4">
        <v>0</v>
      </c>
      <c r="L21" s="4">
        <v>194915</v>
      </c>
      <c r="M21" s="4">
        <v>0</v>
      </c>
      <c r="N21" s="5">
        <v>228431.46</v>
      </c>
      <c r="O21" s="5">
        <v>33516.459999999992</v>
      </c>
      <c r="P21" t="s">
        <v>522</v>
      </c>
    </row>
    <row r="22" spans="2:16" hidden="1">
      <c r="B22" t="s">
        <v>84</v>
      </c>
      <c r="C22" t="s">
        <v>85</v>
      </c>
      <c r="D22">
        <v>18230640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5">
        <v>0</v>
      </c>
      <c r="O22" s="5">
        <v>0</v>
      </c>
      <c r="P22" t="s">
        <v>522</v>
      </c>
    </row>
    <row r="23" spans="2:16" hidden="1">
      <c r="B23" t="s">
        <v>136</v>
      </c>
      <c r="C23" t="s">
        <v>137</v>
      </c>
      <c r="D23">
        <v>18230723</v>
      </c>
      <c r="E23" s="4">
        <v>624237.43999999994</v>
      </c>
      <c r="F23" s="4">
        <v>533884.96</v>
      </c>
      <c r="G23" s="4">
        <v>507.18</v>
      </c>
      <c r="H23" s="4">
        <v>9537.0499999999993</v>
      </c>
      <c r="I23" s="4">
        <v>380402.82</v>
      </c>
      <c r="J23" s="4">
        <v>2683.45</v>
      </c>
      <c r="K23" s="4">
        <v>1375.41</v>
      </c>
      <c r="L23" s="4">
        <v>983596</v>
      </c>
      <c r="M23" s="4">
        <v>0</v>
      </c>
      <c r="N23" s="5">
        <v>2536224.3099999996</v>
      </c>
      <c r="O23" s="5">
        <v>1552628.3099999996</v>
      </c>
      <c r="P23" t="s">
        <v>523</v>
      </c>
    </row>
    <row r="24" spans="2:16" hidden="1">
      <c r="B24" t="s">
        <v>112</v>
      </c>
      <c r="C24" t="s">
        <v>113</v>
      </c>
      <c r="D24">
        <v>18230691</v>
      </c>
      <c r="E24" s="4">
        <v>350461.14</v>
      </c>
      <c r="F24" s="4">
        <v>303792.28000000003</v>
      </c>
      <c r="G24" s="4">
        <v>0</v>
      </c>
      <c r="H24" s="4">
        <v>5962.42</v>
      </c>
      <c r="I24" s="4">
        <v>104412.9</v>
      </c>
      <c r="J24" s="4">
        <v>1181.6600000000001</v>
      </c>
      <c r="K24" s="4">
        <v>575.17999999999995</v>
      </c>
      <c r="L24" s="4">
        <v>259993</v>
      </c>
      <c r="M24" s="4">
        <v>0</v>
      </c>
      <c r="N24" s="5">
        <v>1026378.5800000002</v>
      </c>
      <c r="O24" s="5">
        <v>766385.58000000019</v>
      </c>
      <c r="P24" t="s">
        <v>523</v>
      </c>
    </row>
    <row r="25" spans="2:16" hidden="1">
      <c r="B25" t="s">
        <v>43</v>
      </c>
      <c r="C25" t="s">
        <v>44</v>
      </c>
      <c r="D25">
        <v>18230809</v>
      </c>
      <c r="E25" s="4">
        <v>146436.85</v>
      </c>
      <c r="F25" s="4">
        <v>128289.7</v>
      </c>
      <c r="G25" s="4">
        <v>0</v>
      </c>
      <c r="H25" s="4">
        <v>220.64</v>
      </c>
      <c r="I25" s="4">
        <v>283222.34999999998</v>
      </c>
      <c r="J25" s="4">
        <v>0</v>
      </c>
      <c r="K25" s="4">
        <v>0</v>
      </c>
      <c r="L25" s="4">
        <v>0</v>
      </c>
      <c r="M25" s="4">
        <v>0</v>
      </c>
      <c r="N25" s="5">
        <v>558169.54</v>
      </c>
      <c r="O25" s="5">
        <v>558169.54</v>
      </c>
      <c r="P25" t="s">
        <v>525</v>
      </c>
    </row>
    <row r="26" spans="2:16" hidden="1">
      <c r="B26" t="s">
        <v>45</v>
      </c>
      <c r="C26" t="s">
        <v>46</v>
      </c>
      <c r="D26">
        <v>18230703</v>
      </c>
      <c r="E26" s="4">
        <v>20919.550000000003</v>
      </c>
      <c r="F26" s="4">
        <v>18327.129999999997</v>
      </c>
      <c r="G26" s="4">
        <v>0</v>
      </c>
      <c r="H26" s="4">
        <v>0</v>
      </c>
      <c r="I26" s="4">
        <v>42320.600000000006</v>
      </c>
      <c r="J26" s="4">
        <v>0</v>
      </c>
      <c r="K26" s="4">
        <v>0</v>
      </c>
      <c r="L26" s="4">
        <v>0</v>
      </c>
      <c r="M26" s="4">
        <v>0</v>
      </c>
      <c r="N26" s="5">
        <v>81567.28</v>
      </c>
      <c r="O26" s="5">
        <v>81567.28</v>
      </c>
      <c r="P26" t="s">
        <v>525</v>
      </c>
    </row>
    <row r="27" spans="2:16" hidden="1">
      <c r="B27" t="s">
        <v>47</v>
      </c>
      <c r="C27" t="s">
        <v>48</v>
      </c>
      <c r="D27">
        <v>18230508</v>
      </c>
      <c r="E27" s="4">
        <v>58171.94</v>
      </c>
      <c r="F27" s="4">
        <v>49315.08</v>
      </c>
      <c r="G27" s="4">
        <v>0</v>
      </c>
      <c r="H27" s="4">
        <v>0</v>
      </c>
      <c r="I27" s="4">
        <v>995680.28</v>
      </c>
      <c r="J27" s="4">
        <v>0</v>
      </c>
      <c r="K27" s="4">
        <v>0</v>
      </c>
      <c r="L27" s="4">
        <v>0</v>
      </c>
      <c r="M27" s="4">
        <v>0</v>
      </c>
      <c r="N27" s="5">
        <v>1103167.3</v>
      </c>
      <c r="O27" s="5">
        <v>1103167.3</v>
      </c>
      <c r="P27" t="s">
        <v>524</v>
      </c>
    </row>
    <row r="28" spans="2:16" hidden="1">
      <c r="B28" t="s">
        <v>55</v>
      </c>
      <c r="C28" t="s">
        <v>56</v>
      </c>
      <c r="D28">
        <v>18230690</v>
      </c>
      <c r="E28" s="4">
        <v>3815.57</v>
      </c>
      <c r="F28" s="4">
        <v>3089.69</v>
      </c>
      <c r="G28" s="4">
        <v>0</v>
      </c>
      <c r="H28" s="4">
        <v>0</v>
      </c>
      <c r="I28" s="4">
        <v>148779.79</v>
      </c>
      <c r="J28" s="4">
        <v>0</v>
      </c>
      <c r="K28" s="4">
        <v>0</v>
      </c>
      <c r="L28" s="4">
        <v>0</v>
      </c>
      <c r="M28" s="4">
        <v>0</v>
      </c>
      <c r="N28" s="5">
        <v>155685.05000000002</v>
      </c>
      <c r="O28" s="5">
        <v>155685.05000000002</v>
      </c>
      <c r="P28" t="s">
        <v>524</v>
      </c>
    </row>
    <row r="29" spans="2:16" hidden="1">
      <c r="B29" t="s">
        <v>47</v>
      </c>
      <c r="C29" t="s">
        <v>57</v>
      </c>
      <c r="D29">
        <v>18230408</v>
      </c>
      <c r="E29" s="4">
        <v>79026.16</v>
      </c>
      <c r="F29" s="4">
        <v>67302.58</v>
      </c>
      <c r="G29" s="4">
        <v>0</v>
      </c>
      <c r="H29" s="4">
        <v>0</v>
      </c>
      <c r="I29" s="4">
        <v>806475.45</v>
      </c>
      <c r="J29" s="4">
        <v>407.63</v>
      </c>
      <c r="K29" s="4">
        <v>376.41</v>
      </c>
      <c r="L29" s="4">
        <v>0</v>
      </c>
      <c r="M29" s="4">
        <v>0</v>
      </c>
      <c r="N29" s="5">
        <v>953588.23</v>
      </c>
      <c r="O29" s="5">
        <v>953588.23</v>
      </c>
      <c r="P29" t="s">
        <v>524</v>
      </c>
    </row>
    <row r="30" spans="2:16" hidden="1">
      <c r="B30" t="s">
        <v>55</v>
      </c>
      <c r="C30" t="s">
        <v>58</v>
      </c>
      <c r="D30">
        <v>18230737</v>
      </c>
      <c r="E30" s="4">
        <v>18710.23</v>
      </c>
      <c r="F30" s="4">
        <v>16502.310000000001</v>
      </c>
      <c r="G30" s="4">
        <v>0</v>
      </c>
      <c r="H30" s="4">
        <v>0</v>
      </c>
      <c r="I30" s="4">
        <v>134304.71</v>
      </c>
      <c r="J30" s="4">
        <v>60.91</v>
      </c>
      <c r="K30" s="4">
        <v>0</v>
      </c>
      <c r="L30" s="4">
        <v>0</v>
      </c>
      <c r="M30" s="4">
        <v>0</v>
      </c>
      <c r="N30" s="5">
        <v>169578.16</v>
      </c>
      <c r="O30" s="5">
        <v>169578.16</v>
      </c>
      <c r="P30" t="s">
        <v>524</v>
      </c>
    </row>
    <row r="31" spans="2:16" hidden="1">
      <c r="B31" t="s">
        <v>61</v>
      </c>
      <c r="C31" t="s">
        <v>62</v>
      </c>
      <c r="D31">
        <v>18230745</v>
      </c>
      <c r="E31" s="4">
        <v>824861.39</v>
      </c>
      <c r="F31" s="4">
        <v>721919.24</v>
      </c>
      <c r="G31" s="4">
        <v>0</v>
      </c>
      <c r="H31" s="4">
        <v>73.209999999999994</v>
      </c>
      <c r="I31" s="4">
        <v>443700</v>
      </c>
      <c r="J31" s="4">
        <v>763.69</v>
      </c>
      <c r="K31" s="4">
        <v>0</v>
      </c>
      <c r="L31" s="4">
        <v>0</v>
      </c>
      <c r="M31" s="4">
        <v>0</v>
      </c>
      <c r="N31" s="5">
        <v>1991317.5299999998</v>
      </c>
      <c r="O31" s="5">
        <v>1991317.5299999998</v>
      </c>
      <c r="P31" t="s">
        <v>524</v>
      </c>
    </row>
    <row r="32" spans="2:16" hidden="1">
      <c r="B32" t="s">
        <v>63</v>
      </c>
      <c r="C32" t="s">
        <v>64</v>
      </c>
      <c r="D32">
        <v>18231005</v>
      </c>
      <c r="E32" s="4">
        <v>123225.98</v>
      </c>
      <c r="F32" s="4">
        <v>107845.16</v>
      </c>
      <c r="G32" s="4">
        <v>0</v>
      </c>
      <c r="H32" s="4">
        <v>10.94</v>
      </c>
      <c r="I32" s="4">
        <v>66300</v>
      </c>
      <c r="J32" s="4">
        <v>114.11</v>
      </c>
      <c r="K32" s="4">
        <v>0</v>
      </c>
      <c r="L32" s="4">
        <v>0</v>
      </c>
      <c r="M32" s="4">
        <v>0</v>
      </c>
      <c r="N32" s="5">
        <v>297496.19</v>
      </c>
      <c r="O32" s="5">
        <v>297496.19</v>
      </c>
      <c r="P32" t="s">
        <v>524</v>
      </c>
    </row>
    <row r="33" spans="2:16" hidden="1">
      <c r="B33" t="s">
        <v>65</v>
      </c>
      <c r="C33" t="s">
        <v>1831</v>
      </c>
      <c r="D33">
        <v>18231132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-28.67</v>
      </c>
      <c r="K33" s="4">
        <v>0</v>
      </c>
      <c r="L33" s="4">
        <v>0</v>
      </c>
      <c r="M33" s="4">
        <v>0</v>
      </c>
      <c r="N33" s="5">
        <v>-28.67</v>
      </c>
      <c r="O33" s="5">
        <v>-28.67</v>
      </c>
      <c r="P33" t="s">
        <v>523</v>
      </c>
    </row>
    <row r="34" spans="2:16" hidden="1">
      <c r="B34" t="s">
        <v>47</v>
      </c>
      <c r="C34" t="s">
        <v>66</v>
      </c>
      <c r="D34">
        <v>18230400</v>
      </c>
      <c r="E34" s="4">
        <v>74781.83</v>
      </c>
      <c r="F34" s="4">
        <v>66631.539999999994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5">
        <v>141413.37</v>
      </c>
      <c r="O34" s="5">
        <v>141413.37</v>
      </c>
      <c r="P34" t="s">
        <v>524</v>
      </c>
    </row>
    <row r="35" spans="2:16" hidden="1">
      <c r="B35" t="s">
        <v>55</v>
      </c>
      <c r="C35" t="s">
        <v>67</v>
      </c>
      <c r="D35">
        <v>18230665</v>
      </c>
      <c r="E35" s="4">
        <v>33910.58</v>
      </c>
      <c r="F35" s="4">
        <v>28855.09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5">
        <v>62765.67</v>
      </c>
      <c r="O35" s="5">
        <v>62765.67</v>
      </c>
      <c r="P35" t="s">
        <v>524</v>
      </c>
    </row>
    <row r="36" spans="2:16" hidden="1">
      <c r="B36" t="s">
        <v>68</v>
      </c>
      <c r="C36" t="s">
        <v>69</v>
      </c>
      <c r="D36">
        <v>18230418</v>
      </c>
      <c r="E36" s="4">
        <v>589952.06999999995</v>
      </c>
      <c r="F36" s="4">
        <v>515179.58</v>
      </c>
      <c r="G36" s="4">
        <v>0</v>
      </c>
      <c r="H36" s="4">
        <v>1031.6199999999999</v>
      </c>
      <c r="I36" s="4">
        <v>0</v>
      </c>
      <c r="J36" s="4">
        <v>735.91</v>
      </c>
      <c r="K36" s="4">
        <v>0</v>
      </c>
      <c r="L36" s="4">
        <v>0</v>
      </c>
      <c r="M36" s="4">
        <v>0</v>
      </c>
      <c r="N36" s="5">
        <v>1106899.18</v>
      </c>
      <c r="O36" s="5">
        <v>1106899.18</v>
      </c>
      <c r="P36" t="s">
        <v>524</v>
      </c>
    </row>
    <row r="37" spans="2:16" hidden="1">
      <c r="B37" t="s">
        <v>72</v>
      </c>
      <c r="C37" t="s">
        <v>73</v>
      </c>
      <c r="D37">
        <v>18230668</v>
      </c>
      <c r="E37" s="4">
        <v>71124.44</v>
      </c>
      <c r="F37" s="4">
        <v>62415.58</v>
      </c>
      <c r="G37" s="4">
        <v>0</v>
      </c>
      <c r="H37" s="4">
        <v>53.21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5">
        <v>133593.23000000001</v>
      </c>
      <c r="O37" s="5">
        <v>133593.23000000001</v>
      </c>
      <c r="P37" t="s">
        <v>524</v>
      </c>
    </row>
    <row r="38" spans="2:16" hidden="1">
      <c r="B38" t="s">
        <v>15</v>
      </c>
      <c r="C38" t="s">
        <v>1820</v>
      </c>
      <c r="D38">
        <v>18230751</v>
      </c>
      <c r="E38" s="4">
        <v>16653.63</v>
      </c>
      <c r="F38" s="4">
        <v>13850.18</v>
      </c>
      <c r="G38" s="4">
        <v>41695.1</v>
      </c>
      <c r="H38" s="4">
        <v>0</v>
      </c>
      <c r="I38" s="4">
        <v>278</v>
      </c>
      <c r="J38" s="4">
        <v>31.04</v>
      </c>
      <c r="K38" s="4">
        <v>0</v>
      </c>
      <c r="L38" s="4">
        <v>0</v>
      </c>
      <c r="M38" s="4">
        <v>0</v>
      </c>
      <c r="N38" s="5">
        <v>72507.95</v>
      </c>
      <c r="O38" s="5">
        <v>72507.95</v>
      </c>
      <c r="P38" t="s">
        <v>520</v>
      </c>
    </row>
    <row r="39" spans="2:16" hidden="1">
      <c r="B39" t="s">
        <v>33</v>
      </c>
      <c r="C39" t="s">
        <v>1821</v>
      </c>
      <c r="D39">
        <v>18230254</v>
      </c>
      <c r="E39" s="4">
        <v>15795.46</v>
      </c>
      <c r="F39" s="4">
        <v>13113.63</v>
      </c>
      <c r="G39" s="4">
        <v>41414.68</v>
      </c>
      <c r="H39" s="4">
        <v>0</v>
      </c>
      <c r="I39" s="4">
        <v>69.5</v>
      </c>
      <c r="J39" s="4">
        <v>31.04</v>
      </c>
      <c r="K39" s="4">
        <v>0</v>
      </c>
      <c r="L39" s="4">
        <v>0</v>
      </c>
      <c r="M39" s="4">
        <v>0</v>
      </c>
      <c r="N39" s="5">
        <v>70424.309999999983</v>
      </c>
      <c r="O39" s="5">
        <v>70424.309999999983</v>
      </c>
      <c r="P39" t="s">
        <v>520</v>
      </c>
    </row>
    <row r="40" spans="2:16" hidden="1">
      <c r="B40" t="s">
        <v>76</v>
      </c>
      <c r="C40" t="s">
        <v>77</v>
      </c>
      <c r="D40">
        <v>18230610</v>
      </c>
      <c r="E40" s="4">
        <v>1070675.8500000001</v>
      </c>
      <c r="F40" s="4">
        <v>931362.41</v>
      </c>
      <c r="G40" s="4">
        <v>0</v>
      </c>
      <c r="H40" s="4">
        <v>6031.25</v>
      </c>
      <c r="I40" s="4">
        <v>1406.93</v>
      </c>
      <c r="J40" s="4">
        <v>3560.14</v>
      </c>
      <c r="K40" s="4">
        <v>273.27</v>
      </c>
      <c r="L40" s="4">
        <v>0</v>
      </c>
      <c r="M40" s="4">
        <v>0</v>
      </c>
      <c r="N40" s="5">
        <v>2013309.85</v>
      </c>
      <c r="O40" s="5">
        <v>2013309.85</v>
      </c>
      <c r="P40" t="s">
        <v>524</v>
      </c>
    </row>
    <row r="41" spans="2:16" hidden="1">
      <c r="B41" t="s">
        <v>86</v>
      </c>
      <c r="C41" t="s">
        <v>87</v>
      </c>
      <c r="D41">
        <v>18230704</v>
      </c>
      <c r="E41" s="4">
        <v>151103.64000000001</v>
      </c>
      <c r="F41" s="4">
        <v>135014.45000000001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5">
        <v>286118.09000000003</v>
      </c>
      <c r="O41" s="5">
        <v>286118.09000000003</v>
      </c>
      <c r="P41" t="s">
        <v>524</v>
      </c>
    </row>
    <row r="42" spans="2:16" hidden="1">
      <c r="B42" t="s">
        <v>88</v>
      </c>
      <c r="C42" t="s">
        <v>89</v>
      </c>
      <c r="D42">
        <v>18230811</v>
      </c>
      <c r="E42" s="4">
        <v>821666.19</v>
      </c>
      <c r="F42" s="4">
        <v>714595.22</v>
      </c>
      <c r="G42" s="4">
        <v>15910.62</v>
      </c>
      <c r="H42" s="4">
        <v>1642.25</v>
      </c>
      <c r="I42" s="4">
        <v>136214.22</v>
      </c>
      <c r="J42" s="4">
        <v>2404.09</v>
      </c>
      <c r="K42" s="4">
        <v>7873.94</v>
      </c>
      <c r="L42" s="4">
        <v>16231.5</v>
      </c>
      <c r="M42" s="4">
        <v>0</v>
      </c>
      <c r="N42" s="5">
        <v>1716538.03</v>
      </c>
      <c r="O42" s="5">
        <v>1700306.53</v>
      </c>
      <c r="P42" t="s">
        <v>524</v>
      </c>
    </row>
    <row r="43" spans="2:16" hidden="1">
      <c r="B43" t="s">
        <v>90</v>
      </c>
      <c r="C43" t="s">
        <v>91</v>
      </c>
      <c r="D43">
        <v>18230657</v>
      </c>
      <c r="E43" s="4">
        <v>196288.93</v>
      </c>
      <c r="F43" s="4">
        <v>170890.79</v>
      </c>
      <c r="G43" s="4">
        <v>2792.21</v>
      </c>
      <c r="H43" s="4">
        <v>75.31</v>
      </c>
      <c r="I43" s="4">
        <v>20435.32</v>
      </c>
      <c r="J43" s="4">
        <v>143.81</v>
      </c>
      <c r="K43" s="4">
        <v>510.94</v>
      </c>
      <c r="L43" s="4">
        <v>0</v>
      </c>
      <c r="M43" s="4">
        <v>0</v>
      </c>
      <c r="N43" s="5">
        <v>391137.31</v>
      </c>
      <c r="O43" s="5">
        <v>391137.31</v>
      </c>
      <c r="P43" t="s">
        <v>524</v>
      </c>
    </row>
    <row r="44" spans="2:16" hidden="1">
      <c r="B44" t="s">
        <v>129</v>
      </c>
      <c r="C44" t="s">
        <v>508</v>
      </c>
      <c r="D44">
        <v>18231136</v>
      </c>
      <c r="E44" s="4">
        <v>0</v>
      </c>
      <c r="F44" s="4">
        <v>0</v>
      </c>
      <c r="G44" s="4">
        <v>0</v>
      </c>
      <c r="H44" s="4">
        <v>10.029999999999999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5">
        <v>10.029999999999999</v>
      </c>
      <c r="O44" s="5">
        <v>10.029999999999999</v>
      </c>
      <c r="P44" t="s">
        <v>523</v>
      </c>
    </row>
    <row r="45" spans="2:16" hidden="1">
      <c r="B45" t="s">
        <v>92</v>
      </c>
      <c r="C45" t="s">
        <v>93</v>
      </c>
      <c r="D45">
        <v>18230487</v>
      </c>
      <c r="E45" s="4">
        <v>212799.32</v>
      </c>
      <c r="F45" s="4">
        <v>186125.14</v>
      </c>
      <c r="G45" s="4">
        <v>5647.38</v>
      </c>
      <c r="H45" s="4">
        <v>1480</v>
      </c>
      <c r="I45" s="4">
        <v>45930.83</v>
      </c>
      <c r="J45" s="4">
        <v>4975.1000000000004</v>
      </c>
      <c r="K45" s="4">
        <v>30450</v>
      </c>
      <c r="L45" s="4">
        <v>0</v>
      </c>
      <c r="M45" s="4">
        <v>0</v>
      </c>
      <c r="N45" s="5">
        <v>487407.77</v>
      </c>
      <c r="O45" s="5">
        <v>487407.77</v>
      </c>
      <c r="P45" t="s">
        <v>524</v>
      </c>
    </row>
    <row r="46" spans="2:16" hidden="1">
      <c r="B46" t="s">
        <v>94</v>
      </c>
      <c r="C46" t="s">
        <v>95</v>
      </c>
      <c r="D46">
        <v>18230675</v>
      </c>
      <c r="E46" s="4">
        <v>30949.39</v>
      </c>
      <c r="F46" s="4">
        <v>27152.62</v>
      </c>
      <c r="G46" s="4">
        <v>959.51</v>
      </c>
      <c r="H46" s="4">
        <v>360</v>
      </c>
      <c r="I46" s="4">
        <v>9736.08</v>
      </c>
      <c r="J46" s="4">
        <v>3619.65</v>
      </c>
      <c r="K46" s="4">
        <v>4550</v>
      </c>
      <c r="L46" s="4">
        <v>0</v>
      </c>
      <c r="M46" s="4">
        <v>0</v>
      </c>
      <c r="N46" s="5">
        <v>77327.249999999985</v>
      </c>
      <c r="O46" s="5">
        <v>77327.249999999985</v>
      </c>
      <c r="P46" t="s">
        <v>524</v>
      </c>
    </row>
    <row r="47" spans="2:16" hidden="1">
      <c r="B47" t="s">
        <v>96</v>
      </c>
      <c r="C47" t="s">
        <v>97</v>
      </c>
      <c r="D47">
        <v>18230713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5">
        <v>0</v>
      </c>
      <c r="O47" s="5">
        <v>0</v>
      </c>
      <c r="P47" t="s">
        <v>521</v>
      </c>
    </row>
    <row r="48" spans="2:16" hidden="1">
      <c r="B48" t="s">
        <v>41</v>
      </c>
      <c r="C48" t="s">
        <v>98</v>
      </c>
      <c r="D48">
        <v>55700200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5">
        <v>0</v>
      </c>
      <c r="O48" s="5">
        <v>0</v>
      </c>
      <c r="P48" t="s">
        <v>526</v>
      </c>
    </row>
    <row r="49" spans="1:16" hidden="1">
      <c r="B49" t="s">
        <v>156</v>
      </c>
      <c r="C49" t="s">
        <v>1832</v>
      </c>
      <c r="D49">
        <v>18230748</v>
      </c>
      <c r="E49" s="4">
        <v>0</v>
      </c>
      <c r="F49" s="4">
        <v>0</v>
      </c>
      <c r="G49" s="4">
        <v>0</v>
      </c>
      <c r="H49" s="4">
        <v>0</v>
      </c>
      <c r="I49" s="4">
        <v>127330.8</v>
      </c>
      <c r="J49" s="4">
        <v>0</v>
      </c>
      <c r="K49" s="4">
        <v>0</v>
      </c>
      <c r="L49" s="4">
        <v>95382.5</v>
      </c>
      <c r="M49" s="4">
        <v>0</v>
      </c>
      <c r="N49" s="5">
        <v>222713.3</v>
      </c>
      <c r="O49" s="5">
        <f>N49-L49</f>
        <v>127330.79999999999</v>
      </c>
      <c r="P49" t="s">
        <v>522</v>
      </c>
    </row>
    <row r="50" spans="1:16" hidden="1">
      <c r="B50" t="s">
        <v>36</v>
      </c>
      <c r="C50" t="s">
        <v>1833</v>
      </c>
      <c r="D50">
        <v>18230255</v>
      </c>
      <c r="E50" s="4">
        <v>0</v>
      </c>
      <c r="F50" s="4">
        <v>0</v>
      </c>
      <c r="G50" s="4">
        <v>0</v>
      </c>
      <c r="H50" s="4">
        <v>0</v>
      </c>
      <c r="I50" s="4">
        <v>54570.32</v>
      </c>
      <c r="J50" s="4">
        <v>0</v>
      </c>
      <c r="K50" s="4">
        <v>0</v>
      </c>
      <c r="L50" s="4">
        <v>19830</v>
      </c>
      <c r="M50" s="4">
        <v>0</v>
      </c>
      <c r="N50" s="5">
        <v>74400.320000000007</v>
      </c>
      <c r="O50" s="5">
        <v>54570.320000000007</v>
      </c>
      <c r="P50" t="s">
        <v>522</v>
      </c>
    </row>
    <row r="51" spans="1:16" hidden="1">
      <c r="B51" t="s">
        <v>133</v>
      </c>
      <c r="C51" t="s">
        <v>135</v>
      </c>
      <c r="D51">
        <v>18230721</v>
      </c>
      <c r="E51" s="4">
        <v>436096.57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2155537.52</v>
      </c>
      <c r="M51" s="4">
        <v>0</v>
      </c>
      <c r="N51" s="5">
        <v>2591634.09</v>
      </c>
      <c r="O51" s="5">
        <v>436096.56999999983</v>
      </c>
      <c r="P51" t="s">
        <v>523</v>
      </c>
    </row>
    <row r="52" spans="1:16" hidden="1">
      <c r="B52" t="s">
        <v>133</v>
      </c>
      <c r="C52" t="s">
        <v>134</v>
      </c>
      <c r="D52">
        <v>18230720</v>
      </c>
      <c r="E52" s="4">
        <v>468989.23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4554051.43</v>
      </c>
      <c r="M52" s="4">
        <v>0</v>
      </c>
      <c r="N52" s="5">
        <v>5023040.66</v>
      </c>
      <c r="O52" s="5">
        <v>468989.23000000045</v>
      </c>
      <c r="P52" t="s">
        <v>523</v>
      </c>
    </row>
    <row r="53" spans="1:16" hidden="1">
      <c r="B53" t="s">
        <v>15</v>
      </c>
      <c r="C53" t="s">
        <v>51</v>
      </c>
      <c r="D53">
        <v>18230434</v>
      </c>
      <c r="E53" s="4">
        <v>141609.94</v>
      </c>
      <c r="F53" s="4">
        <v>122945.41</v>
      </c>
      <c r="G53" s="4">
        <v>97009.53</v>
      </c>
      <c r="H53" s="4">
        <v>0</v>
      </c>
      <c r="I53" s="4">
        <v>202674.92</v>
      </c>
      <c r="J53" s="4">
        <v>96.93</v>
      </c>
      <c r="K53" s="4">
        <v>-14083.2</v>
      </c>
      <c r="L53" s="4">
        <v>1571298.72</v>
      </c>
      <c r="M53" s="4">
        <v>0</v>
      </c>
      <c r="N53" s="5">
        <v>2121552.25</v>
      </c>
      <c r="O53" s="5">
        <v>550253.53</v>
      </c>
      <c r="P53" t="s">
        <v>520</v>
      </c>
    </row>
    <row r="54" spans="1:16" hidden="1">
      <c r="B54" t="s">
        <v>15</v>
      </c>
      <c r="C54" t="s">
        <v>78</v>
      </c>
      <c r="D54">
        <v>18230625</v>
      </c>
      <c r="E54" s="4">
        <v>62217.55</v>
      </c>
      <c r="F54" s="4">
        <v>59100.04</v>
      </c>
      <c r="G54" s="4">
        <v>8757.8799999999992</v>
      </c>
      <c r="H54" s="4">
        <v>433.98</v>
      </c>
      <c r="I54" s="4">
        <v>138280.4</v>
      </c>
      <c r="J54" s="4">
        <v>0</v>
      </c>
      <c r="K54" s="4">
        <v>0</v>
      </c>
      <c r="L54" s="4">
        <v>330871.53999999998</v>
      </c>
      <c r="M54" s="4">
        <v>0</v>
      </c>
      <c r="N54" s="5">
        <v>599661.3899999999</v>
      </c>
      <c r="O54" s="5">
        <v>268789.84999999992</v>
      </c>
      <c r="P54" t="s">
        <v>520</v>
      </c>
    </row>
    <row r="55" spans="1:16" hidden="1">
      <c r="B55" t="s">
        <v>15</v>
      </c>
      <c r="C55" t="s">
        <v>54</v>
      </c>
      <c r="D55">
        <v>18230461</v>
      </c>
      <c r="E55" s="4">
        <v>139361.42000000001</v>
      </c>
      <c r="F55" s="4">
        <v>122095.8</v>
      </c>
      <c r="G55" s="4">
        <v>0</v>
      </c>
      <c r="H55" s="4">
        <v>426.09</v>
      </c>
      <c r="I55" s="4">
        <v>1309088.43</v>
      </c>
      <c r="J55" s="4">
        <v>0</v>
      </c>
      <c r="K55" s="4">
        <v>0</v>
      </c>
      <c r="L55" s="4">
        <v>1309088.33</v>
      </c>
      <c r="M55" s="4">
        <v>0</v>
      </c>
      <c r="N55" s="5">
        <v>2880060.0700000003</v>
      </c>
      <c r="O55" s="5">
        <v>1570971.7400000002</v>
      </c>
      <c r="P55" t="s">
        <v>520</v>
      </c>
    </row>
    <row r="56" spans="1:16" hidden="1">
      <c r="B56" t="s">
        <v>33</v>
      </c>
      <c r="C56" t="s">
        <v>149</v>
      </c>
      <c r="D56">
        <v>18230738</v>
      </c>
      <c r="E56" s="4">
        <v>27085.46</v>
      </c>
      <c r="F56" s="4">
        <v>23361.18</v>
      </c>
      <c r="G56" s="4">
        <v>0</v>
      </c>
      <c r="H56" s="4">
        <v>9.08</v>
      </c>
      <c r="I56" s="4">
        <v>895667.97</v>
      </c>
      <c r="J56" s="4">
        <v>0</v>
      </c>
      <c r="K56" s="4">
        <v>0</v>
      </c>
      <c r="L56" s="4">
        <v>895668.07</v>
      </c>
      <c r="M56" s="4">
        <v>0</v>
      </c>
      <c r="N56" s="5">
        <v>1841791.7599999998</v>
      </c>
      <c r="O56" s="5">
        <v>946123.68999999983</v>
      </c>
      <c r="P56" t="s">
        <v>520</v>
      </c>
    </row>
    <row r="57" spans="1:16" hidden="1">
      <c r="B57" t="s">
        <v>65</v>
      </c>
      <c r="C57" t="s">
        <v>99</v>
      </c>
      <c r="D57">
        <v>18231137</v>
      </c>
      <c r="E57" s="4">
        <v>178219.26</v>
      </c>
      <c r="F57" s="4">
        <v>152324.04999999999</v>
      </c>
      <c r="G57" s="4">
        <v>2993.75</v>
      </c>
      <c r="H57" s="4">
        <v>531.52</v>
      </c>
      <c r="I57" s="4">
        <v>95784.01</v>
      </c>
      <c r="J57" s="4">
        <v>189.66</v>
      </c>
      <c r="K57" s="4">
        <v>0</v>
      </c>
      <c r="L57" s="4">
        <v>818468.98</v>
      </c>
      <c r="M57" s="4">
        <v>0</v>
      </c>
      <c r="N57" s="5">
        <v>1248511.23</v>
      </c>
      <c r="O57" s="5">
        <v>430042.25</v>
      </c>
      <c r="P57" t="s">
        <v>523</v>
      </c>
    </row>
    <row r="58" spans="1:16">
      <c r="B58" t="s">
        <v>141</v>
      </c>
      <c r="C58" t="s">
        <v>168</v>
      </c>
      <c r="D58">
        <v>18231037</v>
      </c>
      <c r="E58" s="4">
        <v>275.69</v>
      </c>
      <c r="F58" s="4">
        <v>234.32</v>
      </c>
      <c r="G58" s="4">
        <v>0</v>
      </c>
      <c r="H58" s="4">
        <v>51.31</v>
      </c>
      <c r="I58" s="4">
        <v>0</v>
      </c>
      <c r="J58" s="4">
        <v>19.87</v>
      </c>
      <c r="K58" s="4">
        <v>0</v>
      </c>
      <c r="L58" s="4">
        <v>0</v>
      </c>
      <c r="M58" s="4">
        <v>0</v>
      </c>
      <c r="N58" s="5">
        <f>SUM(E58:M58)</f>
        <v>581.18999999999994</v>
      </c>
      <c r="O58" s="5">
        <f>N58-L58</f>
        <v>581.18999999999994</v>
      </c>
      <c r="P58" t="s">
        <v>523</v>
      </c>
    </row>
    <row r="59" spans="1:16" hidden="1">
      <c r="B59" t="s">
        <v>65</v>
      </c>
      <c r="C59" t="s">
        <v>175</v>
      </c>
      <c r="D59">
        <v>18231133</v>
      </c>
      <c r="E59" s="4">
        <v>35982.57</v>
      </c>
      <c r="F59" s="4">
        <v>33189.440000000002</v>
      </c>
      <c r="G59" s="4">
        <v>0</v>
      </c>
      <c r="H59" s="4">
        <v>0</v>
      </c>
      <c r="I59" s="4">
        <v>3265.18</v>
      </c>
      <c r="J59" s="4">
        <v>0</v>
      </c>
      <c r="K59" s="4">
        <v>0</v>
      </c>
      <c r="L59" s="4">
        <v>78362.559999999998</v>
      </c>
      <c r="M59" s="4">
        <v>0</v>
      </c>
      <c r="N59" s="5">
        <v>150799.75</v>
      </c>
      <c r="O59" s="5">
        <v>72437.19</v>
      </c>
      <c r="P59" t="s">
        <v>523</v>
      </c>
    </row>
    <row r="60" spans="1:16" hidden="1">
      <c r="A60" s="1"/>
      <c r="B60" t="s">
        <v>70</v>
      </c>
      <c r="C60" t="s">
        <v>128</v>
      </c>
      <c r="D60">
        <v>18230714</v>
      </c>
      <c r="E60" s="4">
        <v>165286.39000000001</v>
      </c>
      <c r="F60" s="4">
        <v>142318.32</v>
      </c>
      <c r="G60" s="4">
        <v>1466.45</v>
      </c>
      <c r="H60" s="4">
        <v>68.38</v>
      </c>
      <c r="I60" s="4">
        <v>368937.2</v>
      </c>
      <c r="J60" s="4">
        <v>40.99</v>
      </c>
      <c r="K60" s="4">
        <v>11597.93</v>
      </c>
      <c r="L60" s="4">
        <v>2341019.7799999998</v>
      </c>
      <c r="M60" s="4">
        <v>0</v>
      </c>
      <c r="N60" s="5">
        <v>3030735.44</v>
      </c>
      <c r="O60" s="5">
        <v>689715.66000000015</v>
      </c>
      <c r="P60" t="s">
        <v>523</v>
      </c>
    </row>
    <row r="61" spans="1:16" hidden="1">
      <c r="B61" t="s">
        <v>100</v>
      </c>
      <c r="C61" t="s">
        <v>101</v>
      </c>
      <c r="D61">
        <v>42650207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178511.5</v>
      </c>
      <c r="M61" s="4">
        <v>0</v>
      </c>
      <c r="N61" s="5">
        <v>178511.5</v>
      </c>
      <c r="O61" s="5">
        <v>0</v>
      </c>
      <c r="P61" t="s">
        <v>519</v>
      </c>
    </row>
    <row r="62" spans="1:16" hidden="1">
      <c r="B62" t="s">
        <v>41</v>
      </c>
      <c r="C62" t="s">
        <v>104</v>
      </c>
      <c r="D62">
        <v>90800154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5">
        <v>0</v>
      </c>
      <c r="O62" s="5">
        <v>0</v>
      </c>
      <c r="P62" t="s">
        <v>526</v>
      </c>
    </row>
    <row r="63" spans="1:16" hidden="1">
      <c r="B63" t="s">
        <v>70</v>
      </c>
      <c r="C63" t="s">
        <v>1834</v>
      </c>
      <c r="D63">
        <v>18230520</v>
      </c>
      <c r="E63" s="4">
        <v>0</v>
      </c>
      <c r="F63" s="4">
        <v>0</v>
      </c>
      <c r="G63" s="4">
        <v>0</v>
      </c>
      <c r="H63" s="4">
        <v>0</v>
      </c>
      <c r="I63" s="4">
        <v>18.75</v>
      </c>
      <c r="J63" s="4">
        <v>0</v>
      </c>
      <c r="K63" s="4">
        <v>0</v>
      </c>
      <c r="L63" s="4">
        <v>0</v>
      </c>
      <c r="M63" s="4">
        <v>0</v>
      </c>
      <c r="N63" s="5">
        <v>18.75</v>
      </c>
      <c r="O63" s="5">
        <v>18.75</v>
      </c>
      <c r="P63" t="s">
        <v>523</v>
      </c>
    </row>
    <row r="64" spans="1:16" hidden="1">
      <c r="B64" t="s">
        <v>31</v>
      </c>
      <c r="C64" t="s">
        <v>1835</v>
      </c>
      <c r="D64">
        <v>18230250</v>
      </c>
      <c r="E64" s="4">
        <v>0</v>
      </c>
      <c r="F64" s="4">
        <v>0</v>
      </c>
      <c r="G64" s="4">
        <v>0</v>
      </c>
      <c r="H64" s="4">
        <v>0</v>
      </c>
      <c r="I64" s="4">
        <v>18.75</v>
      </c>
      <c r="J64" s="4">
        <v>0</v>
      </c>
      <c r="K64" s="4">
        <v>0</v>
      </c>
      <c r="L64" s="4">
        <v>0</v>
      </c>
      <c r="M64" s="4">
        <v>0</v>
      </c>
      <c r="N64" s="5">
        <v>18.75</v>
      </c>
      <c r="O64" s="5">
        <v>18.75</v>
      </c>
      <c r="P64" t="s">
        <v>523</v>
      </c>
    </row>
    <row r="65" spans="2:16" hidden="1">
      <c r="B65" t="s">
        <v>70</v>
      </c>
      <c r="C65" t="s">
        <v>299</v>
      </c>
      <c r="D65">
        <v>18230014</v>
      </c>
      <c r="E65" s="4">
        <v>264.36</v>
      </c>
      <c r="F65" s="4">
        <v>209.1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600902.76</v>
      </c>
      <c r="M65" s="4">
        <v>0</v>
      </c>
      <c r="N65" s="5">
        <v>601376.22</v>
      </c>
      <c r="O65" s="5">
        <v>473.45999999996275</v>
      </c>
      <c r="P65" t="s">
        <v>523</v>
      </c>
    </row>
    <row r="66" spans="2:16" hidden="1">
      <c r="B66" t="s">
        <v>31</v>
      </c>
      <c r="C66" t="s">
        <v>513</v>
      </c>
      <c r="D66">
        <v>18230221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5">
        <v>0</v>
      </c>
      <c r="O66" s="5">
        <v>0</v>
      </c>
      <c r="P66" t="s">
        <v>523</v>
      </c>
    </row>
    <row r="67" spans="2:16" hidden="1">
      <c r="B67" t="s">
        <v>74</v>
      </c>
      <c r="C67" t="s">
        <v>75</v>
      </c>
      <c r="D67">
        <v>18230611</v>
      </c>
      <c r="E67" s="4">
        <v>258880.19</v>
      </c>
      <c r="F67" s="4">
        <v>226034.39</v>
      </c>
      <c r="G67" s="4">
        <v>8225.7800000000007</v>
      </c>
      <c r="H67" s="4">
        <v>2127.66</v>
      </c>
      <c r="I67" s="4">
        <v>153339.87</v>
      </c>
      <c r="J67" s="4">
        <v>2482.83</v>
      </c>
      <c r="K67" s="4">
        <v>-25596.31</v>
      </c>
      <c r="L67" s="4">
        <v>6859396.4100000001</v>
      </c>
      <c r="M67" s="4">
        <v>-359686</v>
      </c>
      <c r="N67" s="5">
        <v>7125204.8200000003</v>
      </c>
      <c r="O67" s="5">
        <v>265808.41000000015</v>
      </c>
      <c r="P67" t="s">
        <v>520</v>
      </c>
    </row>
    <row r="68" spans="2:16" hidden="1">
      <c r="B68" t="s">
        <v>108</v>
      </c>
      <c r="C68" t="s">
        <v>109</v>
      </c>
      <c r="D68">
        <v>18230661</v>
      </c>
      <c r="E68" s="4">
        <v>47802.22</v>
      </c>
      <c r="F68" s="4">
        <v>41793.54</v>
      </c>
      <c r="G68" s="4">
        <v>3521.73</v>
      </c>
      <c r="H68" s="4">
        <v>17.61</v>
      </c>
      <c r="I68" s="4">
        <v>28846.2</v>
      </c>
      <c r="J68" s="4">
        <v>470.87</v>
      </c>
      <c r="K68" s="4">
        <v>25596.31</v>
      </c>
      <c r="L68" s="4">
        <v>1106133.79</v>
      </c>
      <c r="M68" s="4">
        <v>0</v>
      </c>
      <c r="N68" s="5">
        <v>1254182.27</v>
      </c>
      <c r="O68" s="5">
        <v>148048.47999999998</v>
      </c>
      <c r="P68" t="s">
        <v>520</v>
      </c>
    </row>
    <row r="69" spans="2:16" hidden="1">
      <c r="B69" t="s">
        <v>100</v>
      </c>
      <c r="C69" t="s">
        <v>179</v>
      </c>
      <c r="D69">
        <v>42650195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653250.1</v>
      </c>
      <c r="M69" s="4">
        <v>0</v>
      </c>
      <c r="N69" s="5">
        <v>653250.1</v>
      </c>
      <c r="O69" s="5">
        <v>0</v>
      </c>
      <c r="P69" t="s">
        <v>519</v>
      </c>
    </row>
    <row r="70" spans="2:16" hidden="1">
      <c r="B70" t="s">
        <v>17</v>
      </c>
      <c r="C70" t="s">
        <v>18</v>
      </c>
      <c r="D70">
        <v>18230071</v>
      </c>
      <c r="E70" s="4">
        <v>25075.25</v>
      </c>
      <c r="F70" s="4">
        <v>21567.52</v>
      </c>
      <c r="G70" s="4">
        <v>6040.95</v>
      </c>
      <c r="H70" s="4">
        <v>39.25</v>
      </c>
      <c r="I70" s="4">
        <v>56086.23</v>
      </c>
      <c r="J70" s="4">
        <v>1219.24</v>
      </c>
      <c r="K70" s="4">
        <v>3313.69</v>
      </c>
      <c r="L70" s="4">
        <v>193055.45</v>
      </c>
      <c r="M70" s="4">
        <v>0</v>
      </c>
      <c r="N70" s="5">
        <v>306397.58</v>
      </c>
      <c r="O70" s="5">
        <v>113342.13</v>
      </c>
      <c r="P70" t="s">
        <v>520</v>
      </c>
    </row>
    <row r="71" spans="2:16" hidden="1">
      <c r="B71" t="s">
        <v>110</v>
      </c>
      <c r="C71" t="s">
        <v>111</v>
      </c>
      <c r="D71">
        <v>18230466</v>
      </c>
      <c r="E71" s="4">
        <v>291554.71000000002</v>
      </c>
      <c r="F71" s="4">
        <v>253730.39</v>
      </c>
      <c r="G71" s="4">
        <v>1502785.19</v>
      </c>
      <c r="H71" s="4">
        <v>0</v>
      </c>
      <c r="I71" s="4">
        <v>26310.53</v>
      </c>
      <c r="J71" s="4">
        <v>10688</v>
      </c>
      <c r="K71" s="4">
        <v>0</v>
      </c>
      <c r="L71" s="4">
        <v>112417.87</v>
      </c>
      <c r="M71" s="4">
        <v>0</v>
      </c>
      <c r="N71" s="5">
        <v>2197486.69</v>
      </c>
      <c r="O71" s="5">
        <v>2085068.8199999998</v>
      </c>
      <c r="P71" t="s">
        <v>524</v>
      </c>
    </row>
    <row r="72" spans="2:16" hidden="1">
      <c r="B72" t="s">
        <v>114</v>
      </c>
      <c r="C72" t="s">
        <v>115</v>
      </c>
      <c r="D72">
        <v>18230732</v>
      </c>
      <c r="E72" s="4">
        <v>46607.839999999997</v>
      </c>
      <c r="F72" s="4">
        <v>40573.81</v>
      </c>
      <c r="G72" s="4">
        <v>224639.77</v>
      </c>
      <c r="H72" s="4">
        <v>0</v>
      </c>
      <c r="I72" s="4">
        <v>4045.32</v>
      </c>
      <c r="J72" s="4">
        <v>0</v>
      </c>
      <c r="K72" s="4">
        <v>0</v>
      </c>
      <c r="L72" s="4">
        <v>16798.07</v>
      </c>
      <c r="M72" s="4">
        <v>0</v>
      </c>
      <c r="N72" s="5">
        <v>332664.81</v>
      </c>
      <c r="O72" s="5">
        <v>315866.74</v>
      </c>
      <c r="P72" t="s">
        <v>524</v>
      </c>
    </row>
    <row r="73" spans="2:16" hidden="1">
      <c r="B73" t="s">
        <v>116</v>
      </c>
      <c r="C73" t="s">
        <v>117</v>
      </c>
      <c r="D73">
        <v>18230413</v>
      </c>
      <c r="E73" s="4">
        <v>170661.49</v>
      </c>
      <c r="F73" s="4">
        <v>149130.27000000002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5">
        <v>319791.76</v>
      </c>
      <c r="O73" s="5">
        <v>319791.76</v>
      </c>
      <c r="P73" t="s">
        <v>525</v>
      </c>
    </row>
    <row r="74" spans="2:16" hidden="1">
      <c r="B74" t="s">
        <v>119</v>
      </c>
      <c r="C74" t="s">
        <v>120</v>
      </c>
      <c r="D74">
        <v>18230669</v>
      </c>
      <c r="E74" s="4">
        <v>25827.14</v>
      </c>
      <c r="F74" s="4">
        <v>22566.22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5">
        <v>48393.36</v>
      </c>
      <c r="O74" s="5">
        <v>48393.36</v>
      </c>
      <c r="P74" t="s">
        <v>525</v>
      </c>
    </row>
    <row r="75" spans="2:16" hidden="1">
      <c r="B75" t="s">
        <v>59</v>
      </c>
      <c r="C75" t="s">
        <v>60</v>
      </c>
      <c r="D75">
        <v>18230486</v>
      </c>
      <c r="E75" s="4">
        <v>172659.35</v>
      </c>
      <c r="F75" s="4">
        <v>150833.59</v>
      </c>
      <c r="G75" s="4">
        <v>3093.53</v>
      </c>
      <c r="H75" s="4">
        <v>351.7</v>
      </c>
      <c r="I75" s="4">
        <v>539744.66</v>
      </c>
      <c r="J75" s="4">
        <v>163.44999999999999</v>
      </c>
      <c r="K75" s="4">
        <v>2800</v>
      </c>
      <c r="L75" s="4">
        <v>1227245</v>
      </c>
      <c r="M75" s="4">
        <v>0</v>
      </c>
      <c r="N75" s="5">
        <v>2096891.28</v>
      </c>
      <c r="O75" s="5">
        <v>869646.28</v>
      </c>
      <c r="P75" t="s">
        <v>520</v>
      </c>
    </row>
    <row r="76" spans="2:16" hidden="1">
      <c r="B76" t="s">
        <v>102</v>
      </c>
      <c r="C76" t="s">
        <v>103</v>
      </c>
      <c r="D76">
        <v>18230673</v>
      </c>
      <c r="E76" s="4">
        <v>76998.22</v>
      </c>
      <c r="F76" s="4">
        <v>67389.279999999999</v>
      </c>
      <c r="G76" s="4">
        <v>656.27</v>
      </c>
      <c r="H76" s="4">
        <v>89.26</v>
      </c>
      <c r="I76" s="4">
        <v>135187.59</v>
      </c>
      <c r="J76" s="4">
        <v>32.68</v>
      </c>
      <c r="K76" s="4">
        <v>2200</v>
      </c>
      <c r="L76" s="4">
        <v>354447.69</v>
      </c>
      <c r="M76" s="4">
        <v>0</v>
      </c>
      <c r="N76" s="5">
        <v>637000.99</v>
      </c>
      <c r="O76" s="5">
        <v>282553.3</v>
      </c>
      <c r="P76" t="s">
        <v>520</v>
      </c>
    </row>
    <row r="77" spans="2:16" hidden="1">
      <c r="B77" t="s">
        <v>39</v>
      </c>
      <c r="C77" t="s">
        <v>40</v>
      </c>
      <c r="D77">
        <v>18230407</v>
      </c>
      <c r="E77" s="4">
        <v>263681.27</v>
      </c>
      <c r="F77" s="4">
        <v>231175.15</v>
      </c>
      <c r="G77" s="4">
        <v>37444.1</v>
      </c>
      <c r="H77" s="4">
        <v>847.73</v>
      </c>
      <c r="I77" s="4">
        <v>2281196.33</v>
      </c>
      <c r="J77" s="4">
        <v>3768.35</v>
      </c>
      <c r="K77" s="4">
        <v>6815.82</v>
      </c>
      <c r="L77" s="4">
        <v>7929569.4299999997</v>
      </c>
      <c r="M77" s="4">
        <v>0</v>
      </c>
      <c r="N77" s="5">
        <v>10754498.18</v>
      </c>
      <c r="O77" s="5">
        <v>2824928.75</v>
      </c>
      <c r="P77" t="s">
        <v>520</v>
      </c>
    </row>
    <row r="78" spans="2:16" hidden="1">
      <c r="B78" t="s">
        <v>145</v>
      </c>
      <c r="C78" t="s">
        <v>146</v>
      </c>
      <c r="D78">
        <v>18230736</v>
      </c>
      <c r="E78" s="4">
        <v>72559.31</v>
      </c>
      <c r="F78" s="4">
        <v>63324.76</v>
      </c>
      <c r="G78" s="4">
        <v>7924.78</v>
      </c>
      <c r="H78" s="4">
        <v>195.16</v>
      </c>
      <c r="I78" s="4">
        <v>79544.179999999993</v>
      </c>
      <c r="J78" s="4">
        <v>298.33999999999997</v>
      </c>
      <c r="K78" s="4">
        <v>79.47</v>
      </c>
      <c r="L78" s="4">
        <v>385441.57</v>
      </c>
      <c r="M78" s="4">
        <v>0</v>
      </c>
      <c r="N78" s="5">
        <v>609367.57000000007</v>
      </c>
      <c r="O78" s="5">
        <v>223926.00000000006</v>
      </c>
      <c r="P78" t="s">
        <v>520</v>
      </c>
    </row>
    <row r="79" spans="2:16" hidden="1">
      <c r="B79" t="s">
        <v>121</v>
      </c>
      <c r="C79" t="s">
        <v>122</v>
      </c>
      <c r="D79">
        <v>18230660</v>
      </c>
      <c r="E79" s="4">
        <v>3759.27</v>
      </c>
      <c r="F79" s="4">
        <v>3531.68</v>
      </c>
      <c r="G79" s="4">
        <v>0</v>
      </c>
      <c r="H79" s="4">
        <v>0</v>
      </c>
      <c r="I79" s="4">
        <v>466869.09</v>
      </c>
      <c r="J79" s="4">
        <v>0</v>
      </c>
      <c r="K79" s="4">
        <v>257642.88</v>
      </c>
      <c r="L79" s="4">
        <v>831718.27</v>
      </c>
      <c r="M79" s="4">
        <v>0</v>
      </c>
      <c r="N79" s="5">
        <v>1563521.19</v>
      </c>
      <c r="O79" s="5">
        <v>731802.91999999993</v>
      </c>
      <c r="P79" t="s">
        <v>521</v>
      </c>
    </row>
    <row r="80" spans="2:16" hidden="1">
      <c r="B80" t="s">
        <v>126</v>
      </c>
      <c r="C80" t="s">
        <v>127</v>
      </c>
      <c r="D80">
        <v>18230128</v>
      </c>
      <c r="E80" s="4">
        <v>668415.96</v>
      </c>
      <c r="F80" s="4">
        <v>580517.94999999995</v>
      </c>
      <c r="G80" s="4">
        <v>0</v>
      </c>
      <c r="H80" s="4">
        <v>462.67</v>
      </c>
      <c r="I80" s="4">
        <v>130911.38</v>
      </c>
      <c r="J80" s="4">
        <v>13305.6</v>
      </c>
      <c r="K80" s="4">
        <v>4127611.23</v>
      </c>
      <c r="L80" s="4">
        <v>0</v>
      </c>
      <c r="M80" s="4">
        <v>0</v>
      </c>
      <c r="N80" s="5">
        <v>5521224.79</v>
      </c>
      <c r="O80" s="5">
        <v>5521224.79</v>
      </c>
      <c r="P80" t="s">
        <v>429</v>
      </c>
    </row>
    <row r="81" spans="2:16" hidden="1">
      <c r="B81" t="s">
        <v>49</v>
      </c>
      <c r="C81" t="s">
        <v>50</v>
      </c>
      <c r="D81">
        <v>18230421</v>
      </c>
      <c r="E81" s="4">
        <v>2736.08</v>
      </c>
      <c r="F81" s="4">
        <v>2507.06</v>
      </c>
      <c r="G81" s="4">
        <v>0</v>
      </c>
      <c r="H81" s="4">
        <v>548.77</v>
      </c>
      <c r="I81" s="4">
        <v>2757575.35</v>
      </c>
      <c r="J81" s="4">
        <v>0</v>
      </c>
      <c r="K81" s="4">
        <v>-257642.88</v>
      </c>
      <c r="L81" s="4">
        <v>5435240.2300000004</v>
      </c>
      <c r="M81" s="4">
        <v>0</v>
      </c>
      <c r="N81" s="5">
        <v>7940964.6100000013</v>
      </c>
      <c r="O81" s="5">
        <v>2505724.3800000008</v>
      </c>
      <c r="P81" t="s">
        <v>521</v>
      </c>
    </row>
    <row r="82" spans="2:16" hidden="1">
      <c r="B82" t="s">
        <v>136</v>
      </c>
      <c r="C82" t="s">
        <v>509</v>
      </c>
      <c r="D82">
        <v>18236102</v>
      </c>
      <c r="E82" s="4">
        <v>5272.45</v>
      </c>
      <c r="F82" s="4">
        <v>4296.34</v>
      </c>
      <c r="G82" s="4">
        <v>0</v>
      </c>
      <c r="H82" s="4">
        <v>6.49</v>
      </c>
      <c r="I82" s="4">
        <v>0</v>
      </c>
      <c r="J82" s="4">
        <v>0</v>
      </c>
      <c r="K82" s="4">
        <v>0</v>
      </c>
      <c r="L82" s="4">
        <v>28048</v>
      </c>
      <c r="M82" s="4">
        <v>0</v>
      </c>
      <c r="N82" s="5">
        <v>37623.279999999999</v>
      </c>
      <c r="O82" s="5">
        <v>9575.2799999999988</v>
      </c>
      <c r="P82" t="s">
        <v>523</v>
      </c>
    </row>
    <row r="83" spans="2:16" hidden="1">
      <c r="B83" t="s">
        <v>112</v>
      </c>
      <c r="C83" t="s">
        <v>321</v>
      </c>
      <c r="D83">
        <v>18231039</v>
      </c>
      <c r="E83" s="4">
        <v>1575.36</v>
      </c>
      <c r="F83" s="4">
        <v>1279.47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5">
        <v>2854.83</v>
      </c>
      <c r="O83" s="5">
        <v>2854.83</v>
      </c>
      <c r="P83" t="s">
        <v>523</v>
      </c>
    </row>
    <row r="84" spans="2:16" hidden="1">
      <c r="B84" t="s">
        <v>139</v>
      </c>
      <c r="C84" t="s">
        <v>140</v>
      </c>
      <c r="D84">
        <v>18230802</v>
      </c>
      <c r="E84" s="4">
        <v>303909.15000000002</v>
      </c>
      <c r="F84" s="4">
        <v>265868.69</v>
      </c>
      <c r="G84" s="4">
        <v>0</v>
      </c>
      <c r="H84" s="4">
        <v>1475.1599999999999</v>
      </c>
      <c r="I84" s="4">
        <v>2378398.77</v>
      </c>
      <c r="J84" s="4">
        <v>328.12</v>
      </c>
      <c r="K84" s="4">
        <v>210800</v>
      </c>
      <c r="L84" s="4">
        <v>49999.99</v>
      </c>
      <c r="M84" s="4">
        <v>0</v>
      </c>
      <c r="N84" s="5">
        <v>3210779.8800000004</v>
      </c>
      <c r="O84" s="5">
        <v>3160779.89</v>
      </c>
      <c r="P84" t="s">
        <v>525</v>
      </c>
    </row>
    <row r="85" spans="2:16" hidden="1">
      <c r="B85" t="s">
        <v>143</v>
      </c>
      <c r="C85" t="s">
        <v>144</v>
      </c>
      <c r="D85">
        <v>18230699</v>
      </c>
      <c r="E85" s="4">
        <v>44637.56</v>
      </c>
      <c r="F85" s="4">
        <v>39045.5</v>
      </c>
      <c r="G85" s="4">
        <v>0</v>
      </c>
      <c r="H85" s="4">
        <v>77.739999999999995</v>
      </c>
      <c r="I85" s="4">
        <v>449313.45999999996</v>
      </c>
      <c r="J85" s="4">
        <v>49.03</v>
      </c>
      <c r="K85" s="4">
        <v>139500</v>
      </c>
      <c r="L85" s="4">
        <v>0</v>
      </c>
      <c r="M85" s="4">
        <v>0</v>
      </c>
      <c r="N85" s="5">
        <v>672623.29</v>
      </c>
      <c r="O85" s="5">
        <v>672623.29</v>
      </c>
      <c r="P85" t="s">
        <v>525</v>
      </c>
    </row>
    <row r="86" spans="2:16" hidden="1">
      <c r="B86" t="s">
        <v>147</v>
      </c>
      <c r="C86" t="s">
        <v>148</v>
      </c>
      <c r="D86">
        <v>18230810</v>
      </c>
      <c r="E86" s="4">
        <v>601002.54</v>
      </c>
      <c r="F86" s="4">
        <v>509010.1</v>
      </c>
      <c r="G86" s="4">
        <v>0</v>
      </c>
      <c r="H86" s="4">
        <v>1126.51</v>
      </c>
      <c r="I86" s="4">
        <v>47049.599999999999</v>
      </c>
      <c r="J86" s="4">
        <v>363.93</v>
      </c>
      <c r="K86" s="4">
        <v>59.06</v>
      </c>
      <c r="L86" s="4">
        <v>0</v>
      </c>
      <c r="M86" s="4">
        <v>0</v>
      </c>
      <c r="N86" s="5">
        <v>1158611.7400000002</v>
      </c>
      <c r="O86" s="5">
        <v>1158611.7400000002</v>
      </c>
      <c r="P86" t="s">
        <v>524</v>
      </c>
    </row>
    <row r="87" spans="2:16" hidden="1">
      <c r="B87" t="s">
        <v>150</v>
      </c>
      <c r="C87" t="s">
        <v>151</v>
      </c>
      <c r="D87">
        <v>18230688</v>
      </c>
      <c r="E87" s="4">
        <v>90751.45</v>
      </c>
      <c r="F87" s="4">
        <v>76851.42</v>
      </c>
      <c r="G87" s="4">
        <v>0</v>
      </c>
      <c r="H87" s="4">
        <v>193.79</v>
      </c>
      <c r="I87" s="4">
        <v>7030.4</v>
      </c>
      <c r="J87" s="4">
        <v>62.73</v>
      </c>
      <c r="K87" s="4">
        <v>8.82</v>
      </c>
      <c r="L87" s="4">
        <v>0</v>
      </c>
      <c r="M87" s="4">
        <v>0</v>
      </c>
      <c r="N87" s="5">
        <v>174898.61000000002</v>
      </c>
      <c r="O87" s="5">
        <v>174898.61000000002</v>
      </c>
      <c r="P87" t="s">
        <v>524</v>
      </c>
    </row>
    <row r="88" spans="2:16" hidden="1">
      <c r="B88" t="s">
        <v>47</v>
      </c>
      <c r="C88" t="s">
        <v>516</v>
      </c>
      <c r="D88">
        <v>18230509</v>
      </c>
      <c r="E88" s="4">
        <v>38755.43</v>
      </c>
      <c r="F88" s="4">
        <v>32291.3</v>
      </c>
      <c r="G88" s="4">
        <v>150244.45000000001</v>
      </c>
      <c r="H88" s="4">
        <v>0</v>
      </c>
      <c r="I88" s="4">
        <v>18147.77</v>
      </c>
      <c r="J88" s="4">
        <v>7.15</v>
      </c>
      <c r="K88" s="4">
        <v>0</v>
      </c>
      <c r="L88" s="4">
        <v>-245.46</v>
      </c>
      <c r="M88" s="4">
        <v>0</v>
      </c>
      <c r="N88" s="5">
        <v>239200.63999999998</v>
      </c>
      <c r="O88" s="5">
        <v>239446.09999999998</v>
      </c>
      <c r="P88" t="s">
        <v>524</v>
      </c>
    </row>
    <row r="89" spans="2:16" hidden="1">
      <c r="B89" t="s">
        <v>55</v>
      </c>
      <c r="C89" t="s">
        <v>517</v>
      </c>
      <c r="D89">
        <v>18230662</v>
      </c>
      <c r="E89" s="4">
        <v>20566.36</v>
      </c>
      <c r="F89" s="4">
        <v>17235.259999999998</v>
      </c>
      <c r="G89" s="4">
        <v>57362.27</v>
      </c>
      <c r="H89" s="4">
        <v>0</v>
      </c>
      <c r="I89" s="4">
        <v>18147.75</v>
      </c>
      <c r="J89" s="4">
        <v>7.15</v>
      </c>
      <c r="K89" s="4">
        <v>0</v>
      </c>
      <c r="L89" s="4">
        <v>-119.65</v>
      </c>
      <c r="M89" s="4">
        <v>0</v>
      </c>
      <c r="N89" s="5">
        <v>113199.13999999998</v>
      </c>
      <c r="O89" s="5">
        <v>113318.78999999998</v>
      </c>
      <c r="P89" t="s">
        <v>524</v>
      </c>
    </row>
    <row r="90" spans="2:16" hidden="1">
      <c r="B90" t="s">
        <v>152</v>
      </c>
      <c r="C90" t="s">
        <v>153</v>
      </c>
      <c r="D90">
        <v>18230507</v>
      </c>
      <c r="E90" s="4">
        <v>574793.73</v>
      </c>
      <c r="F90" s="4">
        <v>499356.44</v>
      </c>
      <c r="G90" s="4">
        <v>0</v>
      </c>
      <c r="H90" s="4">
        <v>288.24</v>
      </c>
      <c r="I90" s="4">
        <v>81917.41</v>
      </c>
      <c r="J90" s="4">
        <v>338.1</v>
      </c>
      <c r="K90" s="4">
        <v>0</v>
      </c>
      <c r="L90" s="4">
        <v>0</v>
      </c>
      <c r="M90" s="4">
        <v>0</v>
      </c>
      <c r="N90" s="5">
        <v>1156693.92</v>
      </c>
      <c r="O90" s="5">
        <v>1156693.92</v>
      </c>
      <c r="P90" t="s">
        <v>524</v>
      </c>
    </row>
    <row r="91" spans="2:16" hidden="1">
      <c r="B91" t="s">
        <v>154</v>
      </c>
      <c r="C91" t="s">
        <v>155</v>
      </c>
      <c r="D91">
        <v>18230659</v>
      </c>
      <c r="E91" s="4">
        <v>48301.32</v>
      </c>
      <c r="F91" s="4">
        <v>42700.87</v>
      </c>
      <c r="G91" s="4">
        <v>0</v>
      </c>
      <c r="H91" s="4">
        <v>0</v>
      </c>
      <c r="I91" s="4">
        <v>21948.49</v>
      </c>
      <c r="J91" s="4">
        <v>0</v>
      </c>
      <c r="K91" s="4">
        <v>0</v>
      </c>
      <c r="L91" s="4">
        <v>0</v>
      </c>
      <c r="M91" s="4">
        <v>0</v>
      </c>
      <c r="N91" s="5">
        <v>112950.68000000001</v>
      </c>
      <c r="O91" s="5">
        <v>112950.68000000001</v>
      </c>
      <c r="P91" t="s">
        <v>524</v>
      </c>
    </row>
    <row r="92" spans="2:16" hidden="1">
      <c r="B92" t="s">
        <v>15</v>
      </c>
      <c r="C92" t="s">
        <v>53</v>
      </c>
      <c r="D92">
        <v>18230440</v>
      </c>
      <c r="E92" s="4">
        <v>197044.6</v>
      </c>
      <c r="F92" s="4">
        <v>176106.03</v>
      </c>
      <c r="G92" s="4">
        <v>463396.63</v>
      </c>
      <c r="H92" s="4">
        <v>82.52</v>
      </c>
      <c r="I92" s="4">
        <v>482167.25</v>
      </c>
      <c r="J92" s="4">
        <v>500.64</v>
      </c>
      <c r="K92" s="4">
        <v>-12512.66</v>
      </c>
      <c r="L92" s="4">
        <v>3625352.21</v>
      </c>
      <c r="M92" s="4">
        <v>0</v>
      </c>
      <c r="N92" s="5">
        <v>4932137.22</v>
      </c>
      <c r="O92" s="5">
        <v>1306785.0099999998</v>
      </c>
      <c r="P92" t="s">
        <v>520</v>
      </c>
    </row>
    <row r="93" spans="2:16" hidden="1">
      <c r="B93" t="s">
        <v>15</v>
      </c>
      <c r="C93" t="s">
        <v>52</v>
      </c>
      <c r="D93">
        <v>18230435</v>
      </c>
      <c r="E93" s="4">
        <v>56162.75</v>
      </c>
      <c r="F93" s="4">
        <v>48979.06</v>
      </c>
      <c r="G93" s="4">
        <v>22365.93</v>
      </c>
      <c r="H93" s="4">
        <v>433.97</v>
      </c>
      <c r="I93" s="4">
        <v>68084.39</v>
      </c>
      <c r="J93" s="4">
        <v>16</v>
      </c>
      <c r="K93" s="4">
        <v>4142.12</v>
      </c>
      <c r="L93" s="4">
        <v>179369.13</v>
      </c>
      <c r="M93" s="4">
        <v>0</v>
      </c>
      <c r="N93" s="5">
        <v>379553.35</v>
      </c>
      <c r="O93" s="5">
        <v>200184.21999999997</v>
      </c>
      <c r="P93" t="s">
        <v>520</v>
      </c>
    </row>
    <row r="94" spans="2:16" hidden="1">
      <c r="B94" t="s">
        <v>33</v>
      </c>
      <c r="C94" t="s">
        <v>118</v>
      </c>
      <c r="D94">
        <v>18230700</v>
      </c>
      <c r="E94" s="4">
        <v>21754.58</v>
      </c>
      <c r="F94" s="4">
        <v>19041.95</v>
      </c>
      <c r="G94" s="4">
        <v>42534.99</v>
      </c>
      <c r="H94" s="4">
        <v>0</v>
      </c>
      <c r="I94" s="4">
        <v>36234.68</v>
      </c>
      <c r="J94" s="4">
        <v>16</v>
      </c>
      <c r="K94" s="4">
        <v>1656.85</v>
      </c>
      <c r="L94" s="4">
        <v>63902.87</v>
      </c>
      <c r="M94" s="4">
        <v>0</v>
      </c>
      <c r="N94" s="5">
        <v>185141.91999999998</v>
      </c>
      <c r="O94" s="5">
        <v>121239.04999999999</v>
      </c>
      <c r="P94" t="s">
        <v>520</v>
      </c>
    </row>
    <row r="95" spans="2:16" hidden="1">
      <c r="B95" t="s">
        <v>136</v>
      </c>
      <c r="C95" t="s">
        <v>160</v>
      </c>
      <c r="D95">
        <v>18230502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5">
        <v>0</v>
      </c>
      <c r="O95" s="5">
        <v>0</v>
      </c>
      <c r="P95" t="s">
        <v>523</v>
      </c>
    </row>
    <row r="96" spans="2:16" hidden="1">
      <c r="B96" t="s">
        <v>112</v>
      </c>
      <c r="C96" t="s">
        <v>161</v>
      </c>
      <c r="D96">
        <v>18231033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5">
        <v>0</v>
      </c>
      <c r="O96" s="5">
        <v>0</v>
      </c>
      <c r="P96" t="s">
        <v>523</v>
      </c>
    </row>
    <row r="97" spans="2:16" hidden="1">
      <c r="B97" t="s">
        <v>156</v>
      </c>
      <c r="C97" t="s">
        <v>158</v>
      </c>
      <c r="D97">
        <v>18230750</v>
      </c>
      <c r="E97" s="4">
        <v>19263.400000000001</v>
      </c>
      <c r="F97" s="4">
        <v>16000.84</v>
      </c>
      <c r="G97" s="4">
        <v>0</v>
      </c>
      <c r="H97" s="4">
        <v>0</v>
      </c>
      <c r="I97" s="4">
        <v>236250</v>
      </c>
      <c r="J97" s="4">
        <v>0</v>
      </c>
      <c r="K97" s="4">
        <v>0</v>
      </c>
      <c r="L97" s="4">
        <v>0</v>
      </c>
      <c r="M97" s="4">
        <v>0</v>
      </c>
      <c r="N97" s="5">
        <v>271514.23999999999</v>
      </c>
      <c r="O97" s="5">
        <f>N97-L97</f>
        <v>271514.23999999999</v>
      </c>
      <c r="P97" t="s">
        <v>522</v>
      </c>
    </row>
    <row r="98" spans="2:16" hidden="1">
      <c r="B98" t="s">
        <v>36</v>
      </c>
      <c r="C98" t="s">
        <v>37</v>
      </c>
      <c r="D98">
        <v>18230256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5">
        <v>0</v>
      </c>
      <c r="O98" s="5">
        <v>0</v>
      </c>
      <c r="P98" t="s">
        <v>522</v>
      </c>
    </row>
    <row r="99" spans="2:16" hidden="1">
      <c r="B99" t="s">
        <v>15</v>
      </c>
      <c r="C99" t="s">
        <v>81</v>
      </c>
      <c r="D99">
        <v>18230628</v>
      </c>
      <c r="E99" s="4">
        <v>80055.33</v>
      </c>
      <c r="F99" s="4">
        <v>69169.429999999993</v>
      </c>
      <c r="G99" s="4">
        <v>202730.15</v>
      </c>
      <c r="H99" s="4">
        <v>164.66</v>
      </c>
      <c r="I99" s="4">
        <v>893659.84</v>
      </c>
      <c r="J99" s="4">
        <v>3564.81</v>
      </c>
      <c r="K99" s="4">
        <v>10769.5</v>
      </c>
      <c r="L99" s="4">
        <v>11639192.189999999</v>
      </c>
      <c r="M99" s="4">
        <v>0</v>
      </c>
      <c r="N99" s="5">
        <v>12899305.91</v>
      </c>
      <c r="O99" s="5">
        <v>1260113.7200000007</v>
      </c>
      <c r="P99" t="s">
        <v>520</v>
      </c>
    </row>
    <row r="100" spans="2:16" hidden="1">
      <c r="B100" t="s">
        <v>33</v>
      </c>
      <c r="C100" t="s">
        <v>83</v>
      </c>
      <c r="D100">
        <v>18230638</v>
      </c>
      <c r="E100" s="4">
        <v>55451.74</v>
      </c>
      <c r="F100" s="4">
        <v>48384.94</v>
      </c>
      <c r="G100" s="4">
        <v>148990.29</v>
      </c>
      <c r="H100" s="4">
        <v>14.66</v>
      </c>
      <c r="I100" s="4">
        <v>2543.4</v>
      </c>
      <c r="J100" s="4">
        <v>3564.81</v>
      </c>
      <c r="K100" s="4">
        <v>0</v>
      </c>
      <c r="L100" s="4">
        <v>3382939.49</v>
      </c>
      <c r="M100" s="4">
        <v>0</v>
      </c>
      <c r="N100" s="5">
        <v>3641889.33</v>
      </c>
      <c r="O100" s="5">
        <v>258949.83999999985</v>
      </c>
      <c r="P100" t="s">
        <v>520</v>
      </c>
    </row>
    <row r="101" spans="2:16" hidden="1">
      <c r="B101" t="s">
        <v>15</v>
      </c>
      <c r="C101" t="s">
        <v>79</v>
      </c>
      <c r="D101">
        <v>18230626</v>
      </c>
      <c r="E101" s="4">
        <v>81643.87</v>
      </c>
      <c r="F101" s="4">
        <v>69072.509999999995</v>
      </c>
      <c r="G101" s="4">
        <v>117058.3</v>
      </c>
      <c r="H101" s="4">
        <v>219.81</v>
      </c>
      <c r="I101" s="4">
        <v>189706.16</v>
      </c>
      <c r="J101" s="4">
        <v>16</v>
      </c>
      <c r="K101" s="4">
        <v>-1656.85</v>
      </c>
      <c r="L101" s="4">
        <v>1792056.05</v>
      </c>
      <c r="M101" s="4">
        <v>0</v>
      </c>
      <c r="N101" s="5">
        <v>2248115.85</v>
      </c>
      <c r="O101" s="5">
        <v>456059.80000000005</v>
      </c>
      <c r="P101" t="s">
        <v>520</v>
      </c>
    </row>
    <row r="102" spans="2:16" hidden="1">
      <c r="B102" t="s">
        <v>33</v>
      </c>
      <c r="C102" t="s">
        <v>34</v>
      </c>
      <c r="D102">
        <v>18230249</v>
      </c>
      <c r="E102" s="4">
        <v>50275.76</v>
      </c>
      <c r="F102" s="4">
        <v>42972.89</v>
      </c>
      <c r="G102" s="4">
        <v>32936.07</v>
      </c>
      <c r="H102" s="4">
        <v>0</v>
      </c>
      <c r="I102" s="4">
        <v>62.7</v>
      </c>
      <c r="J102" s="4">
        <v>16</v>
      </c>
      <c r="K102" s="4">
        <v>0</v>
      </c>
      <c r="L102" s="4">
        <v>642829.56000000006</v>
      </c>
      <c r="M102" s="4">
        <v>0</v>
      </c>
      <c r="N102" s="5">
        <v>769092.9800000001</v>
      </c>
      <c r="O102" s="5">
        <v>126263.42000000004</v>
      </c>
      <c r="P102" t="s">
        <v>520</v>
      </c>
    </row>
    <row r="103" spans="2:16" hidden="1">
      <c r="B103" t="s">
        <v>15</v>
      </c>
      <c r="C103" t="s">
        <v>80</v>
      </c>
      <c r="D103">
        <v>18230627</v>
      </c>
      <c r="E103" s="4">
        <v>69479.06</v>
      </c>
      <c r="F103" s="4">
        <v>59877.56</v>
      </c>
      <c r="G103" s="4">
        <v>174258.46</v>
      </c>
      <c r="H103" s="4">
        <v>15.92</v>
      </c>
      <c r="I103" s="4">
        <v>3120.13</v>
      </c>
      <c r="J103" s="4">
        <v>3562.81</v>
      </c>
      <c r="K103" s="4">
        <v>0</v>
      </c>
      <c r="L103" s="4">
        <v>1610249.64</v>
      </c>
      <c r="M103" s="4">
        <v>0</v>
      </c>
      <c r="N103" s="5">
        <v>1920563.5799999998</v>
      </c>
      <c r="O103" s="5">
        <v>310313.93999999994</v>
      </c>
      <c r="P103" t="s">
        <v>520</v>
      </c>
    </row>
    <row r="104" spans="2:16" hidden="1">
      <c r="B104" t="s">
        <v>33</v>
      </c>
      <c r="C104" t="s">
        <v>82</v>
      </c>
      <c r="D104">
        <v>18230637</v>
      </c>
      <c r="E104" s="4">
        <v>116256</v>
      </c>
      <c r="F104" s="4">
        <v>100735.8</v>
      </c>
      <c r="G104" s="4">
        <v>69273.850000000006</v>
      </c>
      <c r="H104" s="4">
        <v>15.92</v>
      </c>
      <c r="I104" s="4">
        <v>61156.9</v>
      </c>
      <c r="J104" s="4">
        <v>1676.16</v>
      </c>
      <c r="K104" s="4">
        <v>260</v>
      </c>
      <c r="L104" s="4">
        <v>4004039.06</v>
      </c>
      <c r="M104" s="4">
        <v>0</v>
      </c>
      <c r="N104" s="5">
        <v>4353413.6900000004</v>
      </c>
      <c r="O104" s="5">
        <v>349374.63000000035</v>
      </c>
      <c r="P104" t="s">
        <v>520</v>
      </c>
    </row>
    <row r="105" spans="2:16" hidden="1">
      <c r="B105" t="s">
        <v>156</v>
      </c>
      <c r="C105" t="s">
        <v>157</v>
      </c>
      <c r="D105">
        <v>18230749</v>
      </c>
      <c r="E105" s="4">
        <v>9780.7000000000007</v>
      </c>
      <c r="F105" s="4">
        <v>7976.35</v>
      </c>
      <c r="G105" s="4">
        <v>248.7</v>
      </c>
      <c r="H105" s="4">
        <v>0</v>
      </c>
      <c r="I105" s="4">
        <v>159446.21</v>
      </c>
      <c r="J105" s="4">
        <v>0</v>
      </c>
      <c r="K105" s="4">
        <v>0</v>
      </c>
      <c r="L105" s="4">
        <v>0</v>
      </c>
      <c r="M105" s="4">
        <v>0</v>
      </c>
      <c r="N105" s="5">
        <v>177451.96</v>
      </c>
      <c r="O105" s="5">
        <f>N105-L105</f>
        <v>177451.96</v>
      </c>
      <c r="P105" t="s">
        <v>522</v>
      </c>
    </row>
    <row r="106" spans="2:16" hidden="1">
      <c r="B106" t="s">
        <v>17</v>
      </c>
      <c r="C106" t="s">
        <v>38</v>
      </c>
      <c r="D106">
        <v>18230405</v>
      </c>
      <c r="E106" s="4">
        <v>29198.86</v>
      </c>
      <c r="F106" s="4">
        <v>25223.58</v>
      </c>
      <c r="G106" s="4">
        <v>142.28</v>
      </c>
      <c r="H106" s="4">
        <v>115.26</v>
      </c>
      <c r="I106" s="4">
        <v>0.85</v>
      </c>
      <c r="J106" s="4">
        <v>0</v>
      </c>
      <c r="K106" s="4">
        <v>2000</v>
      </c>
      <c r="L106" s="4">
        <v>62250</v>
      </c>
      <c r="M106" s="4">
        <v>0</v>
      </c>
      <c r="N106" s="5">
        <v>118930.83</v>
      </c>
      <c r="O106" s="5">
        <v>56680.83</v>
      </c>
      <c r="P106" t="s">
        <v>520</v>
      </c>
    </row>
    <row r="107" spans="2:16" hidden="1">
      <c r="B107" t="s">
        <v>105</v>
      </c>
      <c r="C107" t="s">
        <v>106</v>
      </c>
      <c r="D107">
        <v>18230684</v>
      </c>
      <c r="E107" s="4">
        <v>15269.4</v>
      </c>
      <c r="F107" s="4">
        <v>13061.75</v>
      </c>
      <c r="G107" s="4">
        <v>1134.53</v>
      </c>
      <c r="H107" s="4">
        <v>50.01</v>
      </c>
      <c r="I107" s="4">
        <v>131</v>
      </c>
      <c r="J107" s="4">
        <v>0</v>
      </c>
      <c r="K107" s="4">
        <v>4000</v>
      </c>
      <c r="L107" s="4">
        <v>29500</v>
      </c>
      <c r="M107" s="4">
        <v>0</v>
      </c>
      <c r="N107" s="5">
        <v>63146.69</v>
      </c>
      <c r="O107" s="5">
        <v>33646.69</v>
      </c>
      <c r="P107" t="s">
        <v>520</v>
      </c>
    </row>
    <row r="108" spans="2:16" hidden="1">
      <c r="B108" t="s">
        <v>70</v>
      </c>
      <c r="C108" t="s">
        <v>176</v>
      </c>
      <c r="D108">
        <v>18231134</v>
      </c>
      <c r="E108" s="4">
        <v>232957.78</v>
      </c>
      <c r="F108" s="4">
        <v>201650.88</v>
      </c>
      <c r="G108" s="4">
        <v>21325.26</v>
      </c>
      <c r="H108" s="4">
        <v>1569.28</v>
      </c>
      <c r="I108" s="4">
        <v>2003229</v>
      </c>
      <c r="J108" s="4">
        <v>2286.86</v>
      </c>
      <c r="K108" s="4">
        <v>0</v>
      </c>
      <c r="L108" s="4">
        <v>10208546.039999999</v>
      </c>
      <c r="M108" s="4">
        <v>0</v>
      </c>
      <c r="N108" s="5">
        <v>12671565.1</v>
      </c>
      <c r="O108" s="5">
        <v>2463019.0600000005</v>
      </c>
      <c r="P108" t="s">
        <v>523</v>
      </c>
    </row>
    <row r="109" spans="2:16" hidden="1">
      <c r="B109" t="s">
        <v>31</v>
      </c>
      <c r="C109" t="s">
        <v>163</v>
      </c>
      <c r="D109">
        <v>18231022</v>
      </c>
      <c r="E109" s="4">
        <v>3136.13</v>
      </c>
      <c r="F109" s="4">
        <v>3042.05</v>
      </c>
      <c r="G109" s="4">
        <v>0</v>
      </c>
      <c r="H109" s="4">
        <v>0</v>
      </c>
      <c r="I109" s="4">
        <v>5260.14</v>
      </c>
      <c r="J109" s="4">
        <v>0</v>
      </c>
      <c r="K109" s="4">
        <v>0</v>
      </c>
      <c r="L109" s="4">
        <v>23153.5</v>
      </c>
      <c r="M109" s="4">
        <v>0</v>
      </c>
      <c r="N109" s="5">
        <v>34591.82</v>
      </c>
      <c r="O109" s="5">
        <v>11438.32</v>
      </c>
      <c r="P109" t="s">
        <v>523</v>
      </c>
    </row>
    <row r="110" spans="2:16" hidden="1">
      <c r="B110" t="s">
        <v>15</v>
      </c>
      <c r="C110" t="s">
        <v>16</v>
      </c>
      <c r="D110">
        <v>18230023</v>
      </c>
      <c r="E110" s="4">
        <v>89934.03</v>
      </c>
      <c r="F110" s="4">
        <v>77119.12</v>
      </c>
      <c r="G110" s="4">
        <v>40861.620000000003</v>
      </c>
      <c r="H110" s="4">
        <v>0</v>
      </c>
      <c r="I110" s="4">
        <v>72131.75</v>
      </c>
      <c r="J110" s="4">
        <v>18</v>
      </c>
      <c r="K110" s="4">
        <v>-11164.25</v>
      </c>
      <c r="L110" s="4">
        <v>622767.15</v>
      </c>
      <c r="M110" s="4">
        <v>0</v>
      </c>
      <c r="N110" s="5">
        <v>891667.42</v>
      </c>
      <c r="O110" s="5">
        <v>268900.27</v>
      </c>
      <c r="P110" t="s">
        <v>520</v>
      </c>
    </row>
    <row r="111" spans="2:16" hidden="1">
      <c r="B111" t="s">
        <v>33</v>
      </c>
      <c r="C111" t="s">
        <v>107</v>
      </c>
      <c r="D111">
        <v>18230687</v>
      </c>
      <c r="E111" s="4">
        <v>80292.77</v>
      </c>
      <c r="F111" s="4">
        <v>69423.23</v>
      </c>
      <c r="G111" s="4">
        <v>64555.78</v>
      </c>
      <c r="H111" s="4">
        <v>707.45</v>
      </c>
      <c r="I111" s="4">
        <v>237454.56</v>
      </c>
      <c r="J111" s="4">
        <v>112.33</v>
      </c>
      <c r="K111" s="4">
        <v>-5404.21</v>
      </c>
      <c r="L111" s="4">
        <v>1528508.64</v>
      </c>
      <c r="M111" s="4">
        <v>0</v>
      </c>
      <c r="N111" s="5">
        <v>1975650.5499999998</v>
      </c>
      <c r="O111" s="5">
        <v>447141.90999999992</v>
      </c>
      <c r="P111" t="s">
        <v>520</v>
      </c>
    </row>
    <row r="112" spans="2:16" hidden="1">
      <c r="B112" t="s">
        <v>25</v>
      </c>
      <c r="C112" t="s">
        <v>162</v>
      </c>
      <c r="D112">
        <v>18231128</v>
      </c>
      <c r="E112" s="4">
        <v>2616.7600000000002</v>
      </c>
      <c r="F112" s="4">
        <v>2249.38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5">
        <v>4866.1400000000003</v>
      </c>
      <c r="O112" s="5">
        <v>4866.1400000000003</v>
      </c>
      <c r="P112" t="s">
        <v>522</v>
      </c>
    </row>
    <row r="113" spans="2:16" hidden="1">
      <c r="B113" t="s">
        <v>84</v>
      </c>
      <c r="C113" t="s">
        <v>166</v>
      </c>
      <c r="D113">
        <v>18231038</v>
      </c>
      <c r="E113" s="4">
        <v>446.24</v>
      </c>
      <c r="F113" s="4">
        <v>382.39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5">
        <v>828.63</v>
      </c>
      <c r="O113" s="5">
        <v>828.63</v>
      </c>
      <c r="P113" t="s">
        <v>522</v>
      </c>
    </row>
    <row r="114" spans="2:16" hidden="1">
      <c r="B114" t="s">
        <v>39</v>
      </c>
      <c r="C114" t="s">
        <v>167</v>
      </c>
      <c r="D114">
        <v>18230747</v>
      </c>
      <c r="E114" s="4">
        <v>0</v>
      </c>
      <c r="F114" s="4">
        <v>0</v>
      </c>
      <c r="G114" s="4">
        <v>0</v>
      </c>
      <c r="H114" s="4">
        <v>0</v>
      </c>
      <c r="I114" s="4">
        <v>4621</v>
      </c>
      <c r="J114" s="4">
        <v>0</v>
      </c>
      <c r="K114" s="4">
        <v>0</v>
      </c>
      <c r="L114" s="4">
        <v>0</v>
      </c>
      <c r="M114" s="4">
        <v>0</v>
      </c>
      <c r="N114" s="5">
        <v>4621</v>
      </c>
      <c r="O114" s="5">
        <v>4621</v>
      </c>
      <c r="P114" t="s">
        <v>520</v>
      </c>
    </row>
    <row r="115" spans="2:16" hidden="1">
      <c r="B115" t="s">
        <v>169</v>
      </c>
      <c r="C115" t="s">
        <v>170</v>
      </c>
      <c r="D115">
        <v>18230469</v>
      </c>
      <c r="E115" s="4">
        <v>265765.99</v>
      </c>
      <c r="F115" s="4">
        <v>228222.45</v>
      </c>
      <c r="G115" s="4">
        <v>0</v>
      </c>
      <c r="H115" s="4">
        <v>365.1</v>
      </c>
      <c r="I115" s="4">
        <v>0</v>
      </c>
      <c r="J115" s="4">
        <v>129.71</v>
      </c>
      <c r="K115" s="4">
        <v>0</v>
      </c>
      <c r="L115" s="4">
        <v>0</v>
      </c>
      <c r="M115" s="4">
        <v>0</v>
      </c>
      <c r="N115" s="5">
        <v>494483.25</v>
      </c>
      <c r="O115" s="5">
        <v>494483.25</v>
      </c>
      <c r="P115" t="s">
        <v>525</v>
      </c>
    </row>
    <row r="116" spans="2:16" hidden="1">
      <c r="B116" t="s">
        <v>171</v>
      </c>
      <c r="C116" t="s">
        <v>172</v>
      </c>
      <c r="D116">
        <v>18230679</v>
      </c>
      <c r="E116" s="4">
        <v>40267.61</v>
      </c>
      <c r="F116" s="4">
        <v>34576.44</v>
      </c>
      <c r="G116" s="4">
        <v>12.75</v>
      </c>
      <c r="H116" s="4">
        <v>29.9</v>
      </c>
      <c r="I116" s="4">
        <v>0</v>
      </c>
      <c r="J116" s="4">
        <v>11.16</v>
      </c>
      <c r="K116" s="4">
        <v>0</v>
      </c>
      <c r="L116" s="4">
        <v>0</v>
      </c>
      <c r="M116" s="4">
        <v>0</v>
      </c>
      <c r="N116" s="5">
        <v>74897.86</v>
      </c>
      <c r="O116" s="5">
        <v>74897.86</v>
      </c>
      <c r="P116" t="s">
        <v>525</v>
      </c>
    </row>
    <row r="117" spans="2:16" hidden="1">
      <c r="B117" t="s">
        <v>21</v>
      </c>
      <c r="C117" t="s">
        <v>22</v>
      </c>
      <c r="D117">
        <v>18230133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5">
        <v>0</v>
      </c>
      <c r="O117" s="5">
        <f>N117-L117</f>
        <v>0</v>
      </c>
      <c r="P117" t="s">
        <v>429</v>
      </c>
    </row>
    <row r="118" spans="2:16" hidden="1">
      <c r="B118" t="s">
        <v>27</v>
      </c>
      <c r="C118" t="s">
        <v>28</v>
      </c>
      <c r="D118">
        <v>18230217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5">
        <v>0</v>
      </c>
      <c r="O118" s="5">
        <v>0</v>
      </c>
      <c r="P118" t="s">
        <v>429</v>
      </c>
    </row>
    <row r="119" spans="2:16" hidden="1">
      <c r="B119" t="s">
        <v>173</v>
      </c>
      <c r="C119" t="s">
        <v>174</v>
      </c>
      <c r="D119">
        <v>18230134</v>
      </c>
      <c r="E119" s="4">
        <v>14185.94</v>
      </c>
      <c r="F119" s="4">
        <v>11429.24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5">
        <v>25615.18</v>
      </c>
      <c r="O119" s="5">
        <v>25615.18</v>
      </c>
      <c r="P119" t="s">
        <v>521</v>
      </c>
    </row>
    <row r="120" spans="2:16" hidden="1">
      <c r="B120" t="s">
        <v>177</v>
      </c>
      <c r="C120" t="s">
        <v>178</v>
      </c>
      <c r="D120">
        <v>18230218</v>
      </c>
      <c r="E120" s="4">
        <v>6079.82</v>
      </c>
      <c r="F120" s="4">
        <v>4898.34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5">
        <v>10978.16</v>
      </c>
      <c r="O120" s="5">
        <v>10978.16</v>
      </c>
      <c r="P120" t="s">
        <v>521</v>
      </c>
    </row>
    <row r="121" spans="2:16" hidden="1">
      <c r="B121" t="s">
        <v>180</v>
      </c>
      <c r="C121" t="s">
        <v>181</v>
      </c>
      <c r="D121">
        <v>18230730</v>
      </c>
      <c r="E121" s="4">
        <v>0</v>
      </c>
      <c r="F121" s="4">
        <v>0</v>
      </c>
      <c r="G121" s="4">
        <v>0</v>
      </c>
      <c r="H121" s="4">
        <v>0</v>
      </c>
      <c r="I121" s="4">
        <v>163829.39000000001</v>
      </c>
      <c r="J121" s="4">
        <v>0</v>
      </c>
      <c r="K121" s="4">
        <v>158296.95000000001</v>
      </c>
      <c r="L121" s="4">
        <v>0</v>
      </c>
      <c r="M121" s="4">
        <v>0</v>
      </c>
      <c r="N121" s="5">
        <v>322126.34000000003</v>
      </c>
      <c r="O121" s="5">
        <v>322126.34000000003</v>
      </c>
      <c r="P121" t="s">
        <v>524</v>
      </c>
    </row>
    <row r="122" spans="2:16" hidden="1">
      <c r="B122" t="s">
        <v>182</v>
      </c>
      <c r="C122" t="s">
        <v>183</v>
      </c>
      <c r="D122">
        <v>18230698</v>
      </c>
      <c r="E122" s="4">
        <v>0</v>
      </c>
      <c r="F122" s="4">
        <v>0</v>
      </c>
      <c r="G122" s="4">
        <v>0</v>
      </c>
      <c r="H122" s="4">
        <v>0</v>
      </c>
      <c r="I122" s="4">
        <v>24480.26</v>
      </c>
      <c r="J122" s="4">
        <v>0</v>
      </c>
      <c r="K122" s="4">
        <v>15079</v>
      </c>
      <c r="L122" s="4">
        <v>0</v>
      </c>
      <c r="M122" s="4">
        <v>0</v>
      </c>
      <c r="N122" s="5">
        <v>39559.259999999995</v>
      </c>
      <c r="O122" s="5">
        <v>39559.259999999995</v>
      </c>
      <c r="P122" t="s">
        <v>524</v>
      </c>
    </row>
    <row r="123" spans="2:16" hidden="1">
      <c r="B123" t="s">
        <v>184</v>
      </c>
      <c r="C123" t="s">
        <v>185</v>
      </c>
      <c r="D123">
        <v>18230746</v>
      </c>
      <c r="E123" s="4">
        <v>77073.27</v>
      </c>
      <c r="F123" s="4">
        <v>69050.720000000001</v>
      </c>
      <c r="G123" s="4">
        <v>19329.32</v>
      </c>
      <c r="H123" s="4">
        <v>0</v>
      </c>
      <c r="I123" s="4">
        <v>128644.77</v>
      </c>
      <c r="J123" s="4">
        <v>211.98</v>
      </c>
      <c r="K123" s="4">
        <v>0</v>
      </c>
      <c r="L123" s="4">
        <v>0</v>
      </c>
      <c r="M123" s="4">
        <v>-272976.02</v>
      </c>
      <c r="N123" s="5">
        <v>21334.039999999979</v>
      </c>
      <c r="O123" s="5">
        <v>21334.039999999979</v>
      </c>
      <c r="P123" t="s">
        <v>524</v>
      </c>
    </row>
    <row r="124" spans="2:16" hidden="1">
      <c r="B124" t="s">
        <v>186</v>
      </c>
      <c r="C124" t="s">
        <v>187</v>
      </c>
      <c r="D124">
        <v>18231031</v>
      </c>
      <c r="E124" s="4">
        <v>73569.52</v>
      </c>
      <c r="F124" s="4">
        <v>65737.11</v>
      </c>
      <c r="G124" s="4">
        <v>19903.259999999998</v>
      </c>
      <c r="H124" s="4">
        <v>0</v>
      </c>
      <c r="I124" s="4">
        <v>128644.76</v>
      </c>
      <c r="J124" s="4">
        <v>211.96</v>
      </c>
      <c r="K124" s="4">
        <v>0</v>
      </c>
      <c r="L124" s="4">
        <v>0</v>
      </c>
      <c r="M124" s="4">
        <v>-402530.74</v>
      </c>
      <c r="N124" s="5">
        <v>-114464.12999999995</v>
      </c>
      <c r="O124" s="5">
        <v>-114464.12999999995</v>
      </c>
      <c r="P124" t="s">
        <v>524</v>
      </c>
    </row>
  </sheetData>
  <autoFilter ref="A1:P124">
    <filterColumn colId="1">
      <filters>
        <filter val="G250"/>
      </filters>
    </filterColumn>
    <sortState ref="A2:P124">
      <sortCondition ref="C1:C124"/>
    </sortState>
  </autoFilter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Q28"/>
  <sheetViews>
    <sheetView zoomScale="85" zoomScaleNormal="85" workbookViewId="0">
      <selection activeCell="B5" sqref="B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3" max="23" width="10.8554687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18230421</v>
      </c>
      <c r="D2" s="20" t="s">
        <v>50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18230421</v>
      </c>
      <c r="D5" s="61" t="s">
        <v>50</v>
      </c>
      <c r="E5" s="38" t="s">
        <v>1807</v>
      </c>
      <c r="F5" s="39" t="s">
        <v>1808</v>
      </c>
      <c r="G5" s="39">
        <v>5</v>
      </c>
      <c r="H5" s="39"/>
      <c r="I5" s="40" t="s">
        <v>256</v>
      </c>
      <c r="J5" s="41">
        <v>1</v>
      </c>
      <c r="K5" s="41">
        <v>10249200</v>
      </c>
      <c r="L5" s="41"/>
      <c r="M5" s="42">
        <v>0</v>
      </c>
      <c r="N5" s="42">
        <v>0</v>
      </c>
      <c r="O5" s="43">
        <v>10249200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5</v>
      </c>
      <c r="U5" s="47">
        <f t="shared" ref="U5:U24" si="1">(O5/$A$10)*T5</f>
        <v>2.2328244274809164</v>
      </c>
      <c r="V5" s="48">
        <f t="shared" ref="V5:V24" si="2">N5-M5</f>
        <v>0</v>
      </c>
      <c r="W5" s="49">
        <f t="shared" ref="W5:W24" si="3">(O5/A$10)</f>
        <v>0.44656488549618323</v>
      </c>
      <c r="X5" s="44">
        <f t="shared" ref="X5:X24" si="4">W5*A$8</f>
        <v>1118968.5208396951</v>
      </c>
      <c r="Y5" s="44">
        <f t="shared" ref="Y5:Y24" si="5">Q5-P5</f>
        <v>0</v>
      </c>
      <c r="Z5" s="44">
        <f t="shared" ref="Z5:Z24" si="6">X5+(A$6*W5)</f>
        <v>3546155.9517938942</v>
      </c>
      <c r="AA5" s="50">
        <f t="shared" ref="AA5:AA24" si="7">Q5+X5</f>
        <v>1118968.5208396951</v>
      </c>
      <c r="AB5" s="51">
        <f t="shared" ref="AB5:AC20" si="8">Z5/(1+ElecDiscountRate)^1</f>
        <v>3315093.9065101375</v>
      </c>
      <c r="AC5" s="44">
        <f t="shared" si="8"/>
        <v>1046058.2601100262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0.35807218478063102</v>
      </c>
      <c r="AG5" s="44">
        <f t="shared" ref="AG5:AG24" si="10">AF5*J5*K5</f>
        <v>3669953.4362536436</v>
      </c>
      <c r="AH5" s="52">
        <f>HLOOKUP(I5,ElecAvoidedCostsWOCC!$A$5:$Q$50,T5+1,FALSE)</f>
        <v>0.35807218478063102</v>
      </c>
      <c r="AI5" s="44">
        <f t="shared" ref="AI5:AI24" si="11">AH5*J5*L5</f>
        <v>0</v>
      </c>
      <c r="AJ5" s="44">
        <f>AG5+AI5</f>
        <v>3669953.4362536436</v>
      </c>
      <c r="AK5" s="44">
        <f>HLOOKUP(I5,ElecAvoidedCostsWOCC!$A$5:$Q$50,G5+1,FALSE)*J5*L5</f>
        <v>0</v>
      </c>
      <c r="AL5" s="44">
        <f>AG5+AI5-AK5</f>
        <v>3669953.4362536436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3669953.4362536436</v>
      </c>
      <c r="AN5" s="48">
        <f>AM5*1.1+AD5+AE5</f>
        <v>4036948.7798790084</v>
      </c>
      <c r="AO5" s="47">
        <f>IFERROR(AM5/AB5,0)</f>
        <v>1.1070435830027734</v>
      </c>
      <c r="AP5" s="47">
        <f>AN5/AC5</f>
        <v>3.8592007097715526</v>
      </c>
      <c r="AQ5">
        <v>2021</v>
      </c>
    </row>
    <row r="6" spans="1:43" ht="13.5" customHeight="1">
      <c r="A6" s="53">
        <f>SUMIF('Program Costs'!C:C,D2,'Program Costs'!L:L)</f>
        <v>5435240.2300000004</v>
      </c>
      <c r="B6" s="97" t="s">
        <v>49</v>
      </c>
      <c r="C6" s="99">
        <v>18230421</v>
      </c>
      <c r="D6" s="100" t="s">
        <v>50</v>
      </c>
      <c r="E6" s="38"/>
      <c r="F6" s="39" t="s">
        <v>2577</v>
      </c>
      <c r="G6" s="39">
        <v>5</v>
      </c>
      <c r="H6" s="39"/>
      <c r="I6" s="40" t="s">
        <v>256</v>
      </c>
      <c r="J6" s="41">
        <v>1</v>
      </c>
      <c r="K6" s="41">
        <v>12702000</v>
      </c>
      <c r="L6" s="41"/>
      <c r="M6" s="42">
        <v>0</v>
      </c>
      <c r="N6" s="42">
        <v>0</v>
      </c>
      <c r="O6" s="43">
        <v>12702000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5</v>
      </c>
      <c r="U6" s="47">
        <f t="shared" si="1"/>
        <v>2.7671755725190836</v>
      </c>
      <c r="V6" s="48">
        <f t="shared" si="2"/>
        <v>0</v>
      </c>
      <c r="W6" s="49">
        <f t="shared" si="3"/>
        <v>0.55343511450381677</v>
      </c>
      <c r="X6" s="44">
        <f t="shared" si="4"/>
        <v>1386755.8591603057</v>
      </c>
      <c r="Y6" s="44">
        <f t="shared" si="5"/>
        <v>0</v>
      </c>
      <c r="Z6" s="44">
        <f t="shared" si="6"/>
        <v>4394808.6582061071</v>
      </c>
      <c r="AA6" s="50">
        <f t="shared" si="7"/>
        <v>1386755.8591603057</v>
      </c>
      <c r="AB6" s="51">
        <f t="shared" si="8"/>
        <v>4108449.7131963228</v>
      </c>
      <c r="AC6" s="44">
        <f t="shared" si="8"/>
        <v>1296396.9890252459</v>
      </c>
      <c r="AD6" s="44">
        <f t="shared" si="9"/>
        <v>0</v>
      </c>
      <c r="AE6" s="44">
        <v>0</v>
      </c>
      <c r="AF6" s="52">
        <f>HLOOKUP(I6,ElecAvoidedCostsWOCC!$A$5:$Q$50,G6+1,FALSE)</f>
        <v>0.35807218478063102</v>
      </c>
      <c r="AG6" s="44">
        <f t="shared" si="10"/>
        <v>4548232.8910835749</v>
      </c>
      <c r="AH6" s="52">
        <f>HLOOKUP(I6,ElecAvoidedCostsWOCC!$A$5:$Q$50,T6+1,FALSE)</f>
        <v>0.35807218478063102</v>
      </c>
      <c r="AI6" s="44">
        <f t="shared" si="11"/>
        <v>0</v>
      </c>
      <c r="AJ6" s="44">
        <f t="shared" ref="AJ6:AJ24" si="12">AG6+AI6</f>
        <v>4548232.8910835749</v>
      </c>
      <c r="AK6" s="44">
        <f>HLOOKUP(I6,ElecAvoidedCostsWOCC!$A$5:$Q$50,G6+1,FALSE)*J6*L6</f>
        <v>0</v>
      </c>
      <c r="AL6" s="44">
        <f t="shared" ref="AL6:AL24" si="13">AG6+AI6-AK6</f>
        <v>4548232.8910835749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4548232.8910835749</v>
      </c>
      <c r="AN6" s="48">
        <f t="shared" ref="AN6:AN24" si="14">AM6*1.1+AD6+AE6</f>
        <v>5003056.1801919332</v>
      </c>
      <c r="AO6" s="47">
        <f t="shared" ref="AO6:AO24" si="15">IFERROR(AM6/AB6,0)</f>
        <v>1.1070435830027736</v>
      </c>
      <c r="AP6" s="47">
        <f t="shared" ref="AP6:AP24" si="16">AN6/AC6</f>
        <v>3.8592007097715531</v>
      </c>
      <c r="AQ6">
        <v>2020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Costs'!C:C,D2,'Program Costs'!O:O)</f>
        <v>2505724.3800000008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22951200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7940964.6100000013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2505724.3800000008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1.1070435830027736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3.8592007097715526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54" priority="4">
      <formula>ISTEXT(J5)</formula>
    </cfRule>
    <cfRule type="notContainsBlanks" dxfId="153" priority="5">
      <formula>LEN(TRIM(J5))&gt;0</formula>
    </cfRule>
  </conditionalFormatting>
  <conditionalFormatting sqref="M5:N24 R5:S24">
    <cfRule type="expression" dxfId="152" priority="2">
      <formula>ISTEXT(M5)</formula>
    </cfRule>
  </conditionalFormatting>
  <conditionalFormatting sqref="M5:N24 R5:S24">
    <cfRule type="notContainsBlanks" dxfId="151" priority="3">
      <formula>LEN(TRIM(M5))&gt;0</formula>
    </cfRule>
  </conditionalFormatting>
  <conditionalFormatting sqref="R5:S24">
    <cfRule type="expression" dxfId="1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Q28"/>
  <sheetViews>
    <sheetView zoomScale="85" zoomScaleNormal="85" workbookViewId="0">
      <selection activeCell="D24" sqref="D2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4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18230713</v>
      </c>
      <c r="D2" s="20" t="s">
        <v>97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96</v>
      </c>
      <c r="C5" s="98">
        <v>18230713</v>
      </c>
      <c r="D5" s="61" t="s">
        <v>97</v>
      </c>
      <c r="E5" s="38" t="s">
        <v>1443</v>
      </c>
      <c r="F5" s="39" t="s">
        <v>1444</v>
      </c>
      <c r="G5" s="39">
        <v>15</v>
      </c>
      <c r="H5" s="39"/>
      <c r="I5" s="40" t="s">
        <v>256</v>
      </c>
      <c r="J5" s="41">
        <v>1</v>
      </c>
      <c r="K5" s="41">
        <v>2251863</v>
      </c>
      <c r="L5" s="41"/>
      <c r="M5" s="42"/>
      <c r="N5" s="42">
        <v>167328</v>
      </c>
      <c r="O5" s="43">
        <v>2251863</v>
      </c>
      <c r="P5" s="44">
        <v>0</v>
      </c>
      <c r="Q5" s="44">
        <v>167328</v>
      </c>
      <c r="R5" s="45"/>
      <c r="S5" s="46"/>
      <c r="T5" s="39">
        <f t="shared" ref="T5:T24" si="0">G5+H5</f>
        <v>15</v>
      </c>
      <c r="U5" s="47">
        <f t="shared" ref="U5:U24" si="1">(O5/$A$10)*T5</f>
        <v>12.40407008983032</v>
      </c>
      <c r="V5" s="48">
        <f t="shared" ref="V5:V24" si="2">N5-M5</f>
        <v>167328</v>
      </c>
      <c r="W5" s="49">
        <f t="shared" ref="W5:W24" si="3">(O5/A$10)</f>
        <v>0.82693800598868805</v>
      </c>
      <c r="X5" s="44">
        <f t="shared" ref="X5:X24" si="4">W5*A$8</f>
        <v>0</v>
      </c>
      <c r="Y5" s="44">
        <f t="shared" ref="Y5:Y24" si="5">Q5-P5</f>
        <v>167328</v>
      </c>
      <c r="Z5" s="44">
        <f t="shared" ref="Z5:Z24" si="6">X5+(A$6*W5)</f>
        <v>0</v>
      </c>
      <c r="AA5" s="50">
        <f t="shared" ref="AA5:AA24" si="7">Q5+X5</f>
        <v>167328</v>
      </c>
      <c r="AB5" s="51">
        <f t="shared" ref="AB5:AC20" si="8">Z5/(1+ElecDiscountRate)^1</f>
        <v>0</v>
      </c>
      <c r="AC5" s="44">
        <f t="shared" si="8"/>
        <v>156425.16593437412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2318059.6297824699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2318059.6297824699</v>
      </c>
      <c r="AK5" s="44">
        <f>HLOOKUP(I5,ElecAvoidedCostsWOCC!$A$5:$Q$50,G5+1,FALSE)*J5*L5</f>
        <v>0</v>
      </c>
      <c r="AL5" s="44">
        <f>AG5+AI5-AK5</f>
        <v>2318059.6297824699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2318059.6297824699</v>
      </c>
      <c r="AN5" s="48">
        <f>AM5*1.1+AD5+AE5</f>
        <v>2549865.592760717</v>
      </c>
      <c r="AO5" s="47">
        <f>IFERROR(AM5/AB5,0)</f>
        <v>0</v>
      </c>
      <c r="AP5" s="47">
        <f>AN5/AC5</f>
        <v>16.300865513100849</v>
      </c>
      <c r="AQ5">
        <v>2021</v>
      </c>
    </row>
    <row r="6" spans="1:43" ht="13.5" customHeight="1">
      <c r="A6" s="53">
        <f>SUMIF('Program Costs'!C:C,D2,'Program Costs'!L:L)</f>
        <v>0</v>
      </c>
      <c r="B6" s="97" t="s">
        <v>96</v>
      </c>
      <c r="C6" s="98">
        <v>18230713</v>
      </c>
      <c r="D6" s="61" t="s">
        <v>97</v>
      </c>
      <c r="E6" s="38" t="s">
        <v>996</v>
      </c>
      <c r="F6" s="39" t="s">
        <v>997</v>
      </c>
      <c r="G6" s="39">
        <v>15</v>
      </c>
      <c r="H6" s="39"/>
      <c r="I6" s="40" t="s">
        <v>257</v>
      </c>
      <c r="J6" s="41">
        <v>1</v>
      </c>
      <c r="K6" s="41">
        <v>43014</v>
      </c>
      <c r="L6" s="41"/>
      <c r="M6" s="42"/>
      <c r="N6" s="42">
        <v>1760</v>
      </c>
      <c r="O6" s="43">
        <v>43014</v>
      </c>
      <c r="P6" s="44">
        <v>0</v>
      </c>
      <c r="Q6" s="44">
        <v>1760</v>
      </c>
      <c r="R6" s="45"/>
      <c r="S6" s="46"/>
      <c r="T6" s="39">
        <f t="shared" si="0"/>
        <v>15</v>
      </c>
      <c r="U6" s="47">
        <f t="shared" si="1"/>
        <v>0.23693655912635958</v>
      </c>
      <c r="V6" s="48">
        <f t="shared" si="2"/>
        <v>1760</v>
      </c>
      <c r="W6" s="49">
        <f t="shared" si="3"/>
        <v>1.5795770608423972E-2</v>
      </c>
      <c r="X6" s="44">
        <f t="shared" si="4"/>
        <v>0</v>
      </c>
      <c r="Y6" s="44">
        <f t="shared" si="5"/>
        <v>1760</v>
      </c>
      <c r="Z6" s="44">
        <f t="shared" si="6"/>
        <v>0</v>
      </c>
      <c r="AA6" s="50">
        <f t="shared" si="7"/>
        <v>1760</v>
      </c>
      <c r="AB6" s="51">
        <f t="shared" si="8"/>
        <v>0</v>
      </c>
      <c r="AC6" s="44">
        <f t="shared" si="8"/>
        <v>1645.3211180704868</v>
      </c>
      <c r="AD6" s="44">
        <f t="shared" si="9"/>
        <v>0</v>
      </c>
      <c r="AE6" s="44">
        <v>0</v>
      </c>
      <c r="AF6" s="52">
        <f>HLOOKUP(I6,ElecAvoidedCostsWOCC!$A$5:$Q$50,G6+1,FALSE)</f>
        <v>1.0545904948077327</v>
      </c>
      <c r="AG6" s="44">
        <f t="shared" si="10"/>
        <v>45362.155543659814</v>
      </c>
      <c r="AH6" s="52">
        <f>HLOOKUP(I6,ElecAvoidedCostsWOCC!$A$5:$Q$50,T6+1,FALSE)</f>
        <v>1.0545904948077327</v>
      </c>
      <c r="AI6" s="44">
        <f t="shared" si="11"/>
        <v>0</v>
      </c>
      <c r="AJ6" s="44">
        <f t="shared" ref="AJ6:AJ24" si="12">AG6+AI6</f>
        <v>45362.155543659814</v>
      </c>
      <c r="AK6" s="44">
        <f>HLOOKUP(I6,ElecAvoidedCostsWOCC!$A$5:$Q$50,G6+1,FALSE)*J6*L6</f>
        <v>0</v>
      </c>
      <c r="AL6" s="44">
        <f t="shared" ref="AL6:AL24" si="13">AG6+AI6-AK6</f>
        <v>45362.155543659814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45362.155543659814</v>
      </c>
      <c r="AN6" s="48">
        <f t="shared" ref="AN6:AN24" si="14">AM6*1.1+AD6+AE6</f>
        <v>49898.371098025797</v>
      </c>
      <c r="AO6" s="47">
        <f t="shared" ref="AO6:AO24" si="15">IFERROR(AM6/AB6,0)</f>
        <v>0</v>
      </c>
      <c r="AP6" s="47">
        <f t="shared" ref="AP6:AP24" si="16">AN6/AC6</f>
        <v>30.32743611565807</v>
      </c>
      <c r="AQ6">
        <v>2021</v>
      </c>
    </row>
    <row r="7" spans="1:43" ht="13.5" customHeight="1">
      <c r="A7" s="36" t="s">
        <v>249</v>
      </c>
      <c r="B7" s="97" t="s">
        <v>96</v>
      </c>
      <c r="C7" s="99">
        <v>18230713</v>
      </c>
      <c r="D7" s="100" t="s">
        <v>97</v>
      </c>
      <c r="E7" s="38" t="s">
        <v>1443</v>
      </c>
      <c r="F7" s="39" t="s">
        <v>1444</v>
      </c>
      <c r="G7" s="39">
        <v>15</v>
      </c>
      <c r="H7" s="39"/>
      <c r="I7" s="40" t="s">
        <v>256</v>
      </c>
      <c r="J7" s="41">
        <v>1</v>
      </c>
      <c r="K7" s="41">
        <v>404700</v>
      </c>
      <c r="L7" s="41"/>
      <c r="M7" s="42"/>
      <c r="N7" s="42">
        <v>45710</v>
      </c>
      <c r="O7" s="43">
        <v>404700</v>
      </c>
      <c r="P7" s="44">
        <v>0</v>
      </c>
      <c r="Q7" s="44">
        <v>45710</v>
      </c>
      <c r="R7" s="45"/>
      <c r="S7" s="46"/>
      <c r="T7" s="39">
        <f t="shared" si="0"/>
        <v>15</v>
      </c>
      <c r="U7" s="47">
        <f t="shared" si="1"/>
        <v>2.229232935287063</v>
      </c>
      <c r="V7" s="48">
        <f t="shared" si="2"/>
        <v>45710</v>
      </c>
      <c r="W7" s="49">
        <f t="shared" si="3"/>
        <v>0.14861552901913752</v>
      </c>
      <c r="X7" s="44">
        <f t="shared" si="4"/>
        <v>0</v>
      </c>
      <c r="Y7" s="44">
        <f t="shared" si="5"/>
        <v>45710</v>
      </c>
      <c r="Z7" s="44">
        <f t="shared" si="6"/>
        <v>0</v>
      </c>
      <c r="AA7" s="50">
        <f t="shared" si="7"/>
        <v>45710</v>
      </c>
      <c r="AB7" s="51">
        <f t="shared" si="8"/>
        <v>0</v>
      </c>
      <c r="AC7" s="44">
        <f t="shared" si="8"/>
        <v>42731.606992614747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416596.716662144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416596.716662144</v>
      </c>
      <c r="AK7" s="44">
        <f>HLOOKUP(I7,ElecAvoidedCostsWOCC!$A$5:$Q$50,G7+1,FALSE)*J7*L7</f>
        <v>0</v>
      </c>
      <c r="AL7" s="44">
        <f t="shared" si="13"/>
        <v>416596.716662144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416596.716662144</v>
      </c>
      <c r="AN7" s="48">
        <f t="shared" si="14"/>
        <v>458256.38832835841</v>
      </c>
      <c r="AO7" s="47">
        <f t="shared" si="15"/>
        <v>0</v>
      </c>
      <c r="AP7" s="47">
        <f t="shared" si="16"/>
        <v>10.724061662543098</v>
      </c>
      <c r="AQ7">
        <v>2020</v>
      </c>
    </row>
    <row r="8" spans="1:43" ht="13.5" customHeight="1">
      <c r="A8" s="53">
        <f>SUMIF('Program Costs'!C:C,D2,'Program Costs'!O:O)</f>
        <v>0</v>
      </c>
      <c r="B8" s="97" t="s">
        <v>96</v>
      </c>
      <c r="C8" s="100">
        <v>18230713</v>
      </c>
      <c r="D8" s="100" t="s">
        <v>97</v>
      </c>
      <c r="E8" s="38" t="s">
        <v>996</v>
      </c>
      <c r="F8" s="39" t="s">
        <v>997</v>
      </c>
      <c r="G8" s="39">
        <v>20</v>
      </c>
      <c r="H8" s="39"/>
      <c r="I8" s="40" t="s">
        <v>257</v>
      </c>
      <c r="J8" s="41">
        <v>1</v>
      </c>
      <c r="K8" s="41">
        <v>23557</v>
      </c>
      <c r="L8" s="41"/>
      <c r="M8" s="42"/>
      <c r="N8" s="42">
        <v>27379</v>
      </c>
      <c r="O8" s="43">
        <v>23557</v>
      </c>
      <c r="P8" s="44">
        <v>0</v>
      </c>
      <c r="Q8" s="44">
        <v>27379</v>
      </c>
      <c r="R8" s="45"/>
      <c r="S8" s="46"/>
      <c r="T8" s="39">
        <f t="shared" si="0"/>
        <v>20</v>
      </c>
      <c r="U8" s="47">
        <f t="shared" si="1"/>
        <v>0.17301388767500975</v>
      </c>
      <c r="V8" s="48">
        <f t="shared" si="2"/>
        <v>27379</v>
      </c>
      <c r="W8" s="49">
        <f t="shared" si="3"/>
        <v>8.6506943837504867E-3</v>
      </c>
      <c r="X8" s="44">
        <f t="shared" si="4"/>
        <v>0</v>
      </c>
      <c r="Y8" s="44">
        <f t="shared" si="5"/>
        <v>27379</v>
      </c>
      <c r="Z8" s="44">
        <f t="shared" si="6"/>
        <v>0</v>
      </c>
      <c r="AA8" s="50">
        <f t="shared" si="7"/>
        <v>27379</v>
      </c>
      <c r="AB8" s="51">
        <f t="shared" si="8"/>
        <v>0</v>
      </c>
      <c r="AC8" s="44">
        <f t="shared" si="8"/>
        <v>25595.026642984012</v>
      </c>
      <c r="AD8" s="44">
        <f t="shared" si="9"/>
        <v>0</v>
      </c>
      <c r="AE8" s="44">
        <v>0</v>
      </c>
      <c r="AF8" s="52">
        <f>HLOOKUP(I8,ElecAvoidedCostsWOCC!$A$5:$Q$50,G8+1,FALSE)</f>
        <v>1.3192527795896587</v>
      </c>
      <c r="AG8" s="44">
        <f t="shared" si="10"/>
        <v>31077.63772879359</v>
      </c>
      <c r="AH8" s="52">
        <f>HLOOKUP(I8,ElecAvoidedCostsWOCC!$A$5:$Q$50,T8+1,FALSE)</f>
        <v>1.3192527795896587</v>
      </c>
      <c r="AI8" s="44">
        <f t="shared" si="11"/>
        <v>0</v>
      </c>
      <c r="AJ8" s="44">
        <f t="shared" si="12"/>
        <v>31077.63772879359</v>
      </c>
      <c r="AK8" s="44">
        <f>HLOOKUP(I8,ElecAvoidedCostsWOCC!$A$5:$Q$50,G8+1,FALSE)*J8*L8</f>
        <v>0</v>
      </c>
      <c r="AL8" s="44">
        <f t="shared" si="13"/>
        <v>31077.63772879359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31077.63772879359</v>
      </c>
      <c r="AN8" s="48">
        <f t="shared" si="14"/>
        <v>34185.401501672954</v>
      </c>
      <c r="AO8" s="47">
        <f t="shared" si="15"/>
        <v>0</v>
      </c>
      <c r="AP8" s="47">
        <f t="shared" si="16"/>
        <v>1.3356267207107477</v>
      </c>
      <c r="AQ8">
        <v>2020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2723134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242177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15.043253471918753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242177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(SUM(AN5:AN110)/SUM(AC5:AC110))</f>
        <v>13.658326326285659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49" priority="4">
      <formula>ISTEXT(J5)</formula>
    </cfRule>
    <cfRule type="notContainsBlanks" dxfId="148" priority="5">
      <formula>LEN(TRIM(J5))&gt;0</formula>
    </cfRule>
  </conditionalFormatting>
  <conditionalFormatting sqref="M5:N24 R5:S24">
    <cfRule type="expression" dxfId="147" priority="2">
      <formula>ISTEXT(M5)</formula>
    </cfRule>
  </conditionalFormatting>
  <conditionalFormatting sqref="M5:N24 R5:S24">
    <cfRule type="notContainsBlanks" dxfId="146" priority="3">
      <formula>LEN(TRIM(M5))&gt;0</formula>
    </cfRule>
  </conditionalFormatting>
  <conditionalFormatting sqref="R5:S24">
    <cfRule type="expression" dxfId="1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187"/>
  <sheetViews>
    <sheetView topLeftCell="B1" zoomScale="85" zoomScaleNormal="85" workbookViewId="0">
      <selection activeCell="P42" sqref="P4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98">
        <v>18230661</v>
      </c>
      <c r="D2" s="61" t="s">
        <v>109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s="516" t="s">
        <v>2458</v>
      </c>
    </row>
    <row r="5" spans="1:43" ht="13.5" customHeight="1">
      <c r="A5" s="36" t="s">
        <v>247</v>
      </c>
      <c r="B5" s="97" t="s">
        <v>108</v>
      </c>
      <c r="C5" s="98">
        <v>18230661</v>
      </c>
      <c r="D5" s="61" t="s">
        <v>109</v>
      </c>
      <c r="E5" s="38"/>
      <c r="F5" s="39" t="s">
        <v>324</v>
      </c>
      <c r="G5" s="39"/>
      <c r="H5" s="39"/>
      <c r="I5" s="40"/>
      <c r="J5" s="41" t="s">
        <v>325</v>
      </c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1" si="0">G5+H5</f>
        <v>0</v>
      </c>
      <c r="U5" s="47">
        <f t="shared" ref="U5:U21" si="1">(O5/$A$10)*T5</f>
        <v>0</v>
      </c>
      <c r="V5" s="48">
        <f t="shared" ref="V5:V21" si="2">N5-M5</f>
        <v>0</v>
      </c>
      <c r="W5" s="49">
        <f t="shared" ref="W5:W21" si="3">(O5/A$10)</f>
        <v>0</v>
      </c>
      <c r="X5" s="44">
        <f t="shared" ref="X5:X21" si="4">W5*A$8</f>
        <v>0</v>
      </c>
      <c r="Y5" s="44">
        <f t="shared" ref="Y5:Y21" si="5">Q5-P5</f>
        <v>0</v>
      </c>
      <c r="Z5" s="44">
        <f t="shared" ref="Z5:Z21" si="6">X5+(A$6*W5)</f>
        <v>0</v>
      </c>
      <c r="AA5" s="50">
        <f t="shared" ref="AA5:AA21" si="7">Q5+X5</f>
        <v>0</v>
      </c>
      <c r="AB5" s="51">
        <f t="shared" ref="AB5:AC21" si="8">Z5/(1+GasDiscountRate)^1</f>
        <v>0</v>
      </c>
      <c r="AC5" s="44">
        <f t="shared" si="8"/>
        <v>0</v>
      </c>
      <c r="AD5" s="44" t="e">
        <f t="shared" ref="AD5:AD21" si="9">-PV(GasDiscountRate,T5,R5)*J5</f>
        <v>#VALUE!</v>
      </c>
      <c r="AE5" s="44">
        <v>0</v>
      </c>
      <c r="AF5" s="52" t="e">
        <f>HLOOKUP(I5,GasAvoidedCostsWOCC!$A$5:$G$50,G5+1,FALSE)</f>
        <v>#N/A</v>
      </c>
      <c r="AG5" s="44" t="e">
        <f t="shared" ref="AG5:AG21" si="10">AF5*J5*K5</f>
        <v>#N/A</v>
      </c>
      <c r="AH5" s="52" t="e">
        <f>HLOOKUP(I5,GasAvoidedCostsWOCC!$A$5:$Q$50,T5+1,FALSE)</f>
        <v>#N/A</v>
      </c>
      <c r="AI5" s="44" t="e">
        <f t="shared" ref="AI5:AI21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 t="e">
        <f>AM5*1.1+AD5+AE5</f>
        <v>#VALUE!</v>
      </c>
      <c r="AO5" s="47">
        <f>IFERROR(AM5/AB5,0)</f>
        <v>0</v>
      </c>
      <c r="AP5" s="47" t="e">
        <f>AN5/AC5</f>
        <v>#VALUE!</v>
      </c>
      <c r="AQ5">
        <v>2021</v>
      </c>
    </row>
    <row r="6" spans="1:43" ht="13.5" customHeight="1">
      <c r="A6" s="53">
        <f>SUMIF('Program Costs'!D:D,C2,'Program Costs'!L:L)</f>
        <v>1106133.79</v>
      </c>
      <c r="B6" s="97" t="s">
        <v>108</v>
      </c>
      <c r="C6" s="98">
        <v>18230661</v>
      </c>
      <c r="D6" s="61" t="s">
        <v>109</v>
      </c>
      <c r="E6" s="38" t="s">
        <v>1586</v>
      </c>
      <c r="F6" s="39" t="s">
        <v>1587</v>
      </c>
      <c r="G6" s="39">
        <v>25</v>
      </c>
      <c r="H6" s="39"/>
      <c r="I6" s="40" t="s">
        <v>269</v>
      </c>
      <c r="J6" s="41">
        <v>6345</v>
      </c>
      <c r="K6" s="41">
        <v>0.02</v>
      </c>
      <c r="L6" s="41"/>
      <c r="M6" s="42">
        <v>1.1499999999999999</v>
      </c>
      <c r="N6" s="42">
        <v>1.1499999999999999</v>
      </c>
      <c r="O6" s="43">
        <v>126.9</v>
      </c>
      <c r="P6" s="44">
        <v>8979.9699999999993</v>
      </c>
      <c r="Q6" s="44">
        <v>8979.9699999999993</v>
      </c>
      <c r="R6" s="45">
        <v>0</v>
      </c>
      <c r="S6" s="46">
        <v>0</v>
      </c>
      <c r="T6" s="39">
        <f t="shared" si="0"/>
        <v>25</v>
      </c>
      <c r="U6" s="47">
        <f t="shared" si="1"/>
        <v>0.1006771470333801</v>
      </c>
      <c r="V6" s="48">
        <f t="shared" si="2"/>
        <v>0</v>
      </c>
      <c r="W6" s="49">
        <f t="shared" si="3"/>
        <v>4.0270858813352042E-3</v>
      </c>
      <c r="X6" s="44">
        <f t="shared" si="4"/>
        <v>596.20394356113729</v>
      </c>
      <c r="Y6" s="44">
        <f t="shared" si="5"/>
        <v>0</v>
      </c>
      <c r="Z6" s="44">
        <f t="shared" si="6"/>
        <v>5050.6997121379372</v>
      </c>
      <c r="AA6" s="50">
        <f t="shared" si="7"/>
        <v>9576.1739435611362</v>
      </c>
      <c r="AB6" s="51">
        <f t="shared" si="8"/>
        <v>4721.6039189847033</v>
      </c>
      <c r="AC6" s="44">
        <f t="shared" si="8"/>
        <v>8952.2052384417457</v>
      </c>
      <c r="AD6" s="44">
        <f t="shared" si="9"/>
        <v>0</v>
      </c>
      <c r="AE6" s="44">
        <v>0</v>
      </c>
      <c r="AF6" s="52">
        <f>HLOOKUP(I6,GasAvoidedCostsWOCC!$A$5:$G$50,G6+1,FALSE)</f>
        <v>16.472554524074432</v>
      </c>
      <c r="AG6" s="44">
        <f t="shared" si="10"/>
        <v>2090.3671691050458</v>
      </c>
      <c r="AH6" s="52">
        <f>HLOOKUP(I6,GasAvoidedCostsWOCC!$A$5:$Q$50,T6+1,FALSE)</f>
        <v>16.472554524074432</v>
      </c>
      <c r="AI6" s="44">
        <f t="shared" si="11"/>
        <v>0</v>
      </c>
      <c r="AJ6" s="44">
        <f t="shared" ref="AJ6:AJ21" si="12">AG6+AI6</f>
        <v>2090.3671691050458</v>
      </c>
      <c r="AK6" s="44">
        <f>HLOOKUP(I6,GasAvoidedCostsWOCC!$A$5:$Q$50,G6+1,FALSE)*J6*L6</f>
        <v>0</v>
      </c>
      <c r="AL6" s="44">
        <f t="shared" ref="AL6:AL21" si="13">AG6+AI6-AK6</f>
        <v>2090.3671691050458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2090.3671691050454</v>
      </c>
      <c r="AN6" s="48">
        <f t="shared" ref="AN6:AN21" si="14">AM6*1.1+AD6+AE6</f>
        <v>2299.4038860155501</v>
      </c>
      <c r="AO6" s="47">
        <f t="shared" ref="AO6:AO21" si="15">IFERROR(AM6/AB6,0)</f>
        <v>0.44272395672581988</v>
      </c>
      <c r="AP6" s="47">
        <f t="shared" ref="AP6:AP21" si="16">AN6/AC6</f>
        <v>0.25685334783676084</v>
      </c>
      <c r="AQ6">
        <v>2021</v>
      </c>
    </row>
    <row r="7" spans="1:43" ht="13.5" customHeight="1">
      <c r="A7" s="36" t="s">
        <v>249</v>
      </c>
      <c r="B7" s="97" t="s">
        <v>108</v>
      </c>
      <c r="C7" s="98">
        <v>18230661</v>
      </c>
      <c r="D7" s="61" t="s">
        <v>109</v>
      </c>
      <c r="E7" s="38" t="s">
        <v>1590</v>
      </c>
      <c r="F7" s="39" t="s">
        <v>1591</v>
      </c>
      <c r="G7" s="39">
        <v>15</v>
      </c>
      <c r="H7" s="39"/>
      <c r="I7" s="40" t="s">
        <v>269</v>
      </c>
      <c r="J7" s="41">
        <v>41086</v>
      </c>
      <c r="K7" s="41">
        <v>0.01</v>
      </c>
      <c r="L7" s="41"/>
      <c r="M7" s="42">
        <v>1.32</v>
      </c>
      <c r="N7" s="42">
        <v>1.32</v>
      </c>
      <c r="O7" s="43">
        <v>410.86</v>
      </c>
      <c r="P7" s="44">
        <v>57151.91</v>
      </c>
      <c r="Q7" s="44">
        <v>57151.91</v>
      </c>
      <c r="R7" s="45">
        <v>0</v>
      </c>
      <c r="S7" s="46">
        <v>0</v>
      </c>
      <c r="T7" s="39">
        <f t="shared" si="0"/>
        <v>15</v>
      </c>
      <c r="U7" s="47">
        <f t="shared" si="1"/>
        <v>0.19557547342853215</v>
      </c>
      <c r="V7" s="48">
        <f t="shared" si="2"/>
        <v>0</v>
      </c>
      <c r="W7" s="49">
        <f t="shared" si="3"/>
        <v>1.3038364895235476E-2</v>
      </c>
      <c r="X7" s="44">
        <f t="shared" si="4"/>
        <v>1930.3101044249713</v>
      </c>
      <c r="Y7" s="44">
        <f t="shared" si="5"/>
        <v>0</v>
      </c>
      <c r="Z7" s="44">
        <f t="shared" si="6"/>
        <v>16352.486081394742</v>
      </c>
      <c r="AA7" s="50">
        <f t="shared" si="7"/>
        <v>59082.220104424974</v>
      </c>
      <c r="AB7" s="51">
        <f t="shared" si="8"/>
        <v>15286.98334242754</v>
      </c>
      <c r="AC7" s="44">
        <f t="shared" si="8"/>
        <v>55232.513886533576</v>
      </c>
      <c r="AD7" s="44">
        <f t="shared" si="9"/>
        <v>0</v>
      </c>
      <c r="AE7" s="44">
        <f t="shared" ref="AE7:AE21" si="17">-PV(GasDiscountRate,T7,S7)*J7</f>
        <v>0</v>
      </c>
      <c r="AF7" s="52">
        <f>HLOOKUP(I7,GasAvoidedCostsWOCC!$A$5:$G$50,G7+1,FALSE)</f>
        <v>10.768151117636117</v>
      </c>
      <c r="AG7" s="44">
        <f t="shared" si="10"/>
        <v>4424.2025681919749</v>
      </c>
      <c r="AH7" s="52">
        <f>HLOOKUP(I7,GasAvoidedCostsWOCC!$A$5:$Q$50,T7+1,FALSE)</f>
        <v>10.768151117636117</v>
      </c>
      <c r="AI7" s="44">
        <f t="shared" si="11"/>
        <v>0</v>
      </c>
      <c r="AJ7" s="44">
        <f t="shared" si="12"/>
        <v>4424.2025681919749</v>
      </c>
      <c r="AK7" s="44">
        <f>HLOOKUP(I7,GasAvoidedCostsWOCC!$A$5:$Q$50,G7+1,FALSE)*J7*L7</f>
        <v>0</v>
      </c>
      <c r="AL7" s="44">
        <f t="shared" si="13"/>
        <v>4424.2025681919749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4424.2025681919749</v>
      </c>
      <c r="AN7" s="48">
        <f t="shared" si="14"/>
        <v>4866.6228250111726</v>
      </c>
      <c r="AO7" s="47">
        <f t="shared" si="15"/>
        <v>0.28940978537688528</v>
      </c>
      <c r="AP7" s="47">
        <f t="shared" si="16"/>
        <v>8.8111557533102264E-2</v>
      </c>
      <c r="AQ7">
        <v>2021</v>
      </c>
    </row>
    <row r="8" spans="1:43" ht="13.5" customHeight="1">
      <c r="A8" s="53">
        <f>SUMIF('Program Costs'!D:D,C2,'Program Costs'!O:O)</f>
        <v>148048.47999999998</v>
      </c>
      <c r="B8" s="97" t="s">
        <v>108</v>
      </c>
      <c r="C8" s="98">
        <v>18230661</v>
      </c>
      <c r="D8" s="61" t="s">
        <v>109</v>
      </c>
      <c r="E8" s="38" t="s">
        <v>1465</v>
      </c>
      <c r="F8" s="39" t="s">
        <v>1466</v>
      </c>
      <c r="G8" s="39">
        <v>18</v>
      </c>
      <c r="H8" s="39"/>
      <c r="I8" s="40" t="s">
        <v>269</v>
      </c>
      <c r="J8" s="41">
        <v>7</v>
      </c>
      <c r="K8" s="41">
        <v>18.96</v>
      </c>
      <c r="L8" s="41"/>
      <c r="M8" s="42">
        <v>549</v>
      </c>
      <c r="N8" s="42">
        <v>549</v>
      </c>
      <c r="O8" s="43">
        <v>132.72</v>
      </c>
      <c r="P8" s="44">
        <v>4995.8999999999996</v>
      </c>
      <c r="Q8" s="44">
        <v>4995.8999999999996</v>
      </c>
      <c r="R8" s="45">
        <v>0</v>
      </c>
      <c r="S8" s="46">
        <v>0</v>
      </c>
      <c r="T8" s="39">
        <f t="shared" si="0"/>
        <v>18</v>
      </c>
      <c r="U8" s="47">
        <f t="shared" si="1"/>
        <v>7.5812033783093369E-2</v>
      </c>
      <c r="V8" s="48">
        <f t="shared" si="2"/>
        <v>0</v>
      </c>
      <c r="W8" s="49">
        <f t="shared" si="3"/>
        <v>4.2117796546162984E-3</v>
      </c>
      <c r="X8" s="44">
        <f t="shared" si="4"/>
        <v>623.5475759608679</v>
      </c>
      <c r="Y8" s="44">
        <f t="shared" si="5"/>
        <v>0</v>
      </c>
      <c r="Z8" s="44">
        <f t="shared" si="6"/>
        <v>5282.339367966485</v>
      </c>
      <c r="AA8" s="50">
        <f t="shared" si="7"/>
        <v>5619.4475759608677</v>
      </c>
      <c r="AB8" s="51">
        <f t="shared" si="8"/>
        <v>4938.1502925740715</v>
      </c>
      <c r="AC8" s="44">
        <f t="shared" si="8"/>
        <v>5253.2930503513762</v>
      </c>
      <c r="AD8" s="44">
        <f t="shared" si="9"/>
        <v>0</v>
      </c>
      <c r="AE8" s="44">
        <f t="shared" si="17"/>
        <v>0</v>
      </c>
      <c r="AF8" s="52">
        <f>HLOOKUP(I8,GasAvoidedCostsWOCC!$A$5:$G$50,G8+1,FALSE)</f>
        <v>12.598768311384578</v>
      </c>
      <c r="AG8" s="44">
        <f t="shared" si="10"/>
        <v>1672.1085302869615</v>
      </c>
      <c r="AH8" s="52">
        <f>HLOOKUP(I8,GasAvoidedCostsWOCC!$A$5:$Q$50,T8+1,FALSE)</f>
        <v>12.598768311384578</v>
      </c>
      <c r="AI8" s="44">
        <f t="shared" si="11"/>
        <v>0</v>
      </c>
      <c r="AJ8" s="44">
        <f t="shared" si="12"/>
        <v>1672.1085302869615</v>
      </c>
      <c r="AK8" s="44">
        <f>HLOOKUP(I8,GasAvoidedCostsWOCC!$A$5:$Q$50,G8+1,FALSE)*J8*L8</f>
        <v>0</v>
      </c>
      <c r="AL8" s="44">
        <f t="shared" si="13"/>
        <v>1672.1085302869615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1672.1085302869615</v>
      </c>
      <c r="AN8" s="48">
        <f t="shared" si="14"/>
        <v>1839.3193833156577</v>
      </c>
      <c r="AO8" s="47">
        <f t="shared" si="15"/>
        <v>0.3386102956002488</v>
      </c>
      <c r="AP8" s="47">
        <f t="shared" si="16"/>
        <v>0.35012693289452629</v>
      </c>
      <c r="AQ8">
        <v>2021</v>
      </c>
    </row>
    <row r="9" spans="1:43" ht="13.5" customHeight="1">
      <c r="A9" s="36" t="s">
        <v>303</v>
      </c>
      <c r="B9" s="97" t="s">
        <v>108</v>
      </c>
      <c r="C9" s="98">
        <v>18230661</v>
      </c>
      <c r="D9" s="61" t="s">
        <v>109</v>
      </c>
      <c r="E9" s="38" t="s">
        <v>1469</v>
      </c>
      <c r="F9" s="39" t="s">
        <v>1470</v>
      </c>
      <c r="G9" s="39">
        <v>20</v>
      </c>
      <c r="H9" s="39"/>
      <c r="I9" s="40" t="s">
        <v>269</v>
      </c>
      <c r="J9" s="41">
        <v>32</v>
      </c>
      <c r="K9" s="41">
        <v>50.8</v>
      </c>
      <c r="L9" s="41"/>
      <c r="M9" s="42">
        <v>631.5</v>
      </c>
      <c r="N9" s="42">
        <v>631.5</v>
      </c>
      <c r="O9" s="43">
        <v>1625.6</v>
      </c>
      <c r="P9" s="44">
        <v>23238.49</v>
      </c>
      <c r="Q9" s="44">
        <v>23238.49</v>
      </c>
      <c r="R9" s="45">
        <v>0</v>
      </c>
      <c r="S9" s="46">
        <v>0</v>
      </c>
      <c r="T9" s="39">
        <f t="shared" si="0"/>
        <v>20</v>
      </c>
      <c r="U9" s="47">
        <f t="shared" si="1"/>
        <v>1.0317463843496464</v>
      </c>
      <c r="V9" s="48">
        <f t="shared" si="2"/>
        <v>0</v>
      </c>
      <c r="W9" s="49">
        <f t="shared" si="3"/>
        <v>5.1587319217482323E-2</v>
      </c>
      <c r="X9" s="44">
        <f t="shared" si="4"/>
        <v>7637.4241974230463</v>
      </c>
      <c r="Y9" s="44">
        <f t="shared" si="5"/>
        <v>0</v>
      </c>
      <c r="Z9" s="44">
        <f t="shared" si="6"/>
        <v>64699.901119396607</v>
      </c>
      <c r="AA9" s="50">
        <f t="shared" si="7"/>
        <v>30875.914197423048</v>
      </c>
      <c r="AB9" s="51">
        <f t="shared" si="8"/>
        <v>60484.155482281574</v>
      </c>
      <c r="AC9" s="44">
        <f t="shared" si="8"/>
        <v>28864.087311791198</v>
      </c>
      <c r="AD9" s="44">
        <f t="shared" si="9"/>
        <v>0</v>
      </c>
      <c r="AE9" s="44">
        <f t="shared" si="17"/>
        <v>0</v>
      </c>
      <c r="AF9" s="52">
        <f>HLOOKUP(I9,GasAvoidedCostsWOCC!$A$5:$G$50,G9+1,FALSE)</f>
        <v>13.765480191058694</v>
      </c>
      <c r="AG9" s="44">
        <f t="shared" si="10"/>
        <v>22377.164598585012</v>
      </c>
      <c r="AH9" s="52">
        <f>HLOOKUP(I9,GasAvoidedCostsWOCC!$A$5:$Q$50,T9+1,FALSE)</f>
        <v>13.765480191058694</v>
      </c>
      <c r="AI9" s="44">
        <f t="shared" si="11"/>
        <v>0</v>
      </c>
      <c r="AJ9" s="44">
        <f t="shared" si="12"/>
        <v>22377.164598585012</v>
      </c>
      <c r="AK9" s="44">
        <f>HLOOKUP(I9,GasAvoidedCostsWOCC!$A$5:$Q$50,G9+1,FALSE)*J9*L9</f>
        <v>0</v>
      </c>
      <c r="AL9" s="44">
        <f t="shared" si="13"/>
        <v>22377.164598585012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22377.164598585012</v>
      </c>
      <c r="AN9" s="48">
        <f t="shared" si="14"/>
        <v>24614.881058443516</v>
      </c>
      <c r="AO9" s="47">
        <f t="shared" si="15"/>
        <v>0.36996738104643373</v>
      </c>
      <c r="AP9" s="47">
        <f t="shared" si="16"/>
        <v>0.85278570538373311</v>
      </c>
      <c r="AQ9">
        <v>2021</v>
      </c>
    </row>
    <row r="10" spans="1:43" ht="13.5" customHeight="1">
      <c r="A10" s="54">
        <f>SUM(O5:O997)</f>
        <v>31511.619999999992</v>
      </c>
      <c r="B10" s="97" t="s">
        <v>108</v>
      </c>
      <c r="C10" s="98">
        <v>18230661</v>
      </c>
      <c r="D10" s="61" t="s">
        <v>109</v>
      </c>
      <c r="E10" s="38" t="s">
        <v>1485</v>
      </c>
      <c r="F10" s="39" t="s">
        <v>1486</v>
      </c>
      <c r="G10" s="39">
        <v>20</v>
      </c>
      <c r="H10" s="39"/>
      <c r="I10" s="40" t="s">
        <v>269</v>
      </c>
      <c r="J10" s="41">
        <v>1</v>
      </c>
      <c r="K10" s="41">
        <v>110</v>
      </c>
      <c r="L10" s="41"/>
      <c r="M10" s="42">
        <v>4290</v>
      </c>
      <c r="N10" s="42">
        <v>4290</v>
      </c>
      <c r="O10" s="43">
        <v>110</v>
      </c>
      <c r="P10" s="44">
        <v>5577</v>
      </c>
      <c r="Q10" s="44">
        <v>5577</v>
      </c>
      <c r="R10" s="45">
        <v>0</v>
      </c>
      <c r="S10" s="46">
        <v>0</v>
      </c>
      <c r="T10" s="39">
        <f t="shared" si="0"/>
        <v>20</v>
      </c>
      <c r="U10" s="47">
        <f t="shared" si="1"/>
        <v>6.9815515673265938E-2</v>
      </c>
      <c r="V10" s="48">
        <f t="shared" si="2"/>
        <v>0</v>
      </c>
      <c r="W10" s="49">
        <f t="shared" si="3"/>
        <v>3.4907757836632972E-3</v>
      </c>
      <c r="X10" s="44">
        <f t="shared" si="4"/>
        <v>516.80404879215996</v>
      </c>
      <c r="Y10" s="44">
        <f t="shared" si="5"/>
        <v>0</v>
      </c>
      <c r="Z10" s="44">
        <f t="shared" si="6"/>
        <v>4378.069096415863</v>
      </c>
      <c r="AA10" s="50">
        <f t="shared" si="7"/>
        <v>6093.8040487921598</v>
      </c>
      <c r="AB10" s="51">
        <f t="shared" si="8"/>
        <v>4092.8008754004513</v>
      </c>
      <c r="AC10" s="44">
        <f t="shared" si="8"/>
        <v>5696.7411879893043</v>
      </c>
      <c r="AD10" s="44">
        <f t="shared" si="9"/>
        <v>0</v>
      </c>
      <c r="AE10" s="44">
        <f t="shared" si="17"/>
        <v>0</v>
      </c>
      <c r="AF10" s="52">
        <f>HLOOKUP(I10,GasAvoidedCostsWOCC!$A$5:$G$50,G10+1,FALSE)</f>
        <v>13.765480191058694</v>
      </c>
      <c r="AG10" s="44">
        <f t="shared" si="10"/>
        <v>1514.2028210164565</v>
      </c>
      <c r="AH10" s="52">
        <f>HLOOKUP(I10,GasAvoidedCostsWOCC!$A$5:$Q$50,T10+1,FALSE)</f>
        <v>13.765480191058694</v>
      </c>
      <c r="AI10" s="44">
        <f t="shared" si="11"/>
        <v>0</v>
      </c>
      <c r="AJ10" s="44">
        <f t="shared" si="12"/>
        <v>1514.2028210164565</v>
      </c>
      <c r="AK10" s="44">
        <f>HLOOKUP(I10,GasAvoidedCostsWOCC!$A$5:$Q$50,G10+1,FALSE)*J10*L10</f>
        <v>0</v>
      </c>
      <c r="AL10" s="44">
        <f t="shared" si="13"/>
        <v>1514.2028210164565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1514.2028210164565</v>
      </c>
      <c r="AN10" s="48">
        <f t="shared" si="14"/>
        <v>1665.6231031181023</v>
      </c>
      <c r="AO10" s="47">
        <f t="shared" si="15"/>
        <v>0.36996738104643379</v>
      </c>
      <c r="AP10" s="47">
        <f t="shared" si="16"/>
        <v>0.29238174039393089</v>
      </c>
      <c r="AQ10">
        <v>2021</v>
      </c>
    </row>
    <row r="11" spans="1:43" ht="13.5" customHeight="1">
      <c r="A11" s="36" t="s">
        <v>251</v>
      </c>
      <c r="B11" s="97" t="s">
        <v>108</v>
      </c>
      <c r="C11" s="98">
        <v>18230661</v>
      </c>
      <c r="D11" s="61" t="s">
        <v>109</v>
      </c>
      <c r="E11" s="38" t="s">
        <v>1487</v>
      </c>
      <c r="F11" s="39" t="s">
        <v>1488</v>
      </c>
      <c r="G11" s="39">
        <v>20</v>
      </c>
      <c r="H11" s="39"/>
      <c r="I11" s="40" t="s">
        <v>269</v>
      </c>
      <c r="J11" s="41">
        <v>17</v>
      </c>
      <c r="K11" s="41">
        <v>110</v>
      </c>
      <c r="L11" s="41"/>
      <c r="M11" s="42">
        <v>4290</v>
      </c>
      <c r="N11" s="42">
        <v>4290</v>
      </c>
      <c r="O11" s="43">
        <v>1870</v>
      </c>
      <c r="P11" s="44">
        <v>88596.07</v>
      </c>
      <c r="Q11" s="44">
        <v>88596.07</v>
      </c>
      <c r="R11" s="45">
        <v>0</v>
      </c>
      <c r="S11" s="46"/>
      <c r="T11" s="39">
        <f t="shared" si="0"/>
        <v>20</v>
      </c>
      <c r="U11" s="47">
        <f t="shared" si="1"/>
        <v>1.1868637664455211</v>
      </c>
      <c r="V11" s="48">
        <f t="shared" si="2"/>
        <v>0</v>
      </c>
      <c r="W11" s="49">
        <f t="shared" si="3"/>
        <v>5.9343188322276051E-2</v>
      </c>
      <c r="X11" s="44">
        <f t="shared" si="4"/>
        <v>8785.6688294667183</v>
      </c>
      <c r="Y11" s="44">
        <f t="shared" si="5"/>
        <v>0</v>
      </c>
      <c r="Z11" s="44">
        <f t="shared" si="6"/>
        <v>74427.174639069679</v>
      </c>
      <c r="AA11" s="50">
        <f t="shared" si="7"/>
        <v>97381.738829466718</v>
      </c>
      <c r="AB11" s="51">
        <f t="shared" si="8"/>
        <v>69577.614881807676</v>
      </c>
      <c r="AC11" s="44">
        <f t="shared" si="8"/>
        <v>91036.495119628598</v>
      </c>
      <c r="AD11" s="44">
        <f t="shared" si="9"/>
        <v>0</v>
      </c>
      <c r="AE11" s="44">
        <f t="shared" si="17"/>
        <v>0</v>
      </c>
      <c r="AF11" s="52">
        <f>HLOOKUP(I11,GasAvoidedCostsWOCC!$A$5:$G$50,G11+1,FALSE)</f>
        <v>13.765480191058694</v>
      </c>
      <c r="AG11" s="44">
        <f t="shared" si="10"/>
        <v>25741.447957279757</v>
      </c>
      <c r="AH11" s="52">
        <f>HLOOKUP(I11,GasAvoidedCostsWOCC!$A$5:$Q$50,T11+1,FALSE)</f>
        <v>13.765480191058694</v>
      </c>
      <c r="AI11" s="44">
        <f t="shared" si="11"/>
        <v>0</v>
      </c>
      <c r="AJ11" s="44">
        <f t="shared" si="12"/>
        <v>25741.447957279757</v>
      </c>
      <c r="AK11" s="44">
        <f>HLOOKUP(I11,GasAvoidedCostsWOCC!$A$5:$Q$50,G11+1,FALSE)*J11*L11</f>
        <v>0</v>
      </c>
      <c r="AL11" s="44">
        <f t="shared" si="13"/>
        <v>25741.447957279757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25741.447957279761</v>
      </c>
      <c r="AN11" s="48">
        <f t="shared" si="14"/>
        <v>28315.592753007739</v>
      </c>
      <c r="AO11" s="47">
        <f t="shared" si="15"/>
        <v>0.36996738104643379</v>
      </c>
      <c r="AP11" s="47">
        <f t="shared" si="16"/>
        <v>0.31103562055853518</v>
      </c>
      <c r="AQ11">
        <v>2021</v>
      </c>
    </row>
    <row r="12" spans="1:43" ht="13.5" customHeight="1">
      <c r="A12" s="55">
        <f>SUM(P5:P998)</f>
        <v>1131730.1000000003</v>
      </c>
      <c r="B12" s="97" t="s">
        <v>108</v>
      </c>
      <c r="C12" s="98">
        <v>18230661</v>
      </c>
      <c r="D12" s="61" t="s">
        <v>109</v>
      </c>
      <c r="E12" s="38" t="s">
        <v>1495</v>
      </c>
      <c r="F12" s="39" t="s">
        <v>1496</v>
      </c>
      <c r="G12" s="39">
        <v>20</v>
      </c>
      <c r="H12" s="39"/>
      <c r="I12" s="40" t="s">
        <v>269</v>
      </c>
      <c r="J12" s="41">
        <v>3428</v>
      </c>
      <c r="K12" s="41">
        <v>0.2</v>
      </c>
      <c r="L12" s="41"/>
      <c r="M12" s="42">
        <v>6.46</v>
      </c>
      <c r="N12" s="42">
        <v>6.46</v>
      </c>
      <c r="O12" s="43">
        <v>685.6</v>
      </c>
      <c r="P12" s="44">
        <v>25741.85</v>
      </c>
      <c r="Q12" s="44">
        <v>25741.85</v>
      </c>
      <c r="R12" s="45">
        <v>0</v>
      </c>
      <c r="S12" s="46">
        <v>0</v>
      </c>
      <c r="T12" s="39">
        <f t="shared" si="0"/>
        <v>20</v>
      </c>
      <c r="U12" s="47">
        <f t="shared" si="1"/>
        <v>0.43514106859628304</v>
      </c>
      <c r="V12" s="48">
        <f t="shared" si="2"/>
        <v>0</v>
      </c>
      <c r="W12" s="49">
        <f t="shared" si="3"/>
        <v>2.1757053429814151E-2</v>
      </c>
      <c r="X12" s="44">
        <f t="shared" si="4"/>
        <v>3221.0986895627716</v>
      </c>
      <c r="Y12" s="44">
        <f t="shared" si="5"/>
        <v>0</v>
      </c>
      <c r="Z12" s="44">
        <f t="shared" si="6"/>
        <v>27287.310659115599</v>
      </c>
      <c r="AA12" s="50">
        <f t="shared" si="7"/>
        <v>28962.948689562771</v>
      </c>
      <c r="AB12" s="51">
        <f t="shared" si="8"/>
        <v>25509.31163795045</v>
      </c>
      <c r="AC12" s="44">
        <f t="shared" si="8"/>
        <v>27075.767682119069</v>
      </c>
      <c r="AD12" s="44">
        <f t="shared" si="9"/>
        <v>0</v>
      </c>
      <c r="AE12" s="44">
        <f t="shared" si="17"/>
        <v>0</v>
      </c>
      <c r="AF12" s="52">
        <f>HLOOKUP(I12,GasAvoidedCostsWOCC!$A$5:$G$50,G12+1,FALSE)</f>
        <v>13.765480191058694</v>
      </c>
      <c r="AG12" s="44">
        <f t="shared" si="10"/>
        <v>9437.6132189898399</v>
      </c>
      <c r="AH12" s="52">
        <f>HLOOKUP(I12,GasAvoidedCostsWOCC!$A$5:$Q$50,T12+1,FALSE)</f>
        <v>13.765480191058694</v>
      </c>
      <c r="AI12" s="44">
        <f t="shared" si="11"/>
        <v>0</v>
      </c>
      <c r="AJ12" s="44">
        <f t="shared" si="12"/>
        <v>9437.6132189898399</v>
      </c>
      <c r="AK12" s="44">
        <f>HLOOKUP(I12,GasAvoidedCostsWOCC!$A$5:$Q$50,G12+1,FALSE)*J12*L12</f>
        <v>0</v>
      </c>
      <c r="AL12" s="44">
        <f t="shared" si="13"/>
        <v>9437.6132189898399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9437.6132189898417</v>
      </c>
      <c r="AN12" s="48">
        <f t="shared" si="14"/>
        <v>10381.374540888826</v>
      </c>
      <c r="AO12" s="47">
        <f t="shared" si="15"/>
        <v>0.36996738104643379</v>
      </c>
      <c r="AP12" s="47">
        <f t="shared" si="16"/>
        <v>0.38341939784572471</v>
      </c>
      <c r="AQ12">
        <v>2021</v>
      </c>
    </row>
    <row r="13" spans="1:43" ht="13.5" customHeight="1">
      <c r="A13" s="56" t="s">
        <v>252</v>
      </c>
      <c r="B13" s="97" t="s">
        <v>108</v>
      </c>
      <c r="C13" s="98">
        <v>18230661</v>
      </c>
      <c r="D13" s="61" t="s">
        <v>109</v>
      </c>
      <c r="E13" s="38" t="s">
        <v>1501</v>
      </c>
      <c r="F13" s="39" t="s">
        <v>1502</v>
      </c>
      <c r="G13" s="39">
        <v>25</v>
      </c>
      <c r="H13" s="39"/>
      <c r="I13" s="40" t="s">
        <v>269</v>
      </c>
      <c r="J13" s="41">
        <v>6692</v>
      </c>
      <c r="K13" s="41">
        <v>0.04</v>
      </c>
      <c r="L13" s="41"/>
      <c r="M13" s="42">
        <v>2.37</v>
      </c>
      <c r="N13" s="42">
        <v>2.37</v>
      </c>
      <c r="O13" s="43">
        <v>267.68</v>
      </c>
      <c r="P13" s="44">
        <v>20618.05</v>
      </c>
      <c r="Q13" s="44">
        <v>20618.05</v>
      </c>
      <c r="R13" s="45">
        <v>0</v>
      </c>
      <c r="S13" s="46">
        <v>0</v>
      </c>
      <c r="T13" s="39">
        <f t="shared" si="0"/>
        <v>25</v>
      </c>
      <c r="U13" s="47">
        <f t="shared" si="1"/>
        <v>0.21236610494795261</v>
      </c>
      <c r="V13" s="48">
        <f t="shared" si="2"/>
        <v>0</v>
      </c>
      <c r="W13" s="49">
        <f t="shared" si="3"/>
        <v>8.4946441979181046E-3</v>
      </c>
      <c r="X13" s="44">
        <f t="shared" si="4"/>
        <v>1257.6191616425945</v>
      </c>
      <c r="Y13" s="44">
        <f t="shared" si="5"/>
        <v>0</v>
      </c>
      <c r="Z13" s="44">
        <f t="shared" si="6"/>
        <v>10653.832142987258</v>
      </c>
      <c r="AA13" s="50">
        <f t="shared" si="7"/>
        <v>21875.669161642592</v>
      </c>
      <c r="AB13" s="51">
        <f t="shared" si="8"/>
        <v>9959.6448938835711</v>
      </c>
      <c r="AC13" s="44">
        <f t="shared" si="8"/>
        <v>20450.284342939693</v>
      </c>
      <c r="AD13" s="44">
        <f t="shared" si="9"/>
        <v>0</v>
      </c>
      <c r="AE13" s="44">
        <f t="shared" si="17"/>
        <v>0</v>
      </c>
      <c r="AF13" s="52">
        <f>HLOOKUP(I13,GasAvoidedCostsWOCC!$A$5:$G$50,G13+1,FALSE)</f>
        <v>16.472554524074432</v>
      </c>
      <c r="AG13" s="44">
        <f t="shared" si="10"/>
        <v>4409.3733950042442</v>
      </c>
      <c r="AH13" s="52">
        <f>HLOOKUP(I13,GasAvoidedCostsWOCC!$A$5:$Q$50,T13+1,FALSE)</f>
        <v>16.472554524074432</v>
      </c>
      <c r="AI13" s="44">
        <f t="shared" si="11"/>
        <v>0</v>
      </c>
      <c r="AJ13" s="44">
        <f t="shared" si="12"/>
        <v>4409.3733950042442</v>
      </c>
      <c r="AK13" s="44">
        <f>HLOOKUP(I13,GasAvoidedCostsWOCC!$A$5:$Q$50,G13+1,FALSE)*J13*L13</f>
        <v>0</v>
      </c>
      <c r="AL13" s="44">
        <f t="shared" si="13"/>
        <v>4409.3733950042442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4409.3733950042442</v>
      </c>
      <c r="AN13" s="48">
        <f t="shared" si="14"/>
        <v>4850.3107345046692</v>
      </c>
      <c r="AO13" s="47">
        <f t="shared" si="15"/>
        <v>0.44272395672581999</v>
      </c>
      <c r="AP13" s="47">
        <f t="shared" si="16"/>
        <v>0.23717571125993672</v>
      </c>
      <c r="AQ13">
        <v>2021</v>
      </c>
    </row>
    <row r="14" spans="1:43" ht="13.5" customHeight="1">
      <c r="A14" s="55">
        <f>SUM(Y5:Y998)</f>
        <v>85379.56</v>
      </c>
      <c r="B14" s="97" t="s">
        <v>108</v>
      </c>
      <c r="C14" s="98">
        <v>18230661</v>
      </c>
      <c r="D14" s="61" t="s">
        <v>109</v>
      </c>
      <c r="E14" s="38" t="s">
        <v>1507</v>
      </c>
      <c r="F14" s="39" t="s">
        <v>1508</v>
      </c>
      <c r="G14" s="39">
        <v>25</v>
      </c>
      <c r="H14" s="39"/>
      <c r="I14" s="40" t="s">
        <v>269</v>
      </c>
      <c r="J14" s="41">
        <v>300</v>
      </c>
      <c r="K14" s="41">
        <v>0.02</v>
      </c>
      <c r="L14" s="41"/>
      <c r="M14" s="42">
        <v>2.7</v>
      </c>
      <c r="N14" s="42">
        <v>2.7</v>
      </c>
      <c r="O14" s="43">
        <v>6</v>
      </c>
      <c r="P14" s="44">
        <v>1613.98</v>
      </c>
      <c r="Q14" s="44">
        <v>1613.98</v>
      </c>
      <c r="R14" s="45">
        <v>0</v>
      </c>
      <c r="S14" s="46">
        <v>0</v>
      </c>
      <c r="T14" s="39">
        <f t="shared" si="0"/>
        <v>25</v>
      </c>
      <c r="U14" s="47">
        <f t="shared" si="1"/>
        <v>4.7601487959044965E-3</v>
      </c>
      <c r="V14" s="48">
        <f t="shared" si="2"/>
        <v>0</v>
      </c>
      <c r="W14" s="49">
        <f t="shared" si="3"/>
        <v>1.9040595183617985E-4</v>
      </c>
      <c r="X14" s="44">
        <f t="shared" si="4"/>
        <v>28.189311752299634</v>
      </c>
      <c r="Y14" s="44">
        <f t="shared" si="5"/>
        <v>0</v>
      </c>
      <c r="Z14" s="44">
        <f t="shared" si="6"/>
        <v>238.80376889541071</v>
      </c>
      <c r="AA14" s="50">
        <f t="shared" si="7"/>
        <v>1642.1693117522996</v>
      </c>
      <c r="AB14" s="51">
        <f t="shared" si="8"/>
        <v>223.24368411275188</v>
      </c>
      <c r="AC14" s="44">
        <f t="shared" si="8"/>
        <v>1535.1680954962133</v>
      </c>
      <c r="AD14" s="44">
        <f t="shared" si="9"/>
        <v>0</v>
      </c>
      <c r="AE14" s="44">
        <f t="shared" si="17"/>
        <v>0</v>
      </c>
      <c r="AF14" s="52">
        <f>HLOOKUP(I14,GasAvoidedCostsWOCC!$A$5:$G$50,G14+1,FALSE)</f>
        <v>16.472554524074432</v>
      </c>
      <c r="AG14" s="44">
        <f t="shared" si="10"/>
        <v>98.835327144446609</v>
      </c>
      <c r="AH14" s="52">
        <f>HLOOKUP(I14,GasAvoidedCostsWOCC!$A$5:$Q$50,T14+1,FALSE)</f>
        <v>16.472554524074432</v>
      </c>
      <c r="AI14" s="44">
        <f t="shared" si="11"/>
        <v>0</v>
      </c>
      <c r="AJ14" s="44">
        <f t="shared" si="12"/>
        <v>98.835327144446609</v>
      </c>
      <c r="AK14" s="44">
        <f>HLOOKUP(I14,GasAvoidedCostsWOCC!$A$5:$Q$50,G14+1,FALSE)*J14*L14</f>
        <v>0</v>
      </c>
      <c r="AL14" s="44">
        <f t="shared" si="13"/>
        <v>98.835327144446609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98.835327144446595</v>
      </c>
      <c r="AN14" s="48">
        <f t="shared" si="14"/>
        <v>108.71885985889126</v>
      </c>
      <c r="AO14" s="47">
        <f t="shared" si="15"/>
        <v>0.44272395672581999</v>
      </c>
      <c r="AP14" s="47">
        <f t="shared" si="16"/>
        <v>7.0818863535429322E-2</v>
      </c>
      <c r="AQ14">
        <v>2021</v>
      </c>
    </row>
    <row r="15" spans="1:43" ht="13.5" customHeight="1">
      <c r="A15" s="57" t="s">
        <v>253</v>
      </c>
      <c r="B15" s="97" t="s">
        <v>108</v>
      </c>
      <c r="C15" s="98">
        <v>18230661</v>
      </c>
      <c r="D15" s="61" t="s">
        <v>109</v>
      </c>
      <c r="E15" s="38" t="s">
        <v>1511</v>
      </c>
      <c r="F15" s="39" t="s">
        <v>1512</v>
      </c>
      <c r="G15" s="39">
        <v>45</v>
      </c>
      <c r="H15" s="39"/>
      <c r="I15" s="40" t="s">
        <v>269</v>
      </c>
      <c r="J15" s="41">
        <v>30435</v>
      </c>
      <c r="K15" s="41">
        <v>0.03</v>
      </c>
      <c r="L15" s="41"/>
      <c r="M15" s="42">
        <v>2.14</v>
      </c>
      <c r="N15" s="42">
        <v>2.14</v>
      </c>
      <c r="O15" s="43">
        <v>913.05</v>
      </c>
      <c r="P15" s="44">
        <v>82497.350000000006</v>
      </c>
      <c r="Q15" s="44">
        <v>82497.350000000006</v>
      </c>
      <c r="R15" s="45">
        <v>0</v>
      </c>
      <c r="S15" s="46">
        <v>0</v>
      </c>
      <c r="T15" s="39">
        <f t="shared" si="0"/>
        <v>45</v>
      </c>
      <c r="U15" s="47">
        <f t="shared" si="1"/>
        <v>1.30387615743018</v>
      </c>
      <c r="V15" s="48">
        <f t="shared" si="2"/>
        <v>0</v>
      </c>
      <c r="W15" s="49">
        <f t="shared" si="3"/>
        <v>2.8975025720670667E-2</v>
      </c>
      <c r="X15" s="44">
        <f t="shared" si="4"/>
        <v>4289.7085159061962</v>
      </c>
      <c r="Y15" s="44">
        <f t="shared" si="5"/>
        <v>0</v>
      </c>
      <c r="Z15" s="44">
        <f t="shared" si="6"/>
        <v>36339.963531659123</v>
      </c>
      <c r="AA15" s="50">
        <f t="shared" si="7"/>
        <v>86787.058515906203</v>
      </c>
      <c r="AB15" s="51">
        <f t="shared" si="8"/>
        <v>33972.107629858016</v>
      </c>
      <c r="AC15" s="44">
        <f t="shared" si="8"/>
        <v>81132.147813317933</v>
      </c>
      <c r="AD15" s="44">
        <f t="shared" si="9"/>
        <v>0</v>
      </c>
      <c r="AE15" s="44">
        <f t="shared" si="17"/>
        <v>0</v>
      </c>
      <c r="AF15" s="52">
        <f>HLOOKUP(I15,GasAvoidedCostsWOCC!$A$5:$G$50,G15+1,FALSE)</f>
        <v>27.444232870165703</v>
      </c>
      <c r="AG15" s="44">
        <f t="shared" si="10"/>
        <v>25057.956822104792</v>
      </c>
      <c r="AH15" s="52">
        <f>HLOOKUP(I15,GasAvoidedCostsWOCC!$A$5:$Q$50,T15+1,FALSE)</f>
        <v>27.444232870165703</v>
      </c>
      <c r="AI15" s="44">
        <f t="shared" si="11"/>
        <v>0</v>
      </c>
      <c r="AJ15" s="44">
        <f t="shared" si="12"/>
        <v>25057.956822104792</v>
      </c>
      <c r="AK15" s="44">
        <f>HLOOKUP(I15,GasAvoidedCostsWOCC!$A$5:$Q$50,G15+1,FALSE)*J15*L15</f>
        <v>0</v>
      </c>
      <c r="AL15" s="44">
        <f t="shared" si="13"/>
        <v>25057.956822104792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25057.956822104792</v>
      </c>
      <c r="AN15" s="48">
        <f t="shared" si="14"/>
        <v>27563.752504315275</v>
      </c>
      <c r="AO15" s="47">
        <f t="shared" si="15"/>
        <v>0.73760383356614012</v>
      </c>
      <c r="AP15" s="47">
        <f t="shared" si="16"/>
        <v>0.3397389721240765</v>
      </c>
      <c r="AQ15">
        <v>2021</v>
      </c>
    </row>
    <row r="16" spans="1:43" ht="13.5" customHeight="1">
      <c r="A16" s="54">
        <f>SUM(U5:U997)</f>
        <v>25.30328240820371</v>
      </c>
      <c r="B16" s="97" t="s">
        <v>108</v>
      </c>
      <c r="C16" s="98">
        <v>18230661</v>
      </c>
      <c r="D16" s="61" t="s">
        <v>109</v>
      </c>
      <c r="E16" s="38" t="s">
        <v>1519</v>
      </c>
      <c r="F16" s="39" t="s">
        <v>1520</v>
      </c>
      <c r="G16" s="39">
        <v>45</v>
      </c>
      <c r="H16" s="39"/>
      <c r="I16" s="40" t="s">
        <v>269</v>
      </c>
      <c r="J16" s="41">
        <v>19465</v>
      </c>
      <c r="K16" s="41">
        <v>7.0000000000000007E-2</v>
      </c>
      <c r="L16" s="41"/>
      <c r="M16" s="42">
        <v>2.75</v>
      </c>
      <c r="N16" s="42">
        <v>2.75</v>
      </c>
      <c r="O16" s="43">
        <v>1362.55</v>
      </c>
      <c r="P16" s="44">
        <v>69257.42</v>
      </c>
      <c r="Q16" s="44">
        <v>69257.42</v>
      </c>
      <c r="R16" s="45">
        <v>0</v>
      </c>
      <c r="S16" s="46">
        <v>0</v>
      </c>
      <c r="T16" s="39">
        <f t="shared" si="0"/>
        <v>45</v>
      </c>
      <c r="U16" s="47">
        <f t="shared" si="1"/>
        <v>1.9457822225579013</v>
      </c>
      <c r="V16" s="48">
        <f t="shared" si="2"/>
        <v>0</v>
      </c>
      <c r="W16" s="49">
        <f t="shared" si="3"/>
        <v>4.323960494573114E-2</v>
      </c>
      <c r="X16" s="44">
        <f t="shared" si="4"/>
        <v>6401.5577880159772</v>
      </c>
      <c r="Y16" s="44">
        <f t="shared" si="5"/>
        <v>0</v>
      </c>
      <c r="Z16" s="44">
        <f t="shared" si="6"/>
        <v>54230.345884740309</v>
      </c>
      <c r="AA16" s="50">
        <f t="shared" si="7"/>
        <v>75658.977788015982</v>
      </c>
      <c r="AB16" s="51">
        <f t="shared" si="8"/>
        <v>50696.78029797168</v>
      </c>
      <c r="AC16" s="44">
        <f t="shared" si="8"/>
        <v>70729.155639913966</v>
      </c>
      <c r="AD16" s="44">
        <f t="shared" si="9"/>
        <v>0</v>
      </c>
      <c r="AE16" s="44">
        <f t="shared" si="17"/>
        <v>0</v>
      </c>
      <c r="AF16" s="52">
        <f>HLOOKUP(I16,GasAvoidedCostsWOCC!$A$5:$G$50,G16+1,FALSE)</f>
        <v>27.444232870165703</v>
      </c>
      <c r="AG16" s="44">
        <f t="shared" si="10"/>
        <v>37394.139497244279</v>
      </c>
      <c r="AH16" s="52">
        <f>HLOOKUP(I16,GasAvoidedCostsWOCC!$A$5:$Q$50,T16+1,FALSE)</f>
        <v>27.444232870165703</v>
      </c>
      <c r="AI16" s="44">
        <f t="shared" si="11"/>
        <v>0</v>
      </c>
      <c r="AJ16" s="44">
        <f t="shared" si="12"/>
        <v>37394.139497244279</v>
      </c>
      <c r="AK16" s="44">
        <f>HLOOKUP(I16,GasAvoidedCostsWOCC!$A$5:$Q$50,G16+1,FALSE)*J16*L16</f>
        <v>0</v>
      </c>
      <c r="AL16" s="44">
        <f t="shared" si="13"/>
        <v>37394.139497244279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37394.139497244279</v>
      </c>
      <c r="AN16" s="48">
        <f t="shared" si="14"/>
        <v>41133.553446968712</v>
      </c>
      <c r="AO16" s="47">
        <f t="shared" si="15"/>
        <v>0.73760383356614023</v>
      </c>
      <c r="AP16" s="47">
        <f t="shared" si="16"/>
        <v>0.58156432202275821</v>
      </c>
      <c r="AQ16">
        <v>2021</v>
      </c>
    </row>
    <row r="17" spans="1:43" ht="13.5" customHeight="1">
      <c r="A17" s="58" t="s">
        <v>254</v>
      </c>
      <c r="B17" s="97" t="s">
        <v>108</v>
      </c>
      <c r="C17" s="98">
        <v>18230661</v>
      </c>
      <c r="D17" s="61" t="s">
        <v>109</v>
      </c>
      <c r="E17" s="38" t="s">
        <v>1524</v>
      </c>
      <c r="F17" s="39" t="s">
        <v>1525</v>
      </c>
      <c r="G17" s="39">
        <v>25</v>
      </c>
      <c r="H17" s="39"/>
      <c r="I17" s="40" t="s">
        <v>269</v>
      </c>
      <c r="J17" s="41">
        <v>1680</v>
      </c>
      <c r="K17" s="41">
        <v>0.04</v>
      </c>
      <c r="L17" s="41"/>
      <c r="M17" s="42">
        <v>2.0299999999999998</v>
      </c>
      <c r="N17" s="42">
        <v>2.0299999999999998</v>
      </c>
      <c r="O17" s="43">
        <v>67.2</v>
      </c>
      <c r="P17" s="44">
        <v>4433.5200000000004</v>
      </c>
      <c r="Q17" s="44">
        <v>4433.5200000000004</v>
      </c>
      <c r="R17" s="45">
        <v>0</v>
      </c>
      <c r="S17" s="46">
        <v>0</v>
      </c>
      <c r="T17" s="39">
        <f t="shared" si="0"/>
        <v>25</v>
      </c>
      <c r="U17" s="47">
        <f t="shared" si="1"/>
        <v>5.3313666514130359E-2</v>
      </c>
      <c r="V17" s="48">
        <f t="shared" si="2"/>
        <v>0</v>
      </c>
      <c r="W17" s="49">
        <f t="shared" si="3"/>
        <v>2.1325466605652144E-3</v>
      </c>
      <c r="X17" s="44">
        <f t="shared" si="4"/>
        <v>315.72029162575592</v>
      </c>
      <c r="Y17" s="44">
        <f t="shared" si="5"/>
        <v>0</v>
      </c>
      <c r="Z17" s="44">
        <f t="shared" si="6"/>
        <v>2674.6022116286003</v>
      </c>
      <c r="AA17" s="50">
        <f t="shared" si="7"/>
        <v>4749.2402916257561</v>
      </c>
      <c r="AB17" s="51">
        <f t="shared" si="8"/>
        <v>2500.3292620628213</v>
      </c>
      <c r="AC17" s="44">
        <f t="shared" si="8"/>
        <v>4439.7871287517582</v>
      </c>
      <c r="AD17" s="44">
        <f t="shared" si="9"/>
        <v>0</v>
      </c>
      <c r="AE17" s="44">
        <f t="shared" si="17"/>
        <v>0</v>
      </c>
      <c r="AF17" s="52">
        <f>HLOOKUP(I17,GasAvoidedCostsWOCC!$A$5:$G$50,G17+1,FALSE)</f>
        <v>16.472554524074432</v>
      </c>
      <c r="AG17" s="44">
        <f t="shared" si="10"/>
        <v>1106.9556640178018</v>
      </c>
      <c r="AH17" s="52">
        <f>HLOOKUP(I17,GasAvoidedCostsWOCC!$A$5:$Q$50,T17+1,FALSE)</f>
        <v>16.472554524074432</v>
      </c>
      <c r="AI17" s="44">
        <f t="shared" si="11"/>
        <v>0</v>
      </c>
      <c r="AJ17" s="44">
        <f t="shared" si="12"/>
        <v>1106.9556640178018</v>
      </c>
      <c r="AK17" s="44">
        <f>HLOOKUP(I17,GasAvoidedCostsWOCC!$A$5:$Q$50,G17+1,FALSE)*J17*L17</f>
        <v>0</v>
      </c>
      <c r="AL17" s="44">
        <f t="shared" si="13"/>
        <v>1106.9556640178018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1106.9556640178018</v>
      </c>
      <c r="AN17" s="48">
        <f t="shared" si="14"/>
        <v>1217.6512304195821</v>
      </c>
      <c r="AO17" s="47">
        <f t="shared" si="15"/>
        <v>0.44272395672581993</v>
      </c>
      <c r="AP17" s="47">
        <f t="shared" si="16"/>
        <v>0.27425892167986071</v>
      </c>
      <c r="AQ17">
        <v>2021</v>
      </c>
    </row>
    <row r="18" spans="1:43" ht="13.5" customHeight="1">
      <c r="A18" s="59">
        <f>A6+A8</f>
        <v>1254182.27</v>
      </c>
      <c r="B18" s="97" t="s">
        <v>108</v>
      </c>
      <c r="C18" s="98">
        <v>18230661</v>
      </c>
      <c r="D18" s="61" t="s">
        <v>109</v>
      </c>
      <c r="E18" s="38" t="s">
        <v>1528</v>
      </c>
      <c r="F18" s="39" t="s">
        <v>1529</v>
      </c>
      <c r="G18" s="39">
        <v>45</v>
      </c>
      <c r="H18" s="39"/>
      <c r="I18" s="40" t="s">
        <v>269</v>
      </c>
      <c r="J18" s="41">
        <v>6951</v>
      </c>
      <c r="K18" s="41">
        <v>0.09</v>
      </c>
      <c r="L18" s="41"/>
      <c r="M18" s="42">
        <v>2.4300000000000002</v>
      </c>
      <c r="N18" s="42">
        <v>2.4300000000000002</v>
      </c>
      <c r="O18" s="43">
        <v>625.59</v>
      </c>
      <c r="P18" s="44">
        <v>21772.58</v>
      </c>
      <c r="Q18" s="44">
        <v>21772.58</v>
      </c>
      <c r="R18" s="45">
        <v>0</v>
      </c>
      <c r="S18" s="46">
        <v>0</v>
      </c>
      <c r="T18" s="39">
        <f t="shared" si="0"/>
        <v>45</v>
      </c>
      <c r="U18" s="47">
        <f t="shared" si="1"/>
        <v>0.89337044556896816</v>
      </c>
      <c r="V18" s="48">
        <f t="shared" si="2"/>
        <v>0</v>
      </c>
      <c r="W18" s="49">
        <f t="shared" si="3"/>
        <v>1.9852676568199293E-2</v>
      </c>
      <c r="X18" s="44">
        <f t="shared" si="4"/>
        <v>2939.1585898535213</v>
      </c>
      <c r="Y18" s="44">
        <f t="shared" si="5"/>
        <v>0</v>
      </c>
      <c r="Z18" s="44">
        <f t="shared" si="6"/>
        <v>24898.87496388</v>
      </c>
      <c r="AA18" s="50">
        <f t="shared" si="7"/>
        <v>24711.738589853521</v>
      </c>
      <c r="AB18" s="51">
        <f t="shared" si="8"/>
        <v>23276.502724016078</v>
      </c>
      <c r="AC18" s="44">
        <f t="shared" si="8"/>
        <v>23101.559867115564</v>
      </c>
      <c r="AD18" s="44">
        <f t="shared" si="9"/>
        <v>0</v>
      </c>
      <c r="AE18" s="44">
        <f t="shared" si="17"/>
        <v>0</v>
      </c>
      <c r="AF18" s="52">
        <f>HLOOKUP(I18,GasAvoidedCostsWOCC!$A$5:$G$50,G18+1,FALSE)</f>
        <v>27.444232870165703</v>
      </c>
      <c r="AG18" s="44">
        <f t="shared" si="10"/>
        <v>17168.837641246962</v>
      </c>
      <c r="AH18" s="52">
        <f>HLOOKUP(I18,GasAvoidedCostsWOCC!$A$5:$Q$50,T18+1,FALSE)</f>
        <v>27.444232870165703</v>
      </c>
      <c r="AI18" s="44">
        <f t="shared" si="11"/>
        <v>0</v>
      </c>
      <c r="AJ18" s="44">
        <f t="shared" si="12"/>
        <v>17168.837641246962</v>
      </c>
      <c r="AK18" s="44">
        <f>HLOOKUP(I18,GasAvoidedCostsWOCC!$A$5:$Q$50,G18+1,FALSE)*J18*L18</f>
        <v>0</v>
      </c>
      <c r="AL18" s="44">
        <f t="shared" si="13"/>
        <v>17168.837641246962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17168.837641246962</v>
      </c>
      <c r="AN18" s="48">
        <f t="shared" si="14"/>
        <v>18885.72140537166</v>
      </c>
      <c r="AO18" s="47">
        <f t="shared" si="15"/>
        <v>0.73760383356614012</v>
      </c>
      <c r="AP18" s="47">
        <f t="shared" si="16"/>
        <v>0.81750849353921617</v>
      </c>
      <c r="AQ18">
        <v>2021</v>
      </c>
    </row>
    <row r="19" spans="1:43" ht="13.5" customHeight="1">
      <c r="A19" s="58" t="s">
        <v>231</v>
      </c>
      <c r="B19" s="97" t="s">
        <v>108</v>
      </c>
      <c r="C19" s="98">
        <v>18230661</v>
      </c>
      <c r="D19" s="61" t="s">
        <v>109</v>
      </c>
      <c r="E19" s="38" t="s">
        <v>1532</v>
      </c>
      <c r="F19" s="39" t="s">
        <v>1533</v>
      </c>
      <c r="G19" s="39">
        <v>45</v>
      </c>
      <c r="H19" s="39"/>
      <c r="I19" s="40" t="s">
        <v>269</v>
      </c>
      <c r="J19" s="41">
        <v>6394</v>
      </c>
      <c r="K19" s="41">
        <v>0.03</v>
      </c>
      <c r="L19" s="41"/>
      <c r="M19" s="42">
        <v>1.59</v>
      </c>
      <c r="N19" s="42">
        <v>1.59</v>
      </c>
      <c r="O19" s="43">
        <v>191.82</v>
      </c>
      <c r="P19" s="44">
        <v>13216.4</v>
      </c>
      <c r="Q19" s="44">
        <v>13216.4</v>
      </c>
      <c r="R19" s="45">
        <v>0</v>
      </c>
      <c r="S19" s="46">
        <v>0</v>
      </c>
      <c r="T19" s="39">
        <f t="shared" si="0"/>
        <v>45</v>
      </c>
      <c r="U19" s="47">
        <f t="shared" si="1"/>
        <v>0.27392752260912012</v>
      </c>
      <c r="V19" s="48">
        <f t="shared" si="2"/>
        <v>0</v>
      </c>
      <c r="W19" s="49">
        <f t="shared" si="3"/>
        <v>6.0872782802026699E-3</v>
      </c>
      <c r="X19" s="44">
        <f t="shared" si="4"/>
        <v>901.21229672101924</v>
      </c>
      <c r="Y19" s="44">
        <f t="shared" si="5"/>
        <v>0</v>
      </c>
      <c r="Z19" s="44">
        <f t="shared" si="6"/>
        <v>7634.5564915862806</v>
      </c>
      <c r="AA19" s="50">
        <f t="shared" si="7"/>
        <v>14117.612296721019</v>
      </c>
      <c r="AB19" s="51">
        <f t="shared" si="8"/>
        <v>7137.1005810846782</v>
      </c>
      <c r="AC19" s="44">
        <f t="shared" si="8"/>
        <v>13197.730482117433</v>
      </c>
      <c r="AD19" s="44">
        <f t="shared" si="9"/>
        <v>0</v>
      </c>
      <c r="AE19" s="44">
        <f t="shared" si="17"/>
        <v>0</v>
      </c>
      <c r="AF19" s="52">
        <f>HLOOKUP(I19,GasAvoidedCostsWOCC!$A$5:$G$50,G19+1,FALSE)</f>
        <v>27.444232870165703</v>
      </c>
      <c r="AG19" s="44">
        <f t="shared" si="10"/>
        <v>5264.3527491551849</v>
      </c>
      <c r="AH19" s="52">
        <f>HLOOKUP(I19,GasAvoidedCostsWOCC!$A$5:$Q$50,T19+1,FALSE)</f>
        <v>27.444232870165703</v>
      </c>
      <c r="AI19" s="44">
        <f t="shared" si="11"/>
        <v>0</v>
      </c>
      <c r="AJ19" s="44">
        <f t="shared" si="12"/>
        <v>5264.3527491551849</v>
      </c>
      <c r="AK19" s="44">
        <f>HLOOKUP(I19,GasAvoidedCostsWOCC!$A$5:$Q$50,G19+1,FALSE)*J19*L19</f>
        <v>0</v>
      </c>
      <c r="AL19" s="44">
        <f t="shared" si="13"/>
        <v>5264.3527491551849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5264.3527491551849</v>
      </c>
      <c r="AN19" s="48">
        <f t="shared" si="14"/>
        <v>5790.7880240707036</v>
      </c>
      <c r="AO19" s="47">
        <f t="shared" si="15"/>
        <v>0.73760383356614012</v>
      </c>
      <c r="AP19" s="47">
        <f t="shared" si="16"/>
        <v>0.43877150180609192</v>
      </c>
      <c r="AQ19">
        <v>2021</v>
      </c>
    </row>
    <row r="20" spans="1:43" ht="13.5" customHeight="1">
      <c r="A20" s="59">
        <f>A8+SUM(Q5:Q904)</f>
        <v>1365158.14</v>
      </c>
      <c r="B20" s="97" t="s">
        <v>108</v>
      </c>
      <c r="C20" s="98">
        <v>18230661</v>
      </c>
      <c r="D20" s="61" t="s">
        <v>109</v>
      </c>
      <c r="E20" s="38" t="s">
        <v>1594</v>
      </c>
      <c r="F20" s="39" t="s">
        <v>1595</v>
      </c>
      <c r="G20" s="39">
        <v>15</v>
      </c>
      <c r="H20" s="39"/>
      <c r="I20" s="40" t="s">
        <v>265</v>
      </c>
      <c r="J20" s="41">
        <v>7</v>
      </c>
      <c r="K20" s="41">
        <v>0.84</v>
      </c>
      <c r="L20" s="41"/>
      <c r="M20" s="42">
        <v>20</v>
      </c>
      <c r="N20" s="42">
        <v>20</v>
      </c>
      <c r="O20" s="43">
        <v>5.88</v>
      </c>
      <c r="P20" s="44">
        <v>182</v>
      </c>
      <c r="Q20" s="44">
        <v>182</v>
      </c>
      <c r="R20" s="45">
        <v>0</v>
      </c>
      <c r="S20" s="46">
        <v>0</v>
      </c>
      <c r="T20" s="39">
        <f t="shared" si="0"/>
        <v>15</v>
      </c>
      <c r="U20" s="47">
        <f t="shared" si="1"/>
        <v>2.7989674919918438E-3</v>
      </c>
      <c r="V20" s="48">
        <f t="shared" si="2"/>
        <v>0</v>
      </c>
      <c r="W20" s="49">
        <f t="shared" si="3"/>
        <v>1.8659783279945626E-4</v>
      </c>
      <c r="X20" s="44">
        <f t="shared" si="4"/>
        <v>27.625525517253639</v>
      </c>
      <c r="Y20" s="44">
        <f t="shared" si="5"/>
        <v>0</v>
      </c>
      <c r="Z20" s="44">
        <f t="shared" si="6"/>
        <v>234.02769351750251</v>
      </c>
      <c r="AA20" s="50">
        <f t="shared" si="7"/>
        <v>209.62552551725364</v>
      </c>
      <c r="AB20" s="51">
        <f t="shared" si="8"/>
        <v>218.77881043049686</v>
      </c>
      <c r="AC20" s="44">
        <f t="shared" si="8"/>
        <v>195.96665001145519</v>
      </c>
      <c r="AD20" s="44">
        <f t="shared" si="9"/>
        <v>0</v>
      </c>
      <c r="AE20" s="44">
        <f t="shared" si="17"/>
        <v>0</v>
      </c>
      <c r="AF20" s="52">
        <f>HLOOKUP(I20,GasAvoidedCostsWOCC!$A$5:$G$50,G20+1,FALSE)</f>
        <v>10.206458422347051</v>
      </c>
      <c r="AG20" s="44">
        <f t="shared" si="10"/>
        <v>60.013975523400653</v>
      </c>
      <c r="AH20" s="52">
        <f>HLOOKUP(I20,GasAvoidedCostsWOCC!$A$5:$Q$50,T20+1,FALSE)</f>
        <v>10.206458422347051</v>
      </c>
      <c r="AI20" s="44">
        <f t="shared" si="11"/>
        <v>0</v>
      </c>
      <c r="AJ20" s="44">
        <f t="shared" si="12"/>
        <v>60.013975523400653</v>
      </c>
      <c r="AK20" s="44">
        <f>HLOOKUP(I20,GasAvoidedCostsWOCC!$A$5:$Q$50,G20+1,FALSE)*J20*L20</f>
        <v>0</v>
      </c>
      <c r="AL20" s="44">
        <f t="shared" si="13"/>
        <v>60.013975523400653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60.01397552340066</v>
      </c>
      <c r="AN20" s="48">
        <f t="shared" si="14"/>
        <v>66.015373075740726</v>
      </c>
      <c r="AO20" s="47">
        <f t="shared" si="15"/>
        <v>0.27431347398456718</v>
      </c>
      <c r="AP20" s="47">
        <f t="shared" si="16"/>
        <v>0.33687044745563499</v>
      </c>
      <c r="AQ20">
        <v>2021</v>
      </c>
    </row>
    <row r="21" spans="1:43" ht="13.5" customHeight="1">
      <c r="A21" s="58" t="s">
        <v>245</v>
      </c>
      <c r="B21" s="97" t="s">
        <v>108</v>
      </c>
      <c r="C21" s="98">
        <v>18230661</v>
      </c>
      <c r="D21" s="61" t="s">
        <v>109</v>
      </c>
      <c r="E21" s="38" t="s">
        <v>1598</v>
      </c>
      <c r="F21" s="39" t="s">
        <v>1599</v>
      </c>
      <c r="G21" s="39">
        <v>15</v>
      </c>
      <c r="H21" s="39"/>
      <c r="I21" s="40" t="s">
        <v>265</v>
      </c>
      <c r="J21" s="41">
        <v>21</v>
      </c>
      <c r="K21" s="41">
        <v>0.84</v>
      </c>
      <c r="L21" s="41"/>
      <c r="M21" s="42">
        <v>20</v>
      </c>
      <c r="N21" s="42">
        <v>20</v>
      </c>
      <c r="O21" s="43">
        <v>17.64</v>
      </c>
      <c r="P21" s="44">
        <v>546</v>
      </c>
      <c r="Q21" s="44">
        <v>546</v>
      </c>
      <c r="R21" s="45">
        <v>0</v>
      </c>
      <c r="S21" s="46">
        <v>0</v>
      </c>
      <c r="T21" s="39">
        <f t="shared" si="0"/>
        <v>15</v>
      </c>
      <c r="U21" s="47">
        <f t="shared" si="1"/>
        <v>8.396902475975531E-3</v>
      </c>
      <c r="V21" s="48">
        <f t="shared" si="2"/>
        <v>0</v>
      </c>
      <c r="W21" s="49">
        <f t="shared" si="3"/>
        <v>5.5979349839836874E-4</v>
      </c>
      <c r="X21" s="44">
        <f t="shared" si="4"/>
        <v>82.87657655176092</v>
      </c>
      <c r="Y21" s="44">
        <f t="shared" si="5"/>
        <v>0</v>
      </c>
      <c r="Z21" s="44">
        <f t="shared" si="6"/>
        <v>702.08308055250745</v>
      </c>
      <c r="AA21" s="50">
        <f t="shared" si="7"/>
        <v>628.87657655176088</v>
      </c>
      <c r="AB21" s="51">
        <f t="shared" si="8"/>
        <v>656.3364312914905</v>
      </c>
      <c r="AC21" s="44">
        <f t="shared" si="8"/>
        <v>587.89995003436559</v>
      </c>
      <c r="AD21" s="44">
        <f t="shared" si="9"/>
        <v>0</v>
      </c>
      <c r="AE21" s="44">
        <f t="shared" si="17"/>
        <v>0</v>
      </c>
      <c r="AF21" s="52">
        <f>HLOOKUP(I21,GasAvoidedCostsWOCC!$A$5:$G$50,G21+1,FALSE)</f>
        <v>10.206458422347051</v>
      </c>
      <c r="AG21" s="44">
        <f t="shared" si="10"/>
        <v>180.04192657020198</v>
      </c>
      <c r="AH21" s="52">
        <f>HLOOKUP(I21,GasAvoidedCostsWOCC!$A$5:$Q$50,T21+1,FALSE)</f>
        <v>10.206458422347051</v>
      </c>
      <c r="AI21" s="44">
        <f t="shared" si="11"/>
        <v>0</v>
      </c>
      <c r="AJ21" s="44">
        <f t="shared" si="12"/>
        <v>180.04192657020198</v>
      </c>
      <c r="AK21" s="44">
        <f>HLOOKUP(I21,GasAvoidedCostsWOCC!$A$5:$Q$50,G21+1,FALSE)*J21*L21</f>
        <v>0</v>
      </c>
      <c r="AL21" s="44">
        <f t="shared" si="13"/>
        <v>180.04192657020198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180.04192657020198</v>
      </c>
      <c r="AN21" s="48">
        <f t="shared" si="14"/>
        <v>198.04611922722219</v>
      </c>
      <c r="AO21" s="47">
        <f t="shared" si="15"/>
        <v>0.27431347398456724</v>
      </c>
      <c r="AP21" s="47">
        <f t="shared" si="16"/>
        <v>0.33687044745563499</v>
      </c>
      <c r="AQ21">
        <v>2021</v>
      </c>
    </row>
    <row r="22" spans="1:43" ht="13.5" customHeight="1">
      <c r="A22" s="60">
        <f>(SUM(AM6:AM998)/(SUM(AB6:AB998)))</f>
        <v>0.44575034811003178</v>
      </c>
      <c r="B22" s="97" t="s">
        <v>108</v>
      </c>
      <c r="C22" s="98">
        <v>18230661</v>
      </c>
      <c r="D22" s="61" t="s">
        <v>109</v>
      </c>
      <c r="E22" s="38" t="s">
        <v>1614</v>
      </c>
      <c r="F22" s="39" t="s">
        <v>1615</v>
      </c>
      <c r="G22" s="39">
        <v>45</v>
      </c>
      <c r="H22" s="39"/>
      <c r="I22" s="40" t="s">
        <v>269</v>
      </c>
      <c r="J22" s="41">
        <v>210</v>
      </c>
      <c r="K22" s="41">
        <v>0.09</v>
      </c>
      <c r="L22" s="41"/>
      <c r="M22" s="42">
        <v>2.4300000000000002</v>
      </c>
      <c r="N22" s="42">
        <v>2.4300000000000002</v>
      </c>
      <c r="O22" s="43">
        <v>18.899999999999999</v>
      </c>
      <c r="P22" s="44">
        <v>663.39</v>
      </c>
      <c r="Q22" s="44">
        <v>663.39</v>
      </c>
      <c r="R22" s="45">
        <v>0</v>
      </c>
      <c r="S22" s="46">
        <v>0</v>
      </c>
      <c r="T22" s="39">
        <f t="shared" ref="T22:T85" si="18">G22+H22</f>
        <v>45</v>
      </c>
      <c r="U22" s="47">
        <f t="shared" ref="U22:U85" si="19">(O22/$A$10)*T22</f>
        <v>2.6990043672778491E-2</v>
      </c>
      <c r="V22" s="48">
        <f t="shared" ref="V22:V85" si="20">N22-M22</f>
        <v>0</v>
      </c>
      <c r="W22" s="49">
        <f t="shared" ref="W22:W85" si="21">(O22/A$10)</f>
        <v>5.997787482839665E-4</v>
      </c>
      <c r="X22" s="44">
        <f t="shared" ref="X22:X85" si="22">W22*A$8</f>
        <v>88.796332019743843</v>
      </c>
      <c r="Y22" s="44">
        <f t="shared" ref="Y22:Y85" si="23">Q22-P22</f>
        <v>0</v>
      </c>
      <c r="Z22" s="44">
        <f t="shared" ref="Z22:Z85" si="24">X22+(A$6*W22)</f>
        <v>752.23187202054373</v>
      </c>
      <c r="AA22" s="50">
        <f t="shared" ref="AA22:AA85" si="25">Q22+X22</f>
        <v>752.18633201974387</v>
      </c>
      <c r="AB22" s="51">
        <f t="shared" ref="AB22:AB85" si="26">Z22/(1+GasDiscountRate)^1</f>
        <v>703.21760495516844</v>
      </c>
      <c r="AC22" s="44">
        <f t="shared" ref="AC22:AC85" si="27">AA22/(1+GasDiscountRate)^1</f>
        <v>703.17503227049065</v>
      </c>
      <c r="AD22" s="44">
        <f t="shared" ref="AD22:AD85" si="28">-PV(GasDiscountRate,T22,R22)*J22</f>
        <v>0</v>
      </c>
      <c r="AE22" s="44">
        <f t="shared" ref="AE22:AE85" si="29">-PV(GasDiscountRate,T22,S22)*J22</f>
        <v>0</v>
      </c>
      <c r="AF22" s="52">
        <f>HLOOKUP(I22,GasAvoidedCostsWOCC!$A$5:$G$50,G22+1,FALSE)</f>
        <v>27.444232870165703</v>
      </c>
      <c r="AG22" s="44">
        <f t="shared" ref="AG22:AG85" si="30">AF22*J22*K22</f>
        <v>518.6960012461318</v>
      </c>
      <c r="AH22" s="52">
        <f>HLOOKUP(I22,GasAvoidedCostsWOCC!$A$5:$Q$50,T22+1,FALSE)</f>
        <v>27.444232870165703</v>
      </c>
      <c r="AI22" s="44">
        <f t="shared" ref="AI22:AI85" si="31">AH22*J22*L22</f>
        <v>0</v>
      </c>
      <c r="AJ22" s="44">
        <f t="shared" ref="AJ22:AJ85" si="32">AG22+AI22</f>
        <v>518.6960012461318</v>
      </c>
      <c r="AK22" s="44">
        <f>HLOOKUP(I22,GasAvoidedCostsWOCC!$A$5:$Q$50,G22+1,FALSE)*J22*L22</f>
        <v>0</v>
      </c>
      <c r="AL22" s="44">
        <f t="shared" ref="AL22:AL85" si="33">AG22+AI22-AK22</f>
        <v>518.6960012461318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518.6960012461318</v>
      </c>
      <c r="AN22" s="48">
        <f t="shared" ref="AN22:AN85" si="34">AM22*1.1+AD22+AE22</f>
        <v>570.56560137074507</v>
      </c>
      <c r="AO22" s="47">
        <f t="shared" ref="AO22:AO85" si="35">IFERROR(AM22/AB22,0)</f>
        <v>0.73760383356614023</v>
      </c>
      <c r="AP22" s="47">
        <f t="shared" ref="AP22:AP85" si="36">AN22/AC22</f>
        <v>0.81141333976042729</v>
      </c>
      <c r="AQ22">
        <v>2021</v>
      </c>
    </row>
    <row r="23" spans="1:43" ht="13.5" customHeight="1">
      <c r="A23" s="58" t="s">
        <v>246</v>
      </c>
      <c r="B23" s="97" t="s">
        <v>108</v>
      </c>
      <c r="C23" s="98">
        <v>18230661</v>
      </c>
      <c r="D23" s="61" t="s">
        <v>109</v>
      </c>
      <c r="E23" s="38" t="s">
        <v>1618</v>
      </c>
      <c r="F23" s="39" t="s">
        <v>1619</v>
      </c>
      <c r="G23" s="39">
        <v>45</v>
      </c>
      <c r="H23" s="39"/>
      <c r="I23" s="40" t="s">
        <v>269</v>
      </c>
      <c r="J23" s="41">
        <v>18788</v>
      </c>
      <c r="K23" s="41">
        <v>0.03</v>
      </c>
      <c r="L23" s="41"/>
      <c r="M23" s="42">
        <v>1.82</v>
      </c>
      <c r="N23" s="42">
        <v>1.82</v>
      </c>
      <c r="O23" s="43">
        <v>563.64</v>
      </c>
      <c r="P23" s="44">
        <v>42718.16</v>
      </c>
      <c r="Q23" s="44">
        <v>42718.16</v>
      </c>
      <c r="R23" s="45">
        <v>0</v>
      </c>
      <c r="S23" s="46">
        <v>0</v>
      </c>
      <c r="T23" s="39">
        <f t="shared" si="18"/>
        <v>45</v>
      </c>
      <c r="U23" s="47">
        <f t="shared" si="19"/>
        <v>0.80490308019708312</v>
      </c>
      <c r="V23" s="48">
        <f t="shared" si="20"/>
        <v>0</v>
      </c>
      <c r="W23" s="49">
        <f t="shared" si="21"/>
        <v>1.7886735115490736E-2</v>
      </c>
      <c r="X23" s="44">
        <f t="shared" si="22"/>
        <v>2648.1039460110273</v>
      </c>
      <c r="Y23" s="44">
        <f t="shared" si="23"/>
        <v>0</v>
      </c>
      <c r="Z23" s="44">
        <f t="shared" si="24"/>
        <v>22433.226050034882</v>
      </c>
      <c r="AA23" s="50">
        <f t="shared" si="25"/>
        <v>45366.263946011029</v>
      </c>
      <c r="AB23" s="51">
        <f t="shared" si="26"/>
        <v>20971.511685551912</v>
      </c>
      <c r="AC23" s="44">
        <f t="shared" si="27"/>
        <v>42410.268249052097</v>
      </c>
      <c r="AD23" s="44">
        <f t="shared" si="28"/>
        <v>0</v>
      </c>
      <c r="AE23" s="44">
        <f t="shared" si="29"/>
        <v>0</v>
      </c>
      <c r="AF23" s="52">
        <f>HLOOKUP(I23,GasAvoidedCostsWOCC!$A$5:$G$50,G23+1,FALSE)</f>
        <v>27.444232870165703</v>
      </c>
      <c r="AG23" s="44">
        <f t="shared" si="30"/>
        <v>15468.667414940197</v>
      </c>
      <c r="AH23" s="52">
        <f>HLOOKUP(I23,GasAvoidedCostsWOCC!$A$5:$Q$50,T23+1,FALSE)</f>
        <v>27.444232870165703</v>
      </c>
      <c r="AI23" s="44">
        <f t="shared" si="31"/>
        <v>0</v>
      </c>
      <c r="AJ23" s="44">
        <f t="shared" si="32"/>
        <v>15468.667414940197</v>
      </c>
      <c r="AK23" s="44">
        <f>HLOOKUP(I23,GasAvoidedCostsWOCC!$A$5:$Q$50,G23+1,FALSE)*J23*L23</f>
        <v>0</v>
      </c>
      <c r="AL23" s="44">
        <f t="shared" si="33"/>
        <v>15468.667414940197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15468.667414940195</v>
      </c>
      <c r="AN23" s="48">
        <f t="shared" si="34"/>
        <v>17015.534156434216</v>
      </c>
      <c r="AO23" s="47">
        <f t="shared" si="35"/>
        <v>0.73760383356614012</v>
      </c>
      <c r="AP23" s="47">
        <f t="shared" si="36"/>
        <v>0.40121260390317215</v>
      </c>
      <c r="AQ23">
        <v>2021</v>
      </c>
    </row>
    <row r="24" spans="1:43" ht="13.5" customHeight="1">
      <c r="A24" s="60">
        <f>(SUM(AN6:AN998)/SUM(AC6:AC998))</f>
        <v>0.4536692233794436</v>
      </c>
      <c r="B24" s="97" t="s">
        <v>108</v>
      </c>
      <c r="C24" s="98">
        <v>18230661</v>
      </c>
      <c r="D24" s="61" t="s">
        <v>109</v>
      </c>
      <c r="E24" s="38" t="s">
        <v>1632</v>
      </c>
      <c r="F24" s="39" t="s">
        <v>1633</v>
      </c>
      <c r="G24" s="39"/>
      <c r="H24" s="39"/>
      <c r="I24" s="40"/>
      <c r="J24" s="41">
        <v>6</v>
      </c>
      <c r="K24" s="41"/>
      <c r="L24" s="41"/>
      <c r="M24" s="42">
        <v>281.8533333333333</v>
      </c>
      <c r="N24" s="42">
        <v>281.8533333333333</v>
      </c>
      <c r="O24" s="43">
        <v>0</v>
      </c>
      <c r="P24" s="44">
        <v>1691.12</v>
      </c>
      <c r="Q24" s="44">
        <v>1691.12</v>
      </c>
      <c r="R24" s="45"/>
      <c r="S24" s="46"/>
      <c r="T24" s="39">
        <f t="shared" si="18"/>
        <v>0</v>
      </c>
      <c r="U24" s="47">
        <f t="shared" si="19"/>
        <v>0</v>
      </c>
      <c r="V24" s="48">
        <f t="shared" si="20"/>
        <v>0</v>
      </c>
      <c r="W24" s="49">
        <f t="shared" si="21"/>
        <v>0</v>
      </c>
      <c r="X24" s="44">
        <f t="shared" si="22"/>
        <v>0</v>
      </c>
      <c r="Y24" s="44">
        <f t="shared" si="23"/>
        <v>0</v>
      </c>
      <c r="Z24" s="44">
        <f t="shared" si="24"/>
        <v>0</v>
      </c>
      <c r="AA24" s="50">
        <f t="shared" si="25"/>
        <v>1691.12</v>
      </c>
      <c r="AB24" s="51">
        <f t="shared" si="26"/>
        <v>0</v>
      </c>
      <c r="AC24" s="44">
        <f t="shared" si="27"/>
        <v>1580.9292324950918</v>
      </c>
      <c r="AD24" s="44">
        <f t="shared" si="28"/>
        <v>0</v>
      </c>
      <c r="AE24" s="44">
        <f t="shared" si="29"/>
        <v>0</v>
      </c>
      <c r="AF24" s="52" t="e">
        <f>HLOOKUP(I24,GasAvoidedCostsWOCC!$A$5:$G$50,G24+1,FALSE)</f>
        <v>#N/A</v>
      </c>
      <c r="AG24" s="44" t="e">
        <f t="shared" si="30"/>
        <v>#N/A</v>
      </c>
      <c r="AH24" s="52" t="e">
        <f>HLOOKUP(I24,GasAvoidedCostsWOCC!$A$5:$Q$50,T24+1,FALSE)</f>
        <v>#N/A</v>
      </c>
      <c r="AI24" s="44" t="e">
        <f t="shared" si="31"/>
        <v>#N/A</v>
      </c>
      <c r="AJ24" s="44" t="e">
        <f t="shared" si="32"/>
        <v>#N/A</v>
      </c>
      <c r="AK24" s="44" t="e">
        <f>HLOOKUP(I24,GasAvoidedCostsWOCC!$A$5:$Q$50,G24+1,FALSE)*J24*L24</f>
        <v>#N/A</v>
      </c>
      <c r="AL24" s="44" t="e">
        <f t="shared" si="3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34"/>
        <v>0</v>
      </c>
      <c r="AO24" s="47">
        <f t="shared" si="35"/>
        <v>0</v>
      </c>
      <c r="AP24" s="47">
        <f t="shared" si="36"/>
        <v>0</v>
      </c>
      <c r="AQ24">
        <v>2021</v>
      </c>
    </row>
    <row r="25" spans="1:43" ht="13.5" customHeight="1">
      <c r="B25" s="97" t="s">
        <v>108</v>
      </c>
      <c r="C25" s="98">
        <v>18230661</v>
      </c>
      <c r="D25" s="61" t="s">
        <v>109</v>
      </c>
      <c r="E25" s="38" t="s">
        <v>1636</v>
      </c>
      <c r="F25" s="39" t="s">
        <v>1637</v>
      </c>
      <c r="G25" s="39"/>
      <c r="H25" s="39"/>
      <c r="I25" s="40"/>
      <c r="J25" s="41">
        <v>5</v>
      </c>
      <c r="K25" s="41">
        <v>0</v>
      </c>
      <c r="L25" s="41"/>
      <c r="M25" s="42">
        <v>0</v>
      </c>
      <c r="N25" s="42">
        <v>0</v>
      </c>
      <c r="O25" s="43">
        <v>0</v>
      </c>
      <c r="P25" s="44">
        <v>1099.48</v>
      </c>
      <c r="Q25" s="44">
        <v>1099.48</v>
      </c>
      <c r="R25" s="45"/>
      <c r="S25" s="46"/>
      <c r="T25" s="39">
        <f t="shared" si="18"/>
        <v>0</v>
      </c>
      <c r="U25" s="47">
        <f t="shared" si="19"/>
        <v>0</v>
      </c>
      <c r="V25" s="48">
        <f t="shared" si="20"/>
        <v>0</v>
      </c>
      <c r="W25" s="49">
        <f t="shared" si="21"/>
        <v>0</v>
      </c>
      <c r="X25" s="44">
        <f t="shared" si="22"/>
        <v>0</v>
      </c>
      <c r="Y25" s="44">
        <f t="shared" si="23"/>
        <v>0</v>
      </c>
      <c r="Z25" s="44">
        <f t="shared" si="24"/>
        <v>0</v>
      </c>
      <c r="AA25" s="50">
        <f t="shared" si="25"/>
        <v>1099.48</v>
      </c>
      <c r="AB25" s="51">
        <f t="shared" si="26"/>
        <v>0</v>
      </c>
      <c r="AC25" s="44">
        <f t="shared" si="27"/>
        <v>1027.8395811909882</v>
      </c>
      <c r="AD25" s="44">
        <f t="shared" si="28"/>
        <v>0</v>
      </c>
      <c r="AE25" s="44">
        <f t="shared" si="29"/>
        <v>0</v>
      </c>
      <c r="AF25" s="52" t="e">
        <f>HLOOKUP(I25,GasAvoidedCostsWOCC!$A$5:$G$50,G25+1,FALSE)</f>
        <v>#N/A</v>
      </c>
      <c r="AG25" s="44" t="e">
        <f t="shared" si="30"/>
        <v>#N/A</v>
      </c>
      <c r="AH25" s="52" t="e">
        <f>HLOOKUP(I25,GasAvoidedCostsWOCC!$A$5:$Q$50,T25+1,FALSE)</f>
        <v>#N/A</v>
      </c>
      <c r="AI25" s="44" t="e">
        <f t="shared" si="31"/>
        <v>#N/A</v>
      </c>
      <c r="AJ25" s="44" t="e">
        <f t="shared" si="32"/>
        <v>#N/A</v>
      </c>
      <c r="AK25" s="44" t="e">
        <f>HLOOKUP(I25,GasAvoidedCostsWOCC!$A$5:$Q$50,G25+1,FALSE)*J25*L25</f>
        <v>#N/A</v>
      </c>
      <c r="AL25" s="44" t="e">
        <f t="shared" si="3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34"/>
        <v>0</v>
      </c>
      <c r="AO25" s="47">
        <f t="shared" si="35"/>
        <v>0</v>
      </c>
      <c r="AP25" s="47">
        <f t="shared" si="36"/>
        <v>0</v>
      </c>
      <c r="AQ25">
        <v>2021</v>
      </c>
    </row>
    <row r="26" spans="1:43" ht="13.5" customHeight="1">
      <c r="B26" s="97" t="s">
        <v>108</v>
      </c>
      <c r="C26" s="98">
        <v>18230661</v>
      </c>
      <c r="D26" s="61" t="s">
        <v>109</v>
      </c>
      <c r="E26" s="38" t="s">
        <v>1638</v>
      </c>
      <c r="F26" s="39" t="s">
        <v>1639</v>
      </c>
      <c r="G26" s="39"/>
      <c r="H26" s="39"/>
      <c r="I26" s="40"/>
      <c r="J26" s="41">
        <v>4</v>
      </c>
      <c r="K26" s="41">
        <v>0</v>
      </c>
      <c r="L26" s="41"/>
      <c r="M26" s="42">
        <v>0</v>
      </c>
      <c r="N26" s="42">
        <v>0</v>
      </c>
      <c r="O26" s="43">
        <v>0</v>
      </c>
      <c r="P26" s="44">
        <v>2153.81</v>
      </c>
      <c r="Q26" s="44">
        <v>2153.81</v>
      </c>
      <c r="R26" s="45"/>
      <c r="S26" s="46"/>
      <c r="T26" s="39">
        <f t="shared" si="18"/>
        <v>0</v>
      </c>
      <c r="U26" s="47">
        <f t="shared" si="19"/>
        <v>0</v>
      </c>
      <c r="V26" s="48">
        <f t="shared" si="20"/>
        <v>0</v>
      </c>
      <c r="W26" s="49">
        <f t="shared" si="21"/>
        <v>0</v>
      </c>
      <c r="X26" s="44">
        <f t="shared" si="22"/>
        <v>0</v>
      </c>
      <c r="Y26" s="44">
        <f t="shared" si="23"/>
        <v>0</v>
      </c>
      <c r="Z26" s="44">
        <f t="shared" si="24"/>
        <v>0</v>
      </c>
      <c r="AA26" s="50">
        <f t="shared" si="25"/>
        <v>2153.81</v>
      </c>
      <c r="AB26" s="51">
        <f t="shared" si="26"/>
        <v>0</v>
      </c>
      <c r="AC26" s="44">
        <f t="shared" si="27"/>
        <v>2013.4710666542019</v>
      </c>
      <c r="AD26" s="44">
        <f t="shared" si="28"/>
        <v>0</v>
      </c>
      <c r="AE26" s="44">
        <f t="shared" si="29"/>
        <v>0</v>
      </c>
      <c r="AF26" s="52" t="e">
        <f>HLOOKUP(I26,GasAvoidedCostsWOCC!$A$5:$G$50,G26+1,FALSE)</f>
        <v>#N/A</v>
      </c>
      <c r="AG26" s="44" t="e">
        <f t="shared" si="30"/>
        <v>#N/A</v>
      </c>
      <c r="AH26" s="52" t="e">
        <f>HLOOKUP(I26,GasAvoidedCostsWOCC!$A$5:$Q$50,T26+1,FALSE)</f>
        <v>#N/A</v>
      </c>
      <c r="AI26" s="44" t="e">
        <f t="shared" si="31"/>
        <v>#N/A</v>
      </c>
      <c r="AJ26" s="44" t="e">
        <f t="shared" si="32"/>
        <v>#N/A</v>
      </c>
      <c r="AK26" s="44" t="e">
        <f>HLOOKUP(I26,GasAvoidedCostsWOCC!$A$5:$Q$50,G26+1,FALSE)*J26*L26</f>
        <v>#N/A</v>
      </c>
      <c r="AL26" s="44" t="e">
        <f t="shared" si="3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4"/>
        <v>0</v>
      </c>
      <c r="AO26" s="47">
        <f t="shared" si="35"/>
        <v>0</v>
      </c>
      <c r="AP26" s="47">
        <f t="shared" si="36"/>
        <v>0</v>
      </c>
      <c r="AQ26">
        <v>2021</v>
      </c>
    </row>
    <row r="27" spans="1:43" ht="13.5" customHeight="1">
      <c r="B27" s="97" t="s">
        <v>108</v>
      </c>
      <c r="C27" s="98">
        <v>18230661</v>
      </c>
      <c r="D27" s="61" t="s">
        <v>109</v>
      </c>
      <c r="E27" s="38" t="s">
        <v>1642</v>
      </c>
      <c r="F27" s="39" t="s">
        <v>1643</v>
      </c>
      <c r="G27" s="39"/>
      <c r="H27" s="39"/>
      <c r="I27" s="40"/>
      <c r="J27" s="41">
        <v>1</v>
      </c>
      <c r="K27" s="41">
        <v>0</v>
      </c>
      <c r="L27" s="41"/>
      <c r="M27" s="42">
        <v>0</v>
      </c>
      <c r="N27" s="42">
        <v>0</v>
      </c>
      <c r="O27" s="43">
        <v>0</v>
      </c>
      <c r="P27" s="44">
        <v>203.2</v>
      </c>
      <c r="Q27" s="44">
        <v>203.2</v>
      </c>
      <c r="R27" s="45"/>
      <c r="S27" s="46"/>
      <c r="T27" s="39">
        <f t="shared" si="18"/>
        <v>0</v>
      </c>
      <c r="U27" s="47">
        <f t="shared" si="19"/>
        <v>0</v>
      </c>
      <c r="V27" s="48">
        <f t="shared" si="20"/>
        <v>0</v>
      </c>
      <c r="W27" s="49">
        <f t="shared" si="21"/>
        <v>0</v>
      </c>
      <c r="X27" s="44">
        <f t="shared" si="22"/>
        <v>0</v>
      </c>
      <c r="Y27" s="44">
        <f t="shared" si="23"/>
        <v>0</v>
      </c>
      <c r="Z27" s="44">
        <f t="shared" si="24"/>
        <v>0</v>
      </c>
      <c r="AA27" s="50">
        <f t="shared" si="25"/>
        <v>203.2</v>
      </c>
      <c r="AB27" s="51">
        <f t="shared" si="26"/>
        <v>0</v>
      </c>
      <c r="AC27" s="44">
        <f t="shared" si="27"/>
        <v>189.95980181359258</v>
      </c>
      <c r="AD27" s="44">
        <f t="shared" si="28"/>
        <v>0</v>
      </c>
      <c r="AE27" s="44">
        <f t="shared" si="29"/>
        <v>0</v>
      </c>
      <c r="AF27" s="52" t="e">
        <f>HLOOKUP(I27,GasAvoidedCostsWOCC!$A$5:$G$50,G27+1,FALSE)</f>
        <v>#N/A</v>
      </c>
      <c r="AG27" s="44" t="e">
        <f t="shared" si="30"/>
        <v>#N/A</v>
      </c>
      <c r="AH27" s="52" t="e">
        <f>HLOOKUP(I27,GasAvoidedCostsWOCC!$A$5:$Q$50,T27+1,FALSE)</f>
        <v>#N/A</v>
      </c>
      <c r="AI27" s="44" t="e">
        <f t="shared" si="31"/>
        <v>#N/A</v>
      </c>
      <c r="AJ27" s="44" t="e">
        <f t="shared" si="32"/>
        <v>#N/A</v>
      </c>
      <c r="AK27" s="44" t="e">
        <f>HLOOKUP(I27,GasAvoidedCostsWOCC!$A$5:$Q$50,G27+1,FALSE)*J27*L27</f>
        <v>#N/A</v>
      </c>
      <c r="AL27" s="44" t="e">
        <f t="shared" si="3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4"/>
        <v>0</v>
      </c>
      <c r="AO27" s="47">
        <f t="shared" si="35"/>
        <v>0</v>
      </c>
      <c r="AP27" s="47">
        <f t="shared" si="36"/>
        <v>0</v>
      </c>
      <c r="AQ27">
        <v>2021</v>
      </c>
    </row>
    <row r="28" spans="1:43" ht="13.5" customHeight="1">
      <c r="B28" s="97" t="s">
        <v>108</v>
      </c>
      <c r="C28" s="98">
        <v>18230661</v>
      </c>
      <c r="D28" s="61" t="s">
        <v>109</v>
      </c>
      <c r="E28" s="38" t="s">
        <v>1644</v>
      </c>
      <c r="F28" s="39" t="s">
        <v>1645</v>
      </c>
      <c r="G28" s="39"/>
      <c r="H28" s="39"/>
      <c r="I28" s="40"/>
      <c r="J28" s="41">
        <v>3</v>
      </c>
      <c r="K28" s="41">
        <v>0</v>
      </c>
      <c r="L28" s="41"/>
      <c r="M28" s="42">
        <v>0</v>
      </c>
      <c r="N28" s="42">
        <v>0</v>
      </c>
      <c r="O28" s="43">
        <v>0</v>
      </c>
      <c r="P28" s="44">
        <v>534.85</v>
      </c>
      <c r="Q28" s="44">
        <v>534.85</v>
      </c>
      <c r="R28" s="45">
        <v>0</v>
      </c>
      <c r="S28" s="46">
        <v>0</v>
      </c>
      <c r="T28" s="39">
        <f t="shared" si="18"/>
        <v>0</v>
      </c>
      <c r="U28" s="47">
        <f t="shared" si="19"/>
        <v>0</v>
      </c>
      <c r="V28" s="48">
        <f t="shared" si="20"/>
        <v>0</v>
      </c>
      <c r="W28" s="49">
        <f t="shared" si="21"/>
        <v>0</v>
      </c>
      <c r="X28" s="44">
        <f t="shared" si="22"/>
        <v>0</v>
      </c>
      <c r="Y28" s="44">
        <f t="shared" si="23"/>
        <v>0</v>
      </c>
      <c r="Z28" s="44">
        <f t="shared" si="24"/>
        <v>0</v>
      </c>
      <c r="AA28" s="50">
        <f t="shared" si="25"/>
        <v>534.85</v>
      </c>
      <c r="AB28" s="51">
        <f t="shared" si="26"/>
        <v>0</v>
      </c>
      <c r="AC28" s="44">
        <f t="shared" si="27"/>
        <v>500</v>
      </c>
      <c r="AD28" s="44">
        <f t="shared" si="28"/>
        <v>0</v>
      </c>
      <c r="AE28" s="44">
        <f t="shared" si="29"/>
        <v>0</v>
      </c>
      <c r="AF28" s="52" t="e">
        <f>HLOOKUP(I28,GasAvoidedCostsWOCC!$A$5:$G$50,G28+1,FALSE)</f>
        <v>#N/A</v>
      </c>
      <c r="AG28" s="44" t="e">
        <f t="shared" si="30"/>
        <v>#N/A</v>
      </c>
      <c r="AH28" s="52" t="e">
        <f>HLOOKUP(I28,GasAvoidedCostsWOCC!$A$5:$Q$50,T28+1,FALSE)</f>
        <v>#N/A</v>
      </c>
      <c r="AI28" s="44" t="e">
        <f t="shared" si="31"/>
        <v>#N/A</v>
      </c>
      <c r="AJ28" s="44" t="e">
        <f t="shared" si="32"/>
        <v>#N/A</v>
      </c>
      <c r="AK28" s="44" t="e">
        <f>HLOOKUP(I28,GasAvoidedCostsWOCC!$A$5:$Q$50,G28+1,FALSE)*J28*L28</f>
        <v>#N/A</v>
      </c>
      <c r="AL28" s="44" t="e">
        <f t="shared" si="3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4"/>
        <v>0</v>
      </c>
      <c r="AO28" s="47">
        <f t="shared" si="35"/>
        <v>0</v>
      </c>
      <c r="AP28" s="47">
        <f t="shared" si="36"/>
        <v>0</v>
      </c>
      <c r="AQ28">
        <v>2021</v>
      </c>
    </row>
    <row r="29" spans="1:43">
      <c r="B29" s="97" t="s">
        <v>108</v>
      </c>
      <c r="C29" s="98">
        <v>18230661</v>
      </c>
      <c r="D29" s="61" t="s">
        <v>109</v>
      </c>
      <c r="E29" s="38" t="s">
        <v>1646</v>
      </c>
      <c r="F29" s="39" t="s">
        <v>1647</v>
      </c>
      <c r="G29" s="39"/>
      <c r="H29" s="39"/>
      <c r="I29" s="40"/>
      <c r="J29" s="41">
        <v>6</v>
      </c>
      <c r="K29" s="41">
        <v>0</v>
      </c>
      <c r="L29" s="41">
        <v>0</v>
      </c>
      <c r="M29" s="42">
        <v>0</v>
      </c>
      <c r="N29" s="42">
        <v>0</v>
      </c>
      <c r="O29" s="43">
        <v>0</v>
      </c>
      <c r="P29" s="44">
        <v>771.34</v>
      </c>
      <c r="Q29" s="44">
        <v>771.34</v>
      </c>
      <c r="R29" s="45"/>
      <c r="S29" s="46"/>
      <c r="T29" s="39">
        <f t="shared" si="18"/>
        <v>0</v>
      </c>
      <c r="U29" s="47">
        <f t="shared" si="19"/>
        <v>0</v>
      </c>
      <c r="V29" s="48">
        <f t="shared" si="20"/>
        <v>0</v>
      </c>
      <c r="W29" s="49">
        <f t="shared" si="21"/>
        <v>0</v>
      </c>
      <c r="X29" s="44">
        <f t="shared" si="22"/>
        <v>0</v>
      </c>
      <c r="Y29" s="44">
        <f t="shared" si="23"/>
        <v>0</v>
      </c>
      <c r="Z29" s="44">
        <f t="shared" si="24"/>
        <v>0</v>
      </c>
      <c r="AA29" s="50">
        <f t="shared" si="25"/>
        <v>771.34</v>
      </c>
      <c r="AB29" s="51">
        <f t="shared" si="26"/>
        <v>0</v>
      </c>
      <c r="AC29" s="44">
        <f t="shared" si="27"/>
        <v>721.08067682527803</v>
      </c>
      <c r="AD29" s="44">
        <f t="shared" si="28"/>
        <v>0</v>
      </c>
      <c r="AE29" s="44">
        <f t="shared" si="29"/>
        <v>0</v>
      </c>
      <c r="AF29" s="52" t="e">
        <f>HLOOKUP(I29,GasAvoidedCostsWOCC!$A$5:$G$50,G29+1,FALSE)</f>
        <v>#N/A</v>
      </c>
      <c r="AG29" s="44" t="e">
        <f t="shared" si="30"/>
        <v>#N/A</v>
      </c>
      <c r="AH29" s="52" t="e">
        <f>HLOOKUP(I29,GasAvoidedCostsWOCC!$A$5:$Q$50,T29+1,FALSE)</f>
        <v>#N/A</v>
      </c>
      <c r="AI29" s="44" t="e">
        <f t="shared" si="31"/>
        <v>#N/A</v>
      </c>
      <c r="AJ29" s="44" t="e">
        <f t="shared" si="32"/>
        <v>#N/A</v>
      </c>
      <c r="AK29" s="44" t="e">
        <f>HLOOKUP(I29,GasAvoidedCostsWOCC!$A$5:$Q$50,G29+1,FALSE)*J29*L29</f>
        <v>#N/A</v>
      </c>
      <c r="AL29" s="44" t="e">
        <f t="shared" si="3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4"/>
        <v>0</v>
      </c>
      <c r="AO29" s="47">
        <f t="shared" si="35"/>
        <v>0</v>
      </c>
      <c r="AP29" s="47">
        <f t="shared" si="36"/>
        <v>0</v>
      </c>
      <c r="AQ29">
        <v>2021</v>
      </c>
    </row>
    <row r="30" spans="1:43">
      <c r="B30" s="97" t="s">
        <v>108</v>
      </c>
      <c r="C30" s="98">
        <v>18230661</v>
      </c>
      <c r="D30" s="61" t="s">
        <v>109</v>
      </c>
      <c r="E30" s="38" t="s">
        <v>1648</v>
      </c>
      <c r="F30" s="39" t="s">
        <v>1649</v>
      </c>
      <c r="G30" s="39"/>
      <c r="H30" s="39"/>
      <c r="I30" s="40"/>
      <c r="J30" s="41">
        <v>3</v>
      </c>
      <c r="K30" s="41">
        <v>0</v>
      </c>
      <c r="L30" s="41"/>
      <c r="M30" s="42">
        <v>0</v>
      </c>
      <c r="N30" s="42">
        <v>0</v>
      </c>
      <c r="O30" s="43">
        <v>0</v>
      </c>
      <c r="P30" s="44">
        <v>1754.99</v>
      </c>
      <c r="Q30" s="44">
        <v>1754.99</v>
      </c>
      <c r="R30" s="45"/>
      <c r="S30" s="46"/>
      <c r="T30" s="39">
        <f t="shared" si="18"/>
        <v>0</v>
      </c>
      <c r="U30" s="47">
        <f t="shared" si="19"/>
        <v>0</v>
      </c>
      <c r="V30" s="48">
        <f t="shared" si="20"/>
        <v>0</v>
      </c>
      <c r="W30" s="49">
        <f t="shared" si="21"/>
        <v>0</v>
      </c>
      <c r="X30" s="44">
        <f t="shared" si="22"/>
        <v>0</v>
      </c>
      <c r="Y30" s="44">
        <f t="shared" si="23"/>
        <v>0</v>
      </c>
      <c r="Z30" s="44">
        <f t="shared" si="24"/>
        <v>0</v>
      </c>
      <c r="AA30" s="50">
        <f t="shared" si="25"/>
        <v>1754.99</v>
      </c>
      <c r="AB30" s="51">
        <f t="shared" si="26"/>
        <v>0</v>
      </c>
      <c r="AC30" s="44">
        <f t="shared" si="27"/>
        <v>1640.6375619332521</v>
      </c>
      <c r="AD30" s="44">
        <f t="shared" si="28"/>
        <v>0</v>
      </c>
      <c r="AE30" s="44">
        <f t="shared" si="29"/>
        <v>0</v>
      </c>
      <c r="AF30" s="52" t="e">
        <f>HLOOKUP(I30,GasAvoidedCostsWOCC!$A$5:$G$50,G30+1,FALSE)</f>
        <v>#N/A</v>
      </c>
      <c r="AG30" s="44" t="e">
        <f t="shared" si="30"/>
        <v>#N/A</v>
      </c>
      <c r="AH30" s="52" t="e">
        <f>HLOOKUP(I30,GasAvoidedCostsWOCC!$A$5:$Q$50,T30+1,FALSE)</f>
        <v>#N/A</v>
      </c>
      <c r="AI30" s="44" t="e">
        <f t="shared" si="31"/>
        <v>#N/A</v>
      </c>
      <c r="AJ30" s="44" t="e">
        <f t="shared" si="32"/>
        <v>#N/A</v>
      </c>
      <c r="AK30" s="44" t="e">
        <f>HLOOKUP(I30,GasAvoidedCostsWOCC!$A$5:$Q$50,G30+1,FALSE)*J30*L30</f>
        <v>#N/A</v>
      </c>
      <c r="AL30" s="44" t="e">
        <f t="shared" si="3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4"/>
        <v>0</v>
      </c>
      <c r="AO30" s="47">
        <f t="shared" si="35"/>
        <v>0</v>
      </c>
      <c r="AP30" s="47">
        <f t="shared" si="36"/>
        <v>0</v>
      </c>
      <c r="AQ30">
        <v>2021</v>
      </c>
    </row>
    <row r="31" spans="1:43">
      <c r="B31" s="97" t="s">
        <v>108</v>
      </c>
      <c r="C31" s="98">
        <v>18230661</v>
      </c>
      <c r="D31" s="61" t="s">
        <v>109</v>
      </c>
      <c r="E31" s="38" t="s">
        <v>1650</v>
      </c>
      <c r="F31" s="39" t="s">
        <v>1651</v>
      </c>
      <c r="G31" s="39"/>
      <c r="H31" s="39"/>
      <c r="I31" s="40"/>
      <c r="J31" s="41">
        <v>5</v>
      </c>
      <c r="K31" s="41">
        <v>0</v>
      </c>
      <c r="L31" s="41"/>
      <c r="M31" s="42">
        <v>0</v>
      </c>
      <c r="N31" s="42">
        <v>0</v>
      </c>
      <c r="O31" s="43">
        <v>0</v>
      </c>
      <c r="P31" s="44">
        <v>3604.8</v>
      </c>
      <c r="Q31" s="44">
        <v>3604.8</v>
      </c>
      <c r="R31" s="45"/>
      <c r="S31" s="46"/>
      <c r="T31" s="39">
        <f t="shared" si="18"/>
        <v>0</v>
      </c>
      <c r="U31" s="47">
        <f t="shared" si="19"/>
        <v>0</v>
      </c>
      <c r="V31" s="48">
        <f t="shared" si="20"/>
        <v>0</v>
      </c>
      <c r="W31" s="49">
        <f t="shared" si="21"/>
        <v>0</v>
      </c>
      <c r="X31" s="44">
        <f t="shared" si="22"/>
        <v>0</v>
      </c>
      <c r="Y31" s="44">
        <f t="shared" si="23"/>
        <v>0</v>
      </c>
      <c r="Z31" s="44">
        <f t="shared" si="24"/>
        <v>0</v>
      </c>
      <c r="AA31" s="50">
        <f t="shared" si="25"/>
        <v>3604.8</v>
      </c>
      <c r="AB31" s="51">
        <f t="shared" si="26"/>
        <v>0</v>
      </c>
      <c r="AC31" s="44">
        <f t="shared" si="27"/>
        <v>3369.916799102552</v>
      </c>
      <c r="AD31" s="44">
        <f t="shared" si="28"/>
        <v>0</v>
      </c>
      <c r="AE31" s="44">
        <f t="shared" si="29"/>
        <v>0</v>
      </c>
      <c r="AF31" s="52" t="e">
        <f>HLOOKUP(I31,GasAvoidedCostsWOCC!$A$5:$G$50,G31+1,FALSE)</f>
        <v>#N/A</v>
      </c>
      <c r="AG31" s="44" t="e">
        <f t="shared" si="30"/>
        <v>#N/A</v>
      </c>
      <c r="AH31" s="52" t="e">
        <f>HLOOKUP(I31,GasAvoidedCostsWOCC!$A$5:$Q$50,T31+1,FALSE)</f>
        <v>#N/A</v>
      </c>
      <c r="AI31" s="44" t="e">
        <f t="shared" si="31"/>
        <v>#N/A</v>
      </c>
      <c r="AJ31" s="44" t="e">
        <f t="shared" si="32"/>
        <v>#N/A</v>
      </c>
      <c r="AK31" s="44" t="e">
        <f>HLOOKUP(I31,GasAvoidedCostsWOCC!$A$5:$Q$50,G31+1,FALSE)*J31*L31</f>
        <v>#N/A</v>
      </c>
      <c r="AL31" s="44" t="e">
        <f t="shared" si="3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4"/>
        <v>0</v>
      </c>
      <c r="AO31" s="47">
        <f t="shared" si="35"/>
        <v>0</v>
      </c>
      <c r="AP31" s="47">
        <f t="shared" si="36"/>
        <v>0</v>
      </c>
      <c r="AQ31">
        <v>2021</v>
      </c>
    </row>
    <row r="32" spans="1:43">
      <c r="B32" s="97" t="s">
        <v>108</v>
      </c>
      <c r="C32" s="98">
        <v>18230661</v>
      </c>
      <c r="D32" s="61" t="s">
        <v>109</v>
      </c>
      <c r="E32" s="38" t="s">
        <v>1652</v>
      </c>
      <c r="F32" s="39" t="s">
        <v>1653</v>
      </c>
      <c r="G32" s="39"/>
      <c r="H32" s="39"/>
      <c r="I32" s="40"/>
      <c r="J32" s="41">
        <v>1</v>
      </c>
      <c r="K32" s="41">
        <v>0</v>
      </c>
      <c r="L32" s="41"/>
      <c r="M32" s="42">
        <v>0</v>
      </c>
      <c r="N32" s="42">
        <v>0</v>
      </c>
      <c r="O32" s="43">
        <v>0</v>
      </c>
      <c r="P32" s="44">
        <v>1051.3399999999999</v>
      </c>
      <c r="Q32" s="44">
        <v>1051.3399999999999</v>
      </c>
      <c r="R32" s="45"/>
      <c r="S32" s="46"/>
      <c r="T32" s="39">
        <f t="shared" si="18"/>
        <v>0</v>
      </c>
      <c r="U32" s="47">
        <f t="shared" si="19"/>
        <v>0</v>
      </c>
      <c r="V32" s="48">
        <f t="shared" si="20"/>
        <v>0</v>
      </c>
      <c r="W32" s="49">
        <f t="shared" si="21"/>
        <v>0</v>
      </c>
      <c r="X32" s="44">
        <f t="shared" si="22"/>
        <v>0</v>
      </c>
      <c r="Y32" s="44">
        <f t="shared" si="23"/>
        <v>0</v>
      </c>
      <c r="Z32" s="44">
        <f t="shared" si="24"/>
        <v>0</v>
      </c>
      <c r="AA32" s="50">
        <f t="shared" si="25"/>
        <v>1051.3399999999999</v>
      </c>
      <c r="AB32" s="51">
        <f t="shared" si="26"/>
        <v>0</v>
      </c>
      <c r="AC32" s="44">
        <f t="shared" si="27"/>
        <v>982.8363092455827</v>
      </c>
      <c r="AD32" s="44">
        <f t="shared" si="28"/>
        <v>0</v>
      </c>
      <c r="AE32" s="44">
        <f t="shared" si="29"/>
        <v>0</v>
      </c>
      <c r="AF32" s="52" t="e">
        <f>HLOOKUP(I32,GasAvoidedCostsWOCC!$A$5:$G$50,G32+1,FALSE)</f>
        <v>#N/A</v>
      </c>
      <c r="AG32" s="44" t="e">
        <f t="shared" si="30"/>
        <v>#N/A</v>
      </c>
      <c r="AH32" s="52" t="e">
        <f>HLOOKUP(I32,GasAvoidedCostsWOCC!$A$5:$Q$50,T32+1,FALSE)</f>
        <v>#N/A</v>
      </c>
      <c r="AI32" s="44" t="e">
        <f t="shared" si="31"/>
        <v>#N/A</v>
      </c>
      <c r="AJ32" s="44" t="e">
        <f t="shared" si="32"/>
        <v>#N/A</v>
      </c>
      <c r="AK32" s="44" t="e">
        <f>HLOOKUP(I32,GasAvoidedCostsWOCC!$A$5:$Q$50,G32+1,FALSE)*J32*L32</f>
        <v>#N/A</v>
      </c>
      <c r="AL32" s="44" t="e">
        <f t="shared" si="3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4"/>
        <v>0</v>
      </c>
      <c r="AO32" s="47">
        <f t="shared" si="35"/>
        <v>0</v>
      </c>
      <c r="AP32" s="47">
        <f t="shared" si="36"/>
        <v>0</v>
      </c>
      <c r="AQ32">
        <v>2021</v>
      </c>
    </row>
    <row r="33" spans="2:43">
      <c r="B33" s="97" t="s">
        <v>108</v>
      </c>
      <c r="C33" s="98">
        <v>18230661</v>
      </c>
      <c r="D33" s="61" t="s">
        <v>109</v>
      </c>
      <c r="E33" s="38" t="s">
        <v>1654</v>
      </c>
      <c r="F33" s="39" t="s">
        <v>1655</v>
      </c>
      <c r="G33" s="39">
        <v>25</v>
      </c>
      <c r="H33" s="39"/>
      <c r="I33" s="40" t="s">
        <v>269</v>
      </c>
      <c r="J33" s="41">
        <v>1632</v>
      </c>
      <c r="K33" s="41">
        <v>0.03</v>
      </c>
      <c r="L33" s="41"/>
      <c r="M33" s="42">
        <v>1.55</v>
      </c>
      <c r="N33" s="42">
        <v>1.55</v>
      </c>
      <c r="O33" s="43">
        <v>48.96</v>
      </c>
      <c r="P33" s="44">
        <v>4303</v>
      </c>
      <c r="Q33" s="44">
        <v>4303</v>
      </c>
      <c r="R33" s="45">
        <v>0</v>
      </c>
      <c r="S33" s="46">
        <v>0</v>
      </c>
      <c r="T33" s="39">
        <f t="shared" si="18"/>
        <v>25</v>
      </c>
      <c r="U33" s="47">
        <f t="shared" si="19"/>
        <v>3.8842814174580687E-2</v>
      </c>
      <c r="V33" s="48">
        <f t="shared" si="20"/>
        <v>0</v>
      </c>
      <c r="W33" s="49">
        <f t="shared" si="21"/>
        <v>1.5537125669832276E-3</v>
      </c>
      <c r="X33" s="44">
        <f t="shared" si="22"/>
        <v>230.02478389876501</v>
      </c>
      <c r="Y33" s="44">
        <f t="shared" si="23"/>
        <v>0</v>
      </c>
      <c r="Z33" s="44">
        <f t="shared" si="24"/>
        <v>1948.6387541865515</v>
      </c>
      <c r="AA33" s="50">
        <f t="shared" si="25"/>
        <v>4533.0247838987652</v>
      </c>
      <c r="AB33" s="51">
        <f t="shared" si="26"/>
        <v>1821.6684623600554</v>
      </c>
      <c r="AC33" s="44">
        <f t="shared" si="27"/>
        <v>4237.6598895940588</v>
      </c>
      <c r="AD33" s="44">
        <f t="shared" si="28"/>
        <v>0</v>
      </c>
      <c r="AE33" s="44">
        <f t="shared" si="29"/>
        <v>0</v>
      </c>
      <c r="AF33" s="52">
        <f>HLOOKUP(I33,GasAvoidedCostsWOCC!$A$5:$G$50,G33+1,FALSE)</f>
        <v>16.472554524074432</v>
      </c>
      <c r="AG33" s="44">
        <f t="shared" si="30"/>
        <v>806.49626949868423</v>
      </c>
      <c r="AH33" s="52">
        <f>HLOOKUP(I33,GasAvoidedCostsWOCC!$A$5:$Q$50,T33+1,FALSE)</f>
        <v>16.472554524074432</v>
      </c>
      <c r="AI33" s="44">
        <f t="shared" si="31"/>
        <v>0</v>
      </c>
      <c r="AJ33" s="44">
        <f t="shared" si="32"/>
        <v>806.49626949868423</v>
      </c>
      <c r="AK33" s="44">
        <f>HLOOKUP(I33,GasAvoidedCostsWOCC!$A$5:$Q$50,G33+1,FALSE)*J33*L33</f>
        <v>0</v>
      </c>
      <c r="AL33" s="44">
        <f t="shared" si="33"/>
        <v>806.49626949868423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806.49626949868423</v>
      </c>
      <c r="AN33" s="48">
        <f t="shared" si="34"/>
        <v>887.14589644855278</v>
      </c>
      <c r="AO33" s="47">
        <f t="shared" si="35"/>
        <v>0.44272395672581999</v>
      </c>
      <c r="AP33" s="47">
        <f t="shared" si="36"/>
        <v>0.20934806463043823</v>
      </c>
      <c r="AQ33">
        <v>2021</v>
      </c>
    </row>
    <row r="34" spans="2:43">
      <c r="B34" s="97" t="s">
        <v>108</v>
      </c>
      <c r="C34" s="98">
        <v>18230661</v>
      </c>
      <c r="D34" s="61" t="s">
        <v>109</v>
      </c>
      <c r="E34" s="38" t="s">
        <v>1658</v>
      </c>
      <c r="F34" s="39" t="s">
        <v>1659</v>
      </c>
      <c r="G34" s="39"/>
      <c r="H34" s="39"/>
      <c r="I34" s="40"/>
      <c r="J34" s="41">
        <v>2</v>
      </c>
      <c r="K34" s="41">
        <v>0</v>
      </c>
      <c r="L34" s="41"/>
      <c r="M34" s="42">
        <v>0</v>
      </c>
      <c r="N34" s="42">
        <v>0</v>
      </c>
      <c r="O34" s="43">
        <v>0</v>
      </c>
      <c r="P34" s="44">
        <v>269.23</v>
      </c>
      <c r="Q34" s="44">
        <v>269.23</v>
      </c>
      <c r="R34" s="45"/>
      <c r="S34" s="46"/>
      <c r="T34" s="39">
        <f t="shared" si="18"/>
        <v>0</v>
      </c>
      <c r="U34" s="47">
        <f t="shared" si="19"/>
        <v>0</v>
      </c>
      <c r="V34" s="48">
        <f t="shared" si="20"/>
        <v>0</v>
      </c>
      <c r="W34" s="49">
        <f t="shared" si="21"/>
        <v>0</v>
      </c>
      <c r="X34" s="44">
        <f t="shared" si="22"/>
        <v>0</v>
      </c>
      <c r="Y34" s="44">
        <f t="shared" si="23"/>
        <v>0</v>
      </c>
      <c r="Z34" s="44">
        <f t="shared" si="24"/>
        <v>0</v>
      </c>
      <c r="AA34" s="50">
        <f t="shared" si="25"/>
        <v>269.23</v>
      </c>
      <c r="AB34" s="51">
        <f t="shared" si="26"/>
        <v>0</v>
      </c>
      <c r="AC34" s="44">
        <f t="shared" si="27"/>
        <v>251.68738898756661</v>
      </c>
      <c r="AD34" s="44">
        <f t="shared" si="28"/>
        <v>0</v>
      </c>
      <c r="AE34" s="44">
        <f t="shared" si="29"/>
        <v>0</v>
      </c>
      <c r="AF34" s="52" t="e">
        <f>HLOOKUP(I34,GasAvoidedCostsWOCC!$A$5:$G$50,G34+1,FALSE)</f>
        <v>#N/A</v>
      </c>
      <c r="AG34" s="44" t="e">
        <f t="shared" si="30"/>
        <v>#N/A</v>
      </c>
      <c r="AH34" s="52" t="e">
        <f>HLOOKUP(I34,GasAvoidedCostsWOCC!$A$5:$Q$50,T34+1,FALSE)</f>
        <v>#N/A</v>
      </c>
      <c r="AI34" s="44" t="e">
        <f t="shared" si="31"/>
        <v>#N/A</v>
      </c>
      <c r="AJ34" s="44" t="e">
        <f t="shared" si="32"/>
        <v>#N/A</v>
      </c>
      <c r="AK34" s="44" t="e">
        <f>HLOOKUP(I34,GasAvoidedCostsWOCC!$A$5:$Q$50,G34+1,FALSE)*J34*L34</f>
        <v>#N/A</v>
      </c>
      <c r="AL34" s="44" t="e">
        <f t="shared" si="3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4"/>
        <v>0</v>
      </c>
      <c r="AO34" s="47">
        <f t="shared" si="35"/>
        <v>0</v>
      </c>
      <c r="AP34" s="47">
        <f t="shared" si="36"/>
        <v>0</v>
      </c>
      <c r="AQ34">
        <v>2021</v>
      </c>
    </row>
    <row r="35" spans="2:43">
      <c r="B35" s="97" t="s">
        <v>108</v>
      </c>
      <c r="C35" s="98">
        <v>18230661</v>
      </c>
      <c r="D35" s="61" t="s">
        <v>109</v>
      </c>
      <c r="E35" s="38" t="s">
        <v>1662</v>
      </c>
      <c r="F35" s="39" t="s">
        <v>1663</v>
      </c>
      <c r="G35" s="39"/>
      <c r="H35" s="39"/>
      <c r="I35" s="40"/>
      <c r="J35" s="41">
        <v>1</v>
      </c>
      <c r="K35" s="41">
        <v>0</v>
      </c>
      <c r="L35" s="41"/>
      <c r="M35" s="42">
        <v>0</v>
      </c>
      <c r="N35" s="42">
        <v>0</v>
      </c>
      <c r="O35" s="43">
        <v>0</v>
      </c>
      <c r="P35" s="44">
        <v>136.34</v>
      </c>
      <c r="Q35" s="44">
        <v>136.34</v>
      </c>
      <c r="R35" s="45">
        <v>0</v>
      </c>
      <c r="S35" s="46">
        <v>0</v>
      </c>
      <c r="T35" s="39">
        <f t="shared" si="18"/>
        <v>0</v>
      </c>
      <c r="U35" s="47">
        <f t="shared" si="19"/>
        <v>0</v>
      </c>
      <c r="V35" s="48">
        <f t="shared" si="20"/>
        <v>0</v>
      </c>
      <c r="W35" s="49">
        <f t="shared" si="21"/>
        <v>0</v>
      </c>
      <c r="X35" s="44">
        <f t="shared" si="22"/>
        <v>0</v>
      </c>
      <c r="Y35" s="44">
        <f t="shared" si="23"/>
        <v>0</v>
      </c>
      <c r="Z35" s="44">
        <f t="shared" si="24"/>
        <v>0</v>
      </c>
      <c r="AA35" s="50">
        <f t="shared" si="25"/>
        <v>136.34</v>
      </c>
      <c r="AB35" s="51">
        <f t="shared" si="26"/>
        <v>0</v>
      </c>
      <c r="AC35" s="44">
        <f t="shared" si="27"/>
        <v>127.45629615780125</v>
      </c>
      <c r="AD35" s="44">
        <f t="shared" si="28"/>
        <v>0</v>
      </c>
      <c r="AE35" s="44">
        <f t="shared" si="29"/>
        <v>0</v>
      </c>
      <c r="AF35" s="52" t="e">
        <f>HLOOKUP(I35,GasAvoidedCostsWOCC!$A$5:$G$50,G35+1,FALSE)</f>
        <v>#N/A</v>
      </c>
      <c r="AG35" s="44" t="e">
        <f t="shared" si="30"/>
        <v>#N/A</v>
      </c>
      <c r="AH35" s="52" t="e">
        <f>HLOOKUP(I35,GasAvoidedCostsWOCC!$A$5:$Q$50,T35+1,FALSE)</f>
        <v>#N/A</v>
      </c>
      <c r="AI35" s="44" t="e">
        <f t="shared" si="31"/>
        <v>#N/A</v>
      </c>
      <c r="AJ35" s="44" t="e">
        <f t="shared" si="32"/>
        <v>#N/A</v>
      </c>
      <c r="AK35" s="44" t="e">
        <f>HLOOKUP(I35,GasAvoidedCostsWOCC!$A$5:$Q$50,G35+1,FALSE)*J35*L35</f>
        <v>#N/A</v>
      </c>
      <c r="AL35" s="44" t="e">
        <f t="shared" si="3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4"/>
        <v>0</v>
      </c>
      <c r="AO35" s="47">
        <f t="shared" si="35"/>
        <v>0</v>
      </c>
      <c r="AP35" s="47">
        <f t="shared" si="36"/>
        <v>0</v>
      </c>
      <c r="AQ35">
        <v>2021</v>
      </c>
    </row>
    <row r="36" spans="2:43">
      <c r="B36" s="97" t="s">
        <v>108</v>
      </c>
      <c r="C36" s="98">
        <v>18230661</v>
      </c>
      <c r="D36" s="61" t="s">
        <v>109</v>
      </c>
      <c r="E36" s="38" t="s">
        <v>1664</v>
      </c>
      <c r="F36" s="39" t="s">
        <v>1665</v>
      </c>
      <c r="G36" s="39">
        <v>45</v>
      </c>
      <c r="H36" s="39"/>
      <c r="I36" s="40" t="s">
        <v>269</v>
      </c>
      <c r="J36" s="41">
        <v>25</v>
      </c>
      <c r="K36" s="41">
        <v>0.38</v>
      </c>
      <c r="L36" s="41"/>
      <c r="M36" s="42">
        <v>22.6</v>
      </c>
      <c r="N36" s="42">
        <v>22.6</v>
      </c>
      <c r="O36" s="43">
        <v>9.5</v>
      </c>
      <c r="P36" s="44">
        <v>734.5</v>
      </c>
      <c r="Q36" s="44">
        <v>734.5</v>
      </c>
      <c r="R36" s="45">
        <v>0</v>
      </c>
      <c r="S36" s="46">
        <v>0</v>
      </c>
      <c r="T36" s="39">
        <f t="shared" si="18"/>
        <v>45</v>
      </c>
      <c r="U36" s="47">
        <f t="shared" si="19"/>
        <v>1.3566424068327814E-2</v>
      </c>
      <c r="V36" s="48">
        <f t="shared" si="20"/>
        <v>0</v>
      </c>
      <c r="W36" s="49">
        <f t="shared" si="21"/>
        <v>3.0147609040728475E-4</v>
      </c>
      <c r="X36" s="44">
        <f t="shared" si="22"/>
        <v>44.633076941141084</v>
      </c>
      <c r="Y36" s="44">
        <f t="shared" si="23"/>
        <v>0</v>
      </c>
      <c r="Z36" s="44">
        <f t="shared" si="24"/>
        <v>378.10596741773361</v>
      </c>
      <c r="AA36" s="50">
        <f t="shared" si="25"/>
        <v>779.1330769411411</v>
      </c>
      <c r="AB36" s="51">
        <f t="shared" si="26"/>
        <v>353.46916651185711</v>
      </c>
      <c r="AC36" s="44">
        <f t="shared" si="27"/>
        <v>728.36596890823694</v>
      </c>
      <c r="AD36" s="44">
        <f t="shared" si="28"/>
        <v>0</v>
      </c>
      <c r="AE36" s="44">
        <f t="shared" si="29"/>
        <v>0</v>
      </c>
      <c r="AF36" s="52">
        <f>HLOOKUP(I36,GasAvoidedCostsWOCC!$A$5:$G$50,G36+1,FALSE)</f>
        <v>27.444232870165703</v>
      </c>
      <c r="AG36" s="44">
        <f t="shared" si="30"/>
        <v>260.72021226657415</v>
      </c>
      <c r="AH36" s="52">
        <f>HLOOKUP(I36,GasAvoidedCostsWOCC!$A$5:$Q$50,T36+1,FALSE)</f>
        <v>27.444232870165703</v>
      </c>
      <c r="AI36" s="44">
        <f t="shared" si="31"/>
        <v>0</v>
      </c>
      <c r="AJ36" s="44">
        <f t="shared" si="32"/>
        <v>260.72021226657415</v>
      </c>
      <c r="AK36" s="44">
        <f>HLOOKUP(I36,GasAvoidedCostsWOCC!$A$5:$Q$50,G36+1,FALSE)*J36*L36</f>
        <v>0</v>
      </c>
      <c r="AL36" s="44">
        <f t="shared" si="33"/>
        <v>260.72021226657415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260.72021226657415</v>
      </c>
      <c r="AN36" s="48">
        <f t="shared" si="34"/>
        <v>286.79223349323161</v>
      </c>
      <c r="AO36" s="47">
        <f t="shared" si="35"/>
        <v>0.73760383356614023</v>
      </c>
      <c r="AP36" s="47">
        <f t="shared" si="36"/>
        <v>0.39374743705161092</v>
      </c>
      <c r="AQ36">
        <v>2021</v>
      </c>
    </row>
    <row r="37" spans="2:43">
      <c r="B37" s="97" t="s">
        <v>108</v>
      </c>
      <c r="C37" s="98">
        <v>18230661</v>
      </c>
      <c r="D37" s="61" t="s">
        <v>109</v>
      </c>
      <c r="E37" s="38" t="s">
        <v>1666</v>
      </c>
      <c r="F37" s="39" t="s">
        <v>1667</v>
      </c>
      <c r="G37" s="39">
        <v>13</v>
      </c>
      <c r="H37" s="39"/>
      <c r="I37" s="40" t="s">
        <v>265</v>
      </c>
      <c r="J37" s="41">
        <v>1</v>
      </c>
      <c r="K37" s="41">
        <v>15</v>
      </c>
      <c r="L37" s="41"/>
      <c r="M37" s="42">
        <v>841.67</v>
      </c>
      <c r="N37" s="42">
        <v>841.67</v>
      </c>
      <c r="O37" s="43">
        <v>15</v>
      </c>
      <c r="P37" s="44">
        <v>1094.17</v>
      </c>
      <c r="Q37" s="44">
        <v>1094.17</v>
      </c>
      <c r="R37" s="45">
        <v>0</v>
      </c>
      <c r="S37" s="46">
        <v>0</v>
      </c>
      <c r="T37" s="39">
        <f t="shared" si="18"/>
        <v>13</v>
      </c>
      <c r="U37" s="47">
        <f t="shared" si="19"/>
        <v>6.1881934346758446E-3</v>
      </c>
      <c r="V37" s="48">
        <f t="shared" si="20"/>
        <v>0</v>
      </c>
      <c r="W37" s="49">
        <f t="shared" si="21"/>
        <v>4.760148795904496E-4</v>
      </c>
      <c r="X37" s="44">
        <f t="shared" si="22"/>
        <v>70.473279380749076</v>
      </c>
      <c r="Y37" s="44">
        <f t="shared" si="23"/>
        <v>0</v>
      </c>
      <c r="Z37" s="44">
        <f t="shared" si="24"/>
        <v>597.00942223852678</v>
      </c>
      <c r="AA37" s="50">
        <f t="shared" si="25"/>
        <v>1164.6432793807492</v>
      </c>
      <c r="AB37" s="51">
        <f t="shared" si="26"/>
        <v>558.10921028187977</v>
      </c>
      <c r="AC37" s="44">
        <f t="shared" si="27"/>
        <v>1088.7569219227344</v>
      </c>
      <c r="AD37" s="44">
        <f t="shared" si="28"/>
        <v>0</v>
      </c>
      <c r="AE37" s="44">
        <f t="shared" si="29"/>
        <v>0</v>
      </c>
      <c r="AF37" s="52">
        <f>HLOOKUP(I37,GasAvoidedCostsWOCC!$A$5:$G$50,G37+1,FALSE)</f>
        <v>9.0054306682141867</v>
      </c>
      <c r="AG37" s="44">
        <f t="shared" si="30"/>
        <v>135.0814600232128</v>
      </c>
      <c r="AH37" s="52">
        <f>HLOOKUP(I37,GasAvoidedCostsWOCC!$A$5:$Q$50,T37+1,FALSE)</f>
        <v>9.0054306682141867</v>
      </c>
      <c r="AI37" s="44">
        <f t="shared" si="31"/>
        <v>0</v>
      </c>
      <c r="AJ37" s="44">
        <f t="shared" si="32"/>
        <v>135.0814600232128</v>
      </c>
      <c r="AK37" s="44">
        <f>HLOOKUP(I37,GasAvoidedCostsWOCC!$A$5:$Q$50,G37+1,FALSE)*J37*L37</f>
        <v>0</v>
      </c>
      <c r="AL37" s="44">
        <f t="shared" si="33"/>
        <v>135.0814600232128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135.0814600232128</v>
      </c>
      <c r="AN37" s="48">
        <f t="shared" si="34"/>
        <v>148.5896060255341</v>
      </c>
      <c r="AO37" s="47">
        <f t="shared" si="35"/>
        <v>0.24203409930287351</v>
      </c>
      <c r="AP37" s="47">
        <f t="shared" si="36"/>
        <v>0.13647638240786222</v>
      </c>
      <c r="AQ37">
        <v>2021</v>
      </c>
    </row>
    <row r="38" spans="2:43">
      <c r="B38" s="97" t="s">
        <v>108</v>
      </c>
      <c r="C38" s="98">
        <v>18230661</v>
      </c>
      <c r="D38" s="61" t="s">
        <v>109</v>
      </c>
      <c r="E38" s="38" t="s">
        <v>1668</v>
      </c>
      <c r="F38" s="39" t="s">
        <v>1669</v>
      </c>
      <c r="G38" s="39">
        <v>20</v>
      </c>
      <c r="H38" s="39"/>
      <c r="I38" s="40" t="s">
        <v>265</v>
      </c>
      <c r="J38" s="41">
        <v>2</v>
      </c>
      <c r="K38" s="41">
        <v>42</v>
      </c>
      <c r="L38" s="41"/>
      <c r="M38" s="42">
        <v>1484</v>
      </c>
      <c r="N38" s="42">
        <v>1484</v>
      </c>
      <c r="O38" s="43">
        <v>84</v>
      </c>
      <c r="P38" s="44">
        <v>3858.4</v>
      </c>
      <c r="Q38" s="44">
        <v>3858.4</v>
      </c>
      <c r="R38" s="45">
        <v>15.03</v>
      </c>
      <c r="S38" s="46">
        <v>0</v>
      </c>
      <c r="T38" s="39">
        <f t="shared" si="18"/>
        <v>20</v>
      </c>
      <c r="U38" s="47">
        <f t="shared" si="19"/>
        <v>5.3313666514130359E-2</v>
      </c>
      <c r="V38" s="48">
        <f t="shared" si="20"/>
        <v>0</v>
      </c>
      <c r="W38" s="49">
        <f t="shared" si="21"/>
        <v>2.665683325706518E-3</v>
      </c>
      <c r="X38" s="44">
        <f t="shared" si="22"/>
        <v>394.65036453219489</v>
      </c>
      <c r="Y38" s="44">
        <f t="shared" si="23"/>
        <v>0</v>
      </c>
      <c r="Z38" s="44">
        <f t="shared" si="24"/>
        <v>3343.2527645357504</v>
      </c>
      <c r="AA38" s="50">
        <f t="shared" si="25"/>
        <v>4253.0503645321951</v>
      </c>
      <c r="AB38" s="51">
        <f t="shared" si="26"/>
        <v>3125.4115775785267</v>
      </c>
      <c r="AC38" s="44">
        <f t="shared" si="27"/>
        <v>3975.9281710126156</v>
      </c>
      <c r="AD38" s="44">
        <f t="shared" si="28"/>
        <v>319.19995660946779</v>
      </c>
      <c r="AE38" s="44">
        <f t="shared" si="29"/>
        <v>0</v>
      </c>
      <c r="AF38" s="52">
        <f>HLOOKUP(I38,GasAvoidedCostsWOCC!$A$5:$G$50,G38+1,FALSE)</f>
        <v>13.114573164368423</v>
      </c>
      <c r="AG38" s="44">
        <f t="shared" si="30"/>
        <v>1101.6241458069476</v>
      </c>
      <c r="AH38" s="52">
        <f>HLOOKUP(I38,GasAvoidedCostsWOCC!$A$5:$Q$50,T38+1,FALSE)</f>
        <v>13.114573164368423</v>
      </c>
      <c r="AI38" s="44">
        <f t="shared" si="31"/>
        <v>0</v>
      </c>
      <c r="AJ38" s="44">
        <f t="shared" si="32"/>
        <v>1101.6241458069476</v>
      </c>
      <c r="AK38" s="44">
        <f>HLOOKUP(I38,GasAvoidedCostsWOCC!$A$5:$Q$50,G38+1,FALSE)*J38*L38</f>
        <v>0</v>
      </c>
      <c r="AL38" s="44">
        <f t="shared" si="33"/>
        <v>1101.6241458069476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1101.6241458069476</v>
      </c>
      <c r="AN38" s="48">
        <f t="shared" si="34"/>
        <v>1530.9865169971101</v>
      </c>
      <c r="AO38" s="47">
        <f t="shared" si="35"/>
        <v>0.35247330422332801</v>
      </c>
      <c r="AP38" s="47">
        <f t="shared" si="36"/>
        <v>0.38506392750228896</v>
      </c>
      <c r="AQ38">
        <v>2021</v>
      </c>
    </row>
    <row r="39" spans="2:43">
      <c r="B39" s="97" t="s">
        <v>108</v>
      </c>
      <c r="C39" s="98">
        <v>18230661</v>
      </c>
      <c r="D39" s="61" t="s">
        <v>109</v>
      </c>
      <c r="E39" s="38" t="s">
        <v>1670</v>
      </c>
      <c r="F39" s="39" t="s">
        <v>1671</v>
      </c>
      <c r="G39" s="39">
        <v>20</v>
      </c>
      <c r="H39" s="39"/>
      <c r="I39" s="40" t="s">
        <v>265</v>
      </c>
      <c r="J39" s="41">
        <v>6</v>
      </c>
      <c r="K39" s="41">
        <v>42</v>
      </c>
      <c r="L39" s="41"/>
      <c r="M39" s="42">
        <v>1484</v>
      </c>
      <c r="N39" s="42">
        <v>1484</v>
      </c>
      <c r="O39" s="43">
        <v>252</v>
      </c>
      <c r="P39" s="44">
        <v>11575.2</v>
      </c>
      <c r="Q39" s="44">
        <v>11575.2</v>
      </c>
      <c r="R39" s="45">
        <v>15.03</v>
      </c>
      <c r="S39" s="46">
        <v>0</v>
      </c>
      <c r="T39" s="39">
        <f t="shared" si="18"/>
        <v>20</v>
      </c>
      <c r="U39" s="47">
        <f t="shared" si="19"/>
        <v>0.15994099954239105</v>
      </c>
      <c r="V39" s="48">
        <f t="shared" si="20"/>
        <v>0</v>
      </c>
      <c r="W39" s="49">
        <f t="shared" si="21"/>
        <v>7.9970499771195528E-3</v>
      </c>
      <c r="X39" s="44">
        <f t="shared" si="22"/>
        <v>1183.9510935965843</v>
      </c>
      <c r="Y39" s="44">
        <f t="shared" si="23"/>
        <v>0</v>
      </c>
      <c r="Z39" s="44">
        <f t="shared" si="24"/>
        <v>10029.758293607249</v>
      </c>
      <c r="AA39" s="50">
        <f t="shared" si="25"/>
        <v>12759.151093596585</v>
      </c>
      <c r="AB39" s="51">
        <f t="shared" si="26"/>
        <v>9376.2347327355783</v>
      </c>
      <c r="AC39" s="44">
        <f t="shared" si="27"/>
        <v>11927.784513037846</v>
      </c>
      <c r="AD39" s="44">
        <f t="shared" si="28"/>
        <v>957.59986982840337</v>
      </c>
      <c r="AE39" s="44">
        <f t="shared" si="29"/>
        <v>0</v>
      </c>
      <c r="AF39" s="52">
        <f>HLOOKUP(I39,GasAvoidedCostsWOCC!$A$5:$G$50,G39+1,FALSE)</f>
        <v>13.114573164368423</v>
      </c>
      <c r="AG39" s="44">
        <f t="shared" si="30"/>
        <v>3304.8724374208427</v>
      </c>
      <c r="AH39" s="52">
        <f>HLOOKUP(I39,GasAvoidedCostsWOCC!$A$5:$Q$50,T39+1,FALSE)</f>
        <v>13.114573164368423</v>
      </c>
      <c r="AI39" s="44">
        <f t="shared" si="31"/>
        <v>0</v>
      </c>
      <c r="AJ39" s="44">
        <f t="shared" si="32"/>
        <v>3304.8724374208427</v>
      </c>
      <c r="AK39" s="44">
        <f>HLOOKUP(I39,GasAvoidedCostsWOCC!$A$5:$Q$50,G39+1,FALSE)*J39*L39</f>
        <v>0</v>
      </c>
      <c r="AL39" s="44">
        <f t="shared" si="33"/>
        <v>3304.8724374208427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3304.8724374208427</v>
      </c>
      <c r="AN39" s="48">
        <f t="shared" si="34"/>
        <v>4592.9595509913306</v>
      </c>
      <c r="AO39" s="47">
        <f t="shared" si="35"/>
        <v>0.35247330422332807</v>
      </c>
      <c r="AP39" s="47">
        <f t="shared" si="36"/>
        <v>0.38506392750228896</v>
      </c>
      <c r="AQ39">
        <v>2021</v>
      </c>
    </row>
    <row r="40" spans="2:43">
      <c r="B40" s="97" t="s">
        <v>108</v>
      </c>
      <c r="C40" s="98">
        <v>18230661</v>
      </c>
      <c r="D40" s="61" t="s">
        <v>109</v>
      </c>
      <c r="E40" s="38" t="s">
        <v>1680</v>
      </c>
      <c r="F40" s="39" t="s">
        <v>1681</v>
      </c>
      <c r="G40" s="39"/>
      <c r="H40" s="39"/>
      <c r="I40" s="40"/>
      <c r="J40" s="41">
        <v>15</v>
      </c>
      <c r="K40" s="41">
        <v>0</v>
      </c>
      <c r="L40" s="41"/>
      <c r="M40" s="42">
        <v>0</v>
      </c>
      <c r="N40" s="42">
        <v>0</v>
      </c>
      <c r="O40" s="43">
        <v>0</v>
      </c>
      <c r="P40" s="44">
        <v>2090.1999999999998</v>
      </c>
      <c r="Q40" s="44">
        <v>2090.1999999999998</v>
      </c>
      <c r="R40" s="45">
        <v>0</v>
      </c>
      <c r="S40" s="46">
        <v>0</v>
      </c>
      <c r="T40" s="39">
        <f t="shared" si="18"/>
        <v>0</v>
      </c>
      <c r="U40" s="47">
        <f t="shared" si="19"/>
        <v>0</v>
      </c>
      <c r="V40" s="48">
        <f t="shared" si="20"/>
        <v>0</v>
      </c>
      <c r="W40" s="49">
        <f t="shared" si="21"/>
        <v>0</v>
      </c>
      <c r="X40" s="44">
        <f t="shared" si="22"/>
        <v>0</v>
      </c>
      <c r="Y40" s="44">
        <f t="shared" si="23"/>
        <v>0</v>
      </c>
      <c r="Z40" s="44">
        <f t="shared" si="24"/>
        <v>0</v>
      </c>
      <c r="AA40" s="50">
        <f t="shared" si="25"/>
        <v>2090.1999999999998</v>
      </c>
      <c r="AB40" s="51">
        <f t="shared" si="26"/>
        <v>0</v>
      </c>
      <c r="AC40" s="44">
        <f t="shared" si="27"/>
        <v>1954.0057960175748</v>
      </c>
      <c r="AD40" s="44">
        <f t="shared" si="28"/>
        <v>0</v>
      </c>
      <c r="AE40" s="44">
        <f t="shared" si="29"/>
        <v>0</v>
      </c>
      <c r="AF40" s="52" t="e">
        <f>HLOOKUP(I40,GasAvoidedCostsWOCC!$A$5:$G$50,G40+1,FALSE)</f>
        <v>#N/A</v>
      </c>
      <c r="AG40" s="44" t="e">
        <f t="shared" si="30"/>
        <v>#N/A</v>
      </c>
      <c r="AH40" s="52" t="e">
        <f>HLOOKUP(I40,GasAvoidedCostsWOCC!$A$5:$Q$50,T40+1,FALSE)</f>
        <v>#N/A</v>
      </c>
      <c r="AI40" s="44" t="e">
        <f t="shared" si="31"/>
        <v>#N/A</v>
      </c>
      <c r="AJ40" s="44" t="e">
        <f t="shared" si="32"/>
        <v>#N/A</v>
      </c>
      <c r="AK40" s="44" t="e">
        <f>HLOOKUP(I40,GasAvoidedCostsWOCC!$A$5:$Q$50,G40+1,FALSE)*J40*L40</f>
        <v>#N/A</v>
      </c>
      <c r="AL40" s="44" t="e">
        <f t="shared" si="3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4"/>
        <v>0</v>
      </c>
      <c r="AO40" s="47">
        <f t="shared" si="35"/>
        <v>0</v>
      </c>
      <c r="AP40" s="47">
        <f t="shared" si="36"/>
        <v>0</v>
      </c>
      <c r="AQ40">
        <v>2021</v>
      </c>
    </row>
    <row r="41" spans="2:43">
      <c r="B41" s="97" t="s">
        <v>108</v>
      </c>
      <c r="C41" s="98">
        <v>18230661</v>
      </c>
      <c r="D41" s="61" t="s">
        <v>109</v>
      </c>
      <c r="E41" s="38" t="s">
        <v>1684</v>
      </c>
      <c r="F41" s="39" t="s">
        <v>1685</v>
      </c>
      <c r="G41" s="39"/>
      <c r="H41" s="39"/>
      <c r="I41" s="40"/>
      <c r="J41" s="41">
        <v>2</v>
      </c>
      <c r="K41" s="41">
        <v>0</v>
      </c>
      <c r="L41" s="41"/>
      <c r="M41" s="42">
        <v>0</v>
      </c>
      <c r="N41" s="42">
        <v>0</v>
      </c>
      <c r="O41" s="43">
        <v>0</v>
      </c>
      <c r="P41" s="44">
        <v>54.74</v>
      </c>
      <c r="Q41" s="44">
        <v>54.74</v>
      </c>
      <c r="R41" s="45">
        <v>0</v>
      </c>
      <c r="S41" s="46">
        <v>0</v>
      </c>
      <c r="T41" s="39">
        <f t="shared" si="18"/>
        <v>0</v>
      </c>
      <c r="U41" s="47">
        <f t="shared" si="19"/>
        <v>0</v>
      </c>
      <c r="V41" s="48">
        <f t="shared" si="20"/>
        <v>0</v>
      </c>
      <c r="W41" s="49">
        <f t="shared" si="21"/>
        <v>0</v>
      </c>
      <c r="X41" s="44">
        <f t="shared" si="22"/>
        <v>0</v>
      </c>
      <c r="Y41" s="44">
        <f t="shared" si="23"/>
        <v>0</v>
      </c>
      <c r="Z41" s="44">
        <f t="shared" si="24"/>
        <v>0</v>
      </c>
      <c r="AA41" s="50">
        <f t="shared" si="25"/>
        <v>54.74</v>
      </c>
      <c r="AB41" s="51">
        <f t="shared" si="26"/>
        <v>0</v>
      </c>
      <c r="AC41" s="44">
        <f t="shared" si="27"/>
        <v>51.173226138169575</v>
      </c>
      <c r="AD41" s="44">
        <f t="shared" si="28"/>
        <v>0</v>
      </c>
      <c r="AE41" s="44">
        <f t="shared" si="29"/>
        <v>0</v>
      </c>
      <c r="AF41" s="52" t="e">
        <f>HLOOKUP(I41,GasAvoidedCostsWOCC!$A$5:$G$50,G41+1,FALSE)</f>
        <v>#N/A</v>
      </c>
      <c r="AG41" s="44" t="e">
        <f t="shared" si="30"/>
        <v>#N/A</v>
      </c>
      <c r="AH41" s="52" t="e">
        <f>HLOOKUP(I41,GasAvoidedCostsWOCC!$A$5:$Q$50,T41+1,FALSE)</f>
        <v>#N/A</v>
      </c>
      <c r="AI41" s="44" t="e">
        <f t="shared" si="31"/>
        <v>#N/A</v>
      </c>
      <c r="AJ41" s="44" t="e">
        <f t="shared" si="32"/>
        <v>#N/A</v>
      </c>
      <c r="AK41" s="44" t="e">
        <f>HLOOKUP(I41,GasAvoidedCostsWOCC!$A$5:$Q$50,G41+1,FALSE)*J41*L41</f>
        <v>#N/A</v>
      </c>
      <c r="AL41" s="44" t="e">
        <f t="shared" si="3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4"/>
        <v>0</v>
      </c>
      <c r="AO41" s="47">
        <f t="shared" si="35"/>
        <v>0</v>
      </c>
      <c r="AP41" s="47">
        <f t="shared" si="36"/>
        <v>0</v>
      </c>
      <c r="AQ41">
        <v>2021</v>
      </c>
    </row>
    <row r="42" spans="2:43">
      <c r="B42" s="97" t="s">
        <v>108</v>
      </c>
      <c r="C42" s="100">
        <v>18230665</v>
      </c>
      <c r="D42" s="100" t="s">
        <v>109</v>
      </c>
      <c r="E42" s="38" t="s">
        <v>2464</v>
      </c>
      <c r="F42" s="39" t="s">
        <v>1466</v>
      </c>
      <c r="G42" s="39">
        <v>18</v>
      </c>
      <c r="H42" s="39"/>
      <c r="I42" s="40" t="s">
        <v>269</v>
      </c>
      <c r="J42" s="41">
        <v>2</v>
      </c>
      <c r="K42" s="41">
        <v>18.96</v>
      </c>
      <c r="L42" s="41"/>
      <c r="M42" s="42">
        <v>500</v>
      </c>
      <c r="N42" s="42">
        <v>500</v>
      </c>
      <c r="O42" s="43">
        <v>37.92</v>
      </c>
      <c r="P42" s="44">
        <v>1300</v>
      </c>
      <c r="Q42" s="44">
        <v>1300</v>
      </c>
      <c r="R42" s="45">
        <v>0</v>
      </c>
      <c r="S42" s="46">
        <v>0</v>
      </c>
      <c r="T42" s="39">
        <f t="shared" si="18"/>
        <v>18</v>
      </c>
      <c r="U42" s="47">
        <f t="shared" si="19"/>
        <v>2.1660581080883822E-2</v>
      </c>
      <c r="V42" s="48">
        <f t="shared" si="20"/>
        <v>0</v>
      </c>
      <c r="W42" s="49">
        <f t="shared" si="21"/>
        <v>1.2033656156046567E-3</v>
      </c>
      <c r="X42" s="44">
        <f t="shared" si="22"/>
        <v>178.15645027453368</v>
      </c>
      <c r="Y42" s="44">
        <f t="shared" si="23"/>
        <v>0</v>
      </c>
      <c r="Z42" s="44">
        <f t="shared" si="24"/>
        <v>1509.2398194189957</v>
      </c>
      <c r="AA42" s="50">
        <f t="shared" si="25"/>
        <v>1478.1564502745337</v>
      </c>
      <c r="AB42" s="51">
        <f t="shared" si="26"/>
        <v>1410.900083592592</v>
      </c>
      <c r="AC42" s="44">
        <f t="shared" si="27"/>
        <v>1381.8420587777259</v>
      </c>
      <c r="AD42" s="44">
        <f t="shared" si="28"/>
        <v>0</v>
      </c>
      <c r="AE42" s="44">
        <f t="shared" si="29"/>
        <v>0</v>
      </c>
      <c r="AF42" s="52">
        <f>HLOOKUP(I42,GasAvoidedCostsWOCC!$A$5:$G$50,G42+1,FALSE)</f>
        <v>12.598768311384578</v>
      </c>
      <c r="AG42" s="44">
        <f t="shared" si="30"/>
        <v>477.74529436770325</v>
      </c>
      <c r="AH42" s="52">
        <f>HLOOKUP(I42,GasAvoidedCostsWOCC!$A$5:$Q$50,T42+1,FALSE)</f>
        <v>12.598768311384578</v>
      </c>
      <c r="AI42" s="44">
        <f t="shared" si="31"/>
        <v>0</v>
      </c>
      <c r="AJ42" s="44">
        <f t="shared" si="32"/>
        <v>477.74529436770325</v>
      </c>
      <c r="AK42" s="44">
        <f>HLOOKUP(I42,GasAvoidedCostsWOCC!$A$5:$Q$50,G42+1,FALSE)*J42*L42</f>
        <v>0</v>
      </c>
      <c r="AL42" s="44">
        <f t="shared" si="33"/>
        <v>477.74529436770325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477.74529436770325</v>
      </c>
      <c r="AN42" s="48">
        <f t="shared" si="34"/>
        <v>525.51982380447362</v>
      </c>
      <c r="AO42" s="47">
        <f t="shared" si="35"/>
        <v>0.33861029560024875</v>
      </c>
      <c r="AP42" s="47">
        <f t="shared" si="36"/>
        <v>0.38030382739204588</v>
      </c>
      <c r="AQ42">
        <v>2020</v>
      </c>
    </row>
    <row r="43" spans="2:43">
      <c r="B43" s="97" t="s">
        <v>108</v>
      </c>
      <c r="C43" s="100">
        <v>18230665</v>
      </c>
      <c r="D43" s="100" t="s">
        <v>109</v>
      </c>
      <c r="E43" s="38" t="s">
        <v>2466</v>
      </c>
      <c r="F43" s="39" t="s">
        <v>1470</v>
      </c>
      <c r="G43" s="39">
        <v>20</v>
      </c>
      <c r="H43" s="39"/>
      <c r="I43" s="40" t="s">
        <v>269</v>
      </c>
      <c r="J43" s="41">
        <v>16</v>
      </c>
      <c r="K43" s="41">
        <v>50.8</v>
      </c>
      <c r="L43" s="41"/>
      <c r="M43" s="42">
        <v>500</v>
      </c>
      <c r="N43" s="42">
        <v>500</v>
      </c>
      <c r="O43" s="43">
        <v>812.8</v>
      </c>
      <c r="P43" s="44">
        <v>9961.34</v>
      </c>
      <c r="Q43" s="44">
        <v>9961.34</v>
      </c>
      <c r="R43" s="45">
        <v>0</v>
      </c>
      <c r="S43" s="46">
        <v>0</v>
      </c>
      <c r="T43" s="39">
        <f t="shared" si="18"/>
        <v>20</v>
      </c>
      <c r="U43" s="47">
        <f t="shared" si="19"/>
        <v>0.51587319217482319</v>
      </c>
      <c r="V43" s="48">
        <f t="shared" si="20"/>
        <v>0</v>
      </c>
      <c r="W43" s="49">
        <f t="shared" si="21"/>
        <v>2.5793659608741162E-2</v>
      </c>
      <c r="X43" s="44">
        <f t="shared" si="22"/>
        <v>3818.7120987115231</v>
      </c>
      <c r="Y43" s="44">
        <f t="shared" si="23"/>
        <v>0</v>
      </c>
      <c r="Z43" s="44">
        <f t="shared" si="24"/>
        <v>32349.950559698304</v>
      </c>
      <c r="AA43" s="50">
        <f t="shared" si="25"/>
        <v>13780.052098711523</v>
      </c>
      <c r="AB43" s="51">
        <f t="shared" si="26"/>
        <v>30242.077741140787</v>
      </c>
      <c r="AC43" s="44">
        <f t="shared" si="27"/>
        <v>12882.165185296366</v>
      </c>
      <c r="AD43" s="44">
        <f t="shared" si="28"/>
        <v>0</v>
      </c>
      <c r="AE43" s="44">
        <f t="shared" si="29"/>
        <v>0</v>
      </c>
      <c r="AF43" s="52">
        <f>HLOOKUP(I43,GasAvoidedCostsWOCC!$A$5:$G$50,G43+1,FALSE)</f>
        <v>13.765480191058694</v>
      </c>
      <c r="AG43" s="44">
        <f t="shared" si="30"/>
        <v>11188.582299292506</v>
      </c>
      <c r="AH43" s="52">
        <f>HLOOKUP(I43,GasAvoidedCostsWOCC!$A$5:$Q$50,T43+1,FALSE)</f>
        <v>13.765480191058694</v>
      </c>
      <c r="AI43" s="44">
        <f t="shared" si="31"/>
        <v>0</v>
      </c>
      <c r="AJ43" s="44">
        <f t="shared" si="32"/>
        <v>11188.582299292506</v>
      </c>
      <c r="AK43" s="44">
        <f>HLOOKUP(I43,GasAvoidedCostsWOCC!$A$5:$Q$50,G43+1,FALSE)*J43*L43</f>
        <v>0</v>
      </c>
      <c r="AL43" s="44">
        <f t="shared" si="33"/>
        <v>11188.582299292506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11188.582299292506</v>
      </c>
      <c r="AN43" s="48">
        <f t="shared" si="34"/>
        <v>12307.440529221758</v>
      </c>
      <c r="AO43" s="47">
        <f t="shared" si="35"/>
        <v>0.36996738104643373</v>
      </c>
      <c r="AP43" s="47">
        <f t="shared" si="36"/>
        <v>0.95538602029955366</v>
      </c>
      <c r="AQ43">
        <v>2020</v>
      </c>
    </row>
    <row r="44" spans="2:43">
      <c r="B44" s="97" t="s">
        <v>108</v>
      </c>
      <c r="C44" s="100">
        <v>18230666</v>
      </c>
      <c r="D44" s="100" t="s">
        <v>109</v>
      </c>
      <c r="E44" s="38" t="s">
        <v>2469</v>
      </c>
      <c r="F44" s="39" t="s">
        <v>2470</v>
      </c>
      <c r="G44" s="39">
        <v>18</v>
      </c>
      <c r="H44" s="39"/>
      <c r="I44" s="40" t="s">
        <v>269</v>
      </c>
      <c r="J44" s="41">
        <v>46</v>
      </c>
      <c r="K44" s="41">
        <v>184</v>
      </c>
      <c r="L44" s="41"/>
      <c r="M44" s="42">
        <v>1526</v>
      </c>
      <c r="N44" s="42">
        <v>1526</v>
      </c>
      <c r="O44" s="43">
        <v>8464</v>
      </c>
      <c r="P44" s="44">
        <v>91254.8</v>
      </c>
      <c r="Q44" s="44">
        <v>91254.8</v>
      </c>
      <c r="R44" s="45">
        <v>0</v>
      </c>
      <c r="S44" s="46">
        <v>0</v>
      </c>
      <c r="T44" s="39">
        <f t="shared" si="18"/>
        <v>18</v>
      </c>
      <c r="U44" s="47">
        <f t="shared" si="19"/>
        <v>4.8347879290242792</v>
      </c>
      <c r="V44" s="48">
        <f t="shared" si="20"/>
        <v>0</v>
      </c>
      <c r="W44" s="49">
        <f t="shared" si="21"/>
        <v>0.26859932939023773</v>
      </c>
      <c r="X44" s="44">
        <f t="shared" si="22"/>
        <v>39765.72244524402</v>
      </c>
      <c r="Y44" s="44">
        <f t="shared" si="23"/>
        <v>0</v>
      </c>
      <c r="Z44" s="44">
        <f t="shared" si="24"/>
        <v>336872.51665512606</v>
      </c>
      <c r="AA44" s="50">
        <f t="shared" si="25"/>
        <v>131020.52244524402</v>
      </c>
      <c r="AB44" s="51">
        <f t="shared" si="26"/>
        <v>314922.42372172204</v>
      </c>
      <c r="AC44" s="44">
        <f t="shared" si="27"/>
        <v>122483.42754533421</v>
      </c>
      <c r="AD44" s="44">
        <f t="shared" si="28"/>
        <v>0</v>
      </c>
      <c r="AE44" s="44">
        <f t="shared" si="29"/>
        <v>0</v>
      </c>
      <c r="AF44" s="52">
        <f>HLOOKUP(I44,GasAvoidedCostsWOCC!$A$5:$G$50,G44+1,FALSE)</f>
        <v>12.598768311384578</v>
      </c>
      <c r="AG44" s="44">
        <f t="shared" si="30"/>
        <v>106635.97498755906</v>
      </c>
      <c r="AH44" s="52">
        <f>HLOOKUP(I44,GasAvoidedCostsWOCC!$A$5:$Q$50,T44+1,FALSE)</f>
        <v>12.598768311384578</v>
      </c>
      <c r="AI44" s="44">
        <f t="shared" si="31"/>
        <v>0</v>
      </c>
      <c r="AJ44" s="44">
        <f t="shared" si="32"/>
        <v>106635.97498755906</v>
      </c>
      <c r="AK44" s="44">
        <f>HLOOKUP(I44,GasAvoidedCostsWOCC!$A$5:$Q$50,G44+1,FALSE)*J44*L44</f>
        <v>0</v>
      </c>
      <c r="AL44" s="44">
        <f t="shared" si="33"/>
        <v>106635.97498755906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106635.97498755906</v>
      </c>
      <c r="AN44" s="48">
        <f t="shared" si="34"/>
        <v>117299.57248631498</v>
      </c>
      <c r="AO44" s="47">
        <f t="shared" si="35"/>
        <v>0.33861029560024869</v>
      </c>
      <c r="AP44" s="47">
        <f t="shared" si="36"/>
        <v>0.95767709017531732</v>
      </c>
      <c r="AQ44">
        <v>2020</v>
      </c>
    </row>
    <row r="45" spans="2:43">
      <c r="B45" s="97" t="s">
        <v>108</v>
      </c>
      <c r="C45" s="100">
        <v>18230668</v>
      </c>
      <c r="D45" s="100" t="s">
        <v>109</v>
      </c>
      <c r="E45" s="38" t="s">
        <v>2471</v>
      </c>
      <c r="F45" s="39" t="s">
        <v>2472</v>
      </c>
      <c r="G45" s="39">
        <v>18</v>
      </c>
      <c r="H45" s="39"/>
      <c r="I45" s="40" t="s">
        <v>269</v>
      </c>
      <c r="J45" s="41">
        <v>2</v>
      </c>
      <c r="K45" s="41">
        <v>184</v>
      </c>
      <c r="L45" s="41"/>
      <c r="M45" s="42">
        <v>1526</v>
      </c>
      <c r="N45" s="42">
        <v>1526</v>
      </c>
      <c r="O45" s="43">
        <v>368</v>
      </c>
      <c r="P45" s="44">
        <v>3967.6</v>
      </c>
      <c r="Q45" s="44">
        <v>3967.6</v>
      </c>
      <c r="R45" s="45">
        <v>0</v>
      </c>
      <c r="S45" s="46">
        <v>0</v>
      </c>
      <c r="T45" s="39">
        <f t="shared" si="18"/>
        <v>18</v>
      </c>
      <c r="U45" s="47">
        <f t="shared" si="19"/>
        <v>0.21020817082714255</v>
      </c>
      <c r="V45" s="48">
        <f t="shared" si="20"/>
        <v>0</v>
      </c>
      <c r="W45" s="49">
        <f t="shared" si="21"/>
        <v>1.167823171261903E-2</v>
      </c>
      <c r="X45" s="44">
        <f t="shared" si="22"/>
        <v>1728.9444541410442</v>
      </c>
      <c r="Y45" s="44">
        <f t="shared" si="23"/>
        <v>0</v>
      </c>
      <c r="Z45" s="44">
        <f t="shared" si="24"/>
        <v>14646.631158918524</v>
      </c>
      <c r="AA45" s="50">
        <f t="shared" si="25"/>
        <v>5696.5444541410443</v>
      </c>
      <c r="AB45" s="51">
        <f t="shared" si="26"/>
        <v>13692.279292248782</v>
      </c>
      <c r="AC45" s="44">
        <f t="shared" si="27"/>
        <v>5325.3664150145314</v>
      </c>
      <c r="AD45" s="44">
        <f t="shared" si="28"/>
        <v>0</v>
      </c>
      <c r="AE45" s="44">
        <f t="shared" si="29"/>
        <v>0</v>
      </c>
      <c r="AF45" s="52">
        <f>HLOOKUP(I45,GasAvoidedCostsWOCC!$A$5:$G$50,G45+1,FALSE)</f>
        <v>12.598768311384578</v>
      </c>
      <c r="AG45" s="44">
        <f t="shared" si="30"/>
        <v>4636.3467385895246</v>
      </c>
      <c r="AH45" s="52">
        <f>HLOOKUP(I45,GasAvoidedCostsWOCC!$A$5:$Q$50,T45+1,FALSE)</f>
        <v>12.598768311384578</v>
      </c>
      <c r="AI45" s="44">
        <f t="shared" si="31"/>
        <v>0</v>
      </c>
      <c r="AJ45" s="44">
        <f t="shared" si="32"/>
        <v>4636.3467385895246</v>
      </c>
      <c r="AK45" s="44">
        <f>HLOOKUP(I45,GasAvoidedCostsWOCC!$A$5:$Q$50,G45+1,FALSE)*J45*L45</f>
        <v>0</v>
      </c>
      <c r="AL45" s="44">
        <f t="shared" si="33"/>
        <v>4636.3467385895246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4636.3467385895246</v>
      </c>
      <c r="AN45" s="48">
        <f t="shared" si="34"/>
        <v>5099.9814124484774</v>
      </c>
      <c r="AO45" s="47">
        <f t="shared" si="35"/>
        <v>0.33861029560024875</v>
      </c>
      <c r="AP45" s="47">
        <f t="shared" si="36"/>
        <v>0.95767709017531721</v>
      </c>
      <c r="AQ45">
        <v>2020</v>
      </c>
    </row>
    <row r="46" spans="2:43">
      <c r="B46" s="97" t="s">
        <v>108</v>
      </c>
      <c r="C46" s="100">
        <v>18230669</v>
      </c>
      <c r="D46" s="100" t="s">
        <v>109</v>
      </c>
      <c r="E46" s="38" t="s">
        <v>2473</v>
      </c>
      <c r="F46" s="39" t="s">
        <v>2474</v>
      </c>
      <c r="G46" s="39">
        <v>20</v>
      </c>
      <c r="H46" s="39"/>
      <c r="I46" s="40" t="s">
        <v>269</v>
      </c>
      <c r="J46" s="41">
        <v>9</v>
      </c>
      <c r="K46" s="41">
        <v>73.333333333333329</v>
      </c>
      <c r="L46" s="41"/>
      <c r="M46" s="42">
        <v>0</v>
      </c>
      <c r="N46" s="42">
        <v>0</v>
      </c>
      <c r="O46" s="43">
        <v>660</v>
      </c>
      <c r="P46" s="44">
        <v>0</v>
      </c>
      <c r="Q46" s="44">
        <v>37641.519999999997</v>
      </c>
      <c r="R46" s="45">
        <v>0</v>
      </c>
      <c r="S46" s="46">
        <v>0</v>
      </c>
      <c r="T46" s="39">
        <f t="shared" si="18"/>
        <v>20</v>
      </c>
      <c r="U46" s="47">
        <f t="shared" si="19"/>
        <v>0.41889309403959568</v>
      </c>
      <c r="V46" s="48">
        <f t="shared" si="20"/>
        <v>0</v>
      </c>
      <c r="W46" s="49">
        <f t="shared" si="21"/>
        <v>2.0944654701979783E-2</v>
      </c>
      <c r="X46" s="44">
        <f t="shared" si="22"/>
        <v>3100.8242927529595</v>
      </c>
      <c r="Y46" s="44">
        <f t="shared" si="23"/>
        <v>37641.519999999997</v>
      </c>
      <c r="Z46" s="44">
        <f t="shared" si="24"/>
        <v>26268.41457849518</v>
      </c>
      <c r="AA46" s="50">
        <f t="shared" si="25"/>
        <v>40742.344292752954</v>
      </c>
      <c r="AB46" s="51">
        <f t="shared" si="26"/>
        <v>24556.805252402708</v>
      </c>
      <c r="AC46" s="44">
        <f t="shared" si="27"/>
        <v>38087.63605941194</v>
      </c>
      <c r="AD46" s="44">
        <f t="shared" si="28"/>
        <v>0</v>
      </c>
      <c r="AE46" s="44">
        <f t="shared" si="29"/>
        <v>0</v>
      </c>
      <c r="AF46" s="52">
        <f>HLOOKUP(I46,GasAvoidedCostsWOCC!$A$5:$G$50,G46+1,FALSE)</f>
        <v>13.765480191058694</v>
      </c>
      <c r="AG46" s="44">
        <f t="shared" si="30"/>
        <v>9085.2169260987375</v>
      </c>
      <c r="AH46" s="52">
        <f>HLOOKUP(I46,GasAvoidedCostsWOCC!$A$5:$Q$50,T46+1,FALSE)</f>
        <v>13.765480191058694</v>
      </c>
      <c r="AI46" s="44">
        <f t="shared" si="31"/>
        <v>0</v>
      </c>
      <c r="AJ46" s="44">
        <f t="shared" si="32"/>
        <v>9085.2169260987375</v>
      </c>
      <c r="AK46" s="44">
        <f>HLOOKUP(I46,GasAvoidedCostsWOCC!$A$5:$Q$50,G46+1,FALSE)*J46*L46</f>
        <v>0</v>
      </c>
      <c r="AL46" s="44">
        <f t="shared" si="33"/>
        <v>9085.2169260987375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9085.2169260987375</v>
      </c>
      <c r="AN46" s="48">
        <f t="shared" si="34"/>
        <v>9993.7386187086122</v>
      </c>
      <c r="AO46" s="47">
        <f t="shared" si="35"/>
        <v>0.36996738104643373</v>
      </c>
      <c r="AP46" s="47">
        <f t="shared" si="36"/>
        <v>0.26238799916906452</v>
      </c>
      <c r="AQ46">
        <v>2020</v>
      </c>
    </row>
    <row r="47" spans="2:43">
      <c r="B47" s="97" t="s">
        <v>108</v>
      </c>
      <c r="C47" s="100">
        <v>18230670</v>
      </c>
      <c r="D47" s="100" t="s">
        <v>109</v>
      </c>
      <c r="E47" s="38" t="s">
        <v>1487</v>
      </c>
      <c r="F47" s="39" t="s">
        <v>1488</v>
      </c>
      <c r="G47" s="39">
        <v>20</v>
      </c>
      <c r="H47" s="39"/>
      <c r="I47" s="40" t="s">
        <v>269</v>
      </c>
      <c r="J47" s="41">
        <v>26</v>
      </c>
      <c r="K47" s="41">
        <v>110</v>
      </c>
      <c r="L47" s="41"/>
      <c r="M47" s="42">
        <v>4290</v>
      </c>
      <c r="N47" s="42">
        <v>4290</v>
      </c>
      <c r="O47" s="43">
        <v>2860</v>
      </c>
      <c r="P47" s="44">
        <v>141612.75</v>
      </c>
      <c r="Q47" s="44">
        <v>141612.75</v>
      </c>
      <c r="R47" s="45">
        <v>0</v>
      </c>
      <c r="S47" s="46"/>
      <c r="T47" s="39">
        <f t="shared" si="18"/>
        <v>20</v>
      </c>
      <c r="U47" s="47">
        <f t="shared" si="19"/>
        <v>1.8152034075049146</v>
      </c>
      <c r="V47" s="48">
        <f t="shared" si="20"/>
        <v>0</v>
      </c>
      <c r="W47" s="49">
        <f t="shared" si="21"/>
        <v>9.0760170375245725E-2</v>
      </c>
      <c r="X47" s="44">
        <f t="shared" si="22"/>
        <v>13436.905268596158</v>
      </c>
      <c r="Y47" s="44">
        <f t="shared" si="23"/>
        <v>0</v>
      </c>
      <c r="Z47" s="44">
        <f t="shared" si="24"/>
        <v>113829.79650681245</v>
      </c>
      <c r="AA47" s="50">
        <f t="shared" si="25"/>
        <v>155049.65526859617</v>
      </c>
      <c r="AB47" s="51">
        <f t="shared" si="26"/>
        <v>106412.82276041174</v>
      </c>
      <c r="AC47" s="44">
        <f t="shared" si="27"/>
        <v>144946.85918350579</v>
      </c>
      <c r="AD47" s="44">
        <f t="shared" si="28"/>
        <v>0</v>
      </c>
      <c r="AE47" s="44">
        <f t="shared" si="29"/>
        <v>0</v>
      </c>
      <c r="AF47" s="52">
        <f>HLOOKUP(I47,GasAvoidedCostsWOCC!$A$5:$G$50,G47+1,FALSE)</f>
        <v>13.765480191058694</v>
      </c>
      <c r="AG47" s="44">
        <f t="shared" si="30"/>
        <v>39369.273346427864</v>
      </c>
      <c r="AH47" s="52">
        <f>HLOOKUP(I47,GasAvoidedCostsWOCC!$A$5:$Q$50,T47+1,FALSE)</f>
        <v>13.765480191058694</v>
      </c>
      <c r="AI47" s="44">
        <f t="shared" si="31"/>
        <v>0</v>
      </c>
      <c r="AJ47" s="44">
        <f t="shared" si="32"/>
        <v>39369.273346427864</v>
      </c>
      <c r="AK47" s="44">
        <f>HLOOKUP(I47,GasAvoidedCostsWOCC!$A$5:$Q$50,G47+1,FALSE)*J47*L47</f>
        <v>0</v>
      </c>
      <c r="AL47" s="44">
        <f t="shared" si="33"/>
        <v>39369.273346427864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39369.273346427872</v>
      </c>
      <c r="AN47" s="48">
        <f t="shared" si="34"/>
        <v>43306.200681070659</v>
      </c>
      <c r="AO47" s="47">
        <f t="shared" si="35"/>
        <v>0.36996738104643379</v>
      </c>
      <c r="AP47" s="47">
        <f t="shared" si="36"/>
        <v>0.2987729497901303</v>
      </c>
      <c r="AQ47">
        <v>2020</v>
      </c>
    </row>
    <row r="48" spans="2:43">
      <c r="B48" s="97" t="s">
        <v>108</v>
      </c>
      <c r="C48" s="100">
        <v>18230671</v>
      </c>
      <c r="D48" s="100" t="s">
        <v>109</v>
      </c>
      <c r="E48" s="38" t="s">
        <v>2476</v>
      </c>
      <c r="F48" s="39" t="s">
        <v>1496</v>
      </c>
      <c r="G48" s="39">
        <v>45</v>
      </c>
      <c r="H48" s="39"/>
      <c r="I48" s="40" t="s">
        <v>269</v>
      </c>
      <c r="J48" s="41">
        <v>2023</v>
      </c>
      <c r="K48" s="41">
        <v>0.2</v>
      </c>
      <c r="L48" s="41"/>
      <c r="M48" s="42">
        <v>6.46</v>
      </c>
      <c r="N48" s="42">
        <v>6.46</v>
      </c>
      <c r="O48" s="43">
        <v>404.6</v>
      </c>
      <c r="P48" s="44">
        <v>12059.68</v>
      </c>
      <c r="Q48" s="44">
        <v>12059.68</v>
      </c>
      <c r="R48" s="45">
        <v>0</v>
      </c>
      <c r="S48" s="46"/>
      <c r="T48" s="39">
        <f t="shared" si="18"/>
        <v>45</v>
      </c>
      <c r="U48" s="47">
        <f t="shared" si="19"/>
        <v>0.5777868608468878</v>
      </c>
      <c r="V48" s="48">
        <f t="shared" si="20"/>
        <v>0</v>
      </c>
      <c r="W48" s="49">
        <f t="shared" si="21"/>
        <v>1.2839708018819729E-2</v>
      </c>
      <c r="X48" s="44">
        <f t="shared" si="22"/>
        <v>1900.899255830072</v>
      </c>
      <c r="Y48" s="44">
        <f t="shared" si="23"/>
        <v>0</v>
      </c>
      <c r="Z48" s="44">
        <f t="shared" si="24"/>
        <v>16103.334149180531</v>
      </c>
      <c r="AA48" s="50">
        <f t="shared" si="25"/>
        <v>13960.579255830073</v>
      </c>
      <c r="AB48" s="51">
        <f t="shared" si="26"/>
        <v>15054.065765336571</v>
      </c>
      <c r="AC48" s="44">
        <f t="shared" si="27"/>
        <v>13050.929471655671</v>
      </c>
      <c r="AD48" s="44">
        <f t="shared" si="28"/>
        <v>0</v>
      </c>
      <c r="AE48" s="44">
        <f t="shared" si="29"/>
        <v>0</v>
      </c>
      <c r="AF48" s="52">
        <f>HLOOKUP(I48,GasAvoidedCostsWOCC!$A$5:$G$50,G48+1,FALSE)</f>
        <v>27.444232870165703</v>
      </c>
      <c r="AG48" s="44">
        <f t="shared" si="30"/>
        <v>11103.936619269043</v>
      </c>
      <c r="AH48" s="52">
        <f>HLOOKUP(I48,GasAvoidedCostsWOCC!$A$5:$Q$50,T48+1,FALSE)</f>
        <v>27.444232870165703</v>
      </c>
      <c r="AI48" s="44">
        <f t="shared" si="31"/>
        <v>0</v>
      </c>
      <c r="AJ48" s="44">
        <f t="shared" si="32"/>
        <v>11103.936619269043</v>
      </c>
      <c r="AK48" s="44">
        <f>HLOOKUP(I48,GasAvoidedCostsWOCC!$A$5:$Q$50,G48+1,FALSE)*J48*L48</f>
        <v>0</v>
      </c>
      <c r="AL48" s="44">
        <f t="shared" si="33"/>
        <v>11103.936619269043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11103.936619269043</v>
      </c>
      <c r="AN48" s="48">
        <f t="shared" si="34"/>
        <v>12214.330281195949</v>
      </c>
      <c r="AO48" s="47">
        <f t="shared" si="35"/>
        <v>0.73760383356614012</v>
      </c>
      <c r="AP48" s="47">
        <f t="shared" si="36"/>
        <v>0.93589734797995283</v>
      </c>
      <c r="AQ48">
        <v>2020</v>
      </c>
    </row>
    <row r="49" spans="2:43">
      <c r="B49" s="97" t="s">
        <v>108</v>
      </c>
      <c r="C49" s="100">
        <v>18230672</v>
      </c>
      <c r="D49" s="100" t="s">
        <v>109</v>
      </c>
      <c r="E49" s="38" t="s">
        <v>2479</v>
      </c>
      <c r="F49" s="39" t="s">
        <v>1502</v>
      </c>
      <c r="G49" s="39">
        <v>25</v>
      </c>
      <c r="H49" s="39"/>
      <c r="I49" s="40" t="s">
        <v>269</v>
      </c>
      <c r="J49" s="41">
        <v>2396</v>
      </c>
      <c r="K49" s="41">
        <v>0.02</v>
      </c>
      <c r="L49" s="41"/>
      <c r="M49" s="42">
        <v>2.37</v>
      </c>
      <c r="N49" s="42">
        <v>2.37</v>
      </c>
      <c r="O49" s="43">
        <v>47.92</v>
      </c>
      <c r="P49" s="44">
        <v>7382.08</v>
      </c>
      <c r="Q49" s="44">
        <v>7382.08</v>
      </c>
      <c r="R49" s="45">
        <v>0</v>
      </c>
      <c r="S49" s="46">
        <v>0</v>
      </c>
      <c r="T49" s="39">
        <f t="shared" si="18"/>
        <v>25</v>
      </c>
      <c r="U49" s="47">
        <f t="shared" si="19"/>
        <v>3.801772171662391E-2</v>
      </c>
      <c r="V49" s="48">
        <f t="shared" si="20"/>
        <v>0</v>
      </c>
      <c r="W49" s="49">
        <f t="shared" si="21"/>
        <v>1.5207088686649563E-3</v>
      </c>
      <c r="X49" s="44">
        <f t="shared" si="22"/>
        <v>225.13863652836639</v>
      </c>
      <c r="Y49" s="44">
        <f t="shared" si="23"/>
        <v>0</v>
      </c>
      <c r="Z49" s="44">
        <f t="shared" si="24"/>
        <v>1907.2461009113467</v>
      </c>
      <c r="AA49" s="50">
        <f t="shared" si="25"/>
        <v>7607.218636528366</v>
      </c>
      <c r="AB49" s="51">
        <f t="shared" si="26"/>
        <v>1782.9728904471783</v>
      </c>
      <c r="AC49" s="44">
        <f t="shared" si="27"/>
        <v>7111.5440184428953</v>
      </c>
      <c r="AD49" s="44">
        <f t="shared" si="28"/>
        <v>0</v>
      </c>
      <c r="AE49" s="44">
        <f t="shared" si="29"/>
        <v>0</v>
      </c>
      <c r="AF49" s="52">
        <f>HLOOKUP(I49,GasAvoidedCostsWOCC!$A$5:$G$50,G49+1,FALSE)</f>
        <v>16.472554524074432</v>
      </c>
      <c r="AG49" s="44">
        <f t="shared" si="30"/>
        <v>789.36481279364682</v>
      </c>
      <c r="AH49" s="52">
        <f>HLOOKUP(I49,GasAvoidedCostsWOCC!$A$5:$Q$50,T49+1,FALSE)</f>
        <v>16.472554524074432</v>
      </c>
      <c r="AI49" s="44">
        <f t="shared" si="31"/>
        <v>0</v>
      </c>
      <c r="AJ49" s="44">
        <f t="shared" si="32"/>
        <v>789.36481279364682</v>
      </c>
      <c r="AK49" s="44">
        <f>HLOOKUP(I49,GasAvoidedCostsWOCC!$A$5:$Q$50,G49+1,FALSE)*J49*L49</f>
        <v>0</v>
      </c>
      <c r="AL49" s="44">
        <f t="shared" si="33"/>
        <v>789.36481279364682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789.36481279364671</v>
      </c>
      <c r="AN49" s="48">
        <f t="shared" si="34"/>
        <v>868.30129407301149</v>
      </c>
      <c r="AO49" s="47">
        <f t="shared" si="35"/>
        <v>0.44272395672581993</v>
      </c>
      <c r="AP49" s="47">
        <f t="shared" si="36"/>
        <v>0.12209743648090784</v>
      </c>
      <c r="AQ49">
        <v>2020</v>
      </c>
    </row>
    <row r="50" spans="2:43">
      <c r="B50" s="97" t="s">
        <v>108</v>
      </c>
      <c r="C50" s="100">
        <v>18230673</v>
      </c>
      <c r="D50" s="100" t="s">
        <v>109</v>
      </c>
      <c r="E50" s="38" t="s">
        <v>2483</v>
      </c>
      <c r="F50" s="39" t="s">
        <v>1512</v>
      </c>
      <c r="G50" s="39">
        <v>45</v>
      </c>
      <c r="H50" s="39"/>
      <c r="I50" s="40" t="s">
        <v>269</v>
      </c>
      <c r="J50" s="41">
        <v>11091</v>
      </c>
      <c r="K50" s="41">
        <v>0.04</v>
      </c>
      <c r="L50" s="41"/>
      <c r="M50" s="42">
        <v>2.14</v>
      </c>
      <c r="N50" s="42">
        <v>2.14</v>
      </c>
      <c r="O50" s="43">
        <v>443.64</v>
      </c>
      <c r="P50" s="44">
        <v>31413.02</v>
      </c>
      <c r="Q50" s="44">
        <v>31413.02</v>
      </c>
      <c r="R50" s="45">
        <v>0</v>
      </c>
      <c r="S50" s="46">
        <v>0</v>
      </c>
      <c r="T50" s="39">
        <f t="shared" si="18"/>
        <v>45</v>
      </c>
      <c r="U50" s="47">
        <f t="shared" si="19"/>
        <v>0.6335377235445212</v>
      </c>
      <c r="V50" s="48">
        <f t="shared" si="20"/>
        <v>0</v>
      </c>
      <c r="W50" s="49">
        <f t="shared" si="21"/>
        <v>1.4078616078767137E-2</v>
      </c>
      <c r="X50" s="44">
        <f t="shared" si="22"/>
        <v>2084.3177109650346</v>
      </c>
      <c r="Y50" s="44">
        <f t="shared" si="23"/>
        <v>0</v>
      </c>
      <c r="Z50" s="44">
        <f t="shared" si="24"/>
        <v>17657.150672126667</v>
      </c>
      <c r="AA50" s="50">
        <f t="shared" si="25"/>
        <v>33497.337710965032</v>
      </c>
      <c r="AB50" s="51">
        <f t="shared" si="26"/>
        <v>16506.638003296874</v>
      </c>
      <c r="AC50" s="44">
        <f t="shared" si="27"/>
        <v>31314.702917607767</v>
      </c>
      <c r="AD50" s="44">
        <f t="shared" si="28"/>
        <v>0</v>
      </c>
      <c r="AE50" s="44">
        <f t="shared" si="29"/>
        <v>0</v>
      </c>
      <c r="AF50" s="52">
        <f>HLOOKUP(I50,GasAvoidedCostsWOCC!$A$5:$G$50,G50+1,FALSE)</f>
        <v>27.444232870165703</v>
      </c>
      <c r="AG50" s="44">
        <f t="shared" si="30"/>
        <v>12175.359470520312</v>
      </c>
      <c r="AH50" s="52">
        <f>HLOOKUP(I50,GasAvoidedCostsWOCC!$A$5:$Q$50,T50+1,FALSE)</f>
        <v>27.444232870165703</v>
      </c>
      <c r="AI50" s="44">
        <f t="shared" si="31"/>
        <v>0</v>
      </c>
      <c r="AJ50" s="44">
        <f t="shared" si="32"/>
        <v>12175.359470520312</v>
      </c>
      <c r="AK50" s="44">
        <f>HLOOKUP(I50,GasAvoidedCostsWOCC!$A$5:$Q$50,G50+1,FALSE)*J50*L50</f>
        <v>0</v>
      </c>
      <c r="AL50" s="44">
        <f t="shared" si="33"/>
        <v>12175.359470520312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12175.359470520312</v>
      </c>
      <c r="AN50" s="48">
        <f t="shared" si="34"/>
        <v>13392.895417572345</v>
      </c>
      <c r="AO50" s="47">
        <f t="shared" si="35"/>
        <v>0.73760383356614023</v>
      </c>
      <c r="AP50" s="47">
        <f t="shared" si="36"/>
        <v>0.42768712999802178</v>
      </c>
      <c r="AQ50">
        <v>2020</v>
      </c>
    </row>
    <row r="51" spans="2:43">
      <c r="B51" s="97" t="s">
        <v>108</v>
      </c>
      <c r="C51" s="100">
        <v>18230674</v>
      </c>
      <c r="D51" s="100" t="s">
        <v>109</v>
      </c>
      <c r="E51" s="38" t="s">
        <v>2488</v>
      </c>
      <c r="F51" s="39" t="s">
        <v>2489</v>
      </c>
      <c r="G51" s="39">
        <v>45</v>
      </c>
      <c r="H51" s="39"/>
      <c r="I51" s="40" t="s">
        <v>269</v>
      </c>
      <c r="J51" s="41">
        <v>3372</v>
      </c>
      <c r="K51" s="41">
        <v>9.0000000000000011E-2</v>
      </c>
      <c r="L51" s="41"/>
      <c r="M51" s="42">
        <v>0</v>
      </c>
      <c r="N51" s="42">
        <v>0</v>
      </c>
      <c r="O51" s="43">
        <v>303.48</v>
      </c>
      <c r="P51" s="44">
        <v>0</v>
      </c>
      <c r="Q51" s="44">
        <v>11431.12</v>
      </c>
      <c r="R51" s="45">
        <v>0</v>
      </c>
      <c r="S51" s="46">
        <v>0</v>
      </c>
      <c r="T51" s="39">
        <f t="shared" si="18"/>
        <v>45</v>
      </c>
      <c r="U51" s="47">
        <f t="shared" si="19"/>
        <v>0.43338298697432903</v>
      </c>
      <c r="V51" s="48">
        <f t="shared" si="20"/>
        <v>0</v>
      </c>
      <c r="W51" s="49">
        <f t="shared" si="21"/>
        <v>9.6307330438739781E-3</v>
      </c>
      <c r="X51" s="44">
        <f t="shared" si="22"/>
        <v>1425.8153884313156</v>
      </c>
      <c r="Y51" s="44">
        <f t="shared" si="23"/>
        <v>11431.12</v>
      </c>
      <c r="Z51" s="44">
        <f t="shared" si="24"/>
        <v>12078.694630729877</v>
      </c>
      <c r="AA51" s="50">
        <f t="shared" si="25"/>
        <v>12856.935388431317</v>
      </c>
      <c r="AB51" s="51">
        <f t="shared" si="26"/>
        <v>11291.665542422994</v>
      </c>
      <c r="AC51" s="44">
        <f t="shared" si="27"/>
        <v>12019.197334235127</v>
      </c>
      <c r="AD51" s="44">
        <f t="shared" si="28"/>
        <v>0</v>
      </c>
      <c r="AE51" s="44">
        <f t="shared" si="29"/>
        <v>0</v>
      </c>
      <c r="AF51" s="52">
        <f>HLOOKUP(I51,GasAvoidedCostsWOCC!$A$5:$G$50,G51+1,FALSE)</f>
        <v>27.444232870165703</v>
      </c>
      <c r="AG51" s="44">
        <f t="shared" si="30"/>
        <v>8328.775791437889</v>
      </c>
      <c r="AH51" s="52">
        <f>HLOOKUP(I51,GasAvoidedCostsWOCC!$A$5:$Q$50,T51+1,FALSE)</f>
        <v>27.444232870165703</v>
      </c>
      <c r="AI51" s="44">
        <f t="shared" si="31"/>
        <v>0</v>
      </c>
      <c r="AJ51" s="44">
        <f t="shared" si="32"/>
        <v>8328.775791437889</v>
      </c>
      <c r="AK51" s="44">
        <f>HLOOKUP(I51,GasAvoidedCostsWOCC!$A$5:$Q$50,G51+1,FALSE)*J51*L51</f>
        <v>0</v>
      </c>
      <c r="AL51" s="44">
        <f t="shared" si="33"/>
        <v>8328.775791437889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8328.775791437889</v>
      </c>
      <c r="AN51" s="48">
        <f t="shared" si="34"/>
        <v>9161.6533705816782</v>
      </c>
      <c r="AO51" s="47">
        <f t="shared" si="35"/>
        <v>0.73760383356614012</v>
      </c>
      <c r="AP51" s="47">
        <f t="shared" si="36"/>
        <v>0.76225168085774708</v>
      </c>
      <c r="AQ51">
        <v>2020</v>
      </c>
    </row>
    <row r="52" spans="2:43">
      <c r="B52" s="97" t="s">
        <v>108</v>
      </c>
      <c r="C52" s="100">
        <v>18230675</v>
      </c>
      <c r="D52" s="100" t="s">
        <v>109</v>
      </c>
      <c r="E52" s="38" t="s">
        <v>2491</v>
      </c>
      <c r="F52" s="39" t="s">
        <v>1520</v>
      </c>
      <c r="G52" s="39">
        <v>45</v>
      </c>
      <c r="H52" s="39"/>
      <c r="I52" s="40" t="s">
        <v>269</v>
      </c>
      <c r="J52" s="41">
        <v>24651</v>
      </c>
      <c r="K52" s="41">
        <v>0.09</v>
      </c>
      <c r="L52" s="41"/>
      <c r="M52" s="42">
        <v>2.75</v>
      </c>
      <c r="N52" s="42">
        <v>2.75</v>
      </c>
      <c r="O52" s="43">
        <v>2218.59</v>
      </c>
      <c r="P52" s="44">
        <v>88302.36</v>
      </c>
      <c r="Q52" s="44">
        <v>88302.36</v>
      </c>
      <c r="R52" s="45">
        <v>0</v>
      </c>
      <c r="S52" s="46">
        <v>0</v>
      </c>
      <c r="T52" s="39">
        <f t="shared" si="18"/>
        <v>45</v>
      </c>
      <c r="U52" s="47">
        <f t="shared" si="19"/>
        <v>3.168245555131727</v>
      </c>
      <c r="V52" s="48">
        <f t="shared" si="20"/>
        <v>0</v>
      </c>
      <c r="W52" s="49">
        <f t="shared" si="21"/>
        <v>7.0405456780705047E-2</v>
      </c>
      <c r="X52" s="44">
        <f t="shared" si="22"/>
        <v>10423.420860089074</v>
      </c>
      <c r="Y52" s="44">
        <f t="shared" si="23"/>
        <v>0</v>
      </c>
      <c r="Z52" s="44">
        <f t="shared" si="24"/>
        <v>88301.275605611547</v>
      </c>
      <c r="AA52" s="50">
        <f t="shared" si="25"/>
        <v>98725.780860089071</v>
      </c>
      <c r="AB52" s="51">
        <f t="shared" si="26"/>
        <v>82547.700855951698</v>
      </c>
      <c r="AC52" s="44">
        <f t="shared" si="27"/>
        <v>92292.961447217967</v>
      </c>
      <c r="AD52" s="44">
        <f t="shared" si="28"/>
        <v>0</v>
      </c>
      <c r="AE52" s="44">
        <f t="shared" si="29"/>
        <v>0</v>
      </c>
      <c r="AF52" s="52">
        <f>HLOOKUP(I52,GasAvoidedCostsWOCC!$A$5:$G$50,G52+1,FALSE)</f>
        <v>27.444232870165703</v>
      </c>
      <c r="AG52" s="44">
        <f t="shared" si="30"/>
        <v>60887.500603420929</v>
      </c>
      <c r="AH52" s="52">
        <f>HLOOKUP(I52,GasAvoidedCostsWOCC!$A$5:$Q$50,T52+1,FALSE)</f>
        <v>27.444232870165703</v>
      </c>
      <c r="AI52" s="44">
        <f t="shared" si="31"/>
        <v>0</v>
      </c>
      <c r="AJ52" s="44">
        <f t="shared" si="32"/>
        <v>60887.500603420929</v>
      </c>
      <c r="AK52" s="44">
        <f>HLOOKUP(I52,GasAvoidedCostsWOCC!$A$5:$Q$50,G52+1,FALSE)*J52*L52</f>
        <v>0</v>
      </c>
      <c r="AL52" s="44">
        <f t="shared" si="33"/>
        <v>60887.500603420929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60887.500603420929</v>
      </c>
      <c r="AN52" s="48">
        <f t="shared" si="34"/>
        <v>66976.250663763029</v>
      </c>
      <c r="AO52" s="47">
        <f t="shared" si="35"/>
        <v>0.73760383356614023</v>
      </c>
      <c r="AP52" s="47">
        <f t="shared" si="36"/>
        <v>0.72569185790041546</v>
      </c>
      <c r="AQ52">
        <v>2020</v>
      </c>
    </row>
    <row r="53" spans="2:43">
      <c r="B53" s="97" t="s">
        <v>108</v>
      </c>
      <c r="C53" s="100">
        <v>18230678</v>
      </c>
      <c r="D53" s="100" t="s">
        <v>109</v>
      </c>
      <c r="E53" s="38" t="s">
        <v>2492</v>
      </c>
      <c r="F53" s="39" t="s">
        <v>1525</v>
      </c>
      <c r="G53" s="39">
        <v>25</v>
      </c>
      <c r="H53" s="39"/>
      <c r="I53" s="40" t="s">
        <v>269</v>
      </c>
      <c r="J53" s="41">
        <v>1536</v>
      </c>
      <c r="K53" s="41">
        <v>0.01</v>
      </c>
      <c r="L53" s="41"/>
      <c r="M53" s="42">
        <v>2.0299999999999998</v>
      </c>
      <c r="N53" s="42">
        <v>2.0299999999999998</v>
      </c>
      <c r="O53" s="43">
        <v>15.36</v>
      </c>
      <c r="P53" s="44">
        <v>4053.5</v>
      </c>
      <c r="Q53" s="44">
        <v>4053.5</v>
      </c>
      <c r="R53" s="45">
        <v>0</v>
      </c>
      <c r="S53" s="46">
        <v>0</v>
      </c>
      <c r="T53" s="39">
        <f t="shared" si="18"/>
        <v>25</v>
      </c>
      <c r="U53" s="47">
        <f t="shared" si="19"/>
        <v>1.2185980917515511E-2</v>
      </c>
      <c r="V53" s="48">
        <f t="shared" si="20"/>
        <v>0</v>
      </c>
      <c r="W53" s="49">
        <f t="shared" si="21"/>
        <v>4.8743923670062041E-4</v>
      </c>
      <c r="X53" s="44">
        <f t="shared" si="22"/>
        <v>72.164638085887063</v>
      </c>
      <c r="Y53" s="44">
        <f t="shared" si="23"/>
        <v>0</v>
      </c>
      <c r="Z53" s="44">
        <f t="shared" si="24"/>
        <v>611.33764837225146</v>
      </c>
      <c r="AA53" s="50">
        <f t="shared" si="25"/>
        <v>4125.6646380858874</v>
      </c>
      <c r="AB53" s="51">
        <f t="shared" si="26"/>
        <v>571.50383132864488</v>
      </c>
      <c r="AC53" s="44">
        <f t="shared" si="27"/>
        <v>3856.8427017723538</v>
      </c>
      <c r="AD53" s="44">
        <f t="shared" si="28"/>
        <v>0</v>
      </c>
      <c r="AE53" s="44">
        <f t="shared" si="29"/>
        <v>0</v>
      </c>
      <c r="AF53" s="52">
        <f>HLOOKUP(I53,GasAvoidedCostsWOCC!$A$5:$G$50,G53+1,FALSE)</f>
        <v>16.472554524074432</v>
      </c>
      <c r="AG53" s="44">
        <f t="shared" si="30"/>
        <v>253.01843748978328</v>
      </c>
      <c r="AH53" s="52">
        <f>HLOOKUP(I53,GasAvoidedCostsWOCC!$A$5:$Q$50,T53+1,FALSE)</f>
        <v>16.472554524074432</v>
      </c>
      <c r="AI53" s="44">
        <f t="shared" si="31"/>
        <v>0</v>
      </c>
      <c r="AJ53" s="44">
        <f t="shared" si="32"/>
        <v>253.01843748978328</v>
      </c>
      <c r="AK53" s="44">
        <f>HLOOKUP(I53,GasAvoidedCostsWOCC!$A$5:$Q$50,G53+1,FALSE)*J53*L53</f>
        <v>0</v>
      </c>
      <c r="AL53" s="44">
        <f t="shared" si="33"/>
        <v>253.01843748978328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253.01843748978325</v>
      </c>
      <c r="AN53" s="48">
        <f t="shared" si="34"/>
        <v>278.32028123876159</v>
      </c>
      <c r="AO53" s="47">
        <f t="shared" si="35"/>
        <v>0.44272395672581988</v>
      </c>
      <c r="AP53" s="47">
        <f t="shared" si="36"/>
        <v>7.2162725514023099E-2</v>
      </c>
      <c r="AQ53">
        <v>2020</v>
      </c>
    </row>
    <row r="54" spans="2:43">
      <c r="B54" s="97" t="s">
        <v>108</v>
      </c>
      <c r="C54" s="100">
        <v>18230678</v>
      </c>
      <c r="D54" s="100" t="s">
        <v>109</v>
      </c>
      <c r="E54" s="38" t="s">
        <v>2494</v>
      </c>
      <c r="F54" s="39" t="s">
        <v>1529</v>
      </c>
      <c r="G54" s="39">
        <v>45</v>
      </c>
      <c r="H54" s="39"/>
      <c r="I54" s="40" t="s">
        <v>269</v>
      </c>
      <c r="J54" s="41">
        <v>1488</v>
      </c>
      <c r="K54" s="41">
        <v>0.09</v>
      </c>
      <c r="L54" s="41"/>
      <c r="M54" s="42">
        <v>2.4300000000000002</v>
      </c>
      <c r="N54" s="42">
        <v>2.4300000000000002</v>
      </c>
      <c r="O54" s="43">
        <v>133.91999999999999</v>
      </c>
      <c r="P54" s="44">
        <v>4481.09</v>
      </c>
      <c r="Q54" s="44">
        <v>4481.09</v>
      </c>
      <c r="R54" s="45">
        <v>0</v>
      </c>
      <c r="S54" s="46">
        <v>0</v>
      </c>
      <c r="T54" s="39">
        <f t="shared" si="18"/>
        <v>45</v>
      </c>
      <c r="U54" s="47">
        <f t="shared" si="19"/>
        <v>0.19124373802425904</v>
      </c>
      <c r="V54" s="48">
        <f t="shared" si="20"/>
        <v>0</v>
      </c>
      <c r="W54" s="49">
        <f t="shared" si="21"/>
        <v>4.2498608449835339E-3</v>
      </c>
      <c r="X54" s="44">
        <f t="shared" si="22"/>
        <v>629.18543831132774</v>
      </c>
      <c r="Y54" s="44">
        <f t="shared" si="23"/>
        <v>0</v>
      </c>
      <c r="Z54" s="44">
        <f t="shared" si="24"/>
        <v>5330.1001217455669</v>
      </c>
      <c r="AA54" s="50">
        <f t="shared" si="25"/>
        <v>5110.2754383113279</v>
      </c>
      <c r="AB54" s="51">
        <f t="shared" si="26"/>
        <v>4982.7990293966222</v>
      </c>
      <c r="AC54" s="44">
        <f t="shared" si="27"/>
        <v>4777.2977828468984</v>
      </c>
      <c r="AD54" s="44">
        <f t="shared" si="28"/>
        <v>0</v>
      </c>
      <c r="AE54" s="44">
        <f t="shared" si="29"/>
        <v>0</v>
      </c>
      <c r="AF54" s="52">
        <f>HLOOKUP(I54,GasAvoidedCostsWOCC!$A$5:$G$50,G54+1,FALSE)</f>
        <v>27.444232870165703</v>
      </c>
      <c r="AG54" s="44">
        <f t="shared" si="30"/>
        <v>3675.3316659725906</v>
      </c>
      <c r="AH54" s="52">
        <f>HLOOKUP(I54,GasAvoidedCostsWOCC!$A$5:$Q$50,T54+1,FALSE)</f>
        <v>27.444232870165703</v>
      </c>
      <c r="AI54" s="44">
        <f t="shared" si="31"/>
        <v>0</v>
      </c>
      <c r="AJ54" s="44">
        <f t="shared" si="32"/>
        <v>3675.3316659725906</v>
      </c>
      <c r="AK54" s="44">
        <f>HLOOKUP(I54,GasAvoidedCostsWOCC!$A$5:$Q$50,G54+1,FALSE)*J54*L54</f>
        <v>0</v>
      </c>
      <c r="AL54" s="44">
        <f t="shared" si="33"/>
        <v>3675.3316659725906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3675.3316659725911</v>
      </c>
      <c r="AN54" s="48">
        <f t="shared" si="34"/>
        <v>4042.8648325698505</v>
      </c>
      <c r="AO54" s="47">
        <f t="shared" si="35"/>
        <v>0.73760383356614023</v>
      </c>
      <c r="AP54" s="47">
        <f t="shared" si="36"/>
        <v>0.84626603078542384</v>
      </c>
      <c r="AQ54">
        <v>2020</v>
      </c>
    </row>
    <row r="55" spans="2:43">
      <c r="B55" s="97" t="s">
        <v>108</v>
      </c>
      <c r="C55" s="100">
        <v>18230678</v>
      </c>
      <c r="D55" s="100" t="s">
        <v>109</v>
      </c>
      <c r="E55" s="38" t="s">
        <v>2496</v>
      </c>
      <c r="F55" s="39" t="s">
        <v>1533</v>
      </c>
      <c r="G55" s="39">
        <v>45</v>
      </c>
      <c r="H55" s="39"/>
      <c r="I55" s="40" t="s">
        <v>269</v>
      </c>
      <c r="J55" s="41">
        <v>6386</v>
      </c>
      <c r="K55" s="41">
        <v>0.02</v>
      </c>
      <c r="L55" s="41"/>
      <c r="M55" s="42">
        <v>1.59</v>
      </c>
      <c r="N55" s="42">
        <v>1.59</v>
      </c>
      <c r="O55" s="43">
        <v>127.72</v>
      </c>
      <c r="P55" s="44">
        <v>13199.87</v>
      </c>
      <c r="Q55" s="44">
        <v>13199.87</v>
      </c>
      <c r="R55" s="45">
        <v>0</v>
      </c>
      <c r="S55" s="46">
        <v>0</v>
      </c>
      <c r="T55" s="39">
        <f t="shared" si="18"/>
        <v>45</v>
      </c>
      <c r="U55" s="47">
        <f t="shared" si="19"/>
        <v>0.18238986126387668</v>
      </c>
      <c r="V55" s="48">
        <f t="shared" si="20"/>
        <v>0</v>
      </c>
      <c r="W55" s="49">
        <f t="shared" si="21"/>
        <v>4.0531080280861486E-3</v>
      </c>
      <c r="X55" s="44">
        <f t="shared" si="22"/>
        <v>600.05648283395158</v>
      </c>
      <c r="Y55" s="44">
        <f t="shared" si="23"/>
        <v>0</v>
      </c>
      <c r="Z55" s="44">
        <f t="shared" si="24"/>
        <v>5083.3362272203103</v>
      </c>
      <c r="AA55" s="50">
        <f t="shared" si="25"/>
        <v>13799.926482833953</v>
      </c>
      <c r="AB55" s="51">
        <f t="shared" si="26"/>
        <v>4752.113889146779</v>
      </c>
      <c r="AC55" s="44">
        <f t="shared" si="27"/>
        <v>12900.744585242546</v>
      </c>
      <c r="AD55" s="44">
        <f t="shared" si="28"/>
        <v>0</v>
      </c>
      <c r="AE55" s="44">
        <f t="shared" si="29"/>
        <v>0</v>
      </c>
      <c r="AF55" s="52">
        <f>HLOOKUP(I55,GasAvoidedCostsWOCC!$A$5:$G$50,G55+1,FALSE)</f>
        <v>27.444232870165703</v>
      </c>
      <c r="AG55" s="44">
        <f t="shared" si="30"/>
        <v>3505.1774221775636</v>
      </c>
      <c r="AH55" s="52">
        <f>HLOOKUP(I55,GasAvoidedCostsWOCC!$A$5:$Q$50,T55+1,FALSE)</f>
        <v>27.444232870165703</v>
      </c>
      <c r="AI55" s="44">
        <f t="shared" si="31"/>
        <v>0</v>
      </c>
      <c r="AJ55" s="44">
        <f t="shared" si="32"/>
        <v>3505.1774221775636</v>
      </c>
      <c r="AK55" s="44">
        <f>HLOOKUP(I55,GasAvoidedCostsWOCC!$A$5:$Q$50,G55+1,FALSE)*J55*L55</f>
        <v>0</v>
      </c>
      <c r="AL55" s="44">
        <f t="shared" si="33"/>
        <v>3505.1774221775636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3505.1774221775636</v>
      </c>
      <c r="AN55" s="48">
        <f t="shared" si="34"/>
        <v>3855.6951643953203</v>
      </c>
      <c r="AO55" s="47">
        <f t="shared" si="35"/>
        <v>0.73760383356614012</v>
      </c>
      <c r="AP55" s="47">
        <f t="shared" si="36"/>
        <v>0.29887384708057374</v>
      </c>
      <c r="AQ55">
        <v>2020</v>
      </c>
    </row>
    <row r="56" spans="2:43">
      <c r="B56" s="97" t="s">
        <v>108</v>
      </c>
      <c r="C56" s="100">
        <v>18230678</v>
      </c>
      <c r="D56" s="100" t="s">
        <v>109</v>
      </c>
      <c r="E56" s="38" t="s">
        <v>2513</v>
      </c>
      <c r="F56" s="39" t="s">
        <v>2514</v>
      </c>
      <c r="G56" s="39">
        <v>25</v>
      </c>
      <c r="H56" s="39"/>
      <c r="I56" s="40" t="s">
        <v>269</v>
      </c>
      <c r="J56" s="41">
        <v>1426</v>
      </c>
      <c r="K56" s="41">
        <v>0.01</v>
      </c>
      <c r="L56" s="41"/>
      <c r="M56" s="42">
        <v>1.1499999999999999</v>
      </c>
      <c r="N56" s="42">
        <v>1.1499999999999999</v>
      </c>
      <c r="O56" s="43">
        <v>14.26</v>
      </c>
      <c r="P56" s="44">
        <v>2131.87</v>
      </c>
      <c r="Q56" s="44">
        <v>2131.87</v>
      </c>
      <c r="R56" s="45">
        <v>0</v>
      </c>
      <c r="S56" s="46">
        <v>0</v>
      </c>
      <c r="T56" s="39">
        <f t="shared" si="18"/>
        <v>25</v>
      </c>
      <c r="U56" s="47">
        <f t="shared" si="19"/>
        <v>1.1313286971599685E-2</v>
      </c>
      <c r="V56" s="48">
        <f t="shared" si="20"/>
        <v>0</v>
      </c>
      <c r="W56" s="49">
        <f t="shared" si="21"/>
        <v>4.5253147886398741E-4</v>
      </c>
      <c r="X56" s="44">
        <f t="shared" si="22"/>
        <v>66.996597597965462</v>
      </c>
      <c r="Y56" s="44">
        <f t="shared" si="23"/>
        <v>0</v>
      </c>
      <c r="Z56" s="44">
        <f t="shared" si="24"/>
        <v>567.55695740809279</v>
      </c>
      <c r="AA56" s="50">
        <f t="shared" si="25"/>
        <v>2198.8665975979652</v>
      </c>
      <c r="AB56" s="51">
        <f t="shared" si="26"/>
        <v>530.57582257464026</v>
      </c>
      <c r="AC56" s="44">
        <f t="shared" si="27"/>
        <v>2055.591845936211</v>
      </c>
      <c r="AD56" s="44">
        <f t="shared" si="28"/>
        <v>0</v>
      </c>
      <c r="AE56" s="44">
        <f t="shared" si="29"/>
        <v>0</v>
      </c>
      <c r="AF56" s="52">
        <f>HLOOKUP(I56,GasAvoidedCostsWOCC!$A$5:$G$50,G56+1,FALSE)</f>
        <v>16.472554524074432</v>
      </c>
      <c r="AG56" s="44">
        <f t="shared" si="30"/>
        <v>234.89862751330139</v>
      </c>
      <c r="AH56" s="52">
        <f>HLOOKUP(I56,GasAvoidedCostsWOCC!$A$5:$Q$50,T56+1,FALSE)</f>
        <v>16.472554524074432</v>
      </c>
      <c r="AI56" s="44">
        <f t="shared" si="31"/>
        <v>0</v>
      </c>
      <c r="AJ56" s="44">
        <f t="shared" si="32"/>
        <v>234.89862751330139</v>
      </c>
      <c r="AK56" s="44">
        <f>HLOOKUP(I56,GasAvoidedCostsWOCC!$A$5:$Q$50,G56+1,FALSE)*J56*L56</f>
        <v>0</v>
      </c>
      <c r="AL56" s="44">
        <f t="shared" si="33"/>
        <v>234.89862751330139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234.89862751330139</v>
      </c>
      <c r="AN56" s="48">
        <f t="shared" si="34"/>
        <v>258.38849026463157</v>
      </c>
      <c r="AO56" s="47">
        <f t="shared" si="35"/>
        <v>0.44272395672581999</v>
      </c>
      <c r="AP56" s="47">
        <f t="shared" si="36"/>
        <v>0.12570028956645796</v>
      </c>
      <c r="AQ56">
        <v>2020</v>
      </c>
    </row>
    <row r="57" spans="2:43">
      <c r="B57" s="97" t="s">
        <v>108</v>
      </c>
      <c r="C57" s="100">
        <v>18230678</v>
      </c>
      <c r="D57" s="100" t="s">
        <v>109</v>
      </c>
      <c r="E57" s="38" t="s">
        <v>2517</v>
      </c>
      <c r="F57" s="39" t="s">
        <v>2518</v>
      </c>
      <c r="G57" s="39">
        <v>15</v>
      </c>
      <c r="H57" s="39"/>
      <c r="I57" s="40" t="s">
        <v>269</v>
      </c>
      <c r="J57" s="41">
        <v>16396</v>
      </c>
      <c r="K57" s="41">
        <v>0.02</v>
      </c>
      <c r="L57" s="41"/>
      <c r="M57" s="42">
        <v>1.32</v>
      </c>
      <c r="N57" s="42">
        <v>1.32</v>
      </c>
      <c r="O57" s="43">
        <v>327.92</v>
      </c>
      <c r="P57" s="44">
        <v>26809.91</v>
      </c>
      <c r="Q57" s="44">
        <v>26809.91</v>
      </c>
      <c r="R57" s="45">
        <v>0</v>
      </c>
      <c r="S57" s="46">
        <v>0</v>
      </c>
      <c r="T57" s="39">
        <f t="shared" si="18"/>
        <v>15</v>
      </c>
      <c r="U57" s="47">
        <f t="shared" si="19"/>
        <v>0.15609479931530026</v>
      </c>
      <c r="V57" s="48">
        <f t="shared" si="20"/>
        <v>0</v>
      </c>
      <c r="W57" s="49">
        <f t="shared" si="21"/>
        <v>1.040631995435335E-2</v>
      </c>
      <c r="X57" s="44">
        <f t="shared" si="22"/>
        <v>1540.6398516356828</v>
      </c>
      <c r="Y57" s="44">
        <f t="shared" si="23"/>
        <v>0</v>
      </c>
      <c r="Z57" s="44">
        <f t="shared" si="24"/>
        <v>13051.42198269718</v>
      </c>
      <c r="AA57" s="50">
        <f t="shared" si="25"/>
        <v>28350.549851635682</v>
      </c>
      <c r="AB57" s="51">
        <f t="shared" si="26"/>
        <v>12201.011482375599</v>
      </c>
      <c r="AC57" s="44">
        <f t="shared" si="27"/>
        <v>26503.271806708122</v>
      </c>
      <c r="AD57" s="44">
        <f t="shared" si="28"/>
        <v>0</v>
      </c>
      <c r="AE57" s="44">
        <f t="shared" si="29"/>
        <v>0</v>
      </c>
      <c r="AF57" s="52">
        <f>HLOOKUP(I57,GasAvoidedCostsWOCC!$A$5:$G$50,G57+1,FALSE)</f>
        <v>10.768151117636117</v>
      </c>
      <c r="AG57" s="44">
        <f t="shared" si="30"/>
        <v>3531.0921144952358</v>
      </c>
      <c r="AH57" s="52">
        <f>HLOOKUP(I57,GasAvoidedCostsWOCC!$A$5:$Q$50,T57+1,FALSE)</f>
        <v>10.768151117636117</v>
      </c>
      <c r="AI57" s="44">
        <f t="shared" si="31"/>
        <v>0</v>
      </c>
      <c r="AJ57" s="44">
        <f t="shared" si="32"/>
        <v>3531.0921144952358</v>
      </c>
      <c r="AK57" s="44">
        <f>HLOOKUP(I57,GasAvoidedCostsWOCC!$A$5:$Q$50,G57+1,FALSE)*J57*L57</f>
        <v>0</v>
      </c>
      <c r="AL57" s="44">
        <f t="shared" si="33"/>
        <v>3531.0921144952358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3531.0921144952354</v>
      </c>
      <c r="AN57" s="48">
        <f t="shared" si="34"/>
        <v>3884.201325944759</v>
      </c>
      <c r="AO57" s="47">
        <f t="shared" si="35"/>
        <v>0.28940978537688528</v>
      </c>
      <c r="AP57" s="47">
        <f t="shared" si="36"/>
        <v>0.14655554054883316</v>
      </c>
      <c r="AQ57">
        <v>2020</v>
      </c>
    </row>
    <row r="58" spans="2:43">
      <c r="B58" s="97" t="s">
        <v>108</v>
      </c>
      <c r="C58" s="100">
        <v>18230678</v>
      </c>
      <c r="D58" s="100" t="s">
        <v>109</v>
      </c>
      <c r="E58" s="38" t="s">
        <v>1594</v>
      </c>
      <c r="F58" s="39" t="s">
        <v>1595</v>
      </c>
      <c r="G58" s="39">
        <v>15</v>
      </c>
      <c r="H58" s="39"/>
      <c r="I58" s="40" t="s">
        <v>265</v>
      </c>
      <c r="J58" s="41">
        <v>1</v>
      </c>
      <c r="K58" s="41">
        <v>0.84</v>
      </c>
      <c r="L58" s="41"/>
      <c r="M58" s="42">
        <v>20</v>
      </c>
      <c r="N58" s="42">
        <v>20</v>
      </c>
      <c r="O58" s="43">
        <v>0.84</v>
      </c>
      <c r="P58" s="44">
        <v>26</v>
      </c>
      <c r="Q58" s="44">
        <v>26</v>
      </c>
      <c r="R58" s="45">
        <v>0</v>
      </c>
      <c r="S58" s="46">
        <v>0</v>
      </c>
      <c r="T58" s="39">
        <f t="shared" si="18"/>
        <v>15</v>
      </c>
      <c r="U58" s="47">
        <f t="shared" si="19"/>
        <v>3.9985249885597765E-4</v>
      </c>
      <c r="V58" s="48">
        <f t="shared" si="20"/>
        <v>0</v>
      </c>
      <c r="W58" s="49">
        <f t="shared" si="21"/>
        <v>2.6656833257065178E-5</v>
      </c>
      <c r="X58" s="44">
        <f t="shared" si="22"/>
        <v>3.9465036453219482</v>
      </c>
      <c r="Y58" s="44">
        <f t="shared" si="23"/>
        <v>0</v>
      </c>
      <c r="Z58" s="44">
        <f t="shared" si="24"/>
        <v>33.432527645357496</v>
      </c>
      <c r="AA58" s="50">
        <f t="shared" si="25"/>
        <v>29.946503645321947</v>
      </c>
      <c r="AB58" s="51">
        <f t="shared" si="26"/>
        <v>31.254115775785259</v>
      </c>
      <c r="AC58" s="44">
        <f t="shared" si="27"/>
        <v>27.995235715922171</v>
      </c>
      <c r="AD58" s="44">
        <f t="shared" si="28"/>
        <v>0</v>
      </c>
      <c r="AE58" s="44">
        <f t="shared" si="29"/>
        <v>0</v>
      </c>
      <c r="AF58" s="52">
        <f>HLOOKUP(I58,GasAvoidedCostsWOCC!$A$5:$G$50,G58+1,FALSE)</f>
        <v>10.206458422347051</v>
      </c>
      <c r="AG58" s="44">
        <f t="shared" si="30"/>
        <v>8.5734250747715226</v>
      </c>
      <c r="AH58" s="52">
        <f>HLOOKUP(I58,GasAvoidedCostsWOCC!$A$5:$Q$50,T58+1,FALSE)</f>
        <v>10.206458422347051</v>
      </c>
      <c r="AI58" s="44">
        <f t="shared" si="31"/>
        <v>0</v>
      </c>
      <c r="AJ58" s="44">
        <f t="shared" si="32"/>
        <v>8.5734250747715226</v>
      </c>
      <c r="AK58" s="44">
        <f>HLOOKUP(I58,GasAvoidedCostsWOCC!$A$5:$Q$50,G58+1,FALSE)*J58*L58</f>
        <v>0</v>
      </c>
      <c r="AL58" s="44">
        <f t="shared" si="33"/>
        <v>8.5734250747715226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8.5734250747715226</v>
      </c>
      <c r="AN58" s="48">
        <f t="shared" si="34"/>
        <v>9.4307675822486754</v>
      </c>
      <c r="AO58" s="47">
        <f t="shared" si="35"/>
        <v>0.27431347398456724</v>
      </c>
      <c r="AP58" s="47">
        <f t="shared" si="36"/>
        <v>0.33687044745563499</v>
      </c>
      <c r="AQ58">
        <v>2020</v>
      </c>
    </row>
    <row r="59" spans="2:43">
      <c r="B59" s="97" t="s">
        <v>108</v>
      </c>
      <c r="C59" s="100">
        <v>18230678</v>
      </c>
      <c r="D59" s="100" t="s">
        <v>109</v>
      </c>
      <c r="E59" s="38" t="s">
        <v>1598</v>
      </c>
      <c r="F59" s="39" t="s">
        <v>1599</v>
      </c>
      <c r="G59" s="39">
        <v>15</v>
      </c>
      <c r="H59" s="39"/>
      <c r="I59" s="40" t="s">
        <v>265</v>
      </c>
      <c r="J59" s="41">
        <v>7</v>
      </c>
      <c r="K59" s="41">
        <v>0.84</v>
      </c>
      <c r="L59" s="41"/>
      <c r="M59" s="42">
        <v>20</v>
      </c>
      <c r="N59" s="42">
        <v>20</v>
      </c>
      <c r="O59" s="43">
        <v>5.88</v>
      </c>
      <c r="P59" s="44">
        <v>182</v>
      </c>
      <c r="Q59" s="44">
        <v>182</v>
      </c>
      <c r="R59" s="45">
        <v>0</v>
      </c>
      <c r="S59" s="46">
        <v>0</v>
      </c>
      <c r="T59" s="39">
        <f t="shared" si="18"/>
        <v>15</v>
      </c>
      <c r="U59" s="47">
        <f t="shared" si="19"/>
        <v>2.7989674919918438E-3</v>
      </c>
      <c r="V59" s="48">
        <f t="shared" si="20"/>
        <v>0</v>
      </c>
      <c r="W59" s="49">
        <f t="shared" si="21"/>
        <v>1.8659783279945626E-4</v>
      </c>
      <c r="X59" s="44">
        <f t="shared" si="22"/>
        <v>27.625525517253639</v>
      </c>
      <c r="Y59" s="44">
        <f t="shared" si="23"/>
        <v>0</v>
      </c>
      <c r="Z59" s="44">
        <f t="shared" si="24"/>
        <v>234.02769351750251</v>
      </c>
      <c r="AA59" s="50">
        <f t="shared" si="25"/>
        <v>209.62552551725364</v>
      </c>
      <c r="AB59" s="51">
        <f t="shared" si="26"/>
        <v>218.77881043049686</v>
      </c>
      <c r="AC59" s="44">
        <f t="shared" si="27"/>
        <v>195.96665001145519</v>
      </c>
      <c r="AD59" s="44">
        <f t="shared" si="28"/>
        <v>0</v>
      </c>
      <c r="AE59" s="44">
        <f t="shared" si="29"/>
        <v>0</v>
      </c>
      <c r="AF59" s="52">
        <f>HLOOKUP(I59,GasAvoidedCostsWOCC!$A$5:$G$50,G59+1,FALSE)</f>
        <v>10.206458422347051</v>
      </c>
      <c r="AG59" s="44">
        <f t="shared" si="30"/>
        <v>60.013975523400653</v>
      </c>
      <c r="AH59" s="52">
        <f>HLOOKUP(I59,GasAvoidedCostsWOCC!$A$5:$Q$50,T59+1,FALSE)</f>
        <v>10.206458422347051</v>
      </c>
      <c r="AI59" s="44">
        <f t="shared" si="31"/>
        <v>0</v>
      </c>
      <c r="AJ59" s="44">
        <f t="shared" si="32"/>
        <v>60.013975523400653</v>
      </c>
      <c r="AK59" s="44">
        <f>HLOOKUP(I59,GasAvoidedCostsWOCC!$A$5:$Q$50,G59+1,FALSE)*J59*L59</f>
        <v>0</v>
      </c>
      <c r="AL59" s="44">
        <f t="shared" si="33"/>
        <v>60.013975523400653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60.01397552340066</v>
      </c>
      <c r="AN59" s="48">
        <f t="shared" si="34"/>
        <v>66.015373075740726</v>
      </c>
      <c r="AO59" s="47">
        <f t="shared" si="35"/>
        <v>0.27431347398456718</v>
      </c>
      <c r="AP59" s="47">
        <f t="shared" si="36"/>
        <v>0.33687044745563499</v>
      </c>
      <c r="AQ59">
        <v>2020</v>
      </c>
    </row>
    <row r="60" spans="2:43">
      <c r="B60" s="97" t="s">
        <v>108</v>
      </c>
      <c r="C60" s="100">
        <v>18230678</v>
      </c>
      <c r="D60" s="100" t="s">
        <v>109</v>
      </c>
      <c r="E60" s="38" t="s">
        <v>2531</v>
      </c>
      <c r="F60" s="39" t="s">
        <v>1615</v>
      </c>
      <c r="G60" s="39">
        <v>45</v>
      </c>
      <c r="H60" s="39"/>
      <c r="I60" s="40" t="s">
        <v>269</v>
      </c>
      <c r="J60" s="41">
        <v>1883</v>
      </c>
      <c r="K60" s="41">
        <v>0.1</v>
      </c>
      <c r="L60" s="41"/>
      <c r="M60" s="42">
        <v>2.4300000000000002</v>
      </c>
      <c r="N60" s="42">
        <v>2.4300000000000002</v>
      </c>
      <c r="O60" s="43">
        <v>188.3</v>
      </c>
      <c r="P60" s="44">
        <v>5711.12</v>
      </c>
      <c r="Q60" s="44">
        <v>5711.12</v>
      </c>
      <c r="R60" s="45">
        <v>0</v>
      </c>
      <c r="S60" s="46">
        <v>0</v>
      </c>
      <c r="T60" s="39">
        <f t="shared" si="18"/>
        <v>45</v>
      </c>
      <c r="U60" s="47">
        <f t="shared" si="19"/>
        <v>0.26890080548064499</v>
      </c>
      <c r="V60" s="48">
        <f t="shared" si="20"/>
        <v>0</v>
      </c>
      <c r="W60" s="49">
        <f t="shared" si="21"/>
        <v>5.9755734551254448E-3</v>
      </c>
      <c r="X60" s="44">
        <f t="shared" si="22"/>
        <v>884.67456715967023</v>
      </c>
      <c r="Y60" s="44">
        <f t="shared" si="23"/>
        <v>0</v>
      </c>
      <c r="Z60" s="44">
        <f t="shared" si="24"/>
        <v>7494.4582805009732</v>
      </c>
      <c r="AA60" s="50">
        <f t="shared" si="25"/>
        <v>6595.7945671596699</v>
      </c>
      <c r="AB60" s="51">
        <f t="shared" si="26"/>
        <v>7006.1309530718636</v>
      </c>
      <c r="AC60" s="44">
        <f t="shared" si="27"/>
        <v>6166.0227794331768</v>
      </c>
      <c r="AD60" s="44">
        <f t="shared" si="28"/>
        <v>0</v>
      </c>
      <c r="AE60" s="44">
        <f t="shared" si="29"/>
        <v>0</v>
      </c>
      <c r="AF60" s="52">
        <f>HLOOKUP(I60,GasAvoidedCostsWOCC!$A$5:$G$50,G60+1,FALSE)</f>
        <v>27.444232870165703</v>
      </c>
      <c r="AG60" s="44">
        <f t="shared" si="30"/>
        <v>5167.7490494522026</v>
      </c>
      <c r="AH60" s="52">
        <f>HLOOKUP(I60,GasAvoidedCostsWOCC!$A$5:$Q$50,T60+1,FALSE)</f>
        <v>27.444232870165703</v>
      </c>
      <c r="AI60" s="44">
        <f t="shared" si="31"/>
        <v>0</v>
      </c>
      <c r="AJ60" s="44">
        <f t="shared" si="32"/>
        <v>5167.7490494522026</v>
      </c>
      <c r="AK60" s="44">
        <f>HLOOKUP(I60,GasAvoidedCostsWOCC!$A$5:$Q$50,G60+1,FALSE)*J60*L60</f>
        <v>0</v>
      </c>
      <c r="AL60" s="44">
        <f t="shared" si="33"/>
        <v>5167.7490494522026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5167.7490494522017</v>
      </c>
      <c r="AN60" s="48">
        <f t="shared" si="34"/>
        <v>5684.5239543974221</v>
      </c>
      <c r="AO60" s="47">
        <f t="shared" si="35"/>
        <v>0.73760383356614012</v>
      </c>
      <c r="AP60" s="47">
        <f t="shared" si="36"/>
        <v>0.92191095585280702</v>
      </c>
      <c r="AQ60">
        <v>2020</v>
      </c>
    </row>
    <row r="61" spans="2:43">
      <c r="B61" s="97" t="s">
        <v>108</v>
      </c>
      <c r="C61" s="100">
        <v>18230678</v>
      </c>
      <c r="D61" s="100" t="s">
        <v>109</v>
      </c>
      <c r="E61" s="38" t="s">
        <v>2532</v>
      </c>
      <c r="F61" s="39" t="s">
        <v>2533</v>
      </c>
      <c r="G61" s="39">
        <v>45</v>
      </c>
      <c r="H61" s="39"/>
      <c r="I61" s="40" t="s">
        <v>269</v>
      </c>
      <c r="J61" s="41">
        <v>33554</v>
      </c>
      <c r="K61" s="41">
        <v>0</v>
      </c>
      <c r="L61" s="41"/>
      <c r="M61" s="42">
        <v>0</v>
      </c>
      <c r="N61" s="42">
        <v>0</v>
      </c>
      <c r="O61" s="43">
        <v>0</v>
      </c>
      <c r="P61" s="44">
        <v>0</v>
      </c>
      <c r="Q61" s="44">
        <v>485.92</v>
      </c>
      <c r="R61" s="45">
        <v>0</v>
      </c>
      <c r="S61" s="46">
        <v>0</v>
      </c>
      <c r="T61" s="39">
        <f t="shared" si="18"/>
        <v>45</v>
      </c>
      <c r="U61" s="47">
        <f t="shared" si="19"/>
        <v>0</v>
      </c>
      <c r="V61" s="48">
        <f t="shared" si="20"/>
        <v>0</v>
      </c>
      <c r="W61" s="49">
        <f t="shared" si="21"/>
        <v>0</v>
      </c>
      <c r="X61" s="44">
        <f t="shared" si="22"/>
        <v>0</v>
      </c>
      <c r="Y61" s="44">
        <f t="shared" si="23"/>
        <v>485.92</v>
      </c>
      <c r="Z61" s="44">
        <f t="shared" si="24"/>
        <v>0</v>
      </c>
      <c r="AA61" s="50">
        <f t="shared" si="25"/>
        <v>485.92</v>
      </c>
      <c r="AB61" s="51">
        <f t="shared" si="26"/>
        <v>0</v>
      </c>
      <c r="AC61" s="44">
        <f t="shared" si="27"/>
        <v>454.25820323455173</v>
      </c>
      <c r="AD61" s="44">
        <f t="shared" si="28"/>
        <v>0</v>
      </c>
      <c r="AE61" s="44">
        <f t="shared" si="29"/>
        <v>0</v>
      </c>
      <c r="AF61" s="52">
        <f>HLOOKUP(I61,GasAvoidedCostsWOCC!$A$5:$G$50,G61+1,FALSE)</f>
        <v>27.444232870165703</v>
      </c>
      <c r="AG61" s="44">
        <f t="shared" si="30"/>
        <v>0</v>
      </c>
      <c r="AH61" s="52">
        <f>HLOOKUP(I61,GasAvoidedCostsWOCC!$A$5:$Q$50,T61+1,FALSE)</f>
        <v>27.444232870165703</v>
      </c>
      <c r="AI61" s="44">
        <f t="shared" si="31"/>
        <v>0</v>
      </c>
      <c r="AJ61" s="44">
        <f t="shared" si="32"/>
        <v>0</v>
      </c>
      <c r="AK61" s="44">
        <f>HLOOKUP(I61,GasAvoidedCostsWOCC!$A$5:$Q$50,G61+1,FALSE)*J61*L61</f>
        <v>0</v>
      </c>
      <c r="AL61" s="44">
        <f t="shared" si="33"/>
        <v>0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4"/>
        <v>0</v>
      </c>
      <c r="AO61" s="47">
        <f t="shared" si="35"/>
        <v>0</v>
      </c>
      <c r="AP61" s="47">
        <f t="shared" si="36"/>
        <v>0</v>
      </c>
      <c r="AQ61">
        <v>2020</v>
      </c>
    </row>
    <row r="62" spans="2:43">
      <c r="B62" s="97" t="s">
        <v>108</v>
      </c>
      <c r="C62" s="100">
        <v>18230678</v>
      </c>
      <c r="D62" s="100" t="s">
        <v>109</v>
      </c>
      <c r="E62" s="38" t="s">
        <v>2535</v>
      </c>
      <c r="F62" s="39" t="s">
        <v>1619</v>
      </c>
      <c r="G62" s="39">
        <v>45</v>
      </c>
      <c r="H62" s="39"/>
      <c r="I62" s="40" t="s">
        <v>269</v>
      </c>
      <c r="J62" s="41">
        <v>8929</v>
      </c>
      <c r="K62" s="41">
        <v>0.02</v>
      </c>
      <c r="L62" s="41"/>
      <c r="M62" s="42">
        <v>1.82</v>
      </c>
      <c r="N62" s="42">
        <v>1.82</v>
      </c>
      <c r="O62" s="43">
        <v>178.58</v>
      </c>
      <c r="P62" s="44">
        <v>23458.04</v>
      </c>
      <c r="Q62" s="44">
        <v>23458.04</v>
      </c>
      <c r="R62" s="45">
        <v>0</v>
      </c>
      <c r="S62" s="46">
        <v>0</v>
      </c>
      <c r="T62" s="39">
        <f t="shared" si="18"/>
        <v>45</v>
      </c>
      <c r="U62" s="47">
        <f t="shared" si="19"/>
        <v>0.2550202115917875</v>
      </c>
      <c r="V62" s="48">
        <f t="shared" si="20"/>
        <v>0</v>
      </c>
      <c r="W62" s="49">
        <f t="shared" si="21"/>
        <v>5.6671158131508335E-3</v>
      </c>
      <c r="X62" s="44">
        <f t="shared" si="22"/>
        <v>839.00788212094483</v>
      </c>
      <c r="Y62" s="44">
        <f t="shared" si="23"/>
        <v>0</v>
      </c>
      <c r="Z62" s="44">
        <f t="shared" si="24"/>
        <v>7107.5961748904083</v>
      </c>
      <c r="AA62" s="50">
        <f t="shared" si="25"/>
        <v>24297.047882120947</v>
      </c>
      <c r="AB62" s="51">
        <f t="shared" si="26"/>
        <v>6644.4761848092057</v>
      </c>
      <c r="AC62" s="44">
        <f t="shared" si="27"/>
        <v>22713.889765467837</v>
      </c>
      <c r="AD62" s="44">
        <f t="shared" si="28"/>
        <v>0</v>
      </c>
      <c r="AE62" s="44">
        <f t="shared" si="29"/>
        <v>0</v>
      </c>
      <c r="AF62" s="52">
        <f>HLOOKUP(I62,GasAvoidedCostsWOCC!$A$5:$G$50,G62+1,FALSE)</f>
        <v>27.444232870165703</v>
      </c>
      <c r="AG62" s="44">
        <f t="shared" si="30"/>
        <v>4900.991105954191</v>
      </c>
      <c r="AH62" s="52">
        <f>HLOOKUP(I62,GasAvoidedCostsWOCC!$A$5:$Q$50,T62+1,FALSE)</f>
        <v>27.444232870165703</v>
      </c>
      <c r="AI62" s="44">
        <f t="shared" si="31"/>
        <v>0</v>
      </c>
      <c r="AJ62" s="44">
        <f t="shared" si="32"/>
        <v>4900.991105954191</v>
      </c>
      <c r="AK62" s="44">
        <f>HLOOKUP(I62,GasAvoidedCostsWOCC!$A$5:$Q$50,G62+1,FALSE)*J62*L62</f>
        <v>0</v>
      </c>
      <c r="AL62" s="44">
        <f t="shared" si="33"/>
        <v>4900.991105954191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4900.991105954191</v>
      </c>
      <c r="AN62" s="48">
        <f t="shared" si="34"/>
        <v>5391.0902165496109</v>
      </c>
      <c r="AO62" s="47">
        <f t="shared" si="35"/>
        <v>0.73760383356614012</v>
      </c>
      <c r="AP62" s="47">
        <f t="shared" si="36"/>
        <v>0.23734773181587512</v>
      </c>
      <c r="AQ62">
        <v>2020</v>
      </c>
    </row>
    <row r="63" spans="2:43">
      <c r="B63" s="97" t="s">
        <v>108</v>
      </c>
      <c r="C63" s="100">
        <v>18230678</v>
      </c>
      <c r="D63" s="100" t="s">
        <v>109</v>
      </c>
      <c r="E63" s="38" t="s">
        <v>2540</v>
      </c>
      <c r="F63" s="39" t="s">
        <v>2541</v>
      </c>
      <c r="G63" s="39">
        <v>15</v>
      </c>
      <c r="H63" s="39"/>
      <c r="I63" s="40" t="s">
        <v>267</v>
      </c>
      <c r="J63" s="41">
        <v>38</v>
      </c>
      <c r="K63" s="41"/>
      <c r="L63" s="41"/>
      <c r="M63" s="42"/>
      <c r="N63" s="42"/>
      <c r="O63" s="43">
        <v>0</v>
      </c>
      <c r="P63" s="44">
        <v>0</v>
      </c>
      <c r="Q63" s="44">
        <v>0</v>
      </c>
      <c r="R63" s="45"/>
      <c r="S63" s="46"/>
      <c r="T63" s="39">
        <f t="shared" si="18"/>
        <v>15</v>
      </c>
      <c r="U63" s="47">
        <f t="shared" si="19"/>
        <v>0</v>
      </c>
      <c r="V63" s="48">
        <f t="shared" si="20"/>
        <v>0</v>
      </c>
      <c r="W63" s="49">
        <f t="shared" si="21"/>
        <v>0</v>
      </c>
      <c r="X63" s="44">
        <f t="shared" si="22"/>
        <v>0</v>
      </c>
      <c r="Y63" s="44">
        <f t="shared" si="23"/>
        <v>0</v>
      </c>
      <c r="Z63" s="44">
        <f t="shared" si="24"/>
        <v>0</v>
      </c>
      <c r="AA63" s="50">
        <f t="shared" si="25"/>
        <v>0</v>
      </c>
      <c r="AB63" s="51">
        <f t="shared" si="26"/>
        <v>0</v>
      </c>
      <c r="AC63" s="44">
        <f t="shared" si="27"/>
        <v>0</v>
      </c>
      <c r="AD63" s="44">
        <f t="shared" si="28"/>
        <v>0</v>
      </c>
      <c r="AE63" s="44">
        <f t="shared" si="29"/>
        <v>0</v>
      </c>
      <c r="AF63" s="52" t="e">
        <f>HLOOKUP(I63,GasAvoidedCostsWOCC!$A$5:$G$50,G63+1,FALSE)</f>
        <v>#N/A</v>
      </c>
      <c r="AG63" s="44" t="e">
        <f t="shared" si="30"/>
        <v>#N/A</v>
      </c>
      <c r="AH63" s="52" t="e">
        <f>HLOOKUP(I63,GasAvoidedCostsWOCC!$A$5:$Q$50,T63+1,FALSE)</f>
        <v>#N/A</v>
      </c>
      <c r="AI63" s="44" t="e">
        <f t="shared" si="31"/>
        <v>#N/A</v>
      </c>
      <c r="AJ63" s="44" t="e">
        <f t="shared" si="32"/>
        <v>#N/A</v>
      </c>
      <c r="AK63" s="44" t="e">
        <f>HLOOKUP(I63,GasAvoidedCostsWOCC!$A$5:$Q$50,G63+1,FALSE)*J63*L63</f>
        <v>#N/A</v>
      </c>
      <c r="AL63" s="44" t="e">
        <f t="shared" si="3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4"/>
        <v>0</v>
      </c>
      <c r="AO63" s="47">
        <f t="shared" si="35"/>
        <v>0</v>
      </c>
      <c r="AP63" s="47" t="e">
        <f t="shared" si="36"/>
        <v>#DIV/0!</v>
      </c>
      <c r="AQ63">
        <v>2020</v>
      </c>
    </row>
    <row r="64" spans="2:43">
      <c r="B64" s="97" t="s">
        <v>108</v>
      </c>
      <c r="C64" s="100">
        <v>18230678</v>
      </c>
      <c r="D64" s="100" t="s">
        <v>109</v>
      </c>
      <c r="E64" s="38" t="s">
        <v>2542</v>
      </c>
      <c r="F64" s="39" t="s">
        <v>2543</v>
      </c>
      <c r="G64" s="39">
        <v>1</v>
      </c>
      <c r="H64" s="39"/>
      <c r="I64" s="40" t="s">
        <v>269</v>
      </c>
      <c r="J64" s="41">
        <v>1</v>
      </c>
      <c r="K64" s="41">
        <v>0</v>
      </c>
      <c r="L64" s="41"/>
      <c r="M64" s="42"/>
      <c r="N64" s="42"/>
      <c r="O64" s="43">
        <v>0</v>
      </c>
      <c r="P64" s="44">
        <v>0</v>
      </c>
      <c r="Q64" s="44">
        <v>0</v>
      </c>
      <c r="R64" s="45">
        <v>0</v>
      </c>
      <c r="S64" s="46">
        <v>0</v>
      </c>
      <c r="T64" s="39">
        <f t="shared" si="18"/>
        <v>1</v>
      </c>
      <c r="U64" s="47">
        <f t="shared" si="19"/>
        <v>0</v>
      </c>
      <c r="V64" s="48">
        <f t="shared" si="20"/>
        <v>0</v>
      </c>
      <c r="W64" s="49">
        <f t="shared" si="21"/>
        <v>0</v>
      </c>
      <c r="X64" s="44">
        <f t="shared" si="22"/>
        <v>0</v>
      </c>
      <c r="Y64" s="44">
        <f t="shared" si="23"/>
        <v>0</v>
      </c>
      <c r="Z64" s="44">
        <f t="shared" si="24"/>
        <v>0</v>
      </c>
      <c r="AA64" s="50">
        <f t="shared" si="25"/>
        <v>0</v>
      </c>
      <c r="AB64" s="51">
        <f t="shared" si="26"/>
        <v>0</v>
      </c>
      <c r="AC64" s="44">
        <f t="shared" si="27"/>
        <v>0</v>
      </c>
      <c r="AD64" s="44">
        <f t="shared" si="28"/>
        <v>0</v>
      </c>
      <c r="AE64" s="44">
        <f t="shared" si="29"/>
        <v>0</v>
      </c>
      <c r="AF64" s="52">
        <f>HLOOKUP(I64,GasAvoidedCostsWOCC!$A$5:$G$50,G64+1,FALSE)</f>
        <v>0.87909634590853636</v>
      </c>
      <c r="AG64" s="44">
        <f t="shared" si="30"/>
        <v>0</v>
      </c>
      <c r="AH64" s="52">
        <f>HLOOKUP(I64,GasAvoidedCostsWOCC!$A$5:$Q$50,T64+1,FALSE)</f>
        <v>0.87909634590853636</v>
      </c>
      <c r="AI64" s="44">
        <f t="shared" si="31"/>
        <v>0</v>
      </c>
      <c r="AJ64" s="44">
        <f t="shared" si="32"/>
        <v>0</v>
      </c>
      <c r="AK64" s="44">
        <f>HLOOKUP(I64,GasAvoidedCostsWOCC!$A$5:$Q$50,G64+1,FALSE)*J64*L64</f>
        <v>0</v>
      </c>
      <c r="AL64" s="44">
        <f t="shared" si="33"/>
        <v>0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4"/>
        <v>0</v>
      </c>
      <c r="AO64" s="47">
        <f t="shared" si="35"/>
        <v>0</v>
      </c>
      <c r="AP64" s="47" t="e">
        <f t="shared" si="36"/>
        <v>#DIV/0!</v>
      </c>
      <c r="AQ64">
        <v>2020</v>
      </c>
    </row>
    <row r="65" spans="2:43">
      <c r="B65" s="97" t="s">
        <v>108</v>
      </c>
      <c r="C65" s="100">
        <v>18230678</v>
      </c>
      <c r="D65" s="100" t="s">
        <v>109</v>
      </c>
      <c r="E65" s="38" t="s">
        <v>1632</v>
      </c>
      <c r="F65" s="39" t="s">
        <v>1633</v>
      </c>
      <c r="G65" s="39">
        <v>1</v>
      </c>
      <c r="H65" s="39"/>
      <c r="I65" s="40" t="s">
        <v>269</v>
      </c>
      <c r="J65" s="41">
        <v>5</v>
      </c>
      <c r="K65" s="41"/>
      <c r="L65" s="41"/>
      <c r="M65" s="42"/>
      <c r="N65" s="42"/>
      <c r="O65" s="43">
        <v>0</v>
      </c>
      <c r="P65" s="44">
        <v>1305.07</v>
      </c>
      <c r="Q65" s="44">
        <v>1305.07</v>
      </c>
      <c r="R65" s="45"/>
      <c r="S65" s="46"/>
      <c r="T65" s="39">
        <f t="shared" si="18"/>
        <v>1</v>
      </c>
      <c r="U65" s="47">
        <f t="shared" si="19"/>
        <v>0</v>
      </c>
      <c r="V65" s="48">
        <f t="shared" si="20"/>
        <v>0</v>
      </c>
      <c r="W65" s="49">
        <f t="shared" si="21"/>
        <v>0</v>
      </c>
      <c r="X65" s="44">
        <f t="shared" si="22"/>
        <v>0</v>
      </c>
      <c r="Y65" s="44">
        <f t="shared" si="23"/>
        <v>0</v>
      </c>
      <c r="Z65" s="44">
        <f t="shared" si="24"/>
        <v>0</v>
      </c>
      <c r="AA65" s="50">
        <f t="shared" si="25"/>
        <v>1305.07</v>
      </c>
      <c r="AB65" s="51">
        <f t="shared" si="26"/>
        <v>0</v>
      </c>
      <c r="AC65" s="44">
        <f t="shared" si="27"/>
        <v>1220.0336542955968</v>
      </c>
      <c r="AD65" s="44">
        <f t="shared" si="28"/>
        <v>0</v>
      </c>
      <c r="AE65" s="44">
        <f t="shared" si="29"/>
        <v>0</v>
      </c>
      <c r="AF65" s="52">
        <f>HLOOKUP(I65,GasAvoidedCostsWOCC!$A$5:$G$50,G65+1,FALSE)</f>
        <v>0.87909634590853636</v>
      </c>
      <c r="AG65" s="44">
        <f t="shared" si="30"/>
        <v>0</v>
      </c>
      <c r="AH65" s="52">
        <f>HLOOKUP(I65,GasAvoidedCostsWOCC!$A$5:$Q$50,T65+1,FALSE)</f>
        <v>0.87909634590853636</v>
      </c>
      <c r="AI65" s="44">
        <f t="shared" si="31"/>
        <v>0</v>
      </c>
      <c r="AJ65" s="44">
        <f t="shared" si="32"/>
        <v>0</v>
      </c>
      <c r="AK65" s="44">
        <f>HLOOKUP(I65,GasAvoidedCostsWOCC!$A$5:$Q$50,G65+1,FALSE)*J65*L65</f>
        <v>0</v>
      </c>
      <c r="AL65" s="44">
        <f t="shared" si="33"/>
        <v>0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4"/>
        <v>0</v>
      </c>
      <c r="AO65" s="47">
        <f t="shared" si="35"/>
        <v>0</v>
      </c>
      <c r="AP65" s="47">
        <f t="shared" si="36"/>
        <v>0</v>
      </c>
      <c r="AQ65">
        <v>2020</v>
      </c>
    </row>
    <row r="66" spans="2:43">
      <c r="B66" s="97" t="s">
        <v>108</v>
      </c>
      <c r="C66" s="100">
        <v>18230678</v>
      </c>
      <c r="D66" s="100" t="s">
        <v>109</v>
      </c>
      <c r="E66" s="38" t="s">
        <v>1636</v>
      </c>
      <c r="F66" s="39" t="s">
        <v>1637</v>
      </c>
      <c r="G66" s="39">
        <v>1</v>
      </c>
      <c r="H66" s="39"/>
      <c r="I66" s="40" t="s">
        <v>269</v>
      </c>
      <c r="J66" s="41">
        <v>10</v>
      </c>
      <c r="K66" s="41">
        <v>0</v>
      </c>
      <c r="L66" s="41"/>
      <c r="M66" s="42">
        <v>0</v>
      </c>
      <c r="N66" s="42">
        <v>0</v>
      </c>
      <c r="O66" s="43">
        <v>0</v>
      </c>
      <c r="P66" s="44">
        <v>7936.2</v>
      </c>
      <c r="Q66" s="44">
        <v>7936.2</v>
      </c>
      <c r="R66" s="45"/>
      <c r="S66" s="46"/>
      <c r="T66" s="39">
        <f t="shared" si="18"/>
        <v>1</v>
      </c>
      <c r="U66" s="47">
        <f t="shared" si="19"/>
        <v>0</v>
      </c>
      <c r="V66" s="48">
        <f t="shared" si="20"/>
        <v>0</v>
      </c>
      <c r="W66" s="49">
        <f t="shared" si="21"/>
        <v>0</v>
      </c>
      <c r="X66" s="44">
        <f t="shared" si="22"/>
        <v>0</v>
      </c>
      <c r="Y66" s="44">
        <f t="shared" si="23"/>
        <v>0</v>
      </c>
      <c r="Z66" s="44">
        <f t="shared" si="24"/>
        <v>0</v>
      </c>
      <c r="AA66" s="50">
        <f t="shared" si="25"/>
        <v>7936.2</v>
      </c>
      <c r="AB66" s="51">
        <f t="shared" si="26"/>
        <v>0</v>
      </c>
      <c r="AC66" s="44">
        <f t="shared" si="27"/>
        <v>7419.0894643357942</v>
      </c>
      <c r="AD66" s="44">
        <f t="shared" si="28"/>
        <v>0</v>
      </c>
      <c r="AE66" s="44">
        <f t="shared" si="29"/>
        <v>0</v>
      </c>
      <c r="AF66" s="52">
        <f>HLOOKUP(I66,GasAvoidedCostsWOCC!$A$5:$G$50,G66+1,FALSE)</f>
        <v>0.87909634590853636</v>
      </c>
      <c r="AG66" s="44">
        <f t="shared" si="30"/>
        <v>0</v>
      </c>
      <c r="AH66" s="52">
        <f>HLOOKUP(I66,GasAvoidedCostsWOCC!$A$5:$Q$50,T66+1,FALSE)</f>
        <v>0.87909634590853636</v>
      </c>
      <c r="AI66" s="44">
        <f t="shared" si="31"/>
        <v>0</v>
      </c>
      <c r="AJ66" s="44">
        <f t="shared" si="32"/>
        <v>0</v>
      </c>
      <c r="AK66" s="44">
        <f>HLOOKUP(I66,GasAvoidedCostsWOCC!$A$5:$Q$50,G66+1,FALSE)*J66*L66</f>
        <v>0</v>
      </c>
      <c r="AL66" s="44">
        <f t="shared" si="33"/>
        <v>0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4"/>
        <v>0</v>
      </c>
      <c r="AO66" s="47">
        <f t="shared" si="35"/>
        <v>0</v>
      </c>
      <c r="AP66" s="47">
        <f t="shared" si="36"/>
        <v>0</v>
      </c>
      <c r="AQ66">
        <v>2020</v>
      </c>
    </row>
    <row r="67" spans="2:43">
      <c r="B67" s="97" t="s">
        <v>108</v>
      </c>
      <c r="C67" s="100">
        <v>18230678</v>
      </c>
      <c r="D67" s="100" t="s">
        <v>109</v>
      </c>
      <c r="E67" s="38" t="s">
        <v>1638</v>
      </c>
      <c r="F67" s="39" t="s">
        <v>1639</v>
      </c>
      <c r="G67" s="39">
        <v>1</v>
      </c>
      <c r="H67" s="39"/>
      <c r="I67" s="40" t="s">
        <v>269</v>
      </c>
      <c r="J67" s="41">
        <v>1</v>
      </c>
      <c r="K67" s="41">
        <v>0</v>
      </c>
      <c r="L67" s="41"/>
      <c r="M67" s="42">
        <v>0</v>
      </c>
      <c r="N67" s="42">
        <v>0</v>
      </c>
      <c r="O67" s="43">
        <v>0</v>
      </c>
      <c r="P67" s="44">
        <v>365.72</v>
      </c>
      <c r="Q67" s="44">
        <v>365.72</v>
      </c>
      <c r="R67" s="45"/>
      <c r="S67" s="46"/>
      <c r="T67" s="39">
        <f t="shared" si="18"/>
        <v>1</v>
      </c>
      <c r="U67" s="47">
        <f t="shared" si="19"/>
        <v>0</v>
      </c>
      <c r="V67" s="48">
        <f t="shared" si="20"/>
        <v>0</v>
      </c>
      <c r="W67" s="49">
        <f t="shared" si="21"/>
        <v>0</v>
      </c>
      <c r="X67" s="44">
        <f t="shared" si="22"/>
        <v>0</v>
      </c>
      <c r="Y67" s="44">
        <f t="shared" si="23"/>
        <v>0</v>
      </c>
      <c r="Z67" s="44">
        <f t="shared" si="24"/>
        <v>0</v>
      </c>
      <c r="AA67" s="50">
        <f t="shared" si="25"/>
        <v>365.72</v>
      </c>
      <c r="AB67" s="51">
        <f t="shared" si="26"/>
        <v>0</v>
      </c>
      <c r="AC67" s="44">
        <f t="shared" si="27"/>
        <v>341.89024960269234</v>
      </c>
      <c r="AD67" s="44">
        <f t="shared" si="28"/>
        <v>0</v>
      </c>
      <c r="AE67" s="44">
        <f t="shared" si="29"/>
        <v>0</v>
      </c>
      <c r="AF67" s="52">
        <f>HLOOKUP(I67,GasAvoidedCostsWOCC!$A$5:$G$50,G67+1,FALSE)</f>
        <v>0.87909634590853636</v>
      </c>
      <c r="AG67" s="44">
        <f t="shared" si="30"/>
        <v>0</v>
      </c>
      <c r="AH67" s="52">
        <f>HLOOKUP(I67,GasAvoidedCostsWOCC!$A$5:$Q$50,T67+1,FALSE)</f>
        <v>0.87909634590853636</v>
      </c>
      <c r="AI67" s="44">
        <f t="shared" si="31"/>
        <v>0</v>
      </c>
      <c r="AJ67" s="44">
        <f t="shared" si="32"/>
        <v>0</v>
      </c>
      <c r="AK67" s="44">
        <f>HLOOKUP(I67,GasAvoidedCostsWOCC!$A$5:$Q$50,G67+1,FALSE)*J67*L67</f>
        <v>0</v>
      </c>
      <c r="AL67" s="44">
        <f t="shared" si="33"/>
        <v>0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4"/>
        <v>0</v>
      </c>
      <c r="AO67" s="47">
        <f t="shared" si="35"/>
        <v>0</v>
      </c>
      <c r="AP67" s="47">
        <f t="shared" si="36"/>
        <v>0</v>
      </c>
      <c r="AQ67">
        <v>2020</v>
      </c>
    </row>
    <row r="68" spans="2:43">
      <c r="B68" s="97" t="s">
        <v>108</v>
      </c>
      <c r="C68" s="100">
        <v>18230678</v>
      </c>
      <c r="D68" s="100" t="s">
        <v>109</v>
      </c>
      <c r="E68" s="38" t="s">
        <v>2545</v>
      </c>
      <c r="F68" s="39" t="s">
        <v>2546</v>
      </c>
      <c r="G68" s="39">
        <v>1</v>
      </c>
      <c r="H68" s="39"/>
      <c r="I68" s="40" t="s">
        <v>269</v>
      </c>
      <c r="J68" s="41">
        <v>5</v>
      </c>
      <c r="K68" s="41">
        <v>0</v>
      </c>
      <c r="L68" s="41"/>
      <c r="M68" s="42"/>
      <c r="N68" s="42"/>
      <c r="O68" s="43">
        <v>0</v>
      </c>
      <c r="P68" s="44">
        <v>0</v>
      </c>
      <c r="Q68" s="44">
        <v>0</v>
      </c>
      <c r="R68" s="45">
        <v>0</v>
      </c>
      <c r="S68" s="46">
        <v>0</v>
      </c>
      <c r="T68" s="39">
        <f t="shared" si="18"/>
        <v>1</v>
      </c>
      <c r="U68" s="47">
        <f t="shared" si="19"/>
        <v>0</v>
      </c>
      <c r="V68" s="48">
        <f t="shared" si="20"/>
        <v>0</v>
      </c>
      <c r="W68" s="49">
        <f t="shared" si="21"/>
        <v>0</v>
      </c>
      <c r="X68" s="44">
        <f t="shared" si="22"/>
        <v>0</v>
      </c>
      <c r="Y68" s="44">
        <f t="shared" si="23"/>
        <v>0</v>
      </c>
      <c r="Z68" s="44">
        <f t="shared" si="24"/>
        <v>0</v>
      </c>
      <c r="AA68" s="50">
        <f t="shared" si="25"/>
        <v>0</v>
      </c>
      <c r="AB68" s="51">
        <f t="shared" si="26"/>
        <v>0</v>
      </c>
      <c r="AC68" s="44">
        <f t="shared" si="27"/>
        <v>0</v>
      </c>
      <c r="AD68" s="44">
        <f t="shared" si="28"/>
        <v>0</v>
      </c>
      <c r="AE68" s="44">
        <f t="shared" si="29"/>
        <v>0</v>
      </c>
      <c r="AF68" s="52">
        <f>HLOOKUP(I68,GasAvoidedCostsWOCC!$A$5:$G$50,G68+1,FALSE)</f>
        <v>0.87909634590853636</v>
      </c>
      <c r="AG68" s="44">
        <f t="shared" si="30"/>
        <v>0</v>
      </c>
      <c r="AH68" s="52">
        <f>HLOOKUP(I68,GasAvoidedCostsWOCC!$A$5:$Q$50,T68+1,FALSE)</f>
        <v>0.87909634590853636</v>
      </c>
      <c r="AI68" s="44">
        <f t="shared" si="31"/>
        <v>0</v>
      </c>
      <c r="AJ68" s="44">
        <f t="shared" si="32"/>
        <v>0</v>
      </c>
      <c r="AK68" s="44">
        <f>HLOOKUP(I68,GasAvoidedCostsWOCC!$A$5:$Q$50,G68+1,FALSE)*J68*L68</f>
        <v>0</v>
      </c>
      <c r="AL68" s="44">
        <f t="shared" si="33"/>
        <v>0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4"/>
        <v>0</v>
      </c>
      <c r="AO68" s="47">
        <f t="shared" si="35"/>
        <v>0</v>
      </c>
      <c r="AP68" s="47" t="e">
        <f t="shared" si="36"/>
        <v>#DIV/0!</v>
      </c>
      <c r="AQ68">
        <v>2020</v>
      </c>
    </row>
    <row r="69" spans="2:43">
      <c r="B69" s="97" t="s">
        <v>108</v>
      </c>
      <c r="C69" s="100">
        <v>18230678</v>
      </c>
      <c r="D69" s="100" t="s">
        <v>109</v>
      </c>
      <c r="E69" s="38" t="s">
        <v>2547</v>
      </c>
      <c r="F69" s="39" t="s">
        <v>2548</v>
      </c>
      <c r="G69" s="39">
        <v>20</v>
      </c>
      <c r="H69" s="39"/>
      <c r="I69" s="40" t="s">
        <v>269</v>
      </c>
      <c r="J69" s="41">
        <v>3</v>
      </c>
      <c r="K69" s="41">
        <v>698.66666666666663</v>
      </c>
      <c r="L69" s="41"/>
      <c r="M69" s="42"/>
      <c r="N69" s="42"/>
      <c r="O69" s="43">
        <v>2096</v>
      </c>
      <c r="P69" s="44">
        <v>48490</v>
      </c>
      <c r="Q69" s="44">
        <v>48490</v>
      </c>
      <c r="R69" s="45"/>
      <c r="S69" s="46"/>
      <c r="T69" s="39">
        <f t="shared" si="18"/>
        <v>20</v>
      </c>
      <c r="U69" s="47">
        <f t="shared" si="19"/>
        <v>1.3303029168287765</v>
      </c>
      <c r="V69" s="48">
        <f t="shared" si="20"/>
        <v>0</v>
      </c>
      <c r="W69" s="49">
        <f t="shared" si="21"/>
        <v>6.6515145841438833E-2</v>
      </c>
      <c r="X69" s="44">
        <f t="shared" si="22"/>
        <v>9847.4662388033394</v>
      </c>
      <c r="Y69" s="44">
        <f t="shared" si="23"/>
        <v>0</v>
      </c>
      <c r="Z69" s="44">
        <f t="shared" si="24"/>
        <v>83422.116600796813</v>
      </c>
      <c r="AA69" s="50">
        <f t="shared" si="25"/>
        <v>58337.466238803339</v>
      </c>
      <c r="AB69" s="51">
        <f t="shared" si="26"/>
        <v>77986.460316721335</v>
      </c>
      <c r="AC69" s="44">
        <f t="shared" si="27"/>
        <v>54536.287032629087</v>
      </c>
      <c r="AD69" s="44">
        <f t="shared" si="28"/>
        <v>0</v>
      </c>
      <c r="AE69" s="44">
        <f t="shared" si="29"/>
        <v>0</v>
      </c>
      <c r="AF69" s="52">
        <f>HLOOKUP(I69,GasAvoidedCostsWOCC!$A$5:$G$50,G69+1,FALSE)</f>
        <v>13.765480191058694</v>
      </c>
      <c r="AG69" s="44">
        <f t="shared" si="30"/>
        <v>28852.446480459024</v>
      </c>
      <c r="AH69" s="52">
        <f>HLOOKUP(I69,GasAvoidedCostsWOCC!$A$5:$Q$50,T69+1,FALSE)</f>
        <v>13.765480191058694</v>
      </c>
      <c r="AI69" s="44">
        <f t="shared" si="31"/>
        <v>0</v>
      </c>
      <c r="AJ69" s="44">
        <f t="shared" si="32"/>
        <v>28852.446480459024</v>
      </c>
      <c r="AK69" s="44">
        <f>HLOOKUP(I69,GasAvoidedCostsWOCC!$A$5:$Q$50,G69+1,FALSE)*J69*L69</f>
        <v>0</v>
      </c>
      <c r="AL69" s="44">
        <f t="shared" si="33"/>
        <v>28852.446480459024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28852.446480459024</v>
      </c>
      <c r="AN69" s="48">
        <f t="shared" si="34"/>
        <v>31737.691128504928</v>
      </c>
      <c r="AO69" s="47">
        <f t="shared" si="35"/>
        <v>0.36996738104643373</v>
      </c>
      <c r="AP69" s="47">
        <f t="shared" si="36"/>
        <v>0.5819554805686763</v>
      </c>
      <c r="AQ69">
        <v>2020</v>
      </c>
    </row>
    <row r="70" spans="2:43">
      <c r="B70" s="97" t="s">
        <v>108</v>
      </c>
      <c r="C70" s="100">
        <v>18230678</v>
      </c>
      <c r="D70" s="100" t="s">
        <v>109</v>
      </c>
      <c r="E70" s="38" t="s">
        <v>1650</v>
      </c>
      <c r="F70" s="39" t="s">
        <v>1651</v>
      </c>
      <c r="G70" s="39">
        <v>1</v>
      </c>
      <c r="H70" s="39"/>
      <c r="I70" s="40" t="s">
        <v>269</v>
      </c>
      <c r="J70" s="41">
        <v>2</v>
      </c>
      <c r="K70" s="41">
        <v>0</v>
      </c>
      <c r="L70" s="41"/>
      <c r="M70" s="42">
        <v>0</v>
      </c>
      <c r="N70" s="42">
        <v>0</v>
      </c>
      <c r="O70" s="43">
        <v>0</v>
      </c>
      <c r="P70" s="44">
        <v>1263.49</v>
      </c>
      <c r="Q70" s="44">
        <v>1263.49</v>
      </c>
      <c r="R70" s="45"/>
      <c r="S70" s="46"/>
      <c r="T70" s="39">
        <f t="shared" si="18"/>
        <v>1</v>
      </c>
      <c r="U70" s="47">
        <f t="shared" si="19"/>
        <v>0</v>
      </c>
      <c r="V70" s="48">
        <f t="shared" si="20"/>
        <v>0</v>
      </c>
      <c r="W70" s="49">
        <f t="shared" si="21"/>
        <v>0</v>
      </c>
      <c r="X70" s="44">
        <f t="shared" si="22"/>
        <v>0</v>
      </c>
      <c r="Y70" s="44">
        <f t="shared" si="23"/>
        <v>0</v>
      </c>
      <c r="Z70" s="44">
        <f t="shared" si="24"/>
        <v>0</v>
      </c>
      <c r="AA70" s="50">
        <f t="shared" si="25"/>
        <v>1263.49</v>
      </c>
      <c r="AB70" s="51">
        <f t="shared" si="26"/>
        <v>0</v>
      </c>
      <c r="AC70" s="44">
        <f t="shared" si="27"/>
        <v>1181.1629428811816</v>
      </c>
      <c r="AD70" s="44">
        <f t="shared" si="28"/>
        <v>0</v>
      </c>
      <c r="AE70" s="44">
        <f t="shared" si="29"/>
        <v>0</v>
      </c>
      <c r="AF70" s="52">
        <f>HLOOKUP(I70,GasAvoidedCostsWOCC!$A$5:$G$50,G70+1,FALSE)</f>
        <v>0.87909634590853636</v>
      </c>
      <c r="AG70" s="44">
        <f t="shared" si="30"/>
        <v>0</v>
      </c>
      <c r="AH70" s="52">
        <f>HLOOKUP(I70,GasAvoidedCostsWOCC!$A$5:$Q$50,T70+1,FALSE)</f>
        <v>0.87909634590853636</v>
      </c>
      <c r="AI70" s="44">
        <f t="shared" si="31"/>
        <v>0</v>
      </c>
      <c r="AJ70" s="44">
        <f t="shared" si="32"/>
        <v>0</v>
      </c>
      <c r="AK70" s="44">
        <f>HLOOKUP(I70,GasAvoidedCostsWOCC!$A$5:$Q$50,G70+1,FALSE)*J70*L70</f>
        <v>0</v>
      </c>
      <c r="AL70" s="44">
        <f t="shared" si="33"/>
        <v>0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4"/>
        <v>0</v>
      </c>
      <c r="AO70" s="47">
        <f t="shared" si="35"/>
        <v>0</v>
      </c>
      <c r="AP70" s="47">
        <f t="shared" si="36"/>
        <v>0</v>
      </c>
      <c r="AQ70">
        <v>2020</v>
      </c>
    </row>
    <row r="71" spans="2:43">
      <c r="B71" s="97" t="s">
        <v>108</v>
      </c>
      <c r="C71" s="100">
        <v>18230678</v>
      </c>
      <c r="D71" s="100" t="s">
        <v>109</v>
      </c>
      <c r="E71" s="38" t="s">
        <v>2549</v>
      </c>
      <c r="F71" s="39" t="s">
        <v>2550</v>
      </c>
      <c r="G71" s="39">
        <v>1</v>
      </c>
      <c r="H71" s="39"/>
      <c r="I71" s="40" t="s">
        <v>269</v>
      </c>
      <c r="J71" s="41">
        <v>2</v>
      </c>
      <c r="K71" s="41">
        <v>0</v>
      </c>
      <c r="L71" s="41"/>
      <c r="M71" s="42">
        <v>0</v>
      </c>
      <c r="N71" s="42">
        <v>0</v>
      </c>
      <c r="O71" s="43">
        <v>0</v>
      </c>
      <c r="P71" s="44">
        <v>1709.41</v>
      </c>
      <c r="Q71" s="44">
        <v>1709.41</v>
      </c>
      <c r="R71" s="45"/>
      <c r="S71" s="46"/>
      <c r="T71" s="39">
        <f t="shared" si="18"/>
        <v>1</v>
      </c>
      <c r="U71" s="47">
        <f t="shared" si="19"/>
        <v>0</v>
      </c>
      <c r="V71" s="48">
        <f t="shared" si="20"/>
        <v>0</v>
      </c>
      <c r="W71" s="49">
        <f t="shared" si="21"/>
        <v>0</v>
      </c>
      <c r="X71" s="44">
        <f t="shared" si="22"/>
        <v>0</v>
      </c>
      <c r="Y71" s="44">
        <f t="shared" si="23"/>
        <v>0</v>
      </c>
      <c r="Z71" s="44">
        <f t="shared" si="24"/>
        <v>0</v>
      </c>
      <c r="AA71" s="50">
        <f t="shared" si="25"/>
        <v>1709.41</v>
      </c>
      <c r="AB71" s="51">
        <f t="shared" si="26"/>
        <v>0</v>
      </c>
      <c r="AC71" s="44">
        <f t="shared" si="27"/>
        <v>1598.027484341404</v>
      </c>
      <c r="AD71" s="44">
        <f t="shared" si="28"/>
        <v>0</v>
      </c>
      <c r="AE71" s="44">
        <f t="shared" si="29"/>
        <v>0</v>
      </c>
      <c r="AF71" s="52">
        <f>HLOOKUP(I71,GasAvoidedCostsWOCC!$A$5:$G$50,G71+1,FALSE)</f>
        <v>0.87909634590853636</v>
      </c>
      <c r="AG71" s="44">
        <f t="shared" si="30"/>
        <v>0</v>
      </c>
      <c r="AH71" s="52">
        <f>HLOOKUP(I71,GasAvoidedCostsWOCC!$A$5:$Q$50,T71+1,FALSE)</f>
        <v>0.87909634590853636</v>
      </c>
      <c r="AI71" s="44">
        <f t="shared" si="31"/>
        <v>0</v>
      </c>
      <c r="AJ71" s="44">
        <f t="shared" si="32"/>
        <v>0</v>
      </c>
      <c r="AK71" s="44">
        <f>HLOOKUP(I71,GasAvoidedCostsWOCC!$A$5:$Q$50,G71+1,FALSE)*J71*L71</f>
        <v>0</v>
      </c>
      <c r="AL71" s="44">
        <f t="shared" si="33"/>
        <v>0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4"/>
        <v>0</v>
      </c>
      <c r="AO71" s="47">
        <f t="shared" si="35"/>
        <v>0</v>
      </c>
      <c r="AP71" s="47">
        <f t="shared" si="36"/>
        <v>0</v>
      </c>
      <c r="AQ71">
        <v>2020</v>
      </c>
    </row>
    <row r="72" spans="2:43">
      <c r="B72" s="97" t="s">
        <v>108</v>
      </c>
      <c r="C72" s="100">
        <v>18230678</v>
      </c>
      <c r="D72" s="100" t="s">
        <v>109</v>
      </c>
      <c r="E72" s="38" t="s">
        <v>2553</v>
      </c>
      <c r="F72" s="39" t="s">
        <v>2554</v>
      </c>
      <c r="G72" s="39">
        <v>11</v>
      </c>
      <c r="H72" s="39"/>
      <c r="I72" s="40" t="s">
        <v>269</v>
      </c>
      <c r="J72" s="41">
        <v>6</v>
      </c>
      <c r="K72" s="41">
        <v>27.5</v>
      </c>
      <c r="L72" s="41"/>
      <c r="M72" s="42">
        <v>0</v>
      </c>
      <c r="N72" s="42">
        <v>0</v>
      </c>
      <c r="O72" s="43">
        <v>165</v>
      </c>
      <c r="P72" s="44">
        <v>0</v>
      </c>
      <c r="Q72" s="44">
        <v>2728.52</v>
      </c>
      <c r="R72" s="45">
        <v>0</v>
      </c>
      <c r="S72" s="46">
        <v>0</v>
      </c>
      <c r="T72" s="39">
        <f t="shared" si="18"/>
        <v>11</v>
      </c>
      <c r="U72" s="47">
        <f t="shared" si="19"/>
        <v>5.7597800430444407E-2</v>
      </c>
      <c r="V72" s="48">
        <f t="shared" si="20"/>
        <v>0</v>
      </c>
      <c r="W72" s="49">
        <f t="shared" si="21"/>
        <v>5.2361636754949458E-3</v>
      </c>
      <c r="X72" s="44">
        <f t="shared" si="22"/>
        <v>775.20607318823988</v>
      </c>
      <c r="Y72" s="44">
        <f t="shared" si="23"/>
        <v>2728.52</v>
      </c>
      <c r="Z72" s="44">
        <f t="shared" si="24"/>
        <v>6567.1036446237949</v>
      </c>
      <c r="AA72" s="50">
        <f t="shared" si="25"/>
        <v>3503.7260731882398</v>
      </c>
      <c r="AB72" s="51">
        <f t="shared" si="26"/>
        <v>6139.201313100677</v>
      </c>
      <c r="AC72" s="44">
        <f t="shared" si="27"/>
        <v>3275.428693267495</v>
      </c>
      <c r="AD72" s="44">
        <f t="shared" si="28"/>
        <v>0</v>
      </c>
      <c r="AE72" s="44">
        <f t="shared" si="29"/>
        <v>0</v>
      </c>
      <c r="AF72" s="52">
        <f>HLOOKUP(I72,GasAvoidedCostsWOCC!$A$5:$G$50,G72+1,FALSE)</f>
        <v>8.2477691503723172</v>
      </c>
      <c r="AG72" s="44">
        <f t="shared" si="30"/>
        <v>1360.8819098114323</v>
      </c>
      <c r="AH72" s="52">
        <f>HLOOKUP(I72,GasAvoidedCostsWOCC!$A$5:$Q$50,T72+1,FALSE)</f>
        <v>8.2477691503723172</v>
      </c>
      <c r="AI72" s="44">
        <f t="shared" si="31"/>
        <v>0</v>
      </c>
      <c r="AJ72" s="44">
        <f t="shared" si="32"/>
        <v>1360.8819098114323</v>
      </c>
      <c r="AK72" s="44">
        <f>HLOOKUP(I72,GasAvoidedCostsWOCC!$A$5:$Q$50,G72+1,FALSE)*J72*L72</f>
        <v>0</v>
      </c>
      <c r="AL72" s="44">
        <f t="shared" si="33"/>
        <v>1360.8819098114323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1360.8819098114323</v>
      </c>
      <c r="AN72" s="48">
        <f t="shared" si="34"/>
        <v>1496.9701007925755</v>
      </c>
      <c r="AO72" s="47">
        <f t="shared" si="35"/>
        <v>0.22167083964283663</v>
      </c>
      <c r="AP72" s="47">
        <f t="shared" si="36"/>
        <v>0.45703028243891686</v>
      </c>
      <c r="AQ72">
        <v>2020</v>
      </c>
    </row>
    <row r="73" spans="2:43">
      <c r="B73" s="97" t="s">
        <v>108</v>
      </c>
      <c r="C73" s="100">
        <v>18230678</v>
      </c>
      <c r="D73" s="100" t="s">
        <v>109</v>
      </c>
      <c r="E73" s="38" t="s">
        <v>2555</v>
      </c>
      <c r="F73" s="39" t="s">
        <v>2556</v>
      </c>
      <c r="G73" s="39">
        <v>11</v>
      </c>
      <c r="H73" s="39"/>
      <c r="I73" s="40" t="s">
        <v>269</v>
      </c>
      <c r="J73" s="41">
        <v>21</v>
      </c>
      <c r="K73" s="41">
        <v>33</v>
      </c>
      <c r="L73" s="41"/>
      <c r="M73" s="42">
        <v>400</v>
      </c>
      <c r="N73" s="42">
        <v>400</v>
      </c>
      <c r="O73" s="43">
        <v>693</v>
      </c>
      <c r="P73" s="44">
        <v>10472.200000000001</v>
      </c>
      <c r="Q73" s="44">
        <v>10472.200000000001</v>
      </c>
      <c r="R73" s="45">
        <v>0</v>
      </c>
      <c r="S73" s="46"/>
      <c r="T73" s="39">
        <f t="shared" si="18"/>
        <v>11</v>
      </c>
      <c r="U73" s="47">
        <f t="shared" si="19"/>
        <v>0.24191076180786647</v>
      </c>
      <c r="V73" s="48">
        <f t="shared" si="20"/>
        <v>0</v>
      </c>
      <c r="W73" s="49">
        <f t="shared" si="21"/>
        <v>2.1991887437078771E-2</v>
      </c>
      <c r="X73" s="44">
        <f t="shared" si="22"/>
        <v>3255.865507390607</v>
      </c>
      <c r="Y73" s="44">
        <f t="shared" si="23"/>
        <v>0</v>
      </c>
      <c r="Z73" s="44">
        <f t="shared" si="24"/>
        <v>27581.835307419937</v>
      </c>
      <c r="AA73" s="50">
        <f t="shared" si="25"/>
        <v>13728.065507390607</v>
      </c>
      <c r="AB73" s="51">
        <f t="shared" si="26"/>
        <v>25784.645515022843</v>
      </c>
      <c r="AC73" s="44">
        <f t="shared" si="27"/>
        <v>12833.56595998</v>
      </c>
      <c r="AD73" s="44">
        <f t="shared" si="28"/>
        <v>0</v>
      </c>
      <c r="AE73" s="44">
        <f t="shared" si="29"/>
        <v>0</v>
      </c>
      <c r="AF73" s="52">
        <f>HLOOKUP(I73,GasAvoidedCostsWOCC!$A$5:$G$50,G73+1,FALSE)</f>
        <v>8.2477691503723172</v>
      </c>
      <c r="AG73" s="44">
        <f t="shared" si="30"/>
        <v>5715.7040212080155</v>
      </c>
      <c r="AH73" s="52">
        <f>HLOOKUP(I73,GasAvoidedCostsWOCC!$A$5:$Q$50,T73+1,FALSE)</f>
        <v>8.2477691503723172</v>
      </c>
      <c r="AI73" s="44">
        <f t="shared" si="31"/>
        <v>0</v>
      </c>
      <c r="AJ73" s="44">
        <f t="shared" si="32"/>
        <v>5715.7040212080155</v>
      </c>
      <c r="AK73" s="44">
        <f>HLOOKUP(I73,GasAvoidedCostsWOCC!$A$5:$Q$50,G73+1,FALSE)*J73*L73</f>
        <v>0</v>
      </c>
      <c r="AL73" s="44">
        <f t="shared" si="33"/>
        <v>5715.7040212080155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5715.7040212080165</v>
      </c>
      <c r="AN73" s="48">
        <f t="shared" si="34"/>
        <v>6287.2744233288186</v>
      </c>
      <c r="AO73" s="47">
        <f t="shared" si="35"/>
        <v>0.22167083964283668</v>
      </c>
      <c r="AP73" s="47">
        <f t="shared" si="36"/>
        <v>0.4899086070804452</v>
      </c>
      <c r="AQ73">
        <v>2020</v>
      </c>
    </row>
    <row r="74" spans="2:43">
      <c r="B74" s="97" t="s">
        <v>108</v>
      </c>
      <c r="C74" s="100">
        <v>18230678</v>
      </c>
      <c r="D74" s="100" t="s">
        <v>109</v>
      </c>
      <c r="E74" s="38" t="s">
        <v>1658</v>
      </c>
      <c r="F74" s="39" t="s">
        <v>1659</v>
      </c>
      <c r="G74" s="39">
        <v>1</v>
      </c>
      <c r="H74" s="39"/>
      <c r="I74" s="40"/>
      <c r="J74" s="41">
        <v>2</v>
      </c>
      <c r="K74" s="41">
        <v>0</v>
      </c>
      <c r="L74" s="41"/>
      <c r="M74" s="42">
        <v>0</v>
      </c>
      <c r="N74" s="42">
        <v>0</v>
      </c>
      <c r="O74" s="43">
        <v>0</v>
      </c>
      <c r="P74" s="44">
        <v>272.93</v>
      </c>
      <c r="Q74" s="44">
        <v>272.93</v>
      </c>
      <c r="R74" s="45"/>
      <c r="S74" s="46"/>
      <c r="T74" s="39">
        <f t="shared" si="18"/>
        <v>1</v>
      </c>
      <c r="U74" s="47">
        <f t="shared" si="19"/>
        <v>0</v>
      </c>
      <c r="V74" s="48">
        <f t="shared" si="20"/>
        <v>0</v>
      </c>
      <c r="W74" s="49">
        <f t="shared" si="21"/>
        <v>0</v>
      </c>
      <c r="X74" s="44">
        <f t="shared" si="22"/>
        <v>0</v>
      </c>
      <c r="Y74" s="44">
        <f t="shared" si="23"/>
        <v>0</v>
      </c>
      <c r="Z74" s="44">
        <f t="shared" si="24"/>
        <v>0</v>
      </c>
      <c r="AA74" s="50">
        <f t="shared" si="25"/>
        <v>272.93</v>
      </c>
      <c r="AB74" s="51">
        <f t="shared" si="26"/>
        <v>0</v>
      </c>
      <c r="AC74" s="44">
        <f t="shared" si="27"/>
        <v>255.14630270169204</v>
      </c>
      <c r="AD74" s="44">
        <f t="shared" si="28"/>
        <v>0</v>
      </c>
      <c r="AE74" s="44">
        <f t="shared" si="29"/>
        <v>0</v>
      </c>
      <c r="AF74" s="52" t="e">
        <f>HLOOKUP(I74,GasAvoidedCostsWOCC!$A$5:$G$50,G74+1,FALSE)</f>
        <v>#N/A</v>
      </c>
      <c r="AG74" s="44" t="e">
        <f t="shared" si="30"/>
        <v>#N/A</v>
      </c>
      <c r="AH74" s="52" t="e">
        <f>HLOOKUP(I74,GasAvoidedCostsWOCC!$A$5:$Q$50,T74+1,FALSE)</f>
        <v>#N/A</v>
      </c>
      <c r="AI74" s="44" t="e">
        <f t="shared" si="31"/>
        <v>#N/A</v>
      </c>
      <c r="AJ74" s="44" t="e">
        <f t="shared" si="32"/>
        <v>#N/A</v>
      </c>
      <c r="AK74" s="44" t="e">
        <f>HLOOKUP(I74,GasAvoidedCostsWOCC!$A$5:$Q$50,G74+1,FALSE)*J74*L74</f>
        <v>#N/A</v>
      </c>
      <c r="AL74" s="44" t="e">
        <f t="shared" si="33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4"/>
        <v>0</v>
      </c>
      <c r="AO74" s="47">
        <f t="shared" si="35"/>
        <v>0</v>
      </c>
      <c r="AP74" s="47">
        <f t="shared" si="36"/>
        <v>0</v>
      </c>
      <c r="AQ74">
        <v>2020</v>
      </c>
    </row>
    <row r="75" spans="2:43">
      <c r="B75" s="97" t="s">
        <v>108</v>
      </c>
      <c r="C75" s="100">
        <v>18230678</v>
      </c>
      <c r="D75" s="100" t="s">
        <v>109</v>
      </c>
      <c r="E75" s="38" t="s">
        <v>2557</v>
      </c>
      <c r="F75" s="39" t="s">
        <v>1665</v>
      </c>
      <c r="G75" s="39">
        <v>45</v>
      </c>
      <c r="H75" s="39"/>
      <c r="I75" s="40" t="s">
        <v>269</v>
      </c>
      <c r="J75" s="41">
        <v>120</v>
      </c>
      <c r="K75" s="41">
        <v>0.64</v>
      </c>
      <c r="L75" s="41"/>
      <c r="M75" s="42">
        <v>20.5</v>
      </c>
      <c r="N75" s="42">
        <v>20.5</v>
      </c>
      <c r="O75" s="43">
        <v>76.8</v>
      </c>
      <c r="P75" s="44">
        <v>3198</v>
      </c>
      <c r="Q75" s="44">
        <v>3198</v>
      </c>
      <c r="R75" s="45">
        <v>0</v>
      </c>
      <c r="S75" s="46">
        <v>0</v>
      </c>
      <c r="T75" s="39">
        <f t="shared" si="18"/>
        <v>45</v>
      </c>
      <c r="U75" s="47">
        <f t="shared" si="19"/>
        <v>0.10967382825763959</v>
      </c>
      <c r="V75" s="48">
        <f t="shared" si="20"/>
        <v>0</v>
      </c>
      <c r="W75" s="49">
        <f t="shared" si="21"/>
        <v>2.437196183503102E-3</v>
      </c>
      <c r="X75" s="44">
        <f t="shared" si="22"/>
        <v>360.82319042943527</v>
      </c>
      <c r="Y75" s="44">
        <f t="shared" si="23"/>
        <v>0</v>
      </c>
      <c r="Z75" s="44">
        <f t="shared" si="24"/>
        <v>3056.6882418612572</v>
      </c>
      <c r="AA75" s="50">
        <f t="shared" si="25"/>
        <v>3558.8231904294353</v>
      </c>
      <c r="AB75" s="51">
        <f t="shared" si="26"/>
        <v>2857.5191566432241</v>
      </c>
      <c r="AC75" s="44">
        <f t="shared" si="27"/>
        <v>3326.9357674389407</v>
      </c>
      <c r="AD75" s="44">
        <f t="shared" si="28"/>
        <v>0</v>
      </c>
      <c r="AE75" s="44">
        <f t="shared" si="29"/>
        <v>0</v>
      </c>
      <c r="AF75" s="52">
        <f>HLOOKUP(I75,GasAvoidedCostsWOCC!$A$5:$G$50,G75+1,FALSE)</f>
        <v>27.444232870165703</v>
      </c>
      <c r="AG75" s="44">
        <f t="shared" si="30"/>
        <v>2107.7170844287261</v>
      </c>
      <c r="AH75" s="52">
        <f>HLOOKUP(I75,GasAvoidedCostsWOCC!$A$5:$Q$50,T75+1,FALSE)</f>
        <v>27.444232870165703</v>
      </c>
      <c r="AI75" s="44">
        <f t="shared" si="31"/>
        <v>0</v>
      </c>
      <c r="AJ75" s="44">
        <f t="shared" si="32"/>
        <v>2107.7170844287261</v>
      </c>
      <c r="AK75" s="44">
        <f>HLOOKUP(I75,GasAvoidedCostsWOCC!$A$5:$Q$50,G75+1,FALSE)*J75*L75</f>
        <v>0</v>
      </c>
      <c r="AL75" s="44">
        <f t="shared" si="33"/>
        <v>2107.7170844287261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2107.7170844287261</v>
      </c>
      <c r="AN75" s="48">
        <f t="shared" si="34"/>
        <v>2318.4887928715989</v>
      </c>
      <c r="AO75" s="47">
        <f t="shared" si="35"/>
        <v>0.73760383356614023</v>
      </c>
      <c r="AP75" s="47">
        <f t="shared" si="36"/>
        <v>0.69688414653594599</v>
      </c>
      <c r="AQ75">
        <v>2020</v>
      </c>
    </row>
    <row r="76" spans="2:43">
      <c r="B76" s="97" t="s">
        <v>108</v>
      </c>
      <c r="C76" s="100">
        <v>18230678</v>
      </c>
      <c r="D76" s="100" t="s">
        <v>109</v>
      </c>
      <c r="E76" s="38" t="s">
        <v>2558</v>
      </c>
      <c r="F76" s="39" t="s">
        <v>1667</v>
      </c>
      <c r="G76" s="39">
        <v>13</v>
      </c>
      <c r="H76" s="39"/>
      <c r="I76" s="40" t="s">
        <v>265</v>
      </c>
      <c r="J76" s="41">
        <v>1</v>
      </c>
      <c r="K76" s="41">
        <v>28</v>
      </c>
      <c r="L76" s="41"/>
      <c r="M76" s="42">
        <v>841.67</v>
      </c>
      <c r="N76" s="42">
        <v>841.67</v>
      </c>
      <c r="O76" s="43">
        <v>28</v>
      </c>
      <c r="P76" s="44">
        <v>1094.17</v>
      </c>
      <c r="Q76" s="44">
        <v>1094.17</v>
      </c>
      <c r="R76" s="45">
        <v>0</v>
      </c>
      <c r="S76" s="46">
        <v>0</v>
      </c>
      <c r="T76" s="39">
        <f t="shared" si="18"/>
        <v>13</v>
      </c>
      <c r="U76" s="47">
        <f t="shared" si="19"/>
        <v>1.1551294411394911E-2</v>
      </c>
      <c r="V76" s="48">
        <f t="shared" si="20"/>
        <v>0</v>
      </c>
      <c r="W76" s="49">
        <f t="shared" si="21"/>
        <v>8.8856110856883931E-4</v>
      </c>
      <c r="X76" s="44">
        <f t="shared" si="22"/>
        <v>131.55012151073163</v>
      </c>
      <c r="Y76" s="44">
        <f t="shared" si="23"/>
        <v>0</v>
      </c>
      <c r="Z76" s="44">
        <f t="shared" si="24"/>
        <v>1114.4175881785834</v>
      </c>
      <c r="AA76" s="50">
        <f t="shared" si="25"/>
        <v>1225.7201215107316</v>
      </c>
      <c r="AB76" s="51">
        <f t="shared" si="26"/>
        <v>1041.8038591928423</v>
      </c>
      <c r="AC76" s="44">
        <f t="shared" si="27"/>
        <v>1145.8540913440511</v>
      </c>
      <c r="AD76" s="44">
        <f t="shared" si="28"/>
        <v>0</v>
      </c>
      <c r="AE76" s="44">
        <f t="shared" si="29"/>
        <v>0</v>
      </c>
      <c r="AF76" s="52">
        <f>HLOOKUP(I76,GasAvoidedCostsWOCC!$A$5:$G$50,G76+1,FALSE)</f>
        <v>9.0054306682141867</v>
      </c>
      <c r="AG76" s="44">
        <f t="shared" si="30"/>
        <v>252.15205870999722</v>
      </c>
      <c r="AH76" s="52">
        <f>HLOOKUP(I76,GasAvoidedCostsWOCC!$A$5:$Q$50,T76+1,FALSE)</f>
        <v>9.0054306682141867</v>
      </c>
      <c r="AI76" s="44">
        <f t="shared" si="31"/>
        <v>0</v>
      </c>
      <c r="AJ76" s="44">
        <f t="shared" si="32"/>
        <v>252.15205870999722</v>
      </c>
      <c r="AK76" s="44">
        <f>HLOOKUP(I76,GasAvoidedCostsWOCC!$A$5:$Q$50,G76+1,FALSE)*J76*L76</f>
        <v>0</v>
      </c>
      <c r="AL76" s="44">
        <f t="shared" si="33"/>
        <v>252.15205870999722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252.15205870999722</v>
      </c>
      <c r="AN76" s="48">
        <f t="shared" si="34"/>
        <v>277.36726458099696</v>
      </c>
      <c r="AO76" s="47">
        <f t="shared" si="35"/>
        <v>0.24203409930287348</v>
      </c>
      <c r="AP76" s="47">
        <f t="shared" si="36"/>
        <v>0.24206159115394335</v>
      </c>
      <c r="AQ76">
        <v>2020</v>
      </c>
    </row>
    <row r="77" spans="2:43">
      <c r="B77" s="97" t="s">
        <v>108</v>
      </c>
      <c r="C77" s="100">
        <v>18230678</v>
      </c>
      <c r="D77" s="100" t="s">
        <v>109</v>
      </c>
      <c r="E77" s="38" t="s">
        <v>2559</v>
      </c>
      <c r="F77" s="39" t="s">
        <v>1671</v>
      </c>
      <c r="G77" s="39">
        <v>20</v>
      </c>
      <c r="H77" s="39"/>
      <c r="I77" s="40" t="s">
        <v>265</v>
      </c>
      <c r="J77" s="41">
        <v>23</v>
      </c>
      <c r="K77" s="41">
        <v>51</v>
      </c>
      <c r="L77" s="41"/>
      <c r="M77" s="42">
        <v>1484</v>
      </c>
      <c r="N77" s="42">
        <v>1484</v>
      </c>
      <c r="O77" s="43">
        <v>1173</v>
      </c>
      <c r="P77" s="44">
        <v>44371.6</v>
      </c>
      <c r="Q77" s="44">
        <v>44371.6</v>
      </c>
      <c r="R77" s="45">
        <v>11.51</v>
      </c>
      <c r="S77" s="46">
        <v>0</v>
      </c>
      <c r="T77" s="39">
        <f t="shared" si="18"/>
        <v>20</v>
      </c>
      <c r="U77" s="47">
        <f t="shared" si="19"/>
        <v>0.74448727167946316</v>
      </c>
      <c r="V77" s="48">
        <f t="shared" si="20"/>
        <v>0</v>
      </c>
      <c r="W77" s="49">
        <f t="shared" si="21"/>
        <v>3.7224363583973158E-2</v>
      </c>
      <c r="X77" s="44">
        <f t="shared" si="22"/>
        <v>5511.0104475745775</v>
      </c>
      <c r="Y77" s="44">
        <f t="shared" si="23"/>
        <v>0</v>
      </c>
      <c r="Z77" s="44">
        <f t="shared" si="24"/>
        <v>46686.136819052786</v>
      </c>
      <c r="AA77" s="50">
        <f t="shared" si="25"/>
        <v>49882.610447574574</v>
      </c>
      <c r="AB77" s="51">
        <f t="shared" si="26"/>
        <v>43644.140244042988</v>
      </c>
      <c r="AC77" s="44">
        <f t="shared" si="27"/>
        <v>46632.336587430655</v>
      </c>
      <c r="AD77" s="44">
        <f t="shared" si="28"/>
        <v>2811.1046078916966</v>
      </c>
      <c r="AE77" s="44">
        <f t="shared" si="29"/>
        <v>0</v>
      </c>
      <c r="AF77" s="52">
        <f>HLOOKUP(I77,GasAvoidedCostsWOCC!$A$5:$G$50,G77+1,FALSE)</f>
        <v>13.114573164368423</v>
      </c>
      <c r="AG77" s="44">
        <f>AF77*J77*K77</f>
        <v>15383.394321804159</v>
      </c>
      <c r="AH77" s="52">
        <f>HLOOKUP(I77,GasAvoidedCostsWOCC!$A$5:$Q$50,T77+1,FALSE)</f>
        <v>13.114573164368423</v>
      </c>
      <c r="AI77" s="44">
        <f t="shared" si="31"/>
        <v>0</v>
      </c>
      <c r="AJ77" s="44">
        <f t="shared" si="32"/>
        <v>15383.394321804159</v>
      </c>
      <c r="AK77" s="44">
        <f>HLOOKUP(I77,GasAvoidedCostsWOCC!$A$5:$Q$50,G77+1,FALSE)*J77*L77</f>
        <v>0</v>
      </c>
      <c r="AL77" s="44">
        <f t="shared" si="33"/>
        <v>15383.394321804159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15383.39432180416</v>
      </c>
      <c r="AN77" s="48">
        <f t="shared" si="34"/>
        <v>19732.838361876275</v>
      </c>
      <c r="AO77" s="47">
        <f t="shared" si="35"/>
        <v>0.35247330422332807</v>
      </c>
      <c r="AP77" s="47">
        <f t="shared" si="36"/>
        <v>0.4231578300795481</v>
      </c>
      <c r="AQ77">
        <v>2020</v>
      </c>
    </row>
    <row r="78" spans="2:43">
      <c r="B78" s="97" t="s">
        <v>108</v>
      </c>
      <c r="C78" s="100">
        <v>18230678</v>
      </c>
      <c r="D78" s="100" t="s">
        <v>109</v>
      </c>
      <c r="E78" s="38" t="s">
        <v>2560</v>
      </c>
      <c r="F78" s="39" t="s">
        <v>2561</v>
      </c>
      <c r="G78" s="39">
        <v>20</v>
      </c>
      <c r="H78" s="39"/>
      <c r="I78" s="40" t="s">
        <v>265</v>
      </c>
      <c r="J78" s="41">
        <v>10</v>
      </c>
      <c r="K78" s="41">
        <v>25.5</v>
      </c>
      <c r="L78" s="41"/>
      <c r="M78" s="42"/>
      <c r="N78" s="42"/>
      <c r="O78" s="43">
        <v>255</v>
      </c>
      <c r="P78" s="44">
        <v>0</v>
      </c>
      <c r="Q78" s="44">
        <v>33092.480000000003</v>
      </c>
      <c r="R78" s="45">
        <v>0</v>
      </c>
      <c r="S78" s="46">
        <v>0</v>
      </c>
      <c r="T78" s="39">
        <f t="shared" si="18"/>
        <v>20</v>
      </c>
      <c r="U78" s="47">
        <f t="shared" si="19"/>
        <v>0.16184505906075286</v>
      </c>
      <c r="V78" s="48">
        <f t="shared" si="20"/>
        <v>0</v>
      </c>
      <c r="W78" s="49">
        <f t="shared" si="21"/>
        <v>8.092252953037643E-3</v>
      </c>
      <c r="X78" s="44">
        <f t="shared" si="22"/>
        <v>1198.0457494727343</v>
      </c>
      <c r="Y78" s="44">
        <f t="shared" si="23"/>
        <v>33092.480000000003</v>
      </c>
      <c r="Z78" s="44">
        <f t="shared" si="24"/>
        <v>10149.160178054955</v>
      </c>
      <c r="AA78" s="50">
        <f t="shared" si="25"/>
        <v>34290.525749472741</v>
      </c>
      <c r="AB78" s="51">
        <f t="shared" si="26"/>
        <v>9487.8565747919547</v>
      </c>
      <c r="AC78" s="44">
        <f t="shared" si="27"/>
        <v>32056.20804849279</v>
      </c>
      <c r="AD78" s="44">
        <f t="shared" si="28"/>
        <v>0</v>
      </c>
      <c r="AE78" s="44">
        <f t="shared" si="29"/>
        <v>0</v>
      </c>
      <c r="AF78" s="52">
        <f>HLOOKUP(I78,GasAvoidedCostsWOCC!$A$5:$G$50,G78+1,FALSE)</f>
        <v>13.114573164368423</v>
      </c>
      <c r="AG78" s="44">
        <f t="shared" si="30"/>
        <v>3344.216156913948</v>
      </c>
      <c r="AH78" s="52">
        <f>HLOOKUP(I78,GasAvoidedCostsWOCC!$A$5:$Q$50,T78+1,FALSE)</f>
        <v>13.114573164368423</v>
      </c>
      <c r="AI78" s="44">
        <f t="shared" si="31"/>
        <v>0</v>
      </c>
      <c r="AJ78" s="44">
        <f t="shared" si="32"/>
        <v>3344.216156913948</v>
      </c>
      <c r="AK78" s="44">
        <f>HLOOKUP(I78,GasAvoidedCostsWOCC!$A$5:$Q$50,G78+1,FALSE)*J78*L78</f>
        <v>0</v>
      </c>
      <c r="AL78" s="44">
        <f t="shared" si="33"/>
        <v>3344.216156913948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3344.216156913948</v>
      </c>
      <c r="AN78" s="48">
        <f t="shared" si="34"/>
        <v>3678.6377726053429</v>
      </c>
      <c r="AO78" s="47">
        <f t="shared" si="35"/>
        <v>0.35247330422332807</v>
      </c>
      <c r="AP78" s="47">
        <f t="shared" si="36"/>
        <v>0.11475586154920479</v>
      </c>
      <c r="AQ78">
        <v>2020</v>
      </c>
    </row>
    <row r="79" spans="2:43">
      <c r="B79" s="97" t="s">
        <v>108</v>
      </c>
      <c r="C79" s="100">
        <v>18230678</v>
      </c>
      <c r="D79" s="100" t="s">
        <v>109</v>
      </c>
      <c r="E79" s="38" t="s">
        <v>1680</v>
      </c>
      <c r="F79" s="39" t="s">
        <v>1681</v>
      </c>
      <c r="G79" s="39">
        <v>1</v>
      </c>
      <c r="H79" s="39"/>
      <c r="I79" s="40"/>
      <c r="J79" s="41">
        <v>1</v>
      </c>
      <c r="K79" s="41">
        <v>0</v>
      </c>
      <c r="L79" s="41"/>
      <c r="M79" s="42">
        <v>0</v>
      </c>
      <c r="N79" s="42">
        <v>0</v>
      </c>
      <c r="O79" s="43">
        <v>0</v>
      </c>
      <c r="P79" s="44">
        <v>767.09</v>
      </c>
      <c r="Q79" s="44">
        <v>767.09</v>
      </c>
      <c r="R79" s="45">
        <v>0</v>
      </c>
      <c r="S79" s="46">
        <v>0</v>
      </c>
      <c r="T79" s="39">
        <f t="shared" si="18"/>
        <v>1</v>
      </c>
      <c r="U79" s="47">
        <f t="shared" si="19"/>
        <v>0</v>
      </c>
      <c r="V79" s="48">
        <f t="shared" si="20"/>
        <v>0</v>
      </c>
      <c r="W79" s="49">
        <f t="shared" si="21"/>
        <v>0</v>
      </c>
      <c r="X79" s="44">
        <f t="shared" si="22"/>
        <v>0</v>
      </c>
      <c r="Y79" s="44">
        <f t="shared" si="23"/>
        <v>0</v>
      </c>
      <c r="Z79" s="44">
        <f t="shared" si="24"/>
        <v>0</v>
      </c>
      <c r="AA79" s="50">
        <f t="shared" si="25"/>
        <v>767.09</v>
      </c>
      <c r="AB79" s="51">
        <f t="shared" si="26"/>
        <v>0</v>
      </c>
      <c r="AC79" s="44">
        <f t="shared" si="27"/>
        <v>717.10760026175558</v>
      </c>
      <c r="AD79" s="44">
        <f t="shared" si="28"/>
        <v>0</v>
      </c>
      <c r="AE79" s="44">
        <f t="shared" si="29"/>
        <v>0</v>
      </c>
      <c r="AF79" s="52" t="e">
        <f>HLOOKUP(I79,GasAvoidedCostsWOCC!$A$5:$G$50,G79+1,FALSE)</f>
        <v>#N/A</v>
      </c>
      <c r="AG79" s="44" t="e">
        <f t="shared" si="30"/>
        <v>#N/A</v>
      </c>
      <c r="AH79" s="52" t="e">
        <f>HLOOKUP(I79,GasAvoidedCostsWOCC!$A$5:$Q$50,T79+1,FALSE)</f>
        <v>#N/A</v>
      </c>
      <c r="AI79" s="44" t="e">
        <f t="shared" si="31"/>
        <v>#N/A</v>
      </c>
      <c r="AJ79" s="44" t="e">
        <f t="shared" si="32"/>
        <v>#N/A</v>
      </c>
      <c r="AK79" s="44" t="e">
        <f>HLOOKUP(I79,GasAvoidedCostsWOCC!$A$5:$Q$50,G79+1,FALSE)*J79*L79</f>
        <v>#N/A</v>
      </c>
      <c r="AL79" s="44" t="e">
        <f t="shared" si="33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4"/>
        <v>0</v>
      </c>
      <c r="AO79" s="47">
        <f t="shared" si="35"/>
        <v>0</v>
      </c>
      <c r="AP79" s="47">
        <f t="shared" si="36"/>
        <v>0</v>
      </c>
      <c r="AQ79">
        <v>2020</v>
      </c>
    </row>
    <row r="80" spans="2:43">
      <c r="B80" s="97" t="s">
        <v>108</v>
      </c>
      <c r="C80" s="100">
        <v>18230678</v>
      </c>
      <c r="D80" s="100" t="s">
        <v>109</v>
      </c>
      <c r="E80" s="38" t="s">
        <v>2563</v>
      </c>
      <c r="F80" s="39" t="s">
        <v>2564</v>
      </c>
      <c r="G80" s="39">
        <v>1</v>
      </c>
      <c r="H80" s="39"/>
      <c r="I80" s="40" t="s">
        <v>269</v>
      </c>
      <c r="J80" s="41">
        <v>59</v>
      </c>
      <c r="K80" s="41"/>
      <c r="L80" s="41"/>
      <c r="M80" s="42"/>
      <c r="N80" s="42"/>
      <c r="O80" s="43">
        <v>0</v>
      </c>
      <c r="P80" s="44">
        <v>34396.44</v>
      </c>
      <c r="Q80" s="44">
        <v>34396.44</v>
      </c>
      <c r="R80" s="45">
        <v>0</v>
      </c>
      <c r="S80" s="46">
        <v>0</v>
      </c>
      <c r="T80" s="39">
        <f t="shared" si="18"/>
        <v>1</v>
      </c>
      <c r="U80" s="47">
        <f t="shared" si="19"/>
        <v>0</v>
      </c>
      <c r="V80" s="48">
        <f t="shared" si="20"/>
        <v>0</v>
      </c>
      <c r="W80" s="49">
        <f t="shared" si="21"/>
        <v>0</v>
      </c>
      <c r="X80" s="44">
        <f t="shared" si="22"/>
        <v>0</v>
      </c>
      <c r="Y80" s="44">
        <f t="shared" si="23"/>
        <v>0</v>
      </c>
      <c r="Z80" s="44">
        <f t="shared" si="24"/>
        <v>0</v>
      </c>
      <c r="AA80" s="50">
        <f t="shared" si="25"/>
        <v>34396.44</v>
      </c>
      <c r="AB80" s="51">
        <f t="shared" si="26"/>
        <v>0</v>
      </c>
      <c r="AC80" s="44">
        <f t="shared" si="27"/>
        <v>32155.221090025239</v>
      </c>
      <c r="AD80" s="44">
        <f t="shared" si="28"/>
        <v>0</v>
      </c>
      <c r="AE80" s="44">
        <f t="shared" si="29"/>
        <v>0</v>
      </c>
      <c r="AF80" s="52">
        <f>HLOOKUP(I80,GasAvoidedCostsWOCC!$A$5:$G$50,G80+1,FALSE)</f>
        <v>0.87909634590853636</v>
      </c>
      <c r="AG80" s="44">
        <f t="shared" si="30"/>
        <v>0</v>
      </c>
      <c r="AH80" s="52">
        <f>HLOOKUP(I80,GasAvoidedCostsWOCC!$A$5:$Q$50,T80+1,FALSE)</f>
        <v>0.87909634590853636</v>
      </c>
      <c r="AI80" s="44">
        <f t="shared" si="31"/>
        <v>0</v>
      </c>
      <c r="AJ80" s="44">
        <f t="shared" si="32"/>
        <v>0</v>
      </c>
      <c r="AK80" s="44">
        <f>HLOOKUP(I80,GasAvoidedCostsWOCC!$A$5:$Q$50,G80+1,FALSE)*J80*L80</f>
        <v>0</v>
      </c>
      <c r="AL80" s="44">
        <f t="shared" si="33"/>
        <v>0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4"/>
        <v>0</v>
      </c>
      <c r="AO80" s="47">
        <f t="shared" si="35"/>
        <v>0</v>
      </c>
      <c r="AP80" s="47">
        <f t="shared" si="36"/>
        <v>0</v>
      </c>
      <c r="AQ80">
        <v>2020</v>
      </c>
    </row>
    <row r="81" spans="2:42">
      <c r="B81" s="97"/>
      <c r="C81" s="100"/>
      <c r="D81" s="100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8"/>
        <v>0</v>
      </c>
      <c r="U81" s="47">
        <f t="shared" si="19"/>
        <v>0</v>
      </c>
      <c r="V81" s="48">
        <f t="shared" si="20"/>
        <v>0</v>
      </c>
      <c r="W81" s="49">
        <f t="shared" si="21"/>
        <v>0</v>
      </c>
      <c r="X81" s="44">
        <f t="shared" si="22"/>
        <v>0</v>
      </c>
      <c r="Y81" s="44">
        <f t="shared" si="23"/>
        <v>0</v>
      </c>
      <c r="Z81" s="44">
        <f t="shared" si="24"/>
        <v>0</v>
      </c>
      <c r="AA81" s="50">
        <f t="shared" si="25"/>
        <v>0</v>
      </c>
      <c r="AB81" s="51">
        <f t="shared" si="26"/>
        <v>0</v>
      </c>
      <c r="AC81" s="44">
        <f t="shared" si="27"/>
        <v>0</v>
      </c>
      <c r="AD81" s="44">
        <f t="shared" si="28"/>
        <v>0</v>
      </c>
      <c r="AE81" s="44">
        <f t="shared" si="29"/>
        <v>0</v>
      </c>
      <c r="AF81" s="52" t="e">
        <f>HLOOKUP(I81,GasAvoidedCostsWOCC!$A$5:$G$50,G81+1,FALSE)</f>
        <v>#N/A</v>
      </c>
      <c r="AG81" s="44" t="e">
        <f t="shared" si="30"/>
        <v>#N/A</v>
      </c>
      <c r="AH81" s="52" t="e">
        <f>HLOOKUP(I81,GasAvoidedCostsWOCC!$A$5:$Q$50,T81+1,FALSE)</f>
        <v>#N/A</v>
      </c>
      <c r="AI81" s="44" t="e">
        <f t="shared" si="31"/>
        <v>#N/A</v>
      </c>
      <c r="AJ81" s="44" t="e">
        <f t="shared" si="32"/>
        <v>#N/A</v>
      </c>
      <c r="AK81" s="44" t="e">
        <f>HLOOKUP(I81,GasAvoidedCostsWOCC!$A$5:$Q$50,G81+1,FALSE)*J81*L81</f>
        <v>#N/A</v>
      </c>
      <c r="AL81" s="44" t="e">
        <f t="shared" si="33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4"/>
        <v>0</v>
      </c>
      <c r="AO81" s="47">
        <f t="shared" si="35"/>
        <v>0</v>
      </c>
      <c r="AP81" s="47" t="e">
        <f t="shared" si="36"/>
        <v>#DIV/0!</v>
      </c>
    </row>
    <row r="82" spans="2:42">
      <c r="B82" s="97"/>
      <c r="C82" s="100"/>
      <c r="D82" s="100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8"/>
        <v>0</v>
      </c>
      <c r="U82" s="47">
        <f t="shared" si="19"/>
        <v>0</v>
      </c>
      <c r="V82" s="48">
        <f t="shared" si="20"/>
        <v>0</v>
      </c>
      <c r="W82" s="49">
        <f t="shared" si="21"/>
        <v>0</v>
      </c>
      <c r="X82" s="44">
        <f t="shared" si="22"/>
        <v>0</v>
      </c>
      <c r="Y82" s="44">
        <f t="shared" si="23"/>
        <v>0</v>
      </c>
      <c r="Z82" s="44">
        <f t="shared" si="24"/>
        <v>0</v>
      </c>
      <c r="AA82" s="50">
        <f t="shared" si="25"/>
        <v>0</v>
      </c>
      <c r="AB82" s="51">
        <f t="shared" si="26"/>
        <v>0</v>
      </c>
      <c r="AC82" s="44">
        <f t="shared" si="27"/>
        <v>0</v>
      </c>
      <c r="AD82" s="44">
        <f t="shared" si="28"/>
        <v>0</v>
      </c>
      <c r="AE82" s="44">
        <f t="shared" si="29"/>
        <v>0</v>
      </c>
      <c r="AF82" s="52" t="e">
        <f>HLOOKUP(I82,GasAvoidedCostsWOCC!$A$5:$G$50,G82+1,FALSE)</f>
        <v>#N/A</v>
      </c>
      <c r="AG82" s="44" t="e">
        <f t="shared" si="30"/>
        <v>#N/A</v>
      </c>
      <c r="AH82" s="52" t="e">
        <f>HLOOKUP(I82,GasAvoidedCostsWOCC!$A$5:$Q$50,T82+1,FALSE)</f>
        <v>#N/A</v>
      </c>
      <c r="AI82" s="44" t="e">
        <f t="shared" si="31"/>
        <v>#N/A</v>
      </c>
      <c r="AJ82" s="44" t="e">
        <f t="shared" si="32"/>
        <v>#N/A</v>
      </c>
      <c r="AK82" s="44" t="e">
        <f>HLOOKUP(I82,GasAvoidedCostsWOCC!$A$5:$Q$50,G82+1,FALSE)*J82*L82</f>
        <v>#N/A</v>
      </c>
      <c r="AL82" s="44" t="e">
        <f t="shared" si="33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4"/>
        <v>0</v>
      </c>
      <c r="AO82" s="47">
        <f t="shared" si="35"/>
        <v>0</v>
      </c>
      <c r="AP82" s="47" t="e">
        <f t="shared" si="36"/>
        <v>#DIV/0!</v>
      </c>
    </row>
    <row r="83" spans="2:42">
      <c r="B83" s="97"/>
      <c r="C83" s="100"/>
      <c r="D83" s="100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8"/>
        <v>0</v>
      </c>
      <c r="U83" s="47">
        <f t="shared" si="19"/>
        <v>0</v>
      </c>
      <c r="V83" s="48">
        <f t="shared" si="20"/>
        <v>0</v>
      </c>
      <c r="W83" s="49">
        <f t="shared" si="21"/>
        <v>0</v>
      </c>
      <c r="X83" s="44">
        <f t="shared" si="22"/>
        <v>0</v>
      </c>
      <c r="Y83" s="44">
        <f t="shared" si="23"/>
        <v>0</v>
      </c>
      <c r="Z83" s="44">
        <f t="shared" si="24"/>
        <v>0</v>
      </c>
      <c r="AA83" s="50">
        <f t="shared" si="25"/>
        <v>0</v>
      </c>
      <c r="AB83" s="51">
        <f t="shared" si="26"/>
        <v>0</v>
      </c>
      <c r="AC83" s="44">
        <f t="shared" si="27"/>
        <v>0</v>
      </c>
      <c r="AD83" s="44">
        <f t="shared" si="28"/>
        <v>0</v>
      </c>
      <c r="AE83" s="44">
        <f t="shared" si="29"/>
        <v>0</v>
      </c>
      <c r="AF83" s="52" t="e">
        <f>HLOOKUP(I83,GasAvoidedCostsWOCC!$A$5:$G$50,G83+1,FALSE)</f>
        <v>#N/A</v>
      </c>
      <c r="AG83" s="44" t="e">
        <f t="shared" si="30"/>
        <v>#N/A</v>
      </c>
      <c r="AH83" s="52" t="e">
        <f>HLOOKUP(I83,GasAvoidedCostsWOCC!$A$5:$Q$50,T83+1,FALSE)</f>
        <v>#N/A</v>
      </c>
      <c r="AI83" s="44" t="e">
        <f t="shared" si="31"/>
        <v>#N/A</v>
      </c>
      <c r="AJ83" s="44" t="e">
        <f t="shared" si="32"/>
        <v>#N/A</v>
      </c>
      <c r="AK83" s="44" t="e">
        <f>HLOOKUP(I83,GasAvoidedCostsWOCC!$A$5:$Q$50,G83+1,FALSE)*J83*L83</f>
        <v>#N/A</v>
      </c>
      <c r="AL83" s="44" t="e">
        <f t="shared" si="33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4"/>
        <v>0</v>
      </c>
      <c r="AO83" s="47">
        <f t="shared" si="35"/>
        <v>0</v>
      </c>
      <c r="AP83" s="47" t="e">
        <f t="shared" si="36"/>
        <v>#DIV/0!</v>
      </c>
    </row>
    <row r="84" spans="2:42">
      <c r="B84" s="97"/>
      <c r="C84" s="100"/>
      <c r="D84" s="100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8"/>
        <v>0</v>
      </c>
      <c r="U84" s="47">
        <f t="shared" si="19"/>
        <v>0</v>
      </c>
      <c r="V84" s="48">
        <f t="shared" si="20"/>
        <v>0</v>
      </c>
      <c r="W84" s="49">
        <f t="shared" si="21"/>
        <v>0</v>
      </c>
      <c r="X84" s="44">
        <f t="shared" si="22"/>
        <v>0</v>
      </c>
      <c r="Y84" s="44">
        <f t="shared" si="23"/>
        <v>0</v>
      </c>
      <c r="Z84" s="44">
        <f t="shared" si="24"/>
        <v>0</v>
      </c>
      <c r="AA84" s="50">
        <f t="shared" si="25"/>
        <v>0</v>
      </c>
      <c r="AB84" s="51">
        <f t="shared" si="26"/>
        <v>0</v>
      </c>
      <c r="AC84" s="44">
        <f t="shared" si="27"/>
        <v>0</v>
      </c>
      <c r="AD84" s="44">
        <f t="shared" si="28"/>
        <v>0</v>
      </c>
      <c r="AE84" s="44">
        <f t="shared" si="29"/>
        <v>0</v>
      </c>
      <c r="AF84" s="52" t="e">
        <f>HLOOKUP(I84,GasAvoidedCostsWOCC!$A$5:$G$50,G84+1,FALSE)</f>
        <v>#N/A</v>
      </c>
      <c r="AG84" s="44" t="e">
        <f t="shared" si="30"/>
        <v>#N/A</v>
      </c>
      <c r="AH84" s="52" t="e">
        <f>HLOOKUP(I84,GasAvoidedCostsWOCC!$A$5:$Q$50,T84+1,FALSE)</f>
        <v>#N/A</v>
      </c>
      <c r="AI84" s="44" t="e">
        <f t="shared" si="31"/>
        <v>#N/A</v>
      </c>
      <c r="AJ84" s="44" t="e">
        <f t="shared" si="32"/>
        <v>#N/A</v>
      </c>
      <c r="AK84" s="44" t="e">
        <f>HLOOKUP(I84,GasAvoidedCostsWOCC!$A$5:$Q$50,G84+1,FALSE)*J84*L84</f>
        <v>#N/A</v>
      </c>
      <c r="AL84" s="44" t="e">
        <f t="shared" si="33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4"/>
        <v>0</v>
      </c>
      <c r="AO84" s="47">
        <f t="shared" si="35"/>
        <v>0</v>
      </c>
      <c r="AP84" s="47" t="e">
        <f t="shared" si="36"/>
        <v>#DIV/0!</v>
      </c>
    </row>
    <row r="85" spans="2:42">
      <c r="B85" s="97"/>
      <c r="C85" s="100"/>
      <c r="D85" s="100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8"/>
        <v>0</v>
      </c>
      <c r="U85" s="47">
        <f t="shared" si="19"/>
        <v>0</v>
      </c>
      <c r="V85" s="48">
        <f t="shared" si="20"/>
        <v>0</v>
      </c>
      <c r="W85" s="49">
        <f t="shared" si="21"/>
        <v>0</v>
      </c>
      <c r="X85" s="44">
        <f t="shared" si="22"/>
        <v>0</v>
      </c>
      <c r="Y85" s="44">
        <f t="shared" si="23"/>
        <v>0</v>
      </c>
      <c r="Z85" s="44">
        <f t="shared" si="24"/>
        <v>0</v>
      </c>
      <c r="AA85" s="50">
        <f t="shared" si="25"/>
        <v>0</v>
      </c>
      <c r="AB85" s="51">
        <f t="shared" si="26"/>
        <v>0</v>
      </c>
      <c r="AC85" s="44">
        <f t="shared" si="27"/>
        <v>0</v>
      </c>
      <c r="AD85" s="44">
        <f t="shared" si="28"/>
        <v>0</v>
      </c>
      <c r="AE85" s="44">
        <f t="shared" si="29"/>
        <v>0</v>
      </c>
      <c r="AF85" s="52" t="e">
        <f>HLOOKUP(I85,GasAvoidedCostsWOCC!$A$5:$G$50,G85+1,FALSE)</f>
        <v>#N/A</v>
      </c>
      <c r="AG85" s="44" t="e">
        <f t="shared" si="30"/>
        <v>#N/A</v>
      </c>
      <c r="AH85" s="52" t="e">
        <f>HLOOKUP(I85,GasAvoidedCostsWOCC!$A$5:$Q$50,T85+1,FALSE)</f>
        <v>#N/A</v>
      </c>
      <c r="AI85" s="44" t="e">
        <f t="shared" si="31"/>
        <v>#N/A</v>
      </c>
      <c r="AJ85" s="44" t="e">
        <f t="shared" si="32"/>
        <v>#N/A</v>
      </c>
      <c r="AK85" s="44" t="e">
        <f>HLOOKUP(I85,GasAvoidedCostsWOCC!$A$5:$Q$50,G85+1,FALSE)*J85*L85</f>
        <v>#N/A</v>
      </c>
      <c r="AL85" s="44" t="e">
        <f t="shared" si="33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4"/>
        <v>0</v>
      </c>
      <c r="AO85" s="47">
        <f t="shared" si="35"/>
        <v>0</v>
      </c>
      <c r="AP85" s="47" t="e">
        <f t="shared" si="36"/>
        <v>#DIV/0!</v>
      </c>
    </row>
    <row r="86" spans="2:42">
      <c r="B86" s="97"/>
      <c r="C86" s="100"/>
      <c r="D86" s="100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ref="T86:T131" si="37">G86+H86</f>
        <v>0</v>
      </c>
      <c r="U86" s="47">
        <f t="shared" ref="U86:U131" si="38">(O86/$A$10)*T86</f>
        <v>0</v>
      </c>
      <c r="V86" s="48">
        <f t="shared" ref="V86:V131" si="39">N86-M86</f>
        <v>0</v>
      </c>
      <c r="W86" s="49">
        <f t="shared" ref="W86:W131" si="40">(O86/A$10)</f>
        <v>0</v>
      </c>
      <c r="X86" s="44">
        <f t="shared" ref="X86:X131" si="41">W86*A$8</f>
        <v>0</v>
      </c>
      <c r="Y86" s="44">
        <f t="shared" ref="Y86:Y131" si="42">Q86-P86</f>
        <v>0</v>
      </c>
      <c r="Z86" s="44">
        <f t="shared" ref="Z86:Z131" si="43">X86+(A$6*W86)</f>
        <v>0</v>
      </c>
      <c r="AA86" s="50">
        <f t="shared" ref="AA86:AA131" si="44">Q86+X86</f>
        <v>0</v>
      </c>
      <c r="AB86" s="51">
        <f t="shared" ref="AB86:AB131" si="45">Z86/(1+GasDiscountRate)^1</f>
        <v>0</v>
      </c>
      <c r="AC86" s="44">
        <f t="shared" ref="AC86:AC131" si="46">AA86/(1+GasDiscountRate)^1</f>
        <v>0</v>
      </c>
      <c r="AD86" s="44">
        <f t="shared" ref="AD86:AD131" si="47">-PV(GasDiscountRate,T86,R86)*J86</f>
        <v>0</v>
      </c>
      <c r="AE86" s="44">
        <f t="shared" ref="AE86:AE131" si="48">-PV(GasDiscountRate,T86,S86)*J86</f>
        <v>0</v>
      </c>
      <c r="AF86" s="52" t="e">
        <f>HLOOKUP(I86,GasAvoidedCostsWOCC!$A$5:$G$50,G86+1,FALSE)</f>
        <v>#N/A</v>
      </c>
      <c r="AG86" s="44" t="e">
        <f t="shared" ref="AG86:AG131" si="49">AF86*J86*K86</f>
        <v>#N/A</v>
      </c>
      <c r="AH86" s="52" t="e">
        <f>HLOOKUP(I86,GasAvoidedCostsWOCC!$A$5:$Q$50,T86+1,FALSE)</f>
        <v>#N/A</v>
      </c>
      <c r="AI86" s="44" t="e">
        <f t="shared" ref="AI86:AI131" si="50">AH86*J86*L86</f>
        <v>#N/A</v>
      </c>
      <c r="AJ86" s="44" t="e">
        <f t="shared" ref="AJ86:AJ131" si="51">AG86+AI86</f>
        <v>#N/A</v>
      </c>
      <c r="AK86" s="44" t="e">
        <f>HLOOKUP(I86,GasAvoidedCostsWOCC!$A$5:$Q$50,G86+1,FALSE)*J86*L86</f>
        <v>#N/A</v>
      </c>
      <c r="AL86" s="44" t="e">
        <f t="shared" ref="AL86:AL131" si="52">AG86+AI86-AK86</f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ref="AN86:AN131" si="53">AM86*1.1+AD86+AE86</f>
        <v>0</v>
      </c>
      <c r="AO86" s="47">
        <f t="shared" ref="AO86:AO131" si="54">IFERROR(AM86/AB86,0)</f>
        <v>0</v>
      </c>
      <c r="AP86" s="47" t="e">
        <f t="shared" ref="AP86:AP131" si="55">AN86/AC86</f>
        <v>#DIV/0!</v>
      </c>
    </row>
    <row r="87" spans="2:42">
      <c r="B87" s="97"/>
      <c r="C87" s="100"/>
      <c r="D87" s="100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7"/>
        <v>0</v>
      </c>
      <c r="U87" s="47">
        <f t="shared" si="38"/>
        <v>0</v>
      </c>
      <c r="V87" s="48">
        <f t="shared" si="39"/>
        <v>0</v>
      </c>
      <c r="W87" s="49">
        <f t="shared" si="40"/>
        <v>0</v>
      </c>
      <c r="X87" s="44">
        <f t="shared" si="41"/>
        <v>0</v>
      </c>
      <c r="Y87" s="44">
        <f t="shared" si="42"/>
        <v>0</v>
      </c>
      <c r="Z87" s="44">
        <f t="shared" si="43"/>
        <v>0</v>
      </c>
      <c r="AA87" s="50">
        <f t="shared" si="44"/>
        <v>0</v>
      </c>
      <c r="AB87" s="51">
        <f t="shared" si="45"/>
        <v>0</v>
      </c>
      <c r="AC87" s="44">
        <f t="shared" si="46"/>
        <v>0</v>
      </c>
      <c r="AD87" s="44">
        <f t="shared" si="47"/>
        <v>0</v>
      </c>
      <c r="AE87" s="44">
        <f t="shared" si="48"/>
        <v>0</v>
      </c>
      <c r="AF87" s="52" t="e">
        <f>HLOOKUP(I87,GasAvoidedCostsWOCC!$A$5:$G$50,G87+1,FALSE)</f>
        <v>#N/A</v>
      </c>
      <c r="AG87" s="44" t="e">
        <f t="shared" si="49"/>
        <v>#N/A</v>
      </c>
      <c r="AH87" s="52" t="e">
        <f>HLOOKUP(I87,GasAvoidedCostsWOCC!$A$5:$Q$50,T87+1,FALSE)</f>
        <v>#N/A</v>
      </c>
      <c r="AI87" s="44" t="e">
        <f t="shared" si="50"/>
        <v>#N/A</v>
      </c>
      <c r="AJ87" s="44" t="e">
        <f t="shared" si="51"/>
        <v>#N/A</v>
      </c>
      <c r="AK87" s="44" t="e">
        <f>HLOOKUP(I87,GasAvoidedCostsWOCC!$A$5:$Q$50,G87+1,FALSE)*J87*L87</f>
        <v>#N/A</v>
      </c>
      <c r="AL87" s="44" t="e">
        <f t="shared" si="52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3"/>
        <v>0</v>
      </c>
      <c r="AO87" s="47">
        <f t="shared" si="54"/>
        <v>0</v>
      </c>
      <c r="AP87" s="47" t="e">
        <f t="shared" si="55"/>
        <v>#DIV/0!</v>
      </c>
    </row>
    <row r="88" spans="2:42">
      <c r="B88" s="97"/>
      <c r="C88" s="100"/>
      <c r="D88" s="100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7"/>
        <v>0</v>
      </c>
      <c r="U88" s="47">
        <f t="shared" si="38"/>
        <v>0</v>
      </c>
      <c r="V88" s="48">
        <f t="shared" si="39"/>
        <v>0</v>
      </c>
      <c r="W88" s="49">
        <f t="shared" si="40"/>
        <v>0</v>
      </c>
      <c r="X88" s="44">
        <f t="shared" si="41"/>
        <v>0</v>
      </c>
      <c r="Y88" s="44">
        <f t="shared" si="42"/>
        <v>0</v>
      </c>
      <c r="Z88" s="44">
        <f t="shared" si="43"/>
        <v>0</v>
      </c>
      <c r="AA88" s="50">
        <f t="shared" si="44"/>
        <v>0</v>
      </c>
      <c r="AB88" s="51">
        <f t="shared" si="45"/>
        <v>0</v>
      </c>
      <c r="AC88" s="44">
        <f t="shared" si="46"/>
        <v>0</v>
      </c>
      <c r="AD88" s="44">
        <f t="shared" si="47"/>
        <v>0</v>
      </c>
      <c r="AE88" s="44">
        <f t="shared" si="48"/>
        <v>0</v>
      </c>
      <c r="AF88" s="52" t="e">
        <f>HLOOKUP(I88,GasAvoidedCostsWOCC!$A$5:$G$50,G88+1,FALSE)</f>
        <v>#N/A</v>
      </c>
      <c r="AG88" s="44" t="e">
        <f t="shared" si="49"/>
        <v>#N/A</v>
      </c>
      <c r="AH88" s="52" t="e">
        <f>HLOOKUP(I88,GasAvoidedCostsWOCC!$A$5:$Q$50,T88+1,FALSE)</f>
        <v>#N/A</v>
      </c>
      <c r="AI88" s="44" t="e">
        <f t="shared" si="50"/>
        <v>#N/A</v>
      </c>
      <c r="AJ88" s="44" t="e">
        <f t="shared" si="51"/>
        <v>#N/A</v>
      </c>
      <c r="AK88" s="44" t="e">
        <f>HLOOKUP(I88,GasAvoidedCostsWOCC!$A$5:$Q$50,G88+1,FALSE)*J88*L88</f>
        <v>#N/A</v>
      </c>
      <c r="AL88" s="44" t="e">
        <f t="shared" si="52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3"/>
        <v>0</v>
      </c>
      <c r="AO88" s="47">
        <f t="shared" si="54"/>
        <v>0</v>
      </c>
      <c r="AP88" s="47" t="e">
        <f t="shared" si="55"/>
        <v>#DIV/0!</v>
      </c>
    </row>
    <row r="89" spans="2:42">
      <c r="B89" s="97"/>
      <c r="C89" s="100"/>
      <c r="D89" s="100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7"/>
        <v>0</v>
      </c>
      <c r="U89" s="47">
        <f t="shared" si="38"/>
        <v>0</v>
      </c>
      <c r="V89" s="48">
        <f t="shared" si="39"/>
        <v>0</v>
      </c>
      <c r="W89" s="49">
        <f t="shared" si="40"/>
        <v>0</v>
      </c>
      <c r="X89" s="44">
        <f t="shared" si="41"/>
        <v>0</v>
      </c>
      <c r="Y89" s="44">
        <f t="shared" si="42"/>
        <v>0</v>
      </c>
      <c r="Z89" s="44">
        <f t="shared" si="43"/>
        <v>0</v>
      </c>
      <c r="AA89" s="50">
        <f t="shared" si="44"/>
        <v>0</v>
      </c>
      <c r="AB89" s="51">
        <f t="shared" si="45"/>
        <v>0</v>
      </c>
      <c r="AC89" s="44">
        <f t="shared" si="46"/>
        <v>0</v>
      </c>
      <c r="AD89" s="44">
        <f t="shared" si="47"/>
        <v>0</v>
      </c>
      <c r="AE89" s="44">
        <f t="shared" si="48"/>
        <v>0</v>
      </c>
      <c r="AF89" s="52" t="e">
        <f>HLOOKUP(I89,GasAvoidedCostsWOCC!$A$5:$G$50,G89+1,FALSE)</f>
        <v>#N/A</v>
      </c>
      <c r="AG89" s="44" t="e">
        <f t="shared" si="49"/>
        <v>#N/A</v>
      </c>
      <c r="AH89" s="52" t="e">
        <f>HLOOKUP(I89,GasAvoidedCostsWOCC!$A$5:$Q$50,T89+1,FALSE)</f>
        <v>#N/A</v>
      </c>
      <c r="AI89" s="44" t="e">
        <f t="shared" si="50"/>
        <v>#N/A</v>
      </c>
      <c r="AJ89" s="44" t="e">
        <f t="shared" si="51"/>
        <v>#N/A</v>
      </c>
      <c r="AK89" s="44" t="e">
        <f>HLOOKUP(I89,GasAvoidedCostsWOCC!$A$5:$Q$50,G89+1,FALSE)*J89*L89</f>
        <v>#N/A</v>
      </c>
      <c r="AL89" s="44" t="e">
        <f t="shared" si="52"/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si="53"/>
        <v>0</v>
      </c>
      <c r="AO89" s="47">
        <f t="shared" si="54"/>
        <v>0</v>
      </c>
      <c r="AP89" s="47" t="e">
        <f t="shared" si="55"/>
        <v>#DIV/0!</v>
      </c>
    </row>
    <row r="90" spans="2:42">
      <c r="B90" s="97"/>
      <c r="C90" s="100"/>
      <c r="D90" s="100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7"/>
        <v>0</v>
      </c>
      <c r="U90" s="47">
        <f t="shared" si="38"/>
        <v>0</v>
      </c>
      <c r="V90" s="48">
        <f t="shared" si="39"/>
        <v>0</v>
      </c>
      <c r="W90" s="49">
        <f t="shared" si="40"/>
        <v>0</v>
      </c>
      <c r="X90" s="44">
        <f t="shared" si="41"/>
        <v>0</v>
      </c>
      <c r="Y90" s="44">
        <f t="shared" si="42"/>
        <v>0</v>
      </c>
      <c r="Z90" s="44">
        <f t="shared" si="43"/>
        <v>0</v>
      </c>
      <c r="AA90" s="50">
        <f t="shared" si="44"/>
        <v>0</v>
      </c>
      <c r="AB90" s="51">
        <f t="shared" si="45"/>
        <v>0</v>
      </c>
      <c r="AC90" s="44">
        <f t="shared" si="46"/>
        <v>0</v>
      </c>
      <c r="AD90" s="44">
        <f t="shared" si="47"/>
        <v>0</v>
      </c>
      <c r="AE90" s="44">
        <f t="shared" si="48"/>
        <v>0</v>
      </c>
      <c r="AF90" s="52" t="e">
        <f>HLOOKUP(I90,GasAvoidedCostsWOCC!$A$5:$G$50,G90+1,FALSE)</f>
        <v>#N/A</v>
      </c>
      <c r="AG90" s="44" t="e">
        <f t="shared" si="49"/>
        <v>#N/A</v>
      </c>
      <c r="AH90" s="52" t="e">
        <f>HLOOKUP(I90,GasAvoidedCostsWOCC!$A$5:$Q$50,T90+1,FALSE)</f>
        <v>#N/A</v>
      </c>
      <c r="AI90" s="44" t="e">
        <f t="shared" si="50"/>
        <v>#N/A</v>
      </c>
      <c r="AJ90" s="44" t="e">
        <f t="shared" si="51"/>
        <v>#N/A</v>
      </c>
      <c r="AK90" s="44" t="e">
        <f>HLOOKUP(I90,GasAvoidedCostsWOCC!$A$5:$Q$50,G90+1,FALSE)*J90*L90</f>
        <v>#N/A</v>
      </c>
      <c r="AL90" s="44" t="e">
        <f t="shared" si="52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3"/>
        <v>0</v>
      </c>
      <c r="AO90" s="47">
        <f t="shared" si="54"/>
        <v>0</v>
      </c>
      <c r="AP90" s="47" t="e">
        <f t="shared" si="55"/>
        <v>#DIV/0!</v>
      </c>
    </row>
    <row r="91" spans="2:42">
      <c r="B91" s="97"/>
      <c r="C91" s="100"/>
      <c r="D91" s="100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7"/>
        <v>0</v>
      </c>
      <c r="U91" s="47">
        <f t="shared" si="38"/>
        <v>0</v>
      </c>
      <c r="V91" s="48">
        <f t="shared" si="39"/>
        <v>0</v>
      </c>
      <c r="W91" s="49">
        <f t="shared" si="40"/>
        <v>0</v>
      </c>
      <c r="X91" s="44">
        <f t="shared" si="41"/>
        <v>0</v>
      </c>
      <c r="Y91" s="44">
        <f t="shared" si="42"/>
        <v>0</v>
      </c>
      <c r="Z91" s="44">
        <f t="shared" si="43"/>
        <v>0</v>
      </c>
      <c r="AA91" s="50">
        <f t="shared" si="44"/>
        <v>0</v>
      </c>
      <c r="AB91" s="51">
        <f t="shared" si="45"/>
        <v>0</v>
      </c>
      <c r="AC91" s="44">
        <f t="shared" si="46"/>
        <v>0</v>
      </c>
      <c r="AD91" s="44">
        <f t="shared" si="47"/>
        <v>0</v>
      </c>
      <c r="AE91" s="44">
        <f t="shared" si="48"/>
        <v>0</v>
      </c>
      <c r="AF91" s="52" t="e">
        <f>HLOOKUP(I91,GasAvoidedCostsWOCC!$A$5:$G$50,G91+1,FALSE)</f>
        <v>#N/A</v>
      </c>
      <c r="AG91" s="44" t="e">
        <f t="shared" si="49"/>
        <v>#N/A</v>
      </c>
      <c r="AH91" s="52" t="e">
        <f>HLOOKUP(I91,GasAvoidedCostsWOCC!$A$5:$Q$50,T91+1,FALSE)</f>
        <v>#N/A</v>
      </c>
      <c r="AI91" s="44" t="e">
        <f t="shared" si="50"/>
        <v>#N/A</v>
      </c>
      <c r="AJ91" s="44" t="e">
        <f t="shared" si="51"/>
        <v>#N/A</v>
      </c>
      <c r="AK91" s="44" t="e">
        <f>HLOOKUP(I91,GasAvoidedCostsWOCC!$A$5:$Q$50,G91+1,FALSE)*J91*L91</f>
        <v>#N/A</v>
      </c>
      <c r="AL91" s="44" t="e">
        <f t="shared" si="52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3"/>
        <v>0</v>
      </c>
      <c r="AO91" s="47">
        <f t="shared" si="54"/>
        <v>0</v>
      </c>
      <c r="AP91" s="47" t="e">
        <f t="shared" si="55"/>
        <v>#DIV/0!</v>
      </c>
    </row>
    <row r="92" spans="2:42">
      <c r="B92" s="97"/>
      <c r="C92" s="100"/>
      <c r="D92" s="100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7"/>
        <v>0</v>
      </c>
      <c r="U92" s="47">
        <f t="shared" si="38"/>
        <v>0</v>
      </c>
      <c r="V92" s="48">
        <f t="shared" si="39"/>
        <v>0</v>
      </c>
      <c r="W92" s="49">
        <f t="shared" si="40"/>
        <v>0</v>
      </c>
      <c r="X92" s="44">
        <f t="shared" si="41"/>
        <v>0</v>
      </c>
      <c r="Y92" s="44">
        <f t="shared" si="42"/>
        <v>0</v>
      </c>
      <c r="Z92" s="44">
        <f t="shared" si="43"/>
        <v>0</v>
      </c>
      <c r="AA92" s="50">
        <f t="shared" si="44"/>
        <v>0</v>
      </c>
      <c r="AB92" s="51">
        <f t="shared" si="45"/>
        <v>0</v>
      </c>
      <c r="AC92" s="44">
        <f t="shared" si="46"/>
        <v>0</v>
      </c>
      <c r="AD92" s="44">
        <f t="shared" si="47"/>
        <v>0</v>
      </c>
      <c r="AE92" s="44">
        <f t="shared" si="48"/>
        <v>0</v>
      </c>
      <c r="AF92" s="52" t="e">
        <f>HLOOKUP(I92,GasAvoidedCostsWOCC!$A$5:$G$50,G92+1,FALSE)</f>
        <v>#N/A</v>
      </c>
      <c r="AG92" s="44" t="e">
        <f t="shared" si="49"/>
        <v>#N/A</v>
      </c>
      <c r="AH92" s="52" t="e">
        <f>HLOOKUP(I92,GasAvoidedCostsWOCC!$A$5:$Q$50,T92+1,FALSE)</f>
        <v>#N/A</v>
      </c>
      <c r="AI92" s="44" t="e">
        <f t="shared" si="50"/>
        <v>#N/A</v>
      </c>
      <c r="AJ92" s="44" t="e">
        <f t="shared" si="51"/>
        <v>#N/A</v>
      </c>
      <c r="AK92" s="44" t="e">
        <f>HLOOKUP(I92,GasAvoidedCostsWOCC!$A$5:$Q$50,G92+1,FALSE)*J92*L92</f>
        <v>#N/A</v>
      </c>
      <c r="AL92" s="44" t="e">
        <f t="shared" si="52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3"/>
        <v>0</v>
      </c>
      <c r="AO92" s="47">
        <f t="shared" si="54"/>
        <v>0</v>
      </c>
      <c r="AP92" s="47" t="e">
        <f t="shared" si="55"/>
        <v>#DIV/0!</v>
      </c>
    </row>
    <row r="93" spans="2:42">
      <c r="B93" s="97"/>
      <c r="C93" s="100"/>
      <c r="D93" s="100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7"/>
        <v>0</v>
      </c>
      <c r="U93" s="47">
        <f t="shared" si="38"/>
        <v>0</v>
      </c>
      <c r="V93" s="48">
        <f t="shared" si="39"/>
        <v>0</v>
      </c>
      <c r="W93" s="49">
        <f t="shared" si="40"/>
        <v>0</v>
      </c>
      <c r="X93" s="44">
        <f t="shared" si="41"/>
        <v>0</v>
      </c>
      <c r="Y93" s="44">
        <f t="shared" si="42"/>
        <v>0</v>
      </c>
      <c r="Z93" s="44">
        <f t="shared" si="43"/>
        <v>0</v>
      </c>
      <c r="AA93" s="50">
        <f t="shared" si="44"/>
        <v>0</v>
      </c>
      <c r="AB93" s="51">
        <f t="shared" si="45"/>
        <v>0</v>
      </c>
      <c r="AC93" s="44">
        <f t="shared" si="46"/>
        <v>0</v>
      </c>
      <c r="AD93" s="44">
        <f t="shared" si="47"/>
        <v>0</v>
      </c>
      <c r="AE93" s="44">
        <f t="shared" si="48"/>
        <v>0</v>
      </c>
      <c r="AF93" s="52" t="e">
        <f>HLOOKUP(I93,GasAvoidedCostsWOCC!$A$5:$G$50,G93+1,FALSE)</f>
        <v>#N/A</v>
      </c>
      <c r="AG93" s="44" t="e">
        <f t="shared" si="49"/>
        <v>#N/A</v>
      </c>
      <c r="AH93" s="52" t="e">
        <f>HLOOKUP(I93,GasAvoidedCostsWOCC!$A$5:$Q$50,T93+1,FALSE)</f>
        <v>#N/A</v>
      </c>
      <c r="AI93" s="44" t="e">
        <f t="shared" si="50"/>
        <v>#N/A</v>
      </c>
      <c r="AJ93" s="44" t="e">
        <f t="shared" si="51"/>
        <v>#N/A</v>
      </c>
      <c r="AK93" s="44" t="e">
        <f>HLOOKUP(I93,GasAvoidedCostsWOCC!$A$5:$Q$50,G93+1,FALSE)*J93*L93</f>
        <v>#N/A</v>
      </c>
      <c r="AL93" s="44" t="e">
        <f t="shared" si="52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3"/>
        <v>0</v>
      </c>
      <c r="AO93" s="47">
        <f t="shared" si="54"/>
        <v>0</v>
      </c>
      <c r="AP93" s="47" t="e">
        <f t="shared" si="55"/>
        <v>#DIV/0!</v>
      </c>
    </row>
    <row r="94" spans="2:42">
      <c r="B94" s="97"/>
      <c r="C94" s="100"/>
      <c r="D94" s="100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7"/>
        <v>0</v>
      </c>
      <c r="U94" s="47">
        <f t="shared" si="38"/>
        <v>0</v>
      </c>
      <c r="V94" s="48">
        <f t="shared" si="39"/>
        <v>0</v>
      </c>
      <c r="W94" s="49">
        <f t="shared" si="40"/>
        <v>0</v>
      </c>
      <c r="X94" s="44">
        <f t="shared" si="41"/>
        <v>0</v>
      </c>
      <c r="Y94" s="44">
        <f t="shared" si="42"/>
        <v>0</v>
      </c>
      <c r="Z94" s="44">
        <f t="shared" si="43"/>
        <v>0</v>
      </c>
      <c r="AA94" s="50">
        <f t="shared" si="44"/>
        <v>0</v>
      </c>
      <c r="AB94" s="51">
        <f t="shared" si="45"/>
        <v>0</v>
      </c>
      <c r="AC94" s="44">
        <f t="shared" si="46"/>
        <v>0</v>
      </c>
      <c r="AD94" s="44">
        <f t="shared" si="47"/>
        <v>0</v>
      </c>
      <c r="AE94" s="44">
        <f t="shared" si="48"/>
        <v>0</v>
      </c>
      <c r="AF94" s="52" t="e">
        <f>HLOOKUP(I94,GasAvoidedCostsWOCC!$A$5:$G$50,G94+1,FALSE)</f>
        <v>#N/A</v>
      </c>
      <c r="AG94" s="44" t="e">
        <f t="shared" si="49"/>
        <v>#N/A</v>
      </c>
      <c r="AH94" s="52" t="e">
        <f>HLOOKUP(I94,GasAvoidedCostsWOCC!$A$5:$Q$50,T94+1,FALSE)</f>
        <v>#N/A</v>
      </c>
      <c r="AI94" s="44" t="e">
        <f t="shared" si="50"/>
        <v>#N/A</v>
      </c>
      <c r="AJ94" s="44" t="e">
        <f t="shared" si="51"/>
        <v>#N/A</v>
      </c>
      <c r="AK94" s="44" t="e">
        <f>HLOOKUP(I94,GasAvoidedCostsWOCC!$A$5:$Q$50,G94+1,FALSE)*J94*L94</f>
        <v>#N/A</v>
      </c>
      <c r="AL94" s="44" t="e">
        <f t="shared" si="52"/>
        <v>#N/A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3"/>
        <v>0</v>
      </c>
      <c r="AO94" s="47">
        <f t="shared" si="54"/>
        <v>0</v>
      </c>
      <c r="AP94" s="47" t="e">
        <f t="shared" si="55"/>
        <v>#DIV/0!</v>
      </c>
    </row>
    <row r="95" spans="2:42">
      <c r="B95" s="97"/>
      <c r="C95" s="100"/>
      <c r="D95" s="100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7"/>
        <v>0</v>
      </c>
      <c r="U95" s="47">
        <f t="shared" si="38"/>
        <v>0</v>
      </c>
      <c r="V95" s="48">
        <f t="shared" si="39"/>
        <v>0</v>
      </c>
      <c r="W95" s="49">
        <f t="shared" si="40"/>
        <v>0</v>
      </c>
      <c r="X95" s="44">
        <f t="shared" si="41"/>
        <v>0</v>
      </c>
      <c r="Y95" s="44">
        <f t="shared" si="42"/>
        <v>0</v>
      </c>
      <c r="Z95" s="44">
        <f t="shared" si="43"/>
        <v>0</v>
      </c>
      <c r="AA95" s="50">
        <f t="shared" si="44"/>
        <v>0</v>
      </c>
      <c r="AB95" s="51">
        <f t="shared" si="45"/>
        <v>0</v>
      </c>
      <c r="AC95" s="44">
        <f t="shared" si="46"/>
        <v>0</v>
      </c>
      <c r="AD95" s="44">
        <f t="shared" si="47"/>
        <v>0</v>
      </c>
      <c r="AE95" s="44">
        <f t="shared" si="48"/>
        <v>0</v>
      </c>
      <c r="AF95" s="52" t="e">
        <f>HLOOKUP(I95,GasAvoidedCostsWOCC!$A$5:$G$50,G95+1,FALSE)</f>
        <v>#N/A</v>
      </c>
      <c r="AG95" s="44" t="e">
        <f t="shared" si="49"/>
        <v>#N/A</v>
      </c>
      <c r="AH95" s="52" t="e">
        <f>HLOOKUP(I95,GasAvoidedCostsWOCC!$A$5:$Q$50,T95+1,FALSE)</f>
        <v>#N/A</v>
      </c>
      <c r="AI95" s="44" t="e">
        <f t="shared" si="50"/>
        <v>#N/A</v>
      </c>
      <c r="AJ95" s="44" t="e">
        <f t="shared" si="51"/>
        <v>#N/A</v>
      </c>
      <c r="AK95" s="44" t="e">
        <f>HLOOKUP(I95,GasAvoidedCostsWOCC!$A$5:$Q$50,G95+1,FALSE)*J95*L95</f>
        <v>#N/A</v>
      </c>
      <c r="AL95" s="44" t="e">
        <f t="shared" si="52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3"/>
        <v>0</v>
      </c>
      <c r="AO95" s="47">
        <f t="shared" si="54"/>
        <v>0</v>
      </c>
      <c r="AP95" s="47" t="e">
        <f t="shared" si="55"/>
        <v>#DIV/0!</v>
      </c>
    </row>
    <row r="96" spans="2:42">
      <c r="B96" s="97"/>
      <c r="C96" s="100"/>
      <c r="D96" s="100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7"/>
        <v>0</v>
      </c>
      <c r="U96" s="47">
        <f t="shared" si="38"/>
        <v>0</v>
      </c>
      <c r="V96" s="48">
        <f t="shared" si="39"/>
        <v>0</v>
      </c>
      <c r="W96" s="49">
        <f t="shared" si="40"/>
        <v>0</v>
      </c>
      <c r="X96" s="44">
        <f t="shared" si="41"/>
        <v>0</v>
      </c>
      <c r="Y96" s="44">
        <f t="shared" si="42"/>
        <v>0</v>
      </c>
      <c r="Z96" s="44">
        <f t="shared" si="43"/>
        <v>0</v>
      </c>
      <c r="AA96" s="50">
        <f t="shared" si="44"/>
        <v>0</v>
      </c>
      <c r="AB96" s="51">
        <f t="shared" si="45"/>
        <v>0</v>
      </c>
      <c r="AC96" s="44">
        <f t="shared" si="46"/>
        <v>0</v>
      </c>
      <c r="AD96" s="44">
        <f t="shared" si="47"/>
        <v>0</v>
      </c>
      <c r="AE96" s="44">
        <f t="shared" si="48"/>
        <v>0</v>
      </c>
      <c r="AF96" s="52" t="e">
        <f>HLOOKUP(I96,GasAvoidedCostsWOCC!$A$5:$G$50,G96+1,FALSE)</f>
        <v>#N/A</v>
      </c>
      <c r="AG96" s="44" t="e">
        <f t="shared" si="49"/>
        <v>#N/A</v>
      </c>
      <c r="AH96" s="52" t="e">
        <f>HLOOKUP(I96,GasAvoidedCostsWOCC!$A$5:$Q$50,T96+1,FALSE)</f>
        <v>#N/A</v>
      </c>
      <c r="AI96" s="44" t="e">
        <f t="shared" si="50"/>
        <v>#N/A</v>
      </c>
      <c r="AJ96" s="44" t="e">
        <f t="shared" si="51"/>
        <v>#N/A</v>
      </c>
      <c r="AK96" s="44" t="e">
        <f>HLOOKUP(I96,GasAvoidedCostsWOCC!$A$5:$Q$50,G96+1,FALSE)*J96*L96</f>
        <v>#N/A</v>
      </c>
      <c r="AL96" s="44" t="e">
        <f t="shared" si="52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3"/>
        <v>0</v>
      </c>
      <c r="AO96" s="47">
        <f t="shared" si="54"/>
        <v>0</v>
      </c>
      <c r="AP96" s="47" t="e">
        <f t="shared" si="55"/>
        <v>#DIV/0!</v>
      </c>
    </row>
    <row r="97" spans="2:42">
      <c r="B97" s="97"/>
      <c r="C97" s="100"/>
      <c r="D97" s="100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7"/>
        <v>0</v>
      </c>
      <c r="U97" s="47">
        <f t="shared" si="38"/>
        <v>0</v>
      </c>
      <c r="V97" s="48">
        <f t="shared" si="39"/>
        <v>0</v>
      </c>
      <c r="W97" s="49">
        <f t="shared" si="40"/>
        <v>0</v>
      </c>
      <c r="X97" s="44">
        <f t="shared" si="41"/>
        <v>0</v>
      </c>
      <c r="Y97" s="44">
        <f t="shared" si="42"/>
        <v>0</v>
      </c>
      <c r="Z97" s="44">
        <f t="shared" si="43"/>
        <v>0</v>
      </c>
      <c r="AA97" s="50">
        <f t="shared" si="44"/>
        <v>0</v>
      </c>
      <c r="AB97" s="51">
        <f t="shared" si="45"/>
        <v>0</v>
      </c>
      <c r="AC97" s="44">
        <f t="shared" si="46"/>
        <v>0</v>
      </c>
      <c r="AD97" s="44">
        <f t="shared" si="47"/>
        <v>0</v>
      </c>
      <c r="AE97" s="44">
        <f t="shared" si="48"/>
        <v>0</v>
      </c>
      <c r="AF97" s="52" t="e">
        <f>HLOOKUP(I97,GasAvoidedCostsWOCC!$A$5:$G$50,G97+1,FALSE)</f>
        <v>#N/A</v>
      </c>
      <c r="AG97" s="44" t="e">
        <f t="shared" si="49"/>
        <v>#N/A</v>
      </c>
      <c r="AH97" s="52" t="e">
        <f>HLOOKUP(I97,GasAvoidedCostsWOCC!$A$5:$Q$50,T97+1,FALSE)</f>
        <v>#N/A</v>
      </c>
      <c r="AI97" s="44" t="e">
        <f t="shared" si="50"/>
        <v>#N/A</v>
      </c>
      <c r="AJ97" s="44" t="e">
        <f t="shared" si="51"/>
        <v>#N/A</v>
      </c>
      <c r="AK97" s="44" t="e">
        <f>HLOOKUP(I97,GasAvoidedCostsWOCC!$A$5:$Q$50,G97+1,FALSE)*J97*L97</f>
        <v>#N/A</v>
      </c>
      <c r="AL97" s="44" t="e">
        <f t="shared" si="52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3"/>
        <v>0</v>
      </c>
      <c r="AO97" s="47">
        <f t="shared" si="54"/>
        <v>0</v>
      </c>
      <c r="AP97" s="47" t="e">
        <f t="shared" si="55"/>
        <v>#DIV/0!</v>
      </c>
    </row>
    <row r="98" spans="2:42">
      <c r="B98" s="97"/>
      <c r="C98" s="100"/>
      <c r="D98" s="100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7"/>
        <v>0</v>
      </c>
      <c r="U98" s="47">
        <f t="shared" si="38"/>
        <v>0</v>
      </c>
      <c r="V98" s="48">
        <f t="shared" si="39"/>
        <v>0</v>
      </c>
      <c r="W98" s="49">
        <f t="shared" si="40"/>
        <v>0</v>
      </c>
      <c r="X98" s="44">
        <f t="shared" si="41"/>
        <v>0</v>
      </c>
      <c r="Y98" s="44">
        <f t="shared" si="42"/>
        <v>0</v>
      </c>
      <c r="Z98" s="44">
        <f t="shared" si="43"/>
        <v>0</v>
      </c>
      <c r="AA98" s="50">
        <f t="shared" si="44"/>
        <v>0</v>
      </c>
      <c r="AB98" s="51">
        <f t="shared" si="45"/>
        <v>0</v>
      </c>
      <c r="AC98" s="44">
        <f t="shared" si="46"/>
        <v>0</v>
      </c>
      <c r="AD98" s="44">
        <f t="shared" si="47"/>
        <v>0</v>
      </c>
      <c r="AE98" s="44">
        <f t="shared" si="48"/>
        <v>0</v>
      </c>
      <c r="AF98" s="52" t="e">
        <f>HLOOKUP(I98,GasAvoidedCostsWOCC!$A$5:$G$50,G98+1,FALSE)</f>
        <v>#N/A</v>
      </c>
      <c r="AG98" s="44" t="e">
        <f t="shared" si="49"/>
        <v>#N/A</v>
      </c>
      <c r="AH98" s="52" t="e">
        <f>HLOOKUP(I98,GasAvoidedCostsWOCC!$A$5:$Q$50,T98+1,FALSE)</f>
        <v>#N/A</v>
      </c>
      <c r="AI98" s="44" t="e">
        <f t="shared" si="50"/>
        <v>#N/A</v>
      </c>
      <c r="AJ98" s="44" t="e">
        <f t="shared" si="51"/>
        <v>#N/A</v>
      </c>
      <c r="AK98" s="44" t="e">
        <f>HLOOKUP(I98,GasAvoidedCostsWOCC!$A$5:$Q$50,G98+1,FALSE)*J98*L98</f>
        <v>#N/A</v>
      </c>
      <c r="AL98" s="44" t="e">
        <f t="shared" si="52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3"/>
        <v>0</v>
      </c>
      <c r="AO98" s="47">
        <f t="shared" si="54"/>
        <v>0</v>
      </c>
      <c r="AP98" s="47" t="e">
        <f t="shared" si="55"/>
        <v>#DIV/0!</v>
      </c>
    </row>
    <row r="99" spans="2:42">
      <c r="B99" s="97"/>
      <c r="C99" s="100"/>
      <c r="D99" s="100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7"/>
        <v>0</v>
      </c>
      <c r="U99" s="47">
        <f t="shared" si="38"/>
        <v>0</v>
      </c>
      <c r="V99" s="48">
        <f t="shared" si="39"/>
        <v>0</v>
      </c>
      <c r="W99" s="49">
        <f t="shared" si="40"/>
        <v>0</v>
      </c>
      <c r="X99" s="44">
        <f t="shared" si="41"/>
        <v>0</v>
      </c>
      <c r="Y99" s="44">
        <f t="shared" si="42"/>
        <v>0</v>
      </c>
      <c r="Z99" s="44">
        <f t="shared" si="43"/>
        <v>0</v>
      </c>
      <c r="AA99" s="50">
        <f t="shared" si="44"/>
        <v>0</v>
      </c>
      <c r="AB99" s="51">
        <f t="shared" si="45"/>
        <v>0</v>
      </c>
      <c r="AC99" s="44">
        <f t="shared" si="46"/>
        <v>0</v>
      </c>
      <c r="AD99" s="44">
        <f t="shared" si="47"/>
        <v>0</v>
      </c>
      <c r="AE99" s="44">
        <f t="shared" si="48"/>
        <v>0</v>
      </c>
      <c r="AF99" s="52" t="e">
        <f>HLOOKUP(I99,GasAvoidedCostsWOCC!$A$5:$G$50,G99+1,FALSE)</f>
        <v>#N/A</v>
      </c>
      <c r="AG99" s="44" t="e">
        <f t="shared" si="49"/>
        <v>#N/A</v>
      </c>
      <c r="AH99" s="52" t="e">
        <f>HLOOKUP(I99,GasAvoidedCostsWOCC!$A$5:$Q$50,T99+1,FALSE)</f>
        <v>#N/A</v>
      </c>
      <c r="AI99" s="44" t="e">
        <f t="shared" si="50"/>
        <v>#N/A</v>
      </c>
      <c r="AJ99" s="44" t="e">
        <f t="shared" si="51"/>
        <v>#N/A</v>
      </c>
      <c r="AK99" s="44" t="e">
        <f>HLOOKUP(I99,GasAvoidedCostsWOCC!$A$5:$Q$50,G99+1,FALSE)*J99*L99</f>
        <v>#N/A</v>
      </c>
      <c r="AL99" s="44" t="e">
        <f t="shared" si="52"/>
        <v>#N/A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8">
        <f t="shared" si="53"/>
        <v>0</v>
      </c>
      <c r="AO99" s="47">
        <f t="shared" si="54"/>
        <v>0</v>
      </c>
      <c r="AP99" s="47" t="e">
        <f t="shared" si="55"/>
        <v>#DIV/0!</v>
      </c>
    </row>
    <row r="100" spans="2:42">
      <c r="B100" s="97"/>
      <c r="C100" s="100"/>
      <c r="D100" s="100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7"/>
        <v>0</v>
      </c>
      <c r="U100" s="47">
        <f t="shared" si="38"/>
        <v>0</v>
      </c>
      <c r="V100" s="48">
        <f t="shared" si="39"/>
        <v>0</v>
      </c>
      <c r="W100" s="49">
        <f t="shared" si="40"/>
        <v>0</v>
      </c>
      <c r="X100" s="44">
        <f t="shared" si="41"/>
        <v>0</v>
      </c>
      <c r="Y100" s="44">
        <f t="shared" si="42"/>
        <v>0</v>
      </c>
      <c r="Z100" s="44">
        <f t="shared" si="43"/>
        <v>0</v>
      </c>
      <c r="AA100" s="50">
        <f t="shared" si="44"/>
        <v>0</v>
      </c>
      <c r="AB100" s="51">
        <f t="shared" si="45"/>
        <v>0</v>
      </c>
      <c r="AC100" s="44">
        <f t="shared" si="46"/>
        <v>0</v>
      </c>
      <c r="AD100" s="44">
        <f t="shared" si="47"/>
        <v>0</v>
      </c>
      <c r="AE100" s="44">
        <f t="shared" si="48"/>
        <v>0</v>
      </c>
      <c r="AF100" s="52" t="e">
        <f>HLOOKUP(I100,GasAvoidedCostsWOCC!$A$5:$G$50,G100+1,FALSE)</f>
        <v>#N/A</v>
      </c>
      <c r="AG100" s="44" t="e">
        <f t="shared" si="49"/>
        <v>#N/A</v>
      </c>
      <c r="AH100" s="52" t="e">
        <f>HLOOKUP(I100,GasAvoidedCostsWOCC!$A$5:$Q$50,T100+1,FALSE)</f>
        <v>#N/A</v>
      </c>
      <c r="AI100" s="44" t="e">
        <f t="shared" si="50"/>
        <v>#N/A</v>
      </c>
      <c r="AJ100" s="44" t="e">
        <f t="shared" si="51"/>
        <v>#N/A</v>
      </c>
      <c r="AK100" s="44" t="e">
        <f>HLOOKUP(I100,GasAvoidedCostsWOCC!$A$5:$Q$50,G100+1,FALSE)*J100*L100</f>
        <v>#N/A</v>
      </c>
      <c r="AL100" s="44" t="e">
        <f t="shared" si="52"/>
        <v>#N/A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8">
        <f t="shared" si="53"/>
        <v>0</v>
      </c>
      <c r="AO100" s="47">
        <f t="shared" si="54"/>
        <v>0</v>
      </c>
      <c r="AP100" s="47" t="e">
        <f t="shared" si="55"/>
        <v>#DIV/0!</v>
      </c>
    </row>
    <row r="101" spans="2:42">
      <c r="B101" s="97"/>
      <c r="C101" s="100"/>
      <c r="D101" s="100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7"/>
        <v>0</v>
      </c>
      <c r="U101" s="47">
        <f t="shared" si="38"/>
        <v>0</v>
      </c>
      <c r="V101" s="48">
        <f t="shared" si="39"/>
        <v>0</v>
      </c>
      <c r="W101" s="49">
        <f t="shared" si="40"/>
        <v>0</v>
      </c>
      <c r="X101" s="44">
        <f t="shared" si="41"/>
        <v>0</v>
      </c>
      <c r="Y101" s="44">
        <f t="shared" si="42"/>
        <v>0</v>
      </c>
      <c r="Z101" s="44">
        <f t="shared" si="43"/>
        <v>0</v>
      </c>
      <c r="AA101" s="50">
        <f t="shared" si="44"/>
        <v>0</v>
      </c>
      <c r="AB101" s="51">
        <f t="shared" si="45"/>
        <v>0</v>
      </c>
      <c r="AC101" s="44">
        <f t="shared" si="46"/>
        <v>0</v>
      </c>
      <c r="AD101" s="44">
        <f t="shared" si="47"/>
        <v>0</v>
      </c>
      <c r="AE101" s="44">
        <f t="shared" si="48"/>
        <v>0</v>
      </c>
      <c r="AF101" s="52" t="e">
        <f>HLOOKUP(I101,GasAvoidedCostsWOCC!$A$5:$G$50,G101+1,FALSE)</f>
        <v>#N/A</v>
      </c>
      <c r="AG101" s="44" t="e">
        <f t="shared" si="49"/>
        <v>#N/A</v>
      </c>
      <c r="AH101" s="52" t="e">
        <f>HLOOKUP(I101,GasAvoidedCostsWOCC!$A$5:$Q$50,T101+1,FALSE)</f>
        <v>#N/A</v>
      </c>
      <c r="AI101" s="44" t="e">
        <f t="shared" si="50"/>
        <v>#N/A</v>
      </c>
      <c r="AJ101" s="44" t="e">
        <f t="shared" si="51"/>
        <v>#N/A</v>
      </c>
      <c r="AK101" s="44" t="e">
        <f>HLOOKUP(I101,GasAvoidedCostsWOCC!$A$5:$Q$50,G101+1,FALSE)*J101*L101</f>
        <v>#N/A</v>
      </c>
      <c r="AL101" s="44" t="e">
        <f t="shared" si="52"/>
        <v>#N/A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8">
        <f t="shared" si="53"/>
        <v>0</v>
      </c>
      <c r="AO101" s="47">
        <f t="shared" si="54"/>
        <v>0</v>
      </c>
      <c r="AP101" s="47" t="e">
        <f t="shared" si="55"/>
        <v>#DIV/0!</v>
      </c>
    </row>
    <row r="102" spans="2:42">
      <c r="B102" s="97"/>
      <c r="C102" s="100"/>
      <c r="D102" s="100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7"/>
        <v>0</v>
      </c>
      <c r="U102" s="47">
        <f t="shared" si="38"/>
        <v>0</v>
      </c>
      <c r="V102" s="48">
        <f t="shared" si="39"/>
        <v>0</v>
      </c>
      <c r="W102" s="49">
        <f t="shared" si="40"/>
        <v>0</v>
      </c>
      <c r="X102" s="44">
        <f t="shared" si="41"/>
        <v>0</v>
      </c>
      <c r="Y102" s="44">
        <f t="shared" si="42"/>
        <v>0</v>
      </c>
      <c r="Z102" s="44">
        <f t="shared" si="43"/>
        <v>0</v>
      </c>
      <c r="AA102" s="50">
        <f t="shared" si="44"/>
        <v>0</v>
      </c>
      <c r="AB102" s="51">
        <f t="shared" si="45"/>
        <v>0</v>
      </c>
      <c r="AC102" s="44">
        <f t="shared" si="46"/>
        <v>0</v>
      </c>
      <c r="AD102" s="44">
        <f t="shared" si="47"/>
        <v>0</v>
      </c>
      <c r="AE102" s="44">
        <f t="shared" si="48"/>
        <v>0</v>
      </c>
      <c r="AF102" s="52" t="e">
        <f>HLOOKUP(I102,GasAvoidedCostsWOCC!$A$5:$G$50,G102+1,FALSE)</f>
        <v>#N/A</v>
      </c>
      <c r="AG102" s="44" t="e">
        <f t="shared" si="49"/>
        <v>#N/A</v>
      </c>
      <c r="AH102" s="52" t="e">
        <f>HLOOKUP(I102,GasAvoidedCostsWOCC!$A$5:$Q$50,T102+1,FALSE)</f>
        <v>#N/A</v>
      </c>
      <c r="AI102" s="44" t="e">
        <f t="shared" si="50"/>
        <v>#N/A</v>
      </c>
      <c r="AJ102" s="44" t="e">
        <f t="shared" si="51"/>
        <v>#N/A</v>
      </c>
      <c r="AK102" s="44" t="e">
        <f>HLOOKUP(I102,GasAvoidedCostsWOCC!$A$5:$Q$50,G102+1,FALSE)*J102*L102</f>
        <v>#N/A</v>
      </c>
      <c r="AL102" s="44" t="e">
        <f t="shared" si="52"/>
        <v>#N/A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8">
        <f t="shared" si="53"/>
        <v>0</v>
      </c>
      <c r="AO102" s="47">
        <f t="shared" si="54"/>
        <v>0</v>
      </c>
      <c r="AP102" s="47" t="e">
        <f t="shared" si="55"/>
        <v>#DIV/0!</v>
      </c>
    </row>
    <row r="103" spans="2:42">
      <c r="B103" s="97"/>
      <c r="C103" s="100"/>
      <c r="D103" s="100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7"/>
        <v>0</v>
      </c>
      <c r="U103" s="47">
        <f t="shared" si="38"/>
        <v>0</v>
      </c>
      <c r="V103" s="48">
        <f t="shared" si="39"/>
        <v>0</v>
      </c>
      <c r="W103" s="49">
        <f t="shared" si="40"/>
        <v>0</v>
      </c>
      <c r="X103" s="44">
        <f t="shared" si="41"/>
        <v>0</v>
      </c>
      <c r="Y103" s="44">
        <f t="shared" si="42"/>
        <v>0</v>
      </c>
      <c r="Z103" s="44">
        <f t="shared" si="43"/>
        <v>0</v>
      </c>
      <c r="AA103" s="50">
        <f t="shared" si="44"/>
        <v>0</v>
      </c>
      <c r="AB103" s="51">
        <f t="shared" si="45"/>
        <v>0</v>
      </c>
      <c r="AC103" s="44">
        <f t="shared" si="46"/>
        <v>0</v>
      </c>
      <c r="AD103" s="44">
        <f t="shared" si="47"/>
        <v>0</v>
      </c>
      <c r="AE103" s="44">
        <f t="shared" si="48"/>
        <v>0</v>
      </c>
      <c r="AF103" s="52" t="e">
        <f>HLOOKUP(I103,GasAvoidedCostsWOCC!$A$5:$G$50,G103+1,FALSE)</f>
        <v>#N/A</v>
      </c>
      <c r="AG103" s="44" t="e">
        <f t="shared" si="49"/>
        <v>#N/A</v>
      </c>
      <c r="AH103" s="52" t="e">
        <f>HLOOKUP(I103,GasAvoidedCostsWOCC!$A$5:$Q$50,T103+1,FALSE)</f>
        <v>#N/A</v>
      </c>
      <c r="AI103" s="44" t="e">
        <f t="shared" si="50"/>
        <v>#N/A</v>
      </c>
      <c r="AJ103" s="44" t="e">
        <f t="shared" si="51"/>
        <v>#N/A</v>
      </c>
      <c r="AK103" s="44" t="e">
        <f>HLOOKUP(I103,GasAvoidedCostsWOCC!$A$5:$Q$50,G103+1,FALSE)*J103*L103</f>
        <v>#N/A</v>
      </c>
      <c r="AL103" s="44" t="e">
        <f t="shared" si="52"/>
        <v>#N/A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8">
        <f t="shared" si="53"/>
        <v>0</v>
      </c>
      <c r="AO103" s="47">
        <f t="shared" si="54"/>
        <v>0</v>
      </c>
      <c r="AP103" s="47" t="e">
        <f t="shared" si="55"/>
        <v>#DIV/0!</v>
      </c>
    </row>
    <row r="104" spans="2:42">
      <c r="B104" s="97"/>
      <c r="C104" s="100"/>
      <c r="D104" s="100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7"/>
        <v>0</v>
      </c>
      <c r="U104" s="47">
        <f t="shared" si="38"/>
        <v>0</v>
      </c>
      <c r="V104" s="48">
        <f t="shared" si="39"/>
        <v>0</v>
      </c>
      <c r="W104" s="49">
        <f t="shared" si="40"/>
        <v>0</v>
      </c>
      <c r="X104" s="44">
        <f t="shared" si="41"/>
        <v>0</v>
      </c>
      <c r="Y104" s="44">
        <f t="shared" si="42"/>
        <v>0</v>
      </c>
      <c r="Z104" s="44">
        <f t="shared" si="43"/>
        <v>0</v>
      </c>
      <c r="AA104" s="50">
        <f t="shared" si="44"/>
        <v>0</v>
      </c>
      <c r="AB104" s="51">
        <f t="shared" si="45"/>
        <v>0</v>
      </c>
      <c r="AC104" s="44">
        <f t="shared" si="46"/>
        <v>0</v>
      </c>
      <c r="AD104" s="44">
        <f t="shared" si="47"/>
        <v>0</v>
      </c>
      <c r="AE104" s="44">
        <f t="shared" si="48"/>
        <v>0</v>
      </c>
      <c r="AF104" s="52" t="e">
        <f>HLOOKUP(I104,GasAvoidedCostsWOCC!$A$5:$G$50,G104+1,FALSE)</f>
        <v>#N/A</v>
      </c>
      <c r="AG104" s="44" t="e">
        <f t="shared" si="49"/>
        <v>#N/A</v>
      </c>
      <c r="AH104" s="52" t="e">
        <f>HLOOKUP(I104,GasAvoidedCostsWOCC!$A$5:$Q$50,T104+1,FALSE)</f>
        <v>#N/A</v>
      </c>
      <c r="AI104" s="44" t="e">
        <f t="shared" si="50"/>
        <v>#N/A</v>
      </c>
      <c r="AJ104" s="44" t="e">
        <f t="shared" si="51"/>
        <v>#N/A</v>
      </c>
      <c r="AK104" s="44" t="e">
        <f>HLOOKUP(I104,GasAvoidedCostsWOCC!$A$5:$Q$50,G104+1,FALSE)*J104*L104</f>
        <v>#N/A</v>
      </c>
      <c r="AL104" s="44" t="e">
        <f t="shared" si="52"/>
        <v>#N/A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8">
        <f t="shared" si="53"/>
        <v>0</v>
      </c>
      <c r="AO104" s="47">
        <f t="shared" si="54"/>
        <v>0</v>
      </c>
      <c r="AP104" s="47" t="e">
        <f t="shared" si="55"/>
        <v>#DIV/0!</v>
      </c>
    </row>
    <row r="105" spans="2:42">
      <c r="B105" s="97"/>
      <c r="C105" s="100"/>
      <c r="D105" s="100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7"/>
        <v>0</v>
      </c>
      <c r="U105" s="47">
        <f t="shared" si="38"/>
        <v>0</v>
      </c>
      <c r="V105" s="48">
        <f t="shared" si="39"/>
        <v>0</v>
      </c>
      <c r="W105" s="49">
        <f t="shared" si="40"/>
        <v>0</v>
      </c>
      <c r="X105" s="44">
        <f t="shared" si="41"/>
        <v>0</v>
      </c>
      <c r="Y105" s="44">
        <f t="shared" si="42"/>
        <v>0</v>
      </c>
      <c r="Z105" s="44">
        <f t="shared" si="43"/>
        <v>0</v>
      </c>
      <c r="AA105" s="50">
        <f t="shared" si="44"/>
        <v>0</v>
      </c>
      <c r="AB105" s="51">
        <f t="shared" si="45"/>
        <v>0</v>
      </c>
      <c r="AC105" s="44">
        <f t="shared" si="46"/>
        <v>0</v>
      </c>
      <c r="AD105" s="44">
        <f t="shared" si="47"/>
        <v>0</v>
      </c>
      <c r="AE105" s="44">
        <f t="shared" si="48"/>
        <v>0</v>
      </c>
      <c r="AF105" s="52" t="e">
        <f>HLOOKUP(I105,GasAvoidedCostsWOCC!$A$5:$G$50,G105+1,FALSE)</f>
        <v>#N/A</v>
      </c>
      <c r="AG105" s="44" t="e">
        <f t="shared" si="49"/>
        <v>#N/A</v>
      </c>
      <c r="AH105" s="52" t="e">
        <f>HLOOKUP(I105,GasAvoidedCostsWOCC!$A$5:$Q$50,T105+1,FALSE)</f>
        <v>#N/A</v>
      </c>
      <c r="AI105" s="44" t="e">
        <f t="shared" si="50"/>
        <v>#N/A</v>
      </c>
      <c r="AJ105" s="44" t="e">
        <f t="shared" si="51"/>
        <v>#N/A</v>
      </c>
      <c r="AK105" s="44" t="e">
        <f>HLOOKUP(I105,GasAvoidedCostsWOCC!$A$5:$Q$50,G105+1,FALSE)*J105*L105</f>
        <v>#N/A</v>
      </c>
      <c r="AL105" s="44" t="e">
        <f t="shared" si="52"/>
        <v>#N/A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8">
        <f t="shared" si="53"/>
        <v>0</v>
      </c>
      <c r="AO105" s="47">
        <f t="shared" si="54"/>
        <v>0</v>
      </c>
      <c r="AP105" s="47" t="e">
        <f t="shared" si="55"/>
        <v>#DIV/0!</v>
      </c>
    </row>
    <row r="106" spans="2:42">
      <c r="B106" s="97"/>
      <c r="C106" s="100"/>
      <c r="D106" s="100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7"/>
        <v>0</v>
      </c>
      <c r="U106" s="47">
        <f t="shared" si="38"/>
        <v>0</v>
      </c>
      <c r="V106" s="48">
        <f t="shared" si="39"/>
        <v>0</v>
      </c>
      <c r="W106" s="49">
        <f t="shared" si="40"/>
        <v>0</v>
      </c>
      <c r="X106" s="44">
        <f t="shared" si="41"/>
        <v>0</v>
      </c>
      <c r="Y106" s="44">
        <f t="shared" si="42"/>
        <v>0</v>
      </c>
      <c r="Z106" s="44">
        <f t="shared" si="43"/>
        <v>0</v>
      </c>
      <c r="AA106" s="50">
        <f t="shared" si="44"/>
        <v>0</v>
      </c>
      <c r="AB106" s="51">
        <f t="shared" si="45"/>
        <v>0</v>
      </c>
      <c r="AC106" s="44">
        <f t="shared" si="46"/>
        <v>0</v>
      </c>
      <c r="AD106" s="44">
        <f t="shared" si="47"/>
        <v>0</v>
      </c>
      <c r="AE106" s="44">
        <f t="shared" si="48"/>
        <v>0</v>
      </c>
      <c r="AF106" s="52" t="e">
        <f>HLOOKUP(I106,GasAvoidedCostsWOCC!$A$5:$G$50,G106+1,FALSE)</f>
        <v>#N/A</v>
      </c>
      <c r="AG106" s="44" t="e">
        <f t="shared" si="49"/>
        <v>#N/A</v>
      </c>
      <c r="AH106" s="52" t="e">
        <f>HLOOKUP(I106,GasAvoidedCostsWOCC!$A$5:$Q$50,T106+1,FALSE)</f>
        <v>#N/A</v>
      </c>
      <c r="AI106" s="44" t="e">
        <f t="shared" si="50"/>
        <v>#N/A</v>
      </c>
      <c r="AJ106" s="44" t="e">
        <f t="shared" si="51"/>
        <v>#N/A</v>
      </c>
      <c r="AK106" s="44" t="e">
        <f>HLOOKUP(I106,GasAvoidedCostsWOCC!$A$5:$Q$50,G106+1,FALSE)*J106*L106</f>
        <v>#N/A</v>
      </c>
      <c r="AL106" s="44" t="e">
        <f t="shared" si="52"/>
        <v>#N/A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8">
        <f t="shared" si="53"/>
        <v>0</v>
      </c>
      <c r="AO106" s="47">
        <f t="shared" si="54"/>
        <v>0</v>
      </c>
      <c r="AP106" s="47" t="e">
        <f t="shared" si="55"/>
        <v>#DIV/0!</v>
      </c>
    </row>
    <row r="107" spans="2:42">
      <c r="B107" s="97"/>
      <c r="C107" s="100"/>
      <c r="D107" s="100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7"/>
        <v>0</v>
      </c>
      <c r="U107" s="47">
        <f t="shared" si="38"/>
        <v>0</v>
      </c>
      <c r="V107" s="48">
        <f t="shared" si="39"/>
        <v>0</v>
      </c>
      <c r="W107" s="49">
        <f t="shared" si="40"/>
        <v>0</v>
      </c>
      <c r="X107" s="44">
        <f t="shared" si="41"/>
        <v>0</v>
      </c>
      <c r="Y107" s="44">
        <f t="shared" si="42"/>
        <v>0</v>
      </c>
      <c r="Z107" s="44">
        <f t="shared" si="43"/>
        <v>0</v>
      </c>
      <c r="AA107" s="50">
        <f t="shared" si="44"/>
        <v>0</v>
      </c>
      <c r="AB107" s="51">
        <f t="shared" si="45"/>
        <v>0</v>
      </c>
      <c r="AC107" s="44">
        <f t="shared" si="46"/>
        <v>0</v>
      </c>
      <c r="AD107" s="44">
        <f t="shared" si="47"/>
        <v>0</v>
      </c>
      <c r="AE107" s="44">
        <f t="shared" si="48"/>
        <v>0</v>
      </c>
      <c r="AF107" s="52" t="e">
        <f>HLOOKUP(I107,GasAvoidedCostsWOCC!$A$5:$G$50,G107+1,FALSE)</f>
        <v>#N/A</v>
      </c>
      <c r="AG107" s="44" t="e">
        <f t="shared" si="49"/>
        <v>#N/A</v>
      </c>
      <c r="AH107" s="52" t="e">
        <f>HLOOKUP(I107,GasAvoidedCostsWOCC!$A$5:$Q$50,T107+1,FALSE)</f>
        <v>#N/A</v>
      </c>
      <c r="AI107" s="44" t="e">
        <f t="shared" si="50"/>
        <v>#N/A</v>
      </c>
      <c r="AJ107" s="44" t="e">
        <f t="shared" si="51"/>
        <v>#N/A</v>
      </c>
      <c r="AK107" s="44" t="e">
        <f>HLOOKUP(I107,GasAvoidedCostsWOCC!$A$5:$Q$50,G107+1,FALSE)*J107*L107</f>
        <v>#N/A</v>
      </c>
      <c r="AL107" s="44" t="e">
        <f t="shared" si="52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3"/>
        <v>0</v>
      </c>
      <c r="AO107" s="47">
        <f t="shared" si="54"/>
        <v>0</v>
      </c>
      <c r="AP107" s="47" t="e">
        <f t="shared" si="55"/>
        <v>#DIV/0!</v>
      </c>
    </row>
    <row r="108" spans="2:42">
      <c r="B108" s="97"/>
      <c r="C108" s="100"/>
      <c r="D108" s="100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7"/>
        <v>0</v>
      </c>
      <c r="U108" s="47">
        <f t="shared" si="38"/>
        <v>0</v>
      </c>
      <c r="V108" s="48">
        <f t="shared" si="39"/>
        <v>0</v>
      </c>
      <c r="W108" s="49">
        <f t="shared" si="40"/>
        <v>0</v>
      </c>
      <c r="X108" s="44">
        <f t="shared" si="41"/>
        <v>0</v>
      </c>
      <c r="Y108" s="44">
        <f t="shared" si="42"/>
        <v>0</v>
      </c>
      <c r="Z108" s="44">
        <f t="shared" si="43"/>
        <v>0</v>
      </c>
      <c r="AA108" s="50">
        <f t="shared" si="44"/>
        <v>0</v>
      </c>
      <c r="AB108" s="51">
        <f t="shared" si="45"/>
        <v>0</v>
      </c>
      <c r="AC108" s="44">
        <f t="shared" si="46"/>
        <v>0</v>
      </c>
      <c r="AD108" s="44">
        <f t="shared" si="47"/>
        <v>0</v>
      </c>
      <c r="AE108" s="44">
        <f t="shared" si="48"/>
        <v>0</v>
      </c>
      <c r="AF108" s="52" t="e">
        <f>HLOOKUP(I108,GasAvoidedCostsWOCC!$A$5:$G$50,G108+1,FALSE)</f>
        <v>#N/A</v>
      </c>
      <c r="AG108" s="44" t="e">
        <f t="shared" si="49"/>
        <v>#N/A</v>
      </c>
      <c r="AH108" s="52" t="e">
        <f>HLOOKUP(I108,GasAvoidedCostsWOCC!$A$5:$Q$50,T108+1,FALSE)</f>
        <v>#N/A</v>
      </c>
      <c r="AI108" s="44" t="e">
        <f t="shared" si="50"/>
        <v>#N/A</v>
      </c>
      <c r="AJ108" s="44" t="e">
        <f t="shared" si="51"/>
        <v>#N/A</v>
      </c>
      <c r="AK108" s="44" t="e">
        <f>HLOOKUP(I108,GasAvoidedCostsWOCC!$A$5:$Q$50,G108+1,FALSE)*J108*L108</f>
        <v>#N/A</v>
      </c>
      <c r="AL108" s="44" t="e">
        <f t="shared" si="52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3"/>
        <v>0</v>
      </c>
      <c r="AO108" s="47">
        <f t="shared" si="54"/>
        <v>0</v>
      </c>
      <c r="AP108" s="47" t="e">
        <f t="shared" si="55"/>
        <v>#DIV/0!</v>
      </c>
    </row>
    <row r="109" spans="2:42">
      <c r="B109" s="97"/>
      <c r="C109" s="100"/>
      <c r="D109" s="100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7"/>
        <v>0</v>
      </c>
      <c r="U109" s="47">
        <f t="shared" si="38"/>
        <v>0</v>
      </c>
      <c r="V109" s="48">
        <f t="shared" si="39"/>
        <v>0</v>
      </c>
      <c r="W109" s="49">
        <f t="shared" si="40"/>
        <v>0</v>
      </c>
      <c r="X109" s="44">
        <f t="shared" si="41"/>
        <v>0</v>
      </c>
      <c r="Y109" s="44">
        <f t="shared" si="42"/>
        <v>0</v>
      </c>
      <c r="Z109" s="44">
        <f t="shared" si="43"/>
        <v>0</v>
      </c>
      <c r="AA109" s="50">
        <f t="shared" si="44"/>
        <v>0</v>
      </c>
      <c r="AB109" s="51">
        <f t="shared" si="45"/>
        <v>0</v>
      </c>
      <c r="AC109" s="44">
        <f t="shared" si="46"/>
        <v>0</v>
      </c>
      <c r="AD109" s="44">
        <f t="shared" si="47"/>
        <v>0</v>
      </c>
      <c r="AE109" s="44">
        <f t="shared" si="48"/>
        <v>0</v>
      </c>
      <c r="AF109" s="52" t="e">
        <f>HLOOKUP(I109,GasAvoidedCostsWOCC!$A$5:$G$50,G109+1,FALSE)</f>
        <v>#N/A</v>
      </c>
      <c r="AG109" s="44" t="e">
        <f t="shared" si="49"/>
        <v>#N/A</v>
      </c>
      <c r="AH109" s="52" t="e">
        <f>HLOOKUP(I109,GasAvoidedCostsWOCC!$A$5:$Q$50,T109+1,FALSE)</f>
        <v>#N/A</v>
      </c>
      <c r="AI109" s="44" t="e">
        <f t="shared" si="50"/>
        <v>#N/A</v>
      </c>
      <c r="AJ109" s="44" t="e">
        <f t="shared" si="51"/>
        <v>#N/A</v>
      </c>
      <c r="AK109" s="44" t="e">
        <f>HLOOKUP(I109,GasAvoidedCostsWOCC!$A$5:$Q$50,G109+1,FALSE)*J109*L109</f>
        <v>#N/A</v>
      </c>
      <c r="AL109" s="44" t="e">
        <f t="shared" si="52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3"/>
        <v>0</v>
      </c>
      <c r="AO109" s="47">
        <f t="shared" si="54"/>
        <v>0</v>
      </c>
      <c r="AP109" s="47" t="e">
        <f t="shared" si="55"/>
        <v>#DIV/0!</v>
      </c>
    </row>
    <row r="110" spans="2:42">
      <c r="B110" s="97"/>
      <c r="C110" s="100"/>
      <c r="D110" s="100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7"/>
        <v>0</v>
      </c>
      <c r="U110" s="47">
        <f t="shared" si="38"/>
        <v>0</v>
      </c>
      <c r="V110" s="48">
        <f t="shared" si="39"/>
        <v>0</v>
      </c>
      <c r="W110" s="49">
        <f t="shared" si="40"/>
        <v>0</v>
      </c>
      <c r="X110" s="44">
        <f t="shared" si="41"/>
        <v>0</v>
      </c>
      <c r="Y110" s="44">
        <f t="shared" si="42"/>
        <v>0</v>
      </c>
      <c r="Z110" s="44">
        <f t="shared" si="43"/>
        <v>0</v>
      </c>
      <c r="AA110" s="50">
        <f t="shared" si="44"/>
        <v>0</v>
      </c>
      <c r="AB110" s="51">
        <f t="shared" si="45"/>
        <v>0</v>
      </c>
      <c r="AC110" s="44">
        <f t="shared" si="46"/>
        <v>0</v>
      </c>
      <c r="AD110" s="44">
        <f t="shared" si="47"/>
        <v>0</v>
      </c>
      <c r="AE110" s="44">
        <f t="shared" si="48"/>
        <v>0</v>
      </c>
      <c r="AF110" s="52" t="e">
        <f>HLOOKUP(I110,GasAvoidedCostsWOCC!$A$5:$G$50,G110+1,FALSE)</f>
        <v>#N/A</v>
      </c>
      <c r="AG110" s="44" t="e">
        <f t="shared" si="49"/>
        <v>#N/A</v>
      </c>
      <c r="AH110" s="52" t="e">
        <f>HLOOKUP(I110,GasAvoidedCostsWOCC!$A$5:$Q$50,T110+1,FALSE)</f>
        <v>#N/A</v>
      </c>
      <c r="AI110" s="44" t="e">
        <f t="shared" si="50"/>
        <v>#N/A</v>
      </c>
      <c r="AJ110" s="44" t="e">
        <f t="shared" si="51"/>
        <v>#N/A</v>
      </c>
      <c r="AK110" s="44" t="e">
        <f>HLOOKUP(I110,GasAvoidedCostsWOCC!$A$5:$Q$50,G110+1,FALSE)*J110*L110</f>
        <v>#N/A</v>
      </c>
      <c r="AL110" s="44" t="e">
        <f t="shared" si="52"/>
        <v>#N/A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8">
        <f t="shared" si="53"/>
        <v>0</v>
      </c>
      <c r="AO110" s="47">
        <f t="shared" si="54"/>
        <v>0</v>
      </c>
      <c r="AP110" s="47" t="e">
        <f t="shared" si="55"/>
        <v>#DIV/0!</v>
      </c>
    </row>
    <row r="111" spans="2:42">
      <c r="B111" s="97"/>
      <c r="C111" s="100"/>
      <c r="D111" s="100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7"/>
        <v>0</v>
      </c>
      <c r="U111" s="47">
        <f t="shared" si="38"/>
        <v>0</v>
      </c>
      <c r="V111" s="48">
        <f t="shared" si="39"/>
        <v>0</v>
      </c>
      <c r="W111" s="49">
        <f t="shared" si="40"/>
        <v>0</v>
      </c>
      <c r="X111" s="44">
        <f t="shared" si="41"/>
        <v>0</v>
      </c>
      <c r="Y111" s="44">
        <f t="shared" si="42"/>
        <v>0</v>
      </c>
      <c r="Z111" s="44">
        <f t="shared" si="43"/>
        <v>0</v>
      </c>
      <c r="AA111" s="50">
        <f t="shared" si="44"/>
        <v>0</v>
      </c>
      <c r="AB111" s="51">
        <f t="shared" si="45"/>
        <v>0</v>
      </c>
      <c r="AC111" s="44">
        <f t="shared" si="46"/>
        <v>0</v>
      </c>
      <c r="AD111" s="44">
        <f t="shared" si="47"/>
        <v>0</v>
      </c>
      <c r="AE111" s="44">
        <f t="shared" si="48"/>
        <v>0</v>
      </c>
      <c r="AF111" s="52" t="e">
        <f>HLOOKUP(I111,GasAvoidedCostsWOCC!$A$5:$G$50,G111+1,FALSE)</f>
        <v>#N/A</v>
      </c>
      <c r="AG111" s="44" t="e">
        <f t="shared" si="49"/>
        <v>#N/A</v>
      </c>
      <c r="AH111" s="52" t="e">
        <f>HLOOKUP(I111,GasAvoidedCostsWOCC!$A$5:$Q$50,T111+1,FALSE)</f>
        <v>#N/A</v>
      </c>
      <c r="AI111" s="44" t="e">
        <f t="shared" si="50"/>
        <v>#N/A</v>
      </c>
      <c r="AJ111" s="44" t="e">
        <f t="shared" si="51"/>
        <v>#N/A</v>
      </c>
      <c r="AK111" s="44" t="e">
        <f>HLOOKUP(I111,GasAvoidedCostsWOCC!$A$5:$Q$50,G111+1,FALSE)*J111*L111</f>
        <v>#N/A</v>
      </c>
      <c r="AL111" s="44" t="e">
        <f t="shared" si="52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3"/>
        <v>0</v>
      </c>
      <c r="AO111" s="47">
        <f t="shared" si="54"/>
        <v>0</v>
      </c>
      <c r="AP111" s="47" t="e">
        <f t="shared" si="55"/>
        <v>#DIV/0!</v>
      </c>
    </row>
    <row r="112" spans="2:42">
      <c r="B112" s="97"/>
      <c r="C112" s="100"/>
      <c r="D112" s="100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7"/>
        <v>0</v>
      </c>
      <c r="U112" s="47">
        <f t="shared" si="38"/>
        <v>0</v>
      </c>
      <c r="V112" s="48">
        <f t="shared" si="39"/>
        <v>0</v>
      </c>
      <c r="W112" s="49">
        <f t="shared" si="40"/>
        <v>0</v>
      </c>
      <c r="X112" s="44">
        <f t="shared" si="41"/>
        <v>0</v>
      </c>
      <c r="Y112" s="44">
        <f t="shared" si="42"/>
        <v>0</v>
      </c>
      <c r="Z112" s="44">
        <f t="shared" si="43"/>
        <v>0</v>
      </c>
      <c r="AA112" s="50">
        <f t="shared" si="44"/>
        <v>0</v>
      </c>
      <c r="AB112" s="51">
        <f t="shared" si="45"/>
        <v>0</v>
      </c>
      <c r="AC112" s="44">
        <f t="shared" si="46"/>
        <v>0</v>
      </c>
      <c r="AD112" s="44">
        <f t="shared" si="47"/>
        <v>0</v>
      </c>
      <c r="AE112" s="44">
        <f t="shared" si="48"/>
        <v>0</v>
      </c>
      <c r="AF112" s="52" t="e">
        <f>HLOOKUP(I112,GasAvoidedCostsWOCC!$A$5:$G$50,G112+1,FALSE)</f>
        <v>#N/A</v>
      </c>
      <c r="AG112" s="44" t="e">
        <f t="shared" si="49"/>
        <v>#N/A</v>
      </c>
      <c r="AH112" s="52" t="e">
        <f>HLOOKUP(I112,GasAvoidedCostsWOCC!$A$5:$Q$50,T112+1,FALSE)</f>
        <v>#N/A</v>
      </c>
      <c r="AI112" s="44" t="e">
        <f t="shared" si="50"/>
        <v>#N/A</v>
      </c>
      <c r="AJ112" s="44" t="e">
        <f t="shared" si="51"/>
        <v>#N/A</v>
      </c>
      <c r="AK112" s="44" t="e">
        <f>HLOOKUP(I112,GasAvoidedCostsWOCC!$A$5:$Q$50,G112+1,FALSE)*J112*L112</f>
        <v>#N/A</v>
      </c>
      <c r="AL112" s="44" t="e">
        <f t="shared" si="52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3"/>
        <v>0</v>
      </c>
      <c r="AO112" s="47">
        <f t="shared" si="54"/>
        <v>0</v>
      </c>
      <c r="AP112" s="47" t="e">
        <f t="shared" si="55"/>
        <v>#DIV/0!</v>
      </c>
    </row>
    <row r="113" spans="2:42">
      <c r="B113" s="97"/>
      <c r="C113" s="100"/>
      <c r="D113" s="100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7"/>
        <v>0</v>
      </c>
      <c r="U113" s="47">
        <f t="shared" si="38"/>
        <v>0</v>
      </c>
      <c r="V113" s="48">
        <f t="shared" si="39"/>
        <v>0</v>
      </c>
      <c r="W113" s="49">
        <f t="shared" si="40"/>
        <v>0</v>
      </c>
      <c r="X113" s="44">
        <f t="shared" si="41"/>
        <v>0</v>
      </c>
      <c r="Y113" s="44">
        <f t="shared" si="42"/>
        <v>0</v>
      </c>
      <c r="Z113" s="44">
        <f t="shared" si="43"/>
        <v>0</v>
      </c>
      <c r="AA113" s="50">
        <f t="shared" si="44"/>
        <v>0</v>
      </c>
      <c r="AB113" s="51">
        <f t="shared" si="45"/>
        <v>0</v>
      </c>
      <c r="AC113" s="44">
        <f t="shared" si="46"/>
        <v>0</v>
      </c>
      <c r="AD113" s="44">
        <f t="shared" si="47"/>
        <v>0</v>
      </c>
      <c r="AE113" s="44">
        <f t="shared" si="48"/>
        <v>0</v>
      </c>
      <c r="AF113" s="52" t="e">
        <f>HLOOKUP(I113,GasAvoidedCostsWOCC!$A$5:$G$50,G113+1,FALSE)</f>
        <v>#N/A</v>
      </c>
      <c r="AG113" s="44" t="e">
        <f t="shared" si="49"/>
        <v>#N/A</v>
      </c>
      <c r="AH113" s="52" t="e">
        <f>HLOOKUP(I113,GasAvoidedCostsWOCC!$A$5:$Q$50,T113+1,FALSE)</f>
        <v>#N/A</v>
      </c>
      <c r="AI113" s="44" t="e">
        <f t="shared" si="50"/>
        <v>#N/A</v>
      </c>
      <c r="AJ113" s="44" t="e">
        <f t="shared" si="51"/>
        <v>#N/A</v>
      </c>
      <c r="AK113" s="44" t="e">
        <f>HLOOKUP(I113,GasAvoidedCostsWOCC!$A$5:$Q$50,G113+1,FALSE)*J113*L113</f>
        <v>#N/A</v>
      </c>
      <c r="AL113" s="44" t="e">
        <f t="shared" si="52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3"/>
        <v>0</v>
      </c>
      <c r="AO113" s="47">
        <f t="shared" si="54"/>
        <v>0</v>
      </c>
      <c r="AP113" s="47" t="e">
        <f t="shared" si="55"/>
        <v>#DIV/0!</v>
      </c>
    </row>
    <row r="114" spans="2:42">
      <c r="B114" s="97"/>
      <c r="C114" s="100"/>
      <c r="D114" s="100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7"/>
        <v>0</v>
      </c>
      <c r="U114" s="47">
        <f t="shared" si="38"/>
        <v>0</v>
      </c>
      <c r="V114" s="48">
        <f t="shared" si="39"/>
        <v>0</v>
      </c>
      <c r="W114" s="49">
        <f t="shared" si="40"/>
        <v>0</v>
      </c>
      <c r="X114" s="44">
        <f t="shared" si="41"/>
        <v>0</v>
      </c>
      <c r="Y114" s="44">
        <f t="shared" si="42"/>
        <v>0</v>
      </c>
      <c r="Z114" s="44">
        <f t="shared" si="43"/>
        <v>0</v>
      </c>
      <c r="AA114" s="50">
        <f t="shared" si="44"/>
        <v>0</v>
      </c>
      <c r="AB114" s="51">
        <f t="shared" si="45"/>
        <v>0</v>
      </c>
      <c r="AC114" s="44">
        <f t="shared" si="46"/>
        <v>0</v>
      </c>
      <c r="AD114" s="44">
        <f t="shared" si="47"/>
        <v>0</v>
      </c>
      <c r="AE114" s="44">
        <f t="shared" si="48"/>
        <v>0</v>
      </c>
      <c r="AF114" s="52" t="e">
        <f>HLOOKUP(I114,GasAvoidedCostsWOCC!$A$5:$G$50,G114+1,FALSE)</f>
        <v>#N/A</v>
      </c>
      <c r="AG114" s="44" t="e">
        <f t="shared" si="49"/>
        <v>#N/A</v>
      </c>
      <c r="AH114" s="52" t="e">
        <f>HLOOKUP(I114,GasAvoidedCostsWOCC!$A$5:$Q$50,T114+1,FALSE)</f>
        <v>#N/A</v>
      </c>
      <c r="AI114" s="44" t="e">
        <f t="shared" si="50"/>
        <v>#N/A</v>
      </c>
      <c r="AJ114" s="44" t="e">
        <f t="shared" si="51"/>
        <v>#N/A</v>
      </c>
      <c r="AK114" s="44" t="e">
        <f>HLOOKUP(I114,GasAvoidedCostsWOCC!$A$5:$Q$50,G114+1,FALSE)*J114*L114</f>
        <v>#N/A</v>
      </c>
      <c r="AL114" s="44" t="e">
        <f t="shared" si="52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3"/>
        <v>0</v>
      </c>
      <c r="AO114" s="47">
        <f t="shared" si="54"/>
        <v>0</v>
      </c>
      <c r="AP114" s="47" t="e">
        <f t="shared" si="55"/>
        <v>#DIV/0!</v>
      </c>
    </row>
    <row r="115" spans="2:42">
      <c r="B115" s="97"/>
      <c r="C115" s="100"/>
      <c r="D115" s="100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7"/>
        <v>0</v>
      </c>
      <c r="U115" s="47">
        <f t="shared" si="38"/>
        <v>0</v>
      </c>
      <c r="V115" s="48">
        <f t="shared" si="39"/>
        <v>0</v>
      </c>
      <c r="W115" s="49">
        <f t="shared" si="40"/>
        <v>0</v>
      </c>
      <c r="X115" s="44">
        <f t="shared" si="41"/>
        <v>0</v>
      </c>
      <c r="Y115" s="44">
        <f t="shared" si="42"/>
        <v>0</v>
      </c>
      <c r="Z115" s="44">
        <f t="shared" si="43"/>
        <v>0</v>
      </c>
      <c r="AA115" s="50">
        <f t="shared" si="44"/>
        <v>0</v>
      </c>
      <c r="AB115" s="51">
        <f t="shared" si="45"/>
        <v>0</v>
      </c>
      <c r="AC115" s="44">
        <f t="shared" si="46"/>
        <v>0</v>
      </c>
      <c r="AD115" s="44">
        <f t="shared" si="47"/>
        <v>0</v>
      </c>
      <c r="AE115" s="44">
        <f t="shared" si="48"/>
        <v>0</v>
      </c>
      <c r="AF115" s="52" t="e">
        <f>HLOOKUP(I115,GasAvoidedCostsWOCC!$A$5:$G$50,G115+1,FALSE)</f>
        <v>#N/A</v>
      </c>
      <c r="AG115" s="44" t="e">
        <f t="shared" si="49"/>
        <v>#N/A</v>
      </c>
      <c r="AH115" s="52" t="e">
        <f>HLOOKUP(I115,GasAvoidedCostsWOCC!$A$5:$Q$50,T115+1,FALSE)</f>
        <v>#N/A</v>
      </c>
      <c r="AI115" s="44" t="e">
        <f t="shared" si="50"/>
        <v>#N/A</v>
      </c>
      <c r="AJ115" s="44" t="e">
        <f t="shared" si="51"/>
        <v>#N/A</v>
      </c>
      <c r="AK115" s="44" t="e">
        <f>HLOOKUP(I115,GasAvoidedCostsWOCC!$A$5:$Q$50,G115+1,FALSE)*J115*L115</f>
        <v>#N/A</v>
      </c>
      <c r="AL115" s="44" t="e">
        <f t="shared" si="52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3"/>
        <v>0</v>
      </c>
      <c r="AO115" s="47">
        <f t="shared" si="54"/>
        <v>0</v>
      </c>
      <c r="AP115" s="47" t="e">
        <f t="shared" si="55"/>
        <v>#DIV/0!</v>
      </c>
    </row>
    <row r="116" spans="2:42">
      <c r="B116" s="97"/>
      <c r="C116" s="100"/>
      <c r="D116" s="100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7"/>
        <v>0</v>
      </c>
      <c r="U116" s="47">
        <f t="shared" si="38"/>
        <v>0</v>
      </c>
      <c r="V116" s="48">
        <f t="shared" si="39"/>
        <v>0</v>
      </c>
      <c r="W116" s="49">
        <f t="shared" si="40"/>
        <v>0</v>
      </c>
      <c r="X116" s="44">
        <f t="shared" si="41"/>
        <v>0</v>
      </c>
      <c r="Y116" s="44">
        <f t="shared" si="42"/>
        <v>0</v>
      </c>
      <c r="Z116" s="44">
        <f t="shared" si="43"/>
        <v>0</v>
      </c>
      <c r="AA116" s="50">
        <f t="shared" si="44"/>
        <v>0</v>
      </c>
      <c r="AB116" s="51">
        <f t="shared" si="45"/>
        <v>0</v>
      </c>
      <c r="AC116" s="44">
        <f t="shared" si="46"/>
        <v>0</v>
      </c>
      <c r="AD116" s="44">
        <f t="shared" si="47"/>
        <v>0</v>
      </c>
      <c r="AE116" s="44">
        <f t="shared" si="48"/>
        <v>0</v>
      </c>
      <c r="AF116" s="52" t="e">
        <f>HLOOKUP(I116,GasAvoidedCostsWOCC!$A$5:$G$50,G116+1,FALSE)</f>
        <v>#N/A</v>
      </c>
      <c r="AG116" s="44" t="e">
        <f t="shared" si="49"/>
        <v>#N/A</v>
      </c>
      <c r="AH116" s="52" t="e">
        <f>HLOOKUP(I116,GasAvoidedCostsWOCC!$A$5:$Q$50,T116+1,FALSE)</f>
        <v>#N/A</v>
      </c>
      <c r="AI116" s="44" t="e">
        <f t="shared" si="50"/>
        <v>#N/A</v>
      </c>
      <c r="AJ116" s="44" t="e">
        <f t="shared" si="51"/>
        <v>#N/A</v>
      </c>
      <c r="AK116" s="44" t="e">
        <f>HLOOKUP(I116,GasAvoidedCostsWOCC!$A$5:$Q$50,G116+1,FALSE)*J116*L116</f>
        <v>#N/A</v>
      </c>
      <c r="AL116" s="44" t="e">
        <f t="shared" si="52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3"/>
        <v>0</v>
      </c>
      <c r="AO116" s="47">
        <f t="shared" si="54"/>
        <v>0</v>
      </c>
      <c r="AP116" s="47" t="e">
        <f t="shared" si="55"/>
        <v>#DIV/0!</v>
      </c>
    </row>
    <row r="117" spans="2:42">
      <c r="B117" s="97"/>
      <c r="C117" s="100"/>
      <c r="D117" s="100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7"/>
        <v>0</v>
      </c>
      <c r="U117" s="47">
        <f t="shared" si="38"/>
        <v>0</v>
      </c>
      <c r="V117" s="48">
        <f t="shared" si="39"/>
        <v>0</v>
      </c>
      <c r="W117" s="49">
        <f t="shared" si="40"/>
        <v>0</v>
      </c>
      <c r="X117" s="44">
        <f t="shared" si="41"/>
        <v>0</v>
      </c>
      <c r="Y117" s="44">
        <f t="shared" si="42"/>
        <v>0</v>
      </c>
      <c r="Z117" s="44">
        <f t="shared" si="43"/>
        <v>0</v>
      </c>
      <c r="AA117" s="50">
        <f t="shared" si="44"/>
        <v>0</v>
      </c>
      <c r="AB117" s="51">
        <f t="shared" si="45"/>
        <v>0</v>
      </c>
      <c r="AC117" s="44">
        <f t="shared" si="46"/>
        <v>0</v>
      </c>
      <c r="AD117" s="44">
        <f t="shared" si="47"/>
        <v>0</v>
      </c>
      <c r="AE117" s="44">
        <f t="shared" si="48"/>
        <v>0</v>
      </c>
      <c r="AF117" s="52" t="e">
        <f>HLOOKUP(I117,GasAvoidedCostsWOCC!$A$5:$G$50,G117+1,FALSE)</f>
        <v>#N/A</v>
      </c>
      <c r="AG117" s="44" t="e">
        <f t="shared" si="49"/>
        <v>#N/A</v>
      </c>
      <c r="AH117" s="52" t="e">
        <f>HLOOKUP(I117,GasAvoidedCostsWOCC!$A$5:$Q$50,T117+1,FALSE)</f>
        <v>#N/A</v>
      </c>
      <c r="AI117" s="44" t="e">
        <f t="shared" si="50"/>
        <v>#N/A</v>
      </c>
      <c r="AJ117" s="44" t="e">
        <f t="shared" si="51"/>
        <v>#N/A</v>
      </c>
      <c r="AK117" s="44" t="e">
        <f>HLOOKUP(I117,GasAvoidedCostsWOCC!$A$5:$Q$50,G117+1,FALSE)*J117*L117</f>
        <v>#N/A</v>
      </c>
      <c r="AL117" s="44" t="e">
        <f t="shared" si="52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3"/>
        <v>0</v>
      </c>
      <c r="AO117" s="47">
        <f t="shared" si="54"/>
        <v>0</v>
      </c>
      <c r="AP117" s="47" t="e">
        <f t="shared" si="55"/>
        <v>#DIV/0!</v>
      </c>
    </row>
    <row r="118" spans="2:42">
      <c r="B118" s="97"/>
      <c r="C118" s="100"/>
      <c r="D118" s="100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7"/>
        <v>0</v>
      </c>
      <c r="U118" s="47">
        <f t="shared" si="38"/>
        <v>0</v>
      </c>
      <c r="V118" s="48">
        <f t="shared" si="39"/>
        <v>0</v>
      </c>
      <c r="W118" s="49">
        <f t="shared" si="40"/>
        <v>0</v>
      </c>
      <c r="X118" s="44">
        <f t="shared" si="41"/>
        <v>0</v>
      </c>
      <c r="Y118" s="44">
        <f t="shared" si="42"/>
        <v>0</v>
      </c>
      <c r="Z118" s="44">
        <f t="shared" si="43"/>
        <v>0</v>
      </c>
      <c r="AA118" s="50">
        <f t="shared" si="44"/>
        <v>0</v>
      </c>
      <c r="AB118" s="51">
        <f t="shared" si="45"/>
        <v>0</v>
      </c>
      <c r="AC118" s="44">
        <f t="shared" si="46"/>
        <v>0</v>
      </c>
      <c r="AD118" s="44">
        <f t="shared" si="47"/>
        <v>0</v>
      </c>
      <c r="AE118" s="44">
        <f t="shared" si="48"/>
        <v>0</v>
      </c>
      <c r="AF118" s="52" t="e">
        <f>HLOOKUP(I118,GasAvoidedCostsWOCC!$A$5:$G$50,G118+1,FALSE)</f>
        <v>#N/A</v>
      </c>
      <c r="AG118" s="44" t="e">
        <f t="shared" si="49"/>
        <v>#N/A</v>
      </c>
      <c r="AH118" s="52" t="e">
        <f>HLOOKUP(I118,GasAvoidedCostsWOCC!$A$5:$Q$50,T118+1,FALSE)</f>
        <v>#N/A</v>
      </c>
      <c r="AI118" s="44" t="e">
        <f t="shared" si="50"/>
        <v>#N/A</v>
      </c>
      <c r="AJ118" s="44" t="e">
        <f t="shared" si="51"/>
        <v>#N/A</v>
      </c>
      <c r="AK118" s="44" t="e">
        <f>HLOOKUP(I118,GasAvoidedCostsWOCC!$A$5:$Q$50,G118+1,FALSE)*J118*L118</f>
        <v>#N/A</v>
      </c>
      <c r="AL118" s="44" t="e">
        <f t="shared" si="52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3"/>
        <v>0</v>
      </c>
      <c r="AO118" s="47">
        <f t="shared" si="54"/>
        <v>0</v>
      </c>
      <c r="AP118" s="47" t="e">
        <f t="shared" si="55"/>
        <v>#DIV/0!</v>
      </c>
    </row>
    <row r="119" spans="2:42">
      <c r="B119" s="97"/>
      <c r="C119" s="100"/>
      <c r="D119" s="100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7"/>
        <v>0</v>
      </c>
      <c r="U119" s="47">
        <f t="shared" si="38"/>
        <v>0</v>
      </c>
      <c r="V119" s="48">
        <f t="shared" si="39"/>
        <v>0</v>
      </c>
      <c r="W119" s="49">
        <f t="shared" si="40"/>
        <v>0</v>
      </c>
      <c r="X119" s="44">
        <f t="shared" si="41"/>
        <v>0</v>
      </c>
      <c r="Y119" s="44">
        <f t="shared" si="42"/>
        <v>0</v>
      </c>
      <c r="Z119" s="44">
        <f t="shared" si="43"/>
        <v>0</v>
      </c>
      <c r="AA119" s="50">
        <f t="shared" si="44"/>
        <v>0</v>
      </c>
      <c r="AB119" s="51">
        <f t="shared" si="45"/>
        <v>0</v>
      </c>
      <c r="AC119" s="44">
        <f t="shared" si="46"/>
        <v>0</v>
      </c>
      <c r="AD119" s="44">
        <f t="shared" si="47"/>
        <v>0</v>
      </c>
      <c r="AE119" s="44">
        <f t="shared" si="48"/>
        <v>0</v>
      </c>
      <c r="AF119" s="52" t="e">
        <f>HLOOKUP(I119,GasAvoidedCostsWOCC!$A$5:$G$50,G119+1,FALSE)</f>
        <v>#N/A</v>
      </c>
      <c r="AG119" s="44" t="e">
        <f t="shared" si="49"/>
        <v>#N/A</v>
      </c>
      <c r="AH119" s="52" t="e">
        <f>HLOOKUP(I119,GasAvoidedCostsWOCC!$A$5:$Q$50,T119+1,FALSE)</f>
        <v>#N/A</v>
      </c>
      <c r="AI119" s="44" t="e">
        <f t="shared" si="50"/>
        <v>#N/A</v>
      </c>
      <c r="AJ119" s="44" t="e">
        <f t="shared" si="51"/>
        <v>#N/A</v>
      </c>
      <c r="AK119" s="44" t="e">
        <f>HLOOKUP(I119,GasAvoidedCostsWOCC!$A$5:$Q$50,G119+1,FALSE)*J119*L119</f>
        <v>#N/A</v>
      </c>
      <c r="AL119" s="44" t="e">
        <f t="shared" si="52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3"/>
        <v>0</v>
      </c>
      <c r="AO119" s="47">
        <f t="shared" si="54"/>
        <v>0</v>
      </c>
      <c r="AP119" s="47" t="e">
        <f t="shared" si="55"/>
        <v>#DIV/0!</v>
      </c>
    </row>
    <row r="120" spans="2:42">
      <c r="B120" s="97"/>
      <c r="C120" s="100"/>
      <c r="D120" s="100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7"/>
        <v>0</v>
      </c>
      <c r="U120" s="47">
        <f t="shared" si="38"/>
        <v>0</v>
      </c>
      <c r="V120" s="48">
        <f t="shared" si="39"/>
        <v>0</v>
      </c>
      <c r="W120" s="49">
        <f t="shared" si="40"/>
        <v>0</v>
      </c>
      <c r="X120" s="44">
        <f t="shared" si="41"/>
        <v>0</v>
      </c>
      <c r="Y120" s="44">
        <f t="shared" si="42"/>
        <v>0</v>
      </c>
      <c r="Z120" s="44">
        <f t="shared" si="43"/>
        <v>0</v>
      </c>
      <c r="AA120" s="50">
        <f t="shared" si="44"/>
        <v>0</v>
      </c>
      <c r="AB120" s="51">
        <f t="shared" si="45"/>
        <v>0</v>
      </c>
      <c r="AC120" s="44">
        <f t="shared" si="46"/>
        <v>0</v>
      </c>
      <c r="AD120" s="44">
        <f t="shared" si="47"/>
        <v>0</v>
      </c>
      <c r="AE120" s="44">
        <f t="shared" si="48"/>
        <v>0</v>
      </c>
      <c r="AF120" s="52" t="e">
        <f>HLOOKUP(I120,GasAvoidedCostsWOCC!$A$5:$G$50,G120+1,FALSE)</f>
        <v>#N/A</v>
      </c>
      <c r="AG120" s="44" t="e">
        <f t="shared" si="49"/>
        <v>#N/A</v>
      </c>
      <c r="AH120" s="52" t="e">
        <f>HLOOKUP(I120,GasAvoidedCostsWOCC!$A$5:$Q$50,T120+1,FALSE)</f>
        <v>#N/A</v>
      </c>
      <c r="AI120" s="44" t="e">
        <f t="shared" si="50"/>
        <v>#N/A</v>
      </c>
      <c r="AJ120" s="44" t="e">
        <f t="shared" si="51"/>
        <v>#N/A</v>
      </c>
      <c r="AK120" s="44" t="e">
        <f>HLOOKUP(I120,GasAvoidedCostsWOCC!$A$5:$Q$50,G120+1,FALSE)*J120*L120</f>
        <v>#N/A</v>
      </c>
      <c r="AL120" s="44" t="e">
        <f t="shared" si="52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3"/>
        <v>0</v>
      </c>
      <c r="AO120" s="47">
        <f t="shared" si="54"/>
        <v>0</v>
      </c>
      <c r="AP120" s="47" t="e">
        <f t="shared" si="55"/>
        <v>#DIV/0!</v>
      </c>
    </row>
    <row r="121" spans="2:42">
      <c r="B121" s="97"/>
      <c r="C121" s="100"/>
      <c r="D121" s="100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7"/>
        <v>0</v>
      </c>
      <c r="U121" s="47">
        <f t="shared" si="38"/>
        <v>0</v>
      </c>
      <c r="V121" s="48">
        <f t="shared" si="39"/>
        <v>0</v>
      </c>
      <c r="W121" s="49">
        <f t="shared" si="40"/>
        <v>0</v>
      </c>
      <c r="X121" s="44">
        <f t="shared" si="41"/>
        <v>0</v>
      </c>
      <c r="Y121" s="44">
        <f t="shared" si="42"/>
        <v>0</v>
      </c>
      <c r="Z121" s="44">
        <f t="shared" si="43"/>
        <v>0</v>
      </c>
      <c r="AA121" s="50">
        <f t="shared" si="44"/>
        <v>0</v>
      </c>
      <c r="AB121" s="51">
        <f t="shared" si="45"/>
        <v>0</v>
      </c>
      <c r="AC121" s="44">
        <f t="shared" si="46"/>
        <v>0</v>
      </c>
      <c r="AD121" s="44">
        <f t="shared" si="47"/>
        <v>0</v>
      </c>
      <c r="AE121" s="44">
        <f t="shared" si="48"/>
        <v>0</v>
      </c>
      <c r="AF121" s="52" t="e">
        <f>HLOOKUP(I121,GasAvoidedCostsWOCC!$A$5:$G$50,G121+1,FALSE)</f>
        <v>#N/A</v>
      </c>
      <c r="AG121" s="44" t="e">
        <f t="shared" si="49"/>
        <v>#N/A</v>
      </c>
      <c r="AH121" s="52" t="e">
        <f>HLOOKUP(I121,GasAvoidedCostsWOCC!$A$5:$Q$50,T121+1,FALSE)</f>
        <v>#N/A</v>
      </c>
      <c r="AI121" s="44" t="e">
        <f t="shared" si="50"/>
        <v>#N/A</v>
      </c>
      <c r="AJ121" s="44" t="e">
        <f t="shared" si="51"/>
        <v>#N/A</v>
      </c>
      <c r="AK121" s="44" t="e">
        <f>HLOOKUP(I121,GasAvoidedCostsWOCC!$A$5:$Q$50,G121+1,FALSE)*J121*L121</f>
        <v>#N/A</v>
      </c>
      <c r="AL121" s="44" t="e">
        <f t="shared" si="52"/>
        <v>#N/A</v>
      </c>
      <c r="AM121" s="48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8">
        <f t="shared" si="53"/>
        <v>0</v>
      </c>
      <c r="AO121" s="47">
        <f t="shared" si="54"/>
        <v>0</v>
      </c>
      <c r="AP121" s="47" t="e">
        <f t="shared" si="55"/>
        <v>#DIV/0!</v>
      </c>
    </row>
    <row r="122" spans="2:42">
      <c r="B122" s="97"/>
      <c r="C122" s="100"/>
      <c r="D122" s="100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7"/>
        <v>0</v>
      </c>
      <c r="U122" s="47">
        <f t="shared" si="38"/>
        <v>0</v>
      </c>
      <c r="V122" s="48">
        <f t="shared" si="39"/>
        <v>0</v>
      </c>
      <c r="W122" s="49">
        <f t="shared" si="40"/>
        <v>0</v>
      </c>
      <c r="X122" s="44">
        <f t="shared" si="41"/>
        <v>0</v>
      </c>
      <c r="Y122" s="44">
        <f t="shared" si="42"/>
        <v>0</v>
      </c>
      <c r="Z122" s="44">
        <f t="shared" si="43"/>
        <v>0</v>
      </c>
      <c r="AA122" s="50">
        <f t="shared" si="44"/>
        <v>0</v>
      </c>
      <c r="AB122" s="51">
        <f t="shared" si="45"/>
        <v>0</v>
      </c>
      <c r="AC122" s="44">
        <f t="shared" si="46"/>
        <v>0</v>
      </c>
      <c r="AD122" s="44">
        <f t="shared" si="47"/>
        <v>0</v>
      </c>
      <c r="AE122" s="44">
        <f t="shared" si="48"/>
        <v>0</v>
      </c>
      <c r="AF122" s="52" t="e">
        <f>HLOOKUP(I122,GasAvoidedCostsWOCC!$A$5:$G$50,G122+1,FALSE)</f>
        <v>#N/A</v>
      </c>
      <c r="AG122" s="44" t="e">
        <f t="shared" si="49"/>
        <v>#N/A</v>
      </c>
      <c r="AH122" s="52" t="e">
        <f>HLOOKUP(I122,GasAvoidedCostsWOCC!$A$5:$Q$50,T122+1,FALSE)</f>
        <v>#N/A</v>
      </c>
      <c r="AI122" s="44" t="e">
        <f t="shared" si="50"/>
        <v>#N/A</v>
      </c>
      <c r="AJ122" s="44" t="e">
        <f t="shared" si="51"/>
        <v>#N/A</v>
      </c>
      <c r="AK122" s="44" t="e">
        <f>HLOOKUP(I122,GasAvoidedCostsWOCC!$A$5:$Q$50,G122+1,FALSE)*J122*L122</f>
        <v>#N/A</v>
      </c>
      <c r="AL122" s="44" t="e">
        <f t="shared" si="52"/>
        <v>#N/A</v>
      </c>
      <c r="AM122" s="48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8">
        <f t="shared" si="53"/>
        <v>0</v>
      </c>
      <c r="AO122" s="47">
        <f t="shared" si="54"/>
        <v>0</v>
      </c>
      <c r="AP122" s="47" t="e">
        <f t="shared" si="55"/>
        <v>#DIV/0!</v>
      </c>
    </row>
    <row r="123" spans="2:42">
      <c r="B123" s="97"/>
      <c r="C123" s="100"/>
      <c r="D123" s="100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7"/>
        <v>0</v>
      </c>
      <c r="U123" s="47">
        <f t="shared" si="38"/>
        <v>0</v>
      </c>
      <c r="V123" s="48">
        <f t="shared" si="39"/>
        <v>0</v>
      </c>
      <c r="W123" s="49">
        <f t="shared" si="40"/>
        <v>0</v>
      </c>
      <c r="X123" s="44">
        <f t="shared" si="41"/>
        <v>0</v>
      </c>
      <c r="Y123" s="44">
        <f t="shared" si="42"/>
        <v>0</v>
      </c>
      <c r="Z123" s="44">
        <f t="shared" si="43"/>
        <v>0</v>
      </c>
      <c r="AA123" s="50">
        <f t="shared" si="44"/>
        <v>0</v>
      </c>
      <c r="AB123" s="51">
        <f t="shared" si="45"/>
        <v>0</v>
      </c>
      <c r="AC123" s="44">
        <f t="shared" si="46"/>
        <v>0</v>
      </c>
      <c r="AD123" s="44">
        <f t="shared" si="47"/>
        <v>0</v>
      </c>
      <c r="AE123" s="44">
        <f t="shared" si="48"/>
        <v>0</v>
      </c>
      <c r="AF123" s="52" t="e">
        <f>HLOOKUP(I123,GasAvoidedCostsWOCC!$A$5:$G$50,G123+1,FALSE)</f>
        <v>#N/A</v>
      </c>
      <c r="AG123" s="44" t="e">
        <f t="shared" si="49"/>
        <v>#N/A</v>
      </c>
      <c r="AH123" s="52" t="e">
        <f>HLOOKUP(I123,GasAvoidedCostsWOCC!$A$5:$Q$50,T123+1,FALSE)</f>
        <v>#N/A</v>
      </c>
      <c r="AI123" s="44" t="e">
        <f t="shared" si="50"/>
        <v>#N/A</v>
      </c>
      <c r="AJ123" s="44" t="e">
        <f t="shared" si="51"/>
        <v>#N/A</v>
      </c>
      <c r="AK123" s="44" t="e">
        <f>HLOOKUP(I123,GasAvoidedCostsWOCC!$A$5:$Q$50,G123+1,FALSE)*J123*L123</f>
        <v>#N/A</v>
      </c>
      <c r="AL123" s="44" t="e">
        <f t="shared" si="52"/>
        <v>#N/A</v>
      </c>
      <c r="AM123" s="48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8">
        <f t="shared" si="53"/>
        <v>0</v>
      </c>
      <c r="AO123" s="47">
        <f t="shared" si="54"/>
        <v>0</v>
      </c>
      <c r="AP123" s="47" t="e">
        <f t="shared" si="55"/>
        <v>#DIV/0!</v>
      </c>
    </row>
    <row r="124" spans="2:42">
      <c r="B124" s="97"/>
      <c r="C124" s="100"/>
      <c r="D124" s="100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7"/>
        <v>0</v>
      </c>
      <c r="U124" s="47">
        <f t="shared" si="38"/>
        <v>0</v>
      </c>
      <c r="V124" s="48">
        <f t="shared" si="39"/>
        <v>0</v>
      </c>
      <c r="W124" s="49">
        <f t="shared" si="40"/>
        <v>0</v>
      </c>
      <c r="X124" s="44">
        <f t="shared" si="41"/>
        <v>0</v>
      </c>
      <c r="Y124" s="44">
        <f t="shared" si="42"/>
        <v>0</v>
      </c>
      <c r="Z124" s="44">
        <f t="shared" si="43"/>
        <v>0</v>
      </c>
      <c r="AA124" s="50">
        <f t="shared" si="44"/>
        <v>0</v>
      </c>
      <c r="AB124" s="51">
        <f t="shared" si="45"/>
        <v>0</v>
      </c>
      <c r="AC124" s="44">
        <f t="shared" si="46"/>
        <v>0</v>
      </c>
      <c r="AD124" s="44">
        <f t="shared" si="47"/>
        <v>0</v>
      </c>
      <c r="AE124" s="44">
        <f t="shared" si="48"/>
        <v>0</v>
      </c>
      <c r="AF124" s="52" t="e">
        <f>HLOOKUP(I124,GasAvoidedCostsWOCC!$A$5:$G$50,G124+1,FALSE)</f>
        <v>#N/A</v>
      </c>
      <c r="AG124" s="44" t="e">
        <f t="shared" si="49"/>
        <v>#N/A</v>
      </c>
      <c r="AH124" s="52" t="e">
        <f>HLOOKUP(I124,GasAvoidedCostsWOCC!$A$5:$Q$50,T124+1,FALSE)</f>
        <v>#N/A</v>
      </c>
      <c r="AI124" s="44" t="e">
        <f t="shared" si="50"/>
        <v>#N/A</v>
      </c>
      <c r="AJ124" s="44" t="e">
        <f t="shared" si="51"/>
        <v>#N/A</v>
      </c>
      <c r="AK124" s="44" t="e">
        <f>HLOOKUP(I124,GasAvoidedCostsWOCC!$A$5:$Q$50,G124+1,FALSE)*J124*L124</f>
        <v>#N/A</v>
      </c>
      <c r="AL124" s="44" t="e">
        <f t="shared" si="52"/>
        <v>#N/A</v>
      </c>
      <c r="AM124" s="48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8">
        <f t="shared" si="53"/>
        <v>0</v>
      </c>
      <c r="AO124" s="47">
        <f t="shared" si="54"/>
        <v>0</v>
      </c>
      <c r="AP124" s="47" t="e">
        <f t="shared" si="55"/>
        <v>#DIV/0!</v>
      </c>
    </row>
    <row r="125" spans="2:42">
      <c r="B125" s="97"/>
      <c r="C125" s="100"/>
      <c r="D125" s="100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7"/>
        <v>0</v>
      </c>
      <c r="U125" s="47">
        <f t="shared" si="38"/>
        <v>0</v>
      </c>
      <c r="V125" s="48">
        <f t="shared" si="39"/>
        <v>0</v>
      </c>
      <c r="W125" s="49">
        <f t="shared" si="40"/>
        <v>0</v>
      </c>
      <c r="X125" s="44">
        <f t="shared" si="41"/>
        <v>0</v>
      </c>
      <c r="Y125" s="44">
        <f t="shared" si="42"/>
        <v>0</v>
      </c>
      <c r="Z125" s="44">
        <f t="shared" si="43"/>
        <v>0</v>
      </c>
      <c r="AA125" s="50">
        <f t="shared" si="44"/>
        <v>0</v>
      </c>
      <c r="AB125" s="51">
        <f t="shared" si="45"/>
        <v>0</v>
      </c>
      <c r="AC125" s="44">
        <f t="shared" si="46"/>
        <v>0</v>
      </c>
      <c r="AD125" s="44">
        <f t="shared" si="47"/>
        <v>0</v>
      </c>
      <c r="AE125" s="44">
        <f t="shared" si="48"/>
        <v>0</v>
      </c>
      <c r="AF125" s="52" t="e">
        <f>HLOOKUP(I125,GasAvoidedCostsWOCC!$A$5:$G$50,G125+1,FALSE)</f>
        <v>#N/A</v>
      </c>
      <c r="AG125" s="44" t="e">
        <f t="shared" si="49"/>
        <v>#N/A</v>
      </c>
      <c r="AH125" s="52" t="e">
        <f>HLOOKUP(I125,GasAvoidedCostsWOCC!$A$5:$Q$50,T125+1,FALSE)</f>
        <v>#N/A</v>
      </c>
      <c r="AI125" s="44" t="e">
        <f t="shared" si="50"/>
        <v>#N/A</v>
      </c>
      <c r="AJ125" s="44" t="e">
        <f t="shared" si="51"/>
        <v>#N/A</v>
      </c>
      <c r="AK125" s="44" t="e">
        <f>HLOOKUP(I125,GasAvoidedCostsWOCC!$A$5:$Q$50,G125+1,FALSE)*J125*L125</f>
        <v>#N/A</v>
      </c>
      <c r="AL125" s="44" t="e">
        <f t="shared" si="52"/>
        <v>#N/A</v>
      </c>
      <c r="AM125" s="48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8">
        <f t="shared" si="53"/>
        <v>0</v>
      </c>
      <c r="AO125" s="47">
        <f t="shared" si="54"/>
        <v>0</v>
      </c>
      <c r="AP125" s="47" t="e">
        <f t="shared" si="55"/>
        <v>#DIV/0!</v>
      </c>
    </row>
    <row r="126" spans="2:42">
      <c r="B126" s="97"/>
      <c r="C126" s="100"/>
      <c r="D126" s="100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7"/>
        <v>0</v>
      </c>
      <c r="U126" s="47">
        <f t="shared" si="38"/>
        <v>0</v>
      </c>
      <c r="V126" s="48">
        <f t="shared" si="39"/>
        <v>0</v>
      </c>
      <c r="W126" s="49">
        <f t="shared" si="40"/>
        <v>0</v>
      </c>
      <c r="X126" s="44">
        <f t="shared" si="41"/>
        <v>0</v>
      </c>
      <c r="Y126" s="44">
        <f t="shared" si="42"/>
        <v>0</v>
      </c>
      <c r="Z126" s="44">
        <f t="shared" si="43"/>
        <v>0</v>
      </c>
      <c r="AA126" s="50">
        <f t="shared" si="44"/>
        <v>0</v>
      </c>
      <c r="AB126" s="51">
        <f t="shared" si="45"/>
        <v>0</v>
      </c>
      <c r="AC126" s="44">
        <f t="shared" si="46"/>
        <v>0</v>
      </c>
      <c r="AD126" s="44">
        <f t="shared" si="47"/>
        <v>0</v>
      </c>
      <c r="AE126" s="44">
        <f t="shared" si="48"/>
        <v>0</v>
      </c>
      <c r="AF126" s="52" t="e">
        <f>HLOOKUP(I126,GasAvoidedCostsWOCC!$A$5:$G$50,G126+1,FALSE)</f>
        <v>#N/A</v>
      </c>
      <c r="AG126" s="44" t="e">
        <f t="shared" si="49"/>
        <v>#N/A</v>
      </c>
      <c r="AH126" s="52" t="e">
        <f>HLOOKUP(I126,GasAvoidedCostsWOCC!$A$5:$Q$50,T126+1,FALSE)</f>
        <v>#N/A</v>
      </c>
      <c r="AI126" s="44" t="e">
        <f t="shared" si="50"/>
        <v>#N/A</v>
      </c>
      <c r="AJ126" s="44" t="e">
        <f t="shared" si="51"/>
        <v>#N/A</v>
      </c>
      <c r="AK126" s="44" t="e">
        <f>HLOOKUP(I126,GasAvoidedCostsWOCC!$A$5:$Q$50,G126+1,FALSE)*J126*L126</f>
        <v>#N/A</v>
      </c>
      <c r="AL126" s="44" t="e">
        <f t="shared" si="52"/>
        <v>#N/A</v>
      </c>
      <c r="AM126" s="48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8">
        <f t="shared" si="53"/>
        <v>0</v>
      </c>
      <c r="AO126" s="47">
        <f t="shared" si="54"/>
        <v>0</v>
      </c>
      <c r="AP126" s="47" t="e">
        <f t="shared" si="55"/>
        <v>#DIV/0!</v>
      </c>
    </row>
    <row r="127" spans="2:42">
      <c r="B127" s="97"/>
      <c r="C127" s="100"/>
      <c r="D127" s="100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7"/>
        <v>0</v>
      </c>
      <c r="U127" s="47">
        <f t="shared" si="38"/>
        <v>0</v>
      </c>
      <c r="V127" s="48">
        <f t="shared" si="39"/>
        <v>0</v>
      </c>
      <c r="W127" s="49">
        <f t="shared" si="40"/>
        <v>0</v>
      </c>
      <c r="X127" s="44">
        <f t="shared" si="41"/>
        <v>0</v>
      </c>
      <c r="Y127" s="44">
        <f t="shared" si="42"/>
        <v>0</v>
      </c>
      <c r="Z127" s="44">
        <f t="shared" si="43"/>
        <v>0</v>
      </c>
      <c r="AA127" s="50">
        <f t="shared" si="44"/>
        <v>0</v>
      </c>
      <c r="AB127" s="51">
        <f t="shared" si="45"/>
        <v>0</v>
      </c>
      <c r="AC127" s="44">
        <f t="shared" si="46"/>
        <v>0</v>
      </c>
      <c r="AD127" s="44">
        <f t="shared" si="47"/>
        <v>0</v>
      </c>
      <c r="AE127" s="44">
        <f t="shared" si="48"/>
        <v>0</v>
      </c>
      <c r="AF127" s="52" t="e">
        <f>HLOOKUP(I127,GasAvoidedCostsWOCC!$A$5:$G$50,G127+1,FALSE)</f>
        <v>#N/A</v>
      </c>
      <c r="AG127" s="44" t="e">
        <f t="shared" si="49"/>
        <v>#N/A</v>
      </c>
      <c r="AH127" s="52" t="e">
        <f>HLOOKUP(I127,GasAvoidedCostsWOCC!$A$5:$Q$50,T127+1,FALSE)</f>
        <v>#N/A</v>
      </c>
      <c r="AI127" s="44" t="e">
        <f t="shared" si="50"/>
        <v>#N/A</v>
      </c>
      <c r="AJ127" s="44" t="e">
        <f t="shared" si="51"/>
        <v>#N/A</v>
      </c>
      <c r="AK127" s="44" t="e">
        <f>HLOOKUP(I127,GasAvoidedCostsWOCC!$A$5:$Q$50,G127+1,FALSE)*J127*L127</f>
        <v>#N/A</v>
      </c>
      <c r="AL127" s="44" t="e">
        <f t="shared" si="52"/>
        <v>#N/A</v>
      </c>
      <c r="AM127" s="48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8">
        <f t="shared" si="53"/>
        <v>0</v>
      </c>
      <c r="AO127" s="47">
        <f t="shared" si="54"/>
        <v>0</v>
      </c>
      <c r="AP127" s="47" t="e">
        <f t="shared" si="55"/>
        <v>#DIV/0!</v>
      </c>
    </row>
    <row r="128" spans="2:42">
      <c r="B128" s="97"/>
      <c r="C128" s="100"/>
      <c r="D128" s="100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7"/>
        <v>0</v>
      </c>
      <c r="U128" s="47">
        <f t="shared" si="38"/>
        <v>0</v>
      </c>
      <c r="V128" s="48">
        <f t="shared" si="39"/>
        <v>0</v>
      </c>
      <c r="W128" s="49">
        <f t="shared" si="40"/>
        <v>0</v>
      </c>
      <c r="X128" s="44">
        <f t="shared" si="41"/>
        <v>0</v>
      </c>
      <c r="Y128" s="44">
        <f t="shared" si="42"/>
        <v>0</v>
      </c>
      <c r="Z128" s="44">
        <f t="shared" si="43"/>
        <v>0</v>
      </c>
      <c r="AA128" s="50">
        <f t="shared" si="44"/>
        <v>0</v>
      </c>
      <c r="AB128" s="51">
        <f t="shared" si="45"/>
        <v>0</v>
      </c>
      <c r="AC128" s="44">
        <f t="shared" si="46"/>
        <v>0</v>
      </c>
      <c r="AD128" s="44">
        <f t="shared" si="47"/>
        <v>0</v>
      </c>
      <c r="AE128" s="44">
        <f t="shared" si="48"/>
        <v>0</v>
      </c>
      <c r="AF128" s="52" t="e">
        <f>HLOOKUP(I128,GasAvoidedCostsWOCC!$A$5:$G$50,G128+1,FALSE)</f>
        <v>#N/A</v>
      </c>
      <c r="AG128" s="44" t="e">
        <f t="shared" si="49"/>
        <v>#N/A</v>
      </c>
      <c r="AH128" s="52" t="e">
        <f>HLOOKUP(I128,GasAvoidedCostsWOCC!$A$5:$Q$50,T128+1,FALSE)</f>
        <v>#N/A</v>
      </c>
      <c r="AI128" s="44" t="e">
        <f t="shared" si="50"/>
        <v>#N/A</v>
      </c>
      <c r="AJ128" s="44" t="e">
        <f t="shared" si="51"/>
        <v>#N/A</v>
      </c>
      <c r="AK128" s="44" t="e">
        <f>HLOOKUP(I128,GasAvoidedCostsWOCC!$A$5:$Q$50,G128+1,FALSE)*J128*L128</f>
        <v>#N/A</v>
      </c>
      <c r="AL128" s="44" t="e">
        <f t="shared" si="52"/>
        <v>#N/A</v>
      </c>
      <c r="AM128" s="48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8">
        <f t="shared" si="53"/>
        <v>0</v>
      </c>
      <c r="AO128" s="47">
        <f t="shared" si="54"/>
        <v>0</v>
      </c>
      <c r="AP128" s="47" t="e">
        <f t="shared" si="55"/>
        <v>#DIV/0!</v>
      </c>
    </row>
    <row r="129" spans="2:42">
      <c r="B129" s="97"/>
      <c r="C129" s="100"/>
      <c r="D129" s="100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7"/>
        <v>0</v>
      </c>
      <c r="U129" s="47">
        <f t="shared" si="38"/>
        <v>0</v>
      </c>
      <c r="V129" s="48">
        <f t="shared" si="39"/>
        <v>0</v>
      </c>
      <c r="W129" s="49">
        <f t="shared" si="40"/>
        <v>0</v>
      </c>
      <c r="X129" s="44">
        <f t="shared" si="41"/>
        <v>0</v>
      </c>
      <c r="Y129" s="44">
        <f t="shared" si="42"/>
        <v>0</v>
      </c>
      <c r="Z129" s="44">
        <f t="shared" si="43"/>
        <v>0</v>
      </c>
      <c r="AA129" s="50">
        <f t="shared" si="44"/>
        <v>0</v>
      </c>
      <c r="AB129" s="51">
        <f t="shared" si="45"/>
        <v>0</v>
      </c>
      <c r="AC129" s="44">
        <f t="shared" si="46"/>
        <v>0</v>
      </c>
      <c r="AD129" s="44">
        <f t="shared" si="47"/>
        <v>0</v>
      </c>
      <c r="AE129" s="44">
        <f t="shared" si="48"/>
        <v>0</v>
      </c>
      <c r="AF129" s="52" t="e">
        <f>HLOOKUP(I129,GasAvoidedCostsWOCC!$A$5:$G$50,G129+1,FALSE)</f>
        <v>#N/A</v>
      </c>
      <c r="AG129" s="44" t="e">
        <f t="shared" si="49"/>
        <v>#N/A</v>
      </c>
      <c r="AH129" s="52" t="e">
        <f>HLOOKUP(I129,GasAvoidedCostsWOCC!$A$5:$Q$50,T129+1,FALSE)</f>
        <v>#N/A</v>
      </c>
      <c r="AI129" s="44" t="e">
        <f t="shared" si="50"/>
        <v>#N/A</v>
      </c>
      <c r="AJ129" s="44" t="e">
        <f t="shared" si="51"/>
        <v>#N/A</v>
      </c>
      <c r="AK129" s="44" t="e">
        <f>HLOOKUP(I129,GasAvoidedCostsWOCC!$A$5:$Q$50,G129+1,FALSE)*J129*L129</f>
        <v>#N/A</v>
      </c>
      <c r="AL129" s="44" t="e">
        <f t="shared" si="52"/>
        <v>#N/A</v>
      </c>
      <c r="AM129" s="48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8">
        <f t="shared" si="53"/>
        <v>0</v>
      </c>
      <c r="AO129" s="47">
        <f t="shared" si="54"/>
        <v>0</v>
      </c>
      <c r="AP129" s="47" t="e">
        <f t="shared" si="55"/>
        <v>#DIV/0!</v>
      </c>
    </row>
    <row r="130" spans="2:42">
      <c r="B130" s="97"/>
      <c r="C130" s="100"/>
      <c r="D130" s="100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7"/>
        <v>0</v>
      </c>
      <c r="U130" s="47">
        <f t="shared" si="38"/>
        <v>0</v>
      </c>
      <c r="V130" s="48">
        <f t="shared" si="39"/>
        <v>0</v>
      </c>
      <c r="W130" s="49">
        <f t="shared" si="40"/>
        <v>0</v>
      </c>
      <c r="X130" s="44">
        <f t="shared" si="41"/>
        <v>0</v>
      </c>
      <c r="Y130" s="44">
        <f t="shared" si="42"/>
        <v>0</v>
      </c>
      <c r="Z130" s="44">
        <f t="shared" si="43"/>
        <v>0</v>
      </c>
      <c r="AA130" s="50">
        <f t="shared" si="44"/>
        <v>0</v>
      </c>
      <c r="AB130" s="51">
        <f t="shared" si="45"/>
        <v>0</v>
      </c>
      <c r="AC130" s="44">
        <f t="shared" si="46"/>
        <v>0</v>
      </c>
      <c r="AD130" s="44">
        <f t="shared" si="47"/>
        <v>0</v>
      </c>
      <c r="AE130" s="44">
        <f t="shared" si="48"/>
        <v>0</v>
      </c>
      <c r="AF130" s="52" t="e">
        <f>HLOOKUP(I130,GasAvoidedCostsWOCC!$A$5:$G$50,G130+1,FALSE)</f>
        <v>#N/A</v>
      </c>
      <c r="AG130" s="44" t="e">
        <f t="shared" si="49"/>
        <v>#N/A</v>
      </c>
      <c r="AH130" s="52" t="e">
        <f>HLOOKUP(I130,GasAvoidedCostsWOCC!$A$5:$Q$50,T130+1,FALSE)</f>
        <v>#N/A</v>
      </c>
      <c r="AI130" s="44" t="e">
        <f t="shared" si="50"/>
        <v>#N/A</v>
      </c>
      <c r="AJ130" s="44" t="e">
        <f t="shared" si="51"/>
        <v>#N/A</v>
      </c>
      <c r="AK130" s="44" t="e">
        <f>HLOOKUP(I130,GasAvoidedCostsWOCC!$A$5:$Q$50,G130+1,FALSE)*J130*L130</f>
        <v>#N/A</v>
      </c>
      <c r="AL130" s="44" t="e">
        <f t="shared" si="52"/>
        <v>#N/A</v>
      </c>
      <c r="AM130" s="48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8">
        <f t="shared" si="53"/>
        <v>0</v>
      </c>
      <c r="AO130" s="47">
        <f t="shared" si="54"/>
        <v>0</v>
      </c>
      <c r="AP130" s="47" t="e">
        <f t="shared" si="55"/>
        <v>#DIV/0!</v>
      </c>
    </row>
    <row r="131" spans="2:42">
      <c r="B131" s="97"/>
      <c r="C131" s="100"/>
      <c r="D131" s="100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7"/>
        <v>0</v>
      </c>
      <c r="U131" s="47">
        <f t="shared" si="38"/>
        <v>0</v>
      </c>
      <c r="V131" s="48">
        <f t="shared" si="39"/>
        <v>0</v>
      </c>
      <c r="W131" s="49">
        <f t="shared" si="40"/>
        <v>0</v>
      </c>
      <c r="X131" s="44">
        <f t="shared" si="41"/>
        <v>0</v>
      </c>
      <c r="Y131" s="44">
        <f t="shared" si="42"/>
        <v>0</v>
      </c>
      <c r="Z131" s="44">
        <f t="shared" si="43"/>
        <v>0</v>
      </c>
      <c r="AA131" s="50">
        <f t="shared" si="44"/>
        <v>0</v>
      </c>
      <c r="AB131" s="51">
        <f t="shared" si="45"/>
        <v>0</v>
      </c>
      <c r="AC131" s="44">
        <f t="shared" si="46"/>
        <v>0</v>
      </c>
      <c r="AD131" s="44">
        <f t="shared" si="47"/>
        <v>0</v>
      </c>
      <c r="AE131" s="44">
        <f t="shared" si="48"/>
        <v>0</v>
      </c>
      <c r="AF131" s="52" t="e">
        <f>HLOOKUP(I131,GasAvoidedCostsWOCC!$A$5:$G$50,G131+1,FALSE)</f>
        <v>#N/A</v>
      </c>
      <c r="AG131" s="44" t="e">
        <f t="shared" si="49"/>
        <v>#N/A</v>
      </c>
      <c r="AH131" s="52" t="e">
        <f>HLOOKUP(I131,GasAvoidedCostsWOCC!$A$5:$Q$50,T131+1,FALSE)</f>
        <v>#N/A</v>
      </c>
      <c r="AI131" s="44" t="e">
        <f t="shared" si="50"/>
        <v>#N/A</v>
      </c>
      <c r="AJ131" s="44" t="e">
        <f t="shared" si="51"/>
        <v>#N/A</v>
      </c>
      <c r="AK131" s="44" t="e">
        <f>HLOOKUP(I131,GasAvoidedCostsWOCC!$A$5:$Q$50,G131+1,FALSE)*J131*L131</f>
        <v>#N/A</v>
      </c>
      <c r="AL131" s="44" t="e">
        <f t="shared" si="52"/>
        <v>#N/A</v>
      </c>
      <c r="AM131" s="48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8">
        <f t="shared" si="53"/>
        <v>0</v>
      </c>
      <c r="AO131" s="47">
        <f t="shared" si="54"/>
        <v>0</v>
      </c>
      <c r="AP131" s="47" t="e">
        <f t="shared" si="55"/>
        <v>#DIV/0!</v>
      </c>
    </row>
    <row r="132" spans="2:42">
      <c r="B132" s="97"/>
      <c r="C132" s="100"/>
      <c r="D132" s="100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ref="T132:T187" si="56">G132+H132</f>
        <v>0</v>
      </c>
      <c r="U132" s="47">
        <f t="shared" ref="U132:U187" si="57">(O132/$A$10)*T132</f>
        <v>0</v>
      </c>
      <c r="V132" s="48">
        <f t="shared" ref="V132:V187" si="58">N132-M132</f>
        <v>0</v>
      </c>
      <c r="W132" s="49">
        <f t="shared" ref="W132:W187" si="59">(O132/A$10)</f>
        <v>0</v>
      </c>
      <c r="X132" s="44">
        <f t="shared" ref="X132:X187" si="60">W132*A$8</f>
        <v>0</v>
      </c>
      <c r="Y132" s="44">
        <f t="shared" ref="Y132:Y187" si="61">Q132-P132</f>
        <v>0</v>
      </c>
      <c r="Z132" s="44">
        <f t="shared" ref="Z132:Z187" si="62">X132+(A$6*W132)</f>
        <v>0</v>
      </c>
      <c r="AA132" s="50">
        <f t="shared" ref="AA132:AA187" si="63">Q132+X132</f>
        <v>0</v>
      </c>
      <c r="AB132" s="51">
        <f t="shared" ref="AB132:AB187" si="64">Z132/(1+GasDiscountRate)^1</f>
        <v>0</v>
      </c>
      <c r="AC132" s="44">
        <f t="shared" ref="AC132:AC187" si="65">AA132/(1+GasDiscountRate)^1</f>
        <v>0</v>
      </c>
      <c r="AD132" s="44">
        <f t="shared" ref="AD132:AD187" si="66">-PV(GasDiscountRate,T132,R132)*J132</f>
        <v>0</v>
      </c>
      <c r="AE132" s="44">
        <f t="shared" ref="AE132:AE187" si="67">-PV(GasDiscountRate,T132,S132)*J132</f>
        <v>0</v>
      </c>
      <c r="AF132" s="52" t="e">
        <f>HLOOKUP(I132,GasAvoidedCostsWOCC!$A$5:$G$50,G132+1,FALSE)</f>
        <v>#N/A</v>
      </c>
      <c r="AG132" s="44" t="e">
        <f t="shared" ref="AG132:AG187" si="68">AF132*J132*K132</f>
        <v>#N/A</v>
      </c>
      <c r="AH132" s="52" t="e">
        <f>HLOOKUP(I132,GasAvoidedCostsWOCC!$A$5:$Q$50,T132+1,FALSE)</f>
        <v>#N/A</v>
      </c>
      <c r="AI132" s="44" t="e">
        <f t="shared" ref="AI132:AI187" si="69">AH132*J132*L132</f>
        <v>#N/A</v>
      </c>
      <c r="AJ132" s="44" t="e">
        <f t="shared" ref="AJ132:AJ187" si="70">AG132+AI132</f>
        <v>#N/A</v>
      </c>
      <c r="AK132" s="44" t="e">
        <f>HLOOKUP(I132,GasAvoidedCostsWOCC!$A$5:$Q$50,G132+1,FALSE)*J132*L132</f>
        <v>#N/A</v>
      </c>
      <c r="AL132" s="44" t="e">
        <f t="shared" ref="AL132:AL187" si="71">AG132+AI132-AK132</f>
        <v>#N/A</v>
      </c>
      <c r="AM132" s="48">
        <f>IF(O132=0,0,IF(H132=0, HLOOKUP(I132,GasAvoidedCostsWOCC!$A$5:$Q$50,T132+1,FALSE)*K132*J132,HLOOKUP(I132,GasAvoidedCostsWOCC!$A$5:$Q$50,T132+1,FALSE)*L132*J132+HLOOKUP(I132,GasAvoidedCostsWOCC!$A$5:$Q$50,G132+1,FALSE)*K132*J132-HLOOKUP(I132,GasAvoidedCostsWOCC!$A$5:$Q$50,G132+1,FALSE)*L132*J132))</f>
        <v>0</v>
      </c>
      <c r="AN132" s="48">
        <f t="shared" ref="AN132:AN187" si="72">AM132*1.1+AD132+AE132</f>
        <v>0</v>
      </c>
      <c r="AO132" s="47">
        <f t="shared" ref="AO132:AO187" si="73">IFERROR(AM132/AB132,0)</f>
        <v>0</v>
      </c>
      <c r="AP132" s="47" t="e">
        <f t="shared" ref="AP132:AP187" si="74">AN132/AC132</f>
        <v>#DIV/0!</v>
      </c>
    </row>
    <row r="133" spans="2:42">
      <c r="B133" s="97"/>
      <c r="C133" s="100"/>
      <c r="D133" s="100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56"/>
        <v>0</v>
      </c>
      <c r="U133" s="47">
        <f t="shared" si="57"/>
        <v>0</v>
      </c>
      <c r="V133" s="48">
        <f t="shared" si="58"/>
        <v>0</v>
      </c>
      <c r="W133" s="49">
        <f t="shared" si="59"/>
        <v>0</v>
      </c>
      <c r="X133" s="44">
        <f t="shared" si="60"/>
        <v>0</v>
      </c>
      <c r="Y133" s="44">
        <f t="shared" si="61"/>
        <v>0</v>
      </c>
      <c r="Z133" s="44">
        <f t="shared" si="62"/>
        <v>0</v>
      </c>
      <c r="AA133" s="50">
        <f t="shared" si="63"/>
        <v>0</v>
      </c>
      <c r="AB133" s="51">
        <f t="shared" si="64"/>
        <v>0</v>
      </c>
      <c r="AC133" s="44">
        <f t="shared" si="65"/>
        <v>0</v>
      </c>
      <c r="AD133" s="44">
        <f t="shared" si="66"/>
        <v>0</v>
      </c>
      <c r="AE133" s="44">
        <f t="shared" si="67"/>
        <v>0</v>
      </c>
      <c r="AF133" s="52" t="e">
        <f>HLOOKUP(I133,GasAvoidedCostsWOCC!$A$5:$G$50,G133+1,FALSE)</f>
        <v>#N/A</v>
      </c>
      <c r="AG133" s="44" t="e">
        <f t="shared" si="68"/>
        <v>#N/A</v>
      </c>
      <c r="AH133" s="52" t="e">
        <f>HLOOKUP(I133,GasAvoidedCostsWOCC!$A$5:$Q$50,T133+1,FALSE)</f>
        <v>#N/A</v>
      </c>
      <c r="AI133" s="44" t="e">
        <f t="shared" si="69"/>
        <v>#N/A</v>
      </c>
      <c r="AJ133" s="44" t="e">
        <f t="shared" si="70"/>
        <v>#N/A</v>
      </c>
      <c r="AK133" s="44" t="e">
        <f>HLOOKUP(I133,GasAvoidedCostsWOCC!$A$5:$Q$50,G133+1,FALSE)*J133*L133</f>
        <v>#N/A</v>
      </c>
      <c r="AL133" s="44" t="e">
        <f t="shared" si="71"/>
        <v>#N/A</v>
      </c>
      <c r="AM133" s="48">
        <f>IF(O133=0,0,IF(H133=0, HLOOKUP(I133,GasAvoidedCostsWOCC!$A$5:$Q$50,T133+1,FALSE)*K133*J133,HLOOKUP(I133,GasAvoidedCostsWOCC!$A$5:$Q$50,T133+1,FALSE)*L133*J133+HLOOKUP(I133,GasAvoidedCostsWOCC!$A$5:$Q$50,G133+1,FALSE)*K133*J133-HLOOKUP(I133,GasAvoidedCostsWOCC!$A$5:$Q$50,G133+1,FALSE)*L133*J133))</f>
        <v>0</v>
      </c>
      <c r="AN133" s="48">
        <f t="shared" si="72"/>
        <v>0</v>
      </c>
      <c r="AO133" s="47">
        <f t="shared" si="73"/>
        <v>0</v>
      </c>
      <c r="AP133" s="47" t="e">
        <f t="shared" si="74"/>
        <v>#DIV/0!</v>
      </c>
    </row>
    <row r="134" spans="2:42">
      <c r="B134" s="97"/>
      <c r="C134" s="100"/>
      <c r="D134" s="100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56"/>
        <v>0</v>
      </c>
      <c r="U134" s="47">
        <f t="shared" si="57"/>
        <v>0</v>
      </c>
      <c r="V134" s="48">
        <f t="shared" si="58"/>
        <v>0</v>
      </c>
      <c r="W134" s="49">
        <f t="shared" si="59"/>
        <v>0</v>
      </c>
      <c r="X134" s="44">
        <f t="shared" si="60"/>
        <v>0</v>
      </c>
      <c r="Y134" s="44">
        <f t="shared" si="61"/>
        <v>0</v>
      </c>
      <c r="Z134" s="44">
        <f t="shared" si="62"/>
        <v>0</v>
      </c>
      <c r="AA134" s="50">
        <f t="shared" si="63"/>
        <v>0</v>
      </c>
      <c r="AB134" s="51">
        <f t="shared" si="64"/>
        <v>0</v>
      </c>
      <c r="AC134" s="44">
        <f t="shared" si="65"/>
        <v>0</v>
      </c>
      <c r="AD134" s="44">
        <f t="shared" si="66"/>
        <v>0</v>
      </c>
      <c r="AE134" s="44">
        <f t="shared" si="67"/>
        <v>0</v>
      </c>
      <c r="AF134" s="52" t="e">
        <f>HLOOKUP(I134,GasAvoidedCostsWOCC!$A$5:$G$50,G134+1,FALSE)</f>
        <v>#N/A</v>
      </c>
      <c r="AG134" s="44" t="e">
        <f t="shared" si="68"/>
        <v>#N/A</v>
      </c>
      <c r="AH134" s="52" t="e">
        <f>HLOOKUP(I134,GasAvoidedCostsWOCC!$A$5:$Q$50,T134+1,FALSE)</f>
        <v>#N/A</v>
      </c>
      <c r="AI134" s="44" t="e">
        <f t="shared" si="69"/>
        <v>#N/A</v>
      </c>
      <c r="AJ134" s="44" t="e">
        <f t="shared" si="70"/>
        <v>#N/A</v>
      </c>
      <c r="AK134" s="44" t="e">
        <f>HLOOKUP(I134,GasAvoidedCostsWOCC!$A$5:$Q$50,G134+1,FALSE)*J134*L134</f>
        <v>#N/A</v>
      </c>
      <c r="AL134" s="44" t="e">
        <f t="shared" si="71"/>
        <v>#N/A</v>
      </c>
      <c r="AM134" s="48">
        <f>IF(O134=0,0,IF(H134=0, HLOOKUP(I134,GasAvoidedCostsWOCC!$A$5:$Q$50,T134+1,FALSE)*K134*J134,HLOOKUP(I134,GasAvoidedCostsWOCC!$A$5:$Q$50,T134+1,FALSE)*L134*J134+HLOOKUP(I134,GasAvoidedCostsWOCC!$A$5:$Q$50,G134+1,FALSE)*K134*J134-HLOOKUP(I134,GasAvoidedCostsWOCC!$A$5:$Q$50,G134+1,FALSE)*L134*J134))</f>
        <v>0</v>
      </c>
      <c r="AN134" s="48">
        <f t="shared" si="72"/>
        <v>0</v>
      </c>
      <c r="AO134" s="47">
        <f t="shared" si="73"/>
        <v>0</v>
      </c>
      <c r="AP134" s="47" t="e">
        <f t="shared" si="74"/>
        <v>#DIV/0!</v>
      </c>
    </row>
    <row r="135" spans="2:42">
      <c r="B135" s="97"/>
      <c r="C135" s="100"/>
      <c r="D135" s="100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56"/>
        <v>0</v>
      </c>
      <c r="U135" s="47">
        <f t="shared" si="57"/>
        <v>0</v>
      </c>
      <c r="V135" s="48">
        <f t="shared" si="58"/>
        <v>0</v>
      </c>
      <c r="W135" s="49">
        <f t="shared" si="59"/>
        <v>0</v>
      </c>
      <c r="X135" s="44">
        <f t="shared" si="60"/>
        <v>0</v>
      </c>
      <c r="Y135" s="44">
        <f t="shared" si="61"/>
        <v>0</v>
      </c>
      <c r="Z135" s="44">
        <f t="shared" si="62"/>
        <v>0</v>
      </c>
      <c r="AA135" s="50">
        <f t="shared" si="63"/>
        <v>0</v>
      </c>
      <c r="AB135" s="51">
        <f t="shared" si="64"/>
        <v>0</v>
      </c>
      <c r="AC135" s="44">
        <f t="shared" si="65"/>
        <v>0</v>
      </c>
      <c r="AD135" s="44">
        <f t="shared" si="66"/>
        <v>0</v>
      </c>
      <c r="AE135" s="44">
        <f t="shared" si="67"/>
        <v>0</v>
      </c>
      <c r="AF135" s="52" t="e">
        <f>HLOOKUP(I135,GasAvoidedCostsWOCC!$A$5:$G$50,G135+1,FALSE)</f>
        <v>#N/A</v>
      </c>
      <c r="AG135" s="44" t="e">
        <f t="shared" si="68"/>
        <v>#N/A</v>
      </c>
      <c r="AH135" s="52" t="e">
        <f>HLOOKUP(I135,GasAvoidedCostsWOCC!$A$5:$Q$50,T135+1,FALSE)</f>
        <v>#N/A</v>
      </c>
      <c r="AI135" s="44" t="e">
        <f t="shared" si="69"/>
        <v>#N/A</v>
      </c>
      <c r="AJ135" s="44" t="e">
        <f t="shared" si="70"/>
        <v>#N/A</v>
      </c>
      <c r="AK135" s="44" t="e">
        <f>HLOOKUP(I135,GasAvoidedCostsWOCC!$A$5:$Q$50,G135+1,FALSE)*J135*L135</f>
        <v>#N/A</v>
      </c>
      <c r="AL135" s="44" t="e">
        <f t="shared" si="71"/>
        <v>#N/A</v>
      </c>
      <c r="AM135" s="48">
        <f>IF(O135=0,0,IF(H135=0, HLOOKUP(I135,GasAvoidedCostsWOCC!$A$5:$Q$50,T135+1,FALSE)*K135*J135,HLOOKUP(I135,GasAvoidedCostsWOCC!$A$5:$Q$50,T135+1,FALSE)*L135*J135+HLOOKUP(I135,GasAvoidedCostsWOCC!$A$5:$Q$50,G135+1,FALSE)*K135*J135-HLOOKUP(I135,GasAvoidedCostsWOCC!$A$5:$Q$50,G135+1,FALSE)*L135*J135))</f>
        <v>0</v>
      </c>
      <c r="AN135" s="48">
        <f t="shared" si="72"/>
        <v>0</v>
      </c>
      <c r="AO135" s="47">
        <f t="shared" si="73"/>
        <v>0</v>
      </c>
      <c r="AP135" s="47" t="e">
        <f t="shared" si="74"/>
        <v>#DIV/0!</v>
      </c>
    </row>
    <row r="136" spans="2:42">
      <c r="B136" s="97"/>
      <c r="C136" s="100"/>
      <c r="D136" s="100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56"/>
        <v>0</v>
      </c>
      <c r="U136" s="47">
        <f t="shared" si="57"/>
        <v>0</v>
      </c>
      <c r="V136" s="48">
        <f t="shared" si="58"/>
        <v>0</v>
      </c>
      <c r="W136" s="49">
        <f t="shared" si="59"/>
        <v>0</v>
      </c>
      <c r="X136" s="44">
        <f t="shared" si="60"/>
        <v>0</v>
      </c>
      <c r="Y136" s="44">
        <f t="shared" si="61"/>
        <v>0</v>
      </c>
      <c r="Z136" s="44">
        <f t="shared" si="62"/>
        <v>0</v>
      </c>
      <c r="AA136" s="50">
        <f t="shared" si="63"/>
        <v>0</v>
      </c>
      <c r="AB136" s="51">
        <f t="shared" si="64"/>
        <v>0</v>
      </c>
      <c r="AC136" s="44">
        <f t="shared" si="65"/>
        <v>0</v>
      </c>
      <c r="AD136" s="44">
        <f t="shared" si="66"/>
        <v>0</v>
      </c>
      <c r="AE136" s="44">
        <f t="shared" si="67"/>
        <v>0</v>
      </c>
      <c r="AF136" s="52" t="e">
        <f>HLOOKUP(I136,GasAvoidedCostsWOCC!$A$5:$G$50,G136+1,FALSE)</f>
        <v>#N/A</v>
      </c>
      <c r="AG136" s="44" t="e">
        <f t="shared" si="68"/>
        <v>#N/A</v>
      </c>
      <c r="AH136" s="52" t="e">
        <f>HLOOKUP(I136,GasAvoidedCostsWOCC!$A$5:$Q$50,T136+1,FALSE)</f>
        <v>#N/A</v>
      </c>
      <c r="AI136" s="44" t="e">
        <f t="shared" si="69"/>
        <v>#N/A</v>
      </c>
      <c r="AJ136" s="44" t="e">
        <f t="shared" si="70"/>
        <v>#N/A</v>
      </c>
      <c r="AK136" s="44" t="e">
        <f>HLOOKUP(I136,GasAvoidedCostsWOCC!$A$5:$Q$50,G136+1,FALSE)*J136*L136</f>
        <v>#N/A</v>
      </c>
      <c r="AL136" s="44" t="e">
        <f t="shared" si="71"/>
        <v>#N/A</v>
      </c>
      <c r="AM136" s="48">
        <f>IF(O136=0,0,IF(H136=0, HLOOKUP(I136,GasAvoidedCostsWOCC!$A$5:$Q$50,T136+1,FALSE)*K136*J136,HLOOKUP(I136,GasAvoidedCostsWOCC!$A$5:$Q$50,T136+1,FALSE)*L136*J136+HLOOKUP(I136,GasAvoidedCostsWOCC!$A$5:$Q$50,G136+1,FALSE)*K136*J136-HLOOKUP(I136,GasAvoidedCostsWOCC!$A$5:$Q$50,G136+1,FALSE)*L136*J136))</f>
        <v>0</v>
      </c>
      <c r="AN136" s="48">
        <f t="shared" si="72"/>
        <v>0</v>
      </c>
      <c r="AO136" s="47">
        <f t="shared" si="73"/>
        <v>0</v>
      </c>
      <c r="AP136" s="47" t="e">
        <f t="shared" si="74"/>
        <v>#DIV/0!</v>
      </c>
    </row>
    <row r="137" spans="2:42">
      <c r="B137" s="97"/>
      <c r="C137" s="100"/>
      <c r="D137" s="100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56"/>
        <v>0</v>
      </c>
      <c r="U137" s="47">
        <f t="shared" si="57"/>
        <v>0</v>
      </c>
      <c r="V137" s="48">
        <f t="shared" si="58"/>
        <v>0</v>
      </c>
      <c r="W137" s="49">
        <f t="shared" si="59"/>
        <v>0</v>
      </c>
      <c r="X137" s="44">
        <f t="shared" si="60"/>
        <v>0</v>
      </c>
      <c r="Y137" s="44">
        <f t="shared" si="61"/>
        <v>0</v>
      </c>
      <c r="Z137" s="44">
        <f t="shared" si="62"/>
        <v>0</v>
      </c>
      <c r="AA137" s="50">
        <f t="shared" si="63"/>
        <v>0</v>
      </c>
      <c r="AB137" s="51">
        <f t="shared" si="64"/>
        <v>0</v>
      </c>
      <c r="AC137" s="44">
        <f t="shared" si="65"/>
        <v>0</v>
      </c>
      <c r="AD137" s="44">
        <f t="shared" si="66"/>
        <v>0</v>
      </c>
      <c r="AE137" s="44">
        <f t="shared" si="67"/>
        <v>0</v>
      </c>
      <c r="AF137" s="52" t="e">
        <f>HLOOKUP(I137,GasAvoidedCostsWOCC!$A$5:$G$50,G137+1,FALSE)</f>
        <v>#N/A</v>
      </c>
      <c r="AG137" s="44" t="e">
        <f t="shared" si="68"/>
        <v>#N/A</v>
      </c>
      <c r="AH137" s="52" t="e">
        <f>HLOOKUP(I137,GasAvoidedCostsWOCC!$A$5:$Q$50,T137+1,FALSE)</f>
        <v>#N/A</v>
      </c>
      <c r="AI137" s="44" t="e">
        <f t="shared" si="69"/>
        <v>#N/A</v>
      </c>
      <c r="AJ137" s="44" t="e">
        <f t="shared" si="70"/>
        <v>#N/A</v>
      </c>
      <c r="AK137" s="44" t="e">
        <f>HLOOKUP(I137,GasAvoidedCostsWOCC!$A$5:$Q$50,G137+1,FALSE)*J137*L137</f>
        <v>#N/A</v>
      </c>
      <c r="AL137" s="44" t="e">
        <f t="shared" si="71"/>
        <v>#N/A</v>
      </c>
      <c r="AM137" s="48">
        <f>IF(O137=0,0,IF(H137=0, HLOOKUP(I137,GasAvoidedCostsWOCC!$A$5:$Q$50,T137+1,FALSE)*K137*J137,HLOOKUP(I137,GasAvoidedCostsWOCC!$A$5:$Q$50,T137+1,FALSE)*L137*J137+HLOOKUP(I137,GasAvoidedCostsWOCC!$A$5:$Q$50,G137+1,FALSE)*K137*J137-HLOOKUP(I137,GasAvoidedCostsWOCC!$A$5:$Q$50,G137+1,FALSE)*L137*J137))</f>
        <v>0</v>
      </c>
      <c r="AN137" s="48">
        <f t="shared" si="72"/>
        <v>0</v>
      </c>
      <c r="AO137" s="47">
        <f t="shared" si="73"/>
        <v>0</v>
      </c>
      <c r="AP137" s="47" t="e">
        <f t="shared" si="74"/>
        <v>#DIV/0!</v>
      </c>
    </row>
    <row r="138" spans="2:42">
      <c r="B138" s="97"/>
      <c r="C138" s="100"/>
      <c r="D138" s="100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56"/>
        <v>0</v>
      </c>
      <c r="U138" s="47">
        <f t="shared" si="57"/>
        <v>0</v>
      </c>
      <c r="V138" s="48">
        <f t="shared" si="58"/>
        <v>0</v>
      </c>
      <c r="W138" s="49">
        <f t="shared" si="59"/>
        <v>0</v>
      </c>
      <c r="X138" s="44">
        <f t="shared" si="60"/>
        <v>0</v>
      </c>
      <c r="Y138" s="44">
        <f t="shared" si="61"/>
        <v>0</v>
      </c>
      <c r="Z138" s="44">
        <f t="shared" si="62"/>
        <v>0</v>
      </c>
      <c r="AA138" s="50">
        <f t="shared" si="63"/>
        <v>0</v>
      </c>
      <c r="AB138" s="51">
        <f t="shared" si="64"/>
        <v>0</v>
      </c>
      <c r="AC138" s="44">
        <f t="shared" si="65"/>
        <v>0</v>
      </c>
      <c r="AD138" s="44">
        <f t="shared" si="66"/>
        <v>0</v>
      </c>
      <c r="AE138" s="44">
        <f t="shared" si="67"/>
        <v>0</v>
      </c>
      <c r="AF138" s="52" t="e">
        <f>HLOOKUP(I138,GasAvoidedCostsWOCC!$A$5:$G$50,G138+1,FALSE)</f>
        <v>#N/A</v>
      </c>
      <c r="AG138" s="44" t="e">
        <f t="shared" si="68"/>
        <v>#N/A</v>
      </c>
      <c r="AH138" s="52" t="e">
        <f>HLOOKUP(I138,GasAvoidedCostsWOCC!$A$5:$Q$50,T138+1,FALSE)</f>
        <v>#N/A</v>
      </c>
      <c r="AI138" s="44" t="e">
        <f t="shared" si="69"/>
        <v>#N/A</v>
      </c>
      <c r="AJ138" s="44" t="e">
        <f t="shared" si="70"/>
        <v>#N/A</v>
      </c>
      <c r="AK138" s="44" t="e">
        <f>HLOOKUP(I138,GasAvoidedCostsWOCC!$A$5:$Q$50,G138+1,FALSE)*J138*L138</f>
        <v>#N/A</v>
      </c>
      <c r="AL138" s="44" t="e">
        <f t="shared" si="71"/>
        <v>#N/A</v>
      </c>
      <c r="AM138" s="48">
        <f>IF(O138=0,0,IF(H138=0, HLOOKUP(I138,GasAvoidedCostsWOCC!$A$5:$Q$50,T138+1,FALSE)*K138*J138,HLOOKUP(I138,GasAvoidedCostsWOCC!$A$5:$Q$50,T138+1,FALSE)*L138*J138+HLOOKUP(I138,GasAvoidedCostsWOCC!$A$5:$Q$50,G138+1,FALSE)*K138*J138-HLOOKUP(I138,GasAvoidedCostsWOCC!$A$5:$Q$50,G138+1,FALSE)*L138*J138))</f>
        <v>0</v>
      </c>
      <c r="AN138" s="48">
        <f t="shared" si="72"/>
        <v>0</v>
      </c>
      <c r="AO138" s="47">
        <f t="shared" si="73"/>
        <v>0</v>
      </c>
      <c r="AP138" s="47" t="e">
        <f t="shared" si="74"/>
        <v>#DIV/0!</v>
      </c>
    </row>
    <row r="139" spans="2:42">
      <c r="B139" s="97"/>
      <c r="C139" s="100"/>
      <c r="D139" s="100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56"/>
        <v>0</v>
      </c>
      <c r="U139" s="47">
        <f t="shared" si="57"/>
        <v>0</v>
      </c>
      <c r="V139" s="48">
        <f t="shared" si="58"/>
        <v>0</v>
      </c>
      <c r="W139" s="49">
        <f t="shared" si="59"/>
        <v>0</v>
      </c>
      <c r="X139" s="44">
        <f t="shared" si="60"/>
        <v>0</v>
      </c>
      <c r="Y139" s="44">
        <f t="shared" si="61"/>
        <v>0</v>
      </c>
      <c r="Z139" s="44">
        <f t="shared" si="62"/>
        <v>0</v>
      </c>
      <c r="AA139" s="50">
        <f t="shared" si="63"/>
        <v>0</v>
      </c>
      <c r="AB139" s="51">
        <f t="shared" si="64"/>
        <v>0</v>
      </c>
      <c r="AC139" s="44">
        <f t="shared" si="65"/>
        <v>0</v>
      </c>
      <c r="AD139" s="44">
        <f t="shared" si="66"/>
        <v>0</v>
      </c>
      <c r="AE139" s="44">
        <f t="shared" si="67"/>
        <v>0</v>
      </c>
      <c r="AF139" s="52" t="e">
        <f>HLOOKUP(I139,GasAvoidedCostsWOCC!$A$5:$G$50,G139+1,FALSE)</f>
        <v>#N/A</v>
      </c>
      <c r="AG139" s="44" t="e">
        <f t="shared" si="68"/>
        <v>#N/A</v>
      </c>
      <c r="AH139" s="52" t="e">
        <f>HLOOKUP(I139,GasAvoidedCostsWOCC!$A$5:$Q$50,T139+1,FALSE)</f>
        <v>#N/A</v>
      </c>
      <c r="AI139" s="44" t="e">
        <f t="shared" si="69"/>
        <v>#N/A</v>
      </c>
      <c r="AJ139" s="44" t="e">
        <f t="shared" si="70"/>
        <v>#N/A</v>
      </c>
      <c r="AK139" s="44" t="e">
        <f>HLOOKUP(I139,GasAvoidedCostsWOCC!$A$5:$Q$50,G139+1,FALSE)*J139*L139</f>
        <v>#N/A</v>
      </c>
      <c r="AL139" s="44" t="e">
        <f t="shared" si="71"/>
        <v>#N/A</v>
      </c>
      <c r="AM139" s="48">
        <f>IF(O139=0,0,IF(H139=0, HLOOKUP(I139,GasAvoidedCostsWOCC!$A$5:$Q$50,T139+1,FALSE)*K139*J139,HLOOKUP(I139,GasAvoidedCostsWOCC!$A$5:$Q$50,T139+1,FALSE)*L139*J139+HLOOKUP(I139,GasAvoidedCostsWOCC!$A$5:$Q$50,G139+1,FALSE)*K139*J139-HLOOKUP(I139,GasAvoidedCostsWOCC!$A$5:$Q$50,G139+1,FALSE)*L139*J139))</f>
        <v>0</v>
      </c>
      <c r="AN139" s="48">
        <f t="shared" si="72"/>
        <v>0</v>
      </c>
      <c r="AO139" s="47">
        <f t="shared" si="73"/>
        <v>0</v>
      </c>
      <c r="AP139" s="47" t="e">
        <f t="shared" si="74"/>
        <v>#DIV/0!</v>
      </c>
    </row>
    <row r="140" spans="2:42">
      <c r="B140" s="97"/>
      <c r="C140" s="100"/>
      <c r="D140" s="100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56"/>
        <v>0</v>
      </c>
      <c r="U140" s="47">
        <f t="shared" si="57"/>
        <v>0</v>
      </c>
      <c r="V140" s="48">
        <f t="shared" si="58"/>
        <v>0</v>
      </c>
      <c r="W140" s="49">
        <f t="shared" si="59"/>
        <v>0</v>
      </c>
      <c r="X140" s="44">
        <f t="shared" si="60"/>
        <v>0</v>
      </c>
      <c r="Y140" s="44">
        <f t="shared" si="61"/>
        <v>0</v>
      </c>
      <c r="Z140" s="44">
        <f t="shared" si="62"/>
        <v>0</v>
      </c>
      <c r="AA140" s="50">
        <f t="shared" si="63"/>
        <v>0</v>
      </c>
      <c r="AB140" s="51">
        <f t="shared" si="64"/>
        <v>0</v>
      </c>
      <c r="AC140" s="44">
        <f t="shared" si="65"/>
        <v>0</v>
      </c>
      <c r="AD140" s="44">
        <f t="shared" si="66"/>
        <v>0</v>
      </c>
      <c r="AE140" s="44">
        <f t="shared" si="67"/>
        <v>0</v>
      </c>
      <c r="AF140" s="52" t="e">
        <f>HLOOKUP(I140,GasAvoidedCostsWOCC!$A$5:$G$50,G140+1,FALSE)</f>
        <v>#N/A</v>
      </c>
      <c r="AG140" s="44" t="e">
        <f t="shared" si="68"/>
        <v>#N/A</v>
      </c>
      <c r="AH140" s="52" t="e">
        <f>HLOOKUP(I140,GasAvoidedCostsWOCC!$A$5:$Q$50,T140+1,FALSE)</f>
        <v>#N/A</v>
      </c>
      <c r="AI140" s="44" t="e">
        <f t="shared" si="69"/>
        <v>#N/A</v>
      </c>
      <c r="AJ140" s="44" t="e">
        <f t="shared" si="70"/>
        <v>#N/A</v>
      </c>
      <c r="AK140" s="44" t="e">
        <f>HLOOKUP(I140,GasAvoidedCostsWOCC!$A$5:$Q$50,G140+1,FALSE)*J140*L140</f>
        <v>#N/A</v>
      </c>
      <c r="AL140" s="44" t="e">
        <f t="shared" si="71"/>
        <v>#N/A</v>
      </c>
      <c r="AM140" s="48">
        <f>IF(O140=0,0,IF(H140=0, HLOOKUP(I140,GasAvoidedCostsWOCC!$A$5:$Q$50,T140+1,FALSE)*K140*J140,HLOOKUP(I140,GasAvoidedCostsWOCC!$A$5:$Q$50,T140+1,FALSE)*L140*J140+HLOOKUP(I140,GasAvoidedCostsWOCC!$A$5:$Q$50,G140+1,FALSE)*K140*J140-HLOOKUP(I140,GasAvoidedCostsWOCC!$A$5:$Q$50,G140+1,FALSE)*L140*J140))</f>
        <v>0</v>
      </c>
      <c r="AN140" s="48">
        <f t="shared" si="72"/>
        <v>0</v>
      </c>
      <c r="AO140" s="47">
        <f t="shared" si="73"/>
        <v>0</v>
      </c>
      <c r="AP140" s="47" t="e">
        <f t="shared" si="74"/>
        <v>#DIV/0!</v>
      </c>
    </row>
    <row r="141" spans="2:42">
      <c r="B141" s="97"/>
      <c r="C141" s="100"/>
      <c r="D141" s="100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56"/>
        <v>0</v>
      </c>
      <c r="U141" s="47">
        <f t="shared" si="57"/>
        <v>0</v>
      </c>
      <c r="V141" s="48">
        <f t="shared" si="58"/>
        <v>0</v>
      </c>
      <c r="W141" s="49">
        <f t="shared" si="59"/>
        <v>0</v>
      </c>
      <c r="X141" s="44">
        <f t="shared" si="60"/>
        <v>0</v>
      </c>
      <c r="Y141" s="44">
        <f t="shared" si="61"/>
        <v>0</v>
      </c>
      <c r="Z141" s="44">
        <f t="shared" si="62"/>
        <v>0</v>
      </c>
      <c r="AA141" s="50">
        <f t="shared" si="63"/>
        <v>0</v>
      </c>
      <c r="AB141" s="51">
        <f t="shared" si="64"/>
        <v>0</v>
      </c>
      <c r="AC141" s="44">
        <f t="shared" si="65"/>
        <v>0</v>
      </c>
      <c r="AD141" s="44">
        <f t="shared" si="66"/>
        <v>0</v>
      </c>
      <c r="AE141" s="44">
        <f t="shared" si="67"/>
        <v>0</v>
      </c>
      <c r="AF141" s="52" t="e">
        <f>HLOOKUP(I141,GasAvoidedCostsWOCC!$A$5:$G$50,G141+1,FALSE)</f>
        <v>#N/A</v>
      </c>
      <c r="AG141" s="44" t="e">
        <f t="shared" si="68"/>
        <v>#N/A</v>
      </c>
      <c r="AH141" s="52" t="e">
        <f>HLOOKUP(I141,GasAvoidedCostsWOCC!$A$5:$Q$50,T141+1,FALSE)</f>
        <v>#N/A</v>
      </c>
      <c r="AI141" s="44" t="e">
        <f t="shared" si="69"/>
        <v>#N/A</v>
      </c>
      <c r="AJ141" s="44" t="e">
        <f t="shared" si="70"/>
        <v>#N/A</v>
      </c>
      <c r="AK141" s="44" t="e">
        <f>HLOOKUP(I141,GasAvoidedCostsWOCC!$A$5:$Q$50,G141+1,FALSE)*J141*L141</f>
        <v>#N/A</v>
      </c>
      <c r="AL141" s="44" t="e">
        <f t="shared" si="71"/>
        <v>#N/A</v>
      </c>
      <c r="AM141" s="48">
        <f>IF(O141=0,0,IF(H141=0, HLOOKUP(I141,GasAvoidedCostsWOCC!$A$5:$Q$50,T141+1,FALSE)*K141*J141,HLOOKUP(I141,GasAvoidedCostsWOCC!$A$5:$Q$50,T141+1,FALSE)*L141*J141+HLOOKUP(I141,GasAvoidedCostsWOCC!$A$5:$Q$50,G141+1,FALSE)*K141*J141-HLOOKUP(I141,GasAvoidedCostsWOCC!$A$5:$Q$50,G141+1,FALSE)*L141*J141))</f>
        <v>0</v>
      </c>
      <c r="AN141" s="48">
        <f t="shared" si="72"/>
        <v>0</v>
      </c>
      <c r="AO141" s="47">
        <f t="shared" si="73"/>
        <v>0</v>
      </c>
      <c r="AP141" s="47" t="e">
        <f t="shared" si="74"/>
        <v>#DIV/0!</v>
      </c>
    </row>
    <row r="142" spans="2:42">
      <c r="B142" s="97"/>
      <c r="C142" s="100"/>
      <c r="D142" s="100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56"/>
        <v>0</v>
      </c>
      <c r="U142" s="47">
        <f t="shared" si="57"/>
        <v>0</v>
      </c>
      <c r="V142" s="48">
        <f t="shared" si="58"/>
        <v>0</v>
      </c>
      <c r="W142" s="49">
        <f t="shared" si="59"/>
        <v>0</v>
      </c>
      <c r="X142" s="44">
        <f t="shared" si="60"/>
        <v>0</v>
      </c>
      <c r="Y142" s="44">
        <f t="shared" si="61"/>
        <v>0</v>
      </c>
      <c r="Z142" s="44">
        <f t="shared" si="62"/>
        <v>0</v>
      </c>
      <c r="AA142" s="50">
        <f t="shared" si="63"/>
        <v>0</v>
      </c>
      <c r="AB142" s="51">
        <f t="shared" si="64"/>
        <v>0</v>
      </c>
      <c r="AC142" s="44">
        <f t="shared" si="65"/>
        <v>0</v>
      </c>
      <c r="AD142" s="44">
        <f t="shared" si="66"/>
        <v>0</v>
      </c>
      <c r="AE142" s="44">
        <f t="shared" si="67"/>
        <v>0</v>
      </c>
      <c r="AF142" s="52" t="e">
        <f>HLOOKUP(I142,GasAvoidedCostsWOCC!$A$5:$G$50,G142+1,FALSE)</f>
        <v>#N/A</v>
      </c>
      <c r="AG142" s="44" t="e">
        <f t="shared" si="68"/>
        <v>#N/A</v>
      </c>
      <c r="AH142" s="52" t="e">
        <f>HLOOKUP(I142,GasAvoidedCostsWOCC!$A$5:$Q$50,T142+1,FALSE)</f>
        <v>#N/A</v>
      </c>
      <c r="AI142" s="44" t="e">
        <f t="shared" si="69"/>
        <v>#N/A</v>
      </c>
      <c r="AJ142" s="44" t="e">
        <f t="shared" si="70"/>
        <v>#N/A</v>
      </c>
      <c r="AK142" s="44" t="e">
        <f>HLOOKUP(I142,GasAvoidedCostsWOCC!$A$5:$Q$50,G142+1,FALSE)*J142*L142</f>
        <v>#N/A</v>
      </c>
      <c r="AL142" s="44" t="e">
        <f t="shared" si="71"/>
        <v>#N/A</v>
      </c>
      <c r="AM142" s="48">
        <f>IF(O142=0,0,IF(H142=0, HLOOKUP(I142,GasAvoidedCostsWOCC!$A$5:$Q$50,T142+1,FALSE)*K142*J142,HLOOKUP(I142,GasAvoidedCostsWOCC!$A$5:$Q$50,T142+1,FALSE)*L142*J142+HLOOKUP(I142,GasAvoidedCostsWOCC!$A$5:$Q$50,G142+1,FALSE)*K142*J142-HLOOKUP(I142,GasAvoidedCostsWOCC!$A$5:$Q$50,G142+1,FALSE)*L142*J142))</f>
        <v>0</v>
      </c>
      <c r="AN142" s="48">
        <f t="shared" si="72"/>
        <v>0</v>
      </c>
      <c r="AO142" s="47">
        <f t="shared" si="73"/>
        <v>0</v>
      </c>
      <c r="AP142" s="47" t="e">
        <f t="shared" si="74"/>
        <v>#DIV/0!</v>
      </c>
    </row>
    <row r="143" spans="2:42">
      <c r="B143" s="97"/>
      <c r="C143" s="100"/>
      <c r="D143" s="100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56"/>
        <v>0</v>
      </c>
      <c r="U143" s="47">
        <f t="shared" si="57"/>
        <v>0</v>
      </c>
      <c r="V143" s="48">
        <f t="shared" si="58"/>
        <v>0</v>
      </c>
      <c r="W143" s="49">
        <f t="shared" si="59"/>
        <v>0</v>
      </c>
      <c r="X143" s="44">
        <f t="shared" si="60"/>
        <v>0</v>
      </c>
      <c r="Y143" s="44">
        <f t="shared" si="61"/>
        <v>0</v>
      </c>
      <c r="Z143" s="44">
        <f t="shared" si="62"/>
        <v>0</v>
      </c>
      <c r="AA143" s="50">
        <f t="shared" si="63"/>
        <v>0</v>
      </c>
      <c r="AB143" s="51">
        <f t="shared" si="64"/>
        <v>0</v>
      </c>
      <c r="AC143" s="44">
        <f t="shared" si="65"/>
        <v>0</v>
      </c>
      <c r="AD143" s="44">
        <f t="shared" si="66"/>
        <v>0</v>
      </c>
      <c r="AE143" s="44">
        <f t="shared" si="67"/>
        <v>0</v>
      </c>
      <c r="AF143" s="52" t="e">
        <f>HLOOKUP(I143,GasAvoidedCostsWOCC!$A$5:$G$50,G143+1,FALSE)</f>
        <v>#N/A</v>
      </c>
      <c r="AG143" s="44" t="e">
        <f t="shared" si="68"/>
        <v>#N/A</v>
      </c>
      <c r="AH143" s="52" t="e">
        <f>HLOOKUP(I143,GasAvoidedCostsWOCC!$A$5:$Q$50,T143+1,FALSE)</f>
        <v>#N/A</v>
      </c>
      <c r="AI143" s="44" t="e">
        <f t="shared" si="69"/>
        <v>#N/A</v>
      </c>
      <c r="AJ143" s="44" t="e">
        <f t="shared" si="70"/>
        <v>#N/A</v>
      </c>
      <c r="AK143" s="44" t="e">
        <f>HLOOKUP(I143,GasAvoidedCostsWOCC!$A$5:$Q$50,G143+1,FALSE)*J143*L143</f>
        <v>#N/A</v>
      </c>
      <c r="AL143" s="44" t="e">
        <f t="shared" si="71"/>
        <v>#N/A</v>
      </c>
      <c r="AM143" s="48">
        <f>IF(O143=0,0,IF(H143=0, HLOOKUP(I143,GasAvoidedCostsWOCC!$A$5:$Q$50,T143+1,FALSE)*K143*J143,HLOOKUP(I143,GasAvoidedCostsWOCC!$A$5:$Q$50,T143+1,FALSE)*L143*J143+HLOOKUP(I143,GasAvoidedCostsWOCC!$A$5:$Q$50,G143+1,FALSE)*K143*J143-HLOOKUP(I143,GasAvoidedCostsWOCC!$A$5:$Q$50,G143+1,FALSE)*L143*J143))</f>
        <v>0</v>
      </c>
      <c r="AN143" s="48">
        <f t="shared" si="72"/>
        <v>0</v>
      </c>
      <c r="AO143" s="47">
        <f t="shared" si="73"/>
        <v>0</v>
      </c>
      <c r="AP143" s="47" t="e">
        <f t="shared" si="74"/>
        <v>#DIV/0!</v>
      </c>
    </row>
    <row r="144" spans="2:42">
      <c r="B144" s="97"/>
      <c r="C144" s="100"/>
      <c r="D144" s="100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56"/>
        <v>0</v>
      </c>
      <c r="U144" s="47">
        <f t="shared" si="57"/>
        <v>0</v>
      </c>
      <c r="V144" s="48">
        <f t="shared" si="58"/>
        <v>0</v>
      </c>
      <c r="W144" s="49">
        <f t="shared" si="59"/>
        <v>0</v>
      </c>
      <c r="X144" s="44">
        <f t="shared" si="60"/>
        <v>0</v>
      </c>
      <c r="Y144" s="44">
        <f t="shared" si="61"/>
        <v>0</v>
      </c>
      <c r="Z144" s="44">
        <f t="shared" si="62"/>
        <v>0</v>
      </c>
      <c r="AA144" s="50">
        <f t="shared" si="63"/>
        <v>0</v>
      </c>
      <c r="AB144" s="51">
        <f t="shared" si="64"/>
        <v>0</v>
      </c>
      <c r="AC144" s="44">
        <f t="shared" si="65"/>
        <v>0</v>
      </c>
      <c r="AD144" s="44">
        <f t="shared" si="66"/>
        <v>0</v>
      </c>
      <c r="AE144" s="44">
        <f t="shared" si="67"/>
        <v>0</v>
      </c>
      <c r="AF144" s="52" t="e">
        <f>HLOOKUP(I144,GasAvoidedCostsWOCC!$A$5:$G$50,G144+1,FALSE)</f>
        <v>#N/A</v>
      </c>
      <c r="AG144" s="44" t="e">
        <f t="shared" si="68"/>
        <v>#N/A</v>
      </c>
      <c r="AH144" s="52" t="e">
        <f>HLOOKUP(I144,GasAvoidedCostsWOCC!$A$5:$Q$50,T144+1,FALSE)</f>
        <v>#N/A</v>
      </c>
      <c r="AI144" s="44" t="e">
        <f t="shared" si="69"/>
        <v>#N/A</v>
      </c>
      <c r="AJ144" s="44" t="e">
        <f t="shared" si="70"/>
        <v>#N/A</v>
      </c>
      <c r="AK144" s="44" t="e">
        <f>HLOOKUP(I144,GasAvoidedCostsWOCC!$A$5:$Q$50,G144+1,FALSE)*J144*L144</f>
        <v>#N/A</v>
      </c>
      <c r="AL144" s="44" t="e">
        <f t="shared" si="71"/>
        <v>#N/A</v>
      </c>
      <c r="AM144" s="48">
        <f>IF(O144=0,0,IF(H144=0, HLOOKUP(I144,GasAvoidedCostsWOCC!$A$5:$Q$50,T144+1,FALSE)*K144*J144,HLOOKUP(I144,GasAvoidedCostsWOCC!$A$5:$Q$50,T144+1,FALSE)*L144*J144+HLOOKUP(I144,GasAvoidedCostsWOCC!$A$5:$Q$50,G144+1,FALSE)*K144*J144-HLOOKUP(I144,GasAvoidedCostsWOCC!$A$5:$Q$50,G144+1,FALSE)*L144*J144))</f>
        <v>0</v>
      </c>
      <c r="AN144" s="48">
        <f t="shared" si="72"/>
        <v>0</v>
      </c>
      <c r="AO144" s="47">
        <f t="shared" si="73"/>
        <v>0</v>
      </c>
      <c r="AP144" s="47" t="e">
        <f t="shared" si="74"/>
        <v>#DIV/0!</v>
      </c>
    </row>
    <row r="145" spans="2:42">
      <c r="B145" s="97"/>
      <c r="C145" s="100"/>
      <c r="D145" s="100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56"/>
        <v>0</v>
      </c>
      <c r="U145" s="47">
        <f t="shared" si="57"/>
        <v>0</v>
      </c>
      <c r="V145" s="48">
        <f t="shared" si="58"/>
        <v>0</v>
      </c>
      <c r="W145" s="49">
        <f t="shared" si="59"/>
        <v>0</v>
      </c>
      <c r="X145" s="44">
        <f t="shared" si="60"/>
        <v>0</v>
      </c>
      <c r="Y145" s="44">
        <f t="shared" si="61"/>
        <v>0</v>
      </c>
      <c r="Z145" s="44">
        <f t="shared" si="62"/>
        <v>0</v>
      </c>
      <c r="AA145" s="50">
        <f t="shared" si="63"/>
        <v>0</v>
      </c>
      <c r="AB145" s="51">
        <f t="shared" si="64"/>
        <v>0</v>
      </c>
      <c r="AC145" s="44">
        <f t="shared" si="65"/>
        <v>0</v>
      </c>
      <c r="AD145" s="44">
        <f t="shared" si="66"/>
        <v>0</v>
      </c>
      <c r="AE145" s="44">
        <f t="shared" si="67"/>
        <v>0</v>
      </c>
      <c r="AF145" s="52" t="e">
        <f>HLOOKUP(I145,GasAvoidedCostsWOCC!$A$5:$G$50,G145+1,FALSE)</f>
        <v>#N/A</v>
      </c>
      <c r="AG145" s="44" t="e">
        <f t="shared" si="68"/>
        <v>#N/A</v>
      </c>
      <c r="AH145" s="52" t="e">
        <f>HLOOKUP(I145,GasAvoidedCostsWOCC!$A$5:$Q$50,T145+1,FALSE)</f>
        <v>#N/A</v>
      </c>
      <c r="AI145" s="44" t="e">
        <f t="shared" si="69"/>
        <v>#N/A</v>
      </c>
      <c r="AJ145" s="44" t="e">
        <f t="shared" si="70"/>
        <v>#N/A</v>
      </c>
      <c r="AK145" s="44" t="e">
        <f>HLOOKUP(I145,GasAvoidedCostsWOCC!$A$5:$Q$50,G145+1,FALSE)*J145*L145</f>
        <v>#N/A</v>
      </c>
      <c r="AL145" s="44" t="e">
        <f t="shared" si="71"/>
        <v>#N/A</v>
      </c>
      <c r="AM145" s="48">
        <f>IF(O145=0,0,IF(H145=0, HLOOKUP(I145,GasAvoidedCostsWOCC!$A$5:$Q$50,T145+1,FALSE)*K145*J145,HLOOKUP(I145,GasAvoidedCostsWOCC!$A$5:$Q$50,T145+1,FALSE)*L145*J145+HLOOKUP(I145,GasAvoidedCostsWOCC!$A$5:$Q$50,G145+1,FALSE)*K145*J145-HLOOKUP(I145,GasAvoidedCostsWOCC!$A$5:$Q$50,G145+1,FALSE)*L145*J145))</f>
        <v>0</v>
      </c>
      <c r="AN145" s="48">
        <f t="shared" si="72"/>
        <v>0</v>
      </c>
      <c r="AO145" s="47">
        <f t="shared" si="73"/>
        <v>0</v>
      </c>
      <c r="AP145" s="47" t="e">
        <f t="shared" si="74"/>
        <v>#DIV/0!</v>
      </c>
    </row>
    <row r="146" spans="2:42">
      <c r="B146" s="97"/>
      <c r="C146" s="100"/>
      <c r="D146" s="100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56"/>
        <v>0</v>
      </c>
      <c r="U146" s="47">
        <f t="shared" si="57"/>
        <v>0</v>
      </c>
      <c r="V146" s="48">
        <f t="shared" si="58"/>
        <v>0</v>
      </c>
      <c r="W146" s="49">
        <f t="shared" si="59"/>
        <v>0</v>
      </c>
      <c r="X146" s="44">
        <f t="shared" si="60"/>
        <v>0</v>
      </c>
      <c r="Y146" s="44">
        <f t="shared" si="61"/>
        <v>0</v>
      </c>
      <c r="Z146" s="44">
        <f t="shared" si="62"/>
        <v>0</v>
      </c>
      <c r="AA146" s="50">
        <f t="shared" si="63"/>
        <v>0</v>
      </c>
      <c r="AB146" s="51">
        <f t="shared" si="64"/>
        <v>0</v>
      </c>
      <c r="AC146" s="44">
        <f t="shared" si="65"/>
        <v>0</v>
      </c>
      <c r="AD146" s="44">
        <f t="shared" si="66"/>
        <v>0</v>
      </c>
      <c r="AE146" s="44">
        <f t="shared" si="67"/>
        <v>0</v>
      </c>
      <c r="AF146" s="52" t="e">
        <f>HLOOKUP(I146,GasAvoidedCostsWOCC!$A$5:$G$50,G146+1,FALSE)</f>
        <v>#N/A</v>
      </c>
      <c r="AG146" s="44" t="e">
        <f t="shared" si="68"/>
        <v>#N/A</v>
      </c>
      <c r="AH146" s="52" t="e">
        <f>HLOOKUP(I146,GasAvoidedCostsWOCC!$A$5:$Q$50,T146+1,FALSE)</f>
        <v>#N/A</v>
      </c>
      <c r="AI146" s="44" t="e">
        <f t="shared" si="69"/>
        <v>#N/A</v>
      </c>
      <c r="AJ146" s="44" t="e">
        <f t="shared" si="70"/>
        <v>#N/A</v>
      </c>
      <c r="AK146" s="44" t="e">
        <f>HLOOKUP(I146,GasAvoidedCostsWOCC!$A$5:$Q$50,G146+1,FALSE)*J146*L146</f>
        <v>#N/A</v>
      </c>
      <c r="AL146" s="44" t="e">
        <f t="shared" si="71"/>
        <v>#N/A</v>
      </c>
      <c r="AM146" s="48">
        <f>IF(O146=0,0,IF(H146=0, HLOOKUP(I146,GasAvoidedCostsWOCC!$A$5:$Q$50,T146+1,FALSE)*K146*J146,HLOOKUP(I146,GasAvoidedCostsWOCC!$A$5:$Q$50,T146+1,FALSE)*L146*J146+HLOOKUP(I146,GasAvoidedCostsWOCC!$A$5:$Q$50,G146+1,FALSE)*K146*J146-HLOOKUP(I146,GasAvoidedCostsWOCC!$A$5:$Q$50,G146+1,FALSE)*L146*J146))</f>
        <v>0</v>
      </c>
      <c r="AN146" s="48">
        <f t="shared" si="72"/>
        <v>0</v>
      </c>
      <c r="AO146" s="47">
        <f t="shared" si="73"/>
        <v>0</v>
      </c>
      <c r="AP146" s="47" t="e">
        <f t="shared" si="74"/>
        <v>#DIV/0!</v>
      </c>
    </row>
    <row r="147" spans="2:42">
      <c r="B147" s="97"/>
      <c r="C147" s="100"/>
      <c r="D147" s="100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56"/>
        <v>0</v>
      </c>
      <c r="U147" s="47">
        <f t="shared" si="57"/>
        <v>0</v>
      </c>
      <c r="V147" s="48">
        <f t="shared" si="58"/>
        <v>0</v>
      </c>
      <c r="W147" s="49">
        <f t="shared" si="59"/>
        <v>0</v>
      </c>
      <c r="X147" s="44">
        <f t="shared" si="60"/>
        <v>0</v>
      </c>
      <c r="Y147" s="44">
        <f t="shared" si="61"/>
        <v>0</v>
      </c>
      <c r="Z147" s="44">
        <f t="shared" si="62"/>
        <v>0</v>
      </c>
      <c r="AA147" s="50">
        <f t="shared" si="63"/>
        <v>0</v>
      </c>
      <c r="AB147" s="51">
        <f t="shared" si="64"/>
        <v>0</v>
      </c>
      <c r="AC147" s="44">
        <f t="shared" si="65"/>
        <v>0</v>
      </c>
      <c r="AD147" s="44">
        <f t="shared" si="66"/>
        <v>0</v>
      </c>
      <c r="AE147" s="44">
        <f t="shared" si="67"/>
        <v>0</v>
      </c>
      <c r="AF147" s="52" t="e">
        <f>HLOOKUP(I147,GasAvoidedCostsWOCC!$A$5:$G$50,G147+1,FALSE)</f>
        <v>#N/A</v>
      </c>
      <c r="AG147" s="44" t="e">
        <f t="shared" si="68"/>
        <v>#N/A</v>
      </c>
      <c r="AH147" s="52" t="e">
        <f>HLOOKUP(I147,GasAvoidedCostsWOCC!$A$5:$Q$50,T147+1,FALSE)</f>
        <v>#N/A</v>
      </c>
      <c r="AI147" s="44" t="e">
        <f t="shared" si="69"/>
        <v>#N/A</v>
      </c>
      <c r="AJ147" s="44" t="e">
        <f t="shared" si="70"/>
        <v>#N/A</v>
      </c>
      <c r="AK147" s="44" t="e">
        <f>HLOOKUP(I147,GasAvoidedCostsWOCC!$A$5:$Q$50,G147+1,FALSE)*J147*L147</f>
        <v>#N/A</v>
      </c>
      <c r="AL147" s="44" t="e">
        <f t="shared" si="71"/>
        <v>#N/A</v>
      </c>
      <c r="AM147" s="48">
        <f>IF(O147=0,0,IF(H147=0, HLOOKUP(I147,GasAvoidedCostsWOCC!$A$5:$Q$50,T147+1,FALSE)*K147*J147,HLOOKUP(I147,GasAvoidedCostsWOCC!$A$5:$Q$50,T147+1,FALSE)*L147*J147+HLOOKUP(I147,GasAvoidedCostsWOCC!$A$5:$Q$50,G147+1,FALSE)*K147*J147-HLOOKUP(I147,GasAvoidedCostsWOCC!$A$5:$Q$50,G147+1,FALSE)*L147*J147))</f>
        <v>0</v>
      </c>
      <c r="AN147" s="48">
        <f t="shared" si="72"/>
        <v>0</v>
      </c>
      <c r="AO147" s="47">
        <f t="shared" si="73"/>
        <v>0</v>
      </c>
      <c r="AP147" s="47" t="e">
        <f t="shared" si="74"/>
        <v>#DIV/0!</v>
      </c>
    </row>
    <row r="148" spans="2:42">
      <c r="B148" s="97"/>
      <c r="C148" s="100"/>
      <c r="D148" s="100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56"/>
        <v>0</v>
      </c>
      <c r="U148" s="47">
        <f t="shared" si="57"/>
        <v>0</v>
      </c>
      <c r="V148" s="48">
        <f t="shared" si="58"/>
        <v>0</v>
      </c>
      <c r="W148" s="49">
        <f t="shared" si="59"/>
        <v>0</v>
      </c>
      <c r="X148" s="44">
        <f t="shared" si="60"/>
        <v>0</v>
      </c>
      <c r="Y148" s="44">
        <f t="shared" si="61"/>
        <v>0</v>
      </c>
      <c r="Z148" s="44">
        <f t="shared" si="62"/>
        <v>0</v>
      </c>
      <c r="AA148" s="50">
        <f t="shared" si="63"/>
        <v>0</v>
      </c>
      <c r="AB148" s="51">
        <f t="shared" si="64"/>
        <v>0</v>
      </c>
      <c r="AC148" s="44">
        <f t="shared" si="65"/>
        <v>0</v>
      </c>
      <c r="AD148" s="44">
        <f t="shared" si="66"/>
        <v>0</v>
      </c>
      <c r="AE148" s="44">
        <f t="shared" si="67"/>
        <v>0</v>
      </c>
      <c r="AF148" s="52" t="e">
        <f>HLOOKUP(I148,GasAvoidedCostsWOCC!$A$5:$G$50,G148+1,FALSE)</f>
        <v>#N/A</v>
      </c>
      <c r="AG148" s="44" t="e">
        <f t="shared" si="68"/>
        <v>#N/A</v>
      </c>
      <c r="AH148" s="52" t="e">
        <f>HLOOKUP(I148,GasAvoidedCostsWOCC!$A$5:$Q$50,T148+1,FALSE)</f>
        <v>#N/A</v>
      </c>
      <c r="AI148" s="44" t="e">
        <f t="shared" si="69"/>
        <v>#N/A</v>
      </c>
      <c r="AJ148" s="44" t="e">
        <f t="shared" si="70"/>
        <v>#N/A</v>
      </c>
      <c r="AK148" s="44" t="e">
        <f>HLOOKUP(I148,GasAvoidedCostsWOCC!$A$5:$Q$50,G148+1,FALSE)*J148*L148</f>
        <v>#N/A</v>
      </c>
      <c r="AL148" s="44" t="e">
        <f t="shared" si="71"/>
        <v>#N/A</v>
      </c>
      <c r="AM148" s="48">
        <f>IF(O148=0,0,IF(H148=0, HLOOKUP(I148,GasAvoidedCostsWOCC!$A$5:$Q$50,T148+1,FALSE)*K148*J148,HLOOKUP(I148,GasAvoidedCostsWOCC!$A$5:$Q$50,T148+1,FALSE)*L148*J148+HLOOKUP(I148,GasAvoidedCostsWOCC!$A$5:$Q$50,G148+1,FALSE)*K148*J148-HLOOKUP(I148,GasAvoidedCostsWOCC!$A$5:$Q$50,G148+1,FALSE)*L148*J148))</f>
        <v>0</v>
      </c>
      <c r="AN148" s="48">
        <f t="shared" si="72"/>
        <v>0</v>
      </c>
      <c r="AO148" s="47">
        <f t="shared" si="73"/>
        <v>0</v>
      </c>
      <c r="AP148" s="47" t="e">
        <f t="shared" si="74"/>
        <v>#DIV/0!</v>
      </c>
    </row>
    <row r="149" spans="2:42">
      <c r="B149" s="97"/>
      <c r="C149" s="100"/>
      <c r="D149" s="100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56"/>
        <v>0</v>
      </c>
      <c r="U149" s="47">
        <f t="shared" si="57"/>
        <v>0</v>
      </c>
      <c r="V149" s="48">
        <f t="shared" si="58"/>
        <v>0</v>
      </c>
      <c r="W149" s="49">
        <f t="shared" si="59"/>
        <v>0</v>
      </c>
      <c r="X149" s="44">
        <f t="shared" si="60"/>
        <v>0</v>
      </c>
      <c r="Y149" s="44">
        <f t="shared" si="61"/>
        <v>0</v>
      </c>
      <c r="Z149" s="44">
        <f t="shared" si="62"/>
        <v>0</v>
      </c>
      <c r="AA149" s="50">
        <f t="shared" si="63"/>
        <v>0</v>
      </c>
      <c r="AB149" s="51">
        <f t="shared" si="64"/>
        <v>0</v>
      </c>
      <c r="AC149" s="44">
        <f t="shared" si="65"/>
        <v>0</v>
      </c>
      <c r="AD149" s="44">
        <f t="shared" si="66"/>
        <v>0</v>
      </c>
      <c r="AE149" s="44">
        <f t="shared" si="67"/>
        <v>0</v>
      </c>
      <c r="AF149" s="52" t="e">
        <f>HLOOKUP(I149,GasAvoidedCostsWOCC!$A$5:$G$50,G149+1,FALSE)</f>
        <v>#N/A</v>
      </c>
      <c r="AG149" s="44" t="e">
        <f t="shared" si="68"/>
        <v>#N/A</v>
      </c>
      <c r="AH149" s="52" t="e">
        <f>HLOOKUP(I149,GasAvoidedCostsWOCC!$A$5:$Q$50,T149+1,FALSE)</f>
        <v>#N/A</v>
      </c>
      <c r="AI149" s="44" t="e">
        <f t="shared" si="69"/>
        <v>#N/A</v>
      </c>
      <c r="AJ149" s="44" t="e">
        <f t="shared" si="70"/>
        <v>#N/A</v>
      </c>
      <c r="AK149" s="44" t="e">
        <f>HLOOKUP(I149,GasAvoidedCostsWOCC!$A$5:$Q$50,G149+1,FALSE)*J149*L149</f>
        <v>#N/A</v>
      </c>
      <c r="AL149" s="44" t="e">
        <f t="shared" si="71"/>
        <v>#N/A</v>
      </c>
      <c r="AM149" s="48">
        <f>IF(O149=0,0,IF(H149=0, HLOOKUP(I149,GasAvoidedCostsWOCC!$A$5:$Q$50,T149+1,FALSE)*K149*J149,HLOOKUP(I149,GasAvoidedCostsWOCC!$A$5:$Q$50,T149+1,FALSE)*L149*J149+HLOOKUP(I149,GasAvoidedCostsWOCC!$A$5:$Q$50,G149+1,FALSE)*K149*J149-HLOOKUP(I149,GasAvoidedCostsWOCC!$A$5:$Q$50,G149+1,FALSE)*L149*J149))</f>
        <v>0</v>
      </c>
      <c r="AN149" s="48">
        <f t="shared" si="72"/>
        <v>0</v>
      </c>
      <c r="AO149" s="47">
        <f t="shared" si="73"/>
        <v>0</v>
      </c>
      <c r="AP149" s="47" t="e">
        <f t="shared" si="74"/>
        <v>#DIV/0!</v>
      </c>
    </row>
    <row r="150" spans="2:42">
      <c r="B150" s="97"/>
      <c r="C150" s="100"/>
      <c r="D150" s="100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56"/>
        <v>0</v>
      </c>
      <c r="U150" s="47">
        <f t="shared" si="57"/>
        <v>0</v>
      </c>
      <c r="V150" s="48">
        <f t="shared" si="58"/>
        <v>0</v>
      </c>
      <c r="W150" s="49">
        <f t="shared" si="59"/>
        <v>0</v>
      </c>
      <c r="X150" s="44">
        <f t="shared" si="60"/>
        <v>0</v>
      </c>
      <c r="Y150" s="44">
        <f t="shared" si="61"/>
        <v>0</v>
      </c>
      <c r="Z150" s="44">
        <f t="shared" si="62"/>
        <v>0</v>
      </c>
      <c r="AA150" s="50">
        <f t="shared" si="63"/>
        <v>0</v>
      </c>
      <c r="AB150" s="51">
        <f t="shared" si="64"/>
        <v>0</v>
      </c>
      <c r="AC150" s="44">
        <f t="shared" si="65"/>
        <v>0</v>
      </c>
      <c r="AD150" s="44">
        <f t="shared" si="66"/>
        <v>0</v>
      </c>
      <c r="AE150" s="44">
        <f t="shared" si="67"/>
        <v>0</v>
      </c>
      <c r="AF150" s="52" t="e">
        <f>HLOOKUP(I150,GasAvoidedCostsWOCC!$A$5:$G$50,G150+1,FALSE)</f>
        <v>#N/A</v>
      </c>
      <c r="AG150" s="44" t="e">
        <f t="shared" si="68"/>
        <v>#N/A</v>
      </c>
      <c r="AH150" s="52" t="e">
        <f>HLOOKUP(I150,GasAvoidedCostsWOCC!$A$5:$Q$50,T150+1,FALSE)</f>
        <v>#N/A</v>
      </c>
      <c r="AI150" s="44" t="e">
        <f t="shared" si="69"/>
        <v>#N/A</v>
      </c>
      <c r="AJ150" s="44" t="e">
        <f t="shared" si="70"/>
        <v>#N/A</v>
      </c>
      <c r="AK150" s="44" t="e">
        <f>HLOOKUP(I150,GasAvoidedCostsWOCC!$A$5:$Q$50,G150+1,FALSE)*J150*L150</f>
        <v>#N/A</v>
      </c>
      <c r="AL150" s="44" t="e">
        <f t="shared" si="71"/>
        <v>#N/A</v>
      </c>
      <c r="AM150" s="48">
        <f>IF(O150=0,0,IF(H150=0, HLOOKUP(I150,GasAvoidedCostsWOCC!$A$5:$Q$50,T150+1,FALSE)*K150*J150,HLOOKUP(I150,GasAvoidedCostsWOCC!$A$5:$Q$50,T150+1,FALSE)*L150*J150+HLOOKUP(I150,GasAvoidedCostsWOCC!$A$5:$Q$50,G150+1,FALSE)*K150*J150-HLOOKUP(I150,GasAvoidedCostsWOCC!$A$5:$Q$50,G150+1,FALSE)*L150*J150))</f>
        <v>0</v>
      </c>
      <c r="AN150" s="48">
        <f t="shared" si="72"/>
        <v>0</v>
      </c>
      <c r="AO150" s="47">
        <f t="shared" si="73"/>
        <v>0</v>
      </c>
      <c r="AP150" s="47" t="e">
        <f t="shared" si="74"/>
        <v>#DIV/0!</v>
      </c>
    </row>
    <row r="151" spans="2:42">
      <c r="B151" s="97"/>
      <c r="C151" s="100"/>
      <c r="D151" s="100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56"/>
        <v>0</v>
      </c>
      <c r="U151" s="47">
        <f t="shared" si="57"/>
        <v>0</v>
      </c>
      <c r="V151" s="48">
        <f t="shared" si="58"/>
        <v>0</v>
      </c>
      <c r="W151" s="49">
        <f t="shared" si="59"/>
        <v>0</v>
      </c>
      <c r="X151" s="44">
        <f t="shared" si="60"/>
        <v>0</v>
      </c>
      <c r="Y151" s="44">
        <f t="shared" si="61"/>
        <v>0</v>
      </c>
      <c r="Z151" s="44">
        <f t="shared" si="62"/>
        <v>0</v>
      </c>
      <c r="AA151" s="50">
        <f t="shared" si="63"/>
        <v>0</v>
      </c>
      <c r="AB151" s="51">
        <f t="shared" si="64"/>
        <v>0</v>
      </c>
      <c r="AC151" s="44">
        <f t="shared" si="65"/>
        <v>0</v>
      </c>
      <c r="AD151" s="44">
        <f t="shared" si="66"/>
        <v>0</v>
      </c>
      <c r="AE151" s="44">
        <f t="shared" si="67"/>
        <v>0</v>
      </c>
      <c r="AF151" s="52" t="e">
        <f>HLOOKUP(I151,GasAvoidedCostsWOCC!$A$5:$G$50,G151+1,FALSE)</f>
        <v>#N/A</v>
      </c>
      <c r="AG151" s="44" t="e">
        <f t="shared" si="68"/>
        <v>#N/A</v>
      </c>
      <c r="AH151" s="52" t="e">
        <f>HLOOKUP(I151,GasAvoidedCostsWOCC!$A$5:$Q$50,T151+1,FALSE)</f>
        <v>#N/A</v>
      </c>
      <c r="AI151" s="44" t="e">
        <f t="shared" si="69"/>
        <v>#N/A</v>
      </c>
      <c r="AJ151" s="44" t="e">
        <f t="shared" si="70"/>
        <v>#N/A</v>
      </c>
      <c r="AK151" s="44" t="e">
        <f>HLOOKUP(I151,GasAvoidedCostsWOCC!$A$5:$Q$50,G151+1,FALSE)*J151*L151</f>
        <v>#N/A</v>
      </c>
      <c r="AL151" s="44" t="e">
        <f t="shared" si="71"/>
        <v>#N/A</v>
      </c>
      <c r="AM151" s="48">
        <f>IF(O151=0,0,IF(H151=0, HLOOKUP(I151,GasAvoidedCostsWOCC!$A$5:$Q$50,T151+1,FALSE)*K151*J151,HLOOKUP(I151,GasAvoidedCostsWOCC!$A$5:$Q$50,T151+1,FALSE)*L151*J151+HLOOKUP(I151,GasAvoidedCostsWOCC!$A$5:$Q$50,G151+1,FALSE)*K151*J151-HLOOKUP(I151,GasAvoidedCostsWOCC!$A$5:$Q$50,G151+1,FALSE)*L151*J151))</f>
        <v>0</v>
      </c>
      <c r="AN151" s="48">
        <f t="shared" si="72"/>
        <v>0</v>
      </c>
      <c r="AO151" s="47">
        <f t="shared" si="73"/>
        <v>0</v>
      </c>
      <c r="AP151" s="47" t="e">
        <f t="shared" si="74"/>
        <v>#DIV/0!</v>
      </c>
    </row>
    <row r="152" spans="2:42">
      <c r="B152" s="97"/>
      <c r="C152" s="100"/>
      <c r="D152" s="100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6"/>
        <v>0</v>
      </c>
      <c r="U152" s="47">
        <f t="shared" si="57"/>
        <v>0</v>
      </c>
      <c r="V152" s="48">
        <f t="shared" si="58"/>
        <v>0</v>
      </c>
      <c r="W152" s="49">
        <f t="shared" si="59"/>
        <v>0</v>
      </c>
      <c r="X152" s="44">
        <f t="shared" si="60"/>
        <v>0</v>
      </c>
      <c r="Y152" s="44">
        <f t="shared" si="61"/>
        <v>0</v>
      </c>
      <c r="Z152" s="44">
        <f t="shared" si="62"/>
        <v>0</v>
      </c>
      <c r="AA152" s="50">
        <f t="shared" si="63"/>
        <v>0</v>
      </c>
      <c r="AB152" s="51">
        <f t="shared" si="64"/>
        <v>0</v>
      </c>
      <c r="AC152" s="44">
        <f t="shared" si="65"/>
        <v>0</v>
      </c>
      <c r="AD152" s="44">
        <f t="shared" si="66"/>
        <v>0</v>
      </c>
      <c r="AE152" s="44">
        <f t="shared" si="67"/>
        <v>0</v>
      </c>
      <c r="AF152" s="52" t="e">
        <f>HLOOKUP(I152,GasAvoidedCostsWOCC!$A$5:$G$50,G152+1,FALSE)</f>
        <v>#N/A</v>
      </c>
      <c r="AG152" s="44" t="e">
        <f t="shared" si="68"/>
        <v>#N/A</v>
      </c>
      <c r="AH152" s="52" t="e">
        <f>HLOOKUP(I152,GasAvoidedCostsWOCC!$A$5:$Q$50,T152+1,FALSE)</f>
        <v>#N/A</v>
      </c>
      <c r="AI152" s="44" t="e">
        <f t="shared" si="69"/>
        <v>#N/A</v>
      </c>
      <c r="AJ152" s="44" t="e">
        <f t="shared" si="70"/>
        <v>#N/A</v>
      </c>
      <c r="AK152" s="44" t="e">
        <f>HLOOKUP(I152,GasAvoidedCostsWOCC!$A$5:$Q$50,G152+1,FALSE)*J152*L152</f>
        <v>#N/A</v>
      </c>
      <c r="AL152" s="44" t="e">
        <f t="shared" si="71"/>
        <v>#N/A</v>
      </c>
      <c r="AM152" s="48">
        <f>IF(O152=0,0,IF(H152=0, HLOOKUP(I152,GasAvoidedCostsWOCC!$A$5:$Q$50,T152+1,FALSE)*K152*J152,HLOOKUP(I152,GasAvoidedCostsWOCC!$A$5:$Q$50,T152+1,FALSE)*L152*J152+HLOOKUP(I152,GasAvoidedCostsWOCC!$A$5:$Q$50,G152+1,FALSE)*K152*J152-HLOOKUP(I152,GasAvoidedCostsWOCC!$A$5:$Q$50,G152+1,FALSE)*L152*J152))</f>
        <v>0</v>
      </c>
      <c r="AN152" s="48">
        <f t="shared" si="72"/>
        <v>0</v>
      </c>
      <c r="AO152" s="47">
        <f t="shared" si="73"/>
        <v>0</v>
      </c>
      <c r="AP152" s="47" t="e">
        <f t="shared" si="74"/>
        <v>#DIV/0!</v>
      </c>
    </row>
    <row r="153" spans="2:42">
      <c r="B153" s="97"/>
      <c r="C153" s="100"/>
      <c r="D153" s="100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6"/>
        <v>0</v>
      </c>
      <c r="U153" s="47">
        <f t="shared" si="57"/>
        <v>0</v>
      </c>
      <c r="V153" s="48">
        <f t="shared" si="58"/>
        <v>0</v>
      </c>
      <c r="W153" s="49">
        <f t="shared" si="59"/>
        <v>0</v>
      </c>
      <c r="X153" s="44">
        <f t="shared" si="60"/>
        <v>0</v>
      </c>
      <c r="Y153" s="44">
        <f t="shared" si="61"/>
        <v>0</v>
      </c>
      <c r="Z153" s="44">
        <f t="shared" si="62"/>
        <v>0</v>
      </c>
      <c r="AA153" s="50">
        <f t="shared" si="63"/>
        <v>0</v>
      </c>
      <c r="AB153" s="51">
        <f t="shared" si="64"/>
        <v>0</v>
      </c>
      <c r="AC153" s="44">
        <f t="shared" si="65"/>
        <v>0</v>
      </c>
      <c r="AD153" s="44">
        <f t="shared" si="66"/>
        <v>0</v>
      </c>
      <c r="AE153" s="44">
        <f t="shared" si="67"/>
        <v>0</v>
      </c>
      <c r="AF153" s="52" t="e">
        <f>HLOOKUP(I153,GasAvoidedCostsWOCC!$A$5:$G$50,G153+1,FALSE)</f>
        <v>#N/A</v>
      </c>
      <c r="AG153" s="44" t="e">
        <f t="shared" si="68"/>
        <v>#N/A</v>
      </c>
      <c r="AH153" s="52" t="e">
        <f>HLOOKUP(I153,GasAvoidedCostsWOCC!$A$5:$Q$50,T153+1,FALSE)</f>
        <v>#N/A</v>
      </c>
      <c r="AI153" s="44" t="e">
        <f t="shared" si="69"/>
        <v>#N/A</v>
      </c>
      <c r="AJ153" s="44" t="e">
        <f t="shared" si="70"/>
        <v>#N/A</v>
      </c>
      <c r="AK153" s="44" t="e">
        <f>HLOOKUP(I153,GasAvoidedCostsWOCC!$A$5:$Q$50,G153+1,FALSE)*J153*L153</f>
        <v>#N/A</v>
      </c>
      <c r="AL153" s="44" t="e">
        <f t="shared" si="71"/>
        <v>#N/A</v>
      </c>
      <c r="AM153" s="48">
        <f>IF(O153=0,0,IF(H153=0, HLOOKUP(I153,GasAvoidedCostsWOCC!$A$5:$Q$50,T153+1,FALSE)*K153*J153,HLOOKUP(I153,GasAvoidedCostsWOCC!$A$5:$Q$50,T153+1,FALSE)*L153*J153+HLOOKUP(I153,GasAvoidedCostsWOCC!$A$5:$Q$50,G153+1,FALSE)*K153*J153-HLOOKUP(I153,GasAvoidedCostsWOCC!$A$5:$Q$50,G153+1,FALSE)*L153*J153))</f>
        <v>0</v>
      </c>
      <c r="AN153" s="48">
        <f t="shared" si="72"/>
        <v>0</v>
      </c>
      <c r="AO153" s="47">
        <f t="shared" si="73"/>
        <v>0</v>
      </c>
      <c r="AP153" s="47" t="e">
        <f t="shared" si="74"/>
        <v>#DIV/0!</v>
      </c>
    </row>
    <row r="154" spans="2:42">
      <c r="B154" s="97"/>
      <c r="C154" s="100"/>
      <c r="D154" s="100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6"/>
        <v>0</v>
      </c>
      <c r="U154" s="47">
        <f t="shared" si="57"/>
        <v>0</v>
      </c>
      <c r="V154" s="48">
        <f t="shared" si="58"/>
        <v>0</v>
      </c>
      <c r="W154" s="49">
        <f t="shared" si="59"/>
        <v>0</v>
      </c>
      <c r="X154" s="44">
        <f t="shared" si="60"/>
        <v>0</v>
      </c>
      <c r="Y154" s="44">
        <f t="shared" si="61"/>
        <v>0</v>
      </c>
      <c r="Z154" s="44">
        <f t="shared" si="62"/>
        <v>0</v>
      </c>
      <c r="AA154" s="50">
        <f t="shared" si="63"/>
        <v>0</v>
      </c>
      <c r="AB154" s="51">
        <f t="shared" si="64"/>
        <v>0</v>
      </c>
      <c r="AC154" s="44">
        <f t="shared" si="65"/>
        <v>0</v>
      </c>
      <c r="AD154" s="44">
        <f t="shared" si="66"/>
        <v>0</v>
      </c>
      <c r="AE154" s="44">
        <f t="shared" si="67"/>
        <v>0</v>
      </c>
      <c r="AF154" s="52" t="e">
        <f>HLOOKUP(I154,GasAvoidedCostsWOCC!$A$5:$G$50,G154+1,FALSE)</f>
        <v>#N/A</v>
      </c>
      <c r="AG154" s="44" t="e">
        <f t="shared" si="68"/>
        <v>#N/A</v>
      </c>
      <c r="AH154" s="52" t="e">
        <f>HLOOKUP(I154,GasAvoidedCostsWOCC!$A$5:$Q$50,T154+1,FALSE)</f>
        <v>#N/A</v>
      </c>
      <c r="AI154" s="44" t="e">
        <f t="shared" si="69"/>
        <v>#N/A</v>
      </c>
      <c r="AJ154" s="44" t="e">
        <f t="shared" si="70"/>
        <v>#N/A</v>
      </c>
      <c r="AK154" s="44" t="e">
        <f>HLOOKUP(I154,GasAvoidedCostsWOCC!$A$5:$Q$50,G154+1,FALSE)*J154*L154</f>
        <v>#N/A</v>
      </c>
      <c r="AL154" s="44" t="e">
        <f t="shared" si="71"/>
        <v>#N/A</v>
      </c>
      <c r="AM154" s="48">
        <f>IF(O154=0,0,IF(H154=0, HLOOKUP(I154,GasAvoidedCostsWOCC!$A$5:$Q$50,T154+1,FALSE)*K154*J154,HLOOKUP(I154,GasAvoidedCostsWOCC!$A$5:$Q$50,T154+1,FALSE)*L154*J154+HLOOKUP(I154,GasAvoidedCostsWOCC!$A$5:$Q$50,G154+1,FALSE)*K154*J154-HLOOKUP(I154,GasAvoidedCostsWOCC!$A$5:$Q$50,G154+1,FALSE)*L154*J154))</f>
        <v>0</v>
      </c>
      <c r="AN154" s="48">
        <f t="shared" si="72"/>
        <v>0</v>
      </c>
      <c r="AO154" s="47">
        <f t="shared" si="73"/>
        <v>0</v>
      </c>
      <c r="AP154" s="47" t="e">
        <f t="shared" si="74"/>
        <v>#DIV/0!</v>
      </c>
    </row>
    <row r="155" spans="2:42">
      <c r="B155" s="97"/>
      <c r="C155" s="100"/>
      <c r="D155" s="100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6"/>
        <v>0</v>
      </c>
      <c r="U155" s="47">
        <f t="shared" si="57"/>
        <v>0</v>
      </c>
      <c r="V155" s="48">
        <f t="shared" si="58"/>
        <v>0</v>
      </c>
      <c r="W155" s="49">
        <f t="shared" si="59"/>
        <v>0</v>
      </c>
      <c r="X155" s="44">
        <f t="shared" si="60"/>
        <v>0</v>
      </c>
      <c r="Y155" s="44">
        <f t="shared" si="61"/>
        <v>0</v>
      </c>
      <c r="Z155" s="44">
        <f t="shared" si="62"/>
        <v>0</v>
      </c>
      <c r="AA155" s="50">
        <f t="shared" si="63"/>
        <v>0</v>
      </c>
      <c r="AB155" s="51">
        <f t="shared" si="64"/>
        <v>0</v>
      </c>
      <c r="AC155" s="44">
        <f t="shared" si="65"/>
        <v>0</v>
      </c>
      <c r="AD155" s="44">
        <f t="shared" si="66"/>
        <v>0</v>
      </c>
      <c r="AE155" s="44">
        <f t="shared" si="67"/>
        <v>0</v>
      </c>
      <c r="AF155" s="52" t="e">
        <f>HLOOKUP(I155,GasAvoidedCostsWOCC!$A$5:$G$50,G155+1,FALSE)</f>
        <v>#N/A</v>
      </c>
      <c r="AG155" s="44" t="e">
        <f t="shared" si="68"/>
        <v>#N/A</v>
      </c>
      <c r="AH155" s="52" t="e">
        <f>HLOOKUP(I155,GasAvoidedCostsWOCC!$A$5:$Q$50,T155+1,FALSE)</f>
        <v>#N/A</v>
      </c>
      <c r="AI155" s="44" t="e">
        <f t="shared" si="69"/>
        <v>#N/A</v>
      </c>
      <c r="AJ155" s="44" t="e">
        <f t="shared" si="70"/>
        <v>#N/A</v>
      </c>
      <c r="AK155" s="44" t="e">
        <f>HLOOKUP(I155,GasAvoidedCostsWOCC!$A$5:$Q$50,G155+1,FALSE)*J155*L155</f>
        <v>#N/A</v>
      </c>
      <c r="AL155" s="44" t="e">
        <f t="shared" si="71"/>
        <v>#N/A</v>
      </c>
      <c r="AM155" s="48">
        <f>IF(O155=0,0,IF(H155=0, HLOOKUP(I155,GasAvoidedCostsWOCC!$A$5:$Q$50,T155+1,FALSE)*K155*J155,HLOOKUP(I155,GasAvoidedCostsWOCC!$A$5:$Q$50,T155+1,FALSE)*L155*J155+HLOOKUP(I155,GasAvoidedCostsWOCC!$A$5:$Q$50,G155+1,FALSE)*K155*J155-HLOOKUP(I155,GasAvoidedCostsWOCC!$A$5:$Q$50,G155+1,FALSE)*L155*J155))</f>
        <v>0</v>
      </c>
      <c r="AN155" s="48">
        <f t="shared" si="72"/>
        <v>0</v>
      </c>
      <c r="AO155" s="47">
        <f t="shared" si="73"/>
        <v>0</v>
      </c>
      <c r="AP155" s="47" t="e">
        <f t="shared" si="74"/>
        <v>#DIV/0!</v>
      </c>
    </row>
    <row r="156" spans="2:42">
      <c r="B156" s="97"/>
      <c r="C156" s="100"/>
      <c r="D156" s="100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6"/>
        <v>0</v>
      </c>
      <c r="U156" s="47">
        <f t="shared" si="57"/>
        <v>0</v>
      </c>
      <c r="V156" s="48">
        <f t="shared" si="58"/>
        <v>0</v>
      </c>
      <c r="W156" s="49">
        <f t="shared" si="59"/>
        <v>0</v>
      </c>
      <c r="X156" s="44">
        <f t="shared" si="60"/>
        <v>0</v>
      </c>
      <c r="Y156" s="44">
        <f t="shared" si="61"/>
        <v>0</v>
      </c>
      <c r="Z156" s="44">
        <f t="shared" si="62"/>
        <v>0</v>
      </c>
      <c r="AA156" s="50">
        <f t="shared" si="63"/>
        <v>0</v>
      </c>
      <c r="AB156" s="51">
        <f t="shared" si="64"/>
        <v>0</v>
      </c>
      <c r="AC156" s="44">
        <f t="shared" si="65"/>
        <v>0</v>
      </c>
      <c r="AD156" s="44">
        <f t="shared" si="66"/>
        <v>0</v>
      </c>
      <c r="AE156" s="44">
        <f t="shared" si="67"/>
        <v>0</v>
      </c>
      <c r="AF156" s="52" t="e">
        <f>HLOOKUP(I156,GasAvoidedCostsWOCC!$A$5:$G$50,G156+1,FALSE)</f>
        <v>#N/A</v>
      </c>
      <c r="AG156" s="44" t="e">
        <f t="shared" si="68"/>
        <v>#N/A</v>
      </c>
      <c r="AH156" s="52" t="e">
        <f>HLOOKUP(I156,GasAvoidedCostsWOCC!$A$5:$Q$50,T156+1,FALSE)</f>
        <v>#N/A</v>
      </c>
      <c r="AI156" s="44" t="e">
        <f t="shared" si="69"/>
        <v>#N/A</v>
      </c>
      <c r="AJ156" s="44" t="e">
        <f t="shared" si="70"/>
        <v>#N/A</v>
      </c>
      <c r="AK156" s="44" t="e">
        <f>HLOOKUP(I156,GasAvoidedCostsWOCC!$A$5:$Q$50,G156+1,FALSE)*J156*L156</f>
        <v>#N/A</v>
      </c>
      <c r="AL156" s="44" t="e">
        <f t="shared" si="71"/>
        <v>#N/A</v>
      </c>
      <c r="AM156" s="48">
        <f>IF(O156=0,0,IF(H156=0, HLOOKUP(I156,GasAvoidedCostsWOCC!$A$5:$Q$50,T156+1,FALSE)*K156*J156,HLOOKUP(I156,GasAvoidedCostsWOCC!$A$5:$Q$50,T156+1,FALSE)*L156*J156+HLOOKUP(I156,GasAvoidedCostsWOCC!$A$5:$Q$50,G156+1,FALSE)*K156*J156-HLOOKUP(I156,GasAvoidedCostsWOCC!$A$5:$Q$50,G156+1,FALSE)*L156*J156))</f>
        <v>0</v>
      </c>
      <c r="AN156" s="48">
        <f t="shared" si="72"/>
        <v>0</v>
      </c>
      <c r="AO156" s="47">
        <f t="shared" si="73"/>
        <v>0</v>
      </c>
      <c r="AP156" s="47" t="e">
        <f t="shared" si="74"/>
        <v>#DIV/0!</v>
      </c>
    </row>
    <row r="157" spans="2:42">
      <c r="B157" s="97"/>
      <c r="C157" s="100"/>
      <c r="D157" s="100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6"/>
        <v>0</v>
      </c>
      <c r="U157" s="47">
        <f t="shared" si="57"/>
        <v>0</v>
      </c>
      <c r="V157" s="48">
        <f t="shared" si="58"/>
        <v>0</v>
      </c>
      <c r="W157" s="49">
        <f t="shared" si="59"/>
        <v>0</v>
      </c>
      <c r="X157" s="44">
        <f t="shared" si="60"/>
        <v>0</v>
      </c>
      <c r="Y157" s="44">
        <f t="shared" si="61"/>
        <v>0</v>
      </c>
      <c r="Z157" s="44">
        <f t="shared" si="62"/>
        <v>0</v>
      </c>
      <c r="AA157" s="50">
        <f t="shared" si="63"/>
        <v>0</v>
      </c>
      <c r="AB157" s="51">
        <f t="shared" si="64"/>
        <v>0</v>
      </c>
      <c r="AC157" s="44">
        <f t="shared" si="65"/>
        <v>0</v>
      </c>
      <c r="AD157" s="44">
        <f t="shared" si="66"/>
        <v>0</v>
      </c>
      <c r="AE157" s="44">
        <f t="shared" si="67"/>
        <v>0</v>
      </c>
      <c r="AF157" s="52" t="e">
        <f>HLOOKUP(I157,GasAvoidedCostsWOCC!$A$5:$G$50,G157+1,FALSE)</f>
        <v>#N/A</v>
      </c>
      <c r="AG157" s="44" t="e">
        <f t="shared" si="68"/>
        <v>#N/A</v>
      </c>
      <c r="AH157" s="52" t="e">
        <f>HLOOKUP(I157,GasAvoidedCostsWOCC!$A$5:$Q$50,T157+1,FALSE)</f>
        <v>#N/A</v>
      </c>
      <c r="AI157" s="44" t="e">
        <f t="shared" si="69"/>
        <v>#N/A</v>
      </c>
      <c r="AJ157" s="44" t="e">
        <f t="shared" si="70"/>
        <v>#N/A</v>
      </c>
      <c r="AK157" s="44" t="e">
        <f>HLOOKUP(I157,GasAvoidedCostsWOCC!$A$5:$Q$50,G157+1,FALSE)*J157*L157</f>
        <v>#N/A</v>
      </c>
      <c r="AL157" s="44" t="e">
        <f t="shared" si="71"/>
        <v>#N/A</v>
      </c>
      <c r="AM157" s="48">
        <f>IF(O157=0,0,IF(H157=0, HLOOKUP(I157,GasAvoidedCostsWOCC!$A$5:$Q$50,T157+1,FALSE)*K157*J157,HLOOKUP(I157,GasAvoidedCostsWOCC!$A$5:$Q$50,T157+1,FALSE)*L157*J157+HLOOKUP(I157,GasAvoidedCostsWOCC!$A$5:$Q$50,G157+1,FALSE)*K157*J157-HLOOKUP(I157,GasAvoidedCostsWOCC!$A$5:$Q$50,G157+1,FALSE)*L157*J157))</f>
        <v>0</v>
      </c>
      <c r="AN157" s="48">
        <f t="shared" si="72"/>
        <v>0</v>
      </c>
      <c r="AO157" s="47">
        <f t="shared" si="73"/>
        <v>0</v>
      </c>
      <c r="AP157" s="47" t="e">
        <f t="shared" si="74"/>
        <v>#DIV/0!</v>
      </c>
    </row>
    <row r="158" spans="2:42">
      <c r="B158" s="97"/>
      <c r="C158" s="100"/>
      <c r="D158" s="100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6"/>
        <v>0</v>
      </c>
      <c r="U158" s="47">
        <f t="shared" si="57"/>
        <v>0</v>
      </c>
      <c r="V158" s="48">
        <f t="shared" si="58"/>
        <v>0</v>
      </c>
      <c r="W158" s="49">
        <f t="shared" si="59"/>
        <v>0</v>
      </c>
      <c r="X158" s="44">
        <f t="shared" si="60"/>
        <v>0</v>
      </c>
      <c r="Y158" s="44">
        <f t="shared" si="61"/>
        <v>0</v>
      </c>
      <c r="Z158" s="44">
        <f t="shared" si="62"/>
        <v>0</v>
      </c>
      <c r="AA158" s="50">
        <f t="shared" si="63"/>
        <v>0</v>
      </c>
      <c r="AB158" s="51">
        <f t="shared" si="64"/>
        <v>0</v>
      </c>
      <c r="AC158" s="44">
        <f t="shared" si="65"/>
        <v>0</v>
      </c>
      <c r="AD158" s="44">
        <f t="shared" si="66"/>
        <v>0</v>
      </c>
      <c r="AE158" s="44">
        <f t="shared" si="67"/>
        <v>0</v>
      </c>
      <c r="AF158" s="52" t="e">
        <f>HLOOKUP(I158,GasAvoidedCostsWOCC!$A$5:$G$50,G158+1,FALSE)</f>
        <v>#N/A</v>
      </c>
      <c r="AG158" s="44" t="e">
        <f t="shared" si="68"/>
        <v>#N/A</v>
      </c>
      <c r="AH158" s="52" t="e">
        <f>HLOOKUP(I158,GasAvoidedCostsWOCC!$A$5:$Q$50,T158+1,FALSE)</f>
        <v>#N/A</v>
      </c>
      <c r="AI158" s="44" t="e">
        <f t="shared" si="69"/>
        <v>#N/A</v>
      </c>
      <c r="AJ158" s="44" t="e">
        <f t="shared" si="70"/>
        <v>#N/A</v>
      </c>
      <c r="AK158" s="44" t="e">
        <f>HLOOKUP(I158,GasAvoidedCostsWOCC!$A$5:$Q$50,G158+1,FALSE)*J158*L158</f>
        <v>#N/A</v>
      </c>
      <c r="AL158" s="44" t="e">
        <f t="shared" si="71"/>
        <v>#N/A</v>
      </c>
      <c r="AM158" s="48">
        <f>IF(O158=0,0,IF(H158=0, HLOOKUP(I158,GasAvoidedCostsWOCC!$A$5:$Q$50,T158+1,FALSE)*K158*J158,HLOOKUP(I158,GasAvoidedCostsWOCC!$A$5:$Q$50,T158+1,FALSE)*L158*J158+HLOOKUP(I158,GasAvoidedCostsWOCC!$A$5:$Q$50,G158+1,FALSE)*K158*J158-HLOOKUP(I158,GasAvoidedCostsWOCC!$A$5:$Q$50,G158+1,FALSE)*L158*J158))</f>
        <v>0</v>
      </c>
      <c r="AN158" s="48">
        <f t="shared" si="72"/>
        <v>0</v>
      </c>
      <c r="AO158" s="47">
        <f t="shared" si="73"/>
        <v>0</v>
      </c>
      <c r="AP158" s="47" t="e">
        <f t="shared" si="74"/>
        <v>#DIV/0!</v>
      </c>
    </row>
    <row r="159" spans="2:42">
      <c r="B159" s="97"/>
      <c r="C159" s="100"/>
      <c r="D159" s="100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6"/>
        <v>0</v>
      </c>
      <c r="U159" s="47">
        <f t="shared" si="57"/>
        <v>0</v>
      </c>
      <c r="V159" s="48">
        <f t="shared" si="58"/>
        <v>0</v>
      </c>
      <c r="W159" s="49">
        <f t="shared" si="59"/>
        <v>0</v>
      </c>
      <c r="X159" s="44">
        <f t="shared" si="60"/>
        <v>0</v>
      </c>
      <c r="Y159" s="44">
        <f t="shared" si="61"/>
        <v>0</v>
      </c>
      <c r="Z159" s="44">
        <f t="shared" si="62"/>
        <v>0</v>
      </c>
      <c r="AA159" s="50">
        <f t="shared" si="63"/>
        <v>0</v>
      </c>
      <c r="AB159" s="51">
        <f t="shared" si="64"/>
        <v>0</v>
      </c>
      <c r="AC159" s="44">
        <f t="shared" si="65"/>
        <v>0</v>
      </c>
      <c r="AD159" s="44">
        <f t="shared" si="66"/>
        <v>0</v>
      </c>
      <c r="AE159" s="44">
        <f t="shared" si="67"/>
        <v>0</v>
      </c>
      <c r="AF159" s="52" t="e">
        <f>HLOOKUP(I159,GasAvoidedCostsWOCC!$A$5:$G$50,G159+1,FALSE)</f>
        <v>#N/A</v>
      </c>
      <c r="AG159" s="44" t="e">
        <f t="shared" si="68"/>
        <v>#N/A</v>
      </c>
      <c r="AH159" s="52" t="e">
        <f>HLOOKUP(I159,GasAvoidedCostsWOCC!$A$5:$Q$50,T159+1,FALSE)</f>
        <v>#N/A</v>
      </c>
      <c r="AI159" s="44" t="e">
        <f t="shared" si="69"/>
        <v>#N/A</v>
      </c>
      <c r="AJ159" s="44" t="e">
        <f t="shared" si="70"/>
        <v>#N/A</v>
      </c>
      <c r="AK159" s="44" t="e">
        <f>HLOOKUP(I159,GasAvoidedCostsWOCC!$A$5:$Q$50,G159+1,FALSE)*J159*L159</f>
        <v>#N/A</v>
      </c>
      <c r="AL159" s="44" t="e">
        <f t="shared" si="71"/>
        <v>#N/A</v>
      </c>
      <c r="AM159" s="48">
        <f>IF(O159=0,0,IF(H159=0, HLOOKUP(I159,GasAvoidedCostsWOCC!$A$5:$Q$50,T159+1,FALSE)*K159*J159,HLOOKUP(I159,GasAvoidedCostsWOCC!$A$5:$Q$50,T159+1,FALSE)*L159*J159+HLOOKUP(I159,GasAvoidedCostsWOCC!$A$5:$Q$50,G159+1,FALSE)*K159*J159-HLOOKUP(I159,GasAvoidedCostsWOCC!$A$5:$Q$50,G159+1,FALSE)*L159*J159))</f>
        <v>0</v>
      </c>
      <c r="AN159" s="48">
        <f t="shared" si="72"/>
        <v>0</v>
      </c>
      <c r="AO159" s="47">
        <f t="shared" si="73"/>
        <v>0</v>
      </c>
      <c r="AP159" s="47" t="e">
        <f t="shared" si="74"/>
        <v>#DIV/0!</v>
      </c>
    </row>
    <row r="160" spans="2:42">
      <c r="B160" s="97"/>
      <c r="C160" s="100"/>
      <c r="D160" s="100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6"/>
        <v>0</v>
      </c>
      <c r="U160" s="47">
        <f t="shared" si="57"/>
        <v>0</v>
      </c>
      <c r="V160" s="48">
        <f t="shared" si="58"/>
        <v>0</v>
      </c>
      <c r="W160" s="49">
        <f t="shared" si="59"/>
        <v>0</v>
      </c>
      <c r="X160" s="44">
        <f t="shared" si="60"/>
        <v>0</v>
      </c>
      <c r="Y160" s="44">
        <f t="shared" si="61"/>
        <v>0</v>
      </c>
      <c r="Z160" s="44">
        <f t="shared" si="62"/>
        <v>0</v>
      </c>
      <c r="AA160" s="50">
        <f t="shared" si="63"/>
        <v>0</v>
      </c>
      <c r="AB160" s="51">
        <f t="shared" si="64"/>
        <v>0</v>
      </c>
      <c r="AC160" s="44">
        <f t="shared" si="65"/>
        <v>0</v>
      </c>
      <c r="AD160" s="44">
        <f t="shared" si="66"/>
        <v>0</v>
      </c>
      <c r="AE160" s="44">
        <f t="shared" si="67"/>
        <v>0</v>
      </c>
      <c r="AF160" s="52" t="e">
        <f>HLOOKUP(I160,GasAvoidedCostsWOCC!$A$5:$G$50,G160+1,FALSE)</f>
        <v>#N/A</v>
      </c>
      <c r="AG160" s="44" t="e">
        <f t="shared" si="68"/>
        <v>#N/A</v>
      </c>
      <c r="AH160" s="52" t="e">
        <f>HLOOKUP(I160,GasAvoidedCostsWOCC!$A$5:$Q$50,T160+1,FALSE)</f>
        <v>#N/A</v>
      </c>
      <c r="AI160" s="44" t="e">
        <f t="shared" si="69"/>
        <v>#N/A</v>
      </c>
      <c r="AJ160" s="44" t="e">
        <f t="shared" si="70"/>
        <v>#N/A</v>
      </c>
      <c r="AK160" s="44" t="e">
        <f>HLOOKUP(I160,GasAvoidedCostsWOCC!$A$5:$Q$50,G160+1,FALSE)*J160*L160</f>
        <v>#N/A</v>
      </c>
      <c r="AL160" s="44" t="e">
        <f t="shared" si="71"/>
        <v>#N/A</v>
      </c>
      <c r="AM160" s="48">
        <f>IF(O160=0,0,IF(H160=0, HLOOKUP(I160,GasAvoidedCostsWOCC!$A$5:$Q$50,T160+1,FALSE)*K160*J160,HLOOKUP(I160,GasAvoidedCostsWOCC!$A$5:$Q$50,T160+1,FALSE)*L160*J160+HLOOKUP(I160,GasAvoidedCostsWOCC!$A$5:$Q$50,G160+1,FALSE)*K160*J160-HLOOKUP(I160,GasAvoidedCostsWOCC!$A$5:$Q$50,G160+1,FALSE)*L160*J160))</f>
        <v>0</v>
      </c>
      <c r="AN160" s="48">
        <f t="shared" si="72"/>
        <v>0</v>
      </c>
      <c r="AO160" s="47">
        <f t="shared" si="73"/>
        <v>0</v>
      </c>
      <c r="AP160" s="47" t="e">
        <f t="shared" si="74"/>
        <v>#DIV/0!</v>
      </c>
    </row>
    <row r="161" spans="2:42">
      <c r="B161" s="97"/>
      <c r="C161" s="100"/>
      <c r="D161" s="100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6"/>
        <v>0</v>
      </c>
      <c r="U161" s="47">
        <f t="shared" si="57"/>
        <v>0</v>
      </c>
      <c r="V161" s="48">
        <f t="shared" si="58"/>
        <v>0</v>
      </c>
      <c r="W161" s="49">
        <f t="shared" si="59"/>
        <v>0</v>
      </c>
      <c r="X161" s="44">
        <f t="shared" si="60"/>
        <v>0</v>
      </c>
      <c r="Y161" s="44">
        <f t="shared" si="61"/>
        <v>0</v>
      </c>
      <c r="Z161" s="44">
        <f t="shared" si="62"/>
        <v>0</v>
      </c>
      <c r="AA161" s="50">
        <f t="shared" si="63"/>
        <v>0</v>
      </c>
      <c r="AB161" s="51">
        <f t="shared" si="64"/>
        <v>0</v>
      </c>
      <c r="AC161" s="44">
        <f t="shared" si="65"/>
        <v>0</v>
      </c>
      <c r="AD161" s="44">
        <f t="shared" si="66"/>
        <v>0</v>
      </c>
      <c r="AE161" s="44">
        <f t="shared" si="67"/>
        <v>0</v>
      </c>
      <c r="AF161" s="52" t="e">
        <f>HLOOKUP(I161,GasAvoidedCostsWOCC!$A$5:$G$50,G161+1,FALSE)</f>
        <v>#N/A</v>
      </c>
      <c r="AG161" s="44" t="e">
        <f t="shared" si="68"/>
        <v>#N/A</v>
      </c>
      <c r="AH161" s="52" t="e">
        <f>HLOOKUP(I161,GasAvoidedCostsWOCC!$A$5:$Q$50,T161+1,FALSE)</f>
        <v>#N/A</v>
      </c>
      <c r="AI161" s="44" t="e">
        <f t="shared" si="69"/>
        <v>#N/A</v>
      </c>
      <c r="AJ161" s="44" t="e">
        <f t="shared" si="70"/>
        <v>#N/A</v>
      </c>
      <c r="AK161" s="44" t="e">
        <f>HLOOKUP(I161,GasAvoidedCostsWOCC!$A$5:$Q$50,G161+1,FALSE)*J161*L161</f>
        <v>#N/A</v>
      </c>
      <c r="AL161" s="44" t="e">
        <f t="shared" si="71"/>
        <v>#N/A</v>
      </c>
      <c r="AM161" s="48">
        <f>IF(O161=0,0,IF(H161=0, HLOOKUP(I161,GasAvoidedCostsWOCC!$A$5:$Q$50,T161+1,FALSE)*K161*J161,HLOOKUP(I161,GasAvoidedCostsWOCC!$A$5:$Q$50,T161+1,FALSE)*L161*J161+HLOOKUP(I161,GasAvoidedCostsWOCC!$A$5:$Q$50,G161+1,FALSE)*K161*J161-HLOOKUP(I161,GasAvoidedCostsWOCC!$A$5:$Q$50,G161+1,FALSE)*L161*J161))</f>
        <v>0</v>
      </c>
      <c r="AN161" s="48">
        <f t="shared" si="72"/>
        <v>0</v>
      </c>
      <c r="AO161" s="47">
        <f t="shared" si="73"/>
        <v>0</v>
      </c>
      <c r="AP161" s="47" t="e">
        <f t="shared" si="74"/>
        <v>#DIV/0!</v>
      </c>
    </row>
    <row r="162" spans="2:42">
      <c r="B162" s="97"/>
      <c r="C162" s="100"/>
      <c r="D162" s="100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6"/>
        <v>0</v>
      </c>
      <c r="U162" s="47">
        <f t="shared" si="57"/>
        <v>0</v>
      </c>
      <c r="V162" s="48">
        <f t="shared" si="58"/>
        <v>0</v>
      </c>
      <c r="W162" s="49">
        <f t="shared" si="59"/>
        <v>0</v>
      </c>
      <c r="X162" s="44">
        <f t="shared" si="60"/>
        <v>0</v>
      </c>
      <c r="Y162" s="44">
        <f t="shared" si="61"/>
        <v>0</v>
      </c>
      <c r="Z162" s="44">
        <f t="shared" si="62"/>
        <v>0</v>
      </c>
      <c r="AA162" s="50">
        <f t="shared" si="63"/>
        <v>0</v>
      </c>
      <c r="AB162" s="51">
        <f t="shared" si="64"/>
        <v>0</v>
      </c>
      <c r="AC162" s="44">
        <f t="shared" si="65"/>
        <v>0</v>
      </c>
      <c r="AD162" s="44">
        <f t="shared" si="66"/>
        <v>0</v>
      </c>
      <c r="AE162" s="44">
        <f t="shared" si="67"/>
        <v>0</v>
      </c>
      <c r="AF162" s="52" t="e">
        <f>HLOOKUP(I162,GasAvoidedCostsWOCC!$A$5:$G$50,G162+1,FALSE)</f>
        <v>#N/A</v>
      </c>
      <c r="AG162" s="44" t="e">
        <f t="shared" si="68"/>
        <v>#N/A</v>
      </c>
      <c r="AH162" s="52" t="e">
        <f>HLOOKUP(I162,GasAvoidedCostsWOCC!$A$5:$Q$50,T162+1,FALSE)</f>
        <v>#N/A</v>
      </c>
      <c r="AI162" s="44" t="e">
        <f t="shared" si="69"/>
        <v>#N/A</v>
      </c>
      <c r="AJ162" s="44" t="e">
        <f t="shared" si="70"/>
        <v>#N/A</v>
      </c>
      <c r="AK162" s="44" t="e">
        <f>HLOOKUP(I162,GasAvoidedCostsWOCC!$A$5:$Q$50,G162+1,FALSE)*J162*L162</f>
        <v>#N/A</v>
      </c>
      <c r="AL162" s="44" t="e">
        <f t="shared" si="71"/>
        <v>#N/A</v>
      </c>
      <c r="AM162" s="48">
        <f>IF(O162=0,0,IF(H162=0, HLOOKUP(I162,GasAvoidedCostsWOCC!$A$5:$Q$50,T162+1,FALSE)*K162*J162,HLOOKUP(I162,GasAvoidedCostsWOCC!$A$5:$Q$50,T162+1,FALSE)*L162*J162+HLOOKUP(I162,GasAvoidedCostsWOCC!$A$5:$Q$50,G162+1,FALSE)*K162*J162-HLOOKUP(I162,GasAvoidedCostsWOCC!$A$5:$Q$50,G162+1,FALSE)*L162*J162))</f>
        <v>0</v>
      </c>
      <c r="AN162" s="48">
        <f t="shared" si="72"/>
        <v>0</v>
      </c>
      <c r="AO162" s="47">
        <f t="shared" si="73"/>
        <v>0</v>
      </c>
      <c r="AP162" s="47" t="e">
        <f t="shared" si="74"/>
        <v>#DIV/0!</v>
      </c>
    </row>
    <row r="163" spans="2:42">
      <c r="B163" s="97"/>
      <c r="C163" s="100"/>
      <c r="D163" s="100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6"/>
        <v>0</v>
      </c>
      <c r="U163" s="47">
        <f t="shared" si="57"/>
        <v>0</v>
      </c>
      <c r="V163" s="48">
        <f t="shared" si="58"/>
        <v>0</v>
      </c>
      <c r="W163" s="49">
        <f t="shared" si="59"/>
        <v>0</v>
      </c>
      <c r="X163" s="44">
        <f t="shared" si="60"/>
        <v>0</v>
      </c>
      <c r="Y163" s="44">
        <f t="shared" si="61"/>
        <v>0</v>
      </c>
      <c r="Z163" s="44">
        <f t="shared" si="62"/>
        <v>0</v>
      </c>
      <c r="AA163" s="50">
        <f t="shared" si="63"/>
        <v>0</v>
      </c>
      <c r="AB163" s="51">
        <f t="shared" si="64"/>
        <v>0</v>
      </c>
      <c r="AC163" s="44">
        <f t="shared" si="65"/>
        <v>0</v>
      </c>
      <c r="AD163" s="44">
        <f t="shared" si="66"/>
        <v>0</v>
      </c>
      <c r="AE163" s="44">
        <f t="shared" si="67"/>
        <v>0</v>
      </c>
      <c r="AF163" s="52" t="e">
        <f>HLOOKUP(I163,GasAvoidedCostsWOCC!$A$5:$G$50,G163+1,FALSE)</f>
        <v>#N/A</v>
      </c>
      <c r="AG163" s="44" t="e">
        <f t="shared" si="68"/>
        <v>#N/A</v>
      </c>
      <c r="AH163" s="52" t="e">
        <f>HLOOKUP(I163,GasAvoidedCostsWOCC!$A$5:$Q$50,T163+1,FALSE)</f>
        <v>#N/A</v>
      </c>
      <c r="AI163" s="44" t="e">
        <f t="shared" si="69"/>
        <v>#N/A</v>
      </c>
      <c r="AJ163" s="44" t="e">
        <f t="shared" si="70"/>
        <v>#N/A</v>
      </c>
      <c r="AK163" s="44" t="e">
        <f>HLOOKUP(I163,GasAvoidedCostsWOCC!$A$5:$Q$50,G163+1,FALSE)*J163*L163</f>
        <v>#N/A</v>
      </c>
      <c r="AL163" s="44" t="e">
        <f t="shared" si="71"/>
        <v>#N/A</v>
      </c>
      <c r="AM163" s="48">
        <f>IF(O163=0,0,IF(H163=0, HLOOKUP(I163,GasAvoidedCostsWOCC!$A$5:$Q$50,T163+1,FALSE)*K163*J163,HLOOKUP(I163,GasAvoidedCostsWOCC!$A$5:$Q$50,T163+1,FALSE)*L163*J163+HLOOKUP(I163,GasAvoidedCostsWOCC!$A$5:$Q$50,G163+1,FALSE)*K163*J163-HLOOKUP(I163,GasAvoidedCostsWOCC!$A$5:$Q$50,G163+1,FALSE)*L163*J163))</f>
        <v>0</v>
      </c>
      <c r="AN163" s="48">
        <f t="shared" si="72"/>
        <v>0</v>
      </c>
      <c r="AO163" s="47">
        <f t="shared" si="73"/>
        <v>0</v>
      </c>
      <c r="AP163" s="47" t="e">
        <f t="shared" si="74"/>
        <v>#DIV/0!</v>
      </c>
    </row>
    <row r="164" spans="2:42">
      <c r="B164" s="97"/>
      <c r="C164" s="100"/>
      <c r="D164" s="100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6"/>
        <v>0</v>
      </c>
      <c r="U164" s="47">
        <f t="shared" si="57"/>
        <v>0</v>
      </c>
      <c r="V164" s="48">
        <f t="shared" si="58"/>
        <v>0</v>
      </c>
      <c r="W164" s="49">
        <f t="shared" si="59"/>
        <v>0</v>
      </c>
      <c r="X164" s="44">
        <f t="shared" si="60"/>
        <v>0</v>
      </c>
      <c r="Y164" s="44">
        <f t="shared" si="61"/>
        <v>0</v>
      </c>
      <c r="Z164" s="44">
        <f t="shared" si="62"/>
        <v>0</v>
      </c>
      <c r="AA164" s="50">
        <f t="shared" si="63"/>
        <v>0</v>
      </c>
      <c r="AB164" s="51">
        <f t="shared" si="64"/>
        <v>0</v>
      </c>
      <c r="AC164" s="44">
        <f t="shared" si="65"/>
        <v>0</v>
      </c>
      <c r="AD164" s="44">
        <f t="shared" si="66"/>
        <v>0</v>
      </c>
      <c r="AE164" s="44">
        <f t="shared" si="67"/>
        <v>0</v>
      </c>
      <c r="AF164" s="52" t="e">
        <f>HLOOKUP(I164,GasAvoidedCostsWOCC!$A$5:$G$50,G164+1,FALSE)</f>
        <v>#N/A</v>
      </c>
      <c r="AG164" s="44" t="e">
        <f t="shared" si="68"/>
        <v>#N/A</v>
      </c>
      <c r="AH164" s="52" t="e">
        <f>HLOOKUP(I164,GasAvoidedCostsWOCC!$A$5:$Q$50,T164+1,FALSE)</f>
        <v>#N/A</v>
      </c>
      <c r="AI164" s="44" t="e">
        <f t="shared" si="69"/>
        <v>#N/A</v>
      </c>
      <c r="AJ164" s="44" t="e">
        <f t="shared" si="70"/>
        <v>#N/A</v>
      </c>
      <c r="AK164" s="44" t="e">
        <f>HLOOKUP(I164,GasAvoidedCostsWOCC!$A$5:$Q$50,G164+1,FALSE)*J164*L164</f>
        <v>#N/A</v>
      </c>
      <c r="AL164" s="44" t="e">
        <f t="shared" si="71"/>
        <v>#N/A</v>
      </c>
      <c r="AM164" s="48">
        <f>IF(O164=0,0,IF(H164=0, HLOOKUP(I164,GasAvoidedCostsWOCC!$A$5:$Q$50,T164+1,FALSE)*K164*J164,HLOOKUP(I164,GasAvoidedCostsWOCC!$A$5:$Q$50,T164+1,FALSE)*L164*J164+HLOOKUP(I164,GasAvoidedCostsWOCC!$A$5:$Q$50,G164+1,FALSE)*K164*J164-HLOOKUP(I164,GasAvoidedCostsWOCC!$A$5:$Q$50,G164+1,FALSE)*L164*J164))</f>
        <v>0</v>
      </c>
      <c r="AN164" s="48">
        <f t="shared" si="72"/>
        <v>0</v>
      </c>
      <c r="AO164" s="47">
        <f t="shared" si="73"/>
        <v>0</v>
      </c>
      <c r="AP164" s="47" t="e">
        <f t="shared" si="74"/>
        <v>#DIV/0!</v>
      </c>
    </row>
    <row r="165" spans="2:42">
      <c r="B165" s="97"/>
      <c r="C165" s="100"/>
      <c r="D165" s="100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6"/>
        <v>0</v>
      </c>
      <c r="U165" s="47">
        <f t="shared" si="57"/>
        <v>0</v>
      </c>
      <c r="V165" s="48">
        <f t="shared" si="58"/>
        <v>0</v>
      </c>
      <c r="W165" s="49">
        <f t="shared" si="59"/>
        <v>0</v>
      </c>
      <c r="X165" s="44">
        <f t="shared" si="60"/>
        <v>0</v>
      </c>
      <c r="Y165" s="44">
        <f t="shared" si="61"/>
        <v>0</v>
      </c>
      <c r="Z165" s="44">
        <f t="shared" si="62"/>
        <v>0</v>
      </c>
      <c r="AA165" s="50">
        <f t="shared" si="63"/>
        <v>0</v>
      </c>
      <c r="AB165" s="51">
        <f t="shared" si="64"/>
        <v>0</v>
      </c>
      <c r="AC165" s="44">
        <f t="shared" si="65"/>
        <v>0</v>
      </c>
      <c r="AD165" s="44">
        <f t="shared" si="66"/>
        <v>0</v>
      </c>
      <c r="AE165" s="44">
        <f t="shared" si="67"/>
        <v>0</v>
      </c>
      <c r="AF165" s="52" t="e">
        <f>HLOOKUP(I165,GasAvoidedCostsWOCC!$A$5:$G$50,G165+1,FALSE)</f>
        <v>#N/A</v>
      </c>
      <c r="AG165" s="44" t="e">
        <f t="shared" si="68"/>
        <v>#N/A</v>
      </c>
      <c r="AH165" s="52" t="e">
        <f>HLOOKUP(I165,GasAvoidedCostsWOCC!$A$5:$Q$50,T165+1,FALSE)</f>
        <v>#N/A</v>
      </c>
      <c r="AI165" s="44" t="e">
        <f t="shared" si="69"/>
        <v>#N/A</v>
      </c>
      <c r="AJ165" s="44" t="e">
        <f t="shared" si="70"/>
        <v>#N/A</v>
      </c>
      <c r="AK165" s="44" t="e">
        <f>HLOOKUP(I165,GasAvoidedCostsWOCC!$A$5:$Q$50,G165+1,FALSE)*J165*L165</f>
        <v>#N/A</v>
      </c>
      <c r="AL165" s="44" t="e">
        <f t="shared" si="71"/>
        <v>#N/A</v>
      </c>
      <c r="AM165" s="48">
        <f>IF(O165=0,0,IF(H165=0, HLOOKUP(I165,GasAvoidedCostsWOCC!$A$5:$Q$50,T165+1,FALSE)*K165*J165,HLOOKUP(I165,GasAvoidedCostsWOCC!$A$5:$Q$50,T165+1,FALSE)*L165*J165+HLOOKUP(I165,GasAvoidedCostsWOCC!$A$5:$Q$50,G165+1,FALSE)*K165*J165-HLOOKUP(I165,GasAvoidedCostsWOCC!$A$5:$Q$50,G165+1,FALSE)*L165*J165))</f>
        <v>0</v>
      </c>
      <c r="AN165" s="48">
        <f t="shared" si="72"/>
        <v>0</v>
      </c>
      <c r="AO165" s="47">
        <f t="shared" si="73"/>
        <v>0</v>
      </c>
      <c r="AP165" s="47" t="e">
        <f t="shared" si="74"/>
        <v>#DIV/0!</v>
      </c>
    </row>
    <row r="166" spans="2:42">
      <c r="B166" s="97"/>
      <c r="C166" s="100"/>
      <c r="D166" s="100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6"/>
        <v>0</v>
      </c>
      <c r="U166" s="47">
        <f t="shared" si="57"/>
        <v>0</v>
      </c>
      <c r="V166" s="48">
        <f t="shared" si="58"/>
        <v>0</v>
      </c>
      <c r="W166" s="49">
        <f t="shared" si="59"/>
        <v>0</v>
      </c>
      <c r="X166" s="44">
        <f t="shared" si="60"/>
        <v>0</v>
      </c>
      <c r="Y166" s="44">
        <f t="shared" si="61"/>
        <v>0</v>
      </c>
      <c r="Z166" s="44">
        <f t="shared" si="62"/>
        <v>0</v>
      </c>
      <c r="AA166" s="50">
        <f t="shared" si="63"/>
        <v>0</v>
      </c>
      <c r="AB166" s="51">
        <f t="shared" si="64"/>
        <v>0</v>
      </c>
      <c r="AC166" s="44">
        <f t="shared" si="65"/>
        <v>0</v>
      </c>
      <c r="AD166" s="44">
        <f t="shared" si="66"/>
        <v>0</v>
      </c>
      <c r="AE166" s="44">
        <f t="shared" si="67"/>
        <v>0</v>
      </c>
      <c r="AF166" s="52" t="e">
        <f>HLOOKUP(I166,GasAvoidedCostsWOCC!$A$5:$G$50,G166+1,FALSE)</f>
        <v>#N/A</v>
      </c>
      <c r="AG166" s="44" t="e">
        <f t="shared" si="68"/>
        <v>#N/A</v>
      </c>
      <c r="AH166" s="52" t="e">
        <f>HLOOKUP(I166,GasAvoidedCostsWOCC!$A$5:$Q$50,T166+1,FALSE)</f>
        <v>#N/A</v>
      </c>
      <c r="AI166" s="44" t="e">
        <f t="shared" si="69"/>
        <v>#N/A</v>
      </c>
      <c r="AJ166" s="44" t="e">
        <f t="shared" si="70"/>
        <v>#N/A</v>
      </c>
      <c r="AK166" s="44" t="e">
        <f>HLOOKUP(I166,GasAvoidedCostsWOCC!$A$5:$Q$50,G166+1,FALSE)*J166*L166</f>
        <v>#N/A</v>
      </c>
      <c r="AL166" s="44" t="e">
        <f t="shared" si="71"/>
        <v>#N/A</v>
      </c>
      <c r="AM166" s="48">
        <f>IF(O166=0,0,IF(H166=0, HLOOKUP(I166,GasAvoidedCostsWOCC!$A$5:$Q$50,T166+1,FALSE)*K166*J166,HLOOKUP(I166,GasAvoidedCostsWOCC!$A$5:$Q$50,T166+1,FALSE)*L166*J166+HLOOKUP(I166,GasAvoidedCostsWOCC!$A$5:$Q$50,G166+1,FALSE)*K166*J166-HLOOKUP(I166,GasAvoidedCostsWOCC!$A$5:$Q$50,G166+1,FALSE)*L166*J166))</f>
        <v>0</v>
      </c>
      <c r="AN166" s="48">
        <f t="shared" si="72"/>
        <v>0</v>
      </c>
      <c r="AO166" s="47">
        <f t="shared" si="73"/>
        <v>0</v>
      </c>
      <c r="AP166" s="47" t="e">
        <f t="shared" si="74"/>
        <v>#DIV/0!</v>
      </c>
    </row>
    <row r="167" spans="2:42">
      <c r="B167" s="97"/>
      <c r="C167" s="100"/>
      <c r="D167" s="100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6"/>
        <v>0</v>
      </c>
      <c r="U167" s="47">
        <f t="shared" si="57"/>
        <v>0</v>
      </c>
      <c r="V167" s="48">
        <f t="shared" si="58"/>
        <v>0</v>
      </c>
      <c r="W167" s="49">
        <f t="shared" si="59"/>
        <v>0</v>
      </c>
      <c r="X167" s="44">
        <f t="shared" si="60"/>
        <v>0</v>
      </c>
      <c r="Y167" s="44">
        <f t="shared" si="61"/>
        <v>0</v>
      </c>
      <c r="Z167" s="44">
        <f t="shared" si="62"/>
        <v>0</v>
      </c>
      <c r="AA167" s="50">
        <f t="shared" si="63"/>
        <v>0</v>
      </c>
      <c r="AB167" s="51">
        <f t="shared" si="64"/>
        <v>0</v>
      </c>
      <c r="AC167" s="44">
        <f t="shared" si="65"/>
        <v>0</v>
      </c>
      <c r="AD167" s="44">
        <f t="shared" si="66"/>
        <v>0</v>
      </c>
      <c r="AE167" s="44">
        <f t="shared" si="67"/>
        <v>0</v>
      </c>
      <c r="AF167" s="52" t="e">
        <f>HLOOKUP(I167,GasAvoidedCostsWOCC!$A$5:$G$50,G167+1,FALSE)</f>
        <v>#N/A</v>
      </c>
      <c r="AG167" s="44" t="e">
        <f t="shared" si="68"/>
        <v>#N/A</v>
      </c>
      <c r="AH167" s="52" t="e">
        <f>HLOOKUP(I167,GasAvoidedCostsWOCC!$A$5:$Q$50,T167+1,FALSE)</f>
        <v>#N/A</v>
      </c>
      <c r="AI167" s="44" t="e">
        <f t="shared" si="69"/>
        <v>#N/A</v>
      </c>
      <c r="AJ167" s="44" t="e">
        <f t="shared" si="70"/>
        <v>#N/A</v>
      </c>
      <c r="AK167" s="44" t="e">
        <f>HLOOKUP(I167,GasAvoidedCostsWOCC!$A$5:$Q$50,G167+1,FALSE)*J167*L167</f>
        <v>#N/A</v>
      </c>
      <c r="AL167" s="44" t="e">
        <f t="shared" si="71"/>
        <v>#N/A</v>
      </c>
      <c r="AM167" s="48">
        <f>IF(O167=0,0,IF(H167=0, HLOOKUP(I167,GasAvoidedCostsWOCC!$A$5:$Q$50,T167+1,FALSE)*K167*J167,HLOOKUP(I167,GasAvoidedCostsWOCC!$A$5:$Q$50,T167+1,FALSE)*L167*J167+HLOOKUP(I167,GasAvoidedCostsWOCC!$A$5:$Q$50,G167+1,FALSE)*K167*J167-HLOOKUP(I167,GasAvoidedCostsWOCC!$A$5:$Q$50,G167+1,FALSE)*L167*J167))</f>
        <v>0</v>
      </c>
      <c r="AN167" s="48">
        <f t="shared" si="72"/>
        <v>0</v>
      </c>
      <c r="AO167" s="47">
        <f t="shared" si="73"/>
        <v>0</v>
      </c>
      <c r="AP167" s="47" t="e">
        <f t="shared" si="74"/>
        <v>#DIV/0!</v>
      </c>
    </row>
    <row r="168" spans="2:42">
      <c r="B168" s="97"/>
      <c r="C168" s="100"/>
      <c r="D168" s="100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6"/>
        <v>0</v>
      </c>
      <c r="U168" s="47">
        <f t="shared" si="57"/>
        <v>0</v>
      </c>
      <c r="V168" s="48">
        <f t="shared" si="58"/>
        <v>0</v>
      </c>
      <c r="W168" s="49">
        <f t="shared" si="59"/>
        <v>0</v>
      </c>
      <c r="X168" s="44">
        <f t="shared" si="60"/>
        <v>0</v>
      </c>
      <c r="Y168" s="44">
        <f t="shared" si="61"/>
        <v>0</v>
      </c>
      <c r="Z168" s="44">
        <f t="shared" si="62"/>
        <v>0</v>
      </c>
      <c r="AA168" s="50">
        <f t="shared" si="63"/>
        <v>0</v>
      </c>
      <c r="AB168" s="51">
        <f t="shared" si="64"/>
        <v>0</v>
      </c>
      <c r="AC168" s="44">
        <f t="shared" si="65"/>
        <v>0</v>
      </c>
      <c r="AD168" s="44">
        <f t="shared" si="66"/>
        <v>0</v>
      </c>
      <c r="AE168" s="44">
        <f t="shared" si="67"/>
        <v>0</v>
      </c>
      <c r="AF168" s="52" t="e">
        <f>HLOOKUP(I168,GasAvoidedCostsWOCC!$A$5:$G$50,G168+1,FALSE)</f>
        <v>#N/A</v>
      </c>
      <c r="AG168" s="44" t="e">
        <f t="shared" si="68"/>
        <v>#N/A</v>
      </c>
      <c r="AH168" s="52" t="e">
        <f>HLOOKUP(I168,GasAvoidedCostsWOCC!$A$5:$Q$50,T168+1,FALSE)</f>
        <v>#N/A</v>
      </c>
      <c r="AI168" s="44" t="e">
        <f t="shared" si="69"/>
        <v>#N/A</v>
      </c>
      <c r="AJ168" s="44" t="e">
        <f t="shared" si="70"/>
        <v>#N/A</v>
      </c>
      <c r="AK168" s="44" t="e">
        <f>HLOOKUP(I168,GasAvoidedCostsWOCC!$A$5:$Q$50,G168+1,FALSE)*J168*L168</f>
        <v>#N/A</v>
      </c>
      <c r="AL168" s="44" t="e">
        <f t="shared" si="71"/>
        <v>#N/A</v>
      </c>
      <c r="AM168" s="48">
        <f>IF(O168=0,0,IF(H168=0, HLOOKUP(I168,GasAvoidedCostsWOCC!$A$5:$Q$50,T168+1,FALSE)*K168*J168,HLOOKUP(I168,GasAvoidedCostsWOCC!$A$5:$Q$50,T168+1,FALSE)*L168*J168+HLOOKUP(I168,GasAvoidedCostsWOCC!$A$5:$Q$50,G168+1,FALSE)*K168*J168-HLOOKUP(I168,GasAvoidedCostsWOCC!$A$5:$Q$50,G168+1,FALSE)*L168*J168))</f>
        <v>0</v>
      </c>
      <c r="AN168" s="48">
        <f t="shared" si="72"/>
        <v>0</v>
      </c>
      <c r="AO168" s="47">
        <f t="shared" si="73"/>
        <v>0</v>
      </c>
      <c r="AP168" s="47" t="e">
        <f t="shared" si="74"/>
        <v>#DIV/0!</v>
      </c>
    </row>
    <row r="169" spans="2:42">
      <c r="B169" s="97"/>
      <c r="C169" s="100"/>
      <c r="D169" s="100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6"/>
        <v>0</v>
      </c>
      <c r="U169" s="47">
        <f t="shared" si="57"/>
        <v>0</v>
      </c>
      <c r="V169" s="48">
        <f t="shared" si="58"/>
        <v>0</v>
      </c>
      <c r="W169" s="49">
        <f t="shared" si="59"/>
        <v>0</v>
      </c>
      <c r="X169" s="44">
        <f t="shared" si="60"/>
        <v>0</v>
      </c>
      <c r="Y169" s="44">
        <f t="shared" si="61"/>
        <v>0</v>
      </c>
      <c r="Z169" s="44">
        <f t="shared" si="62"/>
        <v>0</v>
      </c>
      <c r="AA169" s="50">
        <f t="shared" si="63"/>
        <v>0</v>
      </c>
      <c r="AB169" s="51">
        <f t="shared" si="64"/>
        <v>0</v>
      </c>
      <c r="AC169" s="44">
        <f t="shared" si="65"/>
        <v>0</v>
      </c>
      <c r="AD169" s="44">
        <f t="shared" si="66"/>
        <v>0</v>
      </c>
      <c r="AE169" s="44">
        <f t="shared" si="67"/>
        <v>0</v>
      </c>
      <c r="AF169" s="52" t="e">
        <f>HLOOKUP(I169,GasAvoidedCostsWOCC!$A$5:$G$50,G169+1,FALSE)</f>
        <v>#N/A</v>
      </c>
      <c r="AG169" s="44" t="e">
        <f t="shared" si="68"/>
        <v>#N/A</v>
      </c>
      <c r="AH169" s="52" t="e">
        <f>HLOOKUP(I169,GasAvoidedCostsWOCC!$A$5:$Q$50,T169+1,FALSE)</f>
        <v>#N/A</v>
      </c>
      <c r="AI169" s="44" t="e">
        <f t="shared" si="69"/>
        <v>#N/A</v>
      </c>
      <c r="AJ169" s="44" t="e">
        <f t="shared" si="70"/>
        <v>#N/A</v>
      </c>
      <c r="AK169" s="44" t="e">
        <f>HLOOKUP(I169,GasAvoidedCostsWOCC!$A$5:$Q$50,G169+1,FALSE)*J169*L169</f>
        <v>#N/A</v>
      </c>
      <c r="AL169" s="44" t="e">
        <f t="shared" si="71"/>
        <v>#N/A</v>
      </c>
      <c r="AM169" s="48">
        <f>IF(O169=0,0,IF(H169=0, HLOOKUP(I169,GasAvoidedCostsWOCC!$A$5:$Q$50,T169+1,FALSE)*K169*J169,HLOOKUP(I169,GasAvoidedCostsWOCC!$A$5:$Q$50,T169+1,FALSE)*L169*J169+HLOOKUP(I169,GasAvoidedCostsWOCC!$A$5:$Q$50,G169+1,FALSE)*K169*J169-HLOOKUP(I169,GasAvoidedCostsWOCC!$A$5:$Q$50,G169+1,FALSE)*L169*J169))</f>
        <v>0</v>
      </c>
      <c r="AN169" s="48">
        <f t="shared" si="72"/>
        <v>0</v>
      </c>
      <c r="AO169" s="47">
        <f t="shared" si="73"/>
        <v>0</v>
      </c>
      <c r="AP169" s="47" t="e">
        <f t="shared" si="74"/>
        <v>#DIV/0!</v>
      </c>
    </row>
    <row r="170" spans="2:42">
      <c r="B170" s="97"/>
      <c r="C170" s="100"/>
      <c r="D170" s="100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6"/>
        <v>0</v>
      </c>
      <c r="U170" s="47">
        <f t="shared" si="57"/>
        <v>0</v>
      </c>
      <c r="V170" s="48">
        <f t="shared" si="58"/>
        <v>0</v>
      </c>
      <c r="W170" s="49">
        <f t="shared" si="59"/>
        <v>0</v>
      </c>
      <c r="X170" s="44">
        <f t="shared" si="60"/>
        <v>0</v>
      </c>
      <c r="Y170" s="44">
        <f t="shared" si="61"/>
        <v>0</v>
      </c>
      <c r="Z170" s="44">
        <f t="shared" si="62"/>
        <v>0</v>
      </c>
      <c r="AA170" s="50">
        <f t="shared" si="63"/>
        <v>0</v>
      </c>
      <c r="AB170" s="51">
        <f t="shared" si="64"/>
        <v>0</v>
      </c>
      <c r="AC170" s="44">
        <f t="shared" si="65"/>
        <v>0</v>
      </c>
      <c r="AD170" s="44">
        <f t="shared" si="66"/>
        <v>0</v>
      </c>
      <c r="AE170" s="44">
        <f t="shared" si="67"/>
        <v>0</v>
      </c>
      <c r="AF170" s="52" t="e">
        <f>HLOOKUP(I170,GasAvoidedCostsWOCC!$A$5:$G$50,G170+1,FALSE)</f>
        <v>#N/A</v>
      </c>
      <c r="AG170" s="44" t="e">
        <f t="shared" si="68"/>
        <v>#N/A</v>
      </c>
      <c r="AH170" s="52" t="e">
        <f>HLOOKUP(I170,GasAvoidedCostsWOCC!$A$5:$Q$50,T170+1,FALSE)</f>
        <v>#N/A</v>
      </c>
      <c r="AI170" s="44" t="e">
        <f t="shared" si="69"/>
        <v>#N/A</v>
      </c>
      <c r="AJ170" s="44" t="e">
        <f t="shared" si="70"/>
        <v>#N/A</v>
      </c>
      <c r="AK170" s="44" t="e">
        <f>HLOOKUP(I170,GasAvoidedCostsWOCC!$A$5:$Q$50,G170+1,FALSE)*J170*L170</f>
        <v>#N/A</v>
      </c>
      <c r="AL170" s="44" t="e">
        <f t="shared" si="71"/>
        <v>#N/A</v>
      </c>
      <c r="AM170" s="48">
        <f>IF(O170=0,0,IF(H170=0, HLOOKUP(I170,GasAvoidedCostsWOCC!$A$5:$Q$50,T170+1,FALSE)*K170*J170,HLOOKUP(I170,GasAvoidedCostsWOCC!$A$5:$Q$50,T170+1,FALSE)*L170*J170+HLOOKUP(I170,GasAvoidedCostsWOCC!$A$5:$Q$50,G170+1,FALSE)*K170*J170-HLOOKUP(I170,GasAvoidedCostsWOCC!$A$5:$Q$50,G170+1,FALSE)*L170*J170))</f>
        <v>0</v>
      </c>
      <c r="AN170" s="48">
        <f t="shared" si="72"/>
        <v>0</v>
      </c>
      <c r="AO170" s="47">
        <f t="shared" si="73"/>
        <v>0</v>
      </c>
      <c r="AP170" s="47" t="e">
        <f t="shared" si="74"/>
        <v>#DIV/0!</v>
      </c>
    </row>
    <row r="171" spans="2:42">
      <c r="B171" s="97"/>
      <c r="C171" s="100"/>
      <c r="D171" s="100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6"/>
        <v>0</v>
      </c>
      <c r="U171" s="47">
        <f t="shared" si="57"/>
        <v>0</v>
      </c>
      <c r="V171" s="48">
        <f t="shared" si="58"/>
        <v>0</v>
      </c>
      <c r="W171" s="49">
        <f t="shared" si="59"/>
        <v>0</v>
      </c>
      <c r="X171" s="44">
        <f t="shared" si="60"/>
        <v>0</v>
      </c>
      <c r="Y171" s="44">
        <f t="shared" si="61"/>
        <v>0</v>
      </c>
      <c r="Z171" s="44">
        <f t="shared" si="62"/>
        <v>0</v>
      </c>
      <c r="AA171" s="50">
        <f t="shared" si="63"/>
        <v>0</v>
      </c>
      <c r="AB171" s="51">
        <f t="shared" si="64"/>
        <v>0</v>
      </c>
      <c r="AC171" s="44">
        <f t="shared" si="65"/>
        <v>0</v>
      </c>
      <c r="AD171" s="44">
        <f t="shared" si="66"/>
        <v>0</v>
      </c>
      <c r="AE171" s="44">
        <f t="shared" si="67"/>
        <v>0</v>
      </c>
      <c r="AF171" s="52" t="e">
        <f>HLOOKUP(I171,GasAvoidedCostsWOCC!$A$5:$G$50,G171+1,FALSE)</f>
        <v>#N/A</v>
      </c>
      <c r="AG171" s="44" t="e">
        <f t="shared" si="68"/>
        <v>#N/A</v>
      </c>
      <c r="AH171" s="52" t="e">
        <f>HLOOKUP(I171,GasAvoidedCostsWOCC!$A$5:$Q$50,T171+1,FALSE)</f>
        <v>#N/A</v>
      </c>
      <c r="AI171" s="44" t="e">
        <f t="shared" si="69"/>
        <v>#N/A</v>
      </c>
      <c r="AJ171" s="44" t="e">
        <f t="shared" si="70"/>
        <v>#N/A</v>
      </c>
      <c r="AK171" s="44" t="e">
        <f>HLOOKUP(I171,GasAvoidedCostsWOCC!$A$5:$Q$50,G171+1,FALSE)*J171*L171</f>
        <v>#N/A</v>
      </c>
      <c r="AL171" s="44" t="e">
        <f t="shared" si="71"/>
        <v>#N/A</v>
      </c>
      <c r="AM171" s="48">
        <f>IF(O171=0,0,IF(H171=0, HLOOKUP(I171,GasAvoidedCostsWOCC!$A$5:$Q$50,T171+1,FALSE)*K171*J171,HLOOKUP(I171,GasAvoidedCostsWOCC!$A$5:$Q$50,T171+1,FALSE)*L171*J171+HLOOKUP(I171,GasAvoidedCostsWOCC!$A$5:$Q$50,G171+1,FALSE)*K171*J171-HLOOKUP(I171,GasAvoidedCostsWOCC!$A$5:$Q$50,G171+1,FALSE)*L171*J171))</f>
        <v>0</v>
      </c>
      <c r="AN171" s="48">
        <f t="shared" si="72"/>
        <v>0</v>
      </c>
      <c r="AO171" s="47">
        <f t="shared" si="73"/>
        <v>0</v>
      </c>
      <c r="AP171" s="47" t="e">
        <f t="shared" si="74"/>
        <v>#DIV/0!</v>
      </c>
    </row>
    <row r="172" spans="2:42">
      <c r="B172" s="97"/>
      <c r="C172" s="100"/>
      <c r="D172" s="100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6"/>
        <v>0</v>
      </c>
      <c r="U172" s="47">
        <f t="shared" si="57"/>
        <v>0</v>
      </c>
      <c r="V172" s="48">
        <f t="shared" si="58"/>
        <v>0</v>
      </c>
      <c r="W172" s="49">
        <f t="shared" si="59"/>
        <v>0</v>
      </c>
      <c r="X172" s="44">
        <f t="shared" si="60"/>
        <v>0</v>
      </c>
      <c r="Y172" s="44">
        <f t="shared" si="61"/>
        <v>0</v>
      </c>
      <c r="Z172" s="44">
        <f t="shared" si="62"/>
        <v>0</v>
      </c>
      <c r="AA172" s="50">
        <f t="shared" si="63"/>
        <v>0</v>
      </c>
      <c r="AB172" s="51">
        <f t="shared" si="64"/>
        <v>0</v>
      </c>
      <c r="AC172" s="44">
        <f t="shared" si="65"/>
        <v>0</v>
      </c>
      <c r="AD172" s="44">
        <f t="shared" si="66"/>
        <v>0</v>
      </c>
      <c r="AE172" s="44">
        <f t="shared" si="67"/>
        <v>0</v>
      </c>
      <c r="AF172" s="52" t="e">
        <f>HLOOKUP(I172,GasAvoidedCostsWOCC!$A$5:$G$50,G172+1,FALSE)</f>
        <v>#N/A</v>
      </c>
      <c r="AG172" s="44" t="e">
        <f t="shared" si="68"/>
        <v>#N/A</v>
      </c>
      <c r="AH172" s="52" t="e">
        <f>HLOOKUP(I172,GasAvoidedCostsWOCC!$A$5:$Q$50,T172+1,FALSE)</f>
        <v>#N/A</v>
      </c>
      <c r="AI172" s="44" t="e">
        <f t="shared" si="69"/>
        <v>#N/A</v>
      </c>
      <c r="AJ172" s="44" t="e">
        <f t="shared" si="70"/>
        <v>#N/A</v>
      </c>
      <c r="AK172" s="44" t="e">
        <f>HLOOKUP(I172,GasAvoidedCostsWOCC!$A$5:$Q$50,G172+1,FALSE)*J172*L172</f>
        <v>#N/A</v>
      </c>
      <c r="AL172" s="44" t="e">
        <f t="shared" si="71"/>
        <v>#N/A</v>
      </c>
      <c r="AM172" s="48">
        <f>IF(O172=0,0,IF(H172=0, HLOOKUP(I172,GasAvoidedCostsWOCC!$A$5:$Q$50,T172+1,FALSE)*K172*J172,HLOOKUP(I172,GasAvoidedCostsWOCC!$A$5:$Q$50,T172+1,FALSE)*L172*J172+HLOOKUP(I172,GasAvoidedCostsWOCC!$A$5:$Q$50,G172+1,FALSE)*K172*J172-HLOOKUP(I172,GasAvoidedCostsWOCC!$A$5:$Q$50,G172+1,FALSE)*L172*J172))</f>
        <v>0</v>
      </c>
      <c r="AN172" s="48">
        <f t="shared" si="72"/>
        <v>0</v>
      </c>
      <c r="AO172" s="47">
        <f t="shared" si="73"/>
        <v>0</v>
      </c>
      <c r="AP172" s="47" t="e">
        <f t="shared" si="74"/>
        <v>#DIV/0!</v>
      </c>
    </row>
    <row r="173" spans="2:42">
      <c r="B173" s="97"/>
      <c r="C173" s="100"/>
      <c r="D173" s="100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6"/>
        <v>0</v>
      </c>
      <c r="U173" s="47">
        <f t="shared" si="57"/>
        <v>0</v>
      </c>
      <c r="V173" s="48">
        <f t="shared" si="58"/>
        <v>0</v>
      </c>
      <c r="W173" s="49">
        <f t="shared" si="59"/>
        <v>0</v>
      </c>
      <c r="X173" s="44">
        <f t="shared" si="60"/>
        <v>0</v>
      </c>
      <c r="Y173" s="44">
        <f t="shared" si="61"/>
        <v>0</v>
      </c>
      <c r="Z173" s="44">
        <f t="shared" si="62"/>
        <v>0</v>
      </c>
      <c r="AA173" s="50">
        <f t="shared" si="63"/>
        <v>0</v>
      </c>
      <c r="AB173" s="51">
        <f t="shared" si="64"/>
        <v>0</v>
      </c>
      <c r="AC173" s="44">
        <f t="shared" si="65"/>
        <v>0</v>
      </c>
      <c r="AD173" s="44">
        <f t="shared" si="66"/>
        <v>0</v>
      </c>
      <c r="AE173" s="44">
        <f t="shared" si="67"/>
        <v>0</v>
      </c>
      <c r="AF173" s="52" t="e">
        <f>HLOOKUP(I173,GasAvoidedCostsWOCC!$A$5:$G$50,G173+1,FALSE)</f>
        <v>#N/A</v>
      </c>
      <c r="AG173" s="44" t="e">
        <f t="shared" si="68"/>
        <v>#N/A</v>
      </c>
      <c r="AH173" s="52" t="e">
        <f>HLOOKUP(I173,GasAvoidedCostsWOCC!$A$5:$Q$50,T173+1,FALSE)</f>
        <v>#N/A</v>
      </c>
      <c r="AI173" s="44" t="e">
        <f t="shared" si="69"/>
        <v>#N/A</v>
      </c>
      <c r="AJ173" s="44" t="e">
        <f t="shared" si="70"/>
        <v>#N/A</v>
      </c>
      <c r="AK173" s="44" t="e">
        <f>HLOOKUP(I173,GasAvoidedCostsWOCC!$A$5:$Q$50,G173+1,FALSE)*J173*L173</f>
        <v>#N/A</v>
      </c>
      <c r="AL173" s="44" t="e">
        <f t="shared" si="71"/>
        <v>#N/A</v>
      </c>
      <c r="AM173" s="48">
        <f>IF(O173=0,0,IF(H173=0, HLOOKUP(I173,GasAvoidedCostsWOCC!$A$5:$Q$50,T173+1,FALSE)*K173*J173,HLOOKUP(I173,GasAvoidedCostsWOCC!$A$5:$Q$50,T173+1,FALSE)*L173*J173+HLOOKUP(I173,GasAvoidedCostsWOCC!$A$5:$Q$50,G173+1,FALSE)*K173*J173-HLOOKUP(I173,GasAvoidedCostsWOCC!$A$5:$Q$50,G173+1,FALSE)*L173*J173))</f>
        <v>0</v>
      </c>
      <c r="AN173" s="48">
        <f t="shared" si="72"/>
        <v>0</v>
      </c>
      <c r="AO173" s="47">
        <f t="shared" si="73"/>
        <v>0</v>
      </c>
      <c r="AP173" s="47" t="e">
        <f t="shared" si="74"/>
        <v>#DIV/0!</v>
      </c>
    </row>
    <row r="174" spans="2:42">
      <c r="B174" s="97"/>
      <c r="C174" s="100"/>
      <c r="D174" s="100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6"/>
        <v>0</v>
      </c>
      <c r="U174" s="47">
        <f t="shared" si="57"/>
        <v>0</v>
      </c>
      <c r="V174" s="48">
        <f t="shared" si="58"/>
        <v>0</v>
      </c>
      <c r="W174" s="49">
        <f t="shared" si="59"/>
        <v>0</v>
      </c>
      <c r="X174" s="44">
        <f t="shared" si="60"/>
        <v>0</v>
      </c>
      <c r="Y174" s="44">
        <f t="shared" si="61"/>
        <v>0</v>
      </c>
      <c r="Z174" s="44">
        <f t="shared" si="62"/>
        <v>0</v>
      </c>
      <c r="AA174" s="50">
        <f t="shared" si="63"/>
        <v>0</v>
      </c>
      <c r="AB174" s="51">
        <f t="shared" si="64"/>
        <v>0</v>
      </c>
      <c r="AC174" s="44">
        <f t="shared" si="65"/>
        <v>0</v>
      </c>
      <c r="AD174" s="44">
        <f t="shared" si="66"/>
        <v>0</v>
      </c>
      <c r="AE174" s="44">
        <f t="shared" si="67"/>
        <v>0</v>
      </c>
      <c r="AF174" s="52" t="e">
        <f>HLOOKUP(I174,GasAvoidedCostsWOCC!$A$5:$G$50,G174+1,FALSE)</f>
        <v>#N/A</v>
      </c>
      <c r="AG174" s="44" t="e">
        <f t="shared" si="68"/>
        <v>#N/A</v>
      </c>
      <c r="AH174" s="52" t="e">
        <f>HLOOKUP(I174,GasAvoidedCostsWOCC!$A$5:$Q$50,T174+1,FALSE)</f>
        <v>#N/A</v>
      </c>
      <c r="AI174" s="44" t="e">
        <f t="shared" si="69"/>
        <v>#N/A</v>
      </c>
      <c r="AJ174" s="44" t="e">
        <f t="shared" si="70"/>
        <v>#N/A</v>
      </c>
      <c r="AK174" s="44" t="e">
        <f>HLOOKUP(I174,GasAvoidedCostsWOCC!$A$5:$Q$50,G174+1,FALSE)*J174*L174</f>
        <v>#N/A</v>
      </c>
      <c r="AL174" s="44" t="e">
        <f t="shared" si="71"/>
        <v>#N/A</v>
      </c>
      <c r="AM174" s="48">
        <f>IF(O174=0,0,IF(H174=0, HLOOKUP(I174,GasAvoidedCostsWOCC!$A$5:$Q$50,T174+1,FALSE)*K174*J174,HLOOKUP(I174,GasAvoidedCostsWOCC!$A$5:$Q$50,T174+1,FALSE)*L174*J174+HLOOKUP(I174,GasAvoidedCostsWOCC!$A$5:$Q$50,G174+1,FALSE)*K174*J174-HLOOKUP(I174,GasAvoidedCostsWOCC!$A$5:$Q$50,G174+1,FALSE)*L174*J174))</f>
        <v>0</v>
      </c>
      <c r="AN174" s="48">
        <f t="shared" si="72"/>
        <v>0</v>
      </c>
      <c r="AO174" s="47">
        <f t="shared" si="73"/>
        <v>0</v>
      </c>
      <c r="AP174" s="47" t="e">
        <f t="shared" si="74"/>
        <v>#DIV/0!</v>
      </c>
    </row>
    <row r="175" spans="2:42">
      <c r="B175" s="97"/>
      <c r="C175" s="100"/>
      <c r="D175" s="100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6"/>
        <v>0</v>
      </c>
      <c r="U175" s="47">
        <f t="shared" si="57"/>
        <v>0</v>
      </c>
      <c r="V175" s="48">
        <f t="shared" si="58"/>
        <v>0</v>
      </c>
      <c r="W175" s="49">
        <f t="shared" si="59"/>
        <v>0</v>
      </c>
      <c r="X175" s="44">
        <f t="shared" si="60"/>
        <v>0</v>
      </c>
      <c r="Y175" s="44">
        <f t="shared" si="61"/>
        <v>0</v>
      </c>
      <c r="Z175" s="44">
        <f t="shared" si="62"/>
        <v>0</v>
      </c>
      <c r="AA175" s="50">
        <f t="shared" si="63"/>
        <v>0</v>
      </c>
      <c r="AB175" s="51">
        <f t="shared" si="64"/>
        <v>0</v>
      </c>
      <c r="AC175" s="44">
        <f t="shared" si="65"/>
        <v>0</v>
      </c>
      <c r="AD175" s="44">
        <f t="shared" si="66"/>
        <v>0</v>
      </c>
      <c r="AE175" s="44">
        <f t="shared" si="67"/>
        <v>0</v>
      </c>
      <c r="AF175" s="52" t="e">
        <f>HLOOKUP(I175,GasAvoidedCostsWOCC!$A$5:$G$50,G175+1,FALSE)</f>
        <v>#N/A</v>
      </c>
      <c r="AG175" s="44" t="e">
        <f t="shared" si="68"/>
        <v>#N/A</v>
      </c>
      <c r="AH175" s="52" t="e">
        <f>HLOOKUP(I175,GasAvoidedCostsWOCC!$A$5:$Q$50,T175+1,FALSE)</f>
        <v>#N/A</v>
      </c>
      <c r="AI175" s="44" t="e">
        <f t="shared" si="69"/>
        <v>#N/A</v>
      </c>
      <c r="AJ175" s="44" t="e">
        <f t="shared" si="70"/>
        <v>#N/A</v>
      </c>
      <c r="AK175" s="44" t="e">
        <f>HLOOKUP(I175,GasAvoidedCostsWOCC!$A$5:$Q$50,G175+1,FALSE)*J175*L175</f>
        <v>#N/A</v>
      </c>
      <c r="AL175" s="44" t="e">
        <f t="shared" si="71"/>
        <v>#N/A</v>
      </c>
      <c r="AM175" s="48">
        <f>IF(O175=0,0,IF(H175=0, HLOOKUP(I175,GasAvoidedCostsWOCC!$A$5:$Q$50,T175+1,FALSE)*K175*J175,HLOOKUP(I175,GasAvoidedCostsWOCC!$A$5:$Q$50,T175+1,FALSE)*L175*J175+HLOOKUP(I175,GasAvoidedCostsWOCC!$A$5:$Q$50,G175+1,FALSE)*K175*J175-HLOOKUP(I175,GasAvoidedCostsWOCC!$A$5:$Q$50,G175+1,FALSE)*L175*J175))</f>
        <v>0</v>
      </c>
      <c r="AN175" s="48">
        <f t="shared" si="72"/>
        <v>0</v>
      </c>
      <c r="AO175" s="47">
        <f t="shared" si="73"/>
        <v>0</v>
      </c>
      <c r="AP175" s="47" t="e">
        <f t="shared" si="74"/>
        <v>#DIV/0!</v>
      </c>
    </row>
    <row r="176" spans="2:42">
      <c r="B176" s="97"/>
      <c r="C176" s="100"/>
      <c r="D176" s="100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6"/>
        <v>0</v>
      </c>
      <c r="U176" s="47">
        <f t="shared" si="57"/>
        <v>0</v>
      </c>
      <c r="V176" s="48">
        <f t="shared" si="58"/>
        <v>0</v>
      </c>
      <c r="W176" s="49">
        <f t="shared" si="59"/>
        <v>0</v>
      </c>
      <c r="X176" s="44">
        <f t="shared" si="60"/>
        <v>0</v>
      </c>
      <c r="Y176" s="44">
        <f t="shared" si="61"/>
        <v>0</v>
      </c>
      <c r="Z176" s="44">
        <f t="shared" si="62"/>
        <v>0</v>
      </c>
      <c r="AA176" s="50">
        <f t="shared" si="63"/>
        <v>0</v>
      </c>
      <c r="AB176" s="51">
        <f t="shared" si="64"/>
        <v>0</v>
      </c>
      <c r="AC176" s="44">
        <f t="shared" si="65"/>
        <v>0</v>
      </c>
      <c r="AD176" s="44">
        <f t="shared" si="66"/>
        <v>0</v>
      </c>
      <c r="AE176" s="44">
        <f t="shared" si="67"/>
        <v>0</v>
      </c>
      <c r="AF176" s="52" t="e">
        <f>HLOOKUP(I176,GasAvoidedCostsWOCC!$A$5:$G$50,G176+1,FALSE)</f>
        <v>#N/A</v>
      </c>
      <c r="AG176" s="44" t="e">
        <f t="shared" si="68"/>
        <v>#N/A</v>
      </c>
      <c r="AH176" s="52" t="e">
        <f>HLOOKUP(I176,GasAvoidedCostsWOCC!$A$5:$Q$50,T176+1,FALSE)</f>
        <v>#N/A</v>
      </c>
      <c r="AI176" s="44" t="e">
        <f t="shared" si="69"/>
        <v>#N/A</v>
      </c>
      <c r="AJ176" s="44" t="e">
        <f t="shared" si="70"/>
        <v>#N/A</v>
      </c>
      <c r="AK176" s="44" t="e">
        <f>HLOOKUP(I176,GasAvoidedCostsWOCC!$A$5:$Q$50,G176+1,FALSE)*J176*L176</f>
        <v>#N/A</v>
      </c>
      <c r="AL176" s="44" t="e">
        <f t="shared" si="71"/>
        <v>#N/A</v>
      </c>
      <c r="AM176" s="48">
        <f>IF(O176=0,0,IF(H176=0, HLOOKUP(I176,GasAvoidedCostsWOCC!$A$5:$Q$50,T176+1,FALSE)*K176*J176,HLOOKUP(I176,GasAvoidedCostsWOCC!$A$5:$Q$50,T176+1,FALSE)*L176*J176+HLOOKUP(I176,GasAvoidedCostsWOCC!$A$5:$Q$50,G176+1,FALSE)*K176*J176-HLOOKUP(I176,GasAvoidedCostsWOCC!$A$5:$Q$50,G176+1,FALSE)*L176*J176))</f>
        <v>0</v>
      </c>
      <c r="AN176" s="48">
        <f t="shared" si="72"/>
        <v>0</v>
      </c>
      <c r="AO176" s="47">
        <f t="shared" si="73"/>
        <v>0</v>
      </c>
      <c r="AP176" s="47" t="e">
        <f t="shared" si="74"/>
        <v>#DIV/0!</v>
      </c>
    </row>
    <row r="177" spans="2:42">
      <c r="B177" s="97"/>
      <c r="C177" s="100"/>
      <c r="D177" s="100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6"/>
        <v>0</v>
      </c>
      <c r="U177" s="47">
        <f t="shared" si="57"/>
        <v>0</v>
      </c>
      <c r="V177" s="48">
        <f t="shared" si="58"/>
        <v>0</v>
      </c>
      <c r="W177" s="49">
        <f t="shared" si="59"/>
        <v>0</v>
      </c>
      <c r="X177" s="44">
        <f t="shared" si="60"/>
        <v>0</v>
      </c>
      <c r="Y177" s="44">
        <f t="shared" si="61"/>
        <v>0</v>
      </c>
      <c r="Z177" s="44">
        <f t="shared" si="62"/>
        <v>0</v>
      </c>
      <c r="AA177" s="50">
        <f t="shared" si="63"/>
        <v>0</v>
      </c>
      <c r="AB177" s="51">
        <f t="shared" si="64"/>
        <v>0</v>
      </c>
      <c r="AC177" s="44">
        <f t="shared" si="65"/>
        <v>0</v>
      </c>
      <c r="AD177" s="44">
        <f t="shared" si="66"/>
        <v>0</v>
      </c>
      <c r="AE177" s="44">
        <f t="shared" si="67"/>
        <v>0</v>
      </c>
      <c r="AF177" s="52" t="e">
        <f>HLOOKUP(I177,GasAvoidedCostsWOCC!$A$5:$G$50,G177+1,FALSE)</f>
        <v>#N/A</v>
      </c>
      <c r="AG177" s="44" t="e">
        <f t="shared" si="68"/>
        <v>#N/A</v>
      </c>
      <c r="AH177" s="52" t="e">
        <f>HLOOKUP(I177,GasAvoidedCostsWOCC!$A$5:$Q$50,T177+1,FALSE)</f>
        <v>#N/A</v>
      </c>
      <c r="AI177" s="44" t="e">
        <f t="shared" si="69"/>
        <v>#N/A</v>
      </c>
      <c r="AJ177" s="44" t="e">
        <f t="shared" si="70"/>
        <v>#N/A</v>
      </c>
      <c r="AK177" s="44" t="e">
        <f>HLOOKUP(I177,GasAvoidedCostsWOCC!$A$5:$Q$50,G177+1,FALSE)*J177*L177</f>
        <v>#N/A</v>
      </c>
      <c r="AL177" s="44" t="e">
        <f t="shared" si="71"/>
        <v>#N/A</v>
      </c>
      <c r="AM177" s="48">
        <f>IF(O177=0,0,IF(H177=0, HLOOKUP(I177,GasAvoidedCostsWOCC!$A$5:$Q$50,T177+1,FALSE)*K177*J177,HLOOKUP(I177,GasAvoidedCostsWOCC!$A$5:$Q$50,T177+1,FALSE)*L177*J177+HLOOKUP(I177,GasAvoidedCostsWOCC!$A$5:$Q$50,G177+1,FALSE)*K177*J177-HLOOKUP(I177,GasAvoidedCostsWOCC!$A$5:$Q$50,G177+1,FALSE)*L177*J177))</f>
        <v>0</v>
      </c>
      <c r="AN177" s="48">
        <f t="shared" si="72"/>
        <v>0</v>
      </c>
      <c r="AO177" s="47">
        <f t="shared" si="73"/>
        <v>0</v>
      </c>
      <c r="AP177" s="47" t="e">
        <f t="shared" si="74"/>
        <v>#DIV/0!</v>
      </c>
    </row>
    <row r="178" spans="2:42">
      <c r="B178" s="97"/>
      <c r="C178" s="100"/>
      <c r="D178" s="100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56"/>
        <v>0</v>
      </c>
      <c r="U178" s="47">
        <f t="shared" si="57"/>
        <v>0</v>
      </c>
      <c r="V178" s="48">
        <f t="shared" si="58"/>
        <v>0</v>
      </c>
      <c r="W178" s="49">
        <f t="shared" si="59"/>
        <v>0</v>
      </c>
      <c r="X178" s="44">
        <f t="shared" si="60"/>
        <v>0</v>
      </c>
      <c r="Y178" s="44">
        <f t="shared" si="61"/>
        <v>0</v>
      </c>
      <c r="Z178" s="44">
        <f t="shared" si="62"/>
        <v>0</v>
      </c>
      <c r="AA178" s="50">
        <f t="shared" si="63"/>
        <v>0</v>
      </c>
      <c r="AB178" s="51">
        <f t="shared" si="64"/>
        <v>0</v>
      </c>
      <c r="AC178" s="44">
        <f t="shared" si="65"/>
        <v>0</v>
      </c>
      <c r="AD178" s="44">
        <f t="shared" si="66"/>
        <v>0</v>
      </c>
      <c r="AE178" s="44">
        <f t="shared" si="67"/>
        <v>0</v>
      </c>
      <c r="AF178" s="52" t="e">
        <f>HLOOKUP(I178,GasAvoidedCostsWOCC!$A$5:$G$50,G178+1,FALSE)</f>
        <v>#N/A</v>
      </c>
      <c r="AG178" s="44" t="e">
        <f t="shared" si="68"/>
        <v>#N/A</v>
      </c>
      <c r="AH178" s="52" t="e">
        <f>HLOOKUP(I178,GasAvoidedCostsWOCC!$A$5:$Q$50,T178+1,FALSE)</f>
        <v>#N/A</v>
      </c>
      <c r="AI178" s="44" t="e">
        <f t="shared" si="69"/>
        <v>#N/A</v>
      </c>
      <c r="AJ178" s="44" t="e">
        <f t="shared" si="70"/>
        <v>#N/A</v>
      </c>
      <c r="AK178" s="44" t="e">
        <f>HLOOKUP(I178,GasAvoidedCostsWOCC!$A$5:$Q$50,G178+1,FALSE)*J178*L178</f>
        <v>#N/A</v>
      </c>
      <c r="AL178" s="44" t="e">
        <f t="shared" si="71"/>
        <v>#N/A</v>
      </c>
      <c r="AM178" s="48">
        <f>IF(O178=0,0,IF(H178=0, HLOOKUP(I178,GasAvoidedCostsWOCC!$A$5:$Q$50,T178+1,FALSE)*K178*J178,HLOOKUP(I178,GasAvoidedCostsWOCC!$A$5:$Q$50,T178+1,FALSE)*L178*J178+HLOOKUP(I178,GasAvoidedCostsWOCC!$A$5:$Q$50,G178+1,FALSE)*K178*J178-HLOOKUP(I178,GasAvoidedCostsWOCC!$A$5:$Q$50,G178+1,FALSE)*L178*J178))</f>
        <v>0</v>
      </c>
      <c r="AN178" s="48">
        <f t="shared" si="72"/>
        <v>0</v>
      </c>
      <c r="AO178" s="47">
        <f t="shared" si="73"/>
        <v>0</v>
      </c>
      <c r="AP178" s="47" t="e">
        <f t="shared" si="74"/>
        <v>#DIV/0!</v>
      </c>
    </row>
    <row r="179" spans="2:42">
      <c r="B179" s="97"/>
      <c r="C179" s="100"/>
      <c r="D179" s="100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56"/>
        <v>0</v>
      </c>
      <c r="U179" s="47">
        <f t="shared" si="57"/>
        <v>0</v>
      </c>
      <c r="V179" s="48">
        <f t="shared" si="58"/>
        <v>0</v>
      </c>
      <c r="W179" s="49">
        <f t="shared" si="59"/>
        <v>0</v>
      </c>
      <c r="X179" s="44">
        <f t="shared" si="60"/>
        <v>0</v>
      </c>
      <c r="Y179" s="44">
        <f t="shared" si="61"/>
        <v>0</v>
      </c>
      <c r="Z179" s="44">
        <f t="shared" si="62"/>
        <v>0</v>
      </c>
      <c r="AA179" s="50">
        <f t="shared" si="63"/>
        <v>0</v>
      </c>
      <c r="AB179" s="51">
        <f t="shared" si="64"/>
        <v>0</v>
      </c>
      <c r="AC179" s="44">
        <f t="shared" si="65"/>
        <v>0</v>
      </c>
      <c r="AD179" s="44">
        <f t="shared" si="66"/>
        <v>0</v>
      </c>
      <c r="AE179" s="44">
        <f t="shared" si="67"/>
        <v>0</v>
      </c>
      <c r="AF179" s="52" t="e">
        <f>HLOOKUP(I179,GasAvoidedCostsWOCC!$A$5:$G$50,G179+1,FALSE)</f>
        <v>#N/A</v>
      </c>
      <c r="AG179" s="44" t="e">
        <f t="shared" si="68"/>
        <v>#N/A</v>
      </c>
      <c r="AH179" s="52" t="e">
        <f>HLOOKUP(I179,GasAvoidedCostsWOCC!$A$5:$Q$50,T179+1,FALSE)</f>
        <v>#N/A</v>
      </c>
      <c r="AI179" s="44" t="e">
        <f t="shared" si="69"/>
        <v>#N/A</v>
      </c>
      <c r="AJ179" s="44" t="e">
        <f t="shared" si="70"/>
        <v>#N/A</v>
      </c>
      <c r="AK179" s="44" t="e">
        <f>HLOOKUP(I179,GasAvoidedCostsWOCC!$A$5:$Q$50,G179+1,FALSE)*J179*L179</f>
        <v>#N/A</v>
      </c>
      <c r="AL179" s="44" t="e">
        <f t="shared" si="71"/>
        <v>#N/A</v>
      </c>
      <c r="AM179" s="48">
        <f>IF(O179=0,0,IF(H179=0, HLOOKUP(I179,GasAvoidedCostsWOCC!$A$5:$Q$50,T179+1,FALSE)*K179*J179,HLOOKUP(I179,GasAvoidedCostsWOCC!$A$5:$Q$50,T179+1,FALSE)*L179*J179+HLOOKUP(I179,GasAvoidedCostsWOCC!$A$5:$Q$50,G179+1,FALSE)*K179*J179-HLOOKUP(I179,GasAvoidedCostsWOCC!$A$5:$Q$50,G179+1,FALSE)*L179*J179))</f>
        <v>0</v>
      </c>
      <c r="AN179" s="48">
        <f t="shared" si="72"/>
        <v>0</v>
      </c>
      <c r="AO179" s="47">
        <f t="shared" si="73"/>
        <v>0</v>
      </c>
      <c r="AP179" s="47" t="e">
        <f t="shared" si="74"/>
        <v>#DIV/0!</v>
      </c>
    </row>
    <row r="180" spans="2:42">
      <c r="B180" s="97"/>
      <c r="C180" s="100"/>
      <c r="D180" s="100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56"/>
        <v>0</v>
      </c>
      <c r="U180" s="47">
        <f t="shared" si="57"/>
        <v>0</v>
      </c>
      <c r="V180" s="48">
        <f t="shared" si="58"/>
        <v>0</v>
      </c>
      <c r="W180" s="49">
        <f t="shared" si="59"/>
        <v>0</v>
      </c>
      <c r="X180" s="44">
        <f t="shared" si="60"/>
        <v>0</v>
      </c>
      <c r="Y180" s="44">
        <f t="shared" si="61"/>
        <v>0</v>
      </c>
      <c r="Z180" s="44">
        <f t="shared" si="62"/>
        <v>0</v>
      </c>
      <c r="AA180" s="50">
        <f t="shared" si="63"/>
        <v>0</v>
      </c>
      <c r="AB180" s="51">
        <f t="shared" si="64"/>
        <v>0</v>
      </c>
      <c r="AC180" s="44">
        <f t="shared" si="65"/>
        <v>0</v>
      </c>
      <c r="AD180" s="44">
        <f t="shared" si="66"/>
        <v>0</v>
      </c>
      <c r="AE180" s="44">
        <f t="shared" si="67"/>
        <v>0</v>
      </c>
      <c r="AF180" s="52" t="e">
        <f>HLOOKUP(I180,GasAvoidedCostsWOCC!$A$5:$G$50,G180+1,FALSE)</f>
        <v>#N/A</v>
      </c>
      <c r="AG180" s="44" t="e">
        <f t="shared" si="68"/>
        <v>#N/A</v>
      </c>
      <c r="AH180" s="52" t="e">
        <f>HLOOKUP(I180,GasAvoidedCostsWOCC!$A$5:$Q$50,T180+1,FALSE)</f>
        <v>#N/A</v>
      </c>
      <c r="AI180" s="44" t="e">
        <f t="shared" si="69"/>
        <v>#N/A</v>
      </c>
      <c r="AJ180" s="44" t="e">
        <f t="shared" si="70"/>
        <v>#N/A</v>
      </c>
      <c r="AK180" s="44" t="e">
        <f>HLOOKUP(I180,GasAvoidedCostsWOCC!$A$5:$Q$50,G180+1,FALSE)*J180*L180</f>
        <v>#N/A</v>
      </c>
      <c r="AL180" s="44" t="e">
        <f t="shared" si="71"/>
        <v>#N/A</v>
      </c>
      <c r="AM180" s="48">
        <f>IF(O180=0,0,IF(H180=0, HLOOKUP(I180,GasAvoidedCostsWOCC!$A$5:$Q$50,T180+1,FALSE)*K180*J180,HLOOKUP(I180,GasAvoidedCostsWOCC!$A$5:$Q$50,T180+1,FALSE)*L180*J180+HLOOKUP(I180,GasAvoidedCostsWOCC!$A$5:$Q$50,G180+1,FALSE)*K180*J180-HLOOKUP(I180,GasAvoidedCostsWOCC!$A$5:$Q$50,G180+1,FALSE)*L180*J180))</f>
        <v>0</v>
      </c>
      <c r="AN180" s="48">
        <f t="shared" si="72"/>
        <v>0</v>
      </c>
      <c r="AO180" s="47">
        <f t="shared" si="73"/>
        <v>0</v>
      </c>
      <c r="AP180" s="47" t="e">
        <f t="shared" si="74"/>
        <v>#DIV/0!</v>
      </c>
    </row>
    <row r="181" spans="2:42">
      <c r="B181" s="97"/>
      <c r="C181" s="100"/>
      <c r="D181" s="100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56"/>
        <v>0</v>
      </c>
      <c r="U181" s="47">
        <f t="shared" si="57"/>
        <v>0</v>
      </c>
      <c r="V181" s="48">
        <f t="shared" si="58"/>
        <v>0</v>
      </c>
      <c r="W181" s="49">
        <f t="shared" si="59"/>
        <v>0</v>
      </c>
      <c r="X181" s="44">
        <f t="shared" si="60"/>
        <v>0</v>
      </c>
      <c r="Y181" s="44">
        <f t="shared" si="61"/>
        <v>0</v>
      </c>
      <c r="Z181" s="44">
        <f t="shared" si="62"/>
        <v>0</v>
      </c>
      <c r="AA181" s="50">
        <f t="shared" si="63"/>
        <v>0</v>
      </c>
      <c r="AB181" s="51">
        <f t="shared" si="64"/>
        <v>0</v>
      </c>
      <c r="AC181" s="44">
        <f t="shared" si="65"/>
        <v>0</v>
      </c>
      <c r="AD181" s="44">
        <f t="shared" si="66"/>
        <v>0</v>
      </c>
      <c r="AE181" s="44">
        <f t="shared" si="67"/>
        <v>0</v>
      </c>
      <c r="AF181" s="52" t="e">
        <f>HLOOKUP(I181,GasAvoidedCostsWOCC!$A$5:$G$50,G181+1,FALSE)</f>
        <v>#N/A</v>
      </c>
      <c r="AG181" s="44" t="e">
        <f t="shared" si="68"/>
        <v>#N/A</v>
      </c>
      <c r="AH181" s="52" t="e">
        <f>HLOOKUP(I181,GasAvoidedCostsWOCC!$A$5:$Q$50,T181+1,FALSE)</f>
        <v>#N/A</v>
      </c>
      <c r="AI181" s="44" t="e">
        <f t="shared" si="69"/>
        <v>#N/A</v>
      </c>
      <c r="AJ181" s="44" t="e">
        <f t="shared" si="70"/>
        <v>#N/A</v>
      </c>
      <c r="AK181" s="44" t="e">
        <f>HLOOKUP(I181,GasAvoidedCostsWOCC!$A$5:$Q$50,G181+1,FALSE)*J181*L181</f>
        <v>#N/A</v>
      </c>
      <c r="AL181" s="44" t="e">
        <f t="shared" si="71"/>
        <v>#N/A</v>
      </c>
      <c r="AM181" s="48">
        <f>IF(O181=0,0,IF(H181=0, HLOOKUP(I181,GasAvoidedCostsWOCC!$A$5:$Q$50,T181+1,FALSE)*K181*J181,HLOOKUP(I181,GasAvoidedCostsWOCC!$A$5:$Q$50,T181+1,FALSE)*L181*J181+HLOOKUP(I181,GasAvoidedCostsWOCC!$A$5:$Q$50,G181+1,FALSE)*K181*J181-HLOOKUP(I181,GasAvoidedCostsWOCC!$A$5:$Q$50,G181+1,FALSE)*L181*J181))</f>
        <v>0</v>
      </c>
      <c r="AN181" s="48">
        <f t="shared" si="72"/>
        <v>0</v>
      </c>
      <c r="AO181" s="47">
        <f t="shared" si="73"/>
        <v>0</v>
      </c>
      <c r="AP181" s="47" t="e">
        <f t="shared" si="74"/>
        <v>#DIV/0!</v>
      </c>
    </row>
    <row r="182" spans="2:42">
      <c r="B182" s="97"/>
      <c r="C182" s="100"/>
      <c r="D182" s="100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6"/>
        <v>0</v>
      </c>
      <c r="U182" s="47">
        <f t="shared" si="57"/>
        <v>0</v>
      </c>
      <c r="V182" s="48">
        <f t="shared" si="58"/>
        <v>0</v>
      </c>
      <c r="W182" s="49">
        <f t="shared" si="59"/>
        <v>0</v>
      </c>
      <c r="X182" s="44">
        <f t="shared" si="60"/>
        <v>0</v>
      </c>
      <c r="Y182" s="44">
        <f t="shared" si="61"/>
        <v>0</v>
      </c>
      <c r="Z182" s="44">
        <f t="shared" si="62"/>
        <v>0</v>
      </c>
      <c r="AA182" s="50">
        <f t="shared" si="63"/>
        <v>0</v>
      </c>
      <c r="AB182" s="51">
        <f t="shared" si="64"/>
        <v>0</v>
      </c>
      <c r="AC182" s="44">
        <f t="shared" si="65"/>
        <v>0</v>
      </c>
      <c r="AD182" s="44">
        <f t="shared" si="66"/>
        <v>0</v>
      </c>
      <c r="AE182" s="44">
        <f t="shared" si="67"/>
        <v>0</v>
      </c>
      <c r="AF182" s="52" t="e">
        <f>HLOOKUP(I182,GasAvoidedCostsWOCC!$A$5:$G$50,G182+1,FALSE)</f>
        <v>#N/A</v>
      </c>
      <c r="AG182" s="44" t="e">
        <f t="shared" si="68"/>
        <v>#N/A</v>
      </c>
      <c r="AH182" s="52" t="e">
        <f>HLOOKUP(I182,GasAvoidedCostsWOCC!$A$5:$Q$50,T182+1,FALSE)</f>
        <v>#N/A</v>
      </c>
      <c r="AI182" s="44" t="e">
        <f t="shared" si="69"/>
        <v>#N/A</v>
      </c>
      <c r="AJ182" s="44" t="e">
        <f t="shared" si="70"/>
        <v>#N/A</v>
      </c>
      <c r="AK182" s="44" t="e">
        <f>HLOOKUP(I182,GasAvoidedCostsWOCC!$A$5:$Q$50,G182+1,FALSE)*J182*L182</f>
        <v>#N/A</v>
      </c>
      <c r="AL182" s="44" t="e">
        <f t="shared" si="71"/>
        <v>#N/A</v>
      </c>
      <c r="AM182" s="48">
        <f>IF(O182=0,0,IF(H182=0, HLOOKUP(I182,GasAvoidedCostsWOCC!$A$5:$Q$50,T182+1,FALSE)*K182*J182,HLOOKUP(I182,GasAvoidedCostsWOCC!$A$5:$Q$50,T182+1,FALSE)*L182*J182+HLOOKUP(I182,GasAvoidedCostsWOCC!$A$5:$Q$50,G182+1,FALSE)*K182*J182-HLOOKUP(I182,GasAvoidedCostsWOCC!$A$5:$Q$50,G182+1,FALSE)*L182*J182))</f>
        <v>0</v>
      </c>
      <c r="AN182" s="48">
        <f t="shared" si="72"/>
        <v>0</v>
      </c>
      <c r="AO182" s="47">
        <f t="shared" si="73"/>
        <v>0</v>
      </c>
      <c r="AP182" s="47" t="e">
        <f t="shared" si="74"/>
        <v>#DIV/0!</v>
      </c>
    </row>
    <row r="183" spans="2:42">
      <c r="B183" s="97"/>
      <c r="C183" s="100"/>
      <c r="D183" s="100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6"/>
        <v>0</v>
      </c>
      <c r="U183" s="47">
        <f t="shared" si="57"/>
        <v>0</v>
      </c>
      <c r="V183" s="48">
        <f t="shared" si="58"/>
        <v>0</v>
      </c>
      <c r="W183" s="49">
        <f t="shared" si="59"/>
        <v>0</v>
      </c>
      <c r="X183" s="44">
        <f t="shared" si="60"/>
        <v>0</v>
      </c>
      <c r="Y183" s="44">
        <f t="shared" si="61"/>
        <v>0</v>
      </c>
      <c r="Z183" s="44">
        <f t="shared" si="62"/>
        <v>0</v>
      </c>
      <c r="AA183" s="50">
        <f t="shared" si="63"/>
        <v>0</v>
      </c>
      <c r="AB183" s="51">
        <f t="shared" si="64"/>
        <v>0</v>
      </c>
      <c r="AC183" s="44">
        <f t="shared" si="65"/>
        <v>0</v>
      </c>
      <c r="AD183" s="44">
        <f t="shared" si="66"/>
        <v>0</v>
      </c>
      <c r="AE183" s="44">
        <f t="shared" si="67"/>
        <v>0</v>
      </c>
      <c r="AF183" s="52" t="e">
        <f>HLOOKUP(I183,GasAvoidedCostsWOCC!$A$5:$G$50,G183+1,FALSE)</f>
        <v>#N/A</v>
      </c>
      <c r="AG183" s="44" t="e">
        <f t="shared" si="68"/>
        <v>#N/A</v>
      </c>
      <c r="AH183" s="52" t="e">
        <f>HLOOKUP(I183,GasAvoidedCostsWOCC!$A$5:$Q$50,T183+1,FALSE)</f>
        <v>#N/A</v>
      </c>
      <c r="AI183" s="44" t="e">
        <f t="shared" si="69"/>
        <v>#N/A</v>
      </c>
      <c r="AJ183" s="44" t="e">
        <f t="shared" si="70"/>
        <v>#N/A</v>
      </c>
      <c r="AK183" s="44" t="e">
        <f>HLOOKUP(I183,GasAvoidedCostsWOCC!$A$5:$Q$50,G183+1,FALSE)*J183*L183</f>
        <v>#N/A</v>
      </c>
      <c r="AL183" s="44" t="e">
        <f t="shared" si="71"/>
        <v>#N/A</v>
      </c>
      <c r="AM183" s="48">
        <f>IF(O183=0,0,IF(H183=0, HLOOKUP(I183,GasAvoidedCostsWOCC!$A$5:$Q$50,T183+1,FALSE)*K183*J183,HLOOKUP(I183,GasAvoidedCostsWOCC!$A$5:$Q$50,T183+1,FALSE)*L183*J183+HLOOKUP(I183,GasAvoidedCostsWOCC!$A$5:$Q$50,G183+1,FALSE)*K183*J183-HLOOKUP(I183,GasAvoidedCostsWOCC!$A$5:$Q$50,G183+1,FALSE)*L183*J183))</f>
        <v>0</v>
      </c>
      <c r="AN183" s="48">
        <f t="shared" si="72"/>
        <v>0</v>
      </c>
      <c r="AO183" s="47">
        <f t="shared" si="73"/>
        <v>0</v>
      </c>
      <c r="AP183" s="47" t="e">
        <f t="shared" si="74"/>
        <v>#DIV/0!</v>
      </c>
    </row>
    <row r="184" spans="2:42">
      <c r="B184" s="97"/>
      <c r="C184" s="100"/>
      <c r="D184" s="100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6"/>
        <v>0</v>
      </c>
      <c r="U184" s="47">
        <f t="shared" si="57"/>
        <v>0</v>
      </c>
      <c r="V184" s="48">
        <f t="shared" si="58"/>
        <v>0</v>
      </c>
      <c r="W184" s="49">
        <f t="shared" si="59"/>
        <v>0</v>
      </c>
      <c r="X184" s="44">
        <f t="shared" si="60"/>
        <v>0</v>
      </c>
      <c r="Y184" s="44">
        <f t="shared" si="61"/>
        <v>0</v>
      </c>
      <c r="Z184" s="44">
        <f t="shared" si="62"/>
        <v>0</v>
      </c>
      <c r="AA184" s="50">
        <f t="shared" si="63"/>
        <v>0</v>
      </c>
      <c r="AB184" s="51">
        <f t="shared" si="64"/>
        <v>0</v>
      </c>
      <c r="AC184" s="44">
        <f t="shared" si="65"/>
        <v>0</v>
      </c>
      <c r="AD184" s="44">
        <f t="shared" si="66"/>
        <v>0</v>
      </c>
      <c r="AE184" s="44">
        <f t="shared" si="67"/>
        <v>0</v>
      </c>
      <c r="AF184" s="52" t="e">
        <f>HLOOKUP(I184,GasAvoidedCostsWOCC!$A$5:$G$50,G184+1,FALSE)</f>
        <v>#N/A</v>
      </c>
      <c r="AG184" s="44" t="e">
        <f t="shared" si="68"/>
        <v>#N/A</v>
      </c>
      <c r="AH184" s="52" t="e">
        <f>HLOOKUP(I184,GasAvoidedCostsWOCC!$A$5:$Q$50,T184+1,FALSE)</f>
        <v>#N/A</v>
      </c>
      <c r="AI184" s="44" t="e">
        <f t="shared" si="69"/>
        <v>#N/A</v>
      </c>
      <c r="AJ184" s="44" t="e">
        <f t="shared" si="70"/>
        <v>#N/A</v>
      </c>
      <c r="AK184" s="44" t="e">
        <f>HLOOKUP(I184,GasAvoidedCostsWOCC!$A$5:$Q$50,G184+1,FALSE)*J184*L184</f>
        <v>#N/A</v>
      </c>
      <c r="AL184" s="44" t="e">
        <f t="shared" si="71"/>
        <v>#N/A</v>
      </c>
      <c r="AM184" s="48">
        <f>IF(O184=0,0,IF(H184=0, HLOOKUP(I184,GasAvoidedCostsWOCC!$A$5:$Q$50,T184+1,FALSE)*K184*J184,HLOOKUP(I184,GasAvoidedCostsWOCC!$A$5:$Q$50,T184+1,FALSE)*L184*J184+HLOOKUP(I184,GasAvoidedCostsWOCC!$A$5:$Q$50,G184+1,FALSE)*K184*J184-HLOOKUP(I184,GasAvoidedCostsWOCC!$A$5:$Q$50,G184+1,FALSE)*L184*J184))</f>
        <v>0</v>
      </c>
      <c r="AN184" s="48">
        <f t="shared" si="72"/>
        <v>0</v>
      </c>
      <c r="AO184" s="47">
        <f t="shared" si="73"/>
        <v>0</v>
      </c>
      <c r="AP184" s="47" t="e">
        <f t="shared" si="74"/>
        <v>#DIV/0!</v>
      </c>
    </row>
    <row r="185" spans="2:42">
      <c r="B185" s="97"/>
      <c r="C185" s="100"/>
      <c r="D185" s="100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6"/>
        <v>0</v>
      </c>
      <c r="U185" s="47">
        <f t="shared" si="57"/>
        <v>0</v>
      </c>
      <c r="V185" s="48">
        <f t="shared" si="58"/>
        <v>0</v>
      </c>
      <c r="W185" s="49">
        <f t="shared" si="59"/>
        <v>0</v>
      </c>
      <c r="X185" s="44">
        <f t="shared" si="60"/>
        <v>0</v>
      </c>
      <c r="Y185" s="44">
        <f t="shared" si="61"/>
        <v>0</v>
      </c>
      <c r="Z185" s="44">
        <f t="shared" si="62"/>
        <v>0</v>
      </c>
      <c r="AA185" s="50">
        <f t="shared" si="63"/>
        <v>0</v>
      </c>
      <c r="AB185" s="51">
        <f t="shared" si="64"/>
        <v>0</v>
      </c>
      <c r="AC185" s="44">
        <f t="shared" si="65"/>
        <v>0</v>
      </c>
      <c r="AD185" s="44">
        <f t="shared" si="66"/>
        <v>0</v>
      </c>
      <c r="AE185" s="44">
        <f t="shared" si="67"/>
        <v>0</v>
      </c>
      <c r="AF185" s="52" t="e">
        <f>HLOOKUP(I185,GasAvoidedCostsWOCC!$A$5:$G$50,G185+1,FALSE)</f>
        <v>#N/A</v>
      </c>
      <c r="AG185" s="44" t="e">
        <f t="shared" si="68"/>
        <v>#N/A</v>
      </c>
      <c r="AH185" s="52" t="e">
        <f>HLOOKUP(I185,GasAvoidedCostsWOCC!$A$5:$Q$50,T185+1,FALSE)</f>
        <v>#N/A</v>
      </c>
      <c r="AI185" s="44" t="e">
        <f t="shared" si="69"/>
        <v>#N/A</v>
      </c>
      <c r="AJ185" s="44" t="e">
        <f t="shared" si="70"/>
        <v>#N/A</v>
      </c>
      <c r="AK185" s="44" t="e">
        <f>HLOOKUP(I185,GasAvoidedCostsWOCC!$A$5:$Q$50,G185+1,FALSE)*J185*L185</f>
        <v>#N/A</v>
      </c>
      <c r="AL185" s="44" t="e">
        <f t="shared" si="71"/>
        <v>#N/A</v>
      </c>
      <c r="AM185" s="48">
        <f>IF(O185=0,0,IF(H185=0, HLOOKUP(I185,GasAvoidedCostsWOCC!$A$5:$Q$50,T185+1,FALSE)*K185*J185,HLOOKUP(I185,GasAvoidedCostsWOCC!$A$5:$Q$50,T185+1,FALSE)*L185*J185+HLOOKUP(I185,GasAvoidedCostsWOCC!$A$5:$Q$50,G185+1,FALSE)*K185*J185-HLOOKUP(I185,GasAvoidedCostsWOCC!$A$5:$Q$50,G185+1,FALSE)*L185*J185))</f>
        <v>0</v>
      </c>
      <c r="AN185" s="48">
        <f t="shared" si="72"/>
        <v>0</v>
      </c>
      <c r="AO185" s="47">
        <f t="shared" si="73"/>
        <v>0</v>
      </c>
      <c r="AP185" s="47" t="e">
        <f t="shared" si="74"/>
        <v>#DIV/0!</v>
      </c>
    </row>
    <row r="186" spans="2:42">
      <c r="B186" s="97"/>
      <c r="C186" s="100"/>
      <c r="D186" s="100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6"/>
        <v>0</v>
      </c>
      <c r="U186" s="47">
        <f t="shared" si="57"/>
        <v>0</v>
      </c>
      <c r="V186" s="48">
        <f t="shared" si="58"/>
        <v>0</v>
      </c>
      <c r="W186" s="49">
        <f t="shared" si="59"/>
        <v>0</v>
      </c>
      <c r="X186" s="44">
        <f t="shared" si="60"/>
        <v>0</v>
      </c>
      <c r="Y186" s="44">
        <f t="shared" si="61"/>
        <v>0</v>
      </c>
      <c r="Z186" s="44">
        <f t="shared" si="62"/>
        <v>0</v>
      </c>
      <c r="AA186" s="50">
        <f t="shared" si="63"/>
        <v>0</v>
      </c>
      <c r="AB186" s="51">
        <f t="shared" si="64"/>
        <v>0</v>
      </c>
      <c r="AC186" s="44">
        <f t="shared" si="65"/>
        <v>0</v>
      </c>
      <c r="AD186" s="44">
        <f t="shared" si="66"/>
        <v>0</v>
      </c>
      <c r="AE186" s="44">
        <f t="shared" si="67"/>
        <v>0</v>
      </c>
      <c r="AF186" s="52" t="e">
        <f>HLOOKUP(I186,GasAvoidedCostsWOCC!$A$5:$G$50,G186+1,FALSE)</f>
        <v>#N/A</v>
      </c>
      <c r="AG186" s="44" t="e">
        <f t="shared" si="68"/>
        <v>#N/A</v>
      </c>
      <c r="AH186" s="52" t="e">
        <f>HLOOKUP(I186,GasAvoidedCostsWOCC!$A$5:$Q$50,T186+1,FALSE)</f>
        <v>#N/A</v>
      </c>
      <c r="AI186" s="44" t="e">
        <f t="shared" si="69"/>
        <v>#N/A</v>
      </c>
      <c r="AJ186" s="44" t="e">
        <f t="shared" si="70"/>
        <v>#N/A</v>
      </c>
      <c r="AK186" s="44" t="e">
        <f>HLOOKUP(I186,GasAvoidedCostsWOCC!$A$5:$Q$50,G186+1,FALSE)*J186*L186</f>
        <v>#N/A</v>
      </c>
      <c r="AL186" s="44" t="e">
        <f t="shared" si="71"/>
        <v>#N/A</v>
      </c>
      <c r="AM186" s="48">
        <f>IF(O186=0,0,IF(H186=0, HLOOKUP(I186,GasAvoidedCostsWOCC!$A$5:$Q$50,T186+1,FALSE)*K186*J186,HLOOKUP(I186,GasAvoidedCostsWOCC!$A$5:$Q$50,T186+1,FALSE)*L186*J186+HLOOKUP(I186,GasAvoidedCostsWOCC!$A$5:$Q$50,G186+1,FALSE)*K186*J186-HLOOKUP(I186,GasAvoidedCostsWOCC!$A$5:$Q$50,G186+1,FALSE)*L186*J186))</f>
        <v>0</v>
      </c>
      <c r="AN186" s="48">
        <f t="shared" si="72"/>
        <v>0</v>
      </c>
      <c r="AO186" s="47">
        <f t="shared" si="73"/>
        <v>0</v>
      </c>
      <c r="AP186" s="47" t="e">
        <f t="shared" si="74"/>
        <v>#DIV/0!</v>
      </c>
    </row>
    <row r="187" spans="2:42">
      <c r="B187" s="97"/>
      <c r="C187" s="100"/>
      <c r="D187" s="100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6"/>
        <v>0</v>
      </c>
      <c r="U187" s="47">
        <f t="shared" si="57"/>
        <v>0</v>
      </c>
      <c r="V187" s="48">
        <f t="shared" si="58"/>
        <v>0</v>
      </c>
      <c r="W187" s="49">
        <f t="shared" si="59"/>
        <v>0</v>
      </c>
      <c r="X187" s="44">
        <f t="shared" si="60"/>
        <v>0</v>
      </c>
      <c r="Y187" s="44">
        <f t="shared" si="61"/>
        <v>0</v>
      </c>
      <c r="Z187" s="44">
        <f t="shared" si="62"/>
        <v>0</v>
      </c>
      <c r="AA187" s="50">
        <f t="shared" si="63"/>
        <v>0</v>
      </c>
      <c r="AB187" s="51">
        <f t="shared" si="64"/>
        <v>0</v>
      </c>
      <c r="AC187" s="44">
        <f t="shared" si="65"/>
        <v>0</v>
      </c>
      <c r="AD187" s="44">
        <f t="shared" si="66"/>
        <v>0</v>
      </c>
      <c r="AE187" s="44">
        <f t="shared" si="67"/>
        <v>0</v>
      </c>
      <c r="AF187" s="52" t="e">
        <f>HLOOKUP(I187,GasAvoidedCostsWOCC!$A$5:$G$50,G187+1,FALSE)</f>
        <v>#N/A</v>
      </c>
      <c r="AG187" s="44" t="e">
        <f t="shared" si="68"/>
        <v>#N/A</v>
      </c>
      <c r="AH187" s="52" t="e">
        <f>HLOOKUP(I187,GasAvoidedCostsWOCC!$A$5:$Q$50,T187+1,FALSE)</f>
        <v>#N/A</v>
      </c>
      <c r="AI187" s="44" t="e">
        <f t="shared" si="69"/>
        <v>#N/A</v>
      </c>
      <c r="AJ187" s="44" t="e">
        <f t="shared" si="70"/>
        <v>#N/A</v>
      </c>
      <c r="AK187" s="44" t="e">
        <f>HLOOKUP(I187,GasAvoidedCostsWOCC!$A$5:$Q$50,G187+1,FALSE)*J187*L187</f>
        <v>#N/A</v>
      </c>
      <c r="AL187" s="44" t="e">
        <f t="shared" si="71"/>
        <v>#N/A</v>
      </c>
      <c r="AM187" s="48">
        <f>IF(O187=0,0,IF(H187=0, HLOOKUP(I187,GasAvoidedCostsWOCC!$A$5:$Q$50,T187+1,FALSE)*K187*J187,HLOOKUP(I187,GasAvoidedCostsWOCC!$A$5:$Q$50,T187+1,FALSE)*L187*J187+HLOOKUP(I187,GasAvoidedCostsWOCC!$A$5:$Q$50,G187+1,FALSE)*K187*J187-HLOOKUP(I187,GasAvoidedCostsWOCC!$A$5:$Q$50,G187+1,FALSE)*L187*J187))</f>
        <v>0</v>
      </c>
      <c r="AN187" s="48">
        <f t="shared" si="72"/>
        <v>0</v>
      </c>
      <c r="AO187" s="47">
        <f t="shared" si="73"/>
        <v>0</v>
      </c>
      <c r="AP187" s="47" t="e">
        <f t="shared" si="74"/>
        <v>#DIV/0!</v>
      </c>
    </row>
  </sheetData>
  <conditionalFormatting sqref="J5:L187">
    <cfRule type="expression" dxfId="144" priority="4">
      <formula>ISTEXT(J5)</formula>
    </cfRule>
    <cfRule type="notContainsBlanks" dxfId="143" priority="5">
      <formula>LEN(TRIM(J5))&gt;0</formula>
    </cfRule>
  </conditionalFormatting>
  <conditionalFormatting sqref="M5:N187 R5:S187">
    <cfRule type="expression" dxfId="142" priority="2">
      <formula>ISTEXT(M5)</formula>
    </cfRule>
  </conditionalFormatting>
  <conditionalFormatting sqref="M5:N187 R5:S187">
    <cfRule type="notContainsBlanks" dxfId="141" priority="3">
      <formula>LEN(TRIM(M5))&gt;0</formula>
    </cfRule>
  </conditionalFormatting>
  <conditionalFormatting sqref="R5:S187">
    <cfRule type="expression" dxfId="1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50"/>
  <sheetViews>
    <sheetView zoomScale="85" zoomScaleNormal="85" workbookViewId="0">
      <selection activeCell="B22" sqref="B2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18230638</v>
      </c>
      <c r="D2" s="20" t="s">
        <v>83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18230638</v>
      </c>
      <c r="D5" s="61" t="s">
        <v>83</v>
      </c>
      <c r="E5" s="38" t="s">
        <v>937</v>
      </c>
      <c r="F5" s="39" t="s">
        <v>938</v>
      </c>
      <c r="G5" s="39">
        <v>18</v>
      </c>
      <c r="H5" s="39"/>
      <c r="I5" s="40" t="s">
        <v>269</v>
      </c>
      <c r="J5" s="41">
        <v>19</v>
      </c>
      <c r="K5" s="41">
        <v>184</v>
      </c>
      <c r="L5" s="41"/>
      <c r="M5" s="42">
        <v>800</v>
      </c>
      <c r="N5" s="42">
        <v>987</v>
      </c>
      <c r="O5" s="43">
        <v>3496</v>
      </c>
      <c r="P5" s="44">
        <v>15200</v>
      </c>
      <c r="Q5" s="44">
        <v>18753</v>
      </c>
      <c r="R5" s="45">
        <v>0</v>
      </c>
      <c r="S5" s="46">
        <v>0</v>
      </c>
      <c r="T5" s="39">
        <f t="shared" ref="T5:T24" si="0">G5+H5</f>
        <v>18</v>
      </c>
      <c r="U5" s="47">
        <f t="shared" ref="U5:U24" si="1">(O5/$A$10)*T5</f>
        <v>5.9766904513518224E-2</v>
      </c>
      <c r="V5" s="48">
        <f t="shared" ref="V5:V24" si="2">N5-M5</f>
        <v>187</v>
      </c>
      <c r="W5" s="49">
        <f t="shared" ref="W5:W24" si="3">(O5/A$10)</f>
        <v>3.3203835840843457E-3</v>
      </c>
      <c r="X5" s="44">
        <f t="shared" ref="X5:X24" si="4">W5*A$8</f>
        <v>859.81279783726734</v>
      </c>
      <c r="Y5" s="44">
        <f t="shared" ref="Y5:Y24" si="5">Q5-P5</f>
        <v>3553</v>
      </c>
      <c r="Z5" s="44">
        <f t="shared" ref="Z5:Z24" si="6">X5+(A$6*W5)</f>
        <v>12092.469546383936</v>
      </c>
      <c r="AA5" s="50">
        <f t="shared" ref="AA5:AA24" si="7">Q5+X5</f>
        <v>19612.812797837269</v>
      </c>
      <c r="AB5" s="51">
        <f t="shared" ref="AB5:AB24" si="8">Z5/(1+GasDiscountRate)^1</f>
        <v>11304.542905846438</v>
      </c>
      <c r="AC5" s="44">
        <f t="shared" ref="AC5:AC24" si="9">AA5/(1+GasDiscountRate)^1</f>
        <v>18334.872205139072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12.598768311384578</v>
      </c>
      <c r="AG5" s="44">
        <f t="shared" ref="AG5:AG24" si="11">AF5*J5*K5</f>
        <v>44045.294016600485</v>
      </c>
      <c r="AH5" s="52">
        <f>HLOOKUP(I5,GasAvoidedCostsWOCC!$A$5:$Q$50,T5+1,FALSE)</f>
        <v>12.598768311384578</v>
      </c>
      <c r="AI5" s="44">
        <f t="shared" ref="AI5:AI24" si="12">AH5*J5*L5</f>
        <v>0</v>
      </c>
      <c r="AJ5" s="44">
        <f>AG5+AI5</f>
        <v>44045.294016600485</v>
      </c>
      <c r="AK5" s="44">
        <f>HLOOKUP(I5,GasAvoidedCostsWOCC!$A$5:$Q$50,G5+1,FALSE)*J5*L5</f>
        <v>0</v>
      </c>
      <c r="AL5" s="44">
        <f>AG5+AI5-AK5</f>
        <v>44045.294016600485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44045.294016600485</v>
      </c>
      <c r="AN5" s="48">
        <f>AM5*1.1+AD5+AE5</f>
        <v>48449.823418260537</v>
      </c>
      <c r="AO5" s="47">
        <f>IFERROR(AM5/AB5,0)</f>
        <v>3.8962472329439626</v>
      </c>
      <c r="AP5" s="47">
        <f>AN5/AC5</f>
        <v>2.6424958339595386</v>
      </c>
      <c r="AQ5">
        <v>2021</v>
      </c>
    </row>
    <row r="6" spans="1:43" ht="13.5" customHeight="1">
      <c r="A6" s="53">
        <f>SUMIF('Program Costs'!D:D,C2,'Program Costs'!L:L)</f>
        <v>3382939.49</v>
      </c>
      <c r="B6" s="97" t="s">
        <v>33</v>
      </c>
      <c r="C6" s="98">
        <v>18230638</v>
      </c>
      <c r="D6" s="61" t="s">
        <v>83</v>
      </c>
      <c r="E6" s="38" t="s">
        <v>939</v>
      </c>
      <c r="F6" s="39" t="s">
        <v>938</v>
      </c>
      <c r="G6" s="39">
        <v>20</v>
      </c>
      <c r="H6" s="39"/>
      <c r="I6" s="40" t="s">
        <v>269</v>
      </c>
      <c r="J6" s="41">
        <v>66</v>
      </c>
      <c r="K6" s="41">
        <v>184</v>
      </c>
      <c r="L6" s="41"/>
      <c r="M6" s="42">
        <v>800</v>
      </c>
      <c r="N6" s="42">
        <v>987</v>
      </c>
      <c r="O6" s="43">
        <v>12144</v>
      </c>
      <c r="P6" s="44">
        <v>52800</v>
      </c>
      <c r="Q6" s="44">
        <v>65142</v>
      </c>
      <c r="R6" s="45">
        <v>0</v>
      </c>
      <c r="S6" s="46">
        <v>0</v>
      </c>
      <c r="T6" s="39">
        <f t="shared" si="0"/>
        <v>20</v>
      </c>
      <c r="U6" s="47">
        <f t="shared" si="1"/>
        <v>0.23067928057849135</v>
      </c>
      <c r="V6" s="48">
        <f t="shared" si="2"/>
        <v>187</v>
      </c>
      <c r="W6" s="49">
        <f t="shared" si="3"/>
        <v>1.1533964028924568E-2</v>
      </c>
      <c r="X6" s="44">
        <f t="shared" si="4"/>
        <v>2986.7181398557705</v>
      </c>
      <c r="Y6" s="44">
        <f t="shared" si="5"/>
        <v>12342</v>
      </c>
      <c r="Z6" s="44">
        <f t="shared" si="6"/>
        <v>42005.420529544201</v>
      </c>
      <c r="AA6" s="50">
        <f t="shared" si="7"/>
        <v>68128.718139855773</v>
      </c>
      <c r="AB6" s="51">
        <f t="shared" si="8"/>
        <v>39268.412199256047</v>
      </c>
      <c r="AC6" s="44">
        <f t="shared" si="9"/>
        <v>63689.55608100941</v>
      </c>
      <c r="AD6" s="44">
        <f t="shared" si="10"/>
        <v>0</v>
      </c>
      <c r="AE6" s="44">
        <v>0</v>
      </c>
      <c r="AF6" s="52">
        <f>HLOOKUP(I6,GasAvoidedCostsWOCC!$A$5:$G$50,G6+1,FALSE)</f>
        <v>13.765480191058694</v>
      </c>
      <c r="AG6" s="44">
        <f t="shared" si="11"/>
        <v>167167.99144021678</v>
      </c>
      <c r="AH6" s="52">
        <f>HLOOKUP(I6,GasAvoidedCostsWOCC!$A$5:$Q$50,T6+1,FALSE)</f>
        <v>13.765480191058694</v>
      </c>
      <c r="AI6" s="44">
        <f t="shared" si="12"/>
        <v>0</v>
      </c>
      <c r="AJ6" s="44">
        <f t="shared" ref="AJ6:AJ24" si="13">AG6+AI6</f>
        <v>167167.99144021678</v>
      </c>
      <c r="AK6" s="44">
        <f>HLOOKUP(I6,GasAvoidedCostsWOCC!$A$5:$Q$50,G6+1,FALSE)*J6*L6</f>
        <v>0</v>
      </c>
      <c r="AL6" s="44">
        <f t="shared" ref="AL6:AL24" si="14">AG6+AI6-AK6</f>
        <v>167167.99144021678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167167.99144021678</v>
      </c>
      <c r="AN6" s="48">
        <f t="shared" ref="AN6:AN24" si="15">AM6*1.1+AD6+AE6</f>
        <v>183884.79058423848</v>
      </c>
      <c r="AO6" s="47">
        <f t="shared" ref="AO6:AO24" si="16">IFERROR(AM6/AB6,0)</f>
        <v>4.2570601172253113</v>
      </c>
      <c r="AP6" s="47">
        <f t="shared" ref="AP6:AP24" si="17">AN6/AC6</f>
        <v>2.8872047773476033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18230638</v>
      </c>
      <c r="D7" s="61" t="s">
        <v>83</v>
      </c>
      <c r="E7" s="38" t="s">
        <v>940</v>
      </c>
      <c r="F7" s="39" t="s">
        <v>941</v>
      </c>
      <c r="G7" s="39">
        <v>20</v>
      </c>
      <c r="H7" s="39"/>
      <c r="I7" s="40" t="s">
        <v>269</v>
      </c>
      <c r="J7" s="41">
        <v>4212</v>
      </c>
      <c r="K7" s="41">
        <v>110</v>
      </c>
      <c r="L7" s="41"/>
      <c r="M7" s="42">
        <v>350</v>
      </c>
      <c r="N7" s="42">
        <v>603</v>
      </c>
      <c r="O7" s="43">
        <v>463320</v>
      </c>
      <c r="P7" s="44">
        <v>1474200</v>
      </c>
      <c r="Q7" s="44">
        <v>2539836</v>
      </c>
      <c r="R7" s="45">
        <v>0</v>
      </c>
      <c r="S7" s="46">
        <v>0</v>
      </c>
      <c r="T7" s="39">
        <f t="shared" si="0"/>
        <v>20</v>
      </c>
      <c r="U7" s="47">
        <f t="shared" si="1"/>
        <v>8.8009160307663556</v>
      </c>
      <c r="V7" s="48">
        <f t="shared" si="2"/>
        <v>253</v>
      </c>
      <c r="W7" s="49">
        <f t="shared" si="3"/>
        <v>0.44004580153831779</v>
      </c>
      <c r="X7" s="44">
        <f t="shared" si="4"/>
        <v>113949.78990101907</v>
      </c>
      <c r="Y7" s="44">
        <f t="shared" si="5"/>
        <v>1065636</v>
      </c>
      <c r="Z7" s="44">
        <f t="shared" si="6"/>
        <v>1602598.1093336972</v>
      </c>
      <c r="AA7" s="50">
        <f t="shared" si="7"/>
        <v>2653785.7899010191</v>
      </c>
      <c r="AB7" s="51">
        <f t="shared" si="8"/>
        <v>1498175.2915150949</v>
      </c>
      <c r="AC7" s="44">
        <f t="shared" si="9"/>
        <v>2480869.2062269971</v>
      </c>
      <c r="AD7" s="44">
        <f t="shared" si="10"/>
        <v>0</v>
      </c>
      <c r="AE7" s="44">
        <v>0</v>
      </c>
      <c r="AF7" s="52">
        <f>HLOOKUP(I7,GasAvoidedCostsWOCC!$A$5:$G$50,G7+1,FALSE)</f>
        <v>13.765480191058694</v>
      </c>
      <c r="AG7" s="44">
        <f t="shared" si="11"/>
        <v>6377822.2821213147</v>
      </c>
      <c r="AH7" s="52">
        <f>HLOOKUP(I7,GasAvoidedCostsWOCC!$A$5:$Q$50,T7+1,FALSE)</f>
        <v>13.765480191058694</v>
      </c>
      <c r="AI7" s="44">
        <f t="shared" si="12"/>
        <v>0</v>
      </c>
      <c r="AJ7" s="44">
        <f t="shared" si="13"/>
        <v>6377822.2821213147</v>
      </c>
      <c r="AK7" s="44">
        <f>HLOOKUP(I7,GasAvoidedCostsWOCC!$A$5:$Q$50,G7+1,FALSE)*J7*L7</f>
        <v>0</v>
      </c>
      <c r="AL7" s="44">
        <f t="shared" si="14"/>
        <v>6377822.2821213147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6377822.2821213147</v>
      </c>
      <c r="AN7" s="48">
        <f t="shared" si="15"/>
        <v>7015604.5103334468</v>
      </c>
      <c r="AO7" s="47">
        <f t="shared" si="16"/>
        <v>4.2570601172253113</v>
      </c>
      <c r="AP7" s="47">
        <f t="shared" si="17"/>
        <v>2.8278816524161114</v>
      </c>
      <c r="AQ7">
        <v>2021</v>
      </c>
    </row>
    <row r="8" spans="1:43" ht="13.5" customHeight="1">
      <c r="A8" s="53">
        <f>SUMIF('Program Costs'!D:D,C2,'Program Costs'!O:O)</f>
        <v>258949.83999999985</v>
      </c>
      <c r="B8" s="97" t="s">
        <v>33</v>
      </c>
      <c r="C8" s="98">
        <v>18230638</v>
      </c>
      <c r="D8" s="61" t="s">
        <v>83</v>
      </c>
      <c r="E8" s="38" t="s">
        <v>1686</v>
      </c>
      <c r="F8" s="39" t="s">
        <v>1687</v>
      </c>
      <c r="G8" s="39">
        <v>20</v>
      </c>
      <c r="H8" s="39"/>
      <c r="I8" s="40" t="s">
        <v>269</v>
      </c>
      <c r="J8" s="41">
        <v>14</v>
      </c>
      <c r="K8" s="41">
        <v>110</v>
      </c>
      <c r="L8" s="41"/>
      <c r="M8" s="42">
        <v>600</v>
      </c>
      <c r="N8" s="42">
        <v>603</v>
      </c>
      <c r="O8" s="43">
        <v>1540</v>
      </c>
      <c r="P8" s="44">
        <v>8400</v>
      </c>
      <c r="Q8" s="44">
        <v>8442</v>
      </c>
      <c r="R8" s="45">
        <v>0</v>
      </c>
      <c r="S8" s="46">
        <v>0</v>
      </c>
      <c r="T8" s="39">
        <f t="shared" si="0"/>
        <v>20</v>
      </c>
      <c r="U8" s="47">
        <f t="shared" si="1"/>
        <v>2.9252807319736226E-2</v>
      </c>
      <c r="V8" s="48">
        <f t="shared" si="2"/>
        <v>3</v>
      </c>
      <c r="W8" s="49">
        <f t="shared" si="3"/>
        <v>1.4626403659868112E-3</v>
      </c>
      <c r="X8" s="44">
        <f t="shared" si="4"/>
        <v>378.75048874982599</v>
      </c>
      <c r="Y8" s="44">
        <f t="shared" si="5"/>
        <v>42</v>
      </c>
      <c r="Z8" s="44">
        <f t="shared" si="6"/>
        <v>5326.7743425146627</v>
      </c>
      <c r="AA8" s="50">
        <f t="shared" si="7"/>
        <v>8820.7504887498253</v>
      </c>
      <c r="AB8" s="51">
        <f t="shared" si="8"/>
        <v>4979.6899528042086</v>
      </c>
      <c r="AC8" s="44">
        <f t="shared" si="9"/>
        <v>8246.0040093015086</v>
      </c>
      <c r="AD8" s="44">
        <f t="shared" si="10"/>
        <v>0</v>
      </c>
      <c r="AE8" s="44">
        <v>0</v>
      </c>
      <c r="AF8" s="52">
        <f>HLOOKUP(I8,GasAvoidedCostsWOCC!$A$5:$G$50,G8+1,FALSE)</f>
        <v>13.765480191058694</v>
      </c>
      <c r="AG8" s="44">
        <f t="shared" si="11"/>
        <v>21198.839494230389</v>
      </c>
      <c r="AH8" s="52">
        <f>HLOOKUP(I8,GasAvoidedCostsWOCC!$A$5:$Q$50,T8+1,FALSE)</f>
        <v>13.765480191058694</v>
      </c>
      <c r="AI8" s="44">
        <f t="shared" si="12"/>
        <v>0</v>
      </c>
      <c r="AJ8" s="44">
        <f t="shared" si="13"/>
        <v>21198.839494230389</v>
      </c>
      <c r="AK8" s="44">
        <f>HLOOKUP(I8,GasAvoidedCostsWOCC!$A$5:$Q$50,G8+1,FALSE)*J8*L8</f>
        <v>0</v>
      </c>
      <c r="AL8" s="44">
        <f t="shared" si="14"/>
        <v>21198.839494230389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21198.839494230389</v>
      </c>
      <c r="AN8" s="48">
        <f t="shared" si="15"/>
        <v>23318.723443653431</v>
      </c>
      <c r="AO8" s="47">
        <f t="shared" si="16"/>
        <v>4.2570601172253113</v>
      </c>
      <c r="AP8" s="47">
        <f t="shared" si="17"/>
        <v>2.8278816524161114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18230638</v>
      </c>
      <c r="D9" s="61" t="s">
        <v>83</v>
      </c>
      <c r="E9" s="38" t="s">
        <v>1688</v>
      </c>
      <c r="F9" s="39" t="s">
        <v>1689</v>
      </c>
      <c r="G9" s="39">
        <v>20</v>
      </c>
      <c r="H9" s="39"/>
      <c r="I9" s="40" t="s">
        <v>269</v>
      </c>
      <c r="J9" s="41">
        <v>62</v>
      </c>
      <c r="K9" s="41">
        <v>119</v>
      </c>
      <c r="L9" s="41"/>
      <c r="M9" s="42">
        <v>350</v>
      </c>
      <c r="N9" s="42">
        <v>1239</v>
      </c>
      <c r="O9" s="43">
        <v>7378</v>
      </c>
      <c r="P9" s="44">
        <v>21700</v>
      </c>
      <c r="Q9" s="44">
        <v>76818</v>
      </c>
      <c r="R9" s="45">
        <v>0</v>
      </c>
      <c r="S9" s="46">
        <v>0</v>
      </c>
      <c r="T9" s="39">
        <f t="shared" si="0"/>
        <v>20</v>
      </c>
      <c r="U9" s="47">
        <f t="shared" si="1"/>
        <v>0.14014754052273629</v>
      </c>
      <c r="V9" s="48">
        <f t="shared" si="2"/>
        <v>889</v>
      </c>
      <c r="W9" s="49">
        <f t="shared" si="3"/>
        <v>7.0073770261368145E-3</v>
      </c>
      <c r="X9" s="44">
        <f t="shared" si="4"/>
        <v>1814.5591597378029</v>
      </c>
      <c r="Y9" s="44">
        <f t="shared" si="5"/>
        <v>55118</v>
      </c>
      <c r="Z9" s="44">
        <f t="shared" si="6"/>
        <v>25520.091622774798</v>
      </c>
      <c r="AA9" s="50">
        <f t="shared" si="7"/>
        <v>78632.559159737808</v>
      </c>
      <c r="AB9" s="51">
        <f t="shared" si="8"/>
        <v>23857.24186479835</v>
      </c>
      <c r="AC9" s="44">
        <f t="shared" si="9"/>
        <v>73508.983041729269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13.765480191058694</v>
      </c>
      <c r="AG9" s="44">
        <f t="shared" si="11"/>
        <v>101561.71284963105</v>
      </c>
      <c r="AH9" s="52">
        <f>HLOOKUP(I9,GasAvoidedCostsWOCC!$A$5:$Q$50,T9+1,FALSE)</f>
        <v>13.765480191058694</v>
      </c>
      <c r="AI9" s="44">
        <f t="shared" si="12"/>
        <v>0</v>
      </c>
      <c r="AJ9" s="44">
        <f t="shared" si="13"/>
        <v>101561.71284963105</v>
      </c>
      <c r="AK9" s="44">
        <f>HLOOKUP(I9,GasAvoidedCostsWOCC!$A$5:$Q$50,G9+1,FALSE)*J9*L9</f>
        <v>0</v>
      </c>
      <c r="AL9" s="44">
        <f t="shared" si="14"/>
        <v>101561.71284963105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101561.71284963105</v>
      </c>
      <c r="AN9" s="48">
        <f t="shared" si="15"/>
        <v>111717.88413459416</v>
      </c>
      <c r="AO9" s="47">
        <f t="shared" si="16"/>
        <v>4.2570601172253104</v>
      </c>
      <c r="AP9" s="47">
        <f t="shared" si="17"/>
        <v>1.5197854671880664</v>
      </c>
      <c r="AQ9">
        <v>2021</v>
      </c>
    </row>
    <row r="10" spans="1:43" ht="13.5" customHeight="1">
      <c r="A10" s="54">
        <f>SUM(O5:O999)</f>
        <v>1052890.3999999999</v>
      </c>
      <c r="B10" s="97" t="s">
        <v>33</v>
      </c>
      <c r="C10">
        <v>18230638</v>
      </c>
      <c r="D10" s="100" t="s">
        <v>83</v>
      </c>
      <c r="E10" s="38" t="s">
        <v>2439</v>
      </c>
      <c r="F10" s="39" t="s">
        <v>2440</v>
      </c>
      <c r="G10" s="39">
        <v>20</v>
      </c>
      <c r="H10" s="39"/>
      <c r="I10" s="40" t="s">
        <v>269</v>
      </c>
      <c r="J10" s="41">
        <v>10</v>
      </c>
      <c r="K10" s="41">
        <v>119</v>
      </c>
      <c r="L10" s="41"/>
      <c r="M10" s="42">
        <v>350</v>
      </c>
      <c r="N10" s="42">
        <v>1393</v>
      </c>
      <c r="O10" s="43">
        <v>1190</v>
      </c>
      <c r="P10" s="44">
        <v>3500</v>
      </c>
      <c r="Q10" s="44">
        <v>13930</v>
      </c>
      <c r="R10" s="45">
        <v>0</v>
      </c>
      <c r="S10" s="46">
        <v>0</v>
      </c>
      <c r="T10" s="39">
        <f t="shared" si="0"/>
        <v>20</v>
      </c>
      <c r="U10" s="47">
        <f t="shared" si="1"/>
        <v>2.2604442019796174E-2</v>
      </c>
      <c r="V10" s="48">
        <f t="shared" si="2"/>
        <v>1043</v>
      </c>
      <c r="W10" s="49">
        <f t="shared" si="3"/>
        <v>1.1302221009898087E-3</v>
      </c>
      <c r="X10" s="44">
        <f t="shared" si="4"/>
        <v>292.67083221577462</v>
      </c>
      <c r="Y10" s="44">
        <f t="shared" si="5"/>
        <v>10430</v>
      </c>
      <c r="Z10" s="44">
        <f t="shared" si="6"/>
        <v>4116.1438101249669</v>
      </c>
      <c r="AA10" s="50">
        <f t="shared" si="7"/>
        <v>14222.670832215774</v>
      </c>
      <c r="AB10" s="51">
        <f t="shared" si="8"/>
        <v>3847.942236257798</v>
      </c>
      <c r="AC10" s="44">
        <f t="shared" si="9"/>
        <v>13295.943565687363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13.765480191058694</v>
      </c>
      <c r="AG10" s="44">
        <f t="shared" si="11"/>
        <v>16380.921427359846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3"/>
        <v>16380.921427359846</v>
      </c>
      <c r="AK10" s="44">
        <f>HLOOKUP(I10,GasAvoidedCostsWOCC!$A$5:$Q$50,G10+1,FALSE)*J10*L10</f>
        <v>0</v>
      </c>
      <c r="AL10" s="44">
        <f t="shared" si="14"/>
        <v>16380.921427359846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16380.921427359846</v>
      </c>
      <c r="AN10" s="48">
        <f t="shared" si="15"/>
        <v>18019.013570095831</v>
      </c>
      <c r="AO10" s="47">
        <f t="shared" si="16"/>
        <v>4.2570601172253113</v>
      </c>
      <c r="AP10" s="47">
        <f t="shared" si="17"/>
        <v>1.3552263877380784</v>
      </c>
      <c r="AQ10">
        <v>2020</v>
      </c>
    </row>
    <row r="11" spans="1:43" ht="13.5" customHeight="1">
      <c r="A11" s="36" t="s">
        <v>251</v>
      </c>
      <c r="B11" s="97" t="s">
        <v>33</v>
      </c>
      <c r="C11">
        <v>18230638</v>
      </c>
      <c r="D11" s="100" t="s">
        <v>83</v>
      </c>
      <c r="E11" s="38" t="s">
        <v>2441</v>
      </c>
      <c r="F11" s="39" t="s">
        <v>2442</v>
      </c>
      <c r="G11" s="39">
        <v>18</v>
      </c>
      <c r="H11" s="39"/>
      <c r="I11" s="40" t="s">
        <v>269</v>
      </c>
      <c r="J11" s="41">
        <v>6</v>
      </c>
      <c r="K11" s="41">
        <v>110</v>
      </c>
      <c r="L11" s="41"/>
      <c r="M11" s="42">
        <v>350</v>
      </c>
      <c r="N11" s="42">
        <v>603</v>
      </c>
      <c r="O11" s="43">
        <v>660</v>
      </c>
      <c r="P11" s="44">
        <v>2100</v>
      </c>
      <c r="Q11" s="44">
        <v>3618</v>
      </c>
      <c r="R11" s="45">
        <v>0</v>
      </c>
      <c r="S11" s="46">
        <v>0</v>
      </c>
      <c r="T11" s="39">
        <f t="shared" si="0"/>
        <v>18</v>
      </c>
      <c r="U11" s="47">
        <f t="shared" si="1"/>
        <v>1.1283225680469687E-2</v>
      </c>
      <c r="V11" s="48">
        <f t="shared" si="2"/>
        <v>253</v>
      </c>
      <c r="W11" s="49">
        <f t="shared" si="3"/>
        <v>6.268458711372048E-4</v>
      </c>
      <c r="X11" s="44">
        <f t="shared" si="4"/>
        <v>162.32163803563972</v>
      </c>
      <c r="Y11" s="44">
        <f t="shared" si="5"/>
        <v>1518</v>
      </c>
      <c r="Z11" s="44">
        <f t="shared" si="6"/>
        <v>2282.9032896491412</v>
      </c>
      <c r="AA11" s="50">
        <f t="shared" si="7"/>
        <v>3780.3216380356398</v>
      </c>
      <c r="AB11" s="51">
        <f t="shared" si="8"/>
        <v>2134.1528369160897</v>
      </c>
      <c r="AC11" s="44">
        <f t="shared" si="9"/>
        <v>3534.0017182720758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12.598768311384578</v>
      </c>
      <c r="AG11" s="44">
        <f t="shared" si="11"/>
        <v>8315.1870855138222</v>
      </c>
      <c r="AH11" s="52">
        <f>HLOOKUP(I11,GasAvoidedCostsWOCC!$A$5:$Q$50,T11+1,FALSE)</f>
        <v>12.598768311384578</v>
      </c>
      <c r="AI11" s="44">
        <f t="shared" si="12"/>
        <v>0</v>
      </c>
      <c r="AJ11" s="44">
        <f t="shared" si="13"/>
        <v>8315.1870855138222</v>
      </c>
      <c r="AK11" s="44">
        <f>HLOOKUP(I11,GasAvoidedCostsWOCC!$A$5:$Q$50,G11+1,FALSE)*J11*L11</f>
        <v>0</v>
      </c>
      <c r="AL11" s="44">
        <f t="shared" si="14"/>
        <v>8315.1870855138222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8315.1870855138222</v>
      </c>
      <c r="AN11" s="48">
        <f t="shared" si="15"/>
        <v>9146.7057940652048</v>
      </c>
      <c r="AO11" s="47">
        <f t="shared" si="16"/>
        <v>3.8962472329439626</v>
      </c>
      <c r="AP11" s="47">
        <f t="shared" si="17"/>
        <v>2.5882007206655859</v>
      </c>
      <c r="AQ11">
        <v>2020</v>
      </c>
    </row>
    <row r="12" spans="1:43" ht="13.5" customHeight="1">
      <c r="A12" s="55">
        <f>SUM(P5:P1000)</f>
        <v>3382248.2199999997</v>
      </c>
      <c r="B12" s="97" t="s">
        <v>33</v>
      </c>
      <c r="C12">
        <v>18230638</v>
      </c>
      <c r="D12" s="100" t="s">
        <v>83</v>
      </c>
      <c r="E12" s="38" t="s">
        <v>2443</v>
      </c>
      <c r="F12" s="39" t="s">
        <v>2442</v>
      </c>
      <c r="G12" s="39">
        <v>20</v>
      </c>
      <c r="H12" s="39"/>
      <c r="I12" s="40" t="s">
        <v>269</v>
      </c>
      <c r="J12" s="41">
        <v>874</v>
      </c>
      <c r="K12" s="41">
        <v>110</v>
      </c>
      <c r="L12" s="41"/>
      <c r="M12" s="42">
        <v>350</v>
      </c>
      <c r="N12" s="42">
        <v>603</v>
      </c>
      <c r="O12" s="43">
        <v>96140</v>
      </c>
      <c r="P12" s="44">
        <v>305900</v>
      </c>
      <c r="Q12" s="44">
        <v>527022</v>
      </c>
      <c r="R12" s="45">
        <v>0</v>
      </c>
      <c r="S12" s="46">
        <v>0</v>
      </c>
      <c r="T12" s="39">
        <f t="shared" si="0"/>
        <v>20</v>
      </c>
      <c r="U12" s="47">
        <f t="shared" si="1"/>
        <v>1.8262109712463901</v>
      </c>
      <c r="V12" s="48">
        <f t="shared" si="2"/>
        <v>253</v>
      </c>
      <c r="W12" s="49">
        <f t="shared" si="3"/>
        <v>9.1310548562319502E-2</v>
      </c>
      <c r="X12" s="44">
        <f t="shared" si="4"/>
        <v>23644.851940524852</v>
      </c>
      <c r="Y12" s="44">
        <f t="shared" si="5"/>
        <v>221122</v>
      </c>
      <c r="Z12" s="44">
        <f t="shared" si="6"/>
        <v>332542.91252555826</v>
      </c>
      <c r="AA12" s="50">
        <f t="shared" si="7"/>
        <v>550666.85194052488</v>
      </c>
      <c r="AB12" s="51">
        <f t="shared" si="8"/>
        <v>310874.92991077708</v>
      </c>
      <c r="AC12" s="44">
        <f t="shared" si="9"/>
        <v>514786.25029496575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13.765480191058694</v>
      </c>
      <c r="AG12" s="44">
        <f t="shared" si="11"/>
        <v>1323413.2655683828</v>
      </c>
      <c r="AH12" s="52">
        <f>HLOOKUP(I12,GasAvoidedCostsWOCC!$A$5:$Q$50,T12+1,FALSE)</f>
        <v>13.765480191058694</v>
      </c>
      <c r="AI12" s="44">
        <f t="shared" si="12"/>
        <v>0</v>
      </c>
      <c r="AJ12" s="44">
        <f t="shared" si="13"/>
        <v>1323413.2655683828</v>
      </c>
      <c r="AK12" s="44">
        <f>HLOOKUP(I12,GasAvoidedCostsWOCC!$A$5:$Q$50,G12+1,FALSE)*J12*L12</f>
        <v>0</v>
      </c>
      <c r="AL12" s="44">
        <f t="shared" si="14"/>
        <v>1323413.2655683828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1323413.265568383</v>
      </c>
      <c r="AN12" s="48">
        <f t="shared" si="15"/>
        <v>1455754.5921252214</v>
      </c>
      <c r="AO12" s="47">
        <f t="shared" si="16"/>
        <v>4.2570601172253113</v>
      </c>
      <c r="AP12" s="47">
        <f t="shared" si="17"/>
        <v>2.827881652416111</v>
      </c>
      <c r="AQ12">
        <v>2020</v>
      </c>
    </row>
    <row r="13" spans="1:43" ht="13.5" customHeight="1">
      <c r="A13" s="56" t="s">
        <v>252</v>
      </c>
      <c r="B13" s="97" t="s">
        <v>33</v>
      </c>
      <c r="C13">
        <v>18230638</v>
      </c>
      <c r="D13" s="100" t="s">
        <v>83</v>
      </c>
      <c r="E13" s="38" t="s">
        <v>2444</v>
      </c>
      <c r="F13" s="39" t="s">
        <v>2445</v>
      </c>
      <c r="G13" s="39">
        <v>18</v>
      </c>
      <c r="H13" s="39"/>
      <c r="I13" s="40" t="s">
        <v>269</v>
      </c>
      <c r="J13" s="41">
        <v>26</v>
      </c>
      <c r="K13" s="41">
        <v>173</v>
      </c>
      <c r="L13" s="41"/>
      <c r="M13" s="42">
        <v>800</v>
      </c>
      <c r="N13" s="42">
        <v>1526</v>
      </c>
      <c r="O13" s="43">
        <v>4498</v>
      </c>
      <c r="P13" s="44">
        <v>20800</v>
      </c>
      <c r="Q13" s="44">
        <v>39676</v>
      </c>
      <c r="R13" s="45">
        <v>0</v>
      </c>
      <c r="S13" s="46">
        <v>0</v>
      </c>
      <c r="T13" s="39">
        <f t="shared" si="0"/>
        <v>18</v>
      </c>
      <c r="U13" s="47">
        <f t="shared" si="1"/>
        <v>7.6896892592049473E-2</v>
      </c>
      <c r="V13" s="48">
        <f t="shared" si="2"/>
        <v>726</v>
      </c>
      <c r="W13" s="49">
        <f t="shared" si="3"/>
        <v>4.2720495884471929E-3</v>
      </c>
      <c r="X13" s="44">
        <f t="shared" si="4"/>
        <v>1106.2465574004659</v>
      </c>
      <c r="Y13" s="44">
        <f t="shared" si="5"/>
        <v>18876</v>
      </c>
      <c r="Z13" s="44">
        <f t="shared" si="6"/>
        <v>15558.331813396722</v>
      </c>
      <c r="AA13" s="50">
        <f t="shared" si="7"/>
        <v>40782.246557400467</v>
      </c>
      <c r="AB13" s="51">
        <f t="shared" si="8"/>
        <v>14544.574940073591</v>
      </c>
      <c r="AC13" s="44">
        <f t="shared" si="9"/>
        <v>38124.938354118407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12.598768311384578</v>
      </c>
      <c r="AG13" s="44">
        <f t="shared" si="11"/>
        <v>56669.259864607833</v>
      </c>
      <c r="AH13" s="52">
        <f>HLOOKUP(I13,GasAvoidedCostsWOCC!$A$5:$Q$50,T13+1,FALSE)</f>
        <v>12.598768311384578</v>
      </c>
      <c r="AI13" s="44">
        <f t="shared" si="12"/>
        <v>0</v>
      </c>
      <c r="AJ13" s="44">
        <f t="shared" si="13"/>
        <v>56669.259864607833</v>
      </c>
      <c r="AK13" s="44">
        <f>HLOOKUP(I13,GasAvoidedCostsWOCC!$A$5:$Q$50,G13+1,FALSE)*J13*L13</f>
        <v>0</v>
      </c>
      <c r="AL13" s="44">
        <f t="shared" si="14"/>
        <v>56669.259864607833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56669.259864607833</v>
      </c>
      <c r="AN13" s="48">
        <f t="shared" si="15"/>
        <v>62336.185851068622</v>
      </c>
      <c r="AO13" s="47">
        <f t="shared" si="16"/>
        <v>3.8962472329439626</v>
      </c>
      <c r="AP13" s="47">
        <f t="shared" si="17"/>
        <v>1.6350501415128142</v>
      </c>
      <c r="AQ13">
        <v>2020</v>
      </c>
    </row>
    <row r="14" spans="1:43" ht="13.5" customHeight="1">
      <c r="A14" s="55">
        <f>SUM(Y5:Y1000)</f>
        <v>2451632.13</v>
      </c>
      <c r="B14" s="97" t="s">
        <v>33</v>
      </c>
      <c r="C14">
        <v>18230638</v>
      </c>
      <c r="D14" s="100" t="s">
        <v>83</v>
      </c>
      <c r="E14" s="38" t="s">
        <v>937</v>
      </c>
      <c r="F14" s="39" t="s">
        <v>938</v>
      </c>
      <c r="G14" s="39">
        <v>18</v>
      </c>
      <c r="H14" s="39"/>
      <c r="I14" s="40" t="s">
        <v>269</v>
      </c>
      <c r="J14" s="41">
        <v>73</v>
      </c>
      <c r="K14" s="41">
        <v>184</v>
      </c>
      <c r="L14" s="41"/>
      <c r="M14" s="42">
        <v>800</v>
      </c>
      <c r="N14" s="42">
        <v>987</v>
      </c>
      <c r="O14" s="43">
        <v>13432</v>
      </c>
      <c r="P14" s="44">
        <v>58400</v>
      </c>
      <c r="Q14" s="44">
        <v>72051</v>
      </c>
      <c r="R14" s="45">
        <v>0</v>
      </c>
      <c r="S14" s="46">
        <v>0</v>
      </c>
      <c r="T14" s="39">
        <f t="shared" si="0"/>
        <v>18</v>
      </c>
      <c r="U14" s="47">
        <f t="shared" si="1"/>
        <v>0.22963073839404369</v>
      </c>
      <c r="V14" s="48">
        <f t="shared" si="2"/>
        <v>187</v>
      </c>
      <c r="W14" s="49">
        <f t="shared" si="3"/>
        <v>1.2757263244113538E-2</v>
      </c>
      <c r="X14" s="44">
        <f t="shared" si="4"/>
        <v>3303.4912759010799</v>
      </c>
      <c r="Y14" s="44">
        <f t="shared" si="5"/>
        <v>13651</v>
      </c>
      <c r="Z14" s="44">
        <f t="shared" si="6"/>
        <v>46460.54088873828</v>
      </c>
      <c r="AA14" s="50">
        <f t="shared" si="7"/>
        <v>75354.491275901077</v>
      </c>
      <c r="AB14" s="51">
        <f t="shared" si="8"/>
        <v>43433.243796146839</v>
      </c>
      <c r="AC14" s="44">
        <f t="shared" si="9"/>
        <v>70444.508998692225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12.598768311384578</v>
      </c>
      <c r="AG14" s="44">
        <f t="shared" si="11"/>
        <v>169226.65595851766</v>
      </c>
      <c r="AH14" s="52">
        <f>HLOOKUP(I14,GasAvoidedCostsWOCC!$A$5:$Q$50,T14+1,FALSE)</f>
        <v>12.598768311384578</v>
      </c>
      <c r="AI14" s="44">
        <f t="shared" si="12"/>
        <v>0</v>
      </c>
      <c r="AJ14" s="44">
        <f t="shared" si="13"/>
        <v>169226.65595851766</v>
      </c>
      <c r="AK14" s="44">
        <f>HLOOKUP(I14,GasAvoidedCostsWOCC!$A$5:$Q$50,G14+1,FALSE)*J14*L14</f>
        <v>0</v>
      </c>
      <c r="AL14" s="44">
        <f t="shared" si="14"/>
        <v>169226.65595851766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169226.65595851766</v>
      </c>
      <c r="AN14" s="48">
        <f t="shared" si="15"/>
        <v>186149.32155436944</v>
      </c>
      <c r="AO14" s="47">
        <f t="shared" si="16"/>
        <v>3.8962472329439626</v>
      </c>
      <c r="AP14" s="47">
        <f t="shared" si="17"/>
        <v>2.6424958339595386</v>
      </c>
      <c r="AQ14">
        <v>2020</v>
      </c>
    </row>
    <row r="15" spans="1:43" ht="13.5" customHeight="1">
      <c r="A15" s="57" t="s">
        <v>253</v>
      </c>
      <c r="B15" s="97" t="s">
        <v>33</v>
      </c>
      <c r="C15">
        <v>18230638</v>
      </c>
      <c r="D15" s="100" t="s">
        <v>83</v>
      </c>
      <c r="E15" s="38" t="s">
        <v>940</v>
      </c>
      <c r="F15" s="39" t="s">
        <v>941</v>
      </c>
      <c r="G15" s="39">
        <v>20</v>
      </c>
      <c r="H15" s="39"/>
      <c r="I15" s="40" t="s">
        <v>269</v>
      </c>
      <c r="J15" s="41">
        <v>3973</v>
      </c>
      <c r="K15" s="41">
        <v>110</v>
      </c>
      <c r="L15" s="41"/>
      <c r="M15" s="42">
        <v>350</v>
      </c>
      <c r="N15" s="42">
        <v>603</v>
      </c>
      <c r="O15" s="43">
        <v>437030</v>
      </c>
      <c r="P15" s="44">
        <v>1390550</v>
      </c>
      <c r="Q15" s="44">
        <v>2395719</v>
      </c>
      <c r="R15" s="45">
        <v>0</v>
      </c>
      <c r="S15" s="46">
        <v>0</v>
      </c>
      <c r="T15" s="39">
        <f t="shared" si="0"/>
        <v>20</v>
      </c>
      <c r="U15" s="47">
        <f t="shared" si="1"/>
        <v>8.3015288200937167</v>
      </c>
      <c r="V15" s="48">
        <f t="shared" si="2"/>
        <v>253</v>
      </c>
      <c r="W15" s="49">
        <f t="shared" si="3"/>
        <v>0.41507644100468583</v>
      </c>
      <c r="X15" s="44">
        <f t="shared" si="4"/>
        <v>107483.97798593277</v>
      </c>
      <c r="Y15" s="44">
        <f t="shared" si="5"/>
        <v>1005169</v>
      </c>
      <c r="Z15" s="44">
        <f t="shared" si="6"/>
        <v>1511662.4616293397</v>
      </c>
      <c r="AA15" s="50">
        <f t="shared" si="7"/>
        <v>2503202.977985933</v>
      </c>
      <c r="AB15" s="51">
        <f t="shared" si="8"/>
        <v>1413164.8701779374</v>
      </c>
      <c r="AC15" s="44">
        <f t="shared" si="9"/>
        <v>2340098.1377824931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13.765480191058694</v>
      </c>
      <c r="AG15" s="44">
        <f t="shared" si="11"/>
        <v>6015927.8078983817</v>
      </c>
      <c r="AH15" s="52">
        <f>HLOOKUP(I15,GasAvoidedCostsWOCC!$A$5:$Q$50,T15+1,FALSE)</f>
        <v>13.765480191058694</v>
      </c>
      <c r="AI15" s="44">
        <f t="shared" si="12"/>
        <v>0</v>
      </c>
      <c r="AJ15" s="44">
        <f t="shared" si="13"/>
        <v>6015927.8078983817</v>
      </c>
      <c r="AK15" s="44">
        <f>HLOOKUP(I15,GasAvoidedCostsWOCC!$A$5:$Q$50,G15+1,FALSE)*J15*L15</f>
        <v>0</v>
      </c>
      <c r="AL15" s="44">
        <f t="shared" si="14"/>
        <v>6015927.8078983817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6015927.8078983817</v>
      </c>
      <c r="AN15" s="48">
        <f t="shared" si="15"/>
        <v>6617520.5886882208</v>
      </c>
      <c r="AO15" s="47">
        <f t="shared" si="16"/>
        <v>4.2570601172253113</v>
      </c>
      <c r="AP15" s="47">
        <f t="shared" si="17"/>
        <v>2.827881652416111</v>
      </c>
      <c r="AQ15">
        <v>2020</v>
      </c>
    </row>
    <row r="16" spans="1:43" ht="13.5" customHeight="1">
      <c r="A16" s="54">
        <f>SUM(U5:U999)</f>
        <v>19.903915925152326</v>
      </c>
      <c r="B16" s="97" t="s">
        <v>33</v>
      </c>
      <c r="C16">
        <v>18230638</v>
      </c>
      <c r="D16" s="100" t="s">
        <v>83</v>
      </c>
      <c r="E16" s="38" t="s">
        <v>1686</v>
      </c>
      <c r="F16" s="39" t="s">
        <v>1687</v>
      </c>
      <c r="G16" s="39">
        <v>20</v>
      </c>
      <c r="H16" s="39"/>
      <c r="I16" s="40" t="s">
        <v>269</v>
      </c>
      <c r="J16" s="41">
        <v>7</v>
      </c>
      <c r="K16" s="41">
        <v>110</v>
      </c>
      <c r="L16" s="41"/>
      <c r="M16" s="42">
        <v>600</v>
      </c>
      <c r="N16" s="42">
        <v>603</v>
      </c>
      <c r="O16" s="43">
        <v>770</v>
      </c>
      <c r="P16" s="44">
        <v>4200</v>
      </c>
      <c r="Q16" s="44">
        <v>4221</v>
      </c>
      <c r="R16" s="45">
        <v>0</v>
      </c>
      <c r="S16" s="46">
        <v>0</v>
      </c>
      <c r="T16" s="39">
        <f t="shared" si="0"/>
        <v>20</v>
      </c>
      <c r="U16" s="47">
        <f t="shared" si="1"/>
        <v>1.4626403659868113E-2</v>
      </c>
      <c r="V16" s="48">
        <f t="shared" si="2"/>
        <v>3</v>
      </c>
      <c r="W16" s="49">
        <f t="shared" si="3"/>
        <v>7.3132018299340562E-4</v>
      </c>
      <c r="X16" s="44">
        <f t="shared" si="4"/>
        <v>189.375244374913</v>
      </c>
      <c r="Y16" s="44">
        <f t="shared" si="5"/>
        <v>21</v>
      </c>
      <c r="Z16" s="44">
        <f t="shared" si="6"/>
        <v>2663.3871712573314</v>
      </c>
      <c r="AA16" s="50">
        <f t="shared" si="7"/>
        <v>4410.3752443749127</v>
      </c>
      <c r="AB16" s="51">
        <f t="shared" si="8"/>
        <v>2489.8449764021043</v>
      </c>
      <c r="AC16" s="44">
        <f t="shared" si="9"/>
        <v>4123.0020046507543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13.765480191058694</v>
      </c>
      <c r="AG16" s="44">
        <f t="shared" si="11"/>
        <v>10599.419747115195</v>
      </c>
      <c r="AH16" s="52">
        <f>HLOOKUP(I16,GasAvoidedCostsWOCC!$A$5:$Q$50,T16+1,FALSE)</f>
        <v>13.765480191058694</v>
      </c>
      <c r="AI16" s="44">
        <f t="shared" si="12"/>
        <v>0</v>
      </c>
      <c r="AJ16" s="44">
        <f t="shared" si="13"/>
        <v>10599.419747115195</v>
      </c>
      <c r="AK16" s="44">
        <f>HLOOKUP(I16,GasAvoidedCostsWOCC!$A$5:$Q$50,G16+1,FALSE)*J16*L16</f>
        <v>0</v>
      </c>
      <c r="AL16" s="44">
        <f t="shared" si="14"/>
        <v>10599.419747115195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10599.419747115195</v>
      </c>
      <c r="AN16" s="48">
        <f t="shared" si="15"/>
        <v>11659.361721826715</v>
      </c>
      <c r="AO16" s="47">
        <f t="shared" si="16"/>
        <v>4.2570601172253113</v>
      </c>
      <c r="AP16" s="47">
        <f t="shared" si="17"/>
        <v>2.8278816524161114</v>
      </c>
      <c r="AQ16">
        <v>2020</v>
      </c>
    </row>
    <row r="17" spans="1:43" ht="13.5" customHeight="1">
      <c r="A17" s="58" t="s">
        <v>254</v>
      </c>
      <c r="B17" s="97" t="s">
        <v>33</v>
      </c>
      <c r="C17">
        <v>18230638</v>
      </c>
      <c r="D17" s="100" t="s">
        <v>83</v>
      </c>
      <c r="E17" s="38" t="s">
        <v>1688</v>
      </c>
      <c r="F17" s="39" t="s">
        <v>1689</v>
      </c>
      <c r="G17" s="39">
        <v>20</v>
      </c>
      <c r="H17" s="39"/>
      <c r="I17" s="40" t="s">
        <v>269</v>
      </c>
      <c r="J17" s="41">
        <v>47</v>
      </c>
      <c r="K17" s="41">
        <v>119</v>
      </c>
      <c r="L17" s="41"/>
      <c r="M17" s="42">
        <v>350</v>
      </c>
      <c r="N17" s="42">
        <v>1239</v>
      </c>
      <c r="O17" s="43">
        <v>5593</v>
      </c>
      <c r="P17" s="44">
        <v>16450</v>
      </c>
      <c r="Q17" s="44">
        <v>58233</v>
      </c>
      <c r="R17" s="45">
        <v>0</v>
      </c>
      <c r="S17" s="46">
        <v>0</v>
      </c>
      <c r="T17" s="39">
        <f t="shared" si="0"/>
        <v>20</v>
      </c>
      <c r="U17" s="47">
        <f t="shared" si="1"/>
        <v>0.10624087749304204</v>
      </c>
      <c r="V17" s="48">
        <f t="shared" si="2"/>
        <v>889</v>
      </c>
      <c r="W17" s="49">
        <f t="shared" si="3"/>
        <v>5.3120438746521014E-3</v>
      </c>
      <c r="X17" s="44">
        <f t="shared" si="4"/>
        <v>1375.5529114141409</v>
      </c>
      <c r="Y17" s="44">
        <f t="shared" si="5"/>
        <v>41783</v>
      </c>
      <c r="Z17" s="44">
        <f t="shared" si="6"/>
        <v>19345.875907587346</v>
      </c>
      <c r="AA17" s="50">
        <f t="shared" si="7"/>
        <v>59608.552911414139</v>
      </c>
      <c r="AB17" s="51">
        <f t="shared" si="8"/>
        <v>18085.328510411651</v>
      </c>
      <c r="AC17" s="44">
        <f t="shared" si="9"/>
        <v>55724.551660665733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13.765480191058694</v>
      </c>
      <c r="AG17" s="44">
        <f t="shared" si="11"/>
        <v>76990.330708591282</v>
      </c>
      <c r="AH17" s="52">
        <f>HLOOKUP(I17,GasAvoidedCostsWOCC!$A$5:$Q$50,T17+1,FALSE)</f>
        <v>13.765480191058694</v>
      </c>
      <c r="AI17" s="44">
        <f t="shared" si="12"/>
        <v>0</v>
      </c>
      <c r="AJ17" s="44">
        <f t="shared" si="13"/>
        <v>76990.330708591282</v>
      </c>
      <c r="AK17" s="44">
        <f>HLOOKUP(I17,GasAvoidedCostsWOCC!$A$5:$Q$50,G17+1,FALSE)*J17*L17</f>
        <v>0</v>
      </c>
      <c r="AL17" s="44">
        <f t="shared" si="14"/>
        <v>76990.330708591282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76990.330708591282</v>
      </c>
      <c r="AN17" s="48">
        <f t="shared" si="15"/>
        <v>84689.363779450417</v>
      </c>
      <c r="AO17" s="47">
        <f t="shared" si="16"/>
        <v>4.2570601172253113</v>
      </c>
      <c r="AP17" s="47">
        <f t="shared" si="17"/>
        <v>1.5197854671880664</v>
      </c>
      <c r="AQ17">
        <v>2020</v>
      </c>
    </row>
    <row r="18" spans="1:43" ht="13.5" customHeight="1">
      <c r="A18" s="59">
        <f>A6+A8</f>
        <v>3641889.33</v>
      </c>
      <c r="B18" s="97" t="s">
        <v>33</v>
      </c>
      <c r="C18">
        <v>18230638</v>
      </c>
      <c r="D18" s="100" t="s">
        <v>83</v>
      </c>
      <c r="E18" s="38" t="s">
        <v>1873</v>
      </c>
      <c r="F18" s="39" t="s">
        <v>1874</v>
      </c>
      <c r="G18" s="39">
        <v>10</v>
      </c>
      <c r="H18" s="39"/>
      <c r="I18" s="40" t="s">
        <v>265</v>
      </c>
      <c r="J18" s="41">
        <v>1322</v>
      </c>
      <c r="K18" s="41">
        <v>0.6</v>
      </c>
      <c r="L18" s="41"/>
      <c r="M18" s="42">
        <v>0.54</v>
      </c>
      <c r="N18" s="42">
        <v>0.54</v>
      </c>
      <c r="O18" s="43">
        <v>793.20000000000698</v>
      </c>
      <c r="P18" s="44">
        <v>198.300000000002</v>
      </c>
      <c r="Q18" s="44">
        <v>713.880000000005</v>
      </c>
      <c r="R18" s="45">
        <v>2.74</v>
      </c>
      <c r="S18" s="46">
        <v>0</v>
      </c>
      <c r="T18" s="39">
        <f t="shared" si="0"/>
        <v>10</v>
      </c>
      <c r="U18" s="47">
        <f t="shared" si="1"/>
        <v>7.5335476513035647E-3</v>
      </c>
      <c r="V18" s="48">
        <f t="shared" si="2"/>
        <v>0</v>
      </c>
      <c r="W18" s="49">
        <f t="shared" si="3"/>
        <v>7.5335476513035645E-4</v>
      </c>
      <c r="X18" s="44">
        <f t="shared" si="4"/>
        <v>195.08109589374328</v>
      </c>
      <c r="Y18" s="44">
        <f t="shared" si="5"/>
        <v>515.580000000003</v>
      </c>
      <c r="Z18" s="44">
        <f t="shared" si="6"/>
        <v>2743.6346808329013</v>
      </c>
      <c r="AA18" s="50">
        <f t="shared" si="7"/>
        <v>908.96109589374828</v>
      </c>
      <c r="AB18" s="51">
        <f t="shared" si="8"/>
        <v>2564.8636821846321</v>
      </c>
      <c r="AC18" s="44">
        <f t="shared" si="9"/>
        <v>849.73459464686198</v>
      </c>
      <c r="AD18" s="44">
        <f t="shared" si="10"/>
        <v>25476.697252290996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5663.4840805955328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5663.4840805955328</v>
      </c>
      <c r="AK18" s="44">
        <f>HLOOKUP(I18,GasAvoidedCostsWOCC!$A$5:$Q$50,G18+1,FALSE)*J18*L18</f>
        <v>0</v>
      </c>
      <c r="AL18" s="44">
        <f t="shared" si="14"/>
        <v>5663.4840805955328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5663.4840805955319</v>
      </c>
      <c r="AN18" s="48">
        <f t="shared" si="15"/>
        <v>31706.529740946084</v>
      </c>
      <c r="AO18" s="47">
        <f t="shared" si="16"/>
        <v>2.208103346752385</v>
      </c>
      <c r="AP18" s="47">
        <f t="shared" si="17"/>
        <v>37.313450506417105</v>
      </c>
      <c r="AQ18">
        <v>2020</v>
      </c>
    </row>
    <row r="19" spans="1:43" ht="13.5" customHeight="1">
      <c r="A19" s="58" t="s">
        <v>231</v>
      </c>
      <c r="B19" s="97" t="s">
        <v>33</v>
      </c>
      <c r="C19">
        <v>18230638</v>
      </c>
      <c r="D19" s="100" t="s">
        <v>83</v>
      </c>
      <c r="E19" s="38" t="s">
        <v>1877</v>
      </c>
      <c r="F19" s="39" t="s">
        <v>1878</v>
      </c>
      <c r="G19" s="39">
        <v>10</v>
      </c>
      <c r="H19" s="39"/>
      <c r="I19" s="40" t="s">
        <v>265</v>
      </c>
      <c r="J19" s="41">
        <v>1258</v>
      </c>
      <c r="K19" s="41">
        <v>0.8</v>
      </c>
      <c r="L19" s="41"/>
      <c r="M19" s="42">
        <v>1.81</v>
      </c>
      <c r="N19" s="42">
        <v>1.81</v>
      </c>
      <c r="O19" s="43">
        <v>1006.40000000001</v>
      </c>
      <c r="P19" s="44">
        <v>1258</v>
      </c>
      <c r="Q19" s="44">
        <v>2276.97999999996</v>
      </c>
      <c r="R19" s="45">
        <v>2.74</v>
      </c>
      <c r="S19" s="46">
        <v>0</v>
      </c>
      <c r="T19" s="39">
        <f t="shared" si="0"/>
        <v>10</v>
      </c>
      <c r="U19" s="47">
        <f t="shared" si="1"/>
        <v>9.5584497683710492E-3</v>
      </c>
      <c r="V19" s="48">
        <f t="shared" si="2"/>
        <v>0</v>
      </c>
      <c r="W19" s="49">
        <f t="shared" si="3"/>
        <v>9.5584497683710488E-4</v>
      </c>
      <c r="X19" s="44">
        <f t="shared" si="4"/>
        <v>247.51590381677187</v>
      </c>
      <c r="Y19" s="44">
        <f t="shared" si="5"/>
        <v>1018.97999999996</v>
      </c>
      <c r="Z19" s="44">
        <f t="shared" si="6"/>
        <v>3481.0816222771491</v>
      </c>
      <c r="AA19" s="50">
        <f t="shared" si="7"/>
        <v>2524.4959038167317</v>
      </c>
      <c r="AB19" s="51">
        <f t="shared" si="8"/>
        <v>3254.2597198066269</v>
      </c>
      <c r="AC19" s="44">
        <f t="shared" si="9"/>
        <v>2360.0036494500623</v>
      </c>
      <c r="AD19" s="44">
        <f t="shared" si="10"/>
        <v>24243.332181075697</v>
      </c>
      <c r="AE19" s="44">
        <f t="shared" si="18"/>
        <v>0</v>
      </c>
      <c r="AF19" s="52">
        <f>HLOOKUP(I19,GasAvoidedCostsWOCC!$A$5:$G$50,G19+1,FALSE)</f>
        <v>7.1400454873872068</v>
      </c>
      <c r="AG19" s="44">
        <f t="shared" si="11"/>
        <v>7185.7417785064863</v>
      </c>
      <c r="AH19" s="52">
        <f>HLOOKUP(I19,GasAvoidedCostsWOCC!$A$5:$Q$50,T19+1,FALSE)</f>
        <v>7.1400454873872068</v>
      </c>
      <c r="AI19" s="44">
        <f t="shared" si="12"/>
        <v>0</v>
      </c>
      <c r="AJ19" s="44">
        <f t="shared" si="13"/>
        <v>7185.7417785064863</v>
      </c>
      <c r="AK19" s="44">
        <f>HLOOKUP(I19,GasAvoidedCostsWOCC!$A$5:$Q$50,G19+1,FALSE)*J19*L19</f>
        <v>0</v>
      </c>
      <c r="AL19" s="44">
        <f t="shared" si="14"/>
        <v>7185.7417785064863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7185.7417785064854</v>
      </c>
      <c r="AN19" s="48">
        <f t="shared" si="15"/>
        <v>32147.648137432832</v>
      </c>
      <c r="AO19" s="47">
        <f t="shared" si="16"/>
        <v>2.2081033467523832</v>
      </c>
      <c r="AP19" s="47">
        <f t="shared" si="17"/>
        <v>13.621863739458203</v>
      </c>
      <c r="AQ19">
        <v>2020</v>
      </c>
    </row>
    <row r="20" spans="1:43" ht="13.5" customHeight="1">
      <c r="A20" s="59">
        <f>A8+SUM(Q5:Q906)</f>
        <v>6092830.1899999995</v>
      </c>
      <c r="B20" s="97" t="s">
        <v>33</v>
      </c>
      <c r="C20">
        <v>18230638</v>
      </c>
      <c r="D20" s="100" t="s">
        <v>83</v>
      </c>
      <c r="E20" s="38" t="s">
        <v>1879</v>
      </c>
      <c r="F20" s="39" t="s">
        <v>1880</v>
      </c>
      <c r="G20" s="39">
        <v>10</v>
      </c>
      <c r="H20" s="39"/>
      <c r="I20" s="40" t="s">
        <v>265</v>
      </c>
      <c r="J20" s="41">
        <v>629</v>
      </c>
      <c r="K20" s="41">
        <v>1.3</v>
      </c>
      <c r="L20" s="41"/>
      <c r="M20" s="42">
        <v>1.81</v>
      </c>
      <c r="N20" s="42">
        <v>1.81</v>
      </c>
      <c r="O20" s="43">
        <v>817.69999999999197</v>
      </c>
      <c r="P20" s="44">
        <v>1258</v>
      </c>
      <c r="Q20" s="44">
        <v>1138.48999999998</v>
      </c>
      <c r="R20" s="45">
        <v>3.8</v>
      </c>
      <c r="S20" s="46">
        <v>0</v>
      </c>
      <c r="T20" s="39">
        <f t="shared" si="0"/>
        <v>10</v>
      </c>
      <c r="U20" s="47">
        <f t="shared" si="1"/>
        <v>7.7662404368013241E-3</v>
      </c>
      <c r="V20" s="48">
        <f t="shared" si="2"/>
        <v>0</v>
      </c>
      <c r="W20" s="49">
        <f t="shared" si="3"/>
        <v>7.7662404368013238E-4</v>
      </c>
      <c r="X20" s="44">
        <f t="shared" si="4"/>
        <v>201.10667185112317</v>
      </c>
      <c r="Y20" s="44">
        <f t="shared" si="5"/>
        <v>-119.51000000002</v>
      </c>
      <c r="Z20" s="44">
        <f t="shared" si="6"/>
        <v>2828.3788181001282</v>
      </c>
      <c r="AA20" s="50">
        <f t="shared" si="7"/>
        <v>1339.5966718511031</v>
      </c>
      <c r="AB20" s="51">
        <f t="shared" si="8"/>
        <v>2644.0860223428326</v>
      </c>
      <c r="AC20" s="44">
        <f t="shared" si="9"/>
        <v>1252.3106215304319</v>
      </c>
      <c r="AD20" s="44">
        <f t="shared" si="10"/>
        <v>16811.069760599934</v>
      </c>
      <c r="AE20" s="44">
        <f t="shared" si="18"/>
        <v>0</v>
      </c>
      <c r="AF20" s="52">
        <f>HLOOKUP(I20,GasAvoidedCostsWOCC!$A$5:$G$50,G20+1,FALSE)</f>
        <v>7.1400454873872068</v>
      </c>
      <c r="AG20" s="44">
        <f t="shared" si="11"/>
        <v>5838.4151950365194</v>
      </c>
      <c r="AH20" s="52">
        <f>HLOOKUP(I20,GasAvoidedCostsWOCC!$A$5:$Q$50,T20+1,FALSE)</f>
        <v>7.1400454873872068</v>
      </c>
      <c r="AI20" s="44">
        <f t="shared" si="12"/>
        <v>0</v>
      </c>
      <c r="AJ20" s="44">
        <f t="shared" si="13"/>
        <v>5838.4151950365194</v>
      </c>
      <c r="AK20" s="44">
        <f>HLOOKUP(I20,GasAvoidedCostsWOCC!$A$5:$Q$50,G20+1,FALSE)*J20*L20</f>
        <v>0</v>
      </c>
      <c r="AL20" s="44">
        <f t="shared" si="14"/>
        <v>5838.4151950365194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5838.4151950365185</v>
      </c>
      <c r="AN20" s="48">
        <f t="shared" si="15"/>
        <v>23233.326475140104</v>
      </c>
      <c r="AO20" s="47">
        <f t="shared" si="16"/>
        <v>2.2081033467524258</v>
      </c>
      <c r="AP20" s="47">
        <f t="shared" si="17"/>
        <v>18.552367180873201</v>
      </c>
      <c r="AQ20">
        <v>2020</v>
      </c>
    </row>
    <row r="21" spans="1:43" ht="13.5" customHeight="1">
      <c r="A21" s="58" t="s">
        <v>245</v>
      </c>
      <c r="B21" s="97" t="s">
        <v>33</v>
      </c>
      <c r="C21">
        <v>18230638</v>
      </c>
      <c r="D21" s="100" t="s">
        <v>83</v>
      </c>
      <c r="E21" s="38" t="s">
        <v>1881</v>
      </c>
      <c r="F21" s="39" t="s">
        <v>1882</v>
      </c>
      <c r="G21" s="39">
        <v>10</v>
      </c>
      <c r="H21" s="39"/>
      <c r="I21" s="40" t="s">
        <v>265</v>
      </c>
      <c r="J21" s="41">
        <v>629</v>
      </c>
      <c r="K21" s="41">
        <v>4.9000000000000004</v>
      </c>
      <c r="L21" s="41"/>
      <c r="M21" s="42">
        <v>10</v>
      </c>
      <c r="N21" s="42">
        <v>10</v>
      </c>
      <c r="O21" s="43">
        <v>3082.1000000000299</v>
      </c>
      <c r="P21" s="44">
        <v>5333.91999999994</v>
      </c>
      <c r="Q21" s="44">
        <v>6290</v>
      </c>
      <c r="R21" s="45">
        <v>14.31</v>
      </c>
      <c r="S21" s="46">
        <v>0</v>
      </c>
      <c r="T21" s="39">
        <f t="shared" si="0"/>
        <v>10</v>
      </c>
      <c r="U21" s="47">
        <f t="shared" si="1"/>
        <v>2.927275241563633E-2</v>
      </c>
      <c r="V21" s="48">
        <f t="shared" si="2"/>
        <v>0</v>
      </c>
      <c r="W21" s="49">
        <f t="shared" si="3"/>
        <v>2.9272752415636328E-3</v>
      </c>
      <c r="X21" s="44">
        <f t="shared" si="4"/>
        <v>758.01745543886364</v>
      </c>
      <c r="Y21" s="44">
        <f t="shared" si="5"/>
        <v>956.08000000005995</v>
      </c>
      <c r="Z21" s="44">
        <f t="shared" si="6"/>
        <v>10660.812468223767</v>
      </c>
      <c r="AA21" s="50">
        <f t="shared" si="7"/>
        <v>7048.0174554388632</v>
      </c>
      <c r="AB21" s="51">
        <f t="shared" si="8"/>
        <v>9966.1703919077918</v>
      </c>
      <c r="AC21" s="44">
        <f t="shared" si="9"/>
        <v>6588.7795227062379</v>
      </c>
      <c r="AD21" s="44">
        <f t="shared" si="10"/>
        <v>63306.949545838179</v>
      </c>
      <c r="AE21" s="44">
        <f t="shared" si="18"/>
        <v>0</v>
      </c>
      <c r="AF21" s="52">
        <f>HLOOKUP(I21,GasAvoidedCostsWOCC!$A$5:$G$50,G21+1,FALSE)</f>
        <v>7.1400454873872068</v>
      </c>
      <c r="AG21" s="44">
        <f t="shared" si="11"/>
        <v>22006.334196676115</v>
      </c>
      <c r="AH21" s="52">
        <f>HLOOKUP(I21,GasAvoidedCostsWOCC!$A$5:$Q$50,T21+1,FALSE)</f>
        <v>7.1400454873872068</v>
      </c>
      <c r="AI21" s="44">
        <f t="shared" si="12"/>
        <v>0</v>
      </c>
      <c r="AJ21" s="44">
        <f t="shared" si="13"/>
        <v>22006.334196676115</v>
      </c>
      <c r="AK21" s="44">
        <f>HLOOKUP(I21,GasAvoidedCostsWOCC!$A$5:$Q$50,G21+1,FALSE)*J21*L21</f>
        <v>0</v>
      </c>
      <c r="AL21" s="44">
        <f t="shared" si="14"/>
        <v>22006.334196676115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22006.334196676115</v>
      </c>
      <c r="AN21" s="48">
        <f t="shared" si="15"/>
        <v>87513.917162181911</v>
      </c>
      <c r="AO21" s="47">
        <f t="shared" si="16"/>
        <v>2.2081033467523841</v>
      </c>
      <c r="AP21" s="47">
        <f t="shared" si="17"/>
        <v>13.282265229940027</v>
      </c>
      <c r="AQ21">
        <v>2020</v>
      </c>
    </row>
    <row r="22" spans="1:43" ht="13.5" customHeight="1">
      <c r="A22" s="60">
        <f>(SUM(AM5:AM1000)/(SUM(AB5:AB1000)))</f>
        <v>4.2384003045991623</v>
      </c>
      <c r="B22" s="97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3" ht="13.5" customHeight="1">
      <c r="A23" s="58" t="s">
        <v>246</v>
      </c>
      <c r="B23" s="97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3" ht="13.5" customHeight="1">
      <c r="A24" s="60">
        <f>(SUM(AN5:AN1000)/SUM(AC5:AC1000))</f>
        <v>2.8095729828446538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3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0" si="19">G25+H25</f>
        <v>0</v>
      </c>
      <c r="U25" s="47">
        <f t="shared" ref="U25:U50" si="20">(O25/$A$10)*T25</f>
        <v>0</v>
      </c>
      <c r="V25" s="48">
        <f t="shared" ref="V25:V50" si="21">N25-M25</f>
        <v>0</v>
      </c>
      <c r="W25" s="49">
        <f t="shared" ref="W25:W50" si="22">(O25/A$10)</f>
        <v>0</v>
      </c>
      <c r="X25" s="44">
        <f t="shared" ref="X25:X50" si="23">W25*A$8</f>
        <v>0</v>
      </c>
      <c r="Y25" s="44">
        <f t="shared" ref="Y25:Y50" si="24">Q25-P25</f>
        <v>0</v>
      </c>
      <c r="Z25" s="44">
        <f t="shared" ref="Z25:Z50" si="25">X25+(A$6*W25)</f>
        <v>0</v>
      </c>
      <c r="AA25" s="50">
        <f t="shared" ref="AA25:AA50" si="26">Q25+X25</f>
        <v>0</v>
      </c>
      <c r="AB25" s="51">
        <f t="shared" ref="AB25:AB50" si="27">Z25/(1+GasDiscountRate)^1</f>
        <v>0</v>
      </c>
      <c r="AC25" s="44">
        <f t="shared" ref="AC25:AC50" si="28">AA25/(1+GasDiscountRate)^1</f>
        <v>0</v>
      </c>
      <c r="AD25" s="44">
        <f t="shared" ref="AD25:AD50" si="29">-PV(GasDiscountRate,T25,R25)*J25</f>
        <v>0</v>
      </c>
      <c r="AE25" s="44">
        <f t="shared" ref="AE25:AE50" si="30">-PV(GasDiscountRate,T25,S25)*J25</f>
        <v>0</v>
      </c>
      <c r="AF25" s="52" t="e">
        <f>HLOOKUP(I25,GasAvoidedCostsWOCC!$A$5:$G$50,G25+1,FALSE)</f>
        <v>#N/A</v>
      </c>
      <c r="AG25" s="44" t="e">
        <f t="shared" ref="AG25:AG50" si="31">AF25*J25*K25</f>
        <v>#N/A</v>
      </c>
      <c r="AH25" s="52" t="e">
        <f>HLOOKUP(I25,GasAvoidedCostsWOCC!$A$5:$Q$50,T25+1,FALSE)</f>
        <v>#N/A</v>
      </c>
      <c r="AI25" s="44" t="e">
        <f t="shared" ref="AI25:AI50" si="32">AH25*J25*L25</f>
        <v>#N/A</v>
      </c>
      <c r="AJ25" s="44" t="e">
        <f t="shared" ref="AJ25:AJ50" si="33">AG25+AI25</f>
        <v>#N/A</v>
      </c>
      <c r="AK25" s="44" t="e">
        <f>HLOOKUP(I25,GasAvoidedCostsWOCC!$A$5:$Q$50,G25+1,FALSE)*J25*L25</f>
        <v>#N/A</v>
      </c>
      <c r="AL25" s="44" t="e">
        <f t="shared" ref="AL25:AL50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50" si="35">AM25*1.1+AD25+AE25</f>
        <v>0</v>
      </c>
      <c r="AO25" s="47">
        <f t="shared" ref="AO25:AO50" si="36">IFERROR(AM25/AB25,0)</f>
        <v>0</v>
      </c>
      <c r="AP25" s="47" t="e">
        <f t="shared" ref="AP25:AP50" si="37">AN25/AC25</f>
        <v>#DIV/0!</v>
      </c>
    </row>
    <row r="26" spans="1:43" ht="13.5" customHeight="1">
      <c r="B26" s="9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9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9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3">
      <c r="B29" s="9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9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9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9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</sheetData>
  <conditionalFormatting sqref="J5:L50">
    <cfRule type="expression" dxfId="139" priority="4">
      <formula>ISTEXT(J5)</formula>
    </cfRule>
    <cfRule type="notContainsBlanks" dxfId="138" priority="5">
      <formula>LEN(TRIM(J5))&gt;0</formula>
    </cfRule>
  </conditionalFormatting>
  <conditionalFormatting sqref="M5:N50 R5:S50">
    <cfRule type="expression" dxfId="137" priority="2">
      <formula>ISTEXT(M5)</formula>
    </cfRule>
  </conditionalFormatting>
  <conditionalFormatting sqref="M5:N50 R5:S50">
    <cfRule type="notContainsBlanks" dxfId="136" priority="3">
      <formula>LEN(TRIM(M5))&gt;0</formula>
    </cfRule>
  </conditionalFormatting>
  <conditionalFormatting sqref="R5:S50">
    <cfRule type="expression" dxfId="1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A25" sqref="A2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18230249</v>
      </c>
      <c r="D2" s="20" t="s">
        <v>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18230249</v>
      </c>
      <c r="D5" s="61" t="s">
        <v>34</v>
      </c>
      <c r="E5" s="38" t="s">
        <v>1690</v>
      </c>
      <c r="F5" s="39" t="s">
        <v>1691</v>
      </c>
      <c r="G5" s="39">
        <v>13</v>
      </c>
      <c r="H5" s="39"/>
      <c r="I5" s="40" t="s">
        <v>265</v>
      </c>
      <c r="J5" s="41">
        <v>17</v>
      </c>
      <c r="K5" s="41">
        <v>28</v>
      </c>
      <c r="L5" s="41"/>
      <c r="M5" s="42">
        <v>50</v>
      </c>
      <c r="N5" s="42">
        <v>166</v>
      </c>
      <c r="O5" s="43">
        <v>476</v>
      </c>
      <c r="P5" s="44">
        <v>850</v>
      </c>
      <c r="Q5" s="44">
        <v>2822</v>
      </c>
      <c r="R5" s="45">
        <v>0</v>
      </c>
      <c r="S5" s="46">
        <v>0</v>
      </c>
      <c r="T5" s="39">
        <f t="shared" ref="T5:T24" si="0">G5+H5</f>
        <v>13</v>
      </c>
      <c r="U5" s="47">
        <f t="shared" ref="U5:U24" si="1">(O5/$A$10)*T5</f>
        <v>4.9620389585812483E-2</v>
      </c>
      <c r="V5" s="48">
        <f t="shared" ref="V5:V24" si="2">N5-M5</f>
        <v>116</v>
      </c>
      <c r="W5" s="49">
        <f t="shared" ref="W5:W24" si="3">(O5/A$10)</f>
        <v>3.8169530450624985E-3</v>
      </c>
      <c r="X5" s="44">
        <f t="shared" ref="X5:X24" si="4">W5*A$8</f>
        <v>481.94154544900533</v>
      </c>
      <c r="Y5" s="44">
        <f t="shared" ref="Y5:Y24" si="5">Q5-P5</f>
        <v>1972</v>
      </c>
      <c r="Z5" s="44">
        <f t="shared" ref="Z5:Z24" si="6">X5+(A$6*W5)</f>
        <v>2935.5917919471917</v>
      </c>
      <c r="AA5" s="50">
        <f t="shared" ref="AA5:AA24" si="7">Q5+X5</f>
        <v>3303.9415454490054</v>
      </c>
      <c r="AB5" s="51">
        <f t="shared" ref="AB5:AB24" si="8">Z5/(1+GasDiscountRate)^1</f>
        <v>2744.3131643892602</v>
      </c>
      <c r="AC5" s="44">
        <f t="shared" ref="AC5:AC24" si="9">AA5/(1+GasDiscountRate)^1</f>
        <v>3088.6618168168693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9.0054306682141867</v>
      </c>
      <c r="AG5" s="44">
        <f t="shared" ref="AG5:AG24" si="11">AF5*J5*K5</f>
        <v>4286.5849980699531</v>
      </c>
      <c r="AH5" s="52">
        <f>HLOOKUP(I5,GasAvoidedCostsWOCC!$A$5:$Q$50,T5+1,FALSE)</f>
        <v>9.0054306682141867</v>
      </c>
      <c r="AI5" s="44">
        <f t="shared" ref="AI5:AI24" si="12">AH5*J5*L5</f>
        <v>0</v>
      </c>
      <c r="AJ5" s="44">
        <f>AG5+AI5</f>
        <v>4286.5849980699531</v>
      </c>
      <c r="AK5" s="44">
        <f>HLOOKUP(I5,GasAvoidedCostsWOCC!$A$5:$Q$50,G5+1,FALSE)*J5*L5</f>
        <v>0</v>
      </c>
      <c r="AL5" s="44">
        <f>AG5+AI5-AK5</f>
        <v>4286.5849980699531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4286.5849980699531</v>
      </c>
      <c r="AN5" s="48">
        <f>AM5*1.1+AD5+AE5</f>
        <v>4715.2434978769488</v>
      </c>
      <c r="AO5" s="47">
        <f>IFERROR(AM5/AB5,0)</f>
        <v>1.5619882795059656</v>
      </c>
      <c r="AP5" s="47">
        <f>AN5/AC5</f>
        <v>1.5266299056127846</v>
      </c>
      <c r="AQ5">
        <v>2021</v>
      </c>
    </row>
    <row r="6" spans="1:43" ht="13.5" customHeight="1">
      <c r="A6" s="53">
        <f>SUMIF('Program Costs'!D:D,C2,'Program Costs'!L:L)</f>
        <v>642829.56000000006</v>
      </c>
      <c r="B6" s="97" t="s">
        <v>33</v>
      </c>
      <c r="C6" s="98">
        <v>18230249</v>
      </c>
      <c r="D6" s="61" t="s">
        <v>34</v>
      </c>
      <c r="E6" s="38" t="s">
        <v>1692</v>
      </c>
      <c r="F6" s="39" t="s">
        <v>1691</v>
      </c>
      <c r="G6" s="39">
        <v>13</v>
      </c>
      <c r="H6" s="39"/>
      <c r="I6" s="40" t="s">
        <v>265</v>
      </c>
      <c r="J6" s="41">
        <v>79</v>
      </c>
      <c r="K6" s="41">
        <v>15</v>
      </c>
      <c r="L6" s="41"/>
      <c r="M6" s="42">
        <v>50</v>
      </c>
      <c r="N6" s="42">
        <v>186.6</v>
      </c>
      <c r="O6" s="43">
        <v>1185</v>
      </c>
      <c r="P6" s="44">
        <v>3950</v>
      </c>
      <c r="Q6" s="44">
        <v>14741.4</v>
      </c>
      <c r="R6" s="45">
        <v>0</v>
      </c>
      <c r="S6" s="46">
        <v>0</v>
      </c>
      <c r="T6" s="39">
        <f t="shared" si="0"/>
        <v>13</v>
      </c>
      <c r="U6" s="47">
        <f t="shared" si="1"/>
        <v>0.1235297513848483</v>
      </c>
      <c r="V6" s="48">
        <f t="shared" si="2"/>
        <v>136.6</v>
      </c>
      <c r="W6" s="49">
        <f t="shared" si="3"/>
        <v>9.5022885680652539E-3</v>
      </c>
      <c r="X6" s="44">
        <f t="shared" si="4"/>
        <v>1199.7914524308221</v>
      </c>
      <c r="Y6" s="44">
        <f t="shared" si="5"/>
        <v>10791.4</v>
      </c>
      <c r="Z6" s="44">
        <f t="shared" si="6"/>
        <v>7308.1434316332397</v>
      </c>
      <c r="AA6" s="50">
        <f t="shared" si="7"/>
        <v>15941.191452430821</v>
      </c>
      <c r="AB6" s="51">
        <f t="shared" si="8"/>
        <v>6831.9560920194808</v>
      </c>
      <c r="AC6" s="44">
        <f t="shared" si="9"/>
        <v>14902.488036300663</v>
      </c>
      <c r="AD6" s="44">
        <f t="shared" si="10"/>
        <v>0</v>
      </c>
      <c r="AE6" s="44">
        <v>0</v>
      </c>
      <c r="AF6" s="52">
        <f>HLOOKUP(I6,GasAvoidedCostsWOCC!$A$5:$G$50,G6+1,FALSE)</f>
        <v>9.0054306682141867</v>
      </c>
      <c r="AG6" s="44">
        <f t="shared" si="11"/>
        <v>10671.435341833811</v>
      </c>
      <c r="AH6" s="52">
        <f>HLOOKUP(I6,GasAvoidedCostsWOCC!$A$5:$Q$50,T6+1,FALSE)</f>
        <v>9.0054306682141867</v>
      </c>
      <c r="AI6" s="44">
        <f t="shared" si="12"/>
        <v>0</v>
      </c>
      <c r="AJ6" s="44">
        <f t="shared" ref="AJ6:AJ24" si="13">AG6+AI6</f>
        <v>10671.435341833811</v>
      </c>
      <c r="AK6" s="44">
        <f>HLOOKUP(I6,GasAvoidedCostsWOCC!$A$5:$Q$50,G6+1,FALSE)*J6*L6</f>
        <v>0</v>
      </c>
      <c r="AL6" s="44">
        <f t="shared" ref="AL6:AL24" si="14">AG6+AI6-AK6</f>
        <v>10671.435341833811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10671.435341833811</v>
      </c>
      <c r="AN6" s="48">
        <f t="shared" ref="AN6:AN24" si="15">AM6*1.1+AD6+AE6</f>
        <v>11738.578876017193</v>
      </c>
      <c r="AO6" s="47">
        <f t="shared" ref="AO6:AO24" si="16">IFERROR(AM6/AB6,0)</f>
        <v>1.5619882795059659</v>
      </c>
      <c r="AP6" s="47">
        <f t="shared" ref="AP6:AP24" si="17">AN6/AC6</f>
        <v>0.78769255492260293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18230249</v>
      </c>
      <c r="D7" s="61" t="s">
        <v>34</v>
      </c>
      <c r="E7" s="38" t="s">
        <v>1693</v>
      </c>
      <c r="F7" s="39" t="s">
        <v>1694</v>
      </c>
      <c r="G7" s="39">
        <v>13</v>
      </c>
      <c r="H7" s="39"/>
      <c r="I7" s="40" t="s">
        <v>265</v>
      </c>
      <c r="J7" s="41">
        <v>1</v>
      </c>
      <c r="K7" s="41">
        <v>15</v>
      </c>
      <c r="L7" s="41"/>
      <c r="M7" s="42">
        <v>150</v>
      </c>
      <c r="N7" s="42">
        <v>186.6</v>
      </c>
      <c r="O7" s="43">
        <v>15</v>
      </c>
      <c r="P7" s="44">
        <v>150</v>
      </c>
      <c r="Q7" s="44">
        <v>186.6</v>
      </c>
      <c r="R7" s="45">
        <v>0</v>
      </c>
      <c r="S7" s="46">
        <v>0</v>
      </c>
      <c r="T7" s="39">
        <f t="shared" si="0"/>
        <v>13</v>
      </c>
      <c r="U7" s="47">
        <f t="shared" si="1"/>
        <v>1.5636677390487126E-3</v>
      </c>
      <c r="V7" s="48">
        <f t="shared" si="2"/>
        <v>36.599999999999994</v>
      </c>
      <c r="W7" s="49">
        <f t="shared" si="3"/>
        <v>1.202821337729779E-4</v>
      </c>
      <c r="X7" s="44">
        <f t="shared" si="4"/>
        <v>15.187233575073698</v>
      </c>
      <c r="Y7" s="44">
        <f t="shared" si="5"/>
        <v>36.599999999999994</v>
      </c>
      <c r="Z7" s="44">
        <f t="shared" si="6"/>
        <v>92.508144704218239</v>
      </c>
      <c r="AA7" s="50">
        <f t="shared" si="7"/>
        <v>201.78723357507369</v>
      </c>
      <c r="AB7" s="51">
        <f t="shared" si="8"/>
        <v>86.480456861006104</v>
      </c>
      <c r="AC7" s="44">
        <f t="shared" si="9"/>
        <v>188.63908906709702</v>
      </c>
      <c r="AD7" s="44">
        <f t="shared" si="10"/>
        <v>0</v>
      </c>
      <c r="AE7" s="44">
        <v>0</v>
      </c>
      <c r="AF7" s="52">
        <f>HLOOKUP(I7,GasAvoidedCostsWOCC!$A$5:$G$50,G7+1,FALSE)</f>
        <v>9.0054306682141867</v>
      </c>
      <c r="AG7" s="44">
        <f t="shared" si="11"/>
        <v>135.0814600232128</v>
      </c>
      <c r="AH7" s="52">
        <f>HLOOKUP(I7,GasAvoidedCostsWOCC!$A$5:$Q$50,T7+1,FALSE)</f>
        <v>9.0054306682141867</v>
      </c>
      <c r="AI7" s="44">
        <f t="shared" si="12"/>
        <v>0</v>
      </c>
      <c r="AJ7" s="44">
        <f t="shared" si="13"/>
        <v>135.0814600232128</v>
      </c>
      <c r="AK7" s="44">
        <f>HLOOKUP(I7,GasAvoidedCostsWOCC!$A$5:$Q$50,G7+1,FALSE)*J7*L7</f>
        <v>0</v>
      </c>
      <c r="AL7" s="44">
        <f t="shared" si="14"/>
        <v>135.0814600232128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135.0814600232128</v>
      </c>
      <c r="AN7" s="48">
        <f t="shared" si="15"/>
        <v>148.5896060255341</v>
      </c>
      <c r="AO7" s="47">
        <f t="shared" si="16"/>
        <v>1.5619882795059656</v>
      </c>
      <c r="AP7" s="47">
        <f t="shared" si="17"/>
        <v>0.78769255492260293</v>
      </c>
      <c r="AQ7">
        <v>2021</v>
      </c>
    </row>
    <row r="8" spans="1:43" ht="13.5" customHeight="1">
      <c r="A8" s="53">
        <f>SUMIF('Program Costs'!D:D,C2,'Program Costs'!O:O)</f>
        <v>126263.42000000004</v>
      </c>
      <c r="B8" s="97" t="s">
        <v>33</v>
      </c>
      <c r="C8" s="98">
        <v>18230249</v>
      </c>
      <c r="D8" s="61" t="s">
        <v>34</v>
      </c>
      <c r="E8" s="38" t="s">
        <v>1695</v>
      </c>
      <c r="F8" s="39" t="s">
        <v>943</v>
      </c>
      <c r="G8" s="39">
        <v>20</v>
      </c>
      <c r="H8" s="39"/>
      <c r="I8" s="40" t="s">
        <v>265</v>
      </c>
      <c r="J8" s="41">
        <v>170</v>
      </c>
      <c r="K8" s="41">
        <v>51</v>
      </c>
      <c r="L8" s="41"/>
      <c r="M8" s="42">
        <v>250</v>
      </c>
      <c r="N8" s="42">
        <v>808.33</v>
      </c>
      <c r="O8" s="43">
        <v>8670</v>
      </c>
      <c r="P8" s="44">
        <v>42449</v>
      </c>
      <c r="Q8" s="44">
        <v>137416.1</v>
      </c>
      <c r="R8" s="45">
        <v>11.51</v>
      </c>
      <c r="S8" s="46">
        <v>0</v>
      </c>
      <c r="T8" s="39">
        <f t="shared" si="0"/>
        <v>20</v>
      </c>
      <c r="U8" s="47">
        <f t="shared" si="1"/>
        <v>1.3904614664156245</v>
      </c>
      <c r="V8" s="48">
        <f t="shared" si="2"/>
        <v>558.33000000000004</v>
      </c>
      <c r="W8" s="49">
        <f t="shared" si="3"/>
        <v>6.9523073320781226E-2</v>
      </c>
      <c r="X8" s="44">
        <f t="shared" si="4"/>
        <v>8778.2210063925977</v>
      </c>
      <c r="Y8" s="44">
        <f t="shared" si="5"/>
        <v>94967.1</v>
      </c>
      <c r="Z8" s="44">
        <f t="shared" si="6"/>
        <v>53469.707639038133</v>
      </c>
      <c r="AA8" s="50">
        <f t="shared" si="7"/>
        <v>146194.32100639259</v>
      </c>
      <c r="AB8" s="51">
        <f t="shared" si="8"/>
        <v>49985.704065661521</v>
      </c>
      <c r="AC8" s="44">
        <f t="shared" si="9"/>
        <v>136668.52482601904</v>
      </c>
      <c r="AD8" s="44">
        <f t="shared" si="10"/>
        <v>20777.729710503845</v>
      </c>
      <c r="AE8" s="44">
        <v>0</v>
      </c>
      <c r="AF8" s="52">
        <f>HLOOKUP(I8,GasAvoidedCostsWOCC!$A$5:$G$50,G8+1,FALSE)</f>
        <v>13.114573164368423</v>
      </c>
      <c r="AG8" s="44">
        <f t="shared" si="11"/>
        <v>113703.34933507422</v>
      </c>
      <c r="AH8" s="52">
        <f>HLOOKUP(I8,GasAvoidedCostsWOCC!$A$5:$Q$50,T8+1,FALSE)</f>
        <v>13.114573164368423</v>
      </c>
      <c r="AI8" s="44">
        <f t="shared" si="12"/>
        <v>0</v>
      </c>
      <c r="AJ8" s="44">
        <f t="shared" si="13"/>
        <v>113703.34933507422</v>
      </c>
      <c r="AK8" s="44">
        <f>HLOOKUP(I8,GasAvoidedCostsWOCC!$A$5:$Q$50,G8+1,FALSE)*J8*L8</f>
        <v>0</v>
      </c>
      <c r="AL8" s="44">
        <f t="shared" si="14"/>
        <v>113703.34933507422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113703.34933507422</v>
      </c>
      <c r="AN8" s="48">
        <f t="shared" si="15"/>
        <v>145851.41397908551</v>
      </c>
      <c r="AO8" s="47">
        <f t="shared" si="16"/>
        <v>2.2747173709049453</v>
      </c>
      <c r="AP8" s="47">
        <f t="shared" si="17"/>
        <v>1.0671909583040895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18230249</v>
      </c>
      <c r="D9" s="61" t="s">
        <v>34</v>
      </c>
      <c r="E9" s="38" t="s">
        <v>942</v>
      </c>
      <c r="F9" s="39" t="s">
        <v>943</v>
      </c>
      <c r="G9" s="39">
        <v>20</v>
      </c>
      <c r="H9" s="39"/>
      <c r="I9" s="40" t="s">
        <v>265</v>
      </c>
      <c r="J9" s="41">
        <v>1090</v>
      </c>
      <c r="K9" s="41">
        <v>42</v>
      </c>
      <c r="L9" s="41"/>
      <c r="M9" s="42">
        <v>250</v>
      </c>
      <c r="N9" s="42">
        <v>925.6</v>
      </c>
      <c r="O9" s="43">
        <v>45780</v>
      </c>
      <c r="P9" s="44">
        <v>272500</v>
      </c>
      <c r="Q9" s="44">
        <v>1008903.99999998</v>
      </c>
      <c r="R9" s="45">
        <v>15.03</v>
      </c>
      <c r="S9" s="46">
        <v>0</v>
      </c>
      <c r="T9" s="39">
        <f t="shared" si="0"/>
        <v>20</v>
      </c>
      <c r="U9" s="47">
        <f t="shared" si="1"/>
        <v>7.3420214455025707</v>
      </c>
      <c r="V9" s="48">
        <f t="shared" si="2"/>
        <v>675.6</v>
      </c>
      <c r="W9" s="49">
        <f t="shared" si="3"/>
        <v>0.36710107227512856</v>
      </c>
      <c r="X9" s="44">
        <f t="shared" si="4"/>
        <v>46351.436871124926</v>
      </c>
      <c r="Y9" s="44">
        <f t="shared" si="5"/>
        <v>736403.99999997998</v>
      </c>
      <c r="Z9" s="44">
        <f t="shared" si="6"/>
        <v>282334.85763727408</v>
      </c>
      <c r="AA9" s="50">
        <f t="shared" si="7"/>
        <v>1055255.4368711049</v>
      </c>
      <c r="AB9" s="51">
        <f t="shared" si="8"/>
        <v>263938.35433979065</v>
      </c>
      <c r="AC9" s="44">
        <f t="shared" si="9"/>
        <v>986496.62229700363</v>
      </c>
      <c r="AD9" s="44">
        <f t="shared" si="10"/>
        <v>173963.97635215995</v>
      </c>
      <c r="AE9" s="44">
        <f t="shared" ref="AE9:AE24" si="18">-PV(GasDiscountRate,T9,S9)*J9</f>
        <v>0</v>
      </c>
      <c r="AF9" s="52">
        <f>HLOOKUP(I9,GasAvoidedCostsWOCC!$A$5:$G$50,G9+1,FALSE)</f>
        <v>13.114573164368423</v>
      </c>
      <c r="AG9" s="44">
        <f t="shared" si="11"/>
        <v>600385.15946478641</v>
      </c>
      <c r="AH9" s="52">
        <f>HLOOKUP(I9,GasAvoidedCostsWOCC!$A$5:$Q$50,T9+1,FALSE)</f>
        <v>13.114573164368423</v>
      </c>
      <c r="AI9" s="44">
        <f t="shared" si="12"/>
        <v>0</v>
      </c>
      <c r="AJ9" s="44">
        <f t="shared" si="13"/>
        <v>600385.15946478641</v>
      </c>
      <c r="AK9" s="44">
        <f>HLOOKUP(I9,GasAvoidedCostsWOCC!$A$5:$Q$50,G9+1,FALSE)*J9*L9</f>
        <v>0</v>
      </c>
      <c r="AL9" s="44">
        <f t="shared" si="14"/>
        <v>600385.15946478641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600385.15946478641</v>
      </c>
      <c r="AN9" s="48">
        <f t="shared" si="15"/>
        <v>834387.65176342509</v>
      </c>
      <c r="AO9" s="47">
        <f t="shared" si="16"/>
        <v>2.2747173709049453</v>
      </c>
      <c r="AP9" s="47">
        <f t="shared" si="17"/>
        <v>0.84580892919896566</v>
      </c>
      <c r="AQ9">
        <v>2021</v>
      </c>
    </row>
    <row r="10" spans="1:43" ht="13.5" customHeight="1">
      <c r="A10" s="54">
        <f>SUM(O5:O999)</f>
        <v>124706.8</v>
      </c>
      <c r="B10" s="97" t="s">
        <v>33</v>
      </c>
      <c r="C10" s="98">
        <v>18230249</v>
      </c>
      <c r="D10" s="61" t="s">
        <v>34</v>
      </c>
      <c r="E10" s="38" t="s">
        <v>1696</v>
      </c>
      <c r="F10" s="39" t="s">
        <v>1697</v>
      </c>
      <c r="G10" s="39">
        <v>20</v>
      </c>
      <c r="H10" s="39"/>
      <c r="I10" s="40" t="s">
        <v>269</v>
      </c>
      <c r="J10" s="41">
        <v>1</v>
      </c>
      <c r="K10" s="41">
        <v>51</v>
      </c>
      <c r="L10" s="41"/>
      <c r="M10" s="42">
        <v>500</v>
      </c>
      <c r="N10" s="42">
        <v>808.33</v>
      </c>
      <c r="O10" s="43">
        <v>51</v>
      </c>
      <c r="P10" s="44">
        <v>500</v>
      </c>
      <c r="Q10" s="44">
        <v>808.33</v>
      </c>
      <c r="R10" s="45">
        <v>11.51</v>
      </c>
      <c r="S10" s="46">
        <v>0</v>
      </c>
      <c r="T10" s="39">
        <f t="shared" si="0"/>
        <v>20</v>
      </c>
      <c r="U10" s="47">
        <f t="shared" si="1"/>
        <v>8.1791850965624961E-3</v>
      </c>
      <c r="V10" s="48">
        <f t="shared" si="2"/>
        <v>308.33000000000004</v>
      </c>
      <c r="W10" s="49">
        <f t="shared" si="3"/>
        <v>4.0895925482812483E-4</v>
      </c>
      <c r="X10" s="44">
        <f t="shared" si="4"/>
        <v>51.63659415525057</v>
      </c>
      <c r="Y10" s="44">
        <f t="shared" si="5"/>
        <v>308.33000000000004</v>
      </c>
      <c r="Z10" s="44">
        <f t="shared" si="6"/>
        <v>314.52769199434198</v>
      </c>
      <c r="AA10" s="50">
        <f t="shared" si="7"/>
        <v>859.96659415525062</v>
      </c>
      <c r="AB10" s="51">
        <f t="shared" si="8"/>
        <v>294.03355332742075</v>
      </c>
      <c r="AC10" s="44">
        <f t="shared" si="9"/>
        <v>803.93249897658268</v>
      </c>
      <c r="AD10" s="44">
        <f t="shared" si="10"/>
        <v>122.22193947355203</v>
      </c>
      <c r="AE10" s="44">
        <f t="shared" si="18"/>
        <v>0</v>
      </c>
      <c r="AF10" s="52">
        <f>HLOOKUP(I10,GasAvoidedCostsWOCC!$A$5:$G$50,G10+1,FALSE)</f>
        <v>13.765480191058694</v>
      </c>
      <c r="AG10" s="44">
        <f t="shared" si="11"/>
        <v>702.03948974399339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3"/>
        <v>702.03948974399339</v>
      </c>
      <c r="AK10" s="44">
        <f>HLOOKUP(I10,GasAvoidedCostsWOCC!$A$5:$Q$50,G10+1,FALSE)*J10*L10</f>
        <v>0</v>
      </c>
      <c r="AL10" s="44">
        <f t="shared" si="14"/>
        <v>702.03948974399339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702.03948974399339</v>
      </c>
      <c r="AN10" s="48">
        <f t="shared" si="15"/>
        <v>894.46537819194486</v>
      </c>
      <c r="AO10" s="47">
        <f t="shared" si="16"/>
        <v>2.3876169294265477</v>
      </c>
      <c r="AP10" s="47">
        <f t="shared" si="17"/>
        <v>1.1126125381553946</v>
      </c>
      <c r="AQ10">
        <v>2021</v>
      </c>
    </row>
    <row r="11" spans="1:43" ht="13.5" customHeight="1">
      <c r="A11" s="36" t="s">
        <v>251</v>
      </c>
      <c r="B11" s="97" t="s">
        <v>33</v>
      </c>
      <c r="C11" s="98">
        <v>18230249</v>
      </c>
      <c r="D11" s="61" t="s">
        <v>34</v>
      </c>
      <c r="E11" s="38" t="s">
        <v>1698</v>
      </c>
      <c r="F11" s="39" t="s">
        <v>1697</v>
      </c>
      <c r="G11" s="39">
        <v>20</v>
      </c>
      <c r="H11" s="39"/>
      <c r="I11" s="40" t="s">
        <v>269</v>
      </c>
      <c r="J11" s="41">
        <v>4</v>
      </c>
      <c r="K11" s="41">
        <v>42</v>
      </c>
      <c r="L11" s="41"/>
      <c r="M11" s="42">
        <v>500</v>
      </c>
      <c r="N11" s="42">
        <v>925.6</v>
      </c>
      <c r="O11" s="43">
        <v>168</v>
      </c>
      <c r="P11" s="44">
        <v>2000</v>
      </c>
      <c r="Q11" s="44">
        <v>3702.4</v>
      </c>
      <c r="R11" s="45">
        <v>15.03</v>
      </c>
      <c r="S11" s="46">
        <v>0</v>
      </c>
      <c r="T11" s="39">
        <f t="shared" si="0"/>
        <v>20</v>
      </c>
      <c r="U11" s="47">
        <f t="shared" si="1"/>
        <v>2.6943197965147051E-2</v>
      </c>
      <c r="V11" s="48">
        <f t="shared" si="2"/>
        <v>425.6</v>
      </c>
      <c r="W11" s="49">
        <f t="shared" si="3"/>
        <v>1.3471598982573525E-3</v>
      </c>
      <c r="X11" s="44">
        <f t="shared" si="4"/>
        <v>170.09701604082542</v>
      </c>
      <c r="Y11" s="44">
        <f t="shared" si="5"/>
        <v>1702.4</v>
      </c>
      <c r="Z11" s="44">
        <f t="shared" si="6"/>
        <v>1036.0912206872442</v>
      </c>
      <c r="AA11" s="50">
        <f t="shared" si="7"/>
        <v>3872.4970160408257</v>
      </c>
      <c r="AB11" s="51">
        <f t="shared" si="8"/>
        <v>968.58111684326832</v>
      </c>
      <c r="AC11" s="44">
        <f t="shared" si="9"/>
        <v>3620.1710909982476</v>
      </c>
      <c r="AD11" s="44">
        <f t="shared" si="10"/>
        <v>638.39991321893558</v>
      </c>
      <c r="AE11" s="44">
        <f t="shared" si="18"/>
        <v>0</v>
      </c>
      <c r="AF11" s="52">
        <f>HLOOKUP(I11,GasAvoidedCostsWOCC!$A$5:$G$50,G11+1,FALSE)</f>
        <v>13.765480191058694</v>
      </c>
      <c r="AG11" s="44">
        <f t="shared" si="11"/>
        <v>2312.6006720978608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3"/>
        <v>2312.6006720978608</v>
      </c>
      <c r="AK11" s="44">
        <f>HLOOKUP(I11,GasAvoidedCostsWOCC!$A$5:$Q$50,G11+1,FALSE)*J11*L11</f>
        <v>0</v>
      </c>
      <c r="AL11" s="44">
        <f t="shared" si="14"/>
        <v>2312.6006720978608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2312.6006720978608</v>
      </c>
      <c r="AN11" s="48">
        <f t="shared" si="15"/>
        <v>3182.2606525265828</v>
      </c>
      <c r="AO11" s="47">
        <f t="shared" si="16"/>
        <v>2.3876169294265481</v>
      </c>
      <c r="AP11" s="47">
        <f t="shared" si="17"/>
        <v>0.87903598270243277</v>
      </c>
      <c r="AQ11">
        <v>2021</v>
      </c>
    </row>
    <row r="12" spans="1:43" ht="13.5" customHeight="1">
      <c r="A12" s="55">
        <f>SUM(P5:P1000)</f>
        <v>642665.56000000006</v>
      </c>
      <c r="B12" s="97" t="s">
        <v>33</v>
      </c>
      <c r="C12" s="100">
        <v>18230249</v>
      </c>
      <c r="D12" s="100" t="s">
        <v>34</v>
      </c>
      <c r="E12" s="38" t="s">
        <v>2446</v>
      </c>
      <c r="F12" s="39" t="s">
        <v>2447</v>
      </c>
      <c r="G12" s="39">
        <v>13</v>
      </c>
      <c r="H12" s="39">
        <v>0</v>
      </c>
      <c r="I12" s="40" t="s">
        <v>265</v>
      </c>
      <c r="J12" s="41">
        <v>138</v>
      </c>
      <c r="K12" s="41">
        <v>51</v>
      </c>
      <c r="L12" s="41"/>
      <c r="M12" s="42">
        <v>250</v>
      </c>
      <c r="N12" s="42">
        <v>811</v>
      </c>
      <c r="O12" s="43">
        <v>7038</v>
      </c>
      <c r="P12" s="44">
        <v>34500</v>
      </c>
      <c r="Q12" s="44">
        <v>111918</v>
      </c>
      <c r="R12" s="45">
        <v>0</v>
      </c>
      <c r="S12" s="46">
        <v>0</v>
      </c>
      <c r="T12" s="39">
        <f t="shared" si="0"/>
        <v>13</v>
      </c>
      <c r="U12" s="47">
        <f t="shared" si="1"/>
        <v>0.73367290316165601</v>
      </c>
      <c r="V12" s="48">
        <f t="shared" si="2"/>
        <v>561</v>
      </c>
      <c r="W12" s="49">
        <f t="shared" si="3"/>
        <v>5.6436377166281228E-2</v>
      </c>
      <c r="X12" s="44">
        <f t="shared" si="4"/>
        <v>7125.8499934245792</v>
      </c>
      <c r="Y12" s="44">
        <f t="shared" si="5"/>
        <v>77418</v>
      </c>
      <c r="Z12" s="44">
        <f t="shared" si="6"/>
        <v>43404.821495219192</v>
      </c>
      <c r="AA12" s="50">
        <f t="shared" si="7"/>
        <v>119043.84999342458</v>
      </c>
      <c r="AB12" s="51">
        <f t="shared" si="8"/>
        <v>40576.630359184062</v>
      </c>
      <c r="AC12" s="44">
        <f t="shared" si="9"/>
        <v>111287.13657420264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9.0054306682141867</v>
      </c>
      <c r="AG12" s="44">
        <f t="shared" si="11"/>
        <v>63380.221042891448</v>
      </c>
      <c r="AH12" s="52">
        <f>HLOOKUP(I12,GasAvoidedCostsWOCC!$A$5:$Q$50,T12+1,FALSE)</f>
        <v>9.0054306682141867</v>
      </c>
      <c r="AI12" s="44">
        <f t="shared" si="12"/>
        <v>0</v>
      </c>
      <c r="AJ12" s="44">
        <f t="shared" si="13"/>
        <v>63380.221042891448</v>
      </c>
      <c r="AK12" s="44">
        <f>HLOOKUP(I12,GasAvoidedCostsWOCC!$A$5:$Q$50,G12+1,FALSE)*J12*L12</f>
        <v>0</v>
      </c>
      <c r="AL12" s="44">
        <f t="shared" si="14"/>
        <v>63380.221042891448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63380.221042891448</v>
      </c>
      <c r="AN12" s="48">
        <f t="shared" si="15"/>
        <v>69718.243147180605</v>
      </c>
      <c r="AO12" s="47">
        <f t="shared" si="16"/>
        <v>1.5619882795059656</v>
      </c>
      <c r="AP12" s="47">
        <f t="shared" si="17"/>
        <v>0.6264717135631821</v>
      </c>
      <c r="AQ12">
        <v>2020</v>
      </c>
    </row>
    <row r="13" spans="1:43" ht="13.5" customHeight="1">
      <c r="A13" s="56" t="s">
        <v>252</v>
      </c>
      <c r="B13" s="97" t="s">
        <v>33</v>
      </c>
      <c r="C13" s="100">
        <v>18230249</v>
      </c>
      <c r="D13" s="100" t="s">
        <v>34</v>
      </c>
      <c r="E13" s="38" t="s">
        <v>2448</v>
      </c>
      <c r="F13" s="39" t="s">
        <v>2449</v>
      </c>
      <c r="G13" s="39">
        <v>13</v>
      </c>
      <c r="H13" s="39">
        <v>0</v>
      </c>
      <c r="I13" s="40" t="s">
        <v>265</v>
      </c>
      <c r="J13" s="41">
        <v>21</v>
      </c>
      <c r="K13" s="41">
        <v>28</v>
      </c>
      <c r="L13" s="41"/>
      <c r="M13" s="42">
        <v>50</v>
      </c>
      <c r="N13" s="42">
        <v>166</v>
      </c>
      <c r="O13" s="43">
        <v>588</v>
      </c>
      <c r="P13" s="44">
        <v>1050</v>
      </c>
      <c r="Q13" s="44">
        <v>3486</v>
      </c>
      <c r="R13" s="45">
        <v>0</v>
      </c>
      <c r="S13" s="46">
        <v>0</v>
      </c>
      <c r="T13" s="39">
        <f t="shared" si="0"/>
        <v>13</v>
      </c>
      <c r="U13" s="47">
        <f t="shared" si="1"/>
        <v>6.1295775370709536E-2</v>
      </c>
      <c r="V13" s="48">
        <f t="shared" si="2"/>
        <v>116</v>
      </c>
      <c r="W13" s="49">
        <f t="shared" si="3"/>
        <v>4.7150596439007337E-3</v>
      </c>
      <c r="X13" s="44">
        <f t="shared" si="4"/>
        <v>595.33955614288902</v>
      </c>
      <c r="Y13" s="44">
        <f t="shared" si="5"/>
        <v>2436</v>
      </c>
      <c r="Z13" s="44">
        <f t="shared" si="6"/>
        <v>3626.3192724053542</v>
      </c>
      <c r="AA13" s="50">
        <f t="shared" si="7"/>
        <v>4081.3395561428888</v>
      </c>
      <c r="AB13" s="51">
        <f t="shared" si="8"/>
        <v>3390.0339089514387</v>
      </c>
      <c r="AC13" s="44">
        <f t="shared" si="9"/>
        <v>3815.405773714956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9.0054306682141867</v>
      </c>
      <c r="AG13" s="44">
        <f t="shared" si="11"/>
        <v>5295.1932329099418</v>
      </c>
      <c r="AH13" s="52">
        <f>HLOOKUP(I13,GasAvoidedCostsWOCC!$A$5:$Q$50,T13+1,FALSE)</f>
        <v>9.0054306682141867</v>
      </c>
      <c r="AI13" s="44">
        <f t="shared" si="12"/>
        <v>0</v>
      </c>
      <c r="AJ13" s="44">
        <f t="shared" si="13"/>
        <v>5295.1932329099418</v>
      </c>
      <c r="AK13" s="44">
        <f>HLOOKUP(I13,GasAvoidedCostsWOCC!$A$5:$Q$50,G13+1,FALSE)*J13*L13</f>
        <v>0</v>
      </c>
      <c r="AL13" s="44">
        <f t="shared" si="14"/>
        <v>5295.1932329099418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5295.1932329099418</v>
      </c>
      <c r="AN13" s="48">
        <f t="shared" si="15"/>
        <v>5824.7125562009369</v>
      </c>
      <c r="AO13" s="47">
        <f t="shared" si="16"/>
        <v>1.5619882795059659</v>
      </c>
      <c r="AP13" s="47">
        <f t="shared" si="17"/>
        <v>1.5266299056127846</v>
      </c>
      <c r="AQ13">
        <v>2020</v>
      </c>
    </row>
    <row r="14" spans="1:43" ht="13.5" customHeight="1">
      <c r="A14" s="55">
        <f>SUM(Y5:Y1000)</f>
        <v>1559641.3899999638</v>
      </c>
      <c r="B14" s="97" t="s">
        <v>33</v>
      </c>
      <c r="C14" s="100">
        <v>18230249</v>
      </c>
      <c r="D14" s="100" t="s">
        <v>34</v>
      </c>
      <c r="E14" s="38" t="s">
        <v>1690</v>
      </c>
      <c r="F14" s="39" t="s">
        <v>1691</v>
      </c>
      <c r="G14" s="39">
        <v>13</v>
      </c>
      <c r="H14" s="39"/>
      <c r="I14" s="40" t="s">
        <v>265</v>
      </c>
      <c r="J14" s="41">
        <v>100</v>
      </c>
      <c r="K14" s="41">
        <v>28</v>
      </c>
      <c r="L14" s="41"/>
      <c r="M14" s="42">
        <v>50</v>
      </c>
      <c r="N14" s="42">
        <v>166</v>
      </c>
      <c r="O14" s="43">
        <v>2800</v>
      </c>
      <c r="P14" s="44">
        <v>5000</v>
      </c>
      <c r="Q14" s="44">
        <v>16600</v>
      </c>
      <c r="R14" s="45">
        <v>0</v>
      </c>
      <c r="S14" s="46">
        <v>0</v>
      </c>
      <c r="T14" s="39">
        <f t="shared" si="0"/>
        <v>13</v>
      </c>
      <c r="U14" s="47">
        <f t="shared" si="1"/>
        <v>0.29188464462242636</v>
      </c>
      <c r="V14" s="48">
        <f t="shared" si="2"/>
        <v>116</v>
      </c>
      <c r="W14" s="49">
        <f t="shared" si="3"/>
        <v>2.2452664970955872E-2</v>
      </c>
      <c r="X14" s="44">
        <f t="shared" si="4"/>
        <v>2834.9502673470902</v>
      </c>
      <c r="Y14" s="44">
        <f t="shared" si="5"/>
        <v>11600</v>
      </c>
      <c r="Z14" s="44">
        <f t="shared" si="6"/>
        <v>17268.187011454065</v>
      </c>
      <c r="AA14" s="50">
        <f t="shared" si="7"/>
        <v>19434.950267347089</v>
      </c>
      <c r="AB14" s="51">
        <f t="shared" si="8"/>
        <v>16143.018614054467</v>
      </c>
      <c r="AC14" s="44">
        <f t="shared" si="9"/>
        <v>18168.598922452169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9.0054306682141867</v>
      </c>
      <c r="AG14" s="44">
        <f t="shared" si="11"/>
        <v>25215.205870999722</v>
      </c>
      <c r="AH14" s="52">
        <f>HLOOKUP(I14,GasAvoidedCostsWOCC!$A$5:$Q$50,T14+1,FALSE)</f>
        <v>9.0054306682141867</v>
      </c>
      <c r="AI14" s="44">
        <f t="shared" si="12"/>
        <v>0</v>
      </c>
      <c r="AJ14" s="44">
        <f t="shared" si="13"/>
        <v>25215.205870999722</v>
      </c>
      <c r="AK14" s="44">
        <f>HLOOKUP(I14,GasAvoidedCostsWOCC!$A$5:$Q$50,G14+1,FALSE)*J14*L14</f>
        <v>0</v>
      </c>
      <c r="AL14" s="44">
        <f t="shared" si="14"/>
        <v>25215.205870999722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25215.205870999722</v>
      </c>
      <c r="AN14" s="48">
        <f t="shared" si="15"/>
        <v>27736.726458099696</v>
      </c>
      <c r="AO14" s="47">
        <f t="shared" si="16"/>
        <v>1.5619882795059661</v>
      </c>
      <c r="AP14" s="47">
        <f t="shared" si="17"/>
        <v>1.5266299056127848</v>
      </c>
      <c r="AQ14">
        <v>2020</v>
      </c>
    </row>
    <row r="15" spans="1:43" ht="13.5" customHeight="1">
      <c r="A15" s="57" t="s">
        <v>253</v>
      </c>
      <c r="B15" s="97" t="s">
        <v>33</v>
      </c>
      <c r="C15" s="100">
        <v>18230249</v>
      </c>
      <c r="D15" s="100" t="s">
        <v>34</v>
      </c>
      <c r="E15" s="38" t="s">
        <v>2450</v>
      </c>
      <c r="F15" s="39" t="s">
        <v>1694</v>
      </c>
      <c r="G15" s="39">
        <v>13</v>
      </c>
      <c r="H15" s="39"/>
      <c r="I15" s="40" t="s">
        <v>265</v>
      </c>
      <c r="J15" s="41">
        <v>1</v>
      </c>
      <c r="K15" s="41">
        <v>28</v>
      </c>
      <c r="L15" s="41"/>
      <c r="M15" s="42">
        <v>150</v>
      </c>
      <c r="N15" s="42">
        <v>166</v>
      </c>
      <c r="O15" s="43">
        <v>28</v>
      </c>
      <c r="P15" s="44">
        <v>150</v>
      </c>
      <c r="Q15" s="44">
        <v>166</v>
      </c>
      <c r="R15" s="45">
        <v>0</v>
      </c>
      <c r="S15" s="46">
        <v>0</v>
      </c>
      <c r="T15" s="39">
        <f t="shared" si="0"/>
        <v>13</v>
      </c>
      <c r="U15" s="47">
        <f t="shared" si="1"/>
        <v>2.9188464462242634E-3</v>
      </c>
      <c r="V15" s="48">
        <f t="shared" si="2"/>
        <v>16</v>
      </c>
      <c r="W15" s="49">
        <f t="shared" si="3"/>
        <v>2.2452664970955873E-4</v>
      </c>
      <c r="X15" s="44">
        <f t="shared" si="4"/>
        <v>28.349502673470901</v>
      </c>
      <c r="Y15" s="44">
        <f t="shared" si="5"/>
        <v>16</v>
      </c>
      <c r="Z15" s="44">
        <f t="shared" si="6"/>
        <v>172.68187011454069</v>
      </c>
      <c r="AA15" s="50">
        <f t="shared" si="7"/>
        <v>194.34950267347091</v>
      </c>
      <c r="AB15" s="51">
        <f t="shared" si="8"/>
        <v>161.43018614054469</v>
      </c>
      <c r="AC15" s="44">
        <f t="shared" si="9"/>
        <v>181.68598922452173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9.0054306682141867</v>
      </c>
      <c r="AG15" s="44">
        <f t="shared" si="11"/>
        <v>252.15205870999722</v>
      </c>
      <c r="AH15" s="52">
        <f>HLOOKUP(I15,GasAvoidedCostsWOCC!$A$5:$Q$50,T15+1,FALSE)</f>
        <v>9.0054306682141867</v>
      </c>
      <c r="AI15" s="44">
        <f t="shared" si="12"/>
        <v>0</v>
      </c>
      <c r="AJ15" s="44">
        <f t="shared" si="13"/>
        <v>252.15205870999722</v>
      </c>
      <c r="AK15" s="44">
        <f>HLOOKUP(I15,GasAvoidedCostsWOCC!$A$5:$Q$50,G15+1,FALSE)*J15*L15</f>
        <v>0</v>
      </c>
      <c r="AL15" s="44">
        <f t="shared" si="14"/>
        <v>252.15205870999722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252.15205870999722</v>
      </c>
      <c r="AN15" s="48">
        <f t="shared" si="15"/>
        <v>277.36726458099696</v>
      </c>
      <c r="AO15" s="47">
        <f t="shared" si="16"/>
        <v>1.5619882795059659</v>
      </c>
      <c r="AP15" s="47">
        <f t="shared" si="17"/>
        <v>1.5266299056127843</v>
      </c>
      <c r="AQ15">
        <v>2020</v>
      </c>
    </row>
    <row r="16" spans="1:43" ht="13.5" customHeight="1">
      <c r="A16" s="54">
        <f>SUM(U5:U999)</f>
        <v>19.202786054970538</v>
      </c>
      <c r="B16" s="97" t="s">
        <v>33</v>
      </c>
      <c r="C16" s="100">
        <v>18230249</v>
      </c>
      <c r="D16" s="100" t="s">
        <v>34</v>
      </c>
      <c r="E16" s="38" t="s">
        <v>1695</v>
      </c>
      <c r="F16" s="39" t="s">
        <v>943</v>
      </c>
      <c r="G16" s="39">
        <v>20</v>
      </c>
      <c r="H16" s="39"/>
      <c r="I16" s="40" t="s">
        <v>265</v>
      </c>
      <c r="J16" s="41">
        <v>1104</v>
      </c>
      <c r="K16" s="41">
        <v>51</v>
      </c>
      <c r="L16" s="41"/>
      <c r="M16" s="42">
        <v>250</v>
      </c>
      <c r="N16" s="42">
        <v>808.33</v>
      </c>
      <c r="O16" s="43">
        <v>56304</v>
      </c>
      <c r="P16" s="44">
        <v>275998</v>
      </c>
      <c r="Q16" s="44">
        <v>896462.98999998404</v>
      </c>
      <c r="R16" s="45">
        <v>11.51</v>
      </c>
      <c r="S16" s="46">
        <v>0</v>
      </c>
      <c r="T16" s="39">
        <f t="shared" si="0"/>
        <v>20</v>
      </c>
      <c r="U16" s="47">
        <f t="shared" si="1"/>
        <v>9.0298203466049962</v>
      </c>
      <c r="V16" s="48">
        <f t="shared" si="2"/>
        <v>558.33000000000004</v>
      </c>
      <c r="W16" s="49">
        <f t="shared" si="3"/>
        <v>0.45149101733024982</v>
      </c>
      <c r="X16" s="44">
        <f t="shared" si="4"/>
        <v>57006.799947396634</v>
      </c>
      <c r="Y16" s="44">
        <f t="shared" si="5"/>
        <v>620464.98999998404</v>
      </c>
      <c r="Z16" s="44">
        <f t="shared" si="6"/>
        <v>347238.57196175354</v>
      </c>
      <c r="AA16" s="50">
        <f t="shared" si="7"/>
        <v>953469.78994738066</v>
      </c>
      <c r="AB16" s="51">
        <f t="shared" si="8"/>
        <v>324613.0428734725</v>
      </c>
      <c r="AC16" s="44">
        <f t="shared" si="9"/>
        <v>891343.17093332764</v>
      </c>
      <c r="AD16" s="44">
        <f t="shared" si="10"/>
        <v>134933.02117880143</v>
      </c>
      <c r="AE16" s="44">
        <f t="shared" si="18"/>
        <v>0</v>
      </c>
      <c r="AF16" s="52">
        <f>HLOOKUP(I16,GasAvoidedCostsWOCC!$A$5:$G$50,G16+1,FALSE)</f>
        <v>13.114573164368423</v>
      </c>
      <c r="AG16" s="44">
        <f t="shared" si="11"/>
        <v>738402.9274465997</v>
      </c>
      <c r="AH16" s="52">
        <f>HLOOKUP(I16,GasAvoidedCostsWOCC!$A$5:$Q$50,T16+1,FALSE)</f>
        <v>13.114573164368423</v>
      </c>
      <c r="AI16" s="44">
        <f t="shared" si="12"/>
        <v>0</v>
      </c>
      <c r="AJ16" s="44">
        <f t="shared" si="13"/>
        <v>738402.9274465997</v>
      </c>
      <c r="AK16" s="44">
        <f>HLOOKUP(I16,GasAvoidedCostsWOCC!$A$5:$Q$50,G16+1,FALSE)*J16*L16</f>
        <v>0</v>
      </c>
      <c r="AL16" s="44">
        <f t="shared" si="14"/>
        <v>738402.9274465997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738402.9274465997</v>
      </c>
      <c r="AN16" s="48">
        <f t="shared" si="15"/>
        <v>947176.24137006118</v>
      </c>
      <c r="AO16" s="47">
        <f t="shared" si="16"/>
        <v>2.2747173709049453</v>
      </c>
      <c r="AP16" s="47">
        <f t="shared" si="17"/>
        <v>1.0626392530480382</v>
      </c>
      <c r="AQ16">
        <v>2020</v>
      </c>
    </row>
    <row r="17" spans="1:43" ht="13.5" customHeight="1">
      <c r="A17" s="58" t="s">
        <v>254</v>
      </c>
      <c r="B17" s="97" t="s">
        <v>33</v>
      </c>
      <c r="C17" s="100">
        <v>18230249</v>
      </c>
      <c r="D17" s="100" t="s">
        <v>34</v>
      </c>
      <c r="E17" s="38" t="s">
        <v>1696</v>
      </c>
      <c r="F17" s="39" t="s">
        <v>1697</v>
      </c>
      <c r="G17" s="39">
        <v>20</v>
      </c>
      <c r="H17" s="39"/>
      <c r="I17" s="40" t="s">
        <v>269</v>
      </c>
      <c r="J17" s="41">
        <v>3</v>
      </c>
      <c r="K17" s="41">
        <v>51</v>
      </c>
      <c r="L17" s="41"/>
      <c r="M17" s="42">
        <v>500</v>
      </c>
      <c r="N17" s="42">
        <v>808.33</v>
      </c>
      <c r="O17" s="43">
        <v>153</v>
      </c>
      <c r="P17" s="44">
        <v>1500</v>
      </c>
      <c r="Q17" s="44">
        <v>2424.9899999999998</v>
      </c>
      <c r="R17" s="45">
        <v>11.51</v>
      </c>
      <c r="S17" s="46">
        <v>0</v>
      </c>
      <c r="T17" s="39">
        <f t="shared" si="0"/>
        <v>20</v>
      </c>
      <c r="U17" s="47">
        <f t="shared" si="1"/>
        <v>2.4537555289687492E-2</v>
      </c>
      <c r="V17" s="48">
        <f t="shared" si="2"/>
        <v>308.33000000000004</v>
      </c>
      <c r="W17" s="49">
        <f t="shared" si="3"/>
        <v>1.2268777644843746E-3</v>
      </c>
      <c r="X17" s="44">
        <f t="shared" si="4"/>
        <v>154.90978246575173</v>
      </c>
      <c r="Y17" s="44">
        <f t="shared" si="5"/>
        <v>924.98999999999978</v>
      </c>
      <c r="Z17" s="44">
        <f t="shared" si="6"/>
        <v>943.58307598302599</v>
      </c>
      <c r="AA17" s="50">
        <f t="shared" si="7"/>
        <v>2579.8997824657517</v>
      </c>
      <c r="AB17" s="51">
        <f t="shared" si="8"/>
        <v>882.10065998226219</v>
      </c>
      <c r="AC17" s="44">
        <f t="shared" si="9"/>
        <v>2411.7974969297479</v>
      </c>
      <c r="AD17" s="44">
        <f t="shared" si="10"/>
        <v>366.66581842065608</v>
      </c>
      <c r="AE17" s="44">
        <f t="shared" si="18"/>
        <v>0</v>
      </c>
      <c r="AF17" s="52">
        <f>HLOOKUP(I17,GasAvoidedCostsWOCC!$A$5:$G$50,G17+1,FALSE)</f>
        <v>13.765480191058694</v>
      </c>
      <c r="AG17" s="44">
        <f t="shared" si="11"/>
        <v>2106.1184692319803</v>
      </c>
      <c r="AH17" s="52">
        <f>HLOOKUP(I17,GasAvoidedCostsWOCC!$A$5:$Q$50,T17+1,FALSE)</f>
        <v>13.765480191058694</v>
      </c>
      <c r="AI17" s="44">
        <f t="shared" si="12"/>
        <v>0</v>
      </c>
      <c r="AJ17" s="44">
        <f t="shared" si="13"/>
        <v>2106.1184692319803</v>
      </c>
      <c r="AK17" s="44">
        <f>HLOOKUP(I17,GasAvoidedCostsWOCC!$A$5:$Q$50,G17+1,FALSE)*J17*L17</f>
        <v>0</v>
      </c>
      <c r="AL17" s="44">
        <f t="shared" si="14"/>
        <v>2106.1184692319803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2106.1184692319803</v>
      </c>
      <c r="AN17" s="48">
        <f t="shared" si="15"/>
        <v>2683.3961345758348</v>
      </c>
      <c r="AO17" s="47">
        <f t="shared" si="16"/>
        <v>2.3876169294265481</v>
      </c>
      <c r="AP17" s="47">
        <f t="shared" si="17"/>
        <v>1.1126125381553948</v>
      </c>
      <c r="AQ17">
        <v>2020</v>
      </c>
    </row>
    <row r="18" spans="1:43" ht="13.5" customHeight="1">
      <c r="A18" s="59">
        <f>A6+A8</f>
        <v>769092.9800000001</v>
      </c>
      <c r="B18" s="97" t="s">
        <v>33</v>
      </c>
      <c r="C18" s="100">
        <v>18230249</v>
      </c>
      <c r="D18" s="100" t="s">
        <v>34</v>
      </c>
      <c r="E18" s="38" t="s">
        <v>1873</v>
      </c>
      <c r="F18" s="39" t="s">
        <v>1874</v>
      </c>
      <c r="G18" s="39">
        <v>10</v>
      </c>
      <c r="H18" s="39"/>
      <c r="I18" s="40" t="s">
        <v>265</v>
      </c>
      <c r="J18" s="41">
        <v>312</v>
      </c>
      <c r="K18" s="41">
        <v>0.6</v>
      </c>
      <c r="L18" s="41"/>
      <c r="M18" s="42">
        <v>0.54</v>
      </c>
      <c r="N18" s="42">
        <v>0.54</v>
      </c>
      <c r="O18" s="43">
        <v>187.2</v>
      </c>
      <c r="P18" s="44">
        <v>46.799999999999898</v>
      </c>
      <c r="Q18" s="44">
        <v>168.48</v>
      </c>
      <c r="R18" s="45">
        <v>2.74</v>
      </c>
      <c r="S18" s="46">
        <v>0</v>
      </c>
      <c r="T18" s="39">
        <f t="shared" si="0"/>
        <v>10</v>
      </c>
      <c r="U18" s="47">
        <f t="shared" si="1"/>
        <v>1.501121029486764E-2</v>
      </c>
      <c r="V18" s="48">
        <f t="shared" si="2"/>
        <v>0</v>
      </c>
      <c r="W18" s="49">
        <f t="shared" si="3"/>
        <v>1.501121029486764E-3</v>
      </c>
      <c r="X18" s="44">
        <f t="shared" si="4"/>
        <v>189.53667501691973</v>
      </c>
      <c r="Y18" s="44">
        <f t="shared" si="5"/>
        <v>121.68000000000009</v>
      </c>
      <c r="Z18" s="44">
        <f t="shared" si="6"/>
        <v>1154.5016459086432</v>
      </c>
      <c r="AA18" s="50">
        <f t="shared" si="7"/>
        <v>358.01667501691975</v>
      </c>
      <c r="AB18" s="51">
        <f t="shared" si="8"/>
        <v>1079.2761016253558</v>
      </c>
      <c r="AC18" s="44">
        <f t="shared" si="9"/>
        <v>334.68886137881623</v>
      </c>
      <c r="AD18" s="44">
        <f t="shared" si="10"/>
        <v>6012.6547221745768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1336.6165152388851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1336.6165152388851</v>
      </c>
      <c r="AK18" s="44">
        <f>HLOOKUP(I18,GasAvoidedCostsWOCC!$A$5:$Q$50,G18+1,FALSE)*J18*L18</f>
        <v>0</v>
      </c>
      <c r="AL18" s="44">
        <f t="shared" si="14"/>
        <v>1336.6165152388851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1336.6165152388851</v>
      </c>
      <c r="AN18" s="48">
        <f t="shared" si="15"/>
        <v>7482.9328889373501</v>
      </c>
      <c r="AO18" s="47">
        <f t="shared" si="16"/>
        <v>1.2384379800738503</v>
      </c>
      <c r="AP18" s="47">
        <f t="shared" si="17"/>
        <v>22.357878472889549</v>
      </c>
      <c r="AQ18">
        <v>2020</v>
      </c>
    </row>
    <row r="19" spans="1:43" ht="13.5" customHeight="1">
      <c r="A19" s="58" t="s">
        <v>231</v>
      </c>
      <c r="B19" s="97" t="s">
        <v>33</v>
      </c>
      <c r="C19" s="100">
        <v>18230249</v>
      </c>
      <c r="D19" s="100" t="s">
        <v>34</v>
      </c>
      <c r="E19" s="38" t="s">
        <v>1877</v>
      </c>
      <c r="F19" s="39" t="s">
        <v>1878</v>
      </c>
      <c r="G19" s="39">
        <v>10</v>
      </c>
      <c r="H19" s="39"/>
      <c r="I19" s="40" t="s">
        <v>265</v>
      </c>
      <c r="J19" s="41">
        <v>324</v>
      </c>
      <c r="K19" s="41">
        <v>0.8</v>
      </c>
      <c r="L19" s="41"/>
      <c r="M19" s="42">
        <v>1.81</v>
      </c>
      <c r="N19" s="42">
        <v>1.81</v>
      </c>
      <c r="O19" s="43">
        <v>259.19999999999902</v>
      </c>
      <c r="P19" s="44">
        <v>324</v>
      </c>
      <c r="Q19" s="44">
        <v>586.44000000000096</v>
      </c>
      <c r="R19" s="45">
        <v>2.74</v>
      </c>
      <c r="S19" s="46">
        <v>0</v>
      </c>
      <c r="T19" s="39">
        <f t="shared" si="0"/>
        <v>10</v>
      </c>
      <c r="U19" s="47">
        <f t="shared" si="1"/>
        <v>2.0784752715970502E-2</v>
      </c>
      <c r="V19" s="48">
        <f t="shared" si="2"/>
        <v>0</v>
      </c>
      <c r="W19" s="49">
        <f t="shared" si="3"/>
        <v>2.0784752715970502E-3</v>
      </c>
      <c r="X19" s="44">
        <f t="shared" si="4"/>
        <v>262.43539617727248</v>
      </c>
      <c r="Y19" s="44">
        <f t="shared" si="5"/>
        <v>262.44000000000096</v>
      </c>
      <c r="Z19" s="44">
        <f t="shared" si="6"/>
        <v>1598.5407404888847</v>
      </c>
      <c r="AA19" s="50">
        <f t="shared" si="7"/>
        <v>848.87539617727339</v>
      </c>
      <c r="AB19" s="51">
        <f t="shared" si="8"/>
        <v>1494.3822945581794</v>
      </c>
      <c r="AC19" s="44">
        <f t="shared" si="9"/>
        <v>793.56398633006756</v>
      </c>
      <c r="AD19" s="44">
        <f t="shared" si="10"/>
        <v>6243.9106730274452</v>
      </c>
      <c r="AE19" s="44">
        <f t="shared" si="18"/>
        <v>0</v>
      </c>
      <c r="AF19" s="52">
        <f>HLOOKUP(I19,GasAvoidedCostsWOCC!$A$5:$G$50,G19+1,FALSE)</f>
        <v>7.1400454873872068</v>
      </c>
      <c r="AG19" s="44">
        <f t="shared" si="11"/>
        <v>1850.6997903307642</v>
      </c>
      <c r="AH19" s="52">
        <f>HLOOKUP(I19,GasAvoidedCostsWOCC!$A$5:$Q$50,T19+1,FALSE)</f>
        <v>7.1400454873872068</v>
      </c>
      <c r="AI19" s="44">
        <f t="shared" si="12"/>
        <v>0</v>
      </c>
      <c r="AJ19" s="44">
        <f t="shared" si="13"/>
        <v>1850.6997903307642</v>
      </c>
      <c r="AK19" s="44">
        <f>HLOOKUP(I19,GasAvoidedCostsWOCC!$A$5:$Q$50,G19+1,FALSE)*J19*L19</f>
        <v>0</v>
      </c>
      <c r="AL19" s="44">
        <f t="shared" si="14"/>
        <v>1850.6997903307642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1850.6997903307642</v>
      </c>
      <c r="AN19" s="48">
        <f t="shared" si="15"/>
        <v>8279.6804423912854</v>
      </c>
      <c r="AO19" s="47">
        <f t="shared" si="16"/>
        <v>1.238437980073855</v>
      </c>
      <c r="AP19" s="47">
        <f t="shared" si="17"/>
        <v>10.433538548897193</v>
      </c>
      <c r="AQ19">
        <v>2020</v>
      </c>
    </row>
    <row r="20" spans="1:43" ht="13.5" customHeight="1">
      <c r="A20" s="59">
        <f>A8+SUM(Q5:Q906)</f>
        <v>2328570.3699999643</v>
      </c>
      <c r="B20" s="97" t="s">
        <v>33</v>
      </c>
      <c r="C20" s="100">
        <v>18230249</v>
      </c>
      <c r="D20" s="100" t="s">
        <v>34</v>
      </c>
      <c r="E20" s="38" t="s">
        <v>1879</v>
      </c>
      <c r="F20" s="39" t="s">
        <v>1880</v>
      </c>
      <c r="G20" s="39">
        <v>10</v>
      </c>
      <c r="H20" s="39"/>
      <c r="I20" s="40" t="s">
        <v>265</v>
      </c>
      <c r="J20" s="41">
        <v>162</v>
      </c>
      <c r="K20" s="41">
        <v>1.3</v>
      </c>
      <c r="L20" s="41"/>
      <c r="M20" s="42">
        <v>1.81</v>
      </c>
      <c r="N20" s="42">
        <v>1.81</v>
      </c>
      <c r="O20" s="43">
        <v>210.60000000000099</v>
      </c>
      <c r="P20" s="44">
        <v>324</v>
      </c>
      <c r="Q20" s="44">
        <v>293.22000000000003</v>
      </c>
      <c r="R20" s="45">
        <v>3.8</v>
      </c>
      <c r="S20" s="46">
        <v>0</v>
      </c>
      <c r="T20" s="39">
        <f t="shared" si="0"/>
        <v>10</v>
      </c>
      <c r="U20" s="47">
        <f t="shared" si="1"/>
        <v>1.6887611581726174E-2</v>
      </c>
      <c r="V20" s="48">
        <f t="shared" si="2"/>
        <v>0</v>
      </c>
      <c r="W20" s="49">
        <f t="shared" si="3"/>
        <v>1.6887611581726176E-3</v>
      </c>
      <c r="X20" s="44">
        <f t="shared" si="4"/>
        <v>213.22875939403571</v>
      </c>
      <c r="Y20" s="44">
        <f t="shared" si="5"/>
        <v>-30.779999999999973</v>
      </c>
      <c r="Z20" s="44">
        <f t="shared" si="6"/>
        <v>1298.8143516472301</v>
      </c>
      <c r="AA20" s="50">
        <f t="shared" si="7"/>
        <v>506.44875939403573</v>
      </c>
      <c r="AB20" s="51">
        <f t="shared" si="8"/>
        <v>1214.1856143285313</v>
      </c>
      <c r="AC20" s="44">
        <f t="shared" si="9"/>
        <v>473.44934037023063</v>
      </c>
      <c r="AD20" s="44">
        <f t="shared" si="10"/>
        <v>4329.7190798365491</v>
      </c>
      <c r="AE20" s="44">
        <f t="shared" si="18"/>
        <v>0</v>
      </c>
      <c r="AF20" s="52">
        <f>HLOOKUP(I20,GasAvoidedCostsWOCC!$A$5:$G$50,G20+1,FALSE)</f>
        <v>7.1400454873872068</v>
      </c>
      <c r="AG20" s="44">
        <f t="shared" si="11"/>
        <v>1503.693579643746</v>
      </c>
      <c r="AH20" s="52">
        <f>HLOOKUP(I20,GasAvoidedCostsWOCC!$A$5:$Q$50,T20+1,FALSE)</f>
        <v>7.1400454873872068</v>
      </c>
      <c r="AI20" s="44">
        <f t="shared" si="12"/>
        <v>0</v>
      </c>
      <c r="AJ20" s="44">
        <f t="shared" si="13"/>
        <v>1503.693579643746</v>
      </c>
      <c r="AK20" s="44">
        <f>HLOOKUP(I20,GasAvoidedCostsWOCC!$A$5:$Q$50,G20+1,FALSE)*J20*L20</f>
        <v>0</v>
      </c>
      <c r="AL20" s="44">
        <f t="shared" si="14"/>
        <v>1503.693579643746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1503.6935796437458</v>
      </c>
      <c r="AN20" s="48">
        <f t="shared" si="15"/>
        <v>5983.7820174446697</v>
      </c>
      <c r="AO20" s="47">
        <f t="shared" si="16"/>
        <v>1.2384379800738441</v>
      </c>
      <c r="AP20" s="47">
        <f t="shared" si="17"/>
        <v>12.638695436275057</v>
      </c>
      <c r="AQ20">
        <v>2020</v>
      </c>
    </row>
    <row r="21" spans="1:43" ht="13.5" customHeight="1">
      <c r="A21" s="58" t="s">
        <v>245</v>
      </c>
      <c r="B21" s="97" t="s">
        <v>33</v>
      </c>
      <c r="C21" s="100">
        <v>18230249</v>
      </c>
      <c r="D21" s="100" t="s">
        <v>34</v>
      </c>
      <c r="E21" s="38" t="s">
        <v>1881</v>
      </c>
      <c r="F21" s="39" t="s">
        <v>1882</v>
      </c>
      <c r="G21" s="39">
        <v>10</v>
      </c>
      <c r="H21" s="39"/>
      <c r="I21" s="40" t="s">
        <v>265</v>
      </c>
      <c r="J21" s="41">
        <v>162</v>
      </c>
      <c r="K21" s="41">
        <v>4.9000000000000004</v>
      </c>
      <c r="L21" s="41"/>
      <c r="M21" s="42">
        <v>10</v>
      </c>
      <c r="N21" s="42">
        <v>10</v>
      </c>
      <c r="O21" s="43">
        <v>793.79999999999802</v>
      </c>
      <c r="P21" s="44">
        <v>1373.76</v>
      </c>
      <c r="Q21" s="44">
        <v>1620</v>
      </c>
      <c r="R21" s="45">
        <v>14.31</v>
      </c>
      <c r="S21" s="46">
        <v>0</v>
      </c>
      <c r="T21" s="39">
        <f t="shared" si="0"/>
        <v>10</v>
      </c>
      <c r="U21" s="47">
        <f t="shared" si="1"/>
        <v>6.3653305192659743E-2</v>
      </c>
      <c r="V21" s="48">
        <f t="shared" si="2"/>
        <v>0</v>
      </c>
      <c r="W21" s="49">
        <f t="shared" si="3"/>
        <v>6.3653305192659746E-3</v>
      </c>
      <c r="X21" s="44">
        <f t="shared" si="4"/>
        <v>803.70840079289815</v>
      </c>
      <c r="Y21" s="44">
        <f t="shared" si="5"/>
        <v>246.24</v>
      </c>
      <c r="Z21" s="44">
        <f t="shared" si="6"/>
        <v>4895.5310177472165</v>
      </c>
      <c r="AA21" s="50">
        <f t="shared" si="7"/>
        <v>2423.7084007928979</v>
      </c>
      <c r="AB21" s="51">
        <f t="shared" si="8"/>
        <v>4576.5457770844314</v>
      </c>
      <c r="AC21" s="44">
        <f t="shared" si="9"/>
        <v>2265.7833044712515</v>
      </c>
      <c r="AD21" s="44">
        <f t="shared" si="10"/>
        <v>16304.810534858163</v>
      </c>
      <c r="AE21" s="44">
        <f t="shared" si="18"/>
        <v>0</v>
      </c>
      <c r="AF21" s="52">
        <f>HLOOKUP(I21,GasAvoidedCostsWOCC!$A$5:$G$50,G21+1,FALSE)</f>
        <v>7.1400454873872068</v>
      </c>
      <c r="AG21" s="44">
        <f t="shared" si="11"/>
        <v>5667.7681078879659</v>
      </c>
      <c r="AH21" s="52">
        <f>HLOOKUP(I21,GasAvoidedCostsWOCC!$A$5:$Q$50,T21+1,FALSE)</f>
        <v>7.1400454873872068</v>
      </c>
      <c r="AI21" s="44">
        <f t="shared" si="12"/>
        <v>0</v>
      </c>
      <c r="AJ21" s="44">
        <f t="shared" si="13"/>
        <v>5667.7681078879659</v>
      </c>
      <c r="AK21" s="44">
        <f>HLOOKUP(I21,GasAvoidedCostsWOCC!$A$5:$Q$50,G21+1,FALSE)*J21*L21</f>
        <v>0</v>
      </c>
      <c r="AL21" s="44">
        <f t="shared" si="14"/>
        <v>5667.7681078879659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5667.7681078879659</v>
      </c>
      <c r="AN21" s="48">
        <f t="shared" si="15"/>
        <v>22539.355453534925</v>
      </c>
      <c r="AO21" s="47">
        <f t="shared" si="16"/>
        <v>1.2384379800738532</v>
      </c>
      <c r="AP21" s="47">
        <f t="shared" si="17"/>
        <v>9.9477100961315283</v>
      </c>
      <c r="AQ21">
        <v>2020</v>
      </c>
    </row>
    <row r="22" spans="1:43" ht="13.5" customHeight="1">
      <c r="A22" s="60">
        <f>(SUM(AM5:AM1000)/(SUM(AB5:AB1000)))</f>
        <v>2.1936725571248035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3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3" ht="13.5" customHeight="1">
      <c r="A24" s="60">
        <f>(SUM(AN5:AN1000)/SUM(AC5:AC1000))</f>
        <v>0.9640655610497082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3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28" si="19">G25+H25</f>
        <v>0</v>
      </c>
      <c r="U25" s="47">
        <f t="shared" ref="U25:U28" si="20">(O25/$A$10)*T25</f>
        <v>0</v>
      </c>
      <c r="V25" s="48">
        <f t="shared" ref="V25:V28" si="21">N25-M25</f>
        <v>0</v>
      </c>
      <c r="W25" s="49">
        <f t="shared" ref="W25:W28" si="22">(O25/A$10)</f>
        <v>0</v>
      </c>
      <c r="X25" s="44">
        <f t="shared" ref="X25:X28" si="23">W25*A$8</f>
        <v>0</v>
      </c>
      <c r="Y25" s="44">
        <f t="shared" ref="Y25:Y28" si="24">Q25-P25</f>
        <v>0</v>
      </c>
      <c r="Z25" s="44">
        <f t="shared" ref="Z25:Z28" si="25">X25+(A$6*W25)</f>
        <v>0</v>
      </c>
      <c r="AA25" s="50">
        <f t="shared" ref="AA25:AA28" si="26">Q25+X25</f>
        <v>0</v>
      </c>
      <c r="AB25" s="51">
        <f t="shared" ref="AB25:AB28" si="27">Z25/(1+GasDiscountRate)^1</f>
        <v>0</v>
      </c>
      <c r="AC25" s="44">
        <f t="shared" ref="AC25:AC28" si="28">AA25/(1+GasDiscountRate)^1</f>
        <v>0</v>
      </c>
      <c r="AD25" s="44">
        <f t="shared" ref="AD25:AD28" si="29">-PV(GasDiscountRate,T25,R25)*J25</f>
        <v>0</v>
      </c>
      <c r="AE25" s="44">
        <f t="shared" ref="AE25:AE28" si="30">-PV(GasDiscountRate,T25,S25)*J25</f>
        <v>0</v>
      </c>
      <c r="AF25" s="52" t="e">
        <f>HLOOKUP(I25,GasAvoidedCostsWOCC!$A$5:$G$50,G25+1,FALSE)</f>
        <v>#N/A</v>
      </c>
      <c r="AG25" s="44" t="e">
        <f t="shared" ref="AG25:AG28" si="31">AF25*J25*K25</f>
        <v>#N/A</v>
      </c>
      <c r="AH25" s="52" t="e">
        <f>HLOOKUP(I25,GasAvoidedCostsWOCC!$A$5:$Q$50,T25+1,FALSE)</f>
        <v>#N/A</v>
      </c>
      <c r="AI25" s="44" t="e">
        <f t="shared" ref="AI25:AI28" si="32">AH25*J25*L25</f>
        <v>#N/A</v>
      </c>
      <c r="AJ25" s="44" t="e">
        <f t="shared" ref="AJ25:AJ28" si="33">AG25+AI25</f>
        <v>#N/A</v>
      </c>
      <c r="AK25" s="44" t="e">
        <f>HLOOKUP(I25,GasAvoidedCostsWOCC!$A$5:$Q$50,G25+1,FALSE)*J25*L25</f>
        <v>#N/A</v>
      </c>
      <c r="AL25" s="44" t="e">
        <f t="shared" ref="AL25:AL28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28" si="35">AM25*1.1+AD25+AE25</f>
        <v>0</v>
      </c>
      <c r="AO25" s="47">
        <f t="shared" ref="AO25:AO28" si="36">IFERROR(AM25/AB25,0)</f>
        <v>0</v>
      </c>
      <c r="AP25" s="47" t="e">
        <f t="shared" ref="AP25:AP28" si="37">AN25/AC25</f>
        <v>#DIV/0!</v>
      </c>
    </row>
    <row r="26" spans="1:43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</sheetData>
  <conditionalFormatting sqref="J5:L28">
    <cfRule type="expression" dxfId="134" priority="4">
      <formula>ISTEXT(J5)</formula>
    </cfRule>
    <cfRule type="notContainsBlanks" dxfId="133" priority="5">
      <formula>LEN(TRIM(J5))&gt;0</formula>
    </cfRule>
  </conditionalFormatting>
  <conditionalFormatting sqref="M5:N28 R5:S28">
    <cfRule type="expression" dxfId="132" priority="2">
      <formula>ISTEXT(M5)</formula>
    </cfRule>
  </conditionalFormatting>
  <conditionalFormatting sqref="M5:N28 R5:S28">
    <cfRule type="notContainsBlanks" dxfId="131" priority="3">
      <formula>LEN(TRIM(M5))&gt;0</formula>
    </cfRule>
  </conditionalFormatting>
  <conditionalFormatting sqref="R5:S28">
    <cfRule type="expression" dxfId="13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C7" sqref="C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18230625</v>
      </c>
      <c r="D2" s="20" t="s">
        <v>315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18230625</v>
      </c>
      <c r="D5" s="61" t="s">
        <v>315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330871.53999999998</v>
      </c>
      <c r="B6" s="97" t="s">
        <v>33</v>
      </c>
      <c r="C6" s="99">
        <v>18230625</v>
      </c>
      <c r="D6" s="100" t="s">
        <v>315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  <c r="AQ6">
        <v>2020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268789.84999999992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599661.3899999999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268789.84999999992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29" priority="4">
      <formula>ISTEXT(J5)</formula>
    </cfRule>
    <cfRule type="notContainsBlanks" dxfId="128" priority="5">
      <formula>LEN(TRIM(J5))&gt;0</formula>
    </cfRule>
  </conditionalFormatting>
  <conditionalFormatting sqref="M5:N24 R5:S24">
    <cfRule type="expression" dxfId="127" priority="2">
      <formula>ISTEXT(M5)</formula>
    </cfRule>
  </conditionalFormatting>
  <conditionalFormatting sqref="M5:N24 R5:S24">
    <cfRule type="notContainsBlanks" dxfId="126" priority="3">
      <formula>LEN(TRIM(M5))&gt;0</formula>
    </cfRule>
  </conditionalFormatting>
  <conditionalFormatting sqref="R5:S24">
    <cfRule type="expression" dxfId="1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B6" sqref="B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18230247</v>
      </c>
      <c r="D2" s="20" t="s">
        <v>316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18230247</v>
      </c>
      <c r="D5" s="61" t="s">
        <v>316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24" priority="4">
      <formula>ISTEXT(J5)</formula>
    </cfRule>
    <cfRule type="notContainsBlanks" dxfId="123" priority="5">
      <formula>LEN(TRIM(J5))&gt;0</formula>
    </cfRule>
  </conditionalFormatting>
  <conditionalFormatting sqref="M5:N24 R5:S24">
    <cfRule type="expression" dxfId="122" priority="2">
      <formula>ISTEXT(M5)</formula>
    </cfRule>
  </conditionalFormatting>
  <conditionalFormatting sqref="M5:N24 R5:S24">
    <cfRule type="notContainsBlanks" dxfId="121" priority="3">
      <formula>LEN(TRIM(M5))&gt;0</formula>
    </cfRule>
  </conditionalFormatting>
  <conditionalFormatting sqref="R5:S24">
    <cfRule type="expression" dxfId="1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51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18230434</v>
      </c>
      <c r="D2" s="20" t="s">
        <v>317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18230434</v>
      </c>
      <c r="D5" s="61" t="s">
        <v>317</v>
      </c>
      <c r="E5" s="38" t="s">
        <v>614</v>
      </c>
      <c r="F5" s="39" t="s">
        <v>615</v>
      </c>
      <c r="G5" s="39">
        <v>14</v>
      </c>
      <c r="H5" s="39"/>
      <c r="I5" s="40" t="s">
        <v>265</v>
      </c>
      <c r="J5" s="41">
        <v>1</v>
      </c>
      <c r="K5" s="41">
        <v>2.1</v>
      </c>
      <c r="L5" s="41"/>
      <c r="M5" s="42">
        <v>0</v>
      </c>
      <c r="N5" s="42">
        <v>0</v>
      </c>
      <c r="O5" s="43">
        <v>2.1</v>
      </c>
      <c r="P5" s="44">
        <v>0</v>
      </c>
      <c r="Q5" s="44">
        <v>0</v>
      </c>
      <c r="R5" s="45">
        <v>17.059999999999999</v>
      </c>
      <c r="S5" s="46">
        <v>0</v>
      </c>
      <c r="T5" s="39">
        <f t="shared" ref="T5:T24" si="0">G5+H5</f>
        <v>14</v>
      </c>
      <c r="U5" s="47">
        <f t="shared" ref="U5:U24" si="1">(O5/$A$10)*T5</f>
        <v>2.1063189568706073E-3</v>
      </c>
      <c r="V5" s="48">
        <f t="shared" ref="V5:V24" si="2">N5-M5</f>
        <v>0</v>
      </c>
      <c r="W5" s="49">
        <f t="shared" ref="W5:W24" si="3">(O5/A$10)</f>
        <v>1.5045135406218624E-4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149.46647337894538</v>
      </c>
      <c r="AE5" s="44">
        <v>0</v>
      </c>
      <c r="AF5" s="52">
        <f>HLOOKUP(I5,GasAvoidedCostsWOCC!$A$5:$G$50,G5+1,FALSE)</f>
        <v>9.6059277231229743</v>
      </c>
      <c r="AG5" s="44">
        <f t="shared" ref="AG5:AG24" si="11">AF5*J5*K5</f>
        <v>20.172448218558248</v>
      </c>
      <c r="AH5" s="52">
        <f>HLOOKUP(I5,GasAvoidedCostsWOCC!$A$5:$Q$50,T5+1,FALSE)</f>
        <v>9.6059277231229743</v>
      </c>
      <c r="AI5" s="44">
        <f t="shared" ref="AI5:AI24" si="12">AH5*J5*L5</f>
        <v>0</v>
      </c>
      <c r="AJ5" s="44">
        <f>AG5+AI5</f>
        <v>20.172448218558248</v>
      </c>
      <c r="AK5" s="44">
        <f>HLOOKUP(I5,GasAvoidedCostsWOCC!$A$5:$Q$50,G5+1,FALSE)*J5*L5</f>
        <v>0</v>
      </c>
      <c r="AL5" s="44">
        <f>AG5+AI5-AK5</f>
        <v>20.172448218558248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20.172448218558248</v>
      </c>
      <c r="AN5" s="48">
        <f>AM5*1.1+AD5+AE5</f>
        <v>171.65616641935947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/>
      <c r="B6" s="97" t="s">
        <v>33</v>
      </c>
      <c r="C6" s="98">
        <v>18230434</v>
      </c>
      <c r="D6" s="61" t="s">
        <v>317</v>
      </c>
      <c r="E6" s="38" t="s">
        <v>616</v>
      </c>
      <c r="F6" s="39" t="s">
        <v>615</v>
      </c>
      <c r="G6" s="39">
        <v>14</v>
      </c>
      <c r="H6" s="39"/>
      <c r="I6" s="40" t="s">
        <v>265</v>
      </c>
      <c r="J6" s="41">
        <v>535</v>
      </c>
      <c r="K6" s="41">
        <v>2.1</v>
      </c>
      <c r="L6" s="41"/>
      <c r="M6" s="42">
        <v>0</v>
      </c>
      <c r="N6" s="42">
        <v>0</v>
      </c>
      <c r="O6" s="43">
        <v>1123.5</v>
      </c>
      <c r="P6" s="44">
        <v>0</v>
      </c>
      <c r="Q6" s="44">
        <v>0</v>
      </c>
      <c r="R6" s="45">
        <v>17.059999999999999</v>
      </c>
      <c r="S6" s="46">
        <v>0</v>
      </c>
      <c r="T6" s="39">
        <f t="shared" si="0"/>
        <v>14</v>
      </c>
      <c r="U6" s="47">
        <f t="shared" si="1"/>
        <v>1.1268806419257749</v>
      </c>
      <c r="V6" s="48">
        <f t="shared" si="2"/>
        <v>0</v>
      </c>
      <c r="W6" s="49">
        <f t="shared" si="3"/>
        <v>8.0491474423269635E-2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79964.563257735776</v>
      </c>
      <c r="AE6" s="44">
        <v>0</v>
      </c>
      <c r="AF6" s="52">
        <f>HLOOKUP(I6,GasAvoidedCostsWOCC!$A$5:$G$50,G6+1,FALSE)</f>
        <v>9.6059277231229743</v>
      </c>
      <c r="AG6" s="44">
        <f t="shared" si="11"/>
        <v>10792.259796928663</v>
      </c>
      <c r="AH6" s="52">
        <f>HLOOKUP(I6,GasAvoidedCostsWOCC!$A$5:$Q$50,T6+1,FALSE)</f>
        <v>9.6059277231229743</v>
      </c>
      <c r="AI6" s="44">
        <f t="shared" si="12"/>
        <v>0</v>
      </c>
      <c r="AJ6" s="44">
        <f t="shared" ref="AJ6:AJ24" si="13">AG6+AI6</f>
        <v>10792.259796928663</v>
      </c>
      <c r="AK6" s="44">
        <f>HLOOKUP(I6,GasAvoidedCostsWOCC!$A$5:$Q$50,G6+1,FALSE)*J6*L6</f>
        <v>0</v>
      </c>
      <c r="AL6" s="44">
        <f t="shared" ref="AL6:AL24" si="14">AG6+AI6-AK6</f>
        <v>10792.259796928663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10792.259796928663</v>
      </c>
      <c r="AN6" s="48">
        <f t="shared" ref="AN6:AN24" si="15">AM6*1.1+AD6+AE6</f>
        <v>91836.049034357304</v>
      </c>
      <c r="AO6" s="47">
        <f t="shared" ref="AO6:AO24" si="16">IFERROR(AM6/AB6,0)</f>
        <v>0</v>
      </c>
      <c r="AP6" s="47" t="e">
        <f t="shared" ref="AP6:AP24" si="17">AN6/AC6</f>
        <v>#DIV/0!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18230434</v>
      </c>
      <c r="D7" s="61" t="s">
        <v>317</v>
      </c>
      <c r="E7" s="38" t="s">
        <v>617</v>
      </c>
      <c r="F7" s="39" t="s">
        <v>618</v>
      </c>
      <c r="G7" s="39">
        <v>14</v>
      </c>
      <c r="H7" s="39"/>
      <c r="I7" s="40" t="s">
        <v>265</v>
      </c>
      <c r="J7" s="41">
        <v>393</v>
      </c>
      <c r="K7" s="41">
        <v>0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v>0</v>
      </c>
      <c r="R7" s="45">
        <v>17.059999999999999</v>
      </c>
      <c r="S7" s="46">
        <v>0</v>
      </c>
      <c r="T7" s="39">
        <f t="shared" si="0"/>
        <v>14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58740.324037925537</v>
      </c>
      <c r="AE7" s="44">
        <v>0</v>
      </c>
      <c r="AF7" s="52">
        <f>HLOOKUP(I7,GasAvoidedCostsWOCC!$A$5:$G$50,G7+1,FALSE)</f>
        <v>9.6059277231229743</v>
      </c>
      <c r="AG7" s="44">
        <f t="shared" si="11"/>
        <v>0</v>
      </c>
      <c r="AH7" s="52">
        <f>HLOOKUP(I7,GasAvoidedCostsWOCC!$A$5:$Q$50,T7+1,FALSE)</f>
        <v>9.6059277231229743</v>
      </c>
      <c r="AI7" s="44">
        <f t="shared" si="12"/>
        <v>0</v>
      </c>
      <c r="AJ7" s="44">
        <f t="shared" si="13"/>
        <v>0</v>
      </c>
      <c r="AK7" s="44">
        <f>HLOOKUP(I7,GasAvoidedCostsWOCC!$A$5:$Q$50,G7+1,FALSE)*J7*L7</f>
        <v>0</v>
      </c>
      <c r="AL7" s="44">
        <f t="shared" si="14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58740.324037925537</v>
      </c>
      <c r="AO7" s="47">
        <f t="shared" si="16"/>
        <v>0</v>
      </c>
      <c r="AP7" s="47" t="e">
        <f t="shared" si="17"/>
        <v>#DIV/0!</v>
      </c>
      <c r="AQ7">
        <v>2021</v>
      </c>
    </row>
    <row r="8" spans="1:43" ht="13.5" customHeight="1">
      <c r="A8" s="53"/>
      <c r="B8" s="97" t="s">
        <v>33</v>
      </c>
      <c r="C8" s="98">
        <v>18230434</v>
      </c>
      <c r="D8" s="61" t="s">
        <v>317</v>
      </c>
      <c r="E8" s="38" t="s">
        <v>619</v>
      </c>
      <c r="F8" s="39" t="s">
        <v>620</v>
      </c>
      <c r="G8" s="39"/>
      <c r="H8" s="39"/>
      <c r="I8" s="40" t="s">
        <v>265</v>
      </c>
      <c r="J8" s="41">
        <v>1</v>
      </c>
      <c r="K8" s="41">
        <v>0</v>
      </c>
      <c r="L8" s="41"/>
      <c r="M8" s="42">
        <v>0</v>
      </c>
      <c r="N8" s="42">
        <v>0</v>
      </c>
      <c r="O8" s="43">
        <v>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str">
        <f>HLOOKUP(I8,GasAvoidedCostsWOCC!$A$5:$G$50,G8+1,FALSE)</f>
        <v>Res Water Heat</v>
      </c>
      <c r="AG8" s="44" t="e">
        <f t="shared" si="11"/>
        <v>#VALUE!</v>
      </c>
      <c r="AH8" s="52" t="str">
        <f>HLOOKUP(I8,GasAvoidedCostsWOCC!$A$5:$Q$50,T8+1,FALSE)</f>
        <v>Res Water Heat</v>
      </c>
      <c r="AI8" s="44" t="e">
        <f t="shared" si="12"/>
        <v>#VALUE!</v>
      </c>
      <c r="AJ8" s="44" t="e">
        <f t="shared" si="13"/>
        <v>#VALUE!</v>
      </c>
      <c r="AK8" s="44" t="e">
        <f>HLOOKUP(I8,GasAvoidedCostsWOCC!$A$5:$Q$50,G8+1,FALSE)*J8*L8</f>
        <v>#VALUE!</v>
      </c>
      <c r="AL8" s="44" t="e">
        <f t="shared" si="14"/>
        <v>#VALUE!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18230434</v>
      </c>
      <c r="D9" s="61" t="s">
        <v>317</v>
      </c>
      <c r="E9" s="38" t="s">
        <v>633</v>
      </c>
      <c r="F9" s="39" t="s">
        <v>634</v>
      </c>
      <c r="G9" s="39">
        <v>14</v>
      </c>
      <c r="H9" s="39"/>
      <c r="I9" s="40" t="s">
        <v>265</v>
      </c>
      <c r="J9" s="41">
        <v>739</v>
      </c>
      <c r="K9" s="41">
        <v>0.8</v>
      </c>
      <c r="L9" s="41"/>
      <c r="M9" s="42">
        <v>0</v>
      </c>
      <c r="N9" s="42">
        <v>0</v>
      </c>
      <c r="O9" s="43">
        <v>591.20000000000095</v>
      </c>
      <c r="P9" s="44">
        <v>0</v>
      </c>
      <c r="Q9" s="44">
        <v>0</v>
      </c>
      <c r="R9" s="45">
        <v>7.49</v>
      </c>
      <c r="S9" s="46">
        <v>0</v>
      </c>
      <c r="T9" s="39">
        <f t="shared" si="0"/>
        <v>14</v>
      </c>
      <c r="U9" s="47">
        <f t="shared" si="1"/>
        <v>0.59297893681043101</v>
      </c>
      <c r="V9" s="48">
        <f t="shared" si="2"/>
        <v>0</v>
      </c>
      <c r="W9" s="49">
        <f t="shared" si="3"/>
        <v>4.2355638343602217E-2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48494.335959234144</v>
      </c>
      <c r="AE9" s="44">
        <f t="shared" ref="AE9:AE24" si="18">-PV(GasDiscountRate,T9,S9)*J9</f>
        <v>0</v>
      </c>
      <c r="AF9" s="52">
        <f>HLOOKUP(I9,GasAvoidedCostsWOCC!$A$5:$G$50,G9+1,FALSE)</f>
        <v>9.6059277231229743</v>
      </c>
      <c r="AG9" s="44">
        <f t="shared" si="11"/>
        <v>5679.0244699103023</v>
      </c>
      <c r="AH9" s="52">
        <f>HLOOKUP(I9,GasAvoidedCostsWOCC!$A$5:$Q$50,T9+1,FALSE)</f>
        <v>9.6059277231229743</v>
      </c>
      <c r="AI9" s="44">
        <f t="shared" si="12"/>
        <v>0</v>
      </c>
      <c r="AJ9" s="44">
        <f t="shared" si="13"/>
        <v>5679.0244699103023</v>
      </c>
      <c r="AK9" s="44">
        <f>HLOOKUP(I9,GasAvoidedCostsWOCC!$A$5:$Q$50,G9+1,FALSE)*J9*L9</f>
        <v>0</v>
      </c>
      <c r="AL9" s="44">
        <f t="shared" si="14"/>
        <v>5679.0244699103023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5679.0244699103023</v>
      </c>
      <c r="AN9" s="48">
        <f t="shared" si="15"/>
        <v>54741.262876135479</v>
      </c>
      <c r="AO9" s="47">
        <f t="shared" si="16"/>
        <v>0</v>
      </c>
      <c r="AP9" s="47" t="e">
        <f t="shared" si="17"/>
        <v>#DIV/0!</v>
      </c>
      <c r="AQ9">
        <v>2021</v>
      </c>
    </row>
    <row r="10" spans="1:43" ht="13.5" customHeight="1">
      <c r="A10" s="54">
        <f>SUM(O5:O999)</f>
        <v>13958.000000000029</v>
      </c>
      <c r="B10" s="97" t="s">
        <v>33</v>
      </c>
      <c r="C10" s="98">
        <v>18230434</v>
      </c>
      <c r="D10" s="61" t="s">
        <v>317</v>
      </c>
      <c r="E10" s="38" t="s">
        <v>635</v>
      </c>
      <c r="F10" s="39" t="s">
        <v>636</v>
      </c>
      <c r="G10" s="39">
        <v>14</v>
      </c>
      <c r="H10" s="39"/>
      <c r="I10" s="40" t="s">
        <v>265</v>
      </c>
      <c r="J10" s="41">
        <v>619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0</v>
      </c>
      <c r="Q10" s="44">
        <v>0</v>
      </c>
      <c r="R10" s="45">
        <v>7.49</v>
      </c>
      <c r="S10" s="46">
        <v>0</v>
      </c>
      <c r="T10" s="39">
        <f t="shared" si="0"/>
        <v>14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40619.748252727921</v>
      </c>
      <c r="AE10" s="44">
        <f t="shared" si="18"/>
        <v>0</v>
      </c>
      <c r="AF10" s="52">
        <f>HLOOKUP(I10,GasAvoidedCostsWOCC!$A$5:$G$50,G10+1,FALSE)</f>
        <v>9.6059277231229743</v>
      </c>
      <c r="AG10" s="44">
        <f t="shared" si="11"/>
        <v>0</v>
      </c>
      <c r="AH10" s="52">
        <f>HLOOKUP(I10,GasAvoidedCostsWOCC!$A$5:$Q$50,T10+1,FALSE)</f>
        <v>9.6059277231229743</v>
      </c>
      <c r="AI10" s="44">
        <f t="shared" si="12"/>
        <v>0</v>
      </c>
      <c r="AJ10" s="44">
        <f t="shared" si="13"/>
        <v>0</v>
      </c>
      <c r="AK10" s="44">
        <f>HLOOKUP(I10,GasAvoidedCostsWOCC!$A$5:$Q$50,G10+1,FALSE)*J10*L10</f>
        <v>0</v>
      </c>
      <c r="AL10" s="44">
        <f t="shared" si="14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40619.748252727921</v>
      </c>
      <c r="AO10" s="47">
        <f t="shared" si="16"/>
        <v>0</v>
      </c>
      <c r="AP10" s="47" t="e">
        <f t="shared" si="17"/>
        <v>#DIV/0!</v>
      </c>
      <c r="AQ10">
        <v>2021</v>
      </c>
    </row>
    <row r="11" spans="1:43" ht="13.5" customHeight="1">
      <c r="A11" s="36" t="s">
        <v>251</v>
      </c>
      <c r="B11" s="97" t="s">
        <v>33</v>
      </c>
      <c r="C11" s="98">
        <v>18230434</v>
      </c>
      <c r="D11" s="61" t="s">
        <v>317</v>
      </c>
      <c r="E11" s="38" t="s">
        <v>637</v>
      </c>
      <c r="F11" s="39" t="s">
        <v>638</v>
      </c>
      <c r="G11" s="39"/>
      <c r="H11" s="39"/>
      <c r="I11" s="40" t="s">
        <v>265</v>
      </c>
      <c r="J11" s="41">
        <v>1</v>
      </c>
      <c r="K11" s="41">
        <v>0</v>
      </c>
      <c r="L11" s="41"/>
      <c r="M11" s="42">
        <v>0</v>
      </c>
      <c r="N11" s="42">
        <v>0</v>
      </c>
      <c r="O11" s="43">
        <v>0</v>
      </c>
      <c r="P11" s="44">
        <v>0</v>
      </c>
      <c r="Q11" s="44">
        <v>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str">
        <f>HLOOKUP(I11,GasAvoidedCostsWOCC!$A$5:$G$50,G11+1,FALSE)</f>
        <v>Res Water Heat</v>
      </c>
      <c r="AG11" s="44" t="e">
        <f t="shared" si="11"/>
        <v>#VALUE!</v>
      </c>
      <c r="AH11" s="52" t="str">
        <f>HLOOKUP(I11,GasAvoidedCostsWOCC!$A$5:$Q$50,T11+1,FALSE)</f>
        <v>Res Water Heat</v>
      </c>
      <c r="AI11" s="44" t="e">
        <f t="shared" si="12"/>
        <v>#VALUE!</v>
      </c>
      <c r="AJ11" s="44" t="e">
        <f t="shared" si="13"/>
        <v>#VALUE!</v>
      </c>
      <c r="AK11" s="44" t="e">
        <f>HLOOKUP(I11,GasAvoidedCostsWOCC!$A$5:$Q$50,G11+1,FALSE)*J11*L11</f>
        <v>#VALUE!</v>
      </c>
      <c r="AL11" s="44" t="e">
        <f t="shared" si="14"/>
        <v>#VALUE!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  <c r="AQ11">
        <v>2021</v>
      </c>
    </row>
    <row r="12" spans="1:43" ht="13.5" customHeight="1">
      <c r="A12" s="55">
        <f>SUM(P5:P1000)</f>
        <v>0</v>
      </c>
      <c r="B12" s="97" t="s">
        <v>33</v>
      </c>
      <c r="C12" s="98">
        <v>18230434</v>
      </c>
      <c r="D12" s="61" t="s">
        <v>317</v>
      </c>
      <c r="E12" s="38" t="s">
        <v>639</v>
      </c>
      <c r="F12" s="39" t="s">
        <v>640</v>
      </c>
      <c r="G12" s="39">
        <v>14</v>
      </c>
      <c r="H12" s="39"/>
      <c r="I12" s="40" t="s">
        <v>265</v>
      </c>
      <c r="J12" s="41">
        <v>2651</v>
      </c>
      <c r="K12" s="41">
        <v>2.1</v>
      </c>
      <c r="L12" s="41"/>
      <c r="M12" s="42">
        <v>0</v>
      </c>
      <c r="N12" s="42">
        <v>0</v>
      </c>
      <c r="O12" s="43">
        <v>5567.1000000001304</v>
      </c>
      <c r="P12" s="44">
        <v>0</v>
      </c>
      <c r="Q12" s="44">
        <v>0</v>
      </c>
      <c r="R12" s="45">
        <v>17.059999999999999</v>
      </c>
      <c r="S12" s="46">
        <v>0</v>
      </c>
      <c r="T12" s="39">
        <f t="shared" si="0"/>
        <v>14</v>
      </c>
      <c r="U12" s="47">
        <f t="shared" si="1"/>
        <v>5.5838515546641112</v>
      </c>
      <c r="V12" s="48">
        <f t="shared" si="2"/>
        <v>0</v>
      </c>
      <c r="W12" s="49">
        <f t="shared" si="3"/>
        <v>0.39884653961886507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396235.62092758418</v>
      </c>
      <c r="AE12" s="44">
        <f t="shared" si="18"/>
        <v>0</v>
      </c>
      <c r="AF12" s="52">
        <f>HLOOKUP(I12,GasAvoidedCostsWOCC!$A$5:$G$50,G12+1,FALSE)</f>
        <v>9.6059277231229743</v>
      </c>
      <c r="AG12" s="44">
        <f t="shared" si="11"/>
        <v>53477.160227397908</v>
      </c>
      <c r="AH12" s="52">
        <f>HLOOKUP(I12,GasAvoidedCostsWOCC!$A$5:$Q$50,T12+1,FALSE)</f>
        <v>9.6059277231229743</v>
      </c>
      <c r="AI12" s="44">
        <f t="shared" si="12"/>
        <v>0</v>
      </c>
      <c r="AJ12" s="44">
        <f t="shared" si="13"/>
        <v>53477.160227397908</v>
      </c>
      <c r="AK12" s="44">
        <f>HLOOKUP(I12,GasAvoidedCostsWOCC!$A$5:$Q$50,G12+1,FALSE)*J12*L12</f>
        <v>0</v>
      </c>
      <c r="AL12" s="44">
        <f t="shared" si="14"/>
        <v>53477.160227397908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53477.160227397915</v>
      </c>
      <c r="AN12" s="48">
        <f t="shared" si="15"/>
        <v>455060.49717772187</v>
      </c>
      <c r="AO12" s="47">
        <f t="shared" si="16"/>
        <v>0</v>
      </c>
      <c r="AP12" s="47" t="e">
        <f t="shared" si="17"/>
        <v>#DIV/0!</v>
      </c>
      <c r="AQ12">
        <v>2021</v>
      </c>
    </row>
    <row r="13" spans="1:43" ht="13.5" customHeight="1">
      <c r="A13" s="56" t="s">
        <v>252</v>
      </c>
      <c r="B13" s="97" t="s">
        <v>33</v>
      </c>
      <c r="C13" s="98">
        <v>18230434</v>
      </c>
      <c r="D13" s="61" t="s">
        <v>317</v>
      </c>
      <c r="E13" s="38" t="s">
        <v>641</v>
      </c>
      <c r="F13" s="39" t="s">
        <v>642</v>
      </c>
      <c r="G13" s="39">
        <v>14</v>
      </c>
      <c r="H13" s="39"/>
      <c r="I13" s="40" t="s">
        <v>265</v>
      </c>
      <c r="J13" s="41">
        <v>223</v>
      </c>
      <c r="K13" s="41">
        <v>2.1</v>
      </c>
      <c r="L13" s="41"/>
      <c r="M13" s="42">
        <v>0</v>
      </c>
      <c r="N13" s="42">
        <v>0</v>
      </c>
      <c r="O13" s="43">
        <v>468.300000000002</v>
      </c>
      <c r="P13" s="44">
        <v>0</v>
      </c>
      <c r="Q13" s="44">
        <v>0</v>
      </c>
      <c r="R13" s="45">
        <v>17.059999999999999</v>
      </c>
      <c r="S13" s="46">
        <v>0</v>
      </c>
      <c r="T13" s="39">
        <f t="shared" si="0"/>
        <v>14</v>
      </c>
      <c r="U13" s="47">
        <f t="shared" si="1"/>
        <v>0.46970912738214748</v>
      </c>
      <c r="V13" s="48">
        <f t="shared" si="2"/>
        <v>0</v>
      </c>
      <c r="W13" s="49">
        <f t="shared" si="3"/>
        <v>3.3550651955867677E-2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33331.023563504823</v>
      </c>
      <c r="AE13" s="44">
        <f t="shared" si="18"/>
        <v>0</v>
      </c>
      <c r="AF13" s="52">
        <f>HLOOKUP(I13,GasAvoidedCostsWOCC!$A$5:$G$50,G13+1,FALSE)</f>
        <v>9.6059277231229743</v>
      </c>
      <c r="AG13" s="44">
        <f t="shared" si="11"/>
        <v>4498.455952738489</v>
      </c>
      <c r="AH13" s="52">
        <f>HLOOKUP(I13,GasAvoidedCostsWOCC!$A$5:$Q$50,T13+1,FALSE)</f>
        <v>9.6059277231229743</v>
      </c>
      <c r="AI13" s="44">
        <f t="shared" si="12"/>
        <v>0</v>
      </c>
      <c r="AJ13" s="44">
        <f t="shared" si="13"/>
        <v>4498.455952738489</v>
      </c>
      <c r="AK13" s="44">
        <f>HLOOKUP(I13,GasAvoidedCostsWOCC!$A$5:$Q$50,G13+1,FALSE)*J13*L13</f>
        <v>0</v>
      </c>
      <c r="AL13" s="44">
        <f t="shared" si="14"/>
        <v>4498.455952738489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4498.455952738489</v>
      </c>
      <c r="AN13" s="48">
        <f t="shared" si="15"/>
        <v>38279.325111517159</v>
      </c>
      <c r="AO13" s="47">
        <f t="shared" si="16"/>
        <v>0</v>
      </c>
      <c r="AP13" s="47" t="e">
        <f t="shared" si="17"/>
        <v>#DIV/0!</v>
      </c>
      <c r="AQ13">
        <v>2021</v>
      </c>
    </row>
    <row r="14" spans="1:43" ht="13.5" customHeight="1">
      <c r="A14" s="55">
        <f>SUM(Y5:Y1000)</f>
        <v>1922.0600000000011</v>
      </c>
      <c r="B14" s="97" t="s">
        <v>33</v>
      </c>
      <c r="C14" s="98">
        <v>18230434</v>
      </c>
      <c r="D14" s="61" t="s">
        <v>317</v>
      </c>
      <c r="E14" s="38" t="s">
        <v>643</v>
      </c>
      <c r="F14" s="39" t="s">
        <v>644</v>
      </c>
      <c r="G14" s="39">
        <v>14</v>
      </c>
      <c r="H14" s="39"/>
      <c r="I14" s="40" t="s">
        <v>265</v>
      </c>
      <c r="J14" s="41">
        <v>2425</v>
      </c>
      <c r="K14" s="41">
        <v>0</v>
      </c>
      <c r="L14" s="41"/>
      <c r="M14" s="42">
        <v>0</v>
      </c>
      <c r="N14" s="42">
        <v>0</v>
      </c>
      <c r="O14" s="43">
        <v>0</v>
      </c>
      <c r="P14" s="44">
        <v>0</v>
      </c>
      <c r="Q14" s="44">
        <v>0</v>
      </c>
      <c r="R14" s="45">
        <v>17.059999999999999</v>
      </c>
      <c r="S14" s="46">
        <v>0</v>
      </c>
      <c r="T14" s="39">
        <f t="shared" si="0"/>
        <v>14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362456.19794394256</v>
      </c>
      <c r="AE14" s="44">
        <f t="shared" si="18"/>
        <v>0</v>
      </c>
      <c r="AF14" s="52">
        <f>HLOOKUP(I14,GasAvoidedCostsWOCC!$A$5:$G$50,G14+1,FALSE)</f>
        <v>9.6059277231229743</v>
      </c>
      <c r="AG14" s="44">
        <f t="shared" si="11"/>
        <v>0</v>
      </c>
      <c r="AH14" s="52">
        <f>HLOOKUP(I14,GasAvoidedCostsWOCC!$A$5:$Q$50,T14+1,FALSE)</f>
        <v>9.6059277231229743</v>
      </c>
      <c r="AI14" s="44">
        <f t="shared" si="12"/>
        <v>0</v>
      </c>
      <c r="AJ14" s="44">
        <f t="shared" si="13"/>
        <v>0</v>
      </c>
      <c r="AK14" s="44">
        <f>HLOOKUP(I14,GasAvoidedCostsWOCC!$A$5:$Q$50,G14+1,FALSE)*J14*L14</f>
        <v>0</v>
      </c>
      <c r="AL14" s="44">
        <f t="shared" si="14"/>
        <v>0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362456.19794394256</v>
      </c>
      <c r="AO14" s="47">
        <f t="shared" si="16"/>
        <v>0</v>
      </c>
      <c r="AP14" s="47" t="e">
        <f t="shared" si="17"/>
        <v>#DIV/0!</v>
      </c>
      <c r="AQ14">
        <v>2021</v>
      </c>
    </row>
    <row r="15" spans="1:43" ht="13.5" customHeight="1">
      <c r="A15" s="57" t="s">
        <v>253</v>
      </c>
      <c r="B15" s="97" t="s">
        <v>33</v>
      </c>
      <c r="C15" s="98">
        <v>18230434</v>
      </c>
      <c r="D15" s="61" t="s">
        <v>317</v>
      </c>
      <c r="E15" s="38" t="s">
        <v>645</v>
      </c>
      <c r="F15" s="39" t="s">
        <v>646</v>
      </c>
      <c r="G15" s="39">
        <v>14</v>
      </c>
      <c r="H15" s="39"/>
      <c r="I15" s="40" t="s">
        <v>265</v>
      </c>
      <c r="J15" s="41">
        <v>181</v>
      </c>
      <c r="K15" s="41"/>
      <c r="L15" s="41"/>
      <c r="M15" s="42"/>
      <c r="N15" s="42"/>
      <c r="O15" s="43">
        <v>0</v>
      </c>
      <c r="P15" s="44">
        <v>0</v>
      </c>
      <c r="Q15" s="44">
        <v>0</v>
      </c>
      <c r="R15" s="45">
        <v>17.059999999999999</v>
      </c>
      <c r="S15" s="46">
        <v>0</v>
      </c>
      <c r="T15" s="39">
        <f t="shared" si="0"/>
        <v>14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27053.431681589114</v>
      </c>
      <c r="AE15" s="44">
        <f t="shared" si="18"/>
        <v>0</v>
      </c>
      <c r="AF15" s="52">
        <f>HLOOKUP(I15,GasAvoidedCostsWOCC!$A$5:$G$50,G15+1,FALSE)</f>
        <v>9.6059277231229743</v>
      </c>
      <c r="AG15" s="44">
        <f t="shared" si="11"/>
        <v>0</v>
      </c>
      <c r="AH15" s="52">
        <f>HLOOKUP(I15,GasAvoidedCostsWOCC!$A$5:$Q$50,T15+1,FALSE)</f>
        <v>9.6059277231229743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27053.431681589114</v>
      </c>
      <c r="AO15" s="47">
        <f t="shared" si="16"/>
        <v>0</v>
      </c>
      <c r="AP15" s="47" t="e">
        <f t="shared" si="17"/>
        <v>#DIV/0!</v>
      </c>
      <c r="AQ15">
        <v>2021</v>
      </c>
    </row>
    <row r="16" spans="1:43" ht="13.5" customHeight="1">
      <c r="A16" s="54">
        <f>SUM(U5:U999)</f>
        <v>13.537125662702394</v>
      </c>
      <c r="B16" s="97" t="s">
        <v>33</v>
      </c>
      <c r="C16" s="100">
        <v>18230434</v>
      </c>
      <c r="D16" s="100" t="s">
        <v>317</v>
      </c>
      <c r="E16" s="38" t="s">
        <v>1888</v>
      </c>
      <c r="F16" s="39" t="s">
        <v>1889</v>
      </c>
      <c r="G16" s="39">
        <v>10</v>
      </c>
      <c r="H16" s="39"/>
      <c r="I16" s="40" t="s">
        <v>265</v>
      </c>
      <c r="J16" s="41">
        <v>59</v>
      </c>
      <c r="K16" s="41">
        <v>2.7</v>
      </c>
      <c r="L16" s="41"/>
      <c r="M16" s="42">
        <v>0</v>
      </c>
      <c r="N16" s="42">
        <v>0</v>
      </c>
      <c r="O16" s="43">
        <v>159.30000000000001</v>
      </c>
      <c r="P16" s="44">
        <v>0</v>
      </c>
      <c r="Q16" s="44">
        <v>0</v>
      </c>
      <c r="R16" s="45"/>
      <c r="S16" s="46"/>
      <c r="T16" s="39">
        <f t="shared" si="0"/>
        <v>10</v>
      </c>
      <c r="U16" s="47">
        <f t="shared" si="1"/>
        <v>0.11412809858145843</v>
      </c>
      <c r="V16" s="48">
        <f t="shared" si="2"/>
        <v>0</v>
      </c>
      <c r="W16" s="49">
        <f t="shared" si="3"/>
        <v>1.1412809858145844E-2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7.1400454873872068</v>
      </c>
      <c r="AG16" s="44">
        <f t="shared" si="11"/>
        <v>1137.4092461407822</v>
      </c>
      <c r="AH16" s="52">
        <f>HLOOKUP(I16,GasAvoidedCostsWOCC!$A$5:$Q$50,T16+1,FALSE)</f>
        <v>7.1400454873872068</v>
      </c>
      <c r="AI16" s="44">
        <f t="shared" si="12"/>
        <v>0</v>
      </c>
      <c r="AJ16" s="44">
        <f t="shared" si="13"/>
        <v>1137.4092461407822</v>
      </c>
      <c r="AK16" s="44">
        <f>HLOOKUP(I16,GasAvoidedCostsWOCC!$A$5:$Q$50,G16+1,FALSE)*J16*L16</f>
        <v>0</v>
      </c>
      <c r="AL16" s="44">
        <f t="shared" si="14"/>
        <v>1137.4092461407822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1137.409246140782</v>
      </c>
      <c r="AN16" s="48">
        <f t="shared" si="15"/>
        <v>1251.1501707548603</v>
      </c>
      <c r="AO16" s="47">
        <f t="shared" si="16"/>
        <v>0</v>
      </c>
      <c r="AP16" s="47" t="e">
        <f t="shared" si="17"/>
        <v>#DIV/0!</v>
      </c>
      <c r="AQ16">
        <v>2020</v>
      </c>
    </row>
    <row r="17" spans="1:43" ht="13.5" customHeight="1">
      <c r="A17" s="58" t="s">
        <v>254</v>
      </c>
      <c r="B17" s="97" t="s">
        <v>33</v>
      </c>
      <c r="C17" s="100">
        <v>18230434</v>
      </c>
      <c r="D17" s="100" t="s">
        <v>317</v>
      </c>
      <c r="E17" s="38" t="s">
        <v>1894</v>
      </c>
      <c r="F17" s="39" t="s">
        <v>1895</v>
      </c>
      <c r="G17" s="39">
        <v>10</v>
      </c>
      <c r="H17" s="39"/>
      <c r="I17" s="40" t="s">
        <v>265</v>
      </c>
      <c r="J17" s="41">
        <v>118</v>
      </c>
      <c r="K17" s="41">
        <v>0.6</v>
      </c>
      <c r="L17" s="41"/>
      <c r="M17" s="42">
        <v>0</v>
      </c>
      <c r="N17" s="42">
        <v>0</v>
      </c>
      <c r="O17" s="43">
        <v>70.800000000000097</v>
      </c>
      <c r="P17" s="44">
        <v>0</v>
      </c>
      <c r="Q17" s="44">
        <v>0</v>
      </c>
      <c r="R17" s="45"/>
      <c r="S17" s="46"/>
      <c r="T17" s="39">
        <f t="shared" si="0"/>
        <v>10</v>
      </c>
      <c r="U17" s="47">
        <f t="shared" si="1"/>
        <v>5.0723599369537145E-2</v>
      </c>
      <c r="V17" s="48">
        <f t="shared" si="2"/>
        <v>0</v>
      </c>
      <c r="W17" s="49">
        <f t="shared" si="3"/>
        <v>5.0723599369537145E-3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7.1400454873872068</v>
      </c>
      <c r="AG17" s="44">
        <f t="shared" si="11"/>
        <v>505.51522050701425</v>
      </c>
      <c r="AH17" s="52">
        <f>HLOOKUP(I17,GasAvoidedCostsWOCC!$A$5:$Q$50,T17+1,FALSE)</f>
        <v>7.1400454873872068</v>
      </c>
      <c r="AI17" s="44">
        <f t="shared" si="12"/>
        <v>0</v>
      </c>
      <c r="AJ17" s="44">
        <f t="shared" si="13"/>
        <v>505.51522050701425</v>
      </c>
      <c r="AK17" s="44">
        <f>HLOOKUP(I17,GasAvoidedCostsWOCC!$A$5:$Q$50,G17+1,FALSE)*J17*L17</f>
        <v>0</v>
      </c>
      <c r="AL17" s="44">
        <f t="shared" si="14"/>
        <v>505.51522050701425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505.51522050701419</v>
      </c>
      <c r="AN17" s="48">
        <f t="shared" si="15"/>
        <v>556.06674255771566</v>
      </c>
      <c r="AO17" s="47">
        <f t="shared" si="16"/>
        <v>0</v>
      </c>
      <c r="AP17" s="47" t="e">
        <f t="shared" si="17"/>
        <v>#DIV/0!</v>
      </c>
      <c r="AQ17">
        <v>2020</v>
      </c>
    </row>
    <row r="18" spans="1:43" ht="13.5" customHeight="1">
      <c r="A18" s="59">
        <f>A6+A8</f>
        <v>0</v>
      </c>
      <c r="B18" s="97" t="s">
        <v>33</v>
      </c>
      <c r="C18" s="100">
        <v>18230434</v>
      </c>
      <c r="D18" s="100" t="s">
        <v>317</v>
      </c>
      <c r="E18" s="38" t="s">
        <v>1898</v>
      </c>
      <c r="F18" s="39" t="s">
        <v>1899</v>
      </c>
      <c r="G18" s="39">
        <v>10</v>
      </c>
      <c r="H18" s="39"/>
      <c r="I18" s="40" t="s">
        <v>265</v>
      </c>
      <c r="J18" s="41">
        <v>59</v>
      </c>
      <c r="K18" s="41">
        <v>0.9</v>
      </c>
      <c r="L18" s="41"/>
      <c r="M18" s="42">
        <v>0</v>
      </c>
      <c r="N18" s="42">
        <v>0</v>
      </c>
      <c r="O18" s="43">
        <v>53.099999999999902</v>
      </c>
      <c r="P18" s="44">
        <v>0</v>
      </c>
      <c r="Q18" s="44">
        <v>0</v>
      </c>
      <c r="R18" s="45"/>
      <c r="S18" s="46"/>
      <c r="T18" s="39">
        <f t="shared" si="0"/>
        <v>10</v>
      </c>
      <c r="U18" s="47">
        <f t="shared" si="1"/>
        <v>3.8042699527152737E-2</v>
      </c>
      <c r="V18" s="48">
        <f t="shared" si="2"/>
        <v>0</v>
      </c>
      <c r="W18" s="49">
        <f t="shared" si="3"/>
        <v>3.8042699527152737E-3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379.1364153802607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379.1364153802607</v>
      </c>
      <c r="AK18" s="44">
        <f>HLOOKUP(I18,GasAvoidedCostsWOCC!$A$5:$Q$50,G18+1,FALSE)*J18*L18</f>
        <v>0</v>
      </c>
      <c r="AL18" s="44">
        <f t="shared" si="14"/>
        <v>379.1364153802607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379.1364153802607</v>
      </c>
      <c r="AN18" s="48">
        <f t="shared" si="15"/>
        <v>417.05005691828683</v>
      </c>
      <c r="AO18" s="47">
        <f t="shared" si="16"/>
        <v>0</v>
      </c>
      <c r="AP18" s="47" t="e">
        <f t="shared" si="17"/>
        <v>#DIV/0!</v>
      </c>
      <c r="AQ18">
        <v>2020</v>
      </c>
    </row>
    <row r="19" spans="1:43" ht="13.5" customHeight="1">
      <c r="A19" s="58" t="s">
        <v>231</v>
      </c>
      <c r="B19" s="97" t="s">
        <v>33</v>
      </c>
      <c r="C19" s="100">
        <v>18230434</v>
      </c>
      <c r="D19" s="100" t="s">
        <v>317</v>
      </c>
      <c r="E19" s="38" t="s">
        <v>1903</v>
      </c>
      <c r="F19" s="39" t="s">
        <v>1904</v>
      </c>
      <c r="G19" s="39">
        <v>14</v>
      </c>
      <c r="H19" s="39"/>
      <c r="I19" s="40" t="s">
        <v>265</v>
      </c>
      <c r="J19" s="41">
        <v>0</v>
      </c>
      <c r="K19" s="41">
        <v>2.1</v>
      </c>
      <c r="L19" s="41"/>
      <c r="M19" s="42">
        <v>0</v>
      </c>
      <c r="N19" s="42">
        <v>0</v>
      </c>
      <c r="O19" s="43">
        <v>-3.6415315207705103E-14</v>
      </c>
      <c r="P19" s="44">
        <v>0</v>
      </c>
      <c r="Q19" s="44">
        <v>0</v>
      </c>
      <c r="R19" s="45"/>
      <c r="S19" s="46"/>
      <c r="T19" s="39">
        <f t="shared" si="0"/>
        <v>14</v>
      </c>
      <c r="U19" s="47">
        <f t="shared" si="1"/>
        <v>-3.6524889877337036E-17</v>
      </c>
      <c r="V19" s="48">
        <f t="shared" si="2"/>
        <v>0</v>
      </c>
      <c r="W19" s="49">
        <f t="shared" si="3"/>
        <v>-2.6089207055240741E-18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9.6059277231229743</v>
      </c>
      <c r="AG19" s="44">
        <f t="shared" si="11"/>
        <v>0</v>
      </c>
      <c r="AH19" s="52">
        <f>HLOOKUP(I19,GasAvoidedCostsWOCC!$A$5:$Q$50,T19+1,FALSE)</f>
        <v>9.6059277231229743</v>
      </c>
      <c r="AI19" s="44">
        <f t="shared" si="12"/>
        <v>0</v>
      </c>
      <c r="AJ19" s="44">
        <f t="shared" si="13"/>
        <v>0</v>
      </c>
      <c r="AK19" s="44">
        <f>HLOOKUP(I19,GasAvoidedCostsWOCC!$A$5:$Q$50,G19+1,FALSE)*J19*L19</f>
        <v>0</v>
      </c>
      <c r="AL19" s="44">
        <f t="shared" si="14"/>
        <v>0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  <c r="AQ19">
        <v>2020</v>
      </c>
    </row>
    <row r="20" spans="1:43" ht="13.5" customHeight="1">
      <c r="A20" s="59">
        <f>A8+SUM(Q5:Q906)</f>
        <v>1922.0600000000011</v>
      </c>
      <c r="B20" s="97" t="s">
        <v>33</v>
      </c>
      <c r="C20" s="100">
        <v>18230434</v>
      </c>
      <c r="D20" s="100" t="s">
        <v>317</v>
      </c>
      <c r="E20" s="38" t="s">
        <v>1905</v>
      </c>
      <c r="F20" s="39" t="s">
        <v>1904</v>
      </c>
      <c r="G20" s="39">
        <v>14</v>
      </c>
      <c r="H20" s="39"/>
      <c r="I20" s="40" t="s">
        <v>265</v>
      </c>
      <c r="J20" s="41">
        <v>0</v>
      </c>
      <c r="K20" s="41">
        <v>2.1</v>
      </c>
      <c r="L20" s="41"/>
      <c r="M20" s="42">
        <v>0</v>
      </c>
      <c r="N20" s="42">
        <v>0</v>
      </c>
      <c r="O20" s="43">
        <v>-7.9936057773011302E-15</v>
      </c>
      <c r="P20" s="44">
        <v>0</v>
      </c>
      <c r="Q20" s="44">
        <v>0</v>
      </c>
      <c r="R20" s="45"/>
      <c r="S20" s="46"/>
      <c r="T20" s="39">
        <f t="shared" si="0"/>
        <v>14</v>
      </c>
      <c r="U20" s="47">
        <f t="shared" si="1"/>
        <v>-8.0176587535617993E-18</v>
      </c>
      <c r="V20" s="48">
        <f t="shared" si="2"/>
        <v>0</v>
      </c>
      <c r="W20" s="49">
        <f t="shared" si="3"/>
        <v>-5.7268991096869997E-19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9.6059277231229743</v>
      </c>
      <c r="AG20" s="44">
        <f t="shared" si="11"/>
        <v>0</v>
      </c>
      <c r="AH20" s="52">
        <f>HLOOKUP(I20,GasAvoidedCostsWOCC!$A$5:$Q$50,T20+1,FALSE)</f>
        <v>9.6059277231229743</v>
      </c>
      <c r="AI20" s="44">
        <f t="shared" si="12"/>
        <v>0</v>
      </c>
      <c r="AJ20" s="44">
        <f t="shared" si="13"/>
        <v>0</v>
      </c>
      <c r="AK20" s="44">
        <f>HLOOKUP(I20,GasAvoidedCostsWOCC!$A$5:$Q$50,G20+1,FALSE)*J20*L20</f>
        <v>0</v>
      </c>
      <c r="AL20" s="44">
        <f t="shared" si="14"/>
        <v>0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  <c r="AQ20">
        <v>2020</v>
      </c>
    </row>
    <row r="21" spans="1:43" ht="13.5" customHeight="1">
      <c r="A21" s="58" t="s">
        <v>245</v>
      </c>
      <c r="B21" s="97" t="s">
        <v>33</v>
      </c>
      <c r="C21" s="100">
        <v>18230434</v>
      </c>
      <c r="D21" s="100" t="s">
        <v>317</v>
      </c>
      <c r="E21" s="38" t="s">
        <v>1873</v>
      </c>
      <c r="F21" s="39" t="s">
        <v>1874</v>
      </c>
      <c r="G21" s="39">
        <v>10</v>
      </c>
      <c r="H21" s="39"/>
      <c r="I21" s="40" t="s">
        <v>265</v>
      </c>
      <c r="J21" s="41">
        <v>1102</v>
      </c>
      <c r="K21" s="41">
        <v>0.6</v>
      </c>
      <c r="L21" s="41"/>
      <c r="M21" s="42">
        <v>0.54</v>
      </c>
      <c r="N21" s="42">
        <v>0.54</v>
      </c>
      <c r="O21" s="43">
        <v>661.20000000000198</v>
      </c>
      <c r="P21" s="44">
        <v>0</v>
      </c>
      <c r="Q21" s="44">
        <v>595.08000000000095</v>
      </c>
      <c r="R21" s="45"/>
      <c r="S21" s="46"/>
      <c r="T21" s="39">
        <f t="shared" si="0"/>
        <v>10</v>
      </c>
      <c r="U21" s="47">
        <f t="shared" si="1"/>
        <v>0.47370683479008496</v>
      </c>
      <c r="V21" s="48">
        <f t="shared" si="2"/>
        <v>0</v>
      </c>
      <c r="W21" s="49">
        <f t="shared" si="3"/>
        <v>4.7370683479008496E-2</v>
      </c>
      <c r="X21" s="44">
        <f t="shared" si="4"/>
        <v>0</v>
      </c>
      <c r="Y21" s="44">
        <f t="shared" si="5"/>
        <v>595.08000000000095</v>
      </c>
      <c r="Z21" s="44">
        <f t="shared" si="6"/>
        <v>0</v>
      </c>
      <c r="AA21" s="50">
        <f t="shared" si="7"/>
        <v>595.08000000000095</v>
      </c>
      <c r="AB21" s="51">
        <f t="shared" si="8"/>
        <v>0</v>
      </c>
      <c r="AC21" s="44">
        <f t="shared" si="9"/>
        <v>556.30550621669715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7.1400454873872068</v>
      </c>
      <c r="AG21" s="44">
        <f t="shared" si="11"/>
        <v>4720.9980762604209</v>
      </c>
      <c r="AH21" s="52">
        <f>HLOOKUP(I21,GasAvoidedCostsWOCC!$A$5:$Q$50,T21+1,FALSE)</f>
        <v>7.1400454873872068</v>
      </c>
      <c r="AI21" s="44">
        <f t="shared" si="12"/>
        <v>0</v>
      </c>
      <c r="AJ21" s="44">
        <f t="shared" si="13"/>
        <v>4720.9980762604209</v>
      </c>
      <c r="AK21" s="44">
        <f>HLOOKUP(I21,GasAvoidedCostsWOCC!$A$5:$Q$50,G21+1,FALSE)*J21*L21</f>
        <v>0</v>
      </c>
      <c r="AL21" s="44">
        <f t="shared" si="14"/>
        <v>4720.9980762604209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4720.9980762604209</v>
      </c>
      <c r="AN21" s="48">
        <f t="shared" si="15"/>
        <v>5193.097883886463</v>
      </c>
      <c r="AO21" s="47">
        <f t="shared" si="16"/>
        <v>0</v>
      </c>
      <c r="AP21" s="47">
        <f t="shared" si="17"/>
        <v>9.3349748040487679</v>
      </c>
      <c r="AQ21">
        <v>2020</v>
      </c>
    </row>
    <row r="22" spans="1:43" ht="13.5" customHeight="1">
      <c r="A22" s="60" t="e">
        <f>(SUM(AM5:AM1000)/(SUM(AB5:AB1000)))</f>
        <v>#DIV/0!</v>
      </c>
      <c r="B22" s="97" t="s">
        <v>33</v>
      </c>
      <c r="C22" s="100">
        <v>18230434</v>
      </c>
      <c r="D22" s="100" t="s">
        <v>317</v>
      </c>
      <c r="E22" s="38" t="s">
        <v>1877</v>
      </c>
      <c r="F22" s="39" t="s">
        <v>1878</v>
      </c>
      <c r="G22" s="39">
        <v>10</v>
      </c>
      <c r="H22" s="39"/>
      <c r="I22" s="40" t="s">
        <v>265</v>
      </c>
      <c r="J22" s="41">
        <v>172</v>
      </c>
      <c r="K22" s="41">
        <v>0.8</v>
      </c>
      <c r="L22" s="41"/>
      <c r="M22" s="42">
        <v>1.81</v>
      </c>
      <c r="N22" s="42">
        <v>1.81</v>
      </c>
      <c r="O22" s="43">
        <v>137.6</v>
      </c>
      <c r="P22" s="44">
        <v>0</v>
      </c>
      <c r="Q22" s="44">
        <v>311.32</v>
      </c>
      <c r="R22" s="45"/>
      <c r="S22" s="46"/>
      <c r="T22" s="39">
        <f t="shared" si="0"/>
        <v>10</v>
      </c>
      <c r="U22" s="47">
        <f t="shared" si="1"/>
        <v>9.8581458661699178E-2</v>
      </c>
      <c r="V22" s="48">
        <f t="shared" si="2"/>
        <v>0</v>
      </c>
      <c r="W22" s="49">
        <f t="shared" si="3"/>
        <v>9.8581458661699175E-3</v>
      </c>
      <c r="X22" s="44">
        <f t="shared" si="4"/>
        <v>0</v>
      </c>
      <c r="Y22" s="44">
        <f t="shared" si="5"/>
        <v>311.32</v>
      </c>
      <c r="Z22" s="44">
        <f t="shared" si="6"/>
        <v>0</v>
      </c>
      <c r="AA22" s="50">
        <f t="shared" si="7"/>
        <v>311.32</v>
      </c>
      <c r="AB22" s="51">
        <f t="shared" si="8"/>
        <v>0</v>
      </c>
      <c r="AC22" s="44">
        <f t="shared" si="9"/>
        <v>291.03486958960451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7.1400454873872068</v>
      </c>
      <c r="AG22" s="44">
        <f t="shared" si="11"/>
        <v>982.47025906447971</v>
      </c>
      <c r="AH22" s="52">
        <f>HLOOKUP(I22,GasAvoidedCostsWOCC!$A$5:$Q$50,T22+1,FALSE)</f>
        <v>7.1400454873872068</v>
      </c>
      <c r="AI22" s="44">
        <f t="shared" si="12"/>
        <v>0</v>
      </c>
      <c r="AJ22" s="44">
        <f t="shared" si="13"/>
        <v>982.47025906447971</v>
      </c>
      <c r="AK22" s="44">
        <f>HLOOKUP(I22,GasAvoidedCostsWOCC!$A$5:$Q$50,G22+1,FALSE)*J22*L22</f>
        <v>0</v>
      </c>
      <c r="AL22" s="44">
        <f t="shared" si="14"/>
        <v>982.47025906447971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982.47025906447982</v>
      </c>
      <c r="AN22" s="48">
        <f t="shared" si="15"/>
        <v>1080.7172849709279</v>
      </c>
      <c r="AO22" s="47">
        <f t="shared" si="16"/>
        <v>0</v>
      </c>
      <c r="AP22" s="47">
        <f t="shared" si="17"/>
        <v>3.7133601430470313</v>
      </c>
      <c r="AQ22">
        <v>2020</v>
      </c>
    </row>
    <row r="23" spans="1:43" ht="13.5" customHeight="1">
      <c r="A23" s="58" t="s">
        <v>246</v>
      </c>
      <c r="B23" s="97" t="s">
        <v>33</v>
      </c>
      <c r="C23" s="100">
        <v>18230434</v>
      </c>
      <c r="D23" s="100" t="s">
        <v>317</v>
      </c>
      <c r="E23" s="38" t="s">
        <v>1879</v>
      </c>
      <c r="F23" s="39" t="s">
        <v>1880</v>
      </c>
      <c r="G23" s="39">
        <v>10</v>
      </c>
      <c r="H23" s="39"/>
      <c r="I23" s="40" t="s">
        <v>265</v>
      </c>
      <c r="J23" s="41">
        <v>86</v>
      </c>
      <c r="K23" s="41">
        <v>1.3</v>
      </c>
      <c r="L23" s="41"/>
      <c r="M23" s="42">
        <v>1.81</v>
      </c>
      <c r="N23" s="42">
        <v>1.81</v>
      </c>
      <c r="O23" s="43">
        <v>111.8</v>
      </c>
      <c r="P23" s="44">
        <v>0</v>
      </c>
      <c r="Q23" s="44">
        <v>155.66</v>
      </c>
      <c r="R23" s="45"/>
      <c r="S23" s="46"/>
      <c r="T23" s="39">
        <f t="shared" si="0"/>
        <v>10</v>
      </c>
      <c r="U23" s="47">
        <f t="shared" si="1"/>
        <v>8.0097435162630584E-2</v>
      </c>
      <c r="V23" s="48">
        <f t="shared" si="2"/>
        <v>0</v>
      </c>
      <c r="W23" s="49">
        <f t="shared" si="3"/>
        <v>8.0097435162630581E-3</v>
      </c>
      <c r="X23" s="44">
        <f t="shared" si="4"/>
        <v>0</v>
      </c>
      <c r="Y23" s="44">
        <f t="shared" si="5"/>
        <v>155.66</v>
      </c>
      <c r="Z23" s="44">
        <f t="shared" si="6"/>
        <v>0</v>
      </c>
      <c r="AA23" s="50">
        <f t="shared" si="7"/>
        <v>155.66</v>
      </c>
      <c r="AB23" s="51">
        <f t="shared" si="8"/>
        <v>0</v>
      </c>
      <c r="AC23" s="44">
        <f t="shared" si="9"/>
        <v>145.51743479480226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7.1400454873872068</v>
      </c>
      <c r="AG23" s="44">
        <f t="shared" si="11"/>
        <v>798.25708548988973</v>
      </c>
      <c r="AH23" s="52">
        <f>HLOOKUP(I23,GasAvoidedCostsWOCC!$A$5:$Q$50,T23+1,FALSE)</f>
        <v>7.1400454873872068</v>
      </c>
      <c r="AI23" s="44">
        <f t="shared" si="12"/>
        <v>0</v>
      </c>
      <c r="AJ23" s="44">
        <f t="shared" si="13"/>
        <v>798.25708548988973</v>
      </c>
      <c r="AK23" s="44">
        <f>HLOOKUP(I23,GasAvoidedCostsWOCC!$A$5:$Q$50,G23+1,FALSE)*J23*L23</f>
        <v>0</v>
      </c>
      <c r="AL23" s="44">
        <f t="shared" si="14"/>
        <v>798.25708548988973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798.25708548988973</v>
      </c>
      <c r="AN23" s="48">
        <f t="shared" si="15"/>
        <v>878.08279403887877</v>
      </c>
      <c r="AO23" s="47">
        <f t="shared" si="16"/>
        <v>0</v>
      </c>
      <c r="AP23" s="47">
        <f t="shared" si="17"/>
        <v>6.0342102324514251</v>
      </c>
      <c r="AQ23">
        <v>2020</v>
      </c>
    </row>
    <row r="24" spans="1:43" ht="13.5" customHeight="1">
      <c r="A24" s="60">
        <f>(SUM(AN5:AN1000)/SUM(AC5:AC1000))</f>
        <v>662.3646239879389</v>
      </c>
      <c r="B24" s="97" t="s">
        <v>33</v>
      </c>
      <c r="C24" s="61">
        <v>18230434</v>
      </c>
      <c r="D24" s="61" t="s">
        <v>317</v>
      </c>
      <c r="E24" s="38" t="s">
        <v>1881</v>
      </c>
      <c r="F24" s="39" t="s">
        <v>1882</v>
      </c>
      <c r="G24" s="39">
        <v>10</v>
      </c>
      <c r="H24" s="39"/>
      <c r="I24" s="40" t="s">
        <v>265</v>
      </c>
      <c r="J24" s="41">
        <v>86</v>
      </c>
      <c r="K24" s="41">
        <v>4.9000000000000004</v>
      </c>
      <c r="L24" s="41"/>
      <c r="M24" s="42">
        <v>10</v>
      </c>
      <c r="N24" s="42">
        <v>10</v>
      </c>
      <c r="O24" s="43">
        <v>421.39999999999901</v>
      </c>
      <c r="P24" s="44">
        <v>0</v>
      </c>
      <c r="Q24" s="44">
        <v>860</v>
      </c>
      <c r="R24" s="45"/>
      <c r="S24" s="46"/>
      <c r="T24" s="39">
        <f t="shared" si="0"/>
        <v>10</v>
      </c>
      <c r="U24" s="47">
        <f t="shared" si="1"/>
        <v>0.30190571715145303</v>
      </c>
      <c r="V24" s="48">
        <f t="shared" si="2"/>
        <v>0</v>
      </c>
      <c r="W24" s="49">
        <f t="shared" si="3"/>
        <v>3.0190571715145303E-2</v>
      </c>
      <c r="X24" s="44">
        <f t="shared" si="4"/>
        <v>0</v>
      </c>
      <c r="Y24" s="44">
        <f t="shared" si="5"/>
        <v>860</v>
      </c>
      <c r="Z24" s="44">
        <f t="shared" si="6"/>
        <v>0</v>
      </c>
      <c r="AA24" s="50">
        <f t="shared" si="7"/>
        <v>860</v>
      </c>
      <c r="AB24" s="51">
        <f t="shared" si="8"/>
        <v>0</v>
      </c>
      <c r="AC24" s="44">
        <f t="shared" si="9"/>
        <v>803.96372814807887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7.1400454873872068</v>
      </c>
      <c r="AG24" s="44">
        <f t="shared" si="11"/>
        <v>3008.8151683849692</v>
      </c>
      <c r="AH24" s="52">
        <f>HLOOKUP(I24,GasAvoidedCostsWOCC!$A$5:$Q$50,T24+1,FALSE)</f>
        <v>7.1400454873872068</v>
      </c>
      <c r="AI24" s="44">
        <f t="shared" si="12"/>
        <v>0</v>
      </c>
      <c r="AJ24" s="44">
        <f t="shared" si="13"/>
        <v>3008.8151683849692</v>
      </c>
      <c r="AK24" s="44">
        <f>HLOOKUP(I24,GasAvoidedCostsWOCC!$A$5:$Q$50,G24+1,FALSE)*J24*L24</f>
        <v>0</v>
      </c>
      <c r="AL24" s="44">
        <f t="shared" si="14"/>
        <v>3008.8151683849692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3008.8151683849692</v>
      </c>
      <c r="AN24" s="48">
        <f t="shared" si="15"/>
        <v>3309.6966852234664</v>
      </c>
      <c r="AO24" s="47">
        <f t="shared" si="16"/>
        <v>0</v>
      </c>
      <c r="AP24" s="47">
        <f t="shared" si="17"/>
        <v>4.116723888585514</v>
      </c>
      <c r="AQ24">
        <v>2020</v>
      </c>
    </row>
    <row r="25" spans="1:43" ht="13.5" customHeight="1">
      <c r="B25" s="97" t="s">
        <v>33</v>
      </c>
      <c r="C25" s="61">
        <v>18230434</v>
      </c>
      <c r="D25" s="61" t="s">
        <v>317</v>
      </c>
      <c r="E25" s="38" t="s">
        <v>614</v>
      </c>
      <c r="F25" s="39" t="s">
        <v>615</v>
      </c>
      <c r="G25" s="39">
        <v>14</v>
      </c>
      <c r="H25" s="39"/>
      <c r="I25" s="40" t="s">
        <v>265</v>
      </c>
      <c r="J25" s="41">
        <v>411</v>
      </c>
      <c r="K25" s="41">
        <v>2.1</v>
      </c>
      <c r="L25" s="41"/>
      <c r="M25" s="42">
        <v>0</v>
      </c>
      <c r="N25" s="42">
        <v>0</v>
      </c>
      <c r="O25" s="43">
        <v>863.10000000000605</v>
      </c>
      <c r="P25" s="44">
        <v>0</v>
      </c>
      <c r="Q25" s="44">
        <v>0</v>
      </c>
      <c r="R25" s="45"/>
      <c r="S25" s="46"/>
      <c r="T25" s="39">
        <f t="shared" ref="T25:T51" si="19">G25+H25</f>
        <v>14</v>
      </c>
      <c r="U25" s="47">
        <f t="shared" ref="U25:U51" si="20">(O25/$A$10)*T25</f>
        <v>0.86569709127382566</v>
      </c>
      <c r="V25" s="48">
        <f t="shared" ref="V25:V51" si="21">N25-M25</f>
        <v>0</v>
      </c>
      <c r="W25" s="49">
        <f t="shared" ref="W25:W51" si="22">(O25/A$10)</f>
        <v>6.1835506519558978E-2</v>
      </c>
      <c r="X25" s="44">
        <f t="shared" ref="X25:X51" si="23">W25*A$8</f>
        <v>0</v>
      </c>
      <c r="Y25" s="44">
        <f t="shared" ref="Y25:Y51" si="24">Q25-P25</f>
        <v>0</v>
      </c>
      <c r="Z25" s="44">
        <f t="shared" ref="Z25:Z51" si="25">X25+(A$6*W25)</f>
        <v>0</v>
      </c>
      <c r="AA25" s="50">
        <f t="shared" ref="AA25:AA51" si="26">Q25+X25</f>
        <v>0</v>
      </c>
      <c r="AB25" s="51">
        <f t="shared" ref="AB25:AB51" si="27">Z25/(1+GasDiscountRate)^1</f>
        <v>0</v>
      </c>
      <c r="AC25" s="44">
        <f t="shared" ref="AC25:AC51" si="28">AA25/(1+GasDiscountRate)^1</f>
        <v>0</v>
      </c>
      <c r="AD25" s="44">
        <f t="shared" ref="AD25:AD51" si="29">-PV(GasDiscountRate,T25,R25)*J25</f>
        <v>0</v>
      </c>
      <c r="AE25" s="44">
        <f t="shared" ref="AE25:AE51" si="30">-PV(GasDiscountRate,T25,S25)*J25</f>
        <v>0</v>
      </c>
      <c r="AF25" s="52">
        <f>HLOOKUP(I25,GasAvoidedCostsWOCC!$A$5:$G$50,G25+1,FALSE)</f>
        <v>9.6059277231229743</v>
      </c>
      <c r="AG25" s="44">
        <f t="shared" ref="AG25:AG51" si="31">AF25*J25*K25</f>
        <v>8290.8762178274392</v>
      </c>
      <c r="AH25" s="52">
        <f>HLOOKUP(I25,GasAvoidedCostsWOCC!$A$5:$Q$50,T25+1,FALSE)</f>
        <v>9.6059277231229743</v>
      </c>
      <c r="AI25" s="44">
        <f t="shared" ref="AI25:AI51" si="32">AH25*J25*L25</f>
        <v>0</v>
      </c>
      <c r="AJ25" s="44">
        <f t="shared" ref="AJ25:AJ51" si="33">AG25+AI25</f>
        <v>8290.8762178274392</v>
      </c>
      <c r="AK25" s="44">
        <f>HLOOKUP(I25,GasAvoidedCostsWOCC!$A$5:$Q$50,G25+1,FALSE)*J25*L25</f>
        <v>0</v>
      </c>
      <c r="AL25" s="44">
        <f t="shared" ref="AL25:AL51" si="34">AG25+AI25-AK25</f>
        <v>8290.8762178274392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8290.8762178274392</v>
      </c>
      <c r="AN25" s="48">
        <f t="shared" ref="AN25:AN51" si="35">AM25*1.1+AD25+AE25</f>
        <v>9119.9638396101836</v>
      </c>
      <c r="AO25" s="47">
        <f t="shared" ref="AO25:AO51" si="36">IFERROR(AM25/AB25,0)</f>
        <v>0</v>
      </c>
      <c r="AP25" s="47" t="e">
        <f t="shared" ref="AP25:AP51" si="37">AN25/AC25</f>
        <v>#DIV/0!</v>
      </c>
      <c r="AQ25">
        <v>2020</v>
      </c>
    </row>
    <row r="26" spans="1:43" ht="13.5" customHeight="1">
      <c r="B26" s="97" t="s">
        <v>33</v>
      </c>
      <c r="C26" s="61">
        <v>18230434</v>
      </c>
      <c r="D26" s="61" t="s">
        <v>317</v>
      </c>
      <c r="E26" s="38" t="s">
        <v>616</v>
      </c>
      <c r="F26" s="39" t="s">
        <v>615</v>
      </c>
      <c r="G26" s="39">
        <v>14</v>
      </c>
      <c r="H26" s="39"/>
      <c r="I26" s="40" t="s">
        <v>265</v>
      </c>
      <c r="J26" s="41">
        <v>1775</v>
      </c>
      <c r="K26" s="41">
        <v>2.1</v>
      </c>
      <c r="L26" s="41"/>
      <c r="M26" s="42">
        <v>0</v>
      </c>
      <c r="N26" s="42">
        <v>0</v>
      </c>
      <c r="O26" s="43">
        <v>3727.49999999989</v>
      </c>
      <c r="P26" s="44">
        <v>0</v>
      </c>
      <c r="Q26" s="44">
        <v>0</v>
      </c>
      <c r="R26" s="45"/>
      <c r="S26" s="46"/>
      <c r="T26" s="39">
        <f t="shared" si="19"/>
        <v>14</v>
      </c>
      <c r="U26" s="47">
        <f t="shared" si="20"/>
        <v>3.738716148445218</v>
      </c>
      <c r="V26" s="48">
        <f t="shared" si="21"/>
        <v>0</v>
      </c>
      <c r="W26" s="49">
        <f t="shared" si="22"/>
        <v>0.26705115346037273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9.6059277231229743</v>
      </c>
      <c r="AG26" s="44">
        <f t="shared" si="31"/>
        <v>35806.095587940887</v>
      </c>
      <c r="AH26" s="52">
        <f>HLOOKUP(I26,GasAvoidedCostsWOCC!$A$5:$Q$50,T26+1,FALSE)</f>
        <v>9.6059277231229743</v>
      </c>
      <c r="AI26" s="44">
        <f t="shared" si="32"/>
        <v>0</v>
      </c>
      <c r="AJ26" s="44">
        <f t="shared" si="33"/>
        <v>35806.095587940887</v>
      </c>
      <c r="AK26" s="44">
        <f>HLOOKUP(I26,GasAvoidedCostsWOCC!$A$5:$Q$50,G26+1,FALSE)*J26*L26</f>
        <v>0</v>
      </c>
      <c r="AL26" s="44">
        <f t="shared" si="34"/>
        <v>35806.095587940887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35806.095587940894</v>
      </c>
      <c r="AN26" s="48">
        <f t="shared" si="35"/>
        <v>39386.705146734988</v>
      </c>
      <c r="AO26" s="47">
        <f t="shared" si="36"/>
        <v>0</v>
      </c>
      <c r="AP26" s="47" t="e">
        <f t="shared" si="37"/>
        <v>#DIV/0!</v>
      </c>
      <c r="AQ26">
        <v>2020</v>
      </c>
    </row>
    <row r="27" spans="1:43" ht="13.5" customHeight="1">
      <c r="B27" s="97" t="s">
        <v>33</v>
      </c>
      <c r="C27" s="61">
        <v>18230434</v>
      </c>
      <c r="D27" s="61" t="s">
        <v>317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  <c r="AQ27">
        <v>2020</v>
      </c>
    </row>
    <row r="28" spans="1:43" ht="13.5" customHeight="1">
      <c r="B28" s="97" t="s">
        <v>33</v>
      </c>
      <c r="C28" s="61">
        <v>18230434</v>
      </c>
      <c r="D28" s="61" t="s">
        <v>317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  <c r="AQ28">
        <v>2020</v>
      </c>
    </row>
    <row r="29" spans="1:43">
      <c r="B29" s="9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9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9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9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</sheetData>
  <conditionalFormatting sqref="J5:L51">
    <cfRule type="expression" dxfId="119" priority="4">
      <formula>ISTEXT(J5)</formula>
    </cfRule>
    <cfRule type="notContainsBlanks" dxfId="118" priority="5">
      <formula>LEN(TRIM(J5))&gt;0</formula>
    </cfRule>
  </conditionalFormatting>
  <conditionalFormatting sqref="M5:N51 R5:S51">
    <cfRule type="expression" dxfId="117" priority="2">
      <formula>ISTEXT(M5)</formula>
    </cfRule>
  </conditionalFormatting>
  <conditionalFormatting sqref="M5:N51 R5:S51">
    <cfRule type="notContainsBlanks" dxfId="116" priority="3">
      <formula>LEN(TRIM(M5))&gt;0</formula>
    </cfRule>
  </conditionalFormatting>
  <conditionalFormatting sqref="R5:S51">
    <cfRule type="expression" dxfId="1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36"/>
  <sheetViews>
    <sheetView zoomScale="85" zoomScaleNormal="85" workbookViewId="0">
      <selection activeCell="C22" sqref="C2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18230687</v>
      </c>
      <c r="D2" s="20" t="s">
        <v>318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18230687</v>
      </c>
      <c r="D5" s="61" t="s">
        <v>318</v>
      </c>
      <c r="E5" s="38" t="s">
        <v>649</v>
      </c>
      <c r="F5" s="39" t="s">
        <v>650</v>
      </c>
      <c r="G5" s="39">
        <v>12</v>
      </c>
      <c r="H5" s="39"/>
      <c r="I5" s="40" t="s">
        <v>268</v>
      </c>
      <c r="J5" s="41">
        <v>410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1528508.64</v>
      </c>
      <c r="B6" s="97" t="s">
        <v>33</v>
      </c>
      <c r="C6" s="98">
        <v>18230687</v>
      </c>
      <c r="D6" s="61" t="s">
        <v>318</v>
      </c>
      <c r="E6" s="38" t="s">
        <v>651</v>
      </c>
      <c r="F6" s="39" t="s">
        <v>650</v>
      </c>
      <c r="G6" s="39">
        <v>11</v>
      </c>
      <c r="H6" s="39"/>
      <c r="I6" s="40" t="s">
        <v>269</v>
      </c>
      <c r="J6" s="41">
        <v>11</v>
      </c>
      <c r="K6" s="41"/>
      <c r="L6" s="41"/>
      <c r="M6" s="42"/>
      <c r="N6" s="42"/>
      <c r="O6" s="43">
        <v>0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11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>
        <f>HLOOKUP(I6,GasAvoidedCostsWOCC!$A$5:$G$50,G6+1,FALSE)</f>
        <v>8.2477691503723172</v>
      </c>
      <c r="AG6" s="44">
        <f t="shared" si="11"/>
        <v>0</v>
      </c>
      <c r="AH6" s="52">
        <f>HLOOKUP(I6,GasAvoidedCostsWOCC!$A$5:$Q$50,T6+1,FALSE)</f>
        <v>8.2477691503723172</v>
      </c>
      <c r="AI6" s="44">
        <f t="shared" si="12"/>
        <v>0</v>
      </c>
      <c r="AJ6" s="44">
        <f t="shared" ref="AJ6:AJ24" si="13">AG6+AI6</f>
        <v>0</v>
      </c>
      <c r="AK6" s="44">
        <f>HLOOKUP(I6,GasAvoidedCostsWOCC!$A$5:$Q$50,G6+1,FALSE)*J6*L6</f>
        <v>0</v>
      </c>
      <c r="AL6" s="44">
        <f t="shared" ref="AL6:AL24" si="14">AG6+AI6-AK6</f>
        <v>0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18230687</v>
      </c>
      <c r="D7" s="61" t="s">
        <v>318</v>
      </c>
      <c r="E7" s="38" t="s">
        <v>652</v>
      </c>
      <c r="F7" s="39" t="s">
        <v>653</v>
      </c>
      <c r="G7" s="39">
        <v>12</v>
      </c>
      <c r="H7" s="39"/>
      <c r="I7" s="40" t="s">
        <v>269</v>
      </c>
      <c r="J7" s="41">
        <v>459</v>
      </c>
      <c r="K7" s="41">
        <v>36</v>
      </c>
      <c r="L7" s="41"/>
      <c r="M7" s="42">
        <v>75</v>
      </c>
      <c r="N7" s="42">
        <v>145.28</v>
      </c>
      <c r="O7" s="43">
        <v>16524</v>
      </c>
      <c r="P7" s="44">
        <v>34425</v>
      </c>
      <c r="Q7" s="44">
        <v>66683.519999999597</v>
      </c>
      <c r="R7" s="45">
        <v>0</v>
      </c>
      <c r="S7" s="46">
        <v>0</v>
      </c>
      <c r="T7" s="39">
        <f t="shared" si="0"/>
        <v>12</v>
      </c>
      <c r="U7" s="47">
        <f t="shared" si="1"/>
        <v>0.33098674070001172</v>
      </c>
      <c r="V7" s="48">
        <f t="shared" si="2"/>
        <v>70.28</v>
      </c>
      <c r="W7" s="49">
        <f t="shared" si="3"/>
        <v>2.7582228391667643E-2</v>
      </c>
      <c r="X7" s="44">
        <f t="shared" si="4"/>
        <v>12333.170285106497</v>
      </c>
      <c r="Y7" s="44">
        <f t="shared" si="5"/>
        <v>32258.519999999597</v>
      </c>
      <c r="Z7" s="44">
        <f t="shared" si="6"/>
        <v>54492.844692223793</v>
      </c>
      <c r="AA7" s="50">
        <f t="shared" si="7"/>
        <v>79016.690285106088</v>
      </c>
      <c r="AB7" s="51">
        <f t="shared" si="8"/>
        <v>50942.175088551732</v>
      </c>
      <c r="AC7" s="44">
        <f t="shared" si="9"/>
        <v>73868.084776204618</v>
      </c>
      <c r="AD7" s="44">
        <f t="shared" si="10"/>
        <v>0</v>
      </c>
      <c r="AE7" s="44">
        <v>0</v>
      </c>
      <c r="AF7" s="52">
        <f>HLOOKUP(I7,GasAvoidedCostsWOCC!$A$5:$G$50,G7+1,FALSE)</f>
        <v>8.8943080778623855</v>
      </c>
      <c r="AG7" s="44">
        <f t="shared" si="11"/>
        <v>146969.54667859807</v>
      </c>
      <c r="AH7" s="52">
        <f>HLOOKUP(I7,GasAvoidedCostsWOCC!$A$5:$Q$50,T7+1,FALSE)</f>
        <v>8.8943080778623855</v>
      </c>
      <c r="AI7" s="44">
        <f t="shared" si="12"/>
        <v>0</v>
      </c>
      <c r="AJ7" s="44">
        <f t="shared" si="13"/>
        <v>146969.54667859807</v>
      </c>
      <c r="AK7" s="44">
        <f>HLOOKUP(I7,GasAvoidedCostsWOCC!$A$5:$Q$50,G7+1,FALSE)*J7*L7</f>
        <v>0</v>
      </c>
      <c r="AL7" s="44">
        <f t="shared" si="14"/>
        <v>146969.54667859807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146969.54667859807</v>
      </c>
      <c r="AN7" s="48">
        <f t="shared" si="15"/>
        <v>161666.5013464579</v>
      </c>
      <c r="AO7" s="47">
        <f t="shared" si="16"/>
        <v>2.8850269236271111</v>
      </c>
      <c r="AP7" s="47">
        <f t="shared" si="17"/>
        <v>2.188583903809783</v>
      </c>
      <c r="AQ7">
        <v>2021</v>
      </c>
    </row>
    <row r="8" spans="1:43" ht="13.5" customHeight="1">
      <c r="A8" s="53">
        <f>SUMIF('Program Costs'!D:D,C2,'Program Costs'!O:O)</f>
        <v>447141.90999999992</v>
      </c>
      <c r="B8" s="97" t="s">
        <v>33</v>
      </c>
      <c r="C8" s="98">
        <v>18230687</v>
      </c>
      <c r="D8" s="61" t="s">
        <v>318</v>
      </c>
      <c r="E8" s="38" t="s">
        <v>654</v>
      </c>
      <c r="F8" s="39" t="s">
        <v>653</v>
      </c>
      <c r="G8" s="39">
        <v>11</v>
      </c>
      <c r="H8" s="39"/>
      <c r="I8" s="40" t="s">
        <v>269</v>
      </c>
      <c r="J8" s="41">
        <v>25</v>
      </c>
      <c r="K8" s="41">
        <v>33</v>
      </c>
      <c r="L8" s="41"/>
      <c r="M8" s="42">
        <v>75</v>
      </c>
      <c r="N8" s="42">
        <v>151.83000000000001</v>
      </c>
      <c r="O8" s="43">
        <v>825</v>
      </c>
      <c r="P8" s="44">
        <v>1875</v>
      </c>
      <c r="Q8" s="44">
        <v>3795.75</v>
      </c>
      <c r="R8" s="45">
        <v>0</v>
      </c>
      <c r="S8" s="46">
        <v>0</v>
      </c>
      <c r="T8" s="39">
        <f t="shared" si="0"/>
        <v>11</v>
      </c>
      <c r="U8" s="47">
        <f t="shared" si="1"/>
        <v>1.5148191881770991E-2</v>
      </c>
      <c r="V8" s="48">
        <f t="shared" si="2"/>
        <v>76.830000000000013</v>
      </c>
      <c r="W8" s="49">
        <f t="shared" si="3"/>
        <v>1.3771083528882719E-3</v>
      </c>
      <c r="X8" s="44">
        <f t="shared" si="4"/>
        <v>615.76285918741576</v>
      </c>
      <c r="Y8" s="44">
        <f t="shared" si="5"/>
        <v>1920.75</v>
      </c>
      <c r="Z8" s="44">
        <f t="shared" si="6"/>
        <v>2720.6848747933082</v>
      </c>
      <c r="AA8" s="50">
        <f t="shared" si="7"/>
        <v>4411.5128591874154</v>
      </c>
      <c r="AB8" s="51">
        <f t="shared" si="8"/>
        <v>2543.4092500638571</v>
      </c>
      <c r="AC8" s="44">
        <f t="shared" si="9"/>
        <v>4124.0654942389592</v>
      </c>
      <c r="AD8" s="44">
        <f t="shared" si="10"/>
        <v>0</v>
      </c>
      <c r="AE8" s="44">
        <v>0</v>
      </c>
      <c r="AF8" s="52">
        <f>HLOOKUP(I8,GasAvoidedCostsWOCC!$A$5:$G$50,G8+1,FALSE)</f>
        <v>8.2477691503723172</v>
      </c>
      <c r="AG8" s="44">
        <f t="shared" si="11"/>
        <v>6804.4095490571617</v>
      </c>
      <c r="AH8" s="52">
        <f>HLOOKUP(I8,GasAvoidedCostsWOCC!$A$5:$Q$50,T8+1,FALSE)</f>
        <v>8.2477691503723172</v>
      </c>
      <c r="AI8" s="44">
        <f t="shared" si="12"/>
        <v>0</v>
      </c>
      <c r="AJ8" s="44">
        <f t="shared" si="13"/>
        <v>6804.4095490571617</v>
      </c>
      <c r="AK8" s="44">
        <f>HLOOKUP(I8,GasAvoidedCostsWOCC!$A$5:$Q$50,G8+1,FALSE)*J8*L8</f>
        <v>0</v>
      </c>
      <c r="AL8" s="44">
        <f t="shared" si="14"/>
        <v>6804.4095490571617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6804.4095490571617</v>
      </c>
      <c r="AN8" s="48">
        <f t="shared" si="15"/>
        <v>7484.8505039628781</v>
      </c>
      <c r="AO8" s="47">
        <f t="shared" si="16"/>
        <v>2.6753105301029807</v>
      </c>
      <c r="AP8" s="47">
        <f t="shared" si="17"/>
        <v>1.814920377578559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18230687</v>
      </c>
      <c r="D9" s="61" t="s">
        <v>318</v>
      </c>
      <c r="E9" s="38" t="s">
        <v>655</v>
      </c>
      <c r="F9" s="39" t="s">
        <v>656</v>
      </c>
      <c r="G9" s="39"/>
      <c r="H9" s="39"/>
      <c r="I9" s="40"/>
      <c r="J9" s="41">
        <v>33</v>
      </c>
      <c r="K9" s="41"/>
      <c r="L9" s="41"/>
      <c r="M9" s="42">
        <v>47.727272727272727</v>
      </c>
      <c r="N9" s="42">
        <v>0</v>
      </c>
      <c r="O9" s="43">
        <v>0</v>
      </c>
      <c r="P9" s="44">
        <v>1575</v>
      </c>
      <c r="Q9" s="44">
        <v>0</v>
      </c>
      <c r="R9" s="45">
        <v>0</v>
      </c>
      <c r="S9" s="46">
        <v>0</v>
      </c>
      <c r="T9" s="39">
        <f t="shared" si="0"/>
        <v>0</v>
      </c>
      <c r="U9" s="47">
        <f t="shared" si="1"/>
        <v>0</v>
      </c>
      <c r="V9" s="48">
        <f t="shared" si="2"/>
        <v>-47.727272727272727</v>
      </c>
      <c r="W9" s="49">
        <f t="shared" si="3"/>
        <v>0</v>
      </c>
      <c r="X9" s="44">
        <f t="shared" si="4"/>
        <v>0</v>
      </c>
      <c r="Y9" s="44">
        <f t="shared" si="5"/>
        <v>-1575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  <c r="AQ9">
        <v>2021</v>
      </c>
    </row>
    <row r="10" spans="1:43" ht="13.5" customHeight="1">
      <c r="A10" s="54">
        <f>SUM(O5:O999)</f>
        <v>599081.4</v>
      </c>
      <c r="B10" s="97" t="s">
        <v>33</v>
      </c>
      <c r="C10" s="98">
        <v>18230687</v>
      </c>
      <c r="D10" s="61" t="s">
        <v>318</v>
      </c>
      <c r="E10" s="38" t="s">
        <v>657</v>
      </c>
      <c r="F10" s="39" t="s">
        <v>656</v>
      </c>
      <c r="G10" s="39"/>
      <c r="H10" s="39"/>
      <c r="I10" s="40" t="s">
        <v>269</v>
      </c>
      <c r="J10" s="41">
        <v>6</v>
      </c>
      <c r="K10" s="41"/>
      <c r="L10" s="41"/>
      <c r="M10" s="42"/>
      <c r="N10" s="42"/>
      <c r="O10" s="43">
        <v>0</v>
      </c>
      <c r="P10" s="44">
        <v>0</v>
      </c>
      <c r="Q10" s="44">
        <v>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str">
        <f>HLOOKUP(I10,GasAvoidedCostsWOCC!$A$5:$G$50,G10+1,FALSE)</f>
        <v>SF Space Heat</v>
      </c>
      <c r="AG10" s="44" t="e">
        <f t="shared" si="11"/>
        <v>#VALUE!</v>
      </c>
      <c r="AH10" s="52" t="str">
        <f>HLOOKUP(I10,GasAvoidedCostsWOCC!$A$5:$Q$50,T10+1,FALSE)</f>
        <v>SF Space Heat</v>
      </c>
      <c r="AI10" s="44" t="e">
        <f t="shared" si="12"/>
        <v>#VALUE!</v>
      </c>
      <c r="AJ10" s="44" t="e">
        <f t="shared" si="13"/>
        <v>#VALUE!</v>
      </c>
      <c r="AK10" s="44" t="e">
        <f>HLOOKUP(I10,GasAvoidedCostsWOCC!$A$5:$Q$50,G10+1,FALSE)*J10*L10</f>
        <v>#VALUE!</v>
      </c>
      <c r="AL10" s="44" t="e">
        <f t="shared" si="14"/>
        <v>#VALUE!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  <c r="AQ10">
        <v>2021</v>
      </c>
    </row>
    <row r="11" spans="1:43" ht="13.5" customHeight="1">
      <c r="A11" s="36" t="s">
        <v>251</v>
      </c>
      <c r="B11" s="97" t="s">
        <v>33</v>
      </c>
      <c r="C11" s="98">
        <v>18230687</v>
      </c>
      <c r="D11" s="61" t="s">
        <v>318</v>
      </c>
      <c r="E11" s="38" t="s">
        <v>661</v>
      </c>
      <c r="F11" s="39" t="s">
        <v>662</v>
      </c>
      <c r="G11" s="39">
        <v>11</v>
      </c>
      <c r="H11" s="39"/>
      <c r="I11" s="40" t="s">
        <v>269</v>
      </c>
      <c r="J11" s="41">
        <v>1977</v>
      </c>
      <c r="K11" s="41">
        <v>33</v>
      </c>
      <c r="L11" s="41"/>
      <c r="M11" s="42">
        <v>75</v>
      </c>
      <c r="N11" s="42">
        <v>172.38</v>
      </c>
      <c r="O11" s="43">
        <v>65241</v>
      </c>
      <c r="P11" s="44">
        <v>148149.41</v>
      </c>
      <c r="Q11" s="44">
        <v>340795.26000000699</v>
      </c>
      <c r="R11" s="45">
        <v>0</v>
      </c>
      <c r="S11" s="46">
        <v>0</v>
      </c>
      <c r="T11" s="39">
        <f t="shared" si="0"/>
        <v>11</v>
      </c>
      <c r="U11" s="47">
        <f t="shared" si="1"/>
        <v>1.1979190140104499</v>
      </c>
      <c r="V11" s="48">
        <f t="shared" si="2"/>
        <v>97.38</v>
      </c>
      <c r="W11" s="49">
        <f t="shared" si="3"/>
        <v>0.10890172854640454</v>
      </c>
      <c r="X11" s="44">
        <f t="shared" si="4"/>
        <v>48694.526904540842</v>
      </c>
      <c r="Y11" s="44">
        <f t="shared" si="5"/>
        <v>192645.85000000699</v>
      </c>
      <c r="Z11" s="44">
        <f t="shared" si="6"/>
        <v>215151.7598986548</v>
      </c>
      <c r="AA11" s="50">
        <f t="shared" si="7"/>
        <v>389489.78690454783</v>
      </c>
      <c r="AB11" s="51">
        <f t="shared" si="8"/>
        <v>201132.8034950498</v>
      </c>
      <c r="AC11" s="44">
        <f t="shared" si="9"/>
        <v>364111.23390160588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8.2477691503723172</v>
      </c>
      <c r="AG11" s="44">
        <f t="shared" si="11"/>
        <v>538092.70713944035</v>
      </c>
      <c r="AH11" s="52">
        <f>HLOOKUP(I11,GasAvoidedCostsWOCC!$A$5:$Q$50,T11+1,FALSE)</f>
        <v>8.2477691503723172</v>
      </c>
      <c r="AI11" s="44">
        <f t="shared" si="12"/>
        <v>0</v>
      </c>
      <c r="AJ11" s="44">
        <f t="shared" si="13"/>
        <v>538092.70713944035</v>
      </c>
      <c r="AK11" s="44">
        <f>HLOOKUP(I11,GasAvoidedCostsWOCC!$A$5:$Q$50,G11+1,FALSE)*J11*L11</f>
        <v>0</v>
      </c>
      <c r="AL11" s="44">
        <f t="shared" si="14"/>
        <v>538092.70713944035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538092.70713944035</v>
      </c>
      <c r="AN11" s="48">
        <f t="shared" si="15"/>
        <v>591901.97785338445</v>
      </c>
      <c r="AO11" s="47">
        <f t="shared" si="16"/>
        <v>2.6753105301029807</v>
      </c>
      <c r="AP11" s="47">
        <f t="shared" si="17"/>
        <v>1.6256075691785292</v>
      </c>
      <c r="AQ11">
        <v>2021</v>
      </c>
    </row>
    <row r="12" spans="1:43" ht="13.5" customHeight="1">
      <c r="A12" s="55">
        <f>SUM(P5:P1000)</f>
        <v>1353667.0499999991</v>
      </c>
      <c r="B12" s="97" t="s">
        <v>33</v>
      </c>
      <c r="C12" s="98">
        <v>18230687</v>
      </c>
      <c r="D12" s="61" t="s">
        <v>318</v>
      </c>
      <c r="E12" s="38" t="s">
        <v>663</v>
      </c>
      <c r="F12" s="39" t="s">
        <v>662</v>
      </c>
      <c r="G12" s="39">
        <v>11</v>
      </c>
      <c r="H12" s="39"/>
      <c r="I12" s="40" t="s">
        <v>269</v>
      </c>
      <c r="J12" s="41">
        <v>10704</v>
      </c>
      <c r="K12" s="41">
        <v>33</v>
      </c>
      <c r="L12" s="41"/>
      <c r="M12" s="42">
        <v>75</v>
      </c>
      <c r="N12" s="42">
        <v>189</v>
      </c>
      <c r="O12" s="43">
        <v>353232</v>
      </c>
      <c r="P12" s="44">
        <v>801321.97999999905</v>
      </c>
      <c r="Q12" s="44">
        <v>2023056</v>
      </c>
      <c r="R12" s="45">
        <v>0</v>
      </c>
      <c r="S12" s="46">
        <v>0</v>
      </c>
      <c r="T12" s="39">
        <f t="shared" si="0"/>
        <v>11</v>
      </c>
      <c r="U12" s="47">
        <f t="shared" si="1"/>
        <v>6.4858498360990673</v>
      </c>
      <c r="V12" s="48">
        <f t="shared" si="2"/>
        <v>114</v>
      </c>
      <c r="W12" s="49">
        <f t="shared" si="3"/>
        <v>0.58962271237264252</v>
      </c>
      <c r="X12" s="44">
        <f t="shared" si="4"/>
        <v>263645.02578968398</v>
      </c>
      <c r="Y12" s="44">
        <f t="shared" si="5"/>
        <v>1221734.0200000009</v>
      </c>
      <c r="Z12" s="44">
        <f t="shared" si="6"/>
        <v>1164888.4359915028</v>
      </c>
      <c r="AA12" s="50">
        <f t="shared" si="7"/>
        <v>2286701.0257896842</v>
      </c>
      <c r="AB12" s="51">
        <f t="shared" si="8"/>
        <v>1088986.104507341</v>
      </c>
      <c r="AC12" s="44">
        <f t="shared" si="9"/>
        <v>2137703.1184347798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8.2477691503723172</v>
      </c>
      <c r="AG12" s="44">
        <f t="shared" si="11"/>
        <v>2913375.9925243142</v>
      </c>
      <c r="AH12" s="52">
        <f>HLOOKUP(I12,GasAvoidedCostsWOCC!$A$5:$Q$50,T12+1,FALSE)</f>
        <v>8.2477691503723172</v>
      </c>
      <c r="AI12" s="44">
        <f t="shared" si="12"/>
        <v>0</v>
      </c>
      <c r="AJ12" s="44">
        <f t="shared" si="13"/>
        <v>2913375.9925243142</v>
      </c>
      <c r="AK12" s="44">
        <f>HLOOKUP(I12,GasAvoidedCostsWOCC!$A$5:$Q$50,G12+1,FALSE)*J12*L12</f>
        <v>0</v>
      </c>
      <c r="AL12" s="44">
        <f t="shared" si="14"/>
        <v>2913375.9925243142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2913375.9925243147</v>
      </c>
      <c r="AN12" s="48">
        <f t="shared" si="15"/>
        <v>3204713.5917767463</v>
      </c>
      <c r="AO12" s="47">
        <f t="shared" si="16"/>
        <v>2.6753105301029807</v>
      </c>
      <c r="AP12" s="47">
        <f t="shared" si="17"/>
        <v>1.4991387551154571</v>
      </c>
      <c r="AQ12">
        <v>2021</v>
      </c>
    </row>
    <row r="13" spans="1:43" ht="13.5" customHeight="1">
      <c r="A13" s="56" t="s">
        <v>252</v>
      </c>
      <c r="B13" s="97" t="s">
        <v>33</v>
      </c>
      <c r="C13" s="98">
        <v>18230687</v>
      </c>
      <c r="D13" s="61" t="s">
        <v>318</v>
      </c>
      <c r="E13" s="38" t="s">
        <v>664</v>
      </c>
      <c r="F13" s="39" t="s">
        <v>665</v>
      </c>
      <c r="G13" s="39">
        <v>15</v>
      </c>
      <c r="H13" s="39"/>
      <c r="I13" s="40" t="s">
        <v>269</v>
      </c>
      <c r="J13" s="41">
        <v>2540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15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10.768151117636117</v>
      </c>
      <c r="AG13" s="44">
        <f t="shared" si="11"/>
        <v>0</v>
      </c>
      <c r="AH13" s="52">
        <f>HLOOKUP(I13,GasAvoidedCostsWOCC!$A$5:$Q$50,T13+1,FALSE)</f>
        <v>10.768151117636117</v>
      </c>
      <c r="AI13" s="44">
        <f t="shared" si="12"/>
        <v>0</v>
      </c>
      <c r="AJ13" s="44">
        <f t="shared" si="13"/>
        <v>0</v>
      </c>
      <c r="AK13" s="44">
        <f>HLOOKUP(I13,GasAvoidedCostsWOCC!$A$5:$Q$50,G13+1,FALSE)*J13*L13</f>
        <v>0</v>
      </c>
      <c r="AL13" s="44">
        <f t="shared" si="14"/>
        <v>0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  <c r="AQ13">
        <v>2021</v>
      </c>
    </row>
    <row r="14" spans="1:43" ht="13.5" customHeight="1">
      <c r="A14" s="55">
        <f>SUM(Y5:Y1000)</f>
        <v>1880691.1300000115</v>
      </c>
      <c r="B14" s="97" t="s">
        <v>33</v>
      </c>
      <c r="C14" s="100">
        <v>18230687</v>
      </c>
      <c r="D14" s="100" t="s">
        <v>318</v>
      </c>
      <c r="E14" s="38" t="s">
        <v>1910</v>
      </c>
      <c r="F14" s="39" t="s">
        <v>653</v>
      </c>
      <c r="G14" s="39">
        <v>20</v>
      </c>
      <c r="H14" s="39"/>
      <c r="I14" s="40" t="s">
        <v>269</v>
      </c>
      <c r="J14" s="41">
        <v>2</v>
      </c>
      <c r="K14" s="41">
        <v>36</v>
      </c>
      <c r="L14" s="41"/>
      <c r="M14" s="42">
        <v>75</v>
      </c>
      <c r="N14" s="42">
        <v>187.35</v>
      </c>
      <c r="O14" s="43">
        <v>72</v>
      </c>
      <c r="P14" s="44">
        <v>150</v>
      </c>
      <c r="Q14" s="44">
        <v>374.7</v>
      </c>
      <c r="R14" s="45">
        <v>0</v>
      </c>
      <c r="S14" s="46"/>
      <c r="T14" s="39">
        <f t="shared" si="0"/>
        <v>20</v>
      </c>
      <c r="U14" s="47">
        <f t="shared" si="1"/>
        <v>2.4036800341322565E-3</v>
      </c>
      <c r="V14" s="48">
        <f t="shared" si="2"/>
        <v>112.35</v>
      </c>
      <c r="W14" s="49">
        <f t="shared" si="3"/>
        <v>1.2018400170661282E-4</v>
      </c>
      <c r="X14" s="44">
        <f t="shared" si="4"/>
        <v>53.739304074538104</v>
      </c>
      <c r="Y14" s="44">
        <f t="shared" si="5"/>
        <v>224.7</v>
      </c>
      <c r="Z14" s="44">
        <f t="shared" si="6"/>
        <v>237.44158907287053</v>
      </c>
      <c r="AA14" s="50">
        <f t="shared" si="7"/>
        <v>428.43930407453809</v>
      </c>
      <c r="AB14" s="51">
        <f t="shared" si="8"/>
        <v>221.97026182375481</v>
      </c>
      <c r="AC14" s="44">
        <f t="shared" si="9"/>
        <v>400.52286068480697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13.765480191058694</v>
      </c>
      <c r="AG14" s="44">
        <f t="shared" si="11"/>
        <v>991.11457375622604</v>
      </c>
      <c r="AH14" s="52">
        <f>HLOOKUP(I14,GasAvoidedCostsWOCC!$A$5:$Q$50,T14+1,FALSE)</f>
        <v>13.765480191058694</v>
      </c>
      <c r="AI14" s="44">
        <f t="shared" si="12"/>
        <v>0</v>
      </c>
      <c r="AJ14" s="44">
        <f t="shared" si="13"/>
        <v>991.11457375622604</v>
      </c>
      <c r="AK14" s="44">
        <f>HLOOKUP(I14,GasAvoidedCostsWOCC!$A$5:$Q$50,G14+1,FALSE)*J14*L14</f>
        <v>0</v>
      </c>
      <c r="AL14" s="44">
        <f t="shared" si="14"/>
        <v>991.11457375622604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991.11457375622604</v>
      </c>
      <c r="AN14" s="48">
        <f t="shared" si="15"/>
        <v>1090.2260311318487</v>
      </c>
      <c r="AO14" s="47">
        <f t="shared" si="16"/>
        <v>4.4650781848569183</v>
      </c>
      <c r="AP14" s="47">
        <f t="shared" si="17"/>
        <v>2.7220070017172038</v>
      </c>
      <c r="AQ14">
        <v>2020</v>
      </c>
    </row>
    <row r="15" spans="1:43" ht="13.5" customHeight="1">
      <c r="A15" s="57" t="s">
        <v>253</v>
      </c>
      <c r="B15" s="97" t="s">
        <v>33</v>
      </c>
      <c r="C15" s="100">
        <v>18230687</v>
      </c>
      <c r="D15" s="100" t="s">
        <v>318</v>
      </c>
      <c r="E15" s="38" t="s">
        <v>652</v>
      </c>
      <c r="F15" s="39" t="s">
        <v>653</v>
      </c>
      <c r="G15" s="39">
        <v>12</v>
      </c>
      <c r="H15" s="39"/>
      <c r="I15" s="40" t="s">
        <v>269</v>
      </c>
      <c r="J15" s="41">
        <v>2</v>
      </c>
      <c r="K15" s="41">
        <v>36</v>
      </c>
      <c r="L15" s="41"/>
      <c r="M15" s="42">
        <v>75</v>
      </c>
      <c r="N15" s="42">
        <v>145.28</v>
      </c>
      <c r="O15" s="43">
        <v>72</v>
      </c>
      <c r="P15" s="44">
        <v>150</v>
      </c>
      <c r="Q15" s="44">
        <v>290.56</v>
      </c>
      <c r="R15" s="45">
        <v>0</v>
      </c>
      <c r="S15" s="46">
        <v>0</v>
      </c>
      <c r="T15" s="39">
        <f t="shared" si="0"/>
        <v>12</v>
      </c>
      <c r="U15" s="47">
        <f t="shared" si="1"/>
        <v>1.4422080204793538E-3</v>
      </c>
      <c r="V15" s="48">
        <f t="shared" si="2"/>
        <v>70.28</v>
      </c>
      <c r="W15" s="49">
        <f t="shared" si="3"/>
        <v>1.2018400170661282E-4</v>
      </c>
      <c r="X15" s="44">
        <f t="shared" si="4"/>
        <v>53.739304074538104</v>
      </c>
      <c r="Y15" s="44">
        <f t="shared" si="5"/>
        <v>140.56</v>
      </c>
      <c r="Z15" s="44">
        <f t="shared" si="6"/>
        <v>237.44158907287053</v>
      </c>
      <c r="AA15" s="50">
        <f t="shared" si="7"/>
        <v>344.2993040745381</v>
      </c>
      <c r="AB15" s="51">
        <f t="shared" si="8"/>
        <v>221.97026182375481</v>
      </c>
      <c r="AC15" s="44">
        <f t="shared" si="9"/>
        <v>321.86529314250544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8.8943080778623855</v>
      </c>
      <c r="AG15" s="44">
        <f t="shared" si="11"/>
        <v>640.3901816060918</v>
      </c>
      <c r="AH15" s="52">
        <f>HLOOKUP(I15,GasAvoidedCostsWOCC!$A$5:$Q$50,T15+1,FALSE)</f>
        <v>8.8943080778623855</v>
      </c>
      <c r="AI15" s="44">
        <f t="shared" si="12"/>
        <v>0</v>
      </c>
      <c r="AJ15" s="44">
        <f t="shared" si="13"/>
        <v>640.3901816060918</v>
      </c>
      <c r="AK15" s="44">
        <f>HLOOKUP(I15,GasAvoidedCostsWOCC!$A$5:$Q$50,G15+1,FALSE)*J15*L15</f>
        <v>0</v>
      </c>
      <c r="AL15" s="44">
        <f t="shared" si="14"/>
        <v>640.3901816060918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640.3901816060918</v>
      </c>
      <c r="AN15" s="48">
        <f t="shared" si="15"/>
        <v>704.429199766701</v>
      </c>
      <c r="AO15" s="47">
        <f t="shared" si="16"/>
        <v>2.8850269236271116</v>
      </c>
      <c r="AP15" s="47">
        <f t="shared" si="17"/>
        <v>2.1885839038097714</v>
      </c>
      <c r="AQ15">
        <v>2020</v>
      </c>
    </row>
    <row r="16" spans="1:43" ht="13.5" customHeight="1">
      <c r="A16" s="54">
        <f>SUM(U5:U999)</f>
        <v>11.021243523834992</v>
      </c>
      <c r="B16" s="97" t="s">
        <v>33</v>
      </c>
      <c r="C16" s="100">
        <v>18230687</v>
      </c>
      <c r="D16" s="100" t="s">
        <v>318</v>
      </c>
      <c r="E16" s="38" t="s">
        <v>654</v>
      </c>
      <c r="F16" s="39" t="s">
        <v>653</v>
      </c>
      <c r="G16" s="39">
        <v>11</v>
      </c>
      <c r="H16" s="39"/>
      <c r="I16" s="40" t="s">
        <v>269</v>
      </c>
      <c r="J16" s="41">
        <v>1804</v>
      </c>
      <c r="K16" s="41">
        <v>33</v>
      </c>
      <c r="L16" s="41"/>
      <c r="M16" s="42">
        <v>75</v>
      </c>
      <c r="N16" s="42">
        <v>151.83000000000001</v>
      </c>
      <c r="O16" s="43">
        <v>59532</v>
      </c>
      <c r="P16" s="44">
        <v>135161.68</v>
      </c>
      <c r="Q16" s="44">
        <v>273901.31999999197</v>
      </c>
      <c r="R16" s="45">
        <v>0</v>
      </c>
      <c r="S16" s="46">
        <v>0</v>
      </c>
      <c r="T16" s="39">
        <f t="shared" si="0"/>
        <v>11</v>
      </c>
      <c r="U16" s="47">
        <f t="shared" si="1"/>
        <v>1.0930935261885946</v>
      </c>
      <c r="V16" s="48">
        <f t="shared" si="2"/>
        <v>76.830000000000013</v>
      </c>
      <c r="W16" s="49">
        <f t="shared" si="3"/>
        <v>9.9372138744417693E-2</v>
      </c>
      <c r="X16" s="44">
        <f t="shared" si="4"/>
        <v>44433.447918963924</v>
      </c>
      <c r="Y16" s="44">
        <f t="shared" si="5"/>
        <v>138739.63999999198</v>
      </c>
      <c r="Z16" s="44">
        <f t="shared" si="6"/>
        <v>196324.62056508509</v>
      </c>
      <c r="AA16" s="50">
        <f t="shared" si="7"/>
        <v>318334.76791895588</v>
      </c>
      <c r="AB16" s="51">
        <f t="shared" si="8"/>
        <v>183532.4114846079</v>
      </c>
      <c r="AC16" s="44">
        <f t="shared" si="9"/>
        <v>297592.5660642758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8.2477691503723172</v>
      </c>
      <c r="AG16" s="44">
        <f t="shared" si="11"/>
        <v>491006.1930599648</v>
      </c>
      <c r="AH16" s="52">
        <f>HLOOKUP(I16,GasAvoidedCostsWOCC!$A$5:$Q$50,T16+1,FALSE)</f>
        <v>8.2477691503723172</v>
      </c>
      <c r="AI16" s="44">
        <f t="shared" si="12"/>
        <v>0</v>
      </c>
      <c r="AJ16" s="44">
        <f t="shared" si="13"/>
        <v>491006.1930599648</v>
      </c>
      <c r="AK16" s="44">
        <f>HLOOKUP(I16,GasAvoidedCostsWOCC!$A$5:$Q$50,G16+1,FALSE)*J16*L16</f>
        <v>0</v>
      </c>
      <c r="AL16" s="44">
        <f t="shared" si="14"/>
        <v>491006.1930599648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491006.1930599648</v>
      </c>
      <c r="AN16" s="48">
        <f t="shared" si="15"/>
        <v>540106.81236596138</v>
      </c>
      <c r="AO16" s="47">
        <f t="shared" si="16"/>
        <v>2.6753105301029811</v>
      </c>
      <c r="AP16" s="47">
        <f t="shared" si="17"/>
        <v>1.8149203775786049</v>
      </c>
      <c r="AQ16">
        <v>2020</v>
      </c>
    </row>
    <row r="17" spans="1:43" ht="13.5" customHeight="1">
      <c r="A17" s="58" t="s">
        <v>254</v>
      </c>
      <c r="B17" s="97" t="s">
        <v>33</v>
      </c>
      <c r="C17" s="100">
        <v>18230687</v>
      </c>
      <c r="D17" s="100" t="s">
        <v>318</v>
      </c>
      <c r="E17" s="38" t="s">
        <v>1873</v>
      </c>
      <c r="F17" s="39" t="s">
        <v>1874</v>
      </c>
      <c r="G17" s="39">
        <v>10</v>
      </c>
      <c r="H17" s="39"/>
      <c r="I17" s="40" t="s">
        <v>265</v>
      </c>
      <c r="J17" s="41">
        <v>1484</v>
      </c>
      <c r="K17" s="41">
        <v>0.6</v>
      </c>
      <c r="L17" s="41"/>
      <c r="M17" s="42">
        <v>0.54</v>
      </c>
      <c r="N17" s="42">
        <v>0.54</v>
      </c>
      <c r="O17" s="43">
        <v>890.400000000011</v>
      </c>
      <c r="P17" s="44">
        <v>222.60000000000301</v>
      </c>
      <c r="Q17" s="44">
        <v>801.36000000000899</v>
      </c>
      <c r="R17" s="45"/>
      <c r="S17" s="46">
        <v>0</v>
      </c>
      <c r="T17" s="39">
        <f t="shared" si="0"/>
        <v>10</v>
      </c>
      <c r="U17" s="47">
        <f t="shared" si="1"/>
        <v>1.486275487771797E-2</v>
      </c>
      <c r="V17" s="48">
        <f t="shared" si="2"/>
        <v>0</v>
      </c>
      <c r="W17" s="49">
        <f t="shared" si="3"/>
        <v>1.4862754877717969E-3</v>
      </c>
      <c r="X17" s="44">
        <f t="shared" si="4"/>
        <v>664.57606038846279</v>
      </c>
      <c r="Y17" s="44">
        <f t="shared" si="5"/>
        <v>578.76000000000602</v>
      </c>
      <c r="Z17" s="44">
        <f t="shared" si="6"/>
        <v>2936.3609848678684</v>
      </c>
      <c r="AA17" s="50">
        <f t="shared" si="7"/>
        <v>1465.9360603884718</v>
      </c>
      <c r="AB17" s="51">
        <f t="shared" si="8"/>
        <v>2745.0322378871347</v>
      </c>
      <c r="AC17" s="44">
        <f t="shared" si="9"/>
        <v>1370.4179306239803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7.1400454873872068</v>
      </c>
      <c r="AG17" s="44">
        <f t="shared" si="11"/>
        <v>6357.4965019695692</v>
      </c>
      <c r="AH17" s="52">
        <f>HLOOKUP(I17,GasAvoidedCostsWOCC!$A$5:$Q$50,T17+1,FALSE)</f>
        <v>7.1400454873872068</v>
      </c>
      <c r="AI17" s="44">
        <f t="shared" si="12"/>
        <v>0</v>
      </c>
      <c r="AJ17" s="44">
        <f t="shared" si="13"/>
        <v>6357.4965019695692</v>
      </c>
      <c r="AK17" s="44">
        <f>HLOOKUP(I17,GasAvoidedCostsWOCC!$A$5:$Q$50,G17+1,FALSE)*J17*L17</f>
        <v>0</v>
      </c>
      <c r="AL17" s="44">
        <f t="shared" si="14"/>
        <v>6357.4965019695692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6357.4965019695683</v>
      </c>
      <c r="AN17" s="48">
        <f t="shared" si="15"/>
        <v>6993.2461521665255</v>
      </c>
      <c r="AO17" s="47">
        <f t="shared" si="16"/>
        <v>2.3160006699458533</v>
      </c>
      <c r="AP17" s="47">
        <f t="shared" si="17"/>
        <v>5.1030025190799657</v>
      </c>
      <c r="AQ17">
        <v>2020</v>
      </c>
    </row>
    <row r="18" spans="1:43" ht="13.5" customHeight="1">
      <c r="A18" s="59">
        <f>A6+A8</f>
        <v>1975650.5499999998</v>
      </c>
      <c r="B18" s="97" t="s">
        <v>33</v>
      </c>
      <c r="C18" s="100">
        <v>18230687</v>
      </c>
      <c r="D18" s="100" t="s">
        <v>318</v>
      </c>
      <c r="E18" s="38" t="s">
        <v>1877</v>
      </c>
      <c r="F18" s="39" t="s">
        <v>1878</v>
      </c>
      <c r="G18" s="39">
        <v>10</v>
      </c>
      <c r="H18" s="39"/>
      <c r="I18" s="40" t="s">
        <v>265</v>
      </c>
      <c r="J18" s="41">
        <v>930</v>
      </c>
      <c r="K18" s="41">
        <v>0.8</v>
      </c>
      <c r="L18" s="41"/>
      <c r="M18" s="42">
        <v>1.81</v>
      </c>
      <c r="N18" s="42">
        <v>1.81</v>
      </c>
      <c r="O18" s="43">
        <v>744.00000000000603</v>
      </c>
      <c r="P18" s="44">
        <v>930</v>
      </c>
      <c r="Q18" s="44">
        <v>1683.2999999999799</v>
      </c>
      <c r="R18" s="45">
        <v>2.74</v>
      </c>
      <c r="S18" s="46">
        <v>0</v>
      </c>
      <c r="T18" s="39">
        <f t="shared" si="0"/>
        <v>10</v>
      </c>
      <c r="U18" s="47">
        <f t="shared" si="1"/>
        <v>1.2419013509683427E-2</v>
      </c>
      <c r="V18" s="48">
        <f t="shared" si="2"/>
        <v>0</v>
      </c>
      <c r="W18" s="49">
        <f t="shared" si="3"/>
        <v>1.2419013509683426E-3</v>
      </c>
      <c r="X18" s="44">
        <f t="shared" si="4"/>
        <v>555.30614210356498</v>
      </c>
      <c r="Y18" s="44">
        <f t="shared" si="5"/>
        <v>753.29999999997995</v>
      </c>
      <c r="Z18" s="44">
        <f t="shared" si="6"/>
        <v>2453.5630870863488</v>
      </c>
      <c r="AA18" s="50">
        <f t="shared" si="7"/>
        <v>2238.6061421035447</v>
      </c>
      <c r="AB18" s="51">
        <f t="shared" si="8"/>
        <v>2293.6927055121514</v>
      </c>
      <c r="AC18" s="44">
        <f t="shared" si="9"/>
        <v>2092.7420230938997</v>
      </c>
      <c r="AD18" s="44">
        <f t="shared" si="10"/>
        <v>17922.336191097296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5312.1938426160823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5312.1938426160823</v>
      </c>
      <c r="AK18" s="44">
        <f>HLOOKUP(I18,GasAvoidedCostsWOCC!$A$5:$Q$50,G18+1,FALSE)*J18*L18</f>
        <v>0</v>
      </c>
      <c r="AL18" s="44">
        <f t="shared" si="14"/>
        <v>5312.1938426160823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5312.1938426160823</v>
      </c>
      <c r="AN18" s="48">
        <f t="shared" si="15"/>
        <v>23765.749417974988</v>
      </c>
      <c r="AO18" s="47">
        <f t="shared" si="16"/>
        <v>2.3160006699458631</v>
      </c>
      <c r="AP18" s="47">
        <f t="shared" si="17"/>
        <v>11.356272849550667</v>
      </c>
      <c r="AQ18">
        <v>2020</v>
      </c>
    </row>
    <row r="19" spans="1:43" ht="13.5" customHeight="1">
      <c r="A19" s="58" t="s">
        <v>231</v>
      </c>
      <c r="B19" s="97" t="s">
        <v>33</v>
      </c>
      <c r="C19" s="100">
        <v>18230687</v>
      </c>
      <c r="D19" s="100" t="s">
        <v>318</v>
      </c>
      <c r="E19" s="38" t="s">
        <v>1879</v>
      </c>
      <c r="F19" s="39" t="s">
        <v>1880</v>
      </c>
      <c r="G19" s="39">
        <v>10</v>
      </c>
      <c r="H19" s="39"/>
      <c r="I19" s="40" t="s">
        <v>265</v>
      </c>
      <c r="J19" s="41">
        <v>465</v>
      </c>
      <c r="K19" s="41">
        <v>1.3</v>
      </c>
      <c r="L19" s="41"/>
      <c r="M19" s="42">
        <v>1.81</v>
      </c>
      <c r="N19" s="42">
        <v>1.81</v>
      </c>
      <c r="O19" s="43">
        <v>604.5</v>
      </c>
      <c r="P19" s="44">
        <v>930</v>
      </c>
      <c r="Q19" s="44">
        <v>841.649999999991</v>
      </c>
      <c r="R19" s="45">
        <v>3.8</v>
      </c>
      <c r="S19" s="46">
        <v>0</v>
      </c>
      <c r="T19" s="39">
        <f t="shared" si="0"/>
        <v>10</v>
      </c>
      <c r="U19" s="47">
        <f t="shared" si="1"/>
        <v>1.0090448476617702E-2</v>
      </c>
      <c r="V19" s="48">
        <f t="shared" si="2"/>
        <v>0</v>
      </c>
      <c r="W19" s="49">
        <f t="shared" si="3"/>
        <v>1.0090448476617702E-3</v>
      </c>
      <c r="X19" s="44">
        <f t="shared" si="4"/>
        <v>451.18624045914288</v>
      </c>
      <c r="Y19" s="44">
        <f t="shared" si="5"/>
        <v>-88.350000000009004</v>
      </c>
      <c r="Z19" s="44">
        <f t="shared" si="6"/>
        <v>1993.5200082576423</v>
      </c>
      <c r="AA19" s="50">
        <f t="shared" si="7"/>
        <v>1292.8362404591339</v>
      </c>
      <c r="AB19" s="51">
        <f t="shared" si="8"/>
        <v>1863.6253232286081</v>
      </c>
      <c r="AC19" s="44">
        <f t="shared" si="9"/>
        <v>1208.5970276331063</v>
      </c>
      <c r="AD19" s="44">
        <f t="shared" si="10"/>
        <v>12427.897358790095</v>
      </c>
      <c r="AE19" s="44">
        <f t="shared" si="18"/>
        <v>0</v>
      </c>
      <c r="AF19" s="52">
        <f>HLOOKUP(I19,GasAvoidedCostsWOCC!$A$5:$G$50,G19+1,FALSE)</f>
        <v>7.1400454873872068</v>
      </c>
      <c r="AG19" s="44">
        <f t="shared" si="11"/>
        <v>4316.1574971255668</v>
      </c>
      <c r="AH19" s="52">
        <f>HLOOKUP(I19,GasAvoidedCostsWOCC!$A$5:$Q$50,T19+1,FALSE)</f>
        <v>7.1400454873872068</v>
      </c>
      <c r="AI19" s="44">
        <f t="shared" si="12"/>
        <v>0</v>
      </c>
      <c r="AJ19" s="44">
        <f t="shared" si="13"/>
        <v>4316.1574971255668</v>
      </c>
      <c r="AK19" s="44">
        <f>HLOOKUP(I19,GasAvoidedCostsWOCC!$A$5:$Q$50,G19+1,FALSE)*J19*L19</f>
        <v>0</v>
      </c>
      <c r="AL19" s="44">
        <f t="shared" si="14"/>
        <v>4316.1574971255668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4316.1574971255668</v>
      </c>
      <c r="AN19" s="48">
        <f t="shared" si="15"/>
        <v>17175.67060562822</v>
      </c>
      <c r="AO19" s="47">
        <f t="shared" si="16"/>
        <v>2.3160006699458817</v>
      </c>
      <c r="AP19" s="47">
        <f t="shared" si="17"/>
        <v>14.211246770368723</v>
      </c>
      <c r="AQ19">
        <v>2020</v>
      </c>
    </row>
    <row r="20" spans="1:43" ht="13.5" customHeight="1">
      <c r="A20" s="59">
        <f>A8+SUM(Q5:Q906)</f>
        <v>3681500.0900000101</v>
      </c>
      <c r="B20" s="97" t="s">
        <v>33</v>
      </c>
      <c r="C20" s="100">
        <v>18230687</v>
      </c>
      <c r="D20" s="100" t="s">
        <v>318</v>
      </c>
      <c r="E20" s="38" t="s">
        <v>1881</v>
      </c>
      <c r="F20" s="39" t="s">
        <v>1882</v>
      </c>
      <c r="G20" s="39">
        <v>10</v>
      </c>
      <c r="H20" s="39"/>
      <c r="I20" s="40" t="s">
        <v>265</v>
      </c>
      <c r="J20" s="41">
        <v>465</v>
      </c>
      <c r="K20" s="41">
        <v>4.9000000000000004</v>
      </c>
      <c r="L20" s="41"/>
      <c r="M20" s="42">
        <v>10</v>
      </c>
      <c r="N20" s="42">
        <v>10</v>
      </c>
      <c r="O20" s="43">
        <v>2278.50000000002</v>
      </c>
      <c r="P20" s="44">
        <v>3943.2000000000098</v>
      </c>
      <c r="Q20" s="44">
        <v>4650</v>
      </c>
      <c r="R20" s="45">
        <v>14.31</v>
      </c>
      <c r="S20" s="46">
        <v>0</v>
      </c>
      <c r="T20" s="39">
        <f t="shared" si="0"/>
        <v>10</v>
      </c>
      <c r="U20" s="47">
        <f t="shared" si="1"/>
        <v>3.8033228873405517E-2</v>
      </c>
      <c r="V20" s="48">
        <f t="shared" si="2"/>
        <v>0</v>
      </c>
      <c r="W20" s="49">
        <f t="shared" si="3"/>
        <v>3.8033228873405518E-3</v>
      </c>
      <c r="X20" s="44">
        <f t="shared" si="4"/>
        <v>1700.6250601921688</v>
      </c>
      <c r="Y20" s="44">
        <f t="shared" si="5"/>
        <v>706.79999999999018</v>
      </c>
      <c r="Z20" s="44">
        <f t="shared" si="6"/>
        <v>7514.0369542019489</v>
      </c>
      <c r="AA20" s="50">
        <f t="shared" si="7"/>
        <v>6350.6250601921693</v>
      </c>
      <c r="AB20" s="51">
        <f t="shared" si="8"/>
        <v>7024.4339106309699</v>
      </c>
      <c r="AC20" s="44">
        <f t="shared" si="9"/>
        <v>5936.8281389101321</v>
      </c>
      <c r="AD20" s="44">
        <f t="shared" si="10"/>
        <v>46800.845053759542</v>
      </c>
      <c r="AE20" s="44">
        <f t="shared" si="18"/>
        <v>0</v>
      </c>
      <c r="AF20" s="52">
        <f>HLOOKUP(I20,GasAvoidedCostsWOCC!$A$5:$G$50,G20+1,FALSE)</f>
        <v>7.1400454873872068</v>
      </c>
      <c r="AG20" s="44">
        <f t="shared" si="11"/>
        <v>16268.593643011753</v>
      </c>
      <c r="AH20" s="52">
        <f>HLOOKUP(I20,GasAvoidedCostsWOCC!$A$5:$Q$50,T20+1,FALSE)</f>
        <v>7.1400454873872068</v>
      </c>
      <c r="AI20" s="44">
        <f t="shared" si="12"/>
        <v>0</v>
      </c>
      <c r="AJ20" s="44">
        <f t="shared" si="13"/>
        <v>16268.593643011753</v>
      </c>
      <c r="AK20" s="44">
        <f>HLOOKUP(I20,GasAvoidedCostsWOCC!$A$5:$Q$50,G20+1,FALSE)*J20*L20</f>
        <v>0</v>
      </c>
      <c r="AL20" s="44">
        <f t="shared" si="14"/>
        <v>16268.593643011753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16268.593643011753</v>
      </c>
      <c r="AN20" s="48">
        <f t="shared" si="15"/>
        <v>64696.29806107247</v>
      </c>
      <c r="AO20" s="47">
        <f t="shared" si="16"/>
        <v>2.3160006699458613</v>
      </c>
      <c r="AP20" s="47">
        <f t="shared" si="17"/>
        <v>10.897451727977636</v>
      </c>
      <c r="AQ20">
        <v>2020</v>
      </c>
    </row>
    <row r="21" spans="1:43" ht="13.5" customHeight="1">
      <c r="A21" s="58" t="s">
        <v>245</v>
      </c>
      <c r="B21" s="97" t="s">
        <v>33</v>
      </c>
      <c r="C21" s="100">
        <v>18230687</v>
      </c>
      <c r="D21" s="100" t="s">
        <v>318</v>
      </c>
      <c r="E21" s="38" t="s">
        <v>661</v>
      </c>
      <c r="F21" s="39" t="s">
        <v>662</v>
      </c>
      <c r="G21" s="39">
        <v>11</v>
      </c>
      <c r="H21" s="39"/>
      <c r="I21" s="40" t="s">
        <v>269</v>
      </c>
      <c r="J21" s="41">
        <v>3002</v>
      </c>
      <c r="K21" s="41">
        <v>33</v>
      </c>
      <c r="L21" s="41"/>
      <c r="M21" s="42">
        <v>75</v>
      </c>
      <c r="N21" s="42">
        <v>172.38</v>
      </c>
      <c r="O21" s="43">
        <v>99066</v>
      </c>
      <c r="P21" s="44">
        <v>224833.18</v>
      </c>
      <c r="Q21" s="44">
        <v>517484.760000012</v>
      </c>
      <c r="R21" s="45">
        <v>0</v>
      </c>
      <c r="S21" s="46">
        <v>0</v>
      </c>
      <c r="T21" s="39">
        <f t="shared" si="0"/>
        <v>11</v>
      </c>
      <c r="U21" s="47">
        <f t="shared" si="1"/>
        <v>1.8189948811630607</v>
      </c>
      <c r="V21" s="48">
        <f t="shared" si="2"/>
        <v>97.38</v>
      </c>
      <c r="W21" s="49">
        <f t="shared" si="3"/>
        <v>0.1653631710148237</v>
      </c>
      <c r="X21" s="44">
        <f t="shared" si="4"/>
        <v>73940.804131224897</v>
      </c>
      <c r="Y21" s="44">
        <f t="shared" si="5"/>
        <v>292651.58000001201</v>
      </c>
      <c r="Z21" s="44">
        <f t="shared" si="6"/>
        <v>326699.83976518048</v>
      </c>
      <c r="AA21" s="50">
        <f t="shared" si="7"/>
        <v>591425.56413123687</v>
      </c>
      <c r="AB21" s="51">
        <f t="shared" si="8"/>
        <v>305412.58274766797</v>
      </c>
      <c r="AC21" s="44">
        <f t="shared" si="9"/>
        <v>552889.18774538359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8.2477691503723172</v>
      </c>
      <c r="AG21" s="44">
        <f t="shared" si="11"/>
        <v>817073.49865078391</v>
      </c>
      <c r="AH21" s="52">
        <f>HLOOKUP(I21,GasAvoidedCostsWOCC!$A$5:$Q$50,T21+1,FALSE)</f>
        <v>8.2477691503723172</v>
      </c>
      <c r="AI21" s="44">
        <f t="shared" si="12"/>
        <v>0</v>
      </c>
      <c r="AJ21" s="44">
        <f t="shared" si="13"/>
        <v>817073.49865078391</v>
      </c>
      <c r="AK21" s="44">
        <f>HLOOKUP(I21,GasAvoidedCostsWOCC!$A$5:$Q$50,G21+1,FALSE)*J21*L21</f>
        <v>0</v>
      </c>
      <c r="AL21" s="44">
        <f t="shared" si="14"/>
        <v>817073.49865078391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817073.49865078402</v>
      </c>
      <c r="AN21" s="48">
        <f t="shared" si="15"/>
        <v>898780.84851586248</v>
      </c>
      <c r="AO21" s="47">
        <f t="shared" si="16"/>
        <v>2.6753105301029807</v>
      </c>
      <c r="AP21" s="47">
        <f t="shared" si="17"/>
        <v>1.6256075691785257</v>
      </c>
      <c r="AQ21">
        <v>2020</v>
      </c>
    </row>
    <row r="22" spans="1:43" ht="13.5" customHeight="1">
      <c r="A22" s="60">
        <f>(SUM(AM5:AM1000)/(SUM(AB5:AB1000)))</f>
        <v>2.6786258895446107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3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3" ht="13.5" customHeight="1">
      <c r="A24" s="60">
        <f>(SUM(AN5:AN1000)/SUM(AC5:AC1000))</f>
        <v>1.6036289413475631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3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36" si="19">G25+H25</f>
        <v>0</v>
      </c>
      <c r="U25" s="47">
        <f t="shared" ref="U25:U36" si="20">(O25/$A$10)*T25</f>
        <v>0</v>
      </c>
      <c r="V25" s="48">
        <f t="shared" ref="V25:V36" si="21">N25-M25</f>
        <v>0</v>
      </c>
      <c r="W25" s="49">
        <f t="shared" ref="W25:W36" si="22">(O25/A$10)</f>
        <v>0</v>
      </c>
      <c r="X25" s="44">
        <f t="shared" ref="X25:X36" si="23">W25*A$8</f>
        <v>0</v>
      </c>
      <c r="Y25" s="44">
        <f t="shared" ref="Y25:Y36" si="24">Q25-P25</f>
        <v>0</v>
      </c>
      <c r="Z25" s="44">
        <f t="shared" ref="Z25:Z36" si="25">X25+(A$6*W25)</f>
        <v>0</v>
      </c>
      <c r="AA25" s="50">
        <f t="shared" ref="AA25:AA36" si="26">Q25+X25</f>
        <v>0</v>
      </c>
      <c r="AB25" s="51">
        <f t="shared" ref="AB25:AB36" si="27">Z25/(1+GasDiscountRate)^1</f>
        <v>0</v>
      </c>
      <c r="AC25" s="44">
        <f t="shared" ref="AC25:AC36" si="28">AA25/(1+GasDiscountRate)^1</f>
        <v>0</v>
      </c>
      <c r="AD25" s="44">
        <f t="shared" ref="AD25:AD36" si="29">-PV(GasDiscountRate,T25,R25)*J25</f>
        <v>0</v>
      </c>
      <c r="AE25" s="44">
        <f t="shared" ref="AE25:AE36" si="30">-PV(GasDiscountRate,T25,S25)*J25</f>
        <v>0</v>
      </c>
      <c r="AF25" s="52" t="e">
        <f>HLOOKUP(I25,GasAvoidedCostsWOCC!$A$5:$G$50,G25+1,FALSE)</f>
        <v>#N/A</v>
      </c>
      <c r="AG25" s="44" t="e">
        <f t="shared" ref="AG25:AG36" si="31">AF25*J25*K25</f>
        <v>#N/A</v>
      </c>
      <c r="AH25" s="52" t="e">
        <f>HLOOKUP(I25,GasAvoidedCostsWOCC!$A$5:$Q$50,T25+1,FALSE)</f>
        <v>#N/A</v>
      </c>
      <c r="AI25" s="44" t="e">
        <f t="shared" ref="AI25:AI36" si="32">AH25*J25*L25</f>
        <v>#N/A</v>
      </c>
      <c r="AJ25" s="44" t="e">
        <f t="shared" ref="AJ25:AJ36" si="33">AG25+AI25</f>
        <v>#N/A</v>
      </c>
      <c r="AK25" s="44" t="e">
        <f>HLOOKUP(I25,GasAvoidedCostsWOCC!$A$5:$Q$50,G25+1,FALSE)*J25*L25</f>
        <v>#N/A</v>
      </c>
      <c r="AL25" s="44" t="e">
        <f t="shared" ref="AL25:AL36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36" si="35">AM25*1.1+AD25+AE25</f>
        <v>0</v>
      </c>
      <c r="AO25" s="47">
        <f t="shared" ref="AO25:AO36" si="36">IFERROR(AM25/AB25,0)</f>
        <v>0</v>
      </c>
      <c r="AP25" s="47" t="e">
        <f t="shared" ref="AP25:AP36" si="37">AN25/AC25</f>
        <v>#DIV/0!</v>
      </c>
    </row>
    <row r="26" spans="1:43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3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</sheetData>
  <conditionalFormatting sqref="J5:L36">
    <cfRule type="expression" dxfId="114" priority="4">
      <formula>ISTEXT(J5)</formula>
    </cfRule>
    <cfRule type="notContainsBlanks" dxfId="113" priority="5">
      <formula>LEN(TRIM(J5))&gt;0</formula>
    </cfRule>
  </conditionalFormatting>
  <conditionalFormatting sqref="M5:N36 R5:S36">
    <cfRule type="expression" dxfId="112" priority="2">
      <formula>ISTEXT(M5)</formula>
    </cfRule>
  </conditionalFormatting>
  <conditionalFormatting sqref="M5:N36 R5:S36">
    <cfRule type="notContainsBlanks" dxfId="111" priority="3">
      <formula>LEN(TRIM(M5))&gt;0</formula>
    </cfRule>
  </conditionalFormatting>
  <conditionalFormatting sqref="R5:S36">
    <cfRule type="expression" dxfId="1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61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18230700</v>
      </c>
      <c r="D2" s="20" t="s">
        <v>118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18230700</v>
      </c>
      <c r="D5" s="61" t="s">
        <v>118</v>
      </c>
      <c r="E5" s="38" t="s">
        <v>666</v>
      </c>
      <c r="F5" s="39" t="s">
        <v>667</v>
      </c>
      <c r="G5" s="39">
        <v>3</v>
      </c>
      <c r="H5" s="39">
        <v>7</v>
      </c>
      <c r="I5" s="40" t="s">
        <v>265</v>
      </c>
      <c r="J5" s="41">
        <v>1</v>
      </c>
      <c r="K5" s="41">
        <v>2.9</v>
      </c>
      <c r="L5" s="41">
        <v>2.9</v>
      </c>
      <c r="M5" s="42">
        <v>3</v>
      </c>
      <c r="N5" s="42">
        <v>1.58</v>
      </c>
      <c r="O5" s="43">
        <v>2.9</v>
      </c>
      <c r="P5" s="44">
        <v>3</v>
      </c>
      <c r="Q5" s="44">
        <v>1.58</v>
      </c>
      <c r="R5" s="45">
        <v>8.8800000000000008</v>
      </c>
      <c r="S5" s="46">
        <v>0</v>
      </c>
      <c r="T5" s="39">
        <f t="shared" ref="T5:T24" si="0">G5+H5</f>
        <v>10</v>
      </c>
      <c r="U5" s="47">
        <f t="shared" ref="U5:U24" si="1">(O5/$A$10)*T5</f>
        <v>9.1130117152479209E-4</v>
      </c>
      <c r="V5" s="48">
        <f t="shared" ref="V5:V24" si="2">N5-M5</f>
        <v>-1.42</v>
      </c>
      <c r="W5" s="49">
        <f t="shared" ref="W5:W24" si="3">(O5/A$10)</f>
        <v>9.1130117152479209E-5</v>
      </c>
      <c r="X5" s="44">
        <f t="shared" ref="X5:X24" si="4">W5*A$8</f>
        <v>11.048528829955284</v>
      </c>
      <c r="Y5" s="44">
        <f t="shared" ref="Y5:Y24" si="5">Q5-P5</f>
        <v>-1.42</v>
      </c>
      <c r="Z5" s="44">
        <f t="shared" ref="Z5:Z24" si="6">X5+(A$6*W5)</f>
        <v>16.872004859434934</v>
      </c>
      <c r="AA5" s="50">
        <f t="shared" ref="AA5:AA24" si="7">Q5+X5</f>
        <v>12.628528829955284</v>
      </c>
      <c r="AB5" s="51">
        <f t="shared" ref="AB5:AB24" si="8">Z5/(1+GasDiscountRate)^1</f>
        <v>15.772651079213736</v>
      </c>
      <c r="AC5" s="44">
        <f t="shared" ref="AC5:AC24" si="9">AA5/(1+GasDiscountRate)^1</f>
        <v>11.805673394367844</v>
      </c>
      <c r="AD5" s="44">
        <f t="shared" ref="AD5:AD24" si="10">-PV(GasDiscountRate,T5,R5)*J5</f>
        <v>62.455986726687065</v>
      </c>
      <c r="AE5" s="44">
        <v>0</v>
      </c>
      <c r="AF5" s="52">
        <f>HLOOKUP(I5,GasAvoidedCostsWOCC!$A$5:$G$50,G5+1,FALSE)</f>
        <v>2.3114255322367177</v>
      </c>
      <c r="AG5" s="44">
        <f t="shared" ref="AG5:AG24" si="11">AF5*J5*K5</f>
        <v>6.7031340434864806</v>
      </c>
      <c r="AH5" s="52">
        <f>HLOOKUP(I5,GasAvoidedCostsWOCC!$A$5:$Q$50,T5+1,FALSE)</f>
        <v>7.1400454873872068</v>
      </c>
      <c r="AI5" s="44">
        <f t="shared" ref="AI5:AI24" si="12">AH5*J5*L5</f>
        <v>20.706131913422897</v>
      </c>
      <c r="AJ5" s="44">
        <f>AG5+AI5</f>
        <v>27.40926595690938</v>
      </c>
      <c r="AK5" s="44">
        <f>HLOOKUP(I5,GasAvoidedCostsWOCC!$A$5:$Q$50,G5+1,FALSE)*J5*L5</f>
        <v>6.7031340434864806</v>
      </c>
      <c r="AL5" s="44">
        <f>AG5+AI5-AK5</f>
        <v>20.706131913422901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20.706131913422901</v>
      </c>
      <c r="AN5" s="48">
        <f>AM5*1.1+AD5+AE5</f>
        <v>85.232731831452256</v>
      </c>
      <c r="AO5" s="47">
        <f>IFERROR(AM5/AB5,0)</f>
        <v>1.3127870393779799</v>
      </c>
      <c r="AP5" s="47">
        <f>AN5/AC5</f>
        <v>7.2196416912663706</v>
      </c>
      <c r="AQ5">
        <v>2021</v>
      </c>
    </row>
    <row r="6" spans="1:43" ht="13.5" customHeight="1">
      <c r="A6" s="53">
        <f>SUMIF('Program Costs'!D:D,C2,'Program Costs'!L:L)</f>
        <v>63902.87</v>
      </c>
      <c r="B6" s="97" t="s">
        <v>33</v>
      </c>
      <c r="C6" s="98">
        <v>18230700</v>
      </c>
      <c r="D6" s="61" t="s">
        <v>118</v>
      </c>
      <c r="E6" s="38" t="s">
        <v>668</v>
      </c>
      <c r="F6" s="39" t="s">
        <v>669</v>
      </c>
      <c r="G6" s="39">
        <v>3</v>
      </c>
      <c r="H6" s="39">
        <v>7</v>
      </c>
      <c r="I6" s="40" t="s">
        <v>265</v>
      </c>
      <c r="J6" s="41">
        <v>557</v>
      </c>
      <c r="K6" s="41">
        <v>2.1</v>
      </c>
      <c r="L6" s="41">
        <v>2.1</v>
      </c>
      <c r="M6" s="42">
        <v>3</v>
      </c>
      <c r="N6" s="42">
        <v>1.58</v>
      </c>
      <c r="O6" s="43">
        <v>1169.7</v>
      </c>
      <c r="P6" s="44">
        <v>1671</v>
      </c>
      <c r="Q6" s="44">
        <v>880.06</v>
      </c>
      <c r="R6" s="45">
        <v>5.34</v>
      </c>
      <c r="S6" s="46">
        <v>0</v>
      </c>
      <c r="T6" s="39">
        <f t="shared" si="0"/>
        <v>10</v>
      </c>
      <c r="U6" s="47">
        <f t="shared" si="1"/>
        <v>0.36756861390777562</v>
      </c>
      <c r="V6" s="48">
        <f t="shared" si="2"/>
        <v>-1.42</v>
      </c>
      <c r="W6" s="49">
        <f t="shared" si="3"/>
        <v>3.6756861390777565E-2</v>
      </c>
      <c r="X6" s="44">
        <f t="shared" si="4"/>
        <v>4456.3669559995506</v>
      </c>
      <c r="Y6" s="44">
        <f t="shared" si="5"/>
        <v>-790.94</v>
      </c>
      <c r="Z6" s="44">
        <f t="shared" si="6"/>
        <v>6805.235891062428</v>
      </c>
      <c r="AA6" s="50">
        <f t="shared" si="7"/>
        <v>5336.42695599955</v>
      </c>
      <c r="AB6" s="51">
        <f t="shared" si="8"/>
        <v>6361.8172301228642</v>
      </c>
      <c r="AC6" s="44">
        <f t="shared" si="9"/>
        <v>4988.7136169015139</v>
      </c>
      <c r="AD6" s="44">
        <f t="shared" si="10"/>
        <v>20919.801554067959</v>
      </c>
      <c r="AE6" s="44">
        <v>0</v>
      </c>
      <c r="AF6" s="52">
        <f>HLOOKUP(I6,GasAvoidedCostsWOCC!$A$5:$G$50,G6+1,FALSE)</f>
        <v>2.3114255322367177</v>
      </c>
      <c r="AG6" s="44">
        <f t="shared" si="11"/>
        <v>2703.6744450572887</v>
      </c>
      <c r="AH6" s="52">
        <f>HLOOKUP(I6,GasAvoidedCostsWOCC!$A$5:$Q$50,T6+1,FALSE)</f>
        <v>7.1400454873872068</v>
      </c>
      <c r="AI6" s="44">
        <f t="shared" si="12"/>
        <v>8351.7112065968158</v>
      </c>
      <c r="AJ6" s="44">
        <f t="shared" ref="AJ6:AJ24" si="13">AG6+AI6</f>
        <v>11055.385651654105</v>
      </c>
      <c r="AK6" s="44">
        <f>HLOOKUP(I6,GasAvoidedCostsWOCC!$A$5:$Q$50,G6+1,FALSE)*J6*L6</f>
        <v>2703.6744450572887</v>
      </c>
      <c r="AL6" s="44">
        <f t="shared" ref="AL6:AL24" si="14">AG6+AI6-AK6</f>
        <v>8351.7112065968176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8351.7112065968158</v>
      </c>
      <c r="AN6" s="48">
        <f t="shared" ref="AN6:AN24" si="15">AM6*1.1+AD6+AE6</f>
        <v>30106.683881324458</v>
      </c>
      <c r="AO6" s="47">
        <f t="shared" ref="AO6:AO24" si="16">IFERROR(AM6/AB6,0)</f>
        <v>1.3127870393779799</v>
      </c>
      <c r="AP6" s="47">
        <f t="shared" ref="AP6:AP24" si="17">AN6/AC6</f>
        <v>6.0349593489039961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18230700</v>
      </c>
      <c r="D7" s="61" t="s">
        <v>118</v>
      </c>
      <c r="E7" s="38" t="s">
        <v>670</v>
      </c>
      <c r="F7" s="39" t="s">
        <v>671</v>
      </c>
      <c r="G7" s="39">
        <v>3</v>
      </c>
      <c r="H7" s="39">
        <v>7</v>
      </c>
      <c r="I7" s="40" t="s">
        <v>265</v>
      </c>
      <c r="J7" s="41">
        <v>68</v>
      </c>
      <c r="K7" s="41">
        <v>1.5</v>
      </c>
      <c r="L7" s="41">
        <v>1.5</v>
      </c>
      <c r="M7" s="42">
        <v>1.5</v>
      </c>
      <c r="N7" s="42">
        <v>1.58</v>
      </c>
      <c r="O7" s="43">
        <v>102</v>
      </c>
      <c r="P7" s="44">
        <v>102</v>
      </c>
      <c r="Q7" s="44">
        <v>107.44</v>
      </c>
      <c r="R7" s="45">
        <v>2.5099999999999998</v>
      </c>
      <c r="S7" s="46">
        <v>0</v>
      </c>
      <c r="T7" s="39">
        <f t="shared" si="0"/>
        <v>10</v>
      </c>
      <c r="U7" s="47">
        <f t="shared" si="1"/>
        <v>3.205266189500993E-2</v>
      </c>
      <c r="V7" s="48">
        <f t="shared" si="2"/>
        <v>8.0000000000000071E-2</v>
      </c>
      <c r="W7" s="49">
        <f t="shared" si="3"/>
        <v>3.205266189500993E-3</v>
      </c>
      <c r="X7" s="44">
        <f t="shared" si="4"/>
        <v>388.60342781222033</v>
      </c>
      <c r="Y7" s="44">
        <f t="shared" si="5"/>
        <v>5.4399999999999977</v>
      </c>
      <c r="Z7" s="44">
        <f t="shared" si="6"/>
        <v>593.42913643529766</v>
      </c>
      <c r="AA7" s="50">
        <f t="shared" si="7"/>
        <v>496.04342781222033</v>
      </c>
      <c r="AB7" s="51">
        <f t="shared" si="8"/>
        <v>554.76221037234518</v>
      </c>
      <c r="AC7" s="44">
        <f t="shared" si="9"/>
        <v>463.72200412472682</v>
      </c>
      <c r="AD7" s="44">
        <f t="shared" si="10"/>
        <v>1200.4490782106923</v>
      </c>
      <c r="AE7" s="44">
        <v>0</v>
      </c>
      <c r="AF7" s="52">
        <f>HLOOKUP(I7,GasAvoidedCostsWOCC!$A$5:$G$50,G7+1,FALSE)</f>
        <v>2.3114255322367177</v>
      </c>
      <c r="AG7" s="44">
        <f t="shared" si="11"/>
        <v>235.76540428814519</v>
      </c>
      <c r="AH7" s="52">
        <f>HLOOKUP(I7,GasAvoidedCostsWOCC!$A$5:$Q$50,T7+1,FALSE)</f>
        <v>7.1400454873872068</v>
      </c>
      <c r="AI7" s="44">
        <f t="shared" si="12"/>
        <v>728.28463971349515</v>
      </c>
      <c r="AJ7" s="44">
        <f t="shared" si="13"/>
        <v>964.05004400164034</v>
      </c>
      <c r="AK7" s="44">
        <f>HLOOKUP(I7,GasAvoidedCostsWOCC!$A$5:$Q$50,G7+1,FALSE)*J7*L7</f>
        <v>235.76540428814519</v>
      </c>
      <c r="AL7" s="44">
        <f t="shared" si="14"/>
        <v>728.28463971349515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728.28463971349515</v>
      </c>
      <c r="AN7" s="48">
        <f t="shared" si="15"/>
        <v>2001.5621818955369</v>
      </c>
      <c r="AO7" s="47">
        <f t="shared" si="16"/>
        <v>1.3127870393779801</v>
      </c>
      <c r="AP7" s="47">
        <f t="shared" si="17"/>
        <v>4.3162976181677566</v>
      </c>
      <c r="AQ7">
        <v>2021</v>
      </c>
    </row>
    <row r="8" spans="1:43" ht="13.5" customHeight="1">
      <c r="A8" s="53">
        <f>SUMIF('Program Costs'!D:D,C2,'Program Costs'!O:O)</f>
        <v>121239.04999999999</v>
      </c>
      <c r="B8" s="97" t="s">
        <v>33</v>
      </c>
      <c r="C8" s="98">
        <v>18230700</v>
      </c>
      <c r="D8" s="61" t="s">
        <v>118</v>
      </c>
      <c r="E8" s="38" t="s">
        <v>672</v>
      </c>
      <c r="F8" s="39" t="s">
        <v>673</v>
      </c>
      <c r="G8" s="39">
        <v>3</v>
      </c>
      <c r="H8" s="39">
        <v>7</v>
      </c>
      <c r="I8" s="40" t="s">
        <v>265</v>
      </c>
      <c r="J8" s="41">
        <v>5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>
        <v>8.8800000000000008</v>
      </c>
      <c r="S8" s="46">
        <v>0</v>
      </c>
      <c r="T8" s="39">
        <f t="shared" si="0"/>
        <v>10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312.27993363343535</v>
      </c>
      <c r="AE8" s="44">
        <v>0</v>
      </c>
      <c r="AF8" s="52">
        <f>HLOOKUP(I8,GasAvoidedCostsWOCC!$A$5:$G$50,G8+1,FALSE)</f>
        <v>2.3114255322367177</v>
      </c>
      <c r="AG8" s="44">
        <f t="shared" si="11"/>
        <v>0</v>
      </c>
      <c r="AH8" s="52">
        <f>HLOOKUP(I8,GasAvoidedCostsWOCC!$A$5:$Q$50,T8+1,FALSE)</f>
        <v>7.1400454873872068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312.27993363343535</v>
      </c>
      <c r="AO8" s="47">
        <f t="shared" si="16"/>
        <v>0</v>
      </c>
      <c r="AP8" s="47" t="e">
        <f t="shared" si="17"/>
        <v>#DIV/0!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18230700</v>
      </c>
      <c r="D9" s="61" t="s">
        <v>118</v>
      </c>
      <c r="E9" s="38" t="s">
        <v>674</v>
      </c>
      <c r="F9" s="39" t="s">
        <v>675</v>
      </c>
      <c r="G9" s="39">
        <v>3</v>
      </c>
      <c r="H9" s="39">
        <v>7</v>
      </c>
      <c r="I9" s="40" t="s">
        <v>265</v>
      </c>
      <c r="J9" s="41">
        <v>175</v>
      </c>
      <c r="K9" s="41"/>
      <c r="L9" s="41"/>
      <c r="M9" s="42"/>
      <c r="N9" s="42"/>
      <c r="O9" s="43">
        <v>0</v>
      </c>
      <c r="P9" s="44">
        <v>0</v>
      </c>
      <c r="Q9" s="44">
        <v>0</v>
      </c>
      <c r="R9" s="45">
        <v>5.34</v>
      </c>
      <c r="S9" s="46">
        <v>0</v>
      </c>
      <c r="T9" s="39">
        <f t="shared" si="0"/>
        <v>10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6572.648603163183</v>
      </c>
      <c r="AE9" s="44">
        <f t="shared" ref="AE9:AE24" si="18">-PV(GasDiscountRate,T9,S9)*J9</f>
        <v>0</v>
      </c>
      <c r="AF9" s="52">
        <f>HLOOKUP(I9,GasAvoidedCostsWOCC!$A$5:$G$50,G9+1,FALSE)</f>
        <v>2.3114255322367177</v>
      </c>
      <c r="AG9" s="44">
        <f t="shared" si="11"/>
        <v>0</v>
      </c>
      <c r="AH9" s="52">
        <f>HLOOKUP(I9,GasAvoidedCostsWOCC!$A$5:$Q$50,T9+1,FALSE)</f>
        <v>7.1400454873872068</v>
      </c>
      <c r="AI9" s="44">
        <f t="shared" si="12"/>
        <v>0</v>
      </c>
      <c r="AJ9" s="44">
        <f t="shared" si="13"/>
        <v>0</v>
      </c>
      <c r="AK9" s="44">
        <f>HLOOKUP(I9,GasAvoidedCostsWOCC!$A$5:$Q$50,G9+1,FALSE)*J9*L9</f>
        <v>0</v>
      </c>
      <c r="AL9" s="44">
        <f t="shared" si="14"/>
        <v>0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6572.648603163183</v>
      </c>
      <c r="AO9" s="47">
        <f t="shared" si="16"/>
        <v>0</v>
      </c>
      <c r="AP9" s="47" t="e">
        <f t="shared" si="17"/>
        <v>#DIV/0!</v>
      </c>
      <c r="AQ9">
        <v>2021</v>
      </c>
    </row>
    <row r="10" spans="1:43" ht="13.5" customHeight="1">
      <c r="A10" s="54">
        <f>SUM(O5:O999)</f>
        <v>31822.630000000005</v>
      </c>
      <c r="B10" s="97" t="s">
        <v>33</v>
      </c>
      <c r="C10" s="98">
        <v>18230700</v>
      </c>
      <c r="D10" s="61" t="s">
        <v>118</v>
      </c>
      <c r="E10" s="38" t="s">
        <v>676</v>
      </c>
      <c r="F10" s="39" t="s">
        <v>677</v>
      </c>
      <c r="G10" s="39">
        <v>3</v>
      </c>
      <c r="H10" s="39">
        <v>7</v>
      </c>
      <c r="I10" s="40" t="s">
        <v>265</v>
      </c>
      <c r="J10" s="41">
        <v>32</v>
      </c>
      <c r="K10" s="41"/>
      <c r="L10" s="41"/>
      <c r="M10" s="42"/>
      <c r="N10" s="42"/>
      <c r="O10" s="43">
        <v>0</v>
      </c>
      <c r="P10" s="44">
        <v>0</v>
      </c>
      <c r="Q10" s="44">
        <v>0</v>
      </c>
      <c r="R10" s="45">
        <v>2.5099999999999998</v>
      </c>
      <c r="S10" s="46">
        <v>0</v>
      </c>
      <c r="T10" s="39">
        <f t="shared" si="0"/>
        <v>10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564.91721327561993</v>
      </c>
      <c r="AE10" s="44">
        <f t="shared" si="18"/>
        <v>0</v>
      </c>
      <c r="AF10" s="52">
        <f>HLOOKUP(I10,GasAvoidedCostsWOCC!$A$5:$G$50,G10+1,FALSE)</f>
        <v>2.3114255322367177</v>
      </c>
      <c r="AG10" s="44">
        <f t="shared" si="11"/>
        <v>0</v>
      </c>
      <c r="AH10" s="52">
        <f>HLOOKUP(I10,GasAvoidedCostsWOCC!$A$5:$Q$50,T10+1,FALSE)</f>
        <v>7.1400454873872068</v>
      </c>
      <c r="AI10" s="44">
        <f t="shared" si="12"/>
        <v>0</v>
      </c>
      <c r="AJ10" s="44">
        <f t="shared" si="13"/>
        <v>0</v>
      </c>
      <c r="AK10" s="44">
        <f>HLOOKUP(I10,GasAvoidedCostsWOCC!$A$5:$Q$50,G10+1,FALSE)*J10*L10</f>
        <v>0</v>
      </c>
      <c r="AL10" s="44">
        <f t="shared" si="14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564.91721327561993</v>
      </c>
      <c r="AO10" s="47">
        <f t="shared" si="16"/>
        <v>0</v>
      </c>
      <c r="AP10" s="47" t="e">
        <f t="shared" si="17"/>
        <v>#DIV/0!</v>
      </c>
      <c r="AQ10">
        <v>2021</v>
      </c>
    </row>
    <row r="11" spans="1:43" ht="13.5" customHeight="1">
      <c r="A11" s="36" t="s">
        <v>251</v>
      </c>
      <c r="B11" s="97" t="s">
        <v>33</v>
      </c>
      <c r="C11" s="98">
        <v>18230700</v>
      </c>
      <c r="D11" s="61" t="s">
        <v>118</v>
      </c>
      <c r="E11" s="38" t="s">
        <v>678</v>
      </c>
      <c r="F11" s="39" t="s">
        <v>679</v>
      </c>
      <c r="G11" s="39">
        <v>10</v>
      </c>
      <c r="H11" s="39"/>
      <c r="I11" s="40" t="s">
        <v>265</v>
      </c>
      <c r="J11" s="41">
        <v>32</v>
      </c>
      <c r="K11" s="41">
        <v>0.4</v>
      </c>
      <c r="L11" s="41"/>
      <c r="M11" s="42">
        <v>1.5</v>
      </c>
      <c r="N11" s="42">
        <v>5.14</v>
      </c>
      <c r="O11" s="43">
        <v>12.8</v>
      </c>
      <c r="P11" s="44">
        <v>48</v>
      </c>
      <c r="Q11" s="44">
        <v>164.48</v>
      </c>
      <c r="R11" s="45">
        <v>3.16</v>
      </c>
      <c r="S11" s="46">
        <v>0</v>
      </c>
      <c r="T11" s="39">
        <f t="shared" si="0"/>
        <v>10</v>
      </c>
      <c r="U11" s="47">
        <f t="shared" si="1"/>
        <v>4.0222948260404618E-3</v>
      </c>
      <c r="V11" s="48">
        <f t="shared" si="2"/>
        <v>3.6399999999999997</v>
      </c>
      <c r="W11" s="49">
        <f t="shared" si="3"/>
        <v>4.0222948260404618E-4</v>
      </c>
      <c r="X11" s="44">
        <f t="shared" si="4"/>
        <v>48.765920352906079</v>
      </c>
      <c r="Y11" s="44">
        <f t="shared" si="5"/>
        <v>116.47999999999999</v>
      </c>
      <c r="Z11" s="44">
        <f t="shared" si="6"/>
        <v>74.469538689919702</v>
      </c>
      <c r="AA11" s="50">
        <f t="shared" si="7"/>
        <v>213.24592035290607</v>
      </c>
      <c r="AB11" s="51">
        <f t="shared" si="8"/>
        <v>69.617218556529579</v>
      </c>
      <c r="AC11" s="44">
        <f t="shared" si="9"/>
        <v>199.35114551080306</v>
      </c>
      <c r="AD11" s="44">
        <f t="shared" si="10"/>
        <v>711.21051551831033</v>
      </c>
      <c r="AE11" s="44">
        <f t="shared" si="18"/>
        <v>0</v>
      </c>
      <c r="AF11" s="52">
        <f>HLOOKUP(I11,GasAvoidedCostsWOCC!$A$5:$G$50,G11+1,FALSE)</f>
        <v>7.1400454873872068</v>
      </c>
      <c r="AG11" s="44">
        <f t="shared" si="11"/>
        <v>91.392582238556258</v>
      </c>
      <c r="AH11" s="52">
        <f>HLOOKUP(I11,GasAvoidedCostsWOCC!$A$5:$Q$50,T11+1,FALSE)</f>
        <v>7.1400454873872068</v>
      </c>
      <c r="AI11" s="44">
        <f t="shared" si="12"/>
        <v>0</v>
      </c>
      <c r="AJ11" s="44">
        <f t="shared" si="13"/>
        <v>91.392582238556258</v>
      </c>
      <c r="AK11" s="44">
        <f>HLOOKUP(I11,GasAvoidedCostsWOCC!$A$5:$Q$50,G11+1,FALSE)*J11*L11</f>
        <v>0</v>
      </c>
      <c r="AL11" s="44">
        <f t="shared" si="14"/>
        <v>91.392582238556258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91.392582238556258</v>
      </c>
      <c r="AN11" s="48">
        <f t="shared" si="15"/>
        <v>811.74235598072221</v>
      </c>
      <c r="AO11" s="47">
        <f t="shared" si="16"/>
        <v>1.3127870393779804</v>
      </c>
      <c r="AP11" s="47">
        <f t="shared" si="17"/>
        <v>4.0719222049152108</v>
      </c>
      <c r="AQ11">
        <v>2021</v>
      </c>
    </row>
    <row r="12" spans="1:43" ht="13.5" customHeight="1">
      <c r="A12" s="55">
        <f>SUM(P5:P1000)</f>
        <v>46461.399999999994</v>
      </c>
      <c r="B12" s="97" t="s">
        <v>33</v>
      </c>
      <c r="C12" s="98">
        <v>18230700</v>
      </c>
      <c r="D12" s="61" t="s">
        <v>118</v>
      </c>
      <c r="E12" s="38" t="s">
        <v>680</v>
      </c>
      <c r="F12" s="39" t="s">
        <v>681</v>
      </c>
      <c r="G12" s="39">
        <v>10</v>
      </c>
      <c r="H12" s="39"/>
      <c r="I12" s="40" t="s">
        <v>265</v>
      </c>
      <c r="J12" s="41">
        <v>9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>
        <v>3.16</v>
      </c>
      <c r="S12" s="46">
        <v>0</v>
      </c>
      <c r="T12" s="39">
        <f t="shared" si="0"/>
        <v>10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200.02795748952479</v>
      </c>
      <c r="AE12" s="44">
        <f t="shared" si="18"/>
        <v>0</v>
      </c>
      <c r="AF12" s="52">
        <f>HLOOKUP(I12,GasAvoidedCostsWOCC!$A$5:$G$50,G12+1,FALSE)</f>
        <v>7.1400454873872068</v>
      </c>
      <c r="AG12" s="44">
        <f t="shared" si="11"/>
        <v>0</v>
      </c>
      <c r="AH12" s="52">
        <f>HLOOKUP(I12,GasAvoidedCostsWOCC!$A$5:$Q$50,T12+1,FALSE)</f>
        <v>7.1400454873872068</v>
      </c>
      <c r="AI12" s="44">
        <f t="shared" si="12"/>
        <v>0</v>
      </c>
      <c r="AJ12" s="44">
        <f t="shared" si="13"/>
        <v>0</v>
      </c>
      <c r="AK12" s="44">
        <f>HLOOKUP(I12,GasAvoidedCostsWOCC!$A$5:$Q$50,G12+1,FALSE)*J12*L12</f>
        <v>0</v>
      </c>
      <c r="AL12" s="44">
        <f t="shared" si="14"/>
        <v>0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200.02795748952479</v>
      </c>
      <c r="AO12" s="47">
        <f t="shared" si="16"/>
        <v>0</v>
      </c>
      <c r="AP12" s="47" t="e">
        <f t="shared" si="17"/>
        <v>#DIV/0!</v>
      </c>
      <c r="AQ12">
        <v>2021</v>
      </c>
    </row>
    <row r="13" spans="1:43" ht="13.5" customHeight="1">
      <c r="A13" s="56" t="s">
        <v>252</v>
      </c>
      <c r="B13" s="97" t="s">
        <v>33</v>
      </c>
      <c r="C13" s="98">
        <v>18230700</v>
      </c>
      <c r="D13" s="61" t="s">
        <v>118</v>
      </c>
      <c r="E13" s="38" t="s">
        <v>682</v>
      </c>
      <c r="F13" s="39" t="s">
        <v>683</v>
      </c>
      <c r="G13" s="39">
        <v>10</v>
      </c>
      <c r="H13" s="39"/>
      <c r="I13" s="40" t="s">
        <v>265</v>
      </c>
      <c r="J13" s="41">
        <v>2</v>
      </c>
      <c r="K13" s="41">
        <v>9</v>
      </c>
      <c r="L13" s="41"/>
      <c r="M13" s="42">
        <v>5</v>
      </c>
      <c r="N13" s="42">
        <v>20.04</v>
      </c>
      <c r="O13" s="43">
        <v>18</v>
      </c>
      <c r="P13" s="44">
        <v>60</v>
      </c>
      <c r="Q13" s="44">
        <v>40.08</v>
      </c>
      <c r="R13" s="45">
        <v>19.27</v>
      </c>
      <c r="S13" s="46">
        <v>0</v>
      </c>
      <c r="T13" s="39">
        <f t="shared" si="0"/>
        <v>10</v>
      </c>
      <c r="U13" s="47">
        <f t="shared" si="1"/>
        <v>5.6563520991193992E-3</v>
      </c>
      <c r="V13" s="48">
        <f t="shared" si="2"/>
        <v>15.04</v>
      </c>
      <c r="W13" s="49">
        <f t="shared" si="3"/>
        <v>5.6563520991193992E-4</v>
      </c>
      <c r="X13" s="44">
        <f t="shared" si="4"/>
        <v>68.577075496274176</v>
      </c>
      <c r="Y13" s="44">
        <f t="shared" si="5"/>
        <v>-19.920000000000002</v>
      </c>
      <c r="Z13" s="44">
        <f t="shared" si="6"/>
        <v>104.72278878269958</v>
      </c>
      <c r="AA13" s="50">
        <f t="shared" si="7"/>
        <v>108.65707549627417</v>
      </c>
      <c r="AB13" s="51">
        <f t="shared" si="8"/>
        <v>97.899213595119733</v>
      </c>
      <c r="AC13" s="44">
        <f t="shared" si="9"/>
        <v>101.57714826238588</v>
      </c>
      <c r="AD13" s="44">
        <f t="shared" si="10"/>
        <v>271.06460905929276</v>
      </c>
      <c r="AE13" s="44">
        <f t="shared" si="18"/>
        <v>0</v>
      </c>
      <c r="AF13" s="52">
        <f>HLOOKUP(I13,GasAvoidedCostsWOCC!$A$5:$G$50,G13+1,FALSE)</f>
        <v>7.1400454873872068</v>
      </c>
      <c r="AG13" s="44">
        <f t="shared" si="11"/>
        <v>128.52081877296973</v>
      </c>
      <c r="AH13" s="52">
        <f>HLOOKUP(I13,GasAvoidedCostsWOCC!$A$5:$Q$50,T13+1,FALSE)</f>
        <v>7.1400454873872068</v>
      </c>
      <c r="AI13" s="44">
        <f t="shared" si="12"/>
        <v>0</v>
      </c>
      <c r="AJ13" s="44">
        <f t="shared" si="13"/>
        <v>128.52081877296973</v>
      </c>
      <c r="AK13" s="44">
        <f>HLOOKUP(I13,GasAvoidedCostsWOCC!$A$5:$Q$50,G13+1,FALSE)*J13*L13</f>
        <v>0</v>
      </c>
      <c r="AL13" s="44">
        <f t="shared" si="14"/>
        <v>128.52081877296973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128.52081877296973</v>
      </c>
      <c r="AN13" s="48">
        <f t="shared" si="15"/>
        <v>412.43750970955949</v>
      </c>
      <c r="AO13" s="47">
        <f t="shared" si="16"/>
        <v>1.3127870393779801</v>
      </c>
      <c r="AP13" s="47">
        <f t="shared" si="17"/>
        <v>4.0603375539169919</v>
      </c>
      <c r="AQ13">
        <v>2021</v>
      </c>
    </row>
    <row r="14" spans="1:43" ht="13.5" customHeight="1">
      <c r="A14" s="55">
        <f>SUM(Y5:Y1000)</f>
        <v>-14946.339999999971</v>
      </c>
      <c r="B14" s="97" t="s">
        <v>33</v>
      </c>
      <c r="C14" s="98">
        <v>18230700</v>
      </c>
      <c r="D14" s="61" t="s">
        <v>118</v>
      </c>
      <c r="E14" s="38" t="s">
        <v>684</v>
      </c>
      <c r="F14" s="39" t="s">
        <v>685</v>
      </c>
      <c r="G14" s="39">
        <v>10</v>
      </c>
      <c r="H14" s="39"/>
      <c r="I14" s="40" t="s">
        <v>265</v>
      </c>
      <c r="J14" s="41">
        <v>178</v>
      </c>
      <c r="K14" s="41">
        <v>2.1</v>
      </c>
      <c r="L14" s="41"/>
      <c r="M14" s="42">
        <v>7</v>
      </c>
      <c r="N14" s="42">
        <v>6.01</v>
      </c>
      <c r="O14" s="43">
        <v>373.8</v>
      </c>
      <c r="P14" s="44">
        <v>1335</v>
      </c>
      <c r="Q14" s="44">
        <v>1069.78</v>
      </c>
      <c r="R14" s="45">
        <v>19.27</v>
      </c>
      <c r="S14" s="46">
        <v>0</v>
      </c>
      <c r="T14" s="39">
        <f t="shared" si="0"/>
        <v>10</v>
      </c>
      <c r="U14" s="47">
        <f t="shared" si="1"/>
        <v>0.11746357859171287</v>
      </c>
      <c r="V14" s="48">
        <f t="shared" si="2"/>
        <v>-0.99000000000000021</v>
      </c>
      <c r="W14" s="49">
        <f t="shared" si="3"/>
        <v>1.1746357859171287E-2</v>
      </c>
      <c r="X14" s="44">
        <f t="shared" si="4"/>
        <v>1424.1172678059604</v>
      </c>
      <c r="Y14" s="44">
        <f t="shared" si="5"/>
        <v>-265.22000000000003</v>
      </c>
      <c r="Z14" s="44">
        <f t="shared" si="6"/>
        <v>2174.7432470540616</v>
      </c>
      <c r="AA14" s="50">
        <f t="shared" si="7"/>
        <v>2493.8972678059604</v>
      </c>
      <c r="AB14" s="51">
        <f t="shared" si="8"/>
        <v>2033.0403356586532</v>
      </c>
      <c r="AC14" s="44">
        <f t="shared" si="9"/>
        <v>2331.3987733064973</v>
      </c>
      <c r="AD14" s="44">
        <f t="shared" si="10"/>
        <v>24124.750206277055</v>
      </c>
      <c r="AE14" s="44">
        <f t="shared" si="18"/>
        <v>0</v>
      </c>
      <c r="AF14" s="52">
        <f>HLOOKUP(I14,GasAvoidedCostsWOCC!$A$5:$G$50,G14+1,FALSE)</f>
        <v>7.1400454873872068</v>
      </c>
      <c r="AG14" s="44">
        <f t="shared" si="11"/>
        <v>2668.9490031853379</v>
      </c>
      <c r="AH14" s="52">
        <f>HLOOKUP(I14,GasAvoidedCostsWOCC!$A$5:$Q$50,T14+1,FALSE)</f>
        <v>7.1400454873872068</v>
      </c>
      <c r="AI14" s="44">
        <f t="shared" si="12"/>
        <v>0</v>
      </c>
      <c r="AJ14" s="44">
        <f t="shared" si="13"/>
        <v>2668.9490031853379</v>
      </c>
      <c r="AK14" s="44">
        <f>HLOOKUP(I14,GasAvoidedCostsWOCC!$A$5:$Q$50,G14+1,FALSE)*J14*L14</f>
        <v>0</v>
      </c>
      <c r="AL14" s="44">
        <f t="shared" si="14"/>
        <v>2668.9490031853379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2668.9490031853379</v>
      </c>
      <c r="AN14" s="48">
        <f t="shared" si="15"/>
        <v>27060.594109780926</v>
      </c>
      <c r="AO14" s="47">
        <f t="shared" si="16"/>
        <v>1.3127870393779799</v>
      </c>
      <c r="AP14" s="47">
        <f t="shared" si="17"/>
        <v>11.607020823555784</v>
      </c>
      <c r="AQ14">
        <v>2021</v>
      </c>
    </row>
    <row r="15" spans="1:43" ht="13.5" customHeight="1">
      <c r="A15" s="57" t="s">
        <v>253</v>
      </c>
      <c r="B15" s="97" t="s">
        <v>33</v>
      </c>
      <c r="C15" s="98">
        <v>18230700</v>
      </c>
      <c r="D15" s="61" t="s">
        <v>118</v>
      </c>
      <c r="E15" s="38" t="s">
        <v>686</v>
      </c>
      <c r="F15" s="39" t="s">
        <v>687</v>
      </c>
      <c r="G15" s="39">
        <v>10</v>
      </c>
      <c r="H15" s="39"/>
      <c r="I15" s="40" t="s">
        <v>265</v>
      </c>
      <c r="J15" s="41">
        <v>59</v>
      </c>
      <c r="K15" s="41"/>
      <c r="L15" s="41"/>
      <c r="M15" s="42"/>
      <c r="N15" s="42"/>
      <c r="O15" s="43">
        <v>0</v>
      </c>
      <c r="P15" s="44">
        <v>0</v>
      </c>
      <c r="Q15" s="44">
        <v>0</v>
      </c>
      <c r="R15" s="45">
        <v>19.27</v>
      </c>
      <c r="S15" s="46">
        <v>0</v>
      </c>
      <c r="T15" s="39">
        <f t="shared" si="0"/>
        <v>10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7996.4059672491367</v>
      </c>
      <c r="AE15" s="44">
        <f t="shared" si="18"/>
        <v>0</v>
      </c>
      <c r="AF15" s="52">
        <f>HLOOKUP(I15,GasAvoidedCostsWOCC!$A$5:$G$50,G15+1,FALSE)</f>
        <v>7.1400454873872068</v>
      </c>
      <c r="AG15" s="44">
        <f t="shared" si="11"/>
        <v>0</v>
      </c>
      <c r="AH15" s="52">
        <f>HLOOKUP(I15,GasAvoidedCostsWOCC!$A$5:$Q$50,T15+1,FALSE)</f>
        <v>7.1400454873872068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7996.4059672491367</v>
      </c>
      <c r="AO15" s="47">
        <f t="shared" si="16"/>
        <v>0</v>
      </c>
      <c r="AP15" s="47" t="e">
        <f t="shared" si="17"/>
        <v>#DIV/0!</v>
      </c>
      <c r="AQ15">
        <v>2021</v>
      </c>
    </row>
    <row r="16" spans="1:43" ht="13.5" customHeight="1">
      <c r="A16" s="54">
        <f>SUM(U5:U999)</f>
        <v>10</v>
      </c>
      <c r="B16" s="97" t="s">
        <v>33</v>
      </c>
      <c r="C16" s="98">
        <v>18230700</v>
      </c>
      <c r="D16" s="61" t="s">
        <v>118</v>
      </c>
      <c r="E16" s="38" t="s">
        <v>688</v>
      </c>
      <c r="F16" s="39" t="s">
        <v>689</v>
      </c>
      <c r="G16" s="39">
        <v>10</v>
      </c>
      <c r="H16" s="39"/>
      <c r="I16" s="40" t="s">
        <v>265</v>
      </c>
      <c r="J16" s="41">
        <v>589</v>
      </c>
      <c r="K16" s="41">
        <v>0.4</v>
      </c>
      <c r="L16" s="41"/>
      <c r="M16" s="42">
        <v>1.5</v>
      </c>
      <c r="N16" s="42">
        <v>5.4</v>
      </c>
      <c r="O16" s="43">
        <v>235.60000000000201</v>
      </c>
      <c r="P16" s="44">
        <v>1402.5</v>
      </c>
      <c r="Q16" s="44">
        <v>3180.6000000000199</v>
      </c>
      <c r="R16" s="45">
        <v>3.72</v>
      </c>
      <c r="S16" s="46">
        <v>0</v>
      </c>
      <c r="T16" s="39">
        <f t="shared" si="0"/>
        <v>10</v>
      </c>
      <c r="U16" s="47">
        <f t="shared" si="1"/>
        <v>7.4035364141807877E-2</v>
      </c>
      <c r="V16" s="48">
        <f t="shared" si="2"/>
        <v>3.9000000000000004</v>
      </c>
      <c r="W16" s="49">
        <f t="shared" si="3"/>
        <v>7.4035364141807882E-3</v>
      </c>
      <c r="X16" s="44">
        <f t="shared" si="4"/>
        <v>897.59772149568516</v>
      </c>
      <c r="Y16" s="44">
        <f t="shared" si="5"/>
        <v>1778.1000000000199</v>
      </c>
      <c r="Z16" s="44">
        <f t="shared" si="6"/>
        <v>1370.7049465113462</v>
      </c>
      <c r="AA16" s="50">
        <f t="shared" si="7"/>
        <v>4078.1977214957051</v>
      </c>
      <c r="AB16" s="51">
        <f t="shared" si="8"/>
        <v>1281.3919290561334</v>
      </c>
      <c r="AC16" s="44">
        <f t="shared" si="9"/>
        <v>3812.4686561612648</v>
      </c>
      <c r="AD16" s="44">
        <f t="shared" si="10"/>
        <v>15410.592724899718</v>
      </c>
      <c r="AE16" s="44">
        <f t="shared" si="18"/>
        <v>0</v>
      </c>
      <c r="AF16" s="52">
        <f>HLOOKUP(I16,GasAvoidedCostsWOCC!$A$5:$G$50,G16+1,FALSE)</f>
        <v>7.1400454873872068</v>
      </c>
      <c r="AG16" s="44">
        <f t="shared" si="11"/>
        <v>1682.194716828426</v>
      </c>
      <c r="AH16" s="52">
        <f>HLOOKUP(I16,GasAvoidedCostsWOCC!$A$5:$Q$50,T16+1,FALSE)</f>
        <v>7.1400454873872068</v>
      </c>
      <c r="AI16" s="44">
        <f t="shared" si="12"/>
        <v>0</v>
      </c>
      <c r="AJ16" s="44">
        <f t="shared" si="13"/>
        <v>1682.194716828426</v>
      </c>
      <c r="AK16" s="44">
        <f>HLOOKUP(I16,GasAvoidedCostsWOCC!$A$5:$Q$50,G16+1,FALSE)*J16*L16</f>
        <v>0</v>
      </c>
      <c r="AL16" s="44">
        <f t="shared" si="14"/>
        <v>1682.194716828426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1682.1947168284262</v>
      </c>
      <c r="AN16" s="48">
        <f t="shared" si="15"/>
        <v>17261.006913410987</v>
      </c>
      <c r="AO16" s="47">
        <f t="shared" si="16"/>
        <v>1.3127870393779693</v>
      </c>
      <c r="AP16" s="47">
        <f t="shared" si="17"/>
        <v>4.527514445401609</v>
      </c>
      <c r="AQ16">
        <v>2021</v>
      </c>
    </row>
    <row r="17" spans="1:43" ht="13.5" customHeight="1">
      <c r="A17" s="58" t="s">
        <v>254</v>
      </c>
      <c r="B17" s="97" t="s">
        <v>33</v>
      </c>
      <c r="C17" s="98">
        <v>18230700</v>
      </c>
      <c r="D17" s="61" t="s">
        <v>118</v>
      </c>
      <c r="E17" s="38" t="s">
        <v>690</v>
      </c>
      <c r="F17" s="39" t="s">
        <v>691</v>
      </c>
      <c r="G17" s="39">
        <v>10</v>
      </c>
      <c r="H17" s="39"/>
      <c r="I17" s="40" t="s">
        <v>265</v>
      </c>
      <c r="J17" s="41">
        <v>194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>
        <v>3.72</v>
      </c>
      <c r="S17" s="46">
        <v>0</v>
      </c>
      <c r="T17" s="39">
        <f t="shared" si="0"/>
        <v>10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5075.8149212742701</v>
      </c>
      <c r="AE17" s="44">
        <f t="shared" si="18"/>
        <v>0</v>
      </c>
      <c r="AF17" s="52">
        <f>HLOOKUP(I17,GasAvoidedCostsWOCC!$A$5:$G$50,G17+1,FALSE)</f>
        <v>7.1400454873872068</v>
      </c>
      <c r="AG17" s="44">
        <f t="shared" si="11"/>
        <v>0</v>
      </c>
      <c r="AH17" s="52">
        <f>HLOOKUP(I17,GasAvoidedCostsWOCC!$A$5:$Q$50,T17+1,FALSE)</f>
        <v>7.1400454873872068</v>
      </c>
      <c r="AI17" s="44">
        <f t="shared" si="12"/>
        <v>0</v>
      </c>
      <c r="AJ17" s="44">
        <f t="shared" si="13"/>
        <v>0</v>
      </c>
      <c r="AK17" s="44">
        <f>HLOOKUP(I17,GasAvoidedCostsWOCC!$A$5:$Q$50,G17+1,FALSE)*J17*L17</f>
        <v>0</v>
      </c>
      <c r="AL17" s="44">
        <f t="shared" si="14"/>
        <v>0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5075.8149212742701</v>
      </c>
      <c r="AO17" s="47">
        <f t="shared" si="16"/>
        <v>0</v>
      </c>
      <c r="AP17" s="47" t="e">
        <f t="shared" si="17"/>
        <v>#DIV/0!</v>
      </c>
      <c r="AQ17">
        <v>2021</v>
      </c>
    </row>
    <row r="18" spans="1:43" ht="13.5" customHeight="1">
      <c r="A18" s="59">
        <f>A6+A8</f>
        <v>185141.91999999998</v>
      </c>
      <c r="B18" s="97" t="s">
        <v>33</v>
      </c>
      <c r="C18" s="98">
        <v>18230700</v>
      </c>
      <c r="D18" s="61" t="s">
        <v>118</v>
      </c>
      <c r="E18" s="38" t="s">
        <v>692</v>
      </c>
      <c r="F18" s="39" t="s">
        <v>693</v>
      </c>
      <c r="G18" s="39">
        <v>10</v>
      </c>
      <c r="H18" s="39"/>
      <c r="I18" s="40" t="s">
        <v>265</v>
      </c>
      <c r="J18" s="41">
        <v>349</v>
      </c>
      <c r="K18" s="41">
        <v>1.6</v>
      </c>
      <c r="L18" s="41"/>
      <c r="M18" s="42">
        <v>5</v>
      </c>
      <c r="N18" s="42">
        <v>17.399999999999999</v>
      </c>
      <c r="O18" s="43">
        <v>558.400000000001</v>
      </c>
      <c r="P18" s="44">
        <v>3000</v>
      </c>
      <c r="Q18" s="44">
        <v>6072.6</v>
      </c>
      <c r="R18" s="45">
        <v>3.72</v>
      </c>
      <c r="S18" s="46">
        <v>0</v>
      </c>
      <c r="T18" s="39">
        <f t="shared" si="0"/>
        <v>10</v>
      </c>
      <c r="U18" s="47">
        <f t="shared" si="1"/>
        <v>0.17547261178601545</v>
      </c>
      <c r="V18" s="48">
        <f t="shared" si="2"/>
        <v>12.399999999999999</v>
      </c>
      <c r="W18" s="49">
        <f t="shared" si="3"/>
        <v>1.7547261178601545E-2</v>
      </c>
      <c r="X18" s="44">
        <f t="shared" si="4"/>
        <v>2127.4132753955314</v>
      </c>
      <c r="Y18" s="44">
        <f t="shared" si="5"/>
        <v>3072.6000000000004</v>
      </c>
      <c r="Z18" s="44">
        <f t="shared" si="6"/>
        <v>3248.7336253477524</v>
      </c>
      <c r="AA18" s="50">
        <f t="shared" si="7"/>
        <v>8200.0132753955313</v>
      </c>
      <c r="AB18" s="51">
        <f t="shared" si="8"/>
        <v>3037.051159528608</v>
      </c>
      <c r="AC18" s="44">
        <f t="shared" si="9"/>
        <v>7665.7130741287565</v>
      </c>
      <c r="AD18" s="44">
        <f t="shared" si="10"/>
        <v>9131.234059405775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3987.0014001570162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3987.0014001570162</v>
      </c>
      <c r="AK18" s="44">
        <f>HLOOKUP(I18,GasAvoidedCostsWOCC!$A$5:$Q$50,G18+1,FALSE)*J18*L18</f>
        <v>0</v>
      </c>
      <c r="AL18" s="44">
        <f t="shared" si="14"/>
        <v>3987.0014001570162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3987.0014001570166</v>
      </c>
      <c r="AN18" s="48">
        <f t="shared" si="15"/>
        <v>13516.935599578494</v>
      </c>
      <c r="AO18" s="47">
        <f t="shared" si="16"/>
        <v>1.3127870393779781</v>
      </c>
      <c r="AP18" s="47">
        <f t="shared" si="17"/>
        <v>1.7632978783405293</v>
      </c>
      <c r="AQ18">
        <v>2021</v>
      </c>
    </row>
    <row r="19" spans="1:43" ht="13.5" customHeight="1">
      <c r="A19" s="58" t="s">
        <v>231</v>
      </c>
      <c r="B19" s="97" t="s">
        <v>33</v>
      </c>
      <c r="C19" s="100">
        <v>18230700</v>
      </c>
      <c r="D19" s="100" t="s">
        <v>118</v>
      </c>
      <c r="E19" s="38" t="s">
        <v>1911</v>
      </c>
      <c r="F19" s="39" t="s">
        <v>1912</v>
      </c>
      <c r="G19" s="39">
        <v>10</v>
      </c>
      <c r="H19" s="39"/>
      <c r="I19" s="40" t="s">
        <v>265</v>
      </c>
      <c r="J19" s="41">
        <v>555.07000000000005</v>
      </c>
      <c r="K19" s="41">
        <v>2.7</v>
      </c>
      <c r="L19" s="41"/>
      <c r="M19" s="42">
        <v>3</v>
      </c>
      <c r="N19" s="42">
        <v>0.01</v>
      </c>
      <c r="O19" s="43">
        <v>1498.71000000001</v>
      </c>
      <c r="P19" s="44">
        <v>2501.1</v>
      </c>
      <c r="Q19" s="44">
        <v>5.6099999999999497</v>
      </c>
      <c r="R19" s="45"/>
      <c r="S19" s="46">
        <v>0</v>
      </c>
      <c r="T19" s="39">
        <f t="shared" si="0"/>
        <v>10</v>
      </c>
      <c r="U19" s="47">
        <f t="shared" si="1"/>
        <v>0.47095730302618288</v>
      </c>
      <c r="V19" s="48">
        <f t="shared" si="2"/>
        <v>-2.99</v>
      </c>
      <c r="W19" s="49">
        <f t="shared" si="3"/>
        <v>4.7095730302618287E-2</v>
      </c>
      <c r="X19" s="44">
        <f t="shared" si="4"/>
        <v>5709.8416009456532</v>
      </c>
      <c r="Y19" s="44">
        <f t="shared" si="5"/>
        <v>-2495.4899999999998</v>
      </c>
      <c r="Z19" s="44">
        <f t="shared" si="6"/>
        <v>8719.3939320289301</v>
      </c>
      <c r="AA19" s="50">
        <f t="shared" si="7"/>
        <v>5715.4516009456529</v>
      </c>
      <c r="AB19" s="51">
        <f t="shared" si="8"/>
        <v>8151.2516892857147</v>
      </c>
      <c r="AC19" s="44">
        <f t="shared" si="9"/>
        <v>5343.0416013327595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7.1400454873872068</v>
      </c>
      <c r="AG19" s="44">
        <f t="shared" si="11"/>
        <v>10700.707631446847</v>
      </c>
      <c r="AH19" s="52">
        <f>HLOOKUP(I19,GasAvoidedCostsWOCC!$A$5:$Q$50,T19+1,FALSE)</f>
        <v>7.1400454873872068</v>
      </c>
      <c r="AI19" s="44">
        <f t="shared" si="12"/>
        <v>0</v>
      </c>
      <c r="AJ19" s="44">
        <f t="shared" si="13"/>
        <v>10700.707631446847</v>
      </c>
      <c r="AK19" s="44">
        <f>HLOOKUP(I19,GasAvoidedCostsWOCC!$A$5:$Q$50,G19+1,FALSE)*J19*L19</f>
        <v>0</v>
      </c>
      <c r="AL19" s="44">
        <f t="shared" si="14"/>
        <v>10700.707631446847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10700.707631446847</v>
      </c>
      <c r="AN19" s="48">
        <f t="shared" si="15"/>
        <v>11770.778394591533</v>
      </c>
      <c r="AO19" s="47">
        <f t="shared" si="16"/>
        <v>1.3127686445398594</v>
      </c>
      <c r="AP19" s="47">
        <f t="shared" si="17"/>
        <v>2.2030108078618458</v>
      </c>
      <c r="AQ19">
        <v>2020</v>
      </c>
    </row>
    <row r="20" spans="1:43" ht="13.5" customHeight="1">
      <c r="A20" s="59">
        <f>A8+SUM(Q5:Q906)</f>
        <v>152754.11000000002</v>
      </c>
      <c r="B20" s="97" t="s">
        <v>33</v>
      </c>
      <c r="C20" s="100">
        <v>18230700</v>
      </c>
      <c r="D20" s="100" t="s">
        <v>118</v>
      </c>
      <c r="E20" s="38" t="s">
        <v>1913</v>
      </c>
      <c r="F20" s="39" t="s">
        <v>1914</v>
      </c>
      <c r="G20" s="39">
        <v>10</v>
      </c>
      <c r="H20" s="39"/>
      <c r="I20" s="40" t="s">
        <v>265</v>
      </c>
      <c r="J20" s="41">
        <v>1017</v>
      </c>
      <c r="K20" s="41">
        <v>1.8</v>
      </c>
      <c r="L20" s="41"/>
      <c r="M20" s="42">
        <v>3</v>
      </c>
      <c r="N20" s="42">
        <v>0.01</v>
      </c>
      <c r="O20" s="43">
        <v>1830.6</v>
      </c>
      <c r="P20" s="44">
        <v>3051</v>
      </c>
      <c r="Q20" s="44">
        <v>10.17</v>
      </c>
      <c r="R20" s="45"/>
      <c r="S20" s="46">
        <v>0</v>
      </c>
      <c r="T20" s="39">
        <f t="shared" si="0"/>
        <v>10</v>
      </c>
      <c r="U20" s="47">
        <f t="shared" si="1"/>
        <v>0.57525100848044286</v>
      </c>
      <c r="V20" s="48">
        <f t="shared" si="2"/>
        <v>-2.99</v>
      </c>
      <c r="W20" s="49">
        <f t="shared" si="3"/>
        <v>5.752510084804429E-2</v>
      </c>
      <c r="X20" s="44">
        <f t="shared" si="4"/>
        <v>6974.2885779710832</v>
      </c>
      <c r="Y20" s="44">
        <f t="shared" si="5"/>
        <v>-3040.83</v>
      </c>
      <c r="Z20" s="44">
        <f t="shared" si="6"/>
        <v>10650.307619200546</v>
      </c>
      <c r="AA20" s="50">
        <f t="shared" si="7"/>
        <v>6984.4585779710833</v>
      </c>
      <c r="AB20" s="51">
        <f t="shared" si="8"/>
        <v>9956.3500226236756</v>
      </c>
      <c r="AC20" s="44">
        <f t="shared" si="9"/>
        <v>6529.3620435365829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7.1400454873872068</v>
      </c>
      <c r="AG20" s="44">
        <f t="shared" si="11"/>
        <v>13070.56726921102</v>
      </c>
      <c r="AH20" s="52">
        <f>HLOOKUP(I20,GasAvoidedCostsWOCC!$A$5:$Q$50,T20+1,FALSE)</f>
        <v>7.1400454873872068</v>
      </c>
      <c r="AI20" s="44">
        <f t="shared" si="12"/>
        <v>0</v>
      </c>
      <c r="AJ20" s="44">
        <f t="shared" si="13"/>
        <v>13070.56726921102</v>
      </c>
      <c r="AK20" s="44">
        <f>HLOOKUP(I20,GasAvoidedCostsWOCC!$A$5:$Q$50,G20+1,FALSE)*J20*L20</f>
        <v>0</v>
      </c>
      <c r="AL20" s="44">
        <f t="shared" si="14"/>
        <v>13070.56726921102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13070.567269211022</v>
      </c>
      <c r="AN20" s="48">
        <f t="shared" si="15"/>
        <v>14377.623996132126</v>
      </c>
      <c r="AO20" s="47">
        <f t="shared" si="16"/>
        <v>1.3127870393779804</v>
      </c>
      <c r="AP20" s="47">
        <f t="shared" si="17"/>
        <v>2.2019952179500506</v>
      </c>
      <c r="AQ20">
        <v>2020</v>
      </c>
    </row>
    <row r="21" spans="1:43" ht="13.5" customHeight="1">
      <c r="A21" s="58" t="s">
        <v>245</v>
      </c>
      <c r="B21" s="97" t="s">
        <v>33</v>
      </c>
      <c r="C21" s="100">
        <v>18230700</v>
      </c>
      <c r="D21" s="100" t="s">
        <v>118</v>
      </c>
      <c r="E21" s="38" t="s">
        <v>1915</v>
      </c>
      <c r="F21" s="39" t="s">
        <v>1916</v>
      </c>
      <c r="G21" s="39">
        <v>10</v>
      </c>
      <c r="H21" s="39"/>
      <c r="I21" s="40" t="s">
        <v>265</v>
      </c>
      <c r="J21" s="41">
        <v>1569.82</v>
      </c>
      <c r="K21" s="41">
        <v>0.1</v>
      </c>
      <c r="L21" s="41"/>
      <c r="M21" s="42">
        <v>0.9</v>
      </c>
      <c r="N21" s="42">
        <v>0.01</v>
      </c>
      <c r="O21" s="43">
        <v>156.979999999999</v>
      </c>
      <c r="P21" s="44">
        <v>3009.2999999999802</v>
      </c>
      <c r="Q21" s="44">
        <v>15.6999999999998</v>
      </c>
      <c r="R21" s="45"/>
      <c r="S21" s="46">
        <v>0</v>
      </c>
      <c r="T21" s="39">
        <f t="shared" si="0"/>
        <v>10</v>
      </c>
      <c r="U21" s="47">
        <f t="shared" si="1"/>
        <v>4.9329675139986533E-2</v>
      </c>
      <c r="V21" s="48">
        <f t="shared" si="2"/>
        <v>-0.89</v>
      </c>
      <c r="W21" s="49">
        <f t="shared" si="3"/>
        <v>4.9329675139986534E-3</v>
      </c>
      <c r="X21" s="44">
        <f t="shared" si="4"/>
        <v>598.06829507805844</v>
      </c>
      <c r="Y21" s="44">
        <f t="shared" si="5"/>
        <v>-2993.5999999999804</v>
      </c>
      <c r="Z21" s="44">
        <f t="shared" si="6"/>
        <v>913.29907683933766</v>
      </c>
      <c r="AA21" s="50">
        <f t="shared" si="7"/>
        <v>613.76829507805826</v>
      </c>
      <c r="AB21" s="51">
        <f t="shared" si="8"/>
        <v>853.7899194534333</v>
      </c>
      <c r="AC21" s="44">
        <f t="shared" si="9"/>
        <v>573.77610084889056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7.1400454873872068</v>
      </c>
      <c r="AG21" s="44">
        <f t="shared" si="11"/>
        <v>1120.8586207010185</v>
      </c>
      <c r="AH21" s="52">
        <f>HLOOKUP(I21,GasAvoidedCostsWOCC!$A$5:$Q$50,T21+1,FALSE)</f>
        <v>7.1400454873872068</v>
      </c>
      <c r="AI21" s="44">
        <f t="shared" si="12"/>
        <v>0</v>
      </c>
      <c r="AJ21" s="44">
        <f t="shared" si="13"/>
        <v>1120.8586207010185</v>
      </c>
      <c r="AK21" s="44">
        <f>HLOOKUP(I21,GasAvoidedCostsWOCC!$A$5:$Q$50,G21+1,FALSE)*J21*L21</f>
        <v>0</v>
      </c>
      <c r="AL21" s="44">
        <f t="shared" si="14"/>
        <v>1120.8586207010185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1120.8586207010185</v>
      </c>
      <c r="AN21" s="48">
        <f t="shared" si="15"/>
        <v>1232.9444827711204</v>
      </c>
      <c r="AO21" s="47">
        <f t="shared" si="16"/>
        <v>1.3128037649104047</v>
      </c>
      <c r="AP21" s="47">
        <f t="shared" si="17"/>
        <v>2.1488250921343761</v>
      </c>
      <c r="AQ21">
        <v>2020</v>
      </c>
    </row>
    <row r="22" spans="1:43" ht="13.5" customHeight="1">
      <c r="A22" s="60">
        <f>(SUM(AM5:AM1000)/(SUM(AB5:AB1000)))</f>
        <v>1.3127713631414473</v>
      </c>
      <c r="B22" s="97" t="s">
        <v>33</v>
      </c>
      <c r="C22" s="100">
        <v>18230700</v>
      </c>
      <c r="D22" s="100" t="s">
        <v>118</v>
      </c>
      <c r="E22" s="38" t="s">
        <v>1923</v>
      </c>
      <c r="F22" s="39" t="s">
        <v>1924</v>
      </c>
      <c r="G22" s="39">
        <v>10</v>
      </c>
      <c r="H22" s="39"/>
      <c r="I22" s="40" t="s">
        <v>265</v>
      </c>
      <c r="J22" s="41">
        <v>53.77</v>
      </c>
      <c r="K22" s="41">
        <v>4.9000000000000004</v>
      </c>
      <c r="L22" s="41"/>
      <c r="M22" s="42">
        <v>10</v>
      </c>
      <c r="N22" s="42">
        <v>0.01</v>
      </c>
      <c r="O22" s="43">
        <v>263.52999999999997</v>
      </c>
      <c r="P22" s="44">
        <v>1645</v>
      </c>
      <c r="Q22" s="44">
        <v>0.54</v>
      </c>
      <c r="R22" s="45">
        <v>14.31</v>
      </c>
      <c r="S22" s="46">
        <v>0</v>
      </c>
      <c r="T22" s="39">
        <f t="shared" si="0"/>
        <v>10</v>
      </c>
      <c r="U22" s="47">
        <f t="shared" si="1"/>
        <v>8.281213714894084E-2</v>
      </c>
      <c r="V22" s="48">
        <f t="shared" si="2"/>
        <v>-9.99</v>
      </c>
      <c r="W22" s="49">
        <f t="shared" si="3"/>
        <v>8.281213714894084E-3</v>
      </c>
      <c r="X22" s="44">
        <f t="shared" si="4"/>
        <v>1004.0064836407295</v>
      </c>
      <c r="Y22" s="44">
        <f t="shared" si="5"/>
        <v>-1644.46</v>
      </c>
      <c r="Z22" s="44">
        <f t="shared" si="6"/>
        <v>1533.1998071058233</v>
      </c>
      <c r="AA22" s="50">
        <f t="shared" si="7"/>
        <v>1004.5464836407294</v>
      </c>
      <c r="AB22" s="51">
        <f t="shared" si="8"/>
        <v>1433.2988754845501</v>
      </c>
      <c r="AC22" s="44">
        <f t="shared" si="9"/>
        <v>939.09178614633015</v>
      </c>
      <c r="AD22" s="44">
        <f t="shared" si="10"/>
        <v>5411.7880398723673</v>
      </c>
      <c r="AE22" s="44">
        <f t="shared" si="18"/>
        <v>0</v>
      </c>
      <c r="AF22" s="52">
        <f>HLOOKUP(I22,GasAvoidedCostsWOCC!$A$5:$G$50,G22+1,FALSE)</f>
        <v>7.1400454873872068</v>
      </c>
      <c r="AG22" s="44">
        <f t="shared" si="11"/>
        <v>1881.2092046983698</v>
      </c>
      <c r="AH22" s="52">
        <f>HLOOKUP(I22,GasAvoidedCostsWOCC!$A$5:$Q$50,T22+1,FALSE)</f>
        <v>7.1400454873872068</v>
      </c>
      <c r="AI22" s="44">
        <f t="shared" si="12"/>
        <v>0</v>
      </c>
      <c r="AJ22" s="44">
        <f t="shared" si="13"/>
        <v>1881.2092046983698</v>
      </c>
      <c r="AK22" s="44">
        <f>HLOOKUP(I22,GasAvoidedCostsWOCC!$A$5:$Q$50,G22+1,FALSE)*J22*L22</f>
        <v>0</v>
      </c>
      <c r="AL22" s="44">
        <f t="shared" si="14"/>
        <v>1881.2092046983698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1881.2092046983698</v>
      </c>
      <c r="AN22" s="48">
        <f t="shared" si="15"/>
        <v>7481.1181650405742</v>
      </c>
      <c r="AO22" s="47">
        <f t="shared" si="16"/>
        <v>1.3125030912079634</v>
      </c>
      <c r="AP22" s="47">
        <f t="shared" si="17"/>
        <v>7.9663332971318948</v>
      </c>
      <c r="AQ22">
        <v>2020</v>
      </c>
    </row>
    <row r="23" spans="1:43" ht="13.5" customHeight="1">
      <c r="A23" s="58" t="s">
        <v>246</v>
      </c>
      <c r="B23" s="97" t="s">
        <v>33</v>
      </c>
      <c r="C23" s="100">
        <v>18230700</v>
      </c>
      <c r="D23" s="100" t="s">
        <v>118</v>
      </c>
      <c r="E23" s="38" t="s">
        <v>1925</v>
      </c>
      <c r="F23" s="39" t="s">
        <v>1926</v>
      </c>
      <c r="G23" s="39">
        <v>10</v>
      </c>
      <c r="H23" s="39"/>
      <c r="I23" s="40" t="s">
        <v>265</v>
      </c>
      <c r="J23" s="41">
        <v>0.35</v>
      </c>
      <c r="K23" s="41">
        <v>2.8</v>
      </c>
      <c r="L23" s="41"/>
      <c r="M23" s="42">
        <v>3</v>
      </c>
      <c r="N23" s="42">
        <v>0.01</v>
      </c>
      <c r="O23" s="43">
        <v>0.98</v>
      </c>
      <c r="P23" s="44">
        <v>3</v>
      </c>
      <c r="Q23" s="44">
        <v>0</v>
      </c>
      <c r="R23" s="45">
        <v>3.41</v>
      </c>
      <c r="S23" s="46">
        <v>0</v>
      </c>
      <c r="T23" s="39">
        <f t="shared" si="0"/>
        <v>10</v>
      </c>
      <c r="U23" s="47">
        <f t="shared" si="1"/>
        <v>3.0795694761872287E-4</v>
      </c>
      <c r="V23" s="48">
        <f t="shared" si="2"/>
        <v>-2.99</v>
      </c>
      <c r="W23" s="49">
        <f t="shared" si="3"/>
        <v>3.0795694761872286E-5</v>
      </c>
      <c r="X23" s="44">
        <f t="shared" si="4"/>
        <v>3.7336407770193718</v>
      </c>
      <c r="Y23" s="44">
        <f t="shared" si="5"/>
        <v>-3</v>
      </c>
      <c r="Z23" s="44">
        <f t="shared" si="6"/>
        <v>5.7015740559469776</v>
      </c>
      <c r="AA23" s="50">
        <f t="shared" si="7"/>
        <v>3.7336407770193718</v>
      </c>
      <c r="AB23" s="51">
        <f t="shared" si="8"/>
        <v>5.3300682957342964</v>
      </c>
      <c r="AC23" s="44">
        <f t="shared" si="9"/>
        <v>3.4903625100676559</v>
      </c>
      <c r="AD23" s="44">
        <f t="shared" si="10"/>
        <v>8.3942815493582223</v>
      </c>
      <c r="AE23" s="44">
        <f t="shared" si="18"/>
        <v>0</v>
      </c>
      <c r="AF23" s="52">
        <f>HLOOKUP(I23,GasAvoidedCostsWOCC!$A$5:$G$50,G23+1,FALSE)</f>
        <v>7.1400454873872068</v>
      </c>
      <c r="AG23" s="44">
        <f t="shared" si="11"/>
        <v>6.9972445776394609</v>
      </c>
      <c r="AH23" s="52">
        <f>HLOOKUP(I23,GasAvoidedCostsWOCC!$A$5:$Q$50,T23+1,FALSE)</f>
        <v>7.1400454873872068</v>
      </c>
      <c r="AI23" s="44">
        <f t="shared" si="12"/>
        <v>0</v>
      </c>
      <c r="AJ23" s="44">
        <f t="shared" si="13"/>
        <v>6.9972445776394609</v>
      </c>
      <c r="AK23" s="44">
        <f>HLOOKUP(I23,GasAvoidedCostsWOCC!$A$5:$Q$50,G23+1,FALSE)*J23*L23</f>
        <v>0</v>
      </c>
      <c r="AL23" s="44">
        <f t="shared" si="14"/>
        <v>6.9972445776394609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6.9972445776394609</v>
      </c>
      <c r="AN23" s="48">
        <f t="shared" si="15"/>
        <v>16.091250584761632</v>
      </c>
      <c r="AO23" s="47">
        <f t="shared" si="16"/>
        <v>1.3127870393779797</v>
      </c>
      <c r="AP23" s="47">
        <f t="shared" si="17"/>
        <v>4.6101946540933154</v>
      </c>
      <c r="AQ23">
        <v>2020</v>
      </c>
    </row>
    <row r="24" spans="1:43" ht="13.5" customHeight="1">
      <c r="A24" s="60">
        <f>(SUM(AN5:AN1000)/SUM(AC5:AC1000))</f>
        <v>5.5388187576253607</v>
      </c>
      <c r="B24" s="97" t="s">
        <v>33</v>
      </c>
      <c r="C24" s="61">
        <v>18230700</v>
      </c>
      <c r="D24" s="61" t="s">
        <v>118</v>
      </c>
      <c r="E24" s="38" t="s">
        <v>1933</v>
      </c>
      <c r="F24" s="39" t="s">
        <v>1934</v>
      </c>
      <c r="G24" s="39">
        <v>10</v>
      </c>
      <c r="H24" s="39"/>
      <c r="I24" s="40" t="s">
        <v>265</v>
      </c>
      <c r="J24" s="41">
        <v>1020.24</v>
      </c>
      <c r="K24" s="41">
        <v>0.6</v>
      </c>
      <c r="L24" s="41"/>
      <c r="M24" s="42">
        <v>0.54</v>
      </c>
      <c r="N24" s="42">
        <v>0.54</v>
      </c>
      <c r="O24" s="43">
        <v>612.13</v>
      </c>
      <c r="P24" s="44">
        <v>192.240000000001</v>
      </c>
      <c r="Q24" s="44">
        <v>550.94000000000005</v>
      </c>
      <c r="R24" s="45"/>
      <c r="S24" s="46">
        <v>0</v>
      </c>
      <c r="T24" s="39">
        <f t="shared" si="0"/>
        <v>10</v>
      </c>
      <c r="U24" s="47">
        <f t="shared" si="1"/>
        <v>0.19235682280188654</v>
      </c>
      <c r="V24" s="48">
        <f t="shared" si="2"/>
        <v>0</v>
      </c>
      <c r="W24" s="49">
        <f t="shared" si="3"/>
        <v>1.9235682280188654E-2</v>
      </c>
      <c r="X24" s="44">
        <f t="shared" si="4"/>
        <v>2332.1158457519059</v>
      </c>
      <c r="Y24" s="44">
        <f t="shared" si="5"/>
        <v>358.69999999999902</v>
      </c>
      <c r="Z24" s="44">
        <f t="shared" si="6"/>
        <v>3561.3311498641051</v>
      </c>
      <c r="AA24" s="50">
        <f t="shared" si="7"/>
        <v>2883.055845751906</v>
      </c>
      <c r="AB24" s="51">
        <f t="shared" si="8"/>
        <v>3329.2803121100355</v>
      </c>
      <c r="AC24" s="44">
        <f t="shared" si="9"/>
        <v>2695.2003793137383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7.1400454873872068</v>
      </c>
      <c r="AG24" s="44">
        <f t="shared" si="11"/>
        <v>4370.7360048311548</v>
      </c>
      <c r="AH24" s="52">
        <f>HLOOKUP(I24,GasAvoidedCostsWOCC!$A$5:$Q$50,T24+1,FALSE)</f>
        <v>7.1400454873872068</v>
      </c>
      <c r="AI24" s="44">
        <f t="shared" si="12"/>
        <v>0</v>
      </c>
      <c r="AJ24" s="44">
        <f t="shared" si="13"/>
        <v>4370.7360048311548</v>
      </c>
      <c r="AK24" s="44">
        <f>HLOOKUP(I24,GasAvoidedCostsWOCC!$A$5:$Q$50,G24+1,FALSE)*J24*L24</f>
        <v>0</v>
      </c>
      <c r="AL24" s="44">
        <f t="shared" si="14"/>
        <v>4370.7360048311548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4370.7360048311539</v>
      </c>
      <c r="AN24" s="48">
        <f t="shared" si="15"/>
        <v>4807.8096053142699</v>
      </c>
      <c r="AO24" s="47">
        <f t="shared" si="16"/>
        <v>1.3128170640762487</v>
      </c>
      <c r="AP24" s="47">
        <f t="shared" si="17"/>
        <v>1.7838412469125773</v>
      </c>
      <c r="AQ24">
        <v>2020</v>
      </c>
    </row>
    <row r="25" spans="1:43" ht="13.5" customHeight="1">
      <c r="B25" s="97" t="s">
        <v>33</v>
      </c>
      <c r="C25" s="61">
        <v>18230700</v>
      </c>
      <c r="D25" s="61" t="s">
        <v>118</v>
      </c>
      <c r="E25" s="38" t="s">
        <v>1935</v>
      </c>
      <c r="F25" s="39" t="s">
        <v>1934</v>
      </c>
      <c r="G25" s="39">
        <v>10</v>
      </c>
      <c r="H25" s="39"/>
      <c r="I25" s="40" t="s">
        <v>265</v>
      </c>
      <c r="J25" s="41">
        <v>487.55</v>
      </c>
      <c r="K25" s="41">
        <v>0.5</v>
      </c>
      <c r="L25" s="41"/>
      <c r="M25" s="42">
        <v>0.54</v>
      </c>
      <c r="N25" s="42">
        <v>0.54</v>
      </c>
      <c r="O25" s="43">
        <v>243.91</v>
      </c>
      <c r="P25" s="44">
        <v>114.34</v>
      </c>
      <c r="Q25" s="44">
        <v>263.37</v>
      </c>
      <c r="R25" s="45"/>
      <c r="S25" s="46">
        <v>0</v>
      </c>
      <c r="T25" s="39">
        <f t="shared" ref="T25:T61" si="19">G25+H25</f>
        <v>10</v>
      </c>
      <c r="U25" s="47">
        <f t="shared" ref="U25:U61" si="20">(O25/$A$10)*T25</f>
        <v>7.6646713360900703E-2</v>
      </c>
      <c r="V25" s="48">
        <f t="shared" ref="V25:V61" si="21">N25-M25</f>
        <v>0</v>
      </c>
      <c r="W25" s="49">
        <f t="shared" ref="W25:W61" si="22">(O25/A$10)</f>
        <v>7.6646713360900703E-3</v>
      </c>
      <c r="X25" s="44">
        <f t="shared" ref="X25:X61" si="23">W25*A$8</f>
        <v>929.25747134979076</v>
      </c>
      <c r="Y25" s="44">
        <f t="shared" ref="Y25:Y61" si="24">Q25-P25</f>
        <v>149.03</v>
      </c>
      <c r="Z25" s="44">
        <f t="shared" ref="Z25:Z61" si="25">X25+(A$6*W25)</f>
        <v>1419.0519673326808</v>
      </c>
      <c r="AA25" s="50">
        <f t="shared" ref="AA25:AA61" si="26">Q25+X25</f>
        <v>1192.6274713497908</v>
      </c>
      <c r="AB25" s="51">
        <f t="shared" ref="AB25:AB61" si="27">Z25/(1+GasDiscountRate)^1</f>
        <v>1326.5887326658694</v>
      </c>
      <c r="AC25" s="44">
        <f t="shared" ref="AC25:AC61" si="28">AA25/(1+GasDiscountRate)^1</f>
        <v>1114.9177071606905</v>
      </c>
      <c r="AD25" s="44">
        <f t="shared" ref="AD25:AD61" si="29">-PV(GasDiscountRate,T25,R25)*J25</f>
        <v>0</v>
      </c>
      <c r="AE25" s="44">
        <f t="shared" ref="AE25:AE61" si="30">-PV(GasDiscountRate,T25,S25)*J25</f>
        <v>0</v>
      </c>
      <c r="AF25" s="52">
        <f>HLOOKUP(I25,GasAvoidedCostsWOCC!$A$5:$G$50,G25+1,FALSE)</f>
        <v>7.1400454873872068</v>
      </c>
      <c r="AG25" s="44">
        <f t="shared" ref="AG25:AG61" si="31">AF25*J25*K25</f>
        <v>1740.5645886878165</v>
      </c>
      <c r="AH25" s="52">
        <f>HLOOKUP(I25,GasAvoidedCostsWOCC!$A$5:$Q$50,T25+1,FALSE)</f>
        <v>7.1400454873872068</v>
      </c>
      <c r="AI25" s="44">
        <f t="shared" ref="AI25:AI61" si="32">AH25*J25*L25</f>
        <v>0</v>
      </c>
      <c r="AJ25" s="44">
        <f t="shared" ref="AJ25:AJ61" si="33">AG25+AI25</f>
        <v>1740.5645886878165</v>
      </c>
      <c r="AK25" s="44">
        <f>HLOOKUP(I25,GasAvoidedCostsWOCC!$A$5:$Q$50,G25+1,FALSE)*J25*L25</f>
        <v>0</v>
      </c>
      <c r="AL25" s="44">
        <f t="shared" ref="AL25:AL61" si="34">AG25+AI25-AK25</f>
        <v>1740.5645886878165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1740.5645886878165</v>
      </c>
      <c r="AN25" s="48">
        <f t="shared" ref="AN25:AN61" si="35">AM25*1.1+AD25+AE25</f>
        <v>1914.6210475565983</v>
      </c>
      <c r="AO25" s="47">
        <f t="shared" ref="AO25:AO61" si="36">IFERROR(AM25/AB25,0)</f>
        <v>1.3120604342764428</v>
      </c>
      <c r="AP25" s="47">
        <f t="shared" ref="AP25:AP61" si="37">AN25/AC25</f>
        <v>1.7172756655129959</v>
      </c>
      <c r="AQ25">
        <v>2020</v>
      </c>
    </row>
    <row r="26" spans="1:43" ht="13.5" customHeight="1">
      <c r="B26" s="97" t="s">
        <v>33</v>
      </c>
      <c r="C26" s="61">
        <v>18230700</v>
      </c>
      <c r="D26" s="61" t="s">
        <v>118</v>
      </c>
      <c r="E26" s="38" t="s">
        <v>1936</v>
      </c>
      <c r="F26" s="39" t="s">
        <v>1937</v>
      </c>
      <c r="G26" s="39">
        <v>10</v>
      </c>
      <c r="H26" s="39"/>
      <c r="I26" s="40" t="s">
        <v>265</v>
      </c>
      <c r="J26" s="41">
        <v>168.33</v>
      </c>
      <c r="K26" s="41">
        <v>0.8</v>
      </c>
      <c r="L26" s="41"/>
      <c r="M26" s="42">
        <v>1.81</v>
      </c>
      <c r="N26" s="42">
        <v>1.81</v>
      </c>
      <c r="O26" s="43">
        <v>134.68</v>
      </c>
      <c r="P26" s="44">
        <v>216</v>
      </c>
      <c r="Q26" s="44">
        <v>304.72000000000003</v>
      </c>
      <c r="R26" s="45">
        <v>2.74</v>
      </c>
      <c r="S26" s="46">
        <v>0</v>
      </c>
      <c r="T26" s="39">
        <f t="shared" si="19"/>
        <v>10</v>
      </c>
      <c r="U26" s="47">
        <f t="shared" si="20"/>
        <v>4.2322083372744485E-2</v>
      </c>
      <c r="V26" s="48">
        <f t="shared" si="21"/>
        <v>0</v>
      </c>
      <c r="W26" s="49">
        <f t="shared" si="22"/>
        <v>4.2322083372744483E-3</v>
      </c>
      <c r="X26" s="44">
        <f t="shared" si="23"/>
        <v>513.10891821323366</v>
      </c>
      <c r="Y26" s="44">
        <f t="shared" si="24"/>
        <v>88.720000000000027</v>
      </c>
      <c r="Z26" s="44">
        <f t="shared" si="25"/>
        <v>783.5591774029989</v>
      </c>
      <c r="AA26" s="50">
        <f t="shared" si="26"/>
        <v>817.82891821323369</v>
      </c>
      <c r="AB26" s="51">
        <f t="shared" si="27"/>
        <v>732.50367149948477</v>
      </c>
      <c r="AC26" s="44">
        <f t="shared" si="28"/>
        <v>764.54044892328091</v>
      </c>
      <c r="AD26" s="44">
        <f t="shared" si="29"/>
        <v>3243.9428505886108</v>
      </c>
      <c r="AE26" s="44">
        <f t="shared" si="30"/>
        <v>0</v>
      </c>
      <c r="AF26" s="52">
        <f>HLOOKUP(I26,GasAvoidedCostsWOCC!$A$5:$G$50,G26+1,FALSE)</f>
        <v>7.1400454873872068</v>
      </c>
      <c r="AG26" s="44">
        <f t="shared" si="31"/>
        <v>961.5070855135109</v>
      </c>
      <c r="AH26" s="52">
        <f>HLOOKUP(I26,GasAvoidedCostsWOCC!$A$5:$Q$50,T26+1,FALSE)</f>
        <v>7.1400454873872068</v>
      </c>
      <c r="AI26" s="44">
        <f t="shared" si="32"/>
        <v>0</v>
      </c>
      <c r="AJ26" s="44">
        <f t="shared" si="33"/>
        <v>961.5070855135109</v>
      </c>
      <c r="AK26" s="44">
        <f>HLOOKUP(I26,GasAvoidedCostsWOCC!$A$5:$Q$50,G26+1,FALSE)*J26*L26</f>
        <v>0</v>
      </c>
      <c r="AL26" s="44">
        <f t="shared" si="34"/>
        <v>961.5070855135109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961.50708551351102</v>
      </c>
      <c r="AN26" s="48">
        <f t="shared" si="35"/>
        <v>4301.600644653473</v>
      </c>
      <c r="AO26" s="47">
        <f t="shared" si="36"/>
        <v>1.3126310801217429</v>
      </c>
      <c r="AP26" s="47">
        <f t="shared" si="37"/>
        <v>5.6263872640244363</v>
      </c>
      <c r="AQ26">
        <v>2020</v>
      </c>
    </row>
    <row r="27" spans="1:43" ht="13.5" customHeight="1">
      <c r="B27" s="97" t="s">
        <v>33</v>
      </c>
      <c r="C27" s="61">
        <v>18230700</v>
      </c>
      <c r="D27" s="61" t="s">
        <v>118</v>
      </c>
      <c r="E27" s="38" t="s">
        <v>1941</v>
      </c>
      <c r="F27" s="39" t="s">
        <v>1942</v>
      </c>
      <c r="G27" s="39">
        <v>10</v>
      </c>
      <c r="H27" s="39"/>
      <c r="I27" s="40" t="s">
        <v>265</v>
      </c>
      <c r="J27" s="41">
        <v>510.12</v>
      </c>
      <c r="K27" s="41">
        <v>0.9</v>
      </c>
      <c r="L27" s="41"/>
      <c r="M27" s="42">
        <v>0.54</v>
      </c>
      <c r="N27" s="42">
        <v>0.54</v>
      </c>
      <c r="O27" s="43">
        <v>459.08999999999799</v>
      </c>
      <c r="P27" s="44">
        <v>240.29999999999899</v>
      </c>
      <c r="Q27" s="44">
        <v>275.49</v>
      </c>
      <c r="R27" s="45">
        <v>3.8</v>
      </c>
      <c r="S27" s="46">
        <v>0</v>
      </c>
      <c r="T27" s="39">
        <f t="shared" si="19"/>
        <v>10</v>
      </c>
      <c r="U27" s="47">
        <f t="shared" si="20"/>
        <v>0.14426526028803965</v>
      </c>
      <c r="V27" s="48">
        <f t="shared" si="21"/>
        <v>0</v>
      </c>
      <c r="W27" s="49">
        <f t="shared" si="22"/>
        <v>1.4426526028803965E-2</v>
      </c>
      <c r="X27" s="44">
        <f t="shared" si="23"/>
        <v>1749.0583105324652</v>
      </c>
      <c r="Y27" s="44">
        <f t="shared" si="24"/>
        <v>35.190000000001021</v>
      </c>
      <c r="Z27" s="44">
        <f t="shared" si="25"/>
        <v>2670.9547279027411</v>
      </c>
      <c r="AA27" s="50">
        <f t="shared" si="26"/>
        <v>2024.5483105324652</v>
      </c>
      <c r="AB27" s="51">
        <f t="shared" si="27"/>
        <v>2496.9194427435177</v>
      </c>
      <c r="AC27" s="44">
        <f t="shared" si="28"/>
        <v>1892.6318692460175</v>
      </c>
      <c r="AD27" s="44">
        <f t="shared" si="29"/>
        <v>13633.804302507533</v>
      </c>
      <c r="AE27" s="44">
        <f t="shared" si="30"/>
        <v>0</v>
      </c>
      <c r="AF27" s="52">
        <f>HLOOKUP(I27,GasAvoidedCostsWOCC!$A$5:$G$50,G27+1,FALSE)</f>
        <v>7.1400454873872068</v>
      </c>
      <c r="AG27" s="44">
        <f t="shared" si="31"/>
        <v>3278.0520036233661</v>
      </c>
      <c r="AH27" s="52">
        <f>HLOOKUP(I27,GasAvoidedCostsWOCC!$A$5:$Q$50,T27+1,FALSE)</f>
        <v>7.1400454873872068</v>
      </c>
      <c r="AI27" s="44">
        <f t="shared" si="32"/>
        <v>0</v>
      </c>
      <c r="AJ27" s="44">
        <f t="shared" si="33"/>
        <v>3278.0520036233661</v>
      </c>
      <c r="AK27" s="44">
        <f>HLOOKUP(I27,GasAvoidedCostsWOCC!$A$5:$Q$50,G27+1,FALSE)*J27*L27</f>
        <v>0</v>
      </c>
      <c r="AL27" s="44">
        <f t="shared" si="34"/>
        <v>3278.0520036233661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3278.0520036233661</v>
      </c>
      <c r="AN27" s="48">
        <f t="shared" si="35"/>
        <v>17239.661506493238</v>
      </c>
      <c r="AO27" s="47">
        <f t="shared" si="36"/>
        <v>1.312838511130167</v>
      </c>
      <c r="AP27" s="47">
        <f t="shared" si="37"/>
        <v>9.1088297659074797</v>
      </c>
      <c r="AQ27">
        <v>2020</v>
      </c>
    </row>
    <row r="28" spans="1:43" ht="13.5" customHeight="1">
      <c r="B28" s="97" t="s">
        <v>33</v>
      </c>
      <c r="C28" s="61">
        <v>18230700</v>
      </c>
      <c r="D28" s="61" t="s">
        <v>118</v>
      </c>
      <c r="E28" s="38" t="s">
        <v>1943</v>
      </c>
      <c r="F28" s="39" t="s">
        <v>1942</v>
      </c>
      <c r="G28" s="39">
        <v>10</v>
      </c>
      <c r="H28" s="39"/>
      <c r="I28" s="40" t="s">
        <v>265</v>
      </c>
      <c r="J28" s="41">
        <v>243.88</v>
      </c>
      <c r="K28" s="41">
        <v>0.8</v>
      </c>
      <c r="L28" s="41"/>
      <c r="M28" s="42">
        <v>0.54</v>
      </c>
      <c r="N28" s="42">
        <v>0.54</v>
      </c>
      <c r="O28" s="43">
        <v>195.11</v>
      </c>
      <c r="P28" s="44">
        <v>142.22</v>
      </c>
      <c r="Q28" s="44">
        <v>131.63</v>
      </c>
      <c r="R28" s="45"/>
      <c r="S28" s="46">
        <v>0</v>
      </c>
      <c r="T28" s="39">
        <f t="shared" si="19"/>
        <v>10</v>
      </c>
      <c r="U28" s="47">
        <f t="shared" si="20"/>
        <v>6.1311714336621449E-2</v>
      </c>
      <c r="V28" s="48">
        <f t="shared" si="21"/>
        <v>0</v>
      </c>
      <c r="W28" s="49">
        <f t="shared" si="22"/>
        <v>6.1311714336621448E-3</v>
      </c>
      <c r="X28" s="44">
        <f t="shared" si="23"/>
        <v>743.33740000433636</v>
      </c>
      <c r="Y28" s="44">
        <f t="shared" si="24"/>
        <v>-10.590000000000003</v>
      </c>
      <c r="Z28" s="44">
        <f t="shared" si="25"/>
        <v>1135.1368510773621</v>
      </c>
      <c r="AA28" s="50">
        <f t="shared" si="26"/>
        <v>874.96740000433635</v>
      </c>
      <c r="AB28" s="51">
        <f t="shared" si="27"/>
        <v>1061.1730869191006</v>
      </c>
      <c r="AC28" s="44">
        <f t="shared" si="28"/>
        <v>817.95587548316007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7.1400454873872068</v>
      </c>
      <c r="AG28" s="44">
        <f t="shared" si="31"/>
        <v>1393.0514347711937</v>
      </c>
      <c r="AH28" s="52">
        <f>HLOOKUP(I28,GasAvoidedCostsWOCC!$A$5:$Q$50,T28+1,FALSE)</f>
        <v>7.1400454873872068</v>
      </c>
      <c r="AI28" s="44">
        <f t="shared" si="32"/>
        <v>0</v>
      </c>
      <c r="AJ28" s="44">
        <f t="shared" si="33"/>
        <v>1393.0514347711937</v>
      </c>
      <c r="AK28" s="44">
        <f>HLOOKUP(I28,GasAvoidedCostsWOCC!$A$5:$Q$50,G28+1,FALSE)*J28*L28</f>
        <v>0</v>
      </c>
      <c r="AL28" s="44">
        <f t="shared" si="34"/>
        <v>1393.0514347711937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1393.0514347711937</v>
      </c>
      <c r="AN28" s="48">
        <f t="shared" si="35"/>
        <v>1532.3565782483133</v>
      </c>
      <c r="AO28" s="47">
        <f t="shared" si="36"/>
        <v>1.3127466687038154</v>
      </c>
      <c r="AP28" s="47">
        <f t="shared" si="37"/>
        <v>1.8733976051497427</v>
      </c>
      <c r="AQ28">
        <v>2020</v>
      </c>
    </row>
    <row r="29" spans="1:43">
      <c r="B29" s="97" t="s">
        <v>33</v>
      </c>
      <c r="C29" s="61">
        <v>18230700</v>
      </c>
      <c r="D29" s="61" t="s">
        <v>118</v>
      </c>
      <c r="E29" s="38" t="s">
        <v>1944</v>
      </c>
      <c r="F29" s="39" t="s">
        <v>1945</v>
      </c>
      <c r="G29" s="39">
        <v>10</v>
      </c>
      <c r="H29" s="39"/>
      <c r="I29" s="40" t="s">
        <v>265</v>
      </c>
      <c r="J29" s="41">
        <v>84.31</v>
      </c>
      <c r="K29" s="41">
        <v>1.3</v>
      </c>
      <c r="L29" s="41"/>
      <c r="M29" s="42">
        <v>1.81</v>
      </c>
      <c r="N29" s="42">
        <v>1.81</v>
      </c>
      <c r="O29" s="43">
        <v>109.7</v>
      </c>
      <c r="P29" s="44">
        <v>270</v>
      </c>
      <c r="Q29" s="44">
        <v>152.54</v>
      </c>
      <c r="R29" s="45"/>
      <c r="S29" s="46">
        <v>0</v>
      </c>
      <c r="T29" s="39">
        <f t="shared" si="19"/>
        <v>10</v>
      </c>
      <c r="U29" s="47">
        <f t="shared" si="20"/>
        <v>3.4472323626299893E-2</v>
      </c>
      <c r="V29" s="48">
        <f t="shared" si="21"/>
        <v>0</v>
      </c>
      <c r="W29" s="49">
        <f t="shared" si="22"/>
        <v>3.4472323626299896E-3</v>
      </c>
      <c r="X29" s="44">
        <f t="shared" si="23"/>
        <v>417.93917677451537</v>
      </c>
      <c r="Y29" s="44">
        <f t="shared" si="24"/>
        <v>-117.46000000000001</v>
      </c>
      <c r="Z29" s="44">
        <f t="shared" si="25"/>
        <v>638.22721830345245</v>
      </c>
      <c r="AA29" s="50">
        <f t="shared" si="26"/>
        <v>570.47917677451539</v>
      </c>
      <c r="AB29" s="51">
        <f t="shared" si="27"/>
        <v>596.64131841025744</v>
      </c>
      <c r="AC29" s="44">
        <f t="shared" si="28"/>
        <v>533.30763464010033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7.1400454873872068</v>
      </c>
      <c r="AG29" s="44">
        <f t="shared" si="31"/>
        <v>782.57040555410015</v>
      </c>
      <c r="AH29" s="52">
        <f>HLOOKUP(I29,GasAvoidedCostsWOCC!$A$5:$Q$50,T29+1,FALSE)</f>
        <v>7.1400454873872068</v>
      </c>
      <c r="AI29" s="44">
        <f t="shared" si="32"/>
        <v>0</v>
      </c>
      <c r="AJ29" s="44">
        <f t="shared" si="33"/>
        <v>782.57040555410015</v>
      </c>
      <c r="AK29" s="44">
        <f>HLOOKUP(I29,GasAvoidedCostsWOCC!$A$5:$Q$50,G29+1,FALSE)*J29*L29</f>
        <v>0</v>
      </c>
      <c r="AL29" s="44">
        <f t="shared" si="34"/>
        <v>782.57040555410015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782.57040555410003</v>
      </c>
      <c r="AN29" s="48">
        <f t="shared" si="35"/>
        <v>860.82744610951011</v>
      </c>
      <c r="AO29" s="47">
        <f t="shared" si="36"/>
        <v>1.3116262340651299</v>
      </c>
      <c r="AP29" s="47">
        <f t="shared" si="37"/>
        <v>1.6141292383530843</v>
      </c>
      <c r="AQ29">
        <v>2020</v>
      </c>
    </row>
    <row r="30" spans="1:43">
      <c r="B30" s="97" t="s">
        <v>33</v>
      </c>
      <c r="C30" s="61">
        <v>18230700</v>
      </c>
      <c r="D30" s="61" t="s">
        <v>118</v>
      </c>
      <c r="E30" s="38" t="s">
        <v>1873</v>
      </c>
      <c r="F30" s="39" t="s">
        <v>1874</v>
      </c>
      <c r="G30" s="39">
        <v>10</v>
      </c>
      <c r="H30" s="39"/>
      <c r="I30" s="40" t="s">
        <v>265</v>
      </c>
      <c r="J30" s="41">
        <v>938</v>
      </c>
      <c r="K30" s="41">
        <v>0.6</v>
      </c>
      <c r="L30" s="41"/>
      <c r="M30" s="42">
        <v>0.54</v>
      </c>
      <c r="N30" s="42">
        <v>0.54</v>
      </c>
      <c r="O30" s="43">
        <v>562.79999999999802</v>
      </c>
      <c r="P30" s="44">
        <v>140.69999999999999</v>
      </c>
      <c r="Q30" s="44">
        <v>506.51999999999799</v>
      </c>
      <c r="R30" s="45">
        <v>2.74</v>
      </c>
      <c r="S30" s="46">
        <v>0</v>
      </c>
      <c r="T30" s="39">
        <f t="shared" si="19"/>
        <v>10</v>
      </c>
      <c r="U30" s="47">
        <f t="shared" si="20"/>
        <v>0.17685527563246595</v>
      </c>
      <c r="V30" s="48">
        <f t="shared" si="21"/>
        <v>0</v>
      </c>
      <c r="W30" s="49">
        <f t="shared" si="22"/>
        <v>1.7685527563246595E-2</v>
      </c>
      <c r="X30" s="44">
        <f t="shared" si="23"/>
        <v>2144.1765605168321</v>
      </c>
      <c r="Y30" s="44">
        <f t="shared" si="24"/>
        <v>365.819999999998</v>
      </c>
      <c r="Z30" s="44">
        <f t="shared" si="25"/>
        <v>3274.3325292723957</v>
      </c>
      <c r="AA30" s="50">
        <f t="shared" si="26"/>
        <v>2650.6965605168302</v>
      </c>
      <c r="AB30" s="51">
        <f t="shared" si="27"/>
        <v>3060.9820784073995</v>
      </c>
      <c r="AC30" s="44">
        <f t="shared" si="28"/>
        <v>2477.981266258605</v>
      </c>
      <c r="AD30" s="44">
        <f t="shared" si="29"/>
        <v>18076.506824999207</v>
      </c>
      <c r="AE30" s="44">
        <f t="shared" si="30"/>
        <v>0</v>
      </c>
      <c r="AF30" s="52">
        <f>HLOOKUP(I30,GasAvoidedCostsWOCC!$A$5:$G$50,G30+1,FALSE)</f>
        <v>7.1400454873872068</v>
      </c>
      <c r="AG30" s="44">
        <f t="shared" si="31"/>
        <v>4018.41760030152</v>
      </c>
      <c r="AH30" s="52">
        <f>HLOOKUP(I30,GasAvoidedCostsWOCC!$A$5:$Q$50,T30+1,FALSE)</f>
        <v>7.1400454873872068</v>
      </c>
      <c r="AI30" s="44">
        <f t="shared" si="32"/>
        <v>0</v>
      </c>
      <c r="AJ30" s="44">
        <f t="shared" si="33"/>
        <v>4018.41760030152</v>
      </c>
      <c r="AK30" s="44">
        <f>HLOOKUP(I30,GasAvoidedCostsWOCC!$A$5:$Q$50,G30+1,FALSE)*J30*L30</f>
        <v>0</v>
      </c>
      <c r="AL30" s="44">
        <f t="shared" si="34"/>
        <v>4018.41760030152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4018.4176003015195</v>
      </c>
      <c r="AN30" s="48">
        <f t="shared" si="35"/>
        <v>22496.766185330878</v>
      </c>
      <c r="AO30" s="47">
        <f t="shared" si="36"/>
        <v>1.3127870393779846</v>
      </c>
      <c r="AP30" s="47">
        <f t="shared" si="37"/>
        <v>9.0786667726902373</v>
      </c>
      <c r="AQ30">
        <v>2020</v>
      </c>
    </row>
    <row r="31" spans="1:43">
      <c r="B31" s="97" t="s">
        <v>33</v>
      </c>
      <c r="C31" s="61">
        <v>18230700</v>
      </c>
      <c r="D31" s="61" t="s">
        <v>118</v>
      </c>
      <c r="E31" s="38" t="s">
        <v>666</v>
      </c>
      <c r="F31" s="39" t="s">
        <v>667</v>
      </c>
      <c r="G31" s="39">
        <v>3</v>
      </c>
      <c r="H31" s="39">
        <v>7</v>
      </c>
      <c r="I31" s="40" t="s">
        <v>265</v>
      </c>
      <c r="J31" s="41">
        <v>247.88</v>
      </c>
      <c r="K31" s="41">
        <v>2.9</v>
      </c>
      <c r="L31" s="41">
        <v>2.9</v>
      </c>
      <c r="M31" s="42">
        <v>3</v>
      </c>
      <c r="N31" s="42">
        <v>1.58</v>
      </c>
      <c r="O31" s="43">
        <v>718.90999999999894</v>
      </c>
      <c r="P31" s="44">
        <v>1443</v>
      </c>
      <c r="Q31" s="44">
        <v>391.74</v>
      </c>
      <c r="R31" s="45">
        <v>8.8800000000000008</v>
      </c>
      <c r="S31" s="46">
        <v>0</v>
      </c>
      <c r="T31" s="39">
        <f t="shared" si="19"/>
        <v>10</v>
      </c>
      <c r="U31" s="47">
        <f t="shared" si="20"/>
        <v>0.22591156042099564</v>
      </c>
      <c r="V31" s="48">
        <f t="shared" si="21"/>
        <v>-1.42</v>
      </c>
      <c r="W31" s="49">
        <f t="shared" si="22"/>
        <v>2.2591156042099565E-2</v>
      </c>
      <c r="X31" s="44">
        <f t="shared" si="23"/>
        <v>2738.9302969459109</v>
      </c>
      <c r="Y31" s="44">
        <f t="shared" si="24"/>
        <v>-1051.26</v>
      </c>
      <c r="Z31" s="44">
        <f t="shared" si="25"/>
        <v>4182.5700046539141</v>
      </c>
      <c r="AA31" s="50">
        <f t="shared" si="26"/>
        <v>3130.6702969459111</v>
      </c>
      <c r="AB31" s="51">
        <f t="shared" si="27"/>
        <v>3910.0402025370795</v>
      </c>
      <c r="AC31" s="44">
        <f t="shared" si="28"/>
        <v>2926.6806552733578</v>
      </c>
      <c r="AD31" s="44">
        <f t="shared" si="29"/>
        <v>15481.589989811189</v>
      </c>
      <c r="AE31" s="44">
        <f t="shared" si="30"/>
        <v>0</v>
      </c>
      <c r="AF31" s="52">
        <f>HLOOKUP(I31,GasAvoidedCostsWOCC!$A$5:$G$50,G31+1,FALSE)</f>
        <v>2.3114255322367177</v>
      </c>
      <c r="AG31" s="44">
        <f t="shared" si="31"/>
        <v>1661.5728666994289</v>
      </c>
      <c r="AH31" s="52">
        <f>HLOOKUP(I31,GasAvoidedCostsWOCC!$A$5:$Q$50,T31+1,FALSE)</f>
        <v>7.1400454873872068</v>
      </c>
      <c r="AI31" s="44">
        <f t="shared" si="32"/>
        <v>5132.635978699268</v>
      </c>
      <c r="AJ31" s="44">
        <f t="shared" si="33"/>
        <v>6794.2088453986971</v>
      </c>
      <c r="AK31" s="44">
        <f>HLOOKUP(I31,GasAvoidedCostsWOCC!$A$5:$Q$50,G31+1,FALSE)*J31*L31</f>
        <v>1661.5728666994289</v>
      </c>
      <c r="AL31" s="44">
        <f t="shared" si="34"/>
        <v>5132.635978699268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5132.6359786992671</v>
      </c>
      <c r="AN31" s="48">
        <f t="shared" si="35"/>
        <v>21127.489566380384</v>
      </c>
      <c r="AO31" s="47">
        <f t="shared" si="36"/>
        <v>1.3126811267487457</v>
      </c>
      <c r="AP31" s="47">
        <f t="shared" si="37"/>
        <v>7.2189254841700636</v>
      </c>
      <c r="AQ31">
        <v>2020</v>
      </c>
    </row>
    <row r="32" spans="1:43">
      <c r="B32" s="97" t="s">
        <v>33</v>
      </c>
      <c r="C32" s="61">
        <v>18230700</v>
      </c>
      <c r="D32" s="61" t="s">
        <v>118</v>
      </c>
      <c r="E32" s="38" t="s">
        <v>668</v>
      </c>
      <c r="F32" s="39" t="s">
        <v>669</v>
      </c>
      <c r="G32" s="39">
        <v>3</v>
      </c>
      <c r="H32" s="39">
        <v>7</v>
      </c>
      <c r="I32" s="40" t="s">
        <v>265</v>
      </c>
      <c r="J32" s="41">
        <v>10058</v>
      </c>
      <c r="K32" s="41">
        <v>2.1</v>
      </c>
      <c r="L32" s="41">
        <v>2.1</v>
      </c>
      <c r="M32" s="42">
        <v>3</v>
      </c>
      <c r="N32" s="42">
        <v>1.58</v>
      </c>
      <c r="O32" s="43">
        <v>21121.8</v>
      </c>
      <c r="P32" s="44">
        <v>24097.5</v>
      </c>
      <c r="Q32" s="44">
        <v>15891.64</v>
      </c>
      <c r="R32" s="45">
        <v>5.34</v>
      </c>
      <c r="S32" s="46">
        <v>0</v>
      </c>
      <c r="T32" s="39">
        <f t="shared" si="19"/>
        <v>10</v>
      </c>
      <c r="U32" s="47">
        <f t="shared" si="20"/>
        <v>6.6373520981766729</v>
      </c>
      <c r="V32" s="48">
        <f t="shared" si="21"/>
        <v>-1.42</v>
      </c>
      <c r="W32" s="49">
        <f t="shared" si="22"/>
        <v>0.66373520981766732</v>
      </c>
      <c r="X32" s="44">
        <f t="shared" si="23"/>
        <v>80470.626289844644</v>
      </c>
      <c r="Y32" s="44">
        <f t="shared" si="24"/>
        <v>-8205.86</v>
      </c>
      <c r="Z32" s="44">
        <f t="shared" si="25"/>
        <v>122885.21111724577</v>
      </c>
      <c r="AA32" s="50">
        <f t="shared" si="26"/>
        <v>96362.266289844643</v>
      </c>
      <c r="AB32" s="51">
        <f t="shared" si="27"/>
        <v>114878.20053963331</v>
      </c>
      <c r="AC32" s="44">
        <f t="shared" si="28"/>
        <v>90083.449836257481</v>
      </c>
      <c r="AD32" s="44">
        <f t="shared" si="29"/>
        <v>377758.28371780168</v>
      </c>
      <c r="AE32" s="44">
        <f t="shared" si="30"/>
        <v>0</v>
      </c>
      <c r="AF32" s="52">
        <f>HLOOKUP(I32,GasAvoidedCostsWOCC!$A$5:$G$50,G32+1,FALSE)</f>
        <v>2.3114255322367177</v>
      </c>
      <c r="AG32" s="44">
        <f t="shared" si="31"/>
        <v>48821.467806797504</v>
      </c>
      <c r="AH32" s="52">
        <f>HLOOKUP(I32,GasAvoidedCostsWOCC!$A$5:$Q$50,T32+1,FALSE)</f>
        <v>7.1400454873872068</v>
      </c>
      <c r="AI32" s="44">
        <f t="shared" si="32"/>
        <v>150810.61277549513</v>
      </c>
      <c r="AJ32" s="44">
        <f t="shared" si="33"/>
        <v>199632.08058229263</v>
      </c>
      <c r="AK32" s="44">
        <f>HLOOKUP(I32,GasAvoidedCostsWOCC!$A$5:$Q$50,G32+1,FALSE)*J32*L32</f>
        <v>48821.467806797504</v>
      </c>
      <c r="AL32" s="44">
        <f t="shared" si="34"/>
        <v>150810.61277549513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150810.6127754951</v>
      </c>
      <c r="AN32" s="48">
        <f t="shared" si="35"/>
        <v>543649.95777084632</v>
      </c>
      <c r="AO32" s="47">
        <f t="shared" si="36"/>
        <v>1.3127870393779801</v>
      </c>
      <c r="AP32" s="47">
        <f t="shared" si="37"/>
        <v>6.034959348903997</v>
      </c>
      <c r="AQ32">
        <v>2020</v>
      </c>
    </row>
    <row r="33" spans="2:43">
      <c r="B33" s="97" t="s">
        <v>33</v>
      </c>
      <c r="C33" s="61">
        <v>18230700</v>
      </c>
      <c r="D33" s="61" t="s">
        <v>118</v>
      </c>
      <c r="E33" s="38" t="s">
        <v>670</v>
      </c>
      <c r="F33" s="39" t="s">
        <v>671</v>
      </c>
      <c r="G33" s="39">
        <v>3</v>
      </c>
      <c r="H33" s="39">
        <v>7</v>
      </c>
      <c r="I33" s="40" t="s">
        <v>265</v>
      </c>
      <c r="J33" s="41">
        <v>841</v>
      </c>
      <c r="K33" s="41">
        <v>1.5</v>
      </c>
      <c r="L33" s="41">
        <v>1.5</v>
      </c>
      <c r="M33" s="42">
        <v>1.5</v>
      </c>
      <c r="N33" s="42">
        <v>1.58</v>
      </c>
      <c r="O33" s="43">
        <v>1261.5</v>
      </c>
      <c r="P33" s="44">
        <v>689.20000000000903</v>
      </c>
      <c r="Q33" s="44">
        <v>1328.78</v>
      </c>
      <c r="R33" s="45">
        <v>2.5099999999999998</v>
      </c>
      <c r="S33" s="46">
        <v>0</v>
      </c>
      <c r="T33" s="39">
        <f t="shared" si="19"/>
        <v>10</v>
      </c>
      <c r="U33" s="47">
        <f t="shared" si="20"/>
        <v>0.3964160096132846</v>
      </c>
      <c r="V33" s="48">
        <f t="shared" si="21"/>
        <v>8.0000000000000071E-2</v>
      </c>
      <c r="W33" s="49">
        <f t="shared" si="22"/>
        <v>3.964160096132846E-2</v>
      </c>
      <c r="X33" s="44">
        <f t="shared" si="23"/>
        <v>4806.1100410305489</v>
      </c>
      <c r="Y33" s="44">
        <f t="shared" si="24"/>
        <v>639.57999999999095</v>
      </c>
      <c r="Z33" s="44">
        <f t="shared" si="25"/>
        <v>7339.3221138541967</v>
      </c>
      <c r="AA33" s="50">
        <f t="shared" si="26"/>
        <v>6134.8900410305487</v>
      </c>
      <c r="AB33" s="51">
        <f t="shared" si="27"/>
        <v>6861.1032194579748</v>
      </c>
      <c r="AC33" s="44">
        <f t="shared" si="28"/>
        <v>5735.1500804249308</v>
      </c>
      <c r="AD33" s="44">
        <f t="shared" si="29"/>
        <v>14846.730511399886</v>
      </c>
      <c r="AE33" s="44">
        <f t="shared" si="30"/>
        <v>0</v>
      </c>
      <c r="AF33" s="52">
        <f>HLOOKUP(I33,GasAvoidedCostsWOCC!$A$5:$G$50,G33+1,FALSE)</f>
        <v>2.3114255322367177</v>
      </c>
      <c r="AG33" s="44">
        <f t="shared" si="31"/>
        <v>2915.8633089166192</v>
      </c>
      <c r="AH33" s="52">
        <f>HLOOKUP(I33,GasAvoidedCostsWOCC!$A$5:$Q$50,T33+1,FALSE)</f>
        <v>7.1400454873872068</v>
      </c>
      <c r="AI33" s="44">
        <f t="shared" si="32"/>
        <v>9007.167382338961</v>
      </c>
      <c r="AJ33" s="44">
        <f t="shared" si="33"/>
        <v>11923.030691255581</v>
      </c>
      <c r="AK33" s="44">
        <f>HLOOKUP(I33,GasAvoidedCostsWOCC!$A$5:$Q$50,G33+1,FALSE)*J33*L33</f>
        <v>2915.8633089166192</v>
      </c>
      <c r="AL33" s="44">
        <f t="shared" si="34"/>
        <v>9007.167382338961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9007.1673823389629</v>
      </c>
      <c r="AN33" s="48">
        <f t="shared" si="35"/>
        <v>24754.614631972749</v>
      </c>
      <c r="AO33" s="47">
        <f t="shared" si="36"/>
        <v>1.3127870393779801</v>
      </c>
      <c r="AP33" s="47">
        <f t="shared" si="37"/>
        <v>4.3162976181677566</v>
      </c>
      <c r="AQ33">
        <v>2020</v>
      </c>
    </row>
    <row r="34" spans="2:43">
      <c r="B34" s="97" t="s">
        <v>33</v>
      </c>
      <c r="C34" s="61">
        <v>18230700</v>
      </c>
      <c r="D34" s="61" t="s">
        <v>118</v>
      </c>
      <c r="E34" s="38" t="s">
        <v>1952</v>
      </c>
      <c r="F34" s="39" t="s">
        <v>1953</v>
      </c>
      <c r="G34" s="39">
        <v>10</v>
      </c>
      <c r="H34" s="39"/>
      <c r="I34" s="40" t="s">
        <v>265</v>
      </c>
      <c r="J34" s="41">
        <v>31.96</v>
      </c>
      <c r="K34" s="41">
        <v>5.6</v>
      </c>
      <c r="L34" s="41"/>
      <c r="M34" s="42">
        <v>10</v>
      </c>
      <c r="N34" s="42">
        <v>5.29</v>
      </c>
      <c r="O34" s="43">
        <v>179</v>
      </c>
      <c r="P34" s="44">
        <v>1085</v>
      </c>
      <c r="Q34" s="44">
        <v>169.05</v>
      </c>
      <c r="R34" s="45"/>
      <c r="S34" s="46">
        <v>0</v>
      </c>
      <c r="T34" s="39">
        <f t="shared" si="19"/>
        <v>10</v>
      </c>
      <c r="U34" s="47">
        <f t="shared" si="20"/>
        <v>5.6249279207909585E-2</v>
      </c>
      <c r="V34" s="48">
        <f t="shared" si="21"/>
        <v>-4.71</v>
      </c>
      <c r="W34" s="49">
        <f t="shared" si="22"/>
        <v>5.6249279207909583E-3</v>
      </c>
      <c r="X34" s="44">
        <f t="shared" si="23"/>
        <v>681.96091743517093</v>
      </c>
      <c r="Y34" s="44">
        <f t="shared" si="24"/>
        <v>-915.95</v>
      </c>
      <c r="Z34" s="44">
        <f t="shared" si="25"/>
        <v>1041.4099551168458</v>
      </c>
      <c r="AA34" s="50">
        <f t="shared" si="26"/>
        <v>851.010917435171</v>
      </c>
      <c r="AB34" s="51">
        <f t="shared" si="27"/>
        <v>973.55329075146835</v>
      </c>
      <c r="AC34" s="44">
        <f t="shared" si="28"/>
        <v>795.56036032081045</v>
      </c>
      <c r="AD34" s="44">
        <f t="shared" si="29"/>
        <v>0</v>
      </c>
      <c r="AE34" s="44">
        <f t="shared" si="30"/>
        <v>0</v>
      </c>
      <c r="AF34" s="52">
        <f>HLOOKUP(I34,GasAvoidedCostsWOCC!$A$5:$G$50,G34+1,FALSE)</f>
        <v>7.1400454873872068</v>
      </c>
      <c r="AG34" s="44">
        <f t="shared" si="31"/>
        <v>1277.8967811506127</v>
      </c>
      <c r="AH34" s="52">
        <f>HLOOKUP(I34,GasAvoidedCostsWOCC!$A$5:$Q$50,T34+1,FALSE)</f>
        <v>7.1400454873872068</v>
      </c>
      <c r="AI34" s="44">
        <f t="shared" si="32"/>
        <v>0</v>
      </c>
      <c r="AJ34" s="44">
        <f t="shared" si="33"/>
        <v>1277.8967811506127</v>
      </c>
      <c r="AK34" s="44">
        <f>HLOOKUP(I34,GasAvoidedCostsWOCC!$A$5:$Q$50,G34+1,FALSE)*J34*L34</f>
        <v>0</v>
      </c>
      <c r="AL34" s="44">
        <f t="shared" si="34"/>
        <v>1277.8967811506127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1277.8967811506125</v>
      </c>
      <c r="AN34" s="48">
        <f t="shared" si="35"/>
        <v>1405.6864592656739</v>
      </c>
      <c r="AO34" s="47">
        <f t="shared" si="36"/>
        <v>1.3126110232386219</v>
      </c>
      <c r="AP34" s="47">
        <f t="shared" si="37"/>
        <v>1.7669136490144248</v>
      </c>
      <c r="AQ34">
        <v>2020</v>
      </c>
    </row>
    <row r="35" spans="2:43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3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3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3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3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3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3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3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3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3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3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3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3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3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</sheetData>
  <conditionalFormatting sqref="J5:L61">
    <cfRule type="expression" dxfId="109" priority="4">
      <formula>ISTEXT(J5)</formula>
    </cfRule>
    <cfRule type="notContainsBlanks" dxfId="108" priority="5">
      <formula>LEN(TRIM(J5))&gt;0</formula>
    </cfRule>
  </conditionalFormatting>
  <conditionalFormatting sqref="M5:N61 R5:S61">
    <cfRule type="expression" dxfId="107" priority="2">
      <formula>ISTEXT(M5)</formula>
    </cfRule>
  </conditionalFormatting>
  <conditionalFormatting sqref="M5:N61 R5:S61">
    <cfRule type="notContainsBlanks" dxfId="106" priority="3">
      <formula>LEN(TRIM(M5))&gt;0</formula>
    </cfRule>
  </conditionalFormatting>
  <conditionalFormatting sqref="R5:S61">
    <cfRule type="expression" dxfId="10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P117"/>
  <sheetViews>
    <sheetView zoomScale="85" zoomScaleNormal="85" workbookViewId="0">
      <pane ySplit="1" topLeftCell="A2" activePane="bottomLeft" state="frozen"/>
      <selection pane="bottomLeft" activeCell="H51" sqref="H51"/>
    </sheetView>
  </sheetViews>
  <sheetFormatPr defaultRowHeight="15"/>
  <cols>
    <col min="3" max="3" width="45.85546875" customWidth="1"/>
    <col min="4" max="4" width="13.28515625" customWidth="1"/>
    <col min="5" max="15" width="15.28515625" customWidth="1"/>
    <col min="16" max="16" width="23.7109375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3" t="s">
        <v>14</v>
      </c>
      <c r="P1" s="494" t="s">
        <v>518</v>
      </c>
    </row>
    <row r="2" spans="1:16" hidden="1">
      <c r="B2" t="s">
        <v>19</v>
      </c>
      <c r="C2" t="s">
        <v>20</v>
      </c>
      <c r="D2">
        <v>18230411</v>
      </c>
      <c r="E2" s="4">
        <v>99757.38</v>
      </c>
      <c r="F2" s="4">
        <v>81995.570000000007</v>
      </c>
      <c r="G2" s="4">
        <v>0</v>
      </c>
      <c r="H2" s="4">
        <v>0</v>
      </c>
      <c r="I2" s="4">
        <v>962941.5</v>
      </c>
      <c r="J2" s="4">
        <v>3202.26</v>
      </c>
      <c r="K2" s="4">
        <v>634.6</v>
      </c>
      <c r="L2" s="4">
        <v>0</v>
      </c>
      <c r="M2" s="4">
        <v>0</v>
      </c>
      <c r="N2" s="5">
        <f t="shared" ref="N2:N65" si="0">SUM(E2:M2)</f>
        <v>1148531.31</v>
      </c>
      <c r="O2" s="5">
        <f t="shared" ref="O2:O65" si="1">N2-L2</f>
        <v>1148531.31</v>
      </c>
      <c r="P2" t="s">
        <v>524</v>
      </c>
    </row>
    <row r="3" spans="1:16" hidden="1">
      <c r="B3" t="s">
        <v>23</v>
      </c>
      <c r="C3" t="s">
        <v>24</v>
      </c>
      <c r="D3">
        <v>18230667</v>
      </c>
      <c r="E3" s="4">
        <v>29416.99</v>
      </c>
      <c r="F3" s="4">
        <v>24131.73</v>
      </c>
      <c r="G3" s="4">
        <v>0</v>
      </c>
      <c r="H3" s="4">
        <v>0</v>
      </c>
      <c r="I3" s="4">
        <v>225250.11</v>
      </c>
      <c r="J3" s="4">
        <v>800.56</v>
      </c>
      <c r="K3" s="4">
        <v>158.65</v>
      </c>
      <c r="L3" s="4">
        <v>0</v>
      </c>
      <c r="M3" s="4">
        <v>0</v>
      </c>
      <c r="N3" s="5">
        <f t="shared" si="0"/>
        <v>279758.03999999998</v>
      </c>
      <c r="O3" s="5">
        <f t="shared" si="1"/>
        <v>279758.03999999998</v>
      </c>
      <c r="P3" t="s">
        <v>524</v>
      </c>
    </row>
    <row r="4" spans="1:16" hidden="1">
      <c r="B4" t="s">
        <v>29</v>
      </c>
      <c r="C4" t="s">
        <v>30</v>
      </c>
      <c r="D4">
        <v>18230624</v>
      </c>
      <c r="E4" s="4">
        <v>0</v>
      </c>
      <c r="F4" s="4">
        <v>0</v>
      </c>
      <c r="G4" s="4">
        <v>0</v>
      </c>
      <c r="H4" s="4">
        <v>0</v>
      </c>
      <c r="I4" s="4">
        <v>81122.25</v>
      </c>
      <c r="J4" s="4">
        <v>0</v>
      </c>
      <c r="K4" s="4">
        <v>0</v>
      </c>
      <c r="L4" s="4">
        <v>0</v>
      </c>
      <c r="M4" s="4">
        <v>0</v>
      </c>
      <c r="N4" s="5">
        <f t="shared" si="0"/>
        <v>81122.25</v>
      </c>
      <c r="O4" s="5">
        <f t="shared" si="1"/>
        <v>81122.25</v>
      </c>
      <c r="P4" t="s">
        <v>525</v>
      </c>
    </row>
    <row r="5" spans="1:16" hidden="1">
      <c r="B5" t="s">
        <v>65</v>
      </c>
      <c r="C5" t="s">
        <v>138</v>
      </c>
      <c r="D5">
        <v>18230724</v>
      </c>
      <c r="E5" s="4">
        <v>1254607.69</v>
      </c>
      <c r="F5" s="4">
        <v>1037524.47</v>
      </c>
      <c r="G5" s="4">
        <v>14884.42</v>
      </c>
      <c r="H5" s="4">
        <v>12147.99</v>
      </c>
      <c r="I5" s="4">
        <v>38521.199999999997</v>
      </c>
      <c r="J5" s="4">
        <v>16046.04</v>
      </c>
      <c r="K5" s="4">
        <v>550</v>
      </c>
      <c r="L5" s="4">
        <v>12401682.33</v>
      </c>
      <c r="M5" s="4">
        <v>0</v>
      </c>
      <c r="N5" s="5">
        <f t="shared" si="0"/>
        <v>14775964.140000001</v>
      </c>
      <c r="O5" s="5">
        <f t="shared" si="1"/>
        <v>2374281.8100000005</v>
      </c>
      <c r="P5" t="s">
        <v>523</v>
      </c>
    </row>
    <row r="6" spans="1:16" hidden="1">
      <c r="B6" t="s">
        <v>41</v>
      </c>
      <c r="C6" t="s">
        <v>42</v>
      </c>
      <c r="D6">
        <v>80500012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5">
        <f t="shared" si="0"/>
        <v>0</v>
      </c>
      <c r="O6" s="5">
        <f t="shared" si="1"/>
        <v>0</v>
      </c>
      <c r="P6" t="s">
        <v>526</v>
      </c>
    </row>
    <row r="7" spans="1:16" hidden="1">
      <c r="B7" t="s">
        <v>65</v>
      </c>
      <c r="C7" t="s">
        <v>507</v>
      </c>
      <c r="D7">
        <v>18230013</v>
      </c>
      <c r="E7" s="4">
        <v>0</v>
      </c>
      <c r="F7" s="4">
        <v>0</v>
      </c>
      <c r="G7" s="4">
        <v>0</v>
      </c>
      <c r="H7" s="4">
        <v>0</v>
      </c>
      <c r="I7" s="4">
        <v>42645</v>
      </c>
      <c r="J7" s="4">
        <v>0</v>
      </c>
      <c r="K7" s="4">
        <v>0</v>
      </c>
      <c r="L7" s="4">
        <v>0</v>
      </c>
      <c r="M7" s="4">
        <v>0</v>
      </c>
      <c r="N7" s="5">
        <f t="shared" si="0"/>
        <v>42645</v>
      </c>
      <c r="O7" s="5">
        <f t="shared" si="1"/>
        <v>42645</v>
      </c>
      <c r="P7" t="s">
        <v>523</v>
      </c>
    </row>
    <row r="8" spans="1:16" hidden="1">
      <c r="B8" t="s">
        <v>141</v>
      </c>
      <c r="C8" t="s">
        <v>512</v>
      </c>
      <c r="D8">
        <v>18230220</v>
      </c>
      <c r="E8" s="4">
        <v>0</v>
      </c>
      <c r="F8" s="4">
        <v>0</v>
      </c>
      <c r="G8" s="4">
        <v>0</v>
      </c>
      <c r="H8" s="4">
        <v>0</v>
      </c>
      <c r="I8" s="4">
        <v>42645</v>
      </c>
      <c r="J8" s="4">
        <v>0</v>
      </c>
      <c r="K8" s="4">
        <v>0</v>
      </c>
      <c r="L8" s="4">
        <v>0</v>
      </c>
      <c r="M8" s="4">
        <v>0</v>
      </c>
      <c r="N8" s="5">
        <f t="shared" si="0"/>
        <v>42645</v>
      </c>
      <c r="O8" s="5">
        <f t="shared" si="1"/>
        <v>42645</v>
      </c>
      <c r="P8" t="s">
        <v>523</v>
      </c>
    </row>
    <row r="9" spans="1:16" hidden="1">
      <c r="B9" t="s">
        <v>70</v>
      </c>
      <c r="C9" t="s">
        <v>511</v>
      </c>
      <c r="D9">
        <v>18230718</v>
      </c>
      <c r="E9" s="4">
        <v>29764.799999999999</v>
      </c>
      <c r="F9" s="4">
        <v>24394.63</v>
      </c>
      <c r="G9" s="4">
        <v>1852.26</v>
      </c>
      <c r="H9" s="4">
        <v>200</v>
      </c>
      <c r="I9" s="4">
        <v>1160.3</v>
      </c>
      <c r="J9" s="4">
        <v>500</v>
      </c>
      <c r="K9" s="4">
        <v>0</v>
      </c>
      <c r="L9" s="4">
        <v>191592.87</v>
      </c>
      <c r="M9" s="4">
        <v>0</v>
      </c>
      <c r="N9" s="5">
        <f t="shared" si="0"/>
        <v>249464.86</v>
      </c>
      <c r="O9" s="5">
        <f t="shared" si="1"/>
        <v>57871.989999999991</v>
      </c>
      <c r="P9" t="s">
        <v>523</v>
      </c>
    </row>
    <row r="10" spans="1:16" hidden="1">
      <c r="B10" t="s">
        <v>31</v>
      </c>
      <c r="C10" t="s">
        <v>515</v>
      </c>
      <c r="D10">
        <v>18231029</v>
      </c>
      <c r="E10" s="4">
        <v>7845.45</v>
      </c>
      <c r="F10" s="4">
        <v>6395.53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1500</v>
      </c>
      <c r="M10" s="4">
        <v>0</v>
      </c>
      <c r="N10" s="5">
        <f t="shared" si="0"/>
        <v>15740.98</v>
      </c>
      <c r="O10" s="5">
        <f t="shared" si="1"/>
        <v>14240.98</v>
      </c>
      <c r="P10" t="s">
        <v>523</v>
      </c>
    </row>
    <row r="11" spans="1:16" hidden="1">
      <c r="B11" t="s">
        <v>129</v>
      </c>
      <c r="C11" t="s">
        <v>130</v>
      </c>
      <c r="D11">
        <v>18230715</v>
      </c>
      <c r="E11" s="4">
        <v>131028.43</v>
      </c>
      <c r="F11" s="4">
        <v>108406.79</v>
      </c>
      <c r="G11" s="4">
        <v>941.64</v>
      </c>
      <c r="H11" s="4">
        <v>24644.29</v>
      </c>
      <c r="I11" s="4">
        <v>38317.65</v>
      </c>
      <c r="J11" s="4">
        <v>0</v>
      </c>
      <c r="K11" s="4">
        <v>0</v>
      </c>
      <c r="L11" s="4">
        <v>1882382.8</v>
      </c>
      <c r="M11" s="4">
        <v>0</v>
      </c>
      <c r="N11" s="5">
        <f t="shared" si="0"/>
        <v>2185721.6</v>
      </c>
      <c r="O11" s="5">
        <f t="shared" si="1"/>
        <v>303338.80000000005</v>
      </c>
      <c r="P11" t="s">
        <v>523</v>
      </c>
    </row>
    <row r="12" spans="1:16" hidden="1">
      <c r="B12" t="s">
        <v>123</v>
      </c>
      <c r="C12" t="s">
        <v>124</v>
      </c>
      <c r="D12">
        <v>18230706</v>
      </c>
      <c r="E12" s="4">
        <v>16621.72</v>
      </c>
      <c r="F12" s="4">
        <v>13757.7</v>
      </c>
      <c r="G12" s="4">
        <v>1259.31</v>
      </c>
      <c r="H12" s="4">
        <v>10006.299999999999</v>
      </c>
      <c r="I12" s="4">
        <v>16420.13</v>
      </c>
      <c r="J12" s="4">
        <v>0</v>
      </c>
      <c r="K12" s="4">
        <v>0</v>
      </c>
      <c r="L12" s="4">
        <v>260123</v>
      </c>
      <c r="M12" s="4">
        <v>0</v>
      </c>
      <c r="N12" s="5">
        <f t="shared" si="0"/>
        <v>318188.16000000003</v>
      </c>
      <c r="O12" s="5">
        <f t="shared" si="1"/>
        <v>58065.160000000033</v>
      </c>
      <c r="P12" t="s">
        <v>523</v>
      </c>
    </row>
    <row r="13" spans="1:16" hidden="1">
      <c r="B13" t="s">
        <v>65</v>
      </c>
      <c r="C13" t="s">
        <v>125</v>
      </c>
      <c r="D13">
        <v>18230711</v>
      </c>
      <c r="E13" s="4">
        <v>293970.09999999998</v>
      </c>
      <c r="F13" s="4">
        <v>605996.25</v>
      </c>
      <c r="G13" s="4">
        <v>3984.17</v>
      </c>
      <c r="H13" s="4">
        <v>18864.490000000002</v>
      </c>
      <c r="I13" s="4">
        <v>152273.65</v>
      </c>
      <c r="J13" s="4">
        <v>4251.5200000000004</v>
      </c>
      <c r="K13" s="4">
        <v>1433.97</v>
      </c>
      <c r="L13" s="4">
        <v>1862866</v>
      </c>
      <c r="M13" s="4">
        <v>0</v>
      </c>
      <c r="N13" s="5">
        <f t="shared" si="0"/>
        <v>2943640.15</v>
      </c>
      <c r="O13" s="5">
        <f t="shared" si="1"/>
        <v>1080774.1499999999</v>
      </c>
      <c r="P13" t="s">
        <v>523</v>
      </c>
    </row>
    <row r="14" spans="1:16" hidden="1">
      <c r="B14" t="s">
        <v>141</v>
      </c>
      <c r="C14" t="s">
        <v>142</v>
      </c>
      <c r="D14">
        <v>18230731</v>
      </c>
      <c r="E14" s="4">
        <v>216045.64</v>
      </c>
      <c r="F14" s="4">
        <v>178202.41</v>
      </c>
      <c r="G14" s="4">
        <v>432.88</v>
      </c>
      <c r="H14" s="4">
        <v>3977.24</v>
      </c>
      <c r="I14" s="4">
        <v>40634.769999999997</v>
      </c>
      <c r="J14" s="4">
        <v>519.61</v>
      </c>
      <c r="K14" s="4">
        <v>97.5</v>
      </c>
      <c r="L14" s="4">
        <v>1093716.45</v>
      </c>
      <c r="M14" s="4">
        <v>0</v>
      </c>
      <c r="N14" s="5">
        <f t="shared" si="0"/>
        <v>1533626.5</v>
      </c>
      <c r="O14" s="5">
        <f t="shared" si="1"/>
        <v>439910.05000000005</v>
      </c>
      <c r="P14" t="s">
        <v>523</v>
      </c>
    </row>
    <row r="15" spans="1:16" hidden="1">
      <c r="B15" t="s">
        <v>70</v>
      </c>
      <c r="C15" t="s">
        <v>131</v>
      </c>
      <c r="D15">
        <v>18230716</v>
      </c>
      <c r="E15" s="4">
        <v>17086.25</v>
      </c>
      <c r="F15" s="4">
        <v>14068.59</v>
      </c>
      <c r="G15" s="4">
        <v>1252.95</v>
      </c>
      <c r="H15" s="4">
        <v>15</v>
      </c>
      <c r="I15" s="4">
        <v>34111.4</v>
      </c>
      <c r="J15" s="4">
        <v>0</v>
      </c>
      <c r="K15" s="4">
        <v>-31.82</v>
      </c>
      <c r="L15" s="4">
        <v>149021.19</v>
      </c>
      <c r="M15" s="4">
        <v>0</v>
      </c>
      <c r="N15" s="5">
        <f t="shared" si="0"/>
        <v>215523.56</v>
      </c>
      <c r="O15" s="5">
        <f t="shared" si="1"/>
        <v>66502.37</v>
      </c>
      <c r="P15" t="s">
        <v>523</v>
      </c>
    </row>
    <row r="16" spans="1:16" hidden="1">
      <c r="B16" t="s">
        <v>31</v>
      </c>
      <c r="C16" t="s">
        <v>164</v>
      </c>
      <c r="D16">
        <v>18231027</v>
      </c>
      <c r="E16" s="4">
        <v>92513.02</v>
      </c>
      <c r="F16" s="4">
        <v>76340.62</v>
      </c>
      <c r="G16" s="4">
        <v>10098.39</v>
      </c>
      <c r="H16" s="4">
        <v>135</v>
      </c>
      <c r="I16" s="4">
        <v>127248.4</v>
      </c>
      <c r="J16" s="4">
        <v>53.9</v>
      </c>
      <c r="K16" s="4">
        <v>7169.49</v>
      </c>
      <c r="L16" s="4">
        <v>555164.26</v>
      </c>
      <c r="M16" s="4">
        <v>0</v>
      </c>
      <c r="N16" s="5">
        <f t="shared" si="0"/>
        <v>868723.08000000007</v>
      </c>
      <c r="O16" s="5">
        <f t="shared" si="1"/>
        <v>313558.82000000007</v>
      </c>
      <c r="P16" t="s">
        <v>523</v>
      </c>
    </row>
    <row r="17" spans="2:16" hidden="1">
      <c r="B17" t="s">
        <v>70</v>
      </c>
      <c r="C17" t="s">
        <v>510</v>
      </c>
      <c r="D17">
        <v>18230524</v>
      </c>
      <c r="E17" s="4">
        <v>29684.6</v>
      </c>
      <c r="F17" s="4">
        <v>24535.33</v>
      </c>
      <c r="G17" s="4">
        <v>0</v>
      </c>
      <c r="H17" s="4">
        <v>0</v>
      </c>
      <c r="I17" s="4">
        <v>30367.65</v>
      </c>
      <c r="J17" s="4">
        <v>0</v>
      </c>
      <c r="K17" s="4">
        <v>2485.27</v>
      </c>
      <c r="L17" s="4">
        <v>301801.62</v>
      </c>
      <c r="M17" s="4">
        <v>0</v>
      </c>
      <c r="N17" s="5">
        <f t="shared" si="0"/>
        <v>388874.47</v>
      </c>
      <c r="O17" s="5">
        <f t="shared" si="1"/>
        <v>87072.849999999977</v>
      </c>
      <c r="P17" t="s">
        <v>523</v>
      </c>
    </row>
    <row r="18" spans="2:16" hidden="1">
      <c r="B18" t="s">
        <v>31</v>
      </c>
      <c r="C18" t="s">
        <v>514</v>
      </c>
      <c r="D18">
        <v>18230248</v>
      </c>
      <c r="E18" s="4">
        <v>24843.97</v>
      </c>
      <c r="F18" s="4">
        <v>20531.490000000002</v>
      </c>
      <c r="G18" s="4">
        <v>0</v>
      </c>
      <c r="H18" s="4">
        <v>163.79</v>
      </c>
      <c r="I18" s="4">
        <v>362586.81</v>
      </c>
      <c r="J18" s="4">
        <v>249.21</v>
      </c>
      <c r="K18" s="4">
        <v>0</v>
      </c>
      <c r="L18" s="4">
        <v>1709795.65</v>
      </c>
      <c r="M18" s="4">
        <v>0</v>
      </c>
      <c r="N18" s="5">
        <f t="shared" si="0"/>
        <v>2118170.92</v>
      </c>
      <c r="O18" s="5">
        <f t="shared" si="1"/>
        <v>408375.27</v>
      </c>
      <c r="P18" t="s">
        <v>523</v>
      </c>
    </row>
    <row r="19" spans="2:16" hidden="1">
      <c r="B19" t="s">
        <v>25</v>
      </c>
      <c r="C19" t="s">
        <v>26</v>
      </c>
      <c r="D19">
        <v>18230140</v>
      </c>
      <c r="E19" s="4">
        <v>7953.65</v>
      </c>
      <c r="F19" s="4">
        <v>6627.28</v>
      </c>
      <c r="G19" s="4">
        <v>0</v>
      </c>
      <c r="H19" s="4">
        <v>106.76</v>
      </c>
      <c r="I19" s="4">
        <v>0</v>
      </c>
      <c r="J19" s="4">
        <v>0</v>
      </c>
      <c r="K19" s="4">
        <v>0</v>
      </c>
      <c r="L19" s="4">
        <v>194915</v>
      </c>
      <c r="M19" s="4">
        <v>0</v>
      </c>
      <c r="N19" s="5">
        <f t="shared" si="0"/>
        <v>209602.69</v>
      </c>
      <c r="O19" s="5">
        <f t="shared" si="1"/>
        <v>14687.690000000002</v>
      </c>
      <c r="P19" t="s">
        <v>522</v>
      </c>
    </row>
    <row r="20" spans="2:16" hidden="1">
      <c r="B20" t="s">
        <v>84</v>
      </c>
      <c r="C20" t="s">
        <v>85</v>
      </c>
      <c r="D20">
        <v>18230640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5">
        <f t="shared" si="0"/>
        <v>0</v>
      </c>
      <c r="O20" s="5">
        <f t="shared" si="1"/>
        <v>0</v>
      </c>
      <c r="P20" t="s">
        <v>522</v>
      </c>
    </row>
    <row r="21" spans="2:16" hidden="1">
      <c r="B21" t="s">
        <v>136</v>
      </c>
      <c r="C21" t="s">
        <v>137</v>
      </c>
      <c r="D21">
        <v>18230723</v>
      </c>
      <c r="E21" s="4">
        <v>338000.52</v>
      </c>
      <c r="F21" s="4">
        <v>278488.52</v>
      </c>
      <c r="G21" s="4">
        <v>66.209999999999994</v>
      </c>
      <c r="H21" s="4">
        <v>6285.03</v>
      </c>
      <c r="I21" s="4">
        <v>225800.75</v>
      </c>
      <c r="J21" s="4">
        <v>1343.47</v>
      </c>
      <c r="K21" s="4">
        <v>926.06</v>
      </c>
      <c r="L21" s="4">
        <v>388417</v>
      </c>
      <c r="M21" s="4">
        <v>0</v>
      </c>
      <c r="N21" s="5">
        <f t="shared" si="0"/>
        <v>1239327.56</v>
      </c>
      <c r="O21" s="5">
        <f t="shared" si="1"/>
        <v>850910.56</v>
      </c>
      <c r="P21" t="s">
        <v>523</v>
      </c>
    </row>
    <row r="22" spans="2:16" hidden="1">
      <c r="B22" t="s">
        <v>112</v>
      </c>
      <c r="C22" t="s">
        <v>113</v>
      </c>
      <c r="D22">
        <v>18230691</v>
      </c>
      <c r="E22" s="4">
        <v>195044.56</v>
      </c>
      <c r="F22" s="4">
        <v>160641.64000000001</v>
      </c>
      <c r="G22" s="4">
        <v>0</v>
      </c>
      <c r="H22" s="4">
        <v>3735.13</v>
      </c>
      <c r="I22" s="4">
        <v>76108.5</v>
      </c>
      <c r="J22" s="4">
        <v>516.98</v>
      </c>
      <c r="K22" s="4">
        <v>575.17999999999995</v>
      </c>
      <c r="L22" s="4">
        <v>113779</v>
      </c>
      <c r="M22" s="4">
        <v>0</v>
      </c>
      <c r="N22" s="5">
        <f t="shared" si="0"/>
        <v>550400.99</v>
      </c>
      <c r="O22" s="5">
        <f t="shared" si="1"/>
        <v>436621.99</v>
      </c>
      <c r="P22" t="s">
        <v>523</v>
      </c>
    </row>
    <row r="23" spans="2:16" hidden="1">
      <c r="B23" t="s">
        <v>43</v>
      </c>
      <c r="C23" t="s">
        <v>44</v>
      </c>
      <c r="D23">
        <v>18230809</v>
      </c>
      <c r="E23" s="4">
        <v>67615.03</v>
      </c>
      <c r="F23" s="4">
        <v>55863.25</v>
      </c>
      <c r="G23" s="4">
        <v>0</v>
      </c>
      <c r="H23" s="4">
        <v>0</v>
      </c>
      <c r="I23" s="4">
        <v>51472.07</v>
      </c>
      <c r="J23" s="4">
        <v>0</v>
      </c>
      <c r="K23" s="4">
        <v>0</v>
      </c>
      <c r="L23" s="4">
        <v>0</v>
      </c>
      <c r="M23" s="4">
        <v>0</v>
      </c>
      <c r="N23" s="5">
        <f t="shared" si="0"/>
        <v>174950.35</v>
      </c>
      <c r="O23" s="5">
        <f t="shared" si="1"/>
        <v>174950.35</v>
      </c>
      <c r="P23" t="s">
        <v>525</v>
      </c>
    </row>
    <row r="24" spans="2:16" hidden="1">
      <c r="B24" t="s">
        <v>45</v>
      </c>
      <c r="C24" t="s">
        <v>46</v>
      </c>
      <c r="D24">
        <v>18230703</v>
      </c>
      <c r="E24" s="4">
        <v>9659.2900000000009</v>
      </c>
      <c r="F24" s="4">
        <v>7980.49</v>
      </c>
      <c r="G24" s="4">
        <v>0</v>
      </c>
      <c r="H24" s="4">
        <v>0</v>
      </c>
      <c r="I24" s="4">
        <v>7691.23</v>
      </c>
      <c r="J24" s="4">
        <v>0</v>
      </c>
      <c r="K24" s="4">
        <v>0</v>
      </c>
      <c r="L24" s="4">
        <v>0</v>
      </c>
      <c r="M24" s="4">
        <v>0</v>
      </c>
      <c r="N24" s="5">
        <f t="shared" si="0"/>
        <v>25331.01</v>
      </c>
      <c r="O24" s="5">
        <f t="shared" si="1"/>
        <v>25331.01</v>
      </c>
      <c r="P24" t="s">
        <v>525</v>
      </c>
    </row>
    <row r="25" spans="2:16" hidden="1">
      <c r="B25" t="s">
        <v>47</v>
      </c>
      <c r="C25" t="s">
        <v>48</v>
      </c>
      <c r="D25">
        <v>18230508</v>
      </c>
      <c r="E25" s="4">
        <v>36990.6</v>
      </c>
      <c r="F25" s="4">
        <v>30538.69</v>
      </c>
      <c r="G25" s="4">
        <v>0</v>
      </c>
      <c r="H25" s="4">
        <v>0</v>
      </c>
      <c r="I25" s="4">
        <v>431043.3</v>
      </c>
      <c r="J25" s="4">
        <v>0</v>
      </c>
      <c r="K25" s="4">
        <v>0</v>
      </c>
      <c r="L25" s="4">
        <v>0</v>
      </c>
      <c r="M25" s="4">
        <v>0</v>
      </c>
      <c r="N25" s="5">
        <f t="shared" si="0"/>
        <v>498572.58999999997</v>
      </c>
      <c r="O25" s="5">
        <f t="shared" si="1"/>
        <v>498572.58999999997</v>
      </c>
      <c r="P25" t="s">
        <v>524</v>
      </c>
    </row>
    <row r="26" spans="2:16" hidden="1">
      <c r="B26" t="s">
        <v>55</v>
      </c>
      <c r="C26" t="s">
        <v>56</v>
      </c>
      <c r="D26">
        <v>18230690</v>
      </c>
      <c r="E26" s="4">
        <v>3877.28</v>
      </c>
      <c r="F26" s="4">
        <v>3149.55</v>
      </c>
      <c r="G26" s="4">
        <v>0</v>
      </c>
      <c r="H26" s="4">
        <v>0</v>
      </c>
      <c r="I26" s="4">
        <v>64408.77</v>
      </c>
      <c r="J26" s="4">
        <v>0</v>
      </c>
      <c r="K26" s="4">
        <v>0</v>
      </c>
      <c r="L26" s="4">
        <v>0</v>
      </c>
      <c r="M26" s="4">
        <v>0</v>
      </c>
      <c r="N26" s="5">
        <f t="shared" si="0"/>
        <v>71435.599999999991</v>
      </c>
      <c r="O26" s="5">
        <f t="shared" si="1"/>
        <v>71435.599999999991</v>
      </c>
      <c r="P26" t="s">
        <v>524</v>
      </c>
    </row>
    <row r="27" spans="2:16" hidden="1">
      <c r="B27" t="s">
        <v>47</v>
      </c>
      <c r="C27" t="s">
        <v>57</v>
      </c>
      <c r="D27">
        <v>18230408</v>
      </c>
      <c r="E27" s="4">
        <v>57140.71</v>
      </c>
      <c r="F27" s="4">
        <v>46992.49</v>
      </c>
      <c r="G27" s="4">
        <v>0</v>
      </c>
      <c r="H27" s="4">
        <v>0</v>
      </c>
      <c r="I27" s="4">
        <v>378696.45</v>
      </c>
      <c r="J27" s="4">
        <v>407.63</v>
      </c>
      <c r="K27" s="4">
        <v>0</v>
      </c>
      <c r="L27" s="4">
        <v>0</v>
      </c>
      <c r="M27" s="4">
        <v>0</v>
      </c>
      <c r="N27" s="5">
        <f t="shared" si="0"/>
        <v>483237.28</v>
      </c>
      <c r="O27" s="5">
        <f t="shared" si="1"/>
        <v>483237.28</v>
      </c>
      <c r="P27" t="s">
        <v>524</v>
      </c>
    </row>
    <row r="28" spans="2:16" hidden="1">
      <c r="B28" t="s">
        <v>55</v>
      </c>
      <c r="C28" t="s">
        <v>58</v>
      </c>
      <c r="D28">
        <v>18230737</v>
      </c>
      <c r="E28" s="4">
        <v>7996.77</v>
      </c>
      <c r="F28" s="4">
        <v>6624.26</v>
      </c>
      <c r="G28" s="4">
        <v>0</v>
      </c>
      <c r="H28" s="4">
        <v>0</v>
      </c>
      <c r="I28" s="4">
        <v>70383.710000000006</v>
      </c>
      <c r="J28" s="4">
        <v>60.91</v>
      </c>
      <c r="K28" s="4">
        <v>0</v>
      </c>
      <c r="L28" s="4">
        <v>0</v>
      </c>
      <c r="M28" s="4">
        <v>0</v>
      </c>
      <c r="N28" s="5">
        <f t="shared" si="0"/>
        <v>85065.650000000009</v>
      </c>
      <c r="O28" s="5">
        <f t="shared" si="1"/>
        <v>85065.650000000009</v>
      </c>
      <c r="P28" t="s">
        <v>524</v>
      </c>
    </row>
    <row r="29" spans="2:16" hidden="1">
      <c r="B29" t="s">
        <v>61</v>
      </c>
      <c r="C29" t="s">
        <v>62</v>
      </c>
      <c r="D29">
        <v>18230745</v>
      </c>
      <c r="E29" s="4">
        <v>379779.95</v>
      </c>
      <c r="F29" s="4">
        <v>313761.96000000002</v>
      </c>
      <c r="G29" s="4">
        <v>0</v>
      </c>
      <c r="H29" s="4">
        <v>0</v>
      </c>
      <c r="I29" s="4">
        <v>234900</v>
      </c>
      <c r="J29" s="4">
        <v>0</v>
      </c>
      <c r="K29" s="4">
        <v>0</v>
      </c>
      <c r="L29" s="4">
        <v>0</v>
      </c>
      <c r="M29" s="4">
        <v>0</v>
      </c>
      <c r="N29" s="5">
        <f t="shared" si="0"/>
        <v>928441.91</v>
      </c>
      <c r="O29" s="5">
        <f t="shared" si="1"/>
        <v>928441.91</v>
      </c>
      <c r="P29" t="s">
        <v>524</v>
      </c>
    </row>
    <row r="30" spans="2:16" hidden="1">
      <c r="B30" t="s">
        <v>63</v>
      </c>
      <c r="C30" t="s">
        <v>64</v>
      </c>
      <c r="D30">
        <v>18231005</v>
      </c>
      <c r="E30" s="4">
        <v>56745.65</v>
      </c>
      <c r="F30" s="4">
        <v>46881.440000000002</v>
      </c>
      <c r="G30" s="4">
        <v>0</v>
      </c>
      <c r="H30" s="4">
        <v>0</v>
      </c>
      <c r="I30" s="4">
        <v>35100</v>
      </c>
      <c r="J30" s="4">
        <v>0</v>
      </c>
      <c r="K30" s="4">
        <v>0</v>
      </c>
      <c r="L30" s="4">
        <v>0</v>
      </c>
      <c r="M30" s="4">
        <v>0</v>
      </c>
      <c r="N30" s="5">
        <f t="shared" si="0"/>
        <v>138727.09</v>
      </c>
      <c r="O30" s="5">
        <f t="shared" si="1"/>
        <v>138727.09</v>
      </c>
      <c r="P30" t="s">
        <v>524</v>
      </c>
    </row>
    <row r="31" spans="2:16" hidden="1">
      <c r="B31" t="s">
        <v>47</v>
      </c>
      <c r="C31" t="s">
        <v>66</v>
      </c>
      <c r="D31">
        <v>18230400</v>
      </c>
      <c r="E31" s="4">
        <v>28922.81</v>
      </c>
      <c r="F31" s="4">
        <v>23897.03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5">
        <f t="shared" si="0"/>
        <v>52819.839999999997</v>
      </c>
      <c r="O31" s="5">
        <f t="shared" si="1"/>
        <v>52819.839999999997</v>
      </c>
      <c r="P31" t="s">
        <v>524</v>
      </c>
    </row>
    <row r="32" spans="2:16" hidden="1">
      <c r="B32" t="s">
        <v>55</v>
      </c>
      <c r="C32" t="s">
        <v>67</v>
      </c>
      <c r="D32">
        <v>18230665</v>
      </c>
      <c r="E32" s="4">
        <v>25455.51</v>
      </c>
      <c r="F32" s="4">
        <v>20911.669999999998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5">
        <f t="shared" si="0"/>
        <v>46367.179999999993</v>
      </c>
      <c r="O32" s="5">
        <f t="shared" si="1"/>
        <v>46367.179999999993</v>
      </c>
      <c r="P32" t="s">
        <v>524</v>
      </c>
    </row>
    <row r="33" spans="2:16" hidden="1">
      <c r="B33" t="s">
        <v>68</v>
      </c>
      <c r="C33" t="s">
        <v>69</v>
      </c>
      <c r="D33">
        <v>18230418</v>
      </c>
      <c r="E33" s="4">
        <v>290120.42</v>
      </c>
      <c r="F33" s="4">
        <v>240251.11</v>
      </c>
      <c r="G33" s="4">
        <v>0</v>
      </c>
      <c r="H33" s="4">
        <v>21.75</v>
      </c>
      <c r="I33" s="4">
        <v>0</v>
      </c>
      <c r="J33" s="4">
        <v>15.85</v>
      </c>
      <c r="K33" s="4">
        <v>0</v>
      </c>
      <c r="L33" s="4">
        <v>0</v>
      </c>
      <c r="M33" s="4">
        <v>0</v>
      </c>
      <c r="N33" s="5">
        <f t="shared" si="0"/>
        <v>530409.13</v>
      </c>
      <c r="O33" s="5">
        <f t="shared" si="1"/>
        <v>530409.13</v>
      </c>
      <c r="P33" t="s">
        <v>524</v>
      </c>
    </row>
    <row r="34" spans="2:16" hidden="1">
      <c r="B34" t="s">
        <v>72</v>
      </c>
      <c r="C34" t="s">
        <v>73</v>
      </c>
      <c r="D34">
        <v>18230668</v>
      </c>
      <c r="E34" s="4">
        <v>32348.81</v>
      </c>
      <c r="F34" s="4">
        <v>26851.1</v>
      </c>
      <c r="G34" s="4">
        <v>0</v>
      </c>
      <c r="H34" s="4">
        <v>3.25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5">
        <f t="shared" si="0"/>
        <v>59203.16</v>
      </c>
      <c r="O34" s="5">
        <f t="shared" si="1"/>
        <v>59203.16</v>
      </c>
      <c r="P34" t="s">
        <v>524</v>
      </c>
    </row>
    <row r="35" spans="2:16" hidden="1">
      <c r="B35" t="s">
        <v>76</v>
      </c>
      <c r="C35" t="s">
        <v>77</v>
      </c>
      <c r="D35">
        <v>18230610</v>
      </c>
      <c r="E35" s="4">
        <v>548377.46</v>
      </c>
      <c r="F35" s="4">
        <v>451871.12</v>
      </c>
      <c r="G35" s="4">
        <v>0</v>
      </c>
      <c r="H35" s="4">
        <v>4185.82</v>
      </c>
      <c r="I35" s="4">
        <v>256</v>
      </c>
      <c r="J35" s="4">
        <v>2329.52</v>
      </c>
      <c r="K35" s="4">
        <v>51.48</v>
      </c>
      <c r="L35" s="4">
        <v>0</v>
      </c>
      <c r="M35" s="4">
        <v>0</v>
      </c>
      <c r="N35" s="5">
        <f t="shared" si="0"/>
        <v>1007071.3999999999</v>
      </c>
      <c r="O35" s="5">
        <f t="shared" si="1"/>
        <v>1007071.3999999999</v>
      </c>
      <c r="P35" t="s">
        <v>524</v>
      </c>
    </row>
    <row r="36" spans="2:16" hidden="1">
      <c r="B36" t="s">
        <v>86</v>
      </c>
      <c r="C36" t="s">
        <v>87</v>
      </c>
      <c r="D36">
        <v>18230704</v>
      </c>
      <c r="E36" s="4">
        <v>43618.080000000002</v>
      </c>
      <c r="F36" s="4">
        <v>36157.730000000003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5">
        <f t="shared" si="0"/>
        <v>79775.81</v>
      </c>
      <c r="O36" s="5">
        <f t="shared" si="1"/>
        <v>79775.81</v>
      </c>
      <c r="P36" t="s">
        <v>524</v>
      </c>
    </row>
    <row r="37" spans="2:16" hidden="1">
      <c r="B37" t="s">
        <v>88</v>
      </c>
      <c r="C37" t="s">
        <v>89</v>
      </c>
      <c r="D37">
        <v>18230811</v>
      </c>
      <c r="E37" s="4">
        <v>398552.12</v>
      </c>
      <c r="F37" s="4">
        <v>329464.99</v>
      </c>
      <c r="G37" s="4">
        <v>14121.4</v>
      </c>
      <c r="H37" s="4">
        <v>682.74</v>
      </c>
      <c r="I37" s="4">
        <v>41904.410000000003</v>
      </c>
      <c r="J37" s="4">
        <v>121.76</v>
      </c>
      <c r="K37" s="4">
        <v>5493.17</v>
      </c>
      <c r="L37" s="4">
        <v>0</v>
      </c>
      <c r="M37" s="4">
        <v>0</v>
      </c>
      <c r="N37" s="5">
        <f t="shared" si="0"/>
        <v>790340.59000000008</v>
      </c>
      <c r="O37" s="5">
        <f t="shared" si="1"/>
        <v>790340.59000000008</v>
      </c>
      <c r="P37" t="s">
        <v>524</v>
      </c>
    </row>
    <row r="38" spans="2:16" hidden="1">
      <c r="B38" t="s">
        <v>90</v>
      </c>
      <c r="C38" t="s">
        <v>91</v>
      </c>
      <c r="D38">
        <v>18230657</v>
      </c>
      <c r="E38" s="4">
        <v>92164.17</v>
      </c>
      <c r="F38" s="4">
        <v>76179.67</v>
      </c>
      <c r="G38" s="4">
        <v>2110.1</v>
      </c>
      <c r="H38" s="4">
        <v>74.010000000000005</v>
      </c>
      <c r="I38" s="4">
        <v>6529.34</v>
      </c>
      <c r="J38" s="4">
        <v>11.7</v>
      </c>
      <c r="K38" s="4">
        <v>510.94</v>
      </c>
      <c r="L38" s="4">
        <v>0</v>
      </c>
      <c r="M38" s="4">
        <v>0</v>
      </c>
      <c r="N38" s="5">
        <f t="shared" si="0"/>
        <v>177579.93000000002</v>
      </c>
      <c r="O38" s="5">
        <f t="shared" si="1"/>
        <v>177579.93000000002</v>
      </c>
      <c r="P38" t="s">
        <v>524</v>
      </c>
    </row>
    <row r="39" spans="2:16" hidden="1">
      <c r="B39" t="s">
        <v>129</v>
      </c>
      <c r="C39" t="s">
        <v>508</v>
      </c>
      <c r="D39">
        <v>18231136</v>
      </c>
      <c r="E39" s="4">
        <v>0</v>
      </c>
      <c r="F39" s="4">
        <v>0</v>
      </c>
      <c r="G39" s="4">
        <v>0</v>
      </c>
      <c r="H39" s="4">
        <v>10.029999999999999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5">
        <f t="shared" si="0"/>
        <v>10.029999999999999</v>
      </c>
      <c r="O39" s="5">
        <f t="shared" si="1"/>
        <v>10.029999999999999</v>
      </c>
      <c r="P39" t="s">
        <v>523</v>
      </c>
    </row>
    <row r="40" spans="2:16" hidden="1">
      <c r="B40" t="s">
        <v>92</v>
      </c>
      <c r="C40" t="s">
        <v>93</v>
      </c>
      <c r="D40">
        <v>18230487</v>
      </c>
      <c r="E40" s="4">
        <v>100831.98</v>
      </c>
      <c r="F40" s="4">
        <v>83539.02</v>
      </c>
      <c r="G40" s="4">
        <v>2587.9699999999998</v>
      </c>
      <c r="H40" s="4">
        <v>840</v>
      </c>
      <c r="I40" s="4">
        <v>42273.69</v>
      </c>
      <c r="J40" s="4">
        <v>2952.41</v>
      </c>
      <c r="K40" s="4">
        <v>-400</v>
      </c>
      <c r="L40" s="4">
        <v>0</v>
      </c>
      <c r="M40" s="4">
        <v>0</v>
      </c>
      <c r="N40" s="5">
        <f t="shared" si="0"/>
        <v>232625.07</v>
      </c>
      <c r="O40" s="5">
        <f t="shared" si="1"/>
        <v>232625.07</v>
      </c>
      <c r="P40" t="s">
        <v>524</v>
      </c>
    </row>
    <row r="41" spans="2:16" hidden="1">
      <c r="B41" t="s">
        <v>94</v>
      </c>
      <c r="C41" t="s">
        <v>95</v>
      </c>
      <c r="D41">
        <v>18230675</v>
      </c>
      <c r="E41" s="4">
        <v>14807.63</v>
      </c>
      <c r="F41" s="4">
        <v>12270.7</v>
      </c>
      <c r="G41" s="4">
        <v>558.91</v>
      </c>
      <c r="H41" s="4">
        <v>210</v>
      </c>
      <c r="I41" s="4">
        <v>8357.31</v>
      </c>
      <c r="J41" s="4">
        <v>1611.51</v>
      </c>
      <c r="K41" s="4">
        <v>-100</v>
      </c>
      <c r="L41" s="4">
        <v>0</v>
      </c>
      <c r="M41" s="4">
        <v>0</v>
      </c>
      <c r="N41" s="5">
        <f t="shared" si="0"/>
        <v>37716.060000000005</v>
      </c>
      <c r="O41" s="5">
        <f t="shared" si="1"/>
        <v>37716.060000000005</v>
      </c>
      <c r="P41" t="s">
        <v>524</v>
      </c>
    </row>
    <row r="42" spans="2:16" hidden="1">
      <c r="B42" t="s">
        <v>96</v>
      </c>
      <c r="C42" t="s">
        <v>97</v>
      </c>
      <c r="D42">
        <v>18230713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5">
        <f t="shared" si="0"/>
        <v>0</v>
      </c>
      <c r="O42" s="5">
        <f t="shared" si="1"/>
        <v>0</v>
      </c>
      <c r="P42" t="s">
        <v>521</v>
      </c>
    </row>
    <row r="43" spans="2:16" hidden="1">
      <c r="B43" t="s">
        <v>41</v>
      </c>
      <c r="C43" t="s">
        <v>98</v>
      </c>
      <c r="D43">
        <v>55700200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5">
        <f t="shared" si="0"/>
        <v>0</v>
      </c>
      <c r="O43" s="5">
        <f t="shared" si="1"/>
        <v>0</v>
      </c>
      <c r="P43" t="s">
        <v>526</v>
      </c>
    </row>
    <row r="44" spans="2:16" hidden="1">
      <c r="B44" t="s">
        <v>133</v>
      </c>
      <c r="C44" t="s">
        <v>135</v>
      </c>
      <c r="D44">
        <v>18230721</v>
      </c>
      <c r="E44" s="4">
        <v>202818.05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1795273.5</v>
      </c>
      <c r="M44" s="4">
        <v>0</v>
      </c>
      <c r="N44" s="5">
        <f t="shared" si="0"/>
        <v>1998091.55</v>
      </c>
      <c r="O44" s="5">
        <f t="shared" si="1"/>
        <v>202818.05000000005</v>
      </c>
      <c r="P44" t="s">
        <v>523</v>
      </c>
    </row>
    <row r="45" spans="2:16" hidden="1">
      <c r="B45" t="s">
        <v>133</v>
      </c>
      <c r="C45" t="s">
        <v>134</v>
      </c>
      <c r="D45">
        <v>18230720</v>
      </c>
      <c r="E45" s="4">
        <v>251049.4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3308373.99</v>
      </c>
      <c r="M45" s="4">
        <v>0</v>
      </c>
      <c r="N45" s="5">
        <f t="shared" si="0"/>
        <v>3559423.39</v>
      </c>
      <c r="O45" s="5">
        <f t="shared" si="1"/>
        <v>251049.39999999991</v>
      </c>
      <c r="P45" t="s">
        <v>523</v>
      </c>
    </row>
    <row r="46" spans="2:16" hidden="1">
      <c r="B46" t="s">
        <v>15</v>
      </c>
      <c r="C46" t="s">
        <v>51</v>
      </c>
      <c r="D46">
        <v>18230434</v>
      </c>
      <c r="E46" s="4">
        <v>77350.850000000006</v>
      </c>
      <c r="F46" s="4">
        <v>63847.18</v>
      </c>
      <c r="G46" s="4">
        <v>39348.660000000003</v>
      </c>
      <c r="H46" s="4">
        <v>0</v>
      </c>
      <c r="I46" s="4">
        <v>91153.74</v>
      </c>
      <c r="J46" s="4">
        <v>41.04</v>
      </c>
      <c r="K46" s="4">
        <v>-15045.28</v>
      </c>
      <c r="L46" s="4">
        <v>1050852.93</v>
      </c>
      <c r="M46" s="4">
        <v>0</v>
      </c>
      <c r="N46" s="5">
        <f t="shared" si="0"/>
        <v>1307549.1199999999</v>
      </c>
      <c r="O46" s="5">
        <f t="shared" si="1"/>
        <v>256696.18999999994</v>
      </c>
      <c r="P46" t="s">
        <v>520</v>
      </c>
    </row>
    <row r="47" spans="2:16" hidden="1">
      <c r="B47" t="s">
        <v>15</v>
      </c>
      <c r="C47" t="s">
        <v>78</v>
      </c>
      <c r="D47">
        <v>18230625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5">
        <f t="shared" si="0"/>
        <v>0</v>
      </c>
      <c r="O47" s="5">
        <f t="shared" si="1"/>
        <v>0</v>
      </c>
      <c r="P47" t="s">
        <v>520</v>
      </c>
    </row>
    <row r="48" spans="2:16" hidden="1">
      <c r="B48" t="s">
        <v>15</v>
      </c>
      <c r="C48" t="s">
        <v>54</v>
      </c>
      <c r="D48">
        <v>18230461</v>
      </c>
      <c r="E48" s="4">
        <v>67053.210000000006</v>
      </c>
      <c r="F48" s="4">
        <v>55522.61</v>
      </c>
      <c r="G48" s="4">
        <v>0</v>
      </c>
      <c r="H48" s="4">
        <v>357.71</v>
      </c>
      <c r="I48" s="4">
        <v>654640.56999999995</v>
      </c>
      <c r="J48" s="4">
        <v>0</v>
      </c>
      <c r="K48" s="4">
        <v>0</v>
      </c>
      <c r="L48" s="4">
        <v>654640.52</v>
      </c>
      <c r="M48" s="4">
        <v>0</v>
      </c>
      <c r="N48" s="5">
        <f t="shared" si="0"/>
        <v>1432214.62</v>
      </c>
      <c r="O48" s="5">
        <f t="shared" si="1"/>
        <v>777574.10000000009</v>
      </c>
      <c r="P48" t="s">
        <v>520</v>
      </c>
    </row>
    <row r="49" spans="1:16" hidden="1">
      <c r="B49" t="s">
        <v>33</v>
      </c>
      <c r="C49" t="s">
        <v>149</v>
      </c>
      <c r="D49">
        <v>18230738</v>
      </c>
      <c r="E49" s="4">
        <v>15504.42</v>
      </c>
      <c r="F49" s="4">
        <v>12739.5</v>
      </c>
      <c r="G49" s="4">
        <v>0</v>
      </c>
      <c r="H49" s="4">
        <v>9.08</v>
      </c>
      <c r="I49" s="4">
        <v>477152.25</v>
      </c>
      <c r="J49" s="4">
        <v>0</v>
      </c>
      <c r="K49" s="4">
        <v>0</v>
      </c>
      <c r="L49" s="4">
        <v>477152.31</v>
      </c>
      <c r="M49" s="4">
        <v>0</v>
      </c>
      <c r="N49" s="5">
        <f t="shared" si="0"/>
        <v>982557.56</v>
      </c>
      <c r="O49" s="5">
        <f t="shared" si="1"/>
        <v>505405.25000000006</v>
      </c>
      <c r="P49" t="s">
        <v>520</v>
      </c>
    </row>
    <row r="50" spans="1:16" hidden="1">
      <c r="B50" t="s">
        <v>65</v>
      </c>
      <c r="C50" t="s">
        <v>99</v>
      </c>
      <c r="D50">
        <v>18231137</v>
      </c>
      <c r="E50" s="4">
        <v>119182.98</v>
      </c>
      <c r="F50" s="4">
        <v>98707.39</v>
      </c>
      <c r="G50" s="4">
        <v>2900</v>
      </c>
      <c r="H50" s="4">
        <v>412.68</v>
      </c>
      <c r="I50" s="4">
        <v>43315.45</v>
      </c>
      <c r="J50" s="4">
        <v>44.58</v>
      </c>
      <c r="K50" s="4">
        <v>0</v>
      </c>
      <c r="L50" s="4">
        <v>750673.98</v>
      </c>
      <c r="M50" s="4">
        <v>0</v>
      </c>
      <c r="N50" s="5">
        <f t="shared" si="0"/>
        <v>1015237.06</v>
      </c>
      <c r="O50" s="5">
        <f t="shared" si="1"/>
        <v>264563.08000000007</v>
      </c>
      <c r="P50" t="s">
        <v>523</v>
      </c>
    </row>
    <row r="51" spans="1:16">
      <c r="B51" t="s">
        <v>141</v>
      </c>
      <c r="C51" t="s">
        <v>168</v>
      </c>
      <c r="D51">
        <v>18231037</v>
      </c>
      <c r="E51" s="4">
        <v>275.69</v>
      </c>
      <c r="F51" s="4">
        <v>234.32</v>
      </c>
      <c r="G51" s="4">
        <v>0</v>
      </c>
      <c r="H51" s="4">
        <v>37.5</v>
      </c>
      <c r="I51" s="4">
        <v>0</v>
      </c>
      <c r="J51" s="4">
        <v>19.87</v>
      </c>
      <c r="K51" s="4">
        <v>0</v>
      </c>
      <c r="L51" s="4">
        <v>0</v>
      </c>
      <c r="M51" s="4">
        <v>0</v>
      </c>
      <c r="N51" s="5">
        <f t="shared" si="0"/>
        <v>567.38</v>
      </c>
      <c r="O51" s="5">
        <f t="shared" si="1"/>
        <v>567.38</v>
      </c>
      <c r="P51" t="s">
        <v>523</v>
      </c>
    </row>
    <row r="52" spans="1:16" hidden="1">
      <c r="B52" t="s">
        <v>65</v>
      </c>
      <c r="C52" t="s">
        <v>175</v>
      </c>
      <c r="D52">
        <v>18231133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5">
        <f t="shared" si="0"/>
        <v>0</v>
      </c>
      <c r="O52" s="5">
        <f t="shared" si="1"/>
        <v>0</v>
      </c>
      <c r="P52" t="s">
        <v>523</v>
      </c>
    </row>
    <row r="53" spans="1:16" hidden="1">
      <c r="B53" t="s">
        <v>70</v>
      </c>
      <c r="C53" t="s">
        <v>128</v>
      </c>
      <c r="D53">
        <v>18230714</v>
      </c>
      <c r="E53" s="4">
        <v>99899.06</v>
      </c>
      <c r="F53" s="4">
        <v>82519.320000000007</v>
      </c>
      <c r="G53" s="4">
        <v>350.7</v>
      </c>
      <c r="H53" s="4">
        <v>0</v>
      </c>
      <c r="I53" s="4">
        <v>198245.91</v>
      </c>
      <c r="J53" s="4">
        <v>0</v>
      </c>
      <c r="K53" s="4">
        <v>11597.93</v>
      </c>
      <c r="L53" s="4">
        <v>1817063.94</v>
      </c>
      <c r="M53" s="4">
        <v>0</v>
      </c>
      <c r="N53" s="5">
        <f t="shared" si="0"/>
        <v>2209676.86</v>
      </c>
      <c r="O53" s="5">
        <f t="shared" si="1"/>
        <v>392612.91999999993</v>
      </c>
      <c r="P53" t="s">
        <v>523</v>
      </c>
    </row>
    <row r="54" spans="1:16" hidden="1">
      <c r="B54" t="s">
        <v>100</v>
      </c>
      <c r="C54" t="s">
        <v>101</v>
      </c>
      <c r="D54">
        <v>42650207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86159.26</v>
      </c>
      <c r="M54" s="4">
        <v>0</v>
      </c>
      <c r="N54" s="5">
        <f t="shared" si="0"/>
        <v>86159.26</v>
      </c>
      <c r="O54" s="5">
        <f t="shared" si="1"/>
        <v>0</v>
      </c>
      <c r="P54" t="s">
        <v>519</v>
      </c>
    </row>
    <row r="55" spans="1:16" hidden="1">
      <c r="B55" t="s">
        <v>41</v>
      </c>
      <c r="C55" t="s">
        <v>104</v>
      </c>
      <c r="D55">
        <v>90800154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5">
        <f t="shared" si="0"/>
        <v>0</v>
      </c>
      <c r="O55" s="5">
        <f t="shared" si="1"/>
        <v>0</v>
      </c>
      <c r="P55" t="s">
        <v>526</v>
      </c>
    </row>
    <row r="56" spans="1:16" hidden="1">
      <c r="B56" t="s">
        <v>70</v>
      </c>
      <c r="C56" t="s">
        <v>299</v>
      </c>
      <c r="D56">
        <v>18230014</v>
      </c>
      <c r="E56" s="4">
        <v>264.36</v>
      </c>
      <c r="F56" s="4">
        <v>209.1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600902.76</v>
      </c>
      <c r="M56" s="4">
        <v>0</v>
      </c>
      <c r="N56" s="5">
        <f t="shared" si="0"/>
        <v>601376.22</v>
      </c>
      <c r="O56" s="5">
        <f t="shared" si="1"/>
        <v>473.45999999996275</v>
      </c>
      <c r="P56" t="s">
        <v>523</v>
      </c>
    </row>
    <row r="57" spans="1:16" hidden="1">
      <c r="B57" t="s">
        <v>31</v>
      </c>
      <c r="C57" t="s">
        <v>513</v>
      </c>
      <c r="D57">
        <v>18230221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5">
        <f t="shared" si="0"/>
        <v>0</v>
      </c>
      <c r="O57" s="5">
        <f t="shared" si="1"/>
        <v>0</v>
      </c>
      <c r="P57" t="s">
        <v>523</v>
      </c>
    </row>
    <row r="58" spans="1:16" hidden="1">
      <c r="B58" t="s">
        <v>74</v>
      </c>
      <c r="C58" t="s">
        <v>75</v>
      </c>
      <c r="D58">
        <v>18230611</v>
      </c>
      <c r="E58" s="4">
        <v>125539.12</v>
      </c>
      <c r="F58" s="4">
        <v>103440.9</v>
      </c>
      <c r="G58" s="4">
        <v>7243.52</v>
      </c>
      <c r="H58" s="4">
        <v>21.65</v>
      </c>
      <c r="I58" s="4">
        <v>48274.82</v>
      </c>
      <c r="J58" s="4">
        <v>990.81</v>
      </c>
      <c r="K58" s="4">
        <v>0</v>
      </c>
      <c r="L58" s="4">
        <v>1535868.48</v>
      </c>
      <c r="M58" s="4">
        <v>-76846.53</v>
      </c>
      <c r="N58" s="5">
        <f t="shared" si="0"/>
        <v>1744532.7699999998</v>
      </c>
      <c r="O58" s="5">
        <f t="shared" si="1"/>
        <v>208664.2899999998</v>
      </c>
      <c r="P58" t="s">
        <v>520</v>
      </c>
    </row>
    <row r="59" spans="1:16" hidden="1">
      <c r="B59" t="s">
        <v>108</v>
      </c>
      <c r="C59" t="s">
        <v>109</v>
      </c>
      <c r="D59">
        <v>18230661</v>
      </c>
      <c r="E59" s="4">
        <v>22773.49</v>
      </c>
      <c r="F59" s="4">
        <v>18754.96</v>
      </c>
      <c r="G59" s="4">
        <v>849.28</v>
      </c>
      <c r="H59" s="4">
        <v>2.95</v>
      </c>
      <c r="I59" s="4">
        <v>10890.21</v>
      </c>
      <c r="J59" s="4">
        <v>174.85</v>
      </c>
      <c r="K59" s="4">
        <v>0</v>
      </c>
      <c r="L59" s="4">
        <v>442558.36</v>
      </c>
      <c r="M59" s="4">
        <v>0</v>
      </c>
      <c r="N59" s="5">
        <f t="shared" si="0"/>
        <v>496004.1</v>
      </c>
      <c r="O59" s="5">
        <f t="shared" si="1"/>
        <v>53445.739999999991</v>
      </c>
      <c r="P59" t="s">
        <v>520</v>
      </c>
    </row>
    <row r="60" spans="1:16" hidden="1">
      <c r="A60" s="1"/>
      <c r="B60" t="s">
        <v>100</v>
      </c>
      <c r="C60" t="s">
        <v>179</v>
      </c>
      <c r="D60">
        <v>42650195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189136.4</v>
      </c>
      <c r="M60" s="4">
        <v>0</v>
      </c>
      <c r="N60" s="5">
        <f t="shared" si="0"/>
        <v>189136.4</v>
      </c>
      <c r="O60" s="5">
        <f t="shared" si="1"/>
        <v>0</v>
      </c>
      <c r="P60" t="s">
        <v>519</v>
      </c>
    </row>
    <row r="61" spans="1:16" hidden="1">
      <c r="B61" t="s">
        <v>17</v>
      </c>
      <c r="C61" t="s">
        <v>18</v>
      </c>
      <c r="D61">
        <v>18230071</v>
      </c>
      <c r="E61" s="4">
        <v>14486.56</v>
      </c>
      <c r="F61" s="4">
        <v>11947.79</v>
      </c>
      <c r="G61" s="4">
        <v>5021.34</v>
      </c>
      <c r="H61" s="4">
        <v>0</v>
      </c>
      <c r="I61" s="4">
        <v>23674.880000000001</v>
      </c>
      <c r="J61" s="4">
        <v>0</v>
      </c>
      <c r="K61" s="4">
        <v>3313.69</v>
      </c>
      <c r="L61" s="4">
        <v>92896.81</v>
      </c>
      <c r="M61" s="4">
        <v>0</v>
      </c>
      <c r="N61" s="5">
        <f t="shared" si="0"/>
        <v>151341.07</v>
      </c>
      <c r="O61" s="5">
        <f t="shared" si="1"/>
        <v>58444.260000000009</v>
      </c>
      <c r="P61" t="s">
        <v>520</v>
      </c>
    </row>
    <row r="62" spans="1:16" hidden="1">
      <c r="B62" t="s">
        <v>110</v>
      </c>
      <c r="C62" t="s">
        <v>111</v>
      </c>
      <c r="D62">
        <v>18230466</v>
      </c>
      <c r="E62" s="4">
        <v>145855.97</v>
      </c>
      <c r="F62" s="4">
        <v>120823.13</v>
      </c>
      <c r="G62" s="4">
        <v>938017.28000000003</v>
      </c>
      <c r="H62" s="4">
        <v>0</v>
      </c>
      <c r="I62" s="4">
        <v>6221.67</v>
      </c>
      <c r="J62" s="4">
        <v>10688</v>
      </c>
      <c r="K62" s="4">
        <v>0</v>
      </c>
      <c r="L62" s="4">
        <v>112417.87</v>
      </c>
      <c r="M62" s="4">
        <v>0</v>
      </c>
      <c r="N62" s="5">
        <f t="shared" si="0"/>
        <v>1334023.92</v>
      </c>
      <c r="O62" s="5">
        <f t="shared" si="1"/>
        <v>1221606.0499999998</v>
      </c>
      <c r="P62" t="s">
        <v>524</v>
      </c>
    </row>
    <row r="63" spans="1:16" hidden="1">
      <c r="B63" t="s">
        <v>114</v>
      </c>
      <c r="C63" t="s">
        <v>115</v>
      </c>
      <c r="D63">
        <v>18230732</v>
      </c>
      <c r="E63" s="4">
        <v>24158.53</v>
      </c>
      <c r="F63" s="4">
        <v>20139.32</v>
      </c>
      <c r="G63" s="4">
        <v>140248.67000000001</v>
      </c>
      <c r="H63" s="4">
        <v>0</v>
      </c>
      <c r="I63" s="4">
        <v>920.25</v>
      </c>
      <c r="J63" s="4">
        <v>0</v>
      </c>
      <c r="K63" s="4">
        <v>0</v>
      </c>
      <c r="L63" s="4">
        <v>16798.07</v>
      </c>
      <c r="M63" s="4">
        <v>0</v>
      </c>
      <c r="N63" s="5">
        <f t="shared" si="0"/>
        <v>202264.84000000003</v>
      </c>
      <c r="O63" s="5">
        <f t="shared" si="1"/>
        <v>185466.77000000002</v>
      </c>
      <c r="P63" t="s">
        <v>524</v>
      </c>
    </row>
    <row r="64" spans="1:16" hidden="1">
      <c r="B64" t="s">
        <v>116</v>
      </c>
      <c r="C64" t="s">
        <v>117</v>
      </c>
      <c r="D64">
        <v>18230413</v>
      </c>
      <c r="E64" s="4">
        <v>82315.44</v>
      </c>
      <c r="F64" s="4">
        <v>68166.080000000002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5">
        <f t="shared" si="0"/>
        <v>150481.52000000002</v>
      </c>
      <c r="O64" s="5">
        <f t="shared" si="1"/>
        <v>150481.52000000002</v>
      </c>
      <c r="P64" t="s">
        <v>525</v>
      </c>
    </row>
    <row r="65" spans="2:16" hidden="1">
      <c r="B65" t="s">
        <v>119</v>
      </c>
      <c r="C65" t="s">
        <v>120</v>
      </c>
      <c r="D65">
        <v>18230669</v>
      </c>
      <c r="E65" s="4">
        <v>12481.32</v>
      </c>
      <c r="F65" s="4">
        <v>10335.51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5">
        <f t="shared" si="0"/>
        <v>22816.83</v>
      </c>
      <c r="O65" s="5">
        <f t="shared" si="1"/>
        <v>22816.83</v>
      </c>
      <c r="P65" t="s">
        <v>525</v>
      </c>
    </row>
    <row r="66" spans="2:16" hidden="1">
      <c r="B66" t="s">
        <v>15</v>
      </c>
      <c r="C66" t="s">
        <v>159</v>
      </c>
      <c r="D66">
        <v>18230751</v>
      </c>
      <c r="E66" s="4">
        <v>11854.18</v>
      </c>
      <c r="F66" s="4">
        <v>9760.06</v>
      </c>
      <c r="G66" s="4">
        <v>36700.36</v>
      </c>
      <c r="H66" s="4">
        <v>0</v>
      </c>
      <c r="I66" s="4">
        <v>0</v>
      </c>
      <c r="J66" s="4">
        <v>0</v>
      </c>
      <c r="K66" s="4">
        <v>-1139.23</v>
      </c>
      <c r="L66" s="4">
        <v>0</v>
      </c>
      <c r="M66" s="4">
        <v>0</v>
      </c>
      <c r="N66" s="5">
        <f t="shared" ref="N66:N117" si="2">SUM(E66:M66)</f>
        <v>57175.369999999995</v>
      </c>
      <c r="O66" s="5">
        <f t="shared" ref="O66:O117" si="3">N66-L66</f>
        <v>57175.369999999995</v>
      </c>
      <c r="P66" t="s">
        <v>520</v>
      </c>
    </row>
    <row r="67" spans="2:16" hidden="1">
      <c r="B67" t="s">
        <v>33</v>
      </c>
      <c r="C67" t="s">
        <v>35</v>
      </c>
      <c r="D67">
        <v>18230254</v>
      </c>
      <c r="E67" s="4">
        <v>11832.15</v>
      </c>
      <c r="F67" s="4">
        <v>9741.86</v>
      </c>
      <c r="G67" s="4">
        <v>36540.39</v>
      </c>
      <c r="H67" s="4">
        <v>0</v>
      </c>
      <c r="I67" s="4">
        <v>0</v>
      </c>
      <c r="J67" s="4">
        <v>0</v>
      </c>
      <c r="K67" s="4">
        <v>-1121.95</v>
      </c>
      <c r="L67" s="4">
        <v>0</v>
      </c>
      <c r="M67" s="4">
        <v>0</v>
      </c>
      <c r="N67" s="5">
        <f t="shared" si="2"/>
        <v>56992.450000000004</v>
      </c>
      <c r="O67" s="5">
        <f t="shared" si="3"/>
        <v>56992.450000000004</v>
      </c>
      <c r="P67" t="s">
        <v>520</v>
      </c>
    </row>
    <row r="68" spans="2:16" hidden="1">
      <c r="B68" t="s">
        <v>59</v>
      </c>
      <c r="C68" t="s">
        <v>60</v>
      </c>
      <c r="D68">
        <v>18230486</v>
      </c>
      <c r="E68" s="4">
        <v>82358.399999999994</v>
      </c>
      <c r="F68" s="4">
        <v>68042.899999999994</v>
      </c>
      <c r="G68" s="4">
        <v>1134.53</v>
      </c>
      <c r="H68" s="4">
        <v>128.07</v>
      </c>
      <c r="I68" s="4">
        <v>261360</v>
      </c>
      <c r="J68" s="4">
        <v>28.99</v>
      </c>
      <c r="K68" s="4">
        <v>800</v>
      </c>
      <c r="L68" s="4">
        <v>232417</v>
      </c>
      <c r="M68" s="4">
        <v>0</v>
      </c>
      <c r="N68" s="5">
        <f t="shared" si="2"/>
        <v>646269.89</v>
      </c>
      <c r="O68" s="5">
        <f t="shared" si="3"/>
        <v>413852.89</v>
      </c>
      <c r="P68" t="s">
        <v>520</v>
      </c>
    </row>
    <row r="69" spans="2:16" hidden="1">
      <c r="B69" t="s">
        <v>102</v>
      </c>
      <c r="C69" t="s">
        <v>103</v>
      </c>
      <c r="D69">
        <v>18230673</v>
      </c>
      <c r="E69" s="4">
        <v>35305.03</v>
      </c>
      <c r="F69" s="4">
        <v>29193.200000000001</v>
      </c>
      <c r="G69" s="4">
        <v>412.77</v>
      </c>
      <c r="H69" s="4">
        <v>0</v>
      </c>
      <c r="I69" s="4">
        <v>65340</v>
      </c>
      <c r="J69" s="4">
        <v>0</v>
      </c>
      <c r="K69" s="4">
        <v>200</v>
      </c>
      <c r="L69" s="4">
        <v>68202.69</v>
      </c>
      <c r="M69" s="4">
        <v>0</v>
      </c>
      <c r="N69" s="5">
        <f t="shared" si="2"/>
        <v>198653.69</v>
      </c>
      <c r="O69" s="5">
        <f t="shared" si="3"/>
        <v>130451</v>
      </c>
      <c r="P69" t="s">
        <v>520</v>
      </c>
    </row>
    <row r="70" spans="2:16" hidden="1">
      <c r="B70" t="s">
        <v>39</v>
      </c>
      <c r="C70" t="s">
        <v>40</v>
      </c>
      <c r="D70">
        <v>18230407</v>
      </c>
      <c r="E70" s="4">
        <v>120291.02</v>
      </c>
      <c r="F70" s="4">
        <v>99278.7</v>
      </c>
      <c r="G70" s="4">
        <v>19324.02</v>
      </c>
      <c r="H70" s="4">
        <v>547.29999999999995</v>
      </c>
      <c r="I70" s="4">
        <v>1064674.77</v>
      </c>
      <c r="J70" s="4">
        <v>1303.1300000000001</v>
      </c>
      <c r="K70" s="4">
        <v>-198.61</v>
      </c>
      <c r="L70" s="4">
        <v>4538363.92</v>
      </c>
      <c r="M70" s="4">
        <v>0</v>
      </c>
      <c r="N70" s="5">
        <f t="shared" si="2"/>
        <v>5843584.25</v>
      </c>
      <c r="O70" s="5">
        <f t="shared" si="3"/>
        <v>1305220.33</v>
      </c>
      <c r="P70" t="s">
        <v>520</v>
      </c>
    </row>
    <row r="71" spans="2:16" hidden="1">
      <c r="B71" t="s">
        <v>145</v>
      </c>
      <c r="C71" t="s">
        <v>146</v>
      </c>
      <c r="D71">
        <v>18230736</v>
      </c>
      <c r="E71" s="4">
        <v>35725.11</v>
      </c>
      <c r="F71" s="4">
        <v>29496.799999999999</v>
      </c>
      <c r="G71" s="4">
        <v>5866.37</v>
      </c>
      <c r="H71" s="4">
        <v>61.36</v>
      </c>
      <c r="I71" s="4">
        <v>32868.230000000003</v>
      </c>
      <c r="J71" s="4">
        <v>142.01</v>
      </c>
      <c r="K71" s="4">
        <v>-85.04</v>
      </c>
      <c r="L71" s="4">
        <v>248159</v>
      </c>
      <c r="M71" s="4">
        <v>0</v>
      </c>
      <c r="N71" s="5">
        <f t="shared" si="2"/>
        <v>352233.83999999997</v>
      </c>
      <c r="O71" s="5">
        <f t="shared" si="3"/>
        <v>104074.83999999997</v>
      </c>
      <c r="P71" t="s">
        <v>520</v>
      </c>
    </row>
    <row r="72" spans="2:16" hidden="1">
      <c r="B72" t="s">
        <v>121</v>
      </c>
      <c r="C72" t="s">
        <v>122</v>
      </c>
      <c r="D72">
        <v>18230660</v>
      </c>
      <c r="E72" s="4">
        <v>0</v>
      </c>
      <c r="F72" s="4">
        <v>0</v>
      </c>
      <c r="G72" s="4">
        <v>0</v>
      </c>
      <c r="H72" s="4">
        <v>0</v>
      </c>
      <c r="I72" s="4">
        <v>182666.72</v>
      </c>
      <c r="J72" s="4">
        <v>0</v>
      </c>
      <c r="K72" s="4">
        <v>0</v>
      </c>
      <c r="L72" s="4">
        <v>426222.28</v>
      </c>
      <c r="M72" s="4">
        <v>0</v>
      </c>
      <c r="N72" s="5">
        <f t="shared" si="2"/>
        <v>608889</v>
      </c>
      <c r="O72" s="5">
        <f t="shared" si="3"/>
        <v>182666.71999999997</v>
      </c>
      <c r="P72" t="s">
        <v>521</v>
      </c>
    </row>
    <row r="73" spans="2:16" hidden="1">
      <c r="B73" t="s">
        <v>126</v>
      </c>
      <c r="C73" t="s">
        <v>127</v>
      </c>
      <c r="D73">
        <v>18230128</v>
      </c>
      <c r="E73" s="4">
        <v>345599.11</v>
      </c>
      <c r="F73" s="4">
        <v>285263.96000000002</v>
      </c>
      <c r="G73" s="4">
        <v>0</v>
      </c>
      <c r="H73" s="4">
        <v>119.8</v>
      </c>
      <c r="I73" s="4">
        <v>130836.38</v>
      </c>
      <c r="J73" s="4">
        <v>0</v>
      </c>
      <c r="K73" s="4">
        <v>2756193.96</v>
      </c>
      <c r="L73" s="4">
        <v>0</v>
      </c>
      <c r="M73" s="4">
        <v>0</v>
      </c>
      <c r="N73" s="5">
        <f t="shared" si="2"/>
        <v>3518013.21</v>
      </c>
      <c r="O73" s="5">
        <f t="shared" si="3"/>
        <v>3518013.21</v>
      </c>
      <c r="P73" t="s">
        <v>429</v>
      </c>
    </row>
    <row r="74" spans="2:16" hidden="1">
      <c r="B74" t="s">
        <v>49</v>
      </c>
      <c r="C74" t="s">
        <v>50</v>
      </c>
      <c r="D74">
        <v>18230421</v>
      </c>
      <c r="E74" s="4">
        <v>385.49</v>
      </c>
      <c r="F74" s="4">
        <v>318.69</v>
      </c>
      <c r="G74" s="4">
        <v>0</v>
      </c>
      <c r="H74" s="4">
        <v>0</v>
      </c>
      <c r="I74" s="4">
        <v>1483170.53</v>
      </c>
      <c r="J74" s="4">
        <v>0</v>
      </c>
      <c r="K74" s="4">
        <v>0</v>
      </c>
      <c r="L74" s="4">
        <v>2805610.61</v>
      </c>
      <c r="M74" s="4">
        <v>0</v>
      </c>
      <c r="N74" s="5">
        <f t="shared" si="2"/>
        <v>4289485.32</v>
      </c>
      <c r="O74" s="5">
        <f t="shared" si="3"/>
        <v>1483874.7100000004</v>
      </c>
      <c r="P74" t="s">
        <v>521</v>
      </c>
    </row>
    <row r="75" spans="2:16" hidden="1">
      <c r="B75" t="s">
        <v>136</v>
      </c>
      <c r="C75" t="s">
        <v>509</v>
      </c>
      <c r="D75">
        <v>18236102</v>
      </c>
      <c r="E75" s="4">
        <v>5272.45</v>
      </c>
      <c r="F75" s="4">
        <v>4296.34</v>
      </c>
      <c r="G75" s="4">
        <v>0</v>
      </c>
      <c r="H75" s="4">
        <v>6.49</v>
      </c>
      <c r="I75" s="4">
        <v>0</v>
      </c>
      <c r="J75" s="4">
        <v>0</v>
      </c>
      <c r="K75" s="4">
        <v>0</v>
      </c>
      <c r="L75" s="4">
        <v>28048</v>
      </c>
      <c r="M75" s="4">
        <v>0</v>
      </c>
      <c r="N75" s="5">
        <f t="shared" si="2"/>
        <v>37623.279999999999</v>
      </c>
      <c r="O75" s="5">
        <f t="shared" si="3"/>
        <v>9575.2799999999988</v>
      </c>
      <c r="P75" t="s">
        <v>523</v>
      </c>
    </row>
    <row r="76" spans="2:16" hidden="1">
      <c r="B76" t="s">
        <v>112</v>
      </c>
      <c r="C76" t="s">
        <v>321</v>
      </c>
      <c r="D76">
        <v>18231039</v>
      </c>
      <c r="E76" s="4">
        <v>1575.36</v>
      </c>
      <c r="F76" s="4">
        <v>1279.47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5">
        <f t="shared" si="2"/>
        <v>2854.83</v>
      </c>
      <c r="O76" s="5">
        <f t="shared" si="3"/>
        <v>2854.83</v>
      </c>
      <c r="P76" t="s">
        <v>523</v>
      </c>
    </row>
    <row r="77" spans="2:16" hidden="1">
      <c r="B77" t="s">
        <v>139</v>
      </c>
      <c r="C77" t="s">
        <v>140</v>
      </c>
      <c r="D77">
        <v>18230802</v>
      </c>
      <c r="E77" s="4">
        <v>141749.28</v>
      </c>
      <c r="F77" s="4">
        <v>117634.15</v>
      </c>
      <c r="G77" s="4">
        <v>0</v>
      </c>
      <c r="H77" s="4">
        <v>955</v>
      </c>
      <c r="I77" s="4">
        <v>1385226.79</v>
      </c>
      <c r="J77" s="4">
        <v>0</v>
      </c>
      <c r="K77" s="4">
        <v>210800</v>
      </c>
      <c r="L77" s="4">
        <v>49999.99</v>
      </c>
      <c r="M77" s="4">
        <v>0</v>
      </c>
      <c r="N77" s="5">
        <f t="shared" si="2"/>
        <v>1906365.21</v>
      </c>
      <c r="O77" s="5">
        <f t="shared" si="3"/>
        <v>1856365.22</v>
      </c>
      <c r="P77" t="s">
        <v>525</v>
      </c>
    </row>
    <row r="78" spans="2:16" hidden="1">
      <c r="B78" t="s">
        <v>143</v>
      </c>
      <c r="C78" t="s">
        <v>144</v>
      </c>
      <c r="D78">
        <v>18230699</v>
      </c>
      <c r="E78" s="4">
        <v>20812.419999999998</v>
      </c>
      <c r="F78" s="4">
        <v>17275.03</v>
      </c>
      <c r="G78" s="4">
        <v>0</v>
      </c>
      <c r="H78" s="4">
        <v>0</v>
      </c>
      <c r="I78" s="4">
        <v>299516.68</v>
      </c>
      <c r="J78" s="4">
        <v>0</v>
      </c>
      <c r="K78" s="4">
        <v>139500</v>
      </c>
      <c r="L78" s="4">
        <v>0</v>
      </c>
      <c r="M78" s="4">
        <v>0</v>
      </c>
      <c r="N78" s="5">
        <f t="shared" si="2"/>
        <v>477104.13</v>
      </c>
      <c r="O78" s="5">
        <f t="shared" si="3"/>
        <v>477104.13</v>
      </c>
      <c r="P78" t="s">
        <v>525</v>
      </c>
    </row>
    <row r="79" spans="2:16" hidden="1">
      <c r="B79" t="s">
        <v>147</v>
      </c>
      <c r="C79" t="s">
        <v>148</v>
      </c>
      <c r="D79">
        <v>18230810</v>
      </c>
      <c r="E79" s="4">
        <v>367707.71</v>
      </c>
      <c r="F79" s="4">
        <v>304033.96000000002</v>
      </c>
      <c r="G79" s="4">
        <v>0</v>
      </c>
      <c r="H79" s="4">
        <v>590.75</v>
      </c>
      <c r="I79" s="4">
        <v>47049.599999999999</v>
      </c>
      <c r="J79" s="4">
        <v>237.67</v>
      </c>
      <c r="K79" s="4">
        <v>59.06</v>
      </c>
      <c r="L79" s="4">
        <v>0</v>
      </c>
      <c r="M79" s="4">
        <v>0</v>
      </c>
      <c r="N79" s="5">
        <f t="shared" si="2"/>
        <v>719678.75000000012</v>
      </c>
      <c r="O79" s="5">
        <f t="shared" si="3"/>
        <v>719678.75000000012</v>
      </c>
      <c r="P79" t="s">
        <v>524</v>
      </c>
    </row>
    <row r="80" spans="2:16" hidden="1">
      <c r="B80" t="s">
        <v>150</v>
      </c>
      <c r="C80" t="s">
        <v>151</v>
      </c>
      <c r="D80">
        <v>18230688</v>
      </c>
      <c r="E80" s="4">
        <v>54941.09</v>
      </c>
      <c r="F80" s="4">
        <v>45427.24</v>
      </c>
      <c r="G80" s="4">
        <v>0</v>
      </c>
      <c r="H80" s="4">
        <v>115.22</v>
      </c>
      <c r="I80" s="4">
        <v>7030.4</v>
      </c>
      <c r="J80" s="4">
        <v>43.87</v>
      </c>
      <c r="K80" s="4">
        <v>8.82</v>
      </c>
      <c r="L80" s="4">
        <v>0</v>
      </c>
      <c r="M80" s="4">
        <v>0</v>
      </c>
      <c r="N80" s="5">
        <f t="shared" si="2"/>
        <v>107566.63999999998</v>
      </c>
      <c r="O80" s="5">
        <f t="shared" si="3"/>
        <v>107566.63999999998</v>
      </c>
      <c r="P80" t="s">
        <v>524</v>
      </c>
    </row>
    <row r="81" spans="2:16" hidden="1">
      <c r="B81" t="s">
        <v>47</v>
      </c>
      <c r="C81" t="s">
        <v>516</v>
      </c>
      <c r="D81">
        <v>18230509</v>
      </c>
      <c r="E81" s="4">
        <v>33752.83</v>
      </c>
      <c r="F81" s="4">
        <v>28119.82</v>
      </c>
      <c r="G81" s="4">
        <v>150151.46</v>
      </c>
      <c r="H81" s="4">
        <v>0</v>
      </c>
      <c r="I81" s="4">
        <v>1383.24</v>
      </c>
      <c r="J81" s="4">
        <v>7.15</v>
      </c>
      <c r="K81" s="4">
        <v>0</v>
      </c>
      <c r="L81" s="4">
        <v>35.5</v>
      </c>
      <c r="M81" s="4">
        <v>0</v>
      </c>
      <c r="N81" s="5">
        <f t="shared" si="2"/>
        <v>213449.99999999997</v>
      </c>
      <c r="O81" s="5">
        <f t="shared" si="3"/>
        <v>213414.49999999997</v>
      </c>
      <c r="P81" t="s">
        <v>524</v>
      </c>
    </row>
    <row r="82" spans="2:16" hidden="1">
      <c r="B82" t="s">
        <v>55</v>
      </c>
      <c r="C82" t="s">
        <v>517</v>
      </c>
      <c r="D82">
        <v>18230662</v>
      </c>
      <c r="E82" s="4">
        <v>17460.96</v>
      </c>
      <c r="F82" s="4">
        <v>14655.97</v>
      </c>
      <c r="G82" s="4">
        <v>57269.27</v>
      </c>
      <c r="H82" s="4">
        <v>0</v>
      </c>
      <c r="I82" s="4">
        <v>1383.24</v>
      </c>
      <c r="J82" s="4">
        <v>7.15</v>
      </c>
      <c r="K82" s="4">
        <v>0</v>
      </c>
      <c r="L82" s="4">
        <v>35.5</v>
      </c>
      <c r="M82" s="4">
        <v>0</v>
      </c>
      <c r="N82" s="5">
        <f t="shared" si="2"/>
        <v>90812.09</v>
      </c>
      <c r="O82" s="5">
        <f t="shared" si="3"/>
        <v>90776.59</v>
      </c>
      <c r="P82" t="s">
        <v>524</v>
      </c>
    </row>
    <row r="83" spans="2:16" hidden="1">
      <c r="B83" t="s">
        <v>152</v>
      </c>
      <c r="C83" t="s">
        <v>153</v>
      </c>
      <c r="D83">
        <v>18230507</v>
      </c>
      <c r="E83" s="4">
        <v>304387.44</v>
      </c>
      <c r="F83" s="4">
        <v>251128.75</v>
      </c>
      <c r="G83" s="4">
        <v>0</v>
      </c>
      <c r="H83" s="4">
        <v>109.52</v>
      </c>
      <c r="I83" s="4">
        <v>32569.5</v>
      </c>
      <c r="J83" s="4">
        <v>82.56</v>
      </c>
      <c r="K83" s="4">
        <v>0</v>
      </c>
      <c r="L83" s="4">
        <v>0</v>
      </c>
      <c r="M83" s="4">
        <v>0</v>
      </c>
      <c r="N83" s="5">
        <f t="shared" si="2"/>
        <v>588277.77</v>
      </c>
      <c r="O83" s="5">
        <f t="shared" si="3"/>
        <v>588277.77</v>
      </c>
      <c r="P83" t="s">
        <v>524</v>
      </c>
    </row>
    <row r="84" spans="2:16" hidden="1">
      <c r="B84" t="s">
        <v>154</v>
      </c>
      <c r="C84" t="s">
        <v>155</v>
      </c>
      <c r="D84">
        <v>18230659</v>
      </c>
      <c r="E84" s="4">
        <v>22814.880000000001</v>
      </c>
      <c r="F84" s="4">
        <v>19003.89</v>
      </c>
      <c r="G84" s="4">
        <v>0</v>
      </c>
      <c r="H84" s="4">
        <v>0</v>
      </c>
      <c r="I84" s="4">
        <v>13302.9</v>
      </c>
      <c r="J84" s="4">
        <v>0</v>
      </c>
      <c r="K84" s="4">
        <v>0</v>
      </c>
      <c r="L84" s="4">
        <v>0</v>
      </c>
      <c r="M84" s="4">
        <v>0</v>
      </c>
      <c r="N84" s="5">
        <f t="shared" si="2"/>
        <v>55121.670000000006</v>
      </c>
      <c r="O84" s="5">
        <f t="shared" si="3"/>
        <v>55121.670000000006</v>
      </c>
      <c r="P84" t="s">
        <v>524</v>
      </c>
    </row>
    <row r="85" spans="2:16" hidden="1">
      <c r="B85" t="s">
        <v>15</v>
      </c>
      <c r="C85" t="s">
        <v>53</v>
      </c>
      <c r="D85">
        <v>18230440</v>
      </c>
      <c r="E85" s="4">
        <v>60379.3</v>
      </c>
      <c r="F85" s="4">
        <v>50079.05</v>
      </c>
      <c r="G85" s="4">
        <v>219131.58</v>
      </c>
      <c r="H85" s="4">
        <v>0</v>
      </c>
      <c r="I85" s="4">
        <v>155421.97</v>
      </c>
      <c r="J85" s="4">
        <v>85.08</v>
      </c>
      <c r="K85" s="4">
        <v>-12964.64</v>
      </c>
      <c r="L85" s="4">
        <v>1077920.19</v>
      </c>
      <c r="M85" s="4">
        <v>0</v>
      </c>
      <c r="N85" s="5">
        <f t="shared" si="2"/>
        <v>1550052.53</v>
      </c>
      <c r="O85" s="5">
        <f t="shared" si="3"/>
        <v>472132.34000000008</v>
      </c>
      <c r="P85" t="s">
        <v>520</v>
      </c>
    </row>
    <row r="86" spans="2:16" hidden="1">
      <c r="B86" t="s">
        <v>15</v>
      </c>
      <c r="C86" t="s">
        <v>52</v>
      </c>
      <c r="D86">
        <v>18230435</v>
      </c>
      <c r="E86" s="4">
        <v>27812.41</v>
      </c>
      <c r="F86" s="4">
        <v>23000.15</v>
      </c>
      <c r="G86" s="4">
        <v>599.47</v>
      </c>
      <c r="H86" s="4">
        <v>0</v>
      </c>
      <c r="I86" s="4">
        <v>4669.96</v>
      </c>
      <c r="J86" s="4">
        <v>0</v>
      </c>
      <c r="K86" s="4">
        <v>4026.74</v>
      </c>
      <c r="L86" s="4">
        <v>20815.7</v>
      </c>
      <c r="M86" s="4">
        <v>0</v>
      </c>
      <c r="N86" s="5">
        <f t="shared" si="2"/>
        <v>80924.429999999993</v>
      </c>
      <c r="O86" s="5">
        <f t="shared" si="3"/>
        <v>60108.729999999996</v>
      </c>
      <c r="P86" t="s">
        <v>520</v>
      </c>
    </row>
    <row r="87" spans="2:16" hidden="1">
      <c r="B87" t="s">
        <v>33</v>
      </c>
      <c r="C87" t="s">
        <v>118</v>
      </c>
      <c r="D87">
        <v>18230700</v>
      </c>
      <c r="E87" s="4">
        <v>10354.1</v>
      </c>
      <c r="F87" s="4">
        <v>8561.99</v>
      </c>
      <c r="G87" s="4">
        <v>723.53</v>
      </c>
      <c r="H87" s="4">
        <v>0</v>
      </c>
      <c r="I87" s="4">
        <v>1400.27</v>
      </c>
      <c r="J87" s="4">
        <v>0</v>
      </c>
      <c r="K87" s="4">
        <v>1417.41</v>
      </c>
      <c r="L87" s="4">
        <v>7712.67</v>
      </c>
      <c r="M87" s="4">
        <v>0</v>
      </c>
      <c r="N87" s="5">
        <f t="shared" si="2"/>
        <v>30169.97</v>
      </c>
      <c r="O87" s="5">
        <f t="shared" si="3"/>
        <v>22457.300000000003</v>
      </c>
      <c r="P87" t="s">
        <v>520</v>
      </c>
    </row>
    <row r="88" spans="2:16" hidden="1">
      <c r="B88" t="s">
        <v>136</v>
      </c>
      <c r="C88" t="s">
        <v>160</v>
      </c>
      <c r="D88">
        <v>18230502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5">
        <f t="shared" si="2"/>
        <v>0</v>
      </c>
      <c r="O88" s="5">
        <f t="shared" si="3"/>
        <v>0</v>
      </c>
      <c r="P88" t="s">
        <v>523</v>
      </c>
    </row>
    <row r="89" spans="2:16" hidden="1">
      <c r="B89" t="s">
        <v>112</v>
      </c>
      <c r="C89" t="s">
        <v>161</v>
      </c>
      <c r="D89">
        <v>18231033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5">
        <f t="shared" si="2"/>
        <v>0</v>
      </c>
      <c r="O89" s="5">
        <f t="shared" si="3"/>
        <v>0</v>
      </c>
      <c r="P89" t="s">
        <v>523</v>
      </c>
    </row>
    <row r="90" spans="2:16" hidden="1">
      <c r="B90" t="s">
        <v>156</v>
      </c>
      <c r="C90" t="s">
        <v>158</v>
      </c>
      <c r="D90">
        <v>18230750</v>
      </c>
      <c r="E90" s="4">
        <v>14778.4</v>
      </c>
      <c r="F90" s="4">
        <v>12224.12</v>
      </c>
      <c r="G90" s="4">
        <v>0</v>
      </c>
      <c r="H90" s="4">
        <v>0</v>
      </c>
      <c r="I90" s="4">
        <v>135000</v>
      </c>
      <c r="J90" s="4">
        <v>0</v>
      </c>
      <c r="K90" s="4">
        <v>0</v>
      </c>
      <c r="L90" s="4">
        <v>0</v>
      </c>
      <c r="M90" s="4">
        <v>0</v>
      </c>
      <c r="N90" s="5">
        <f t="shared" si="2"/>
        <v>162002.51999999999</v>
      </c>
      <c r="O90" s="5">
        <f t="shared" si="3"/>
        <v>162002.51999999999</v>
      </c>
      <c r="P90" t="s">
        <v>522</v>
      </c>
    </row>
    <row r="91" spans="2:16" hidden="1">
      <c r="B91" t="s">
        <v>36</v>
      </c>
      <c r="C91" t="s">
        <v>37</v>
      </c>
      <c r="D91">
        <v>18230256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5">
        <f t="shared" si="2"/>
        <v>0</v>
      </c>
      <c r="O91" s="5">
        <f t="shared" si="3"/>
        <v>0</v>
      </c>
      <c r="P91" t="s">
        <v>522</v>
      </c>
    </row>
    <row r="92" spans="2:16" hidden="1">
      <c r="B92" t="s">
        <v>15</v>
      </c>
      <c r="C92" t="s">
        <v>81</v>
      </c>
      <c r="D92">
        <v>18230628</v>
      </c>
      <c r="E92" s="4">
        <v>44260.65</v>
      </c>
      <c r="F92" s="4">
        <v>36509.019999999997</v>
      </c>
      <c r="G92" s="4">
        <v>101031.76</v>
      </c>
      <c r="H92" s="4">
        <v>150</v>
      </c>
      <c r="I92" s="4">
        <v>671555.77</v>
      </c>
      <c r="J92" s="4">
        <v>0</v>
      </c>
      <c r="K92" s="4">
        <v>10769.5</v>
      </c>
      <c r="L92" s="4">
        <v>7205211.6799999997</v>
      </c>
      <c r="M92" s="4">
        <v>0</v>
      </c>
      <c r="N92" s="5">
        <f t="shared" si="2"/>
        <v>8069488.3799999999</v>
      </c>
      <c r="O92" s="5">
        <f t="shared" si="3"/>
        <v>864276.70000000019</v>
      </c>
      <c r="P92" t="s">
        <v>520</v>
      </c>
    </row>
    <row r="93" spans="2:16" hidden="1">
      <c r="B93" t="s">
        <v>33</v>
      </c>
      <c r="C93" t="s">
        <v>83</v>
      </c>
      <c r="D93">
        <v>18230638</v>
      </c>
      <c r="E93" s="4">
        <v>28108.28</v>
      </c>
      <c r="F93" s="4">
        <v>23209.62</v>
      </c>
      <c r="G93" s="4">
        <v>76126.94</v>
      </c>
      <c r="H93" s="4">
        <v>0</v>
      </c>
      <c r="I93" s="4">
        <v>8.52</v>
      </c>
      <c r="J93" s="4">
        <v>0</v>
      </c>
      <c r="K93" s="4">
        <v>0</v>
      </c>
      <c r="L93" s="4">
        <v>1573000</v>
      </c>
      <c r="M93" s="4">
        <v>0</v>
      </c>
      <c r="N93" s="5">
        <f t="shared" si="2"/>
        <v>1700453.36</v>
      </c>
      <c r="O93" s="5">
        <f t="shared" si="3"/>
        <v>127453.3600000001</v>
      </c>
      <c r="P93" t="s">
        <v>520</v>
      </c>
    </row>
    <row r="94" spans="2:16" hidden="1">
      <c r="B94" t="s">
        <v>15</v>
      </c>
      <c r="C94" t="s">
        <v>79</v>
      </c>
      <c r="D94">
        <v>18230626</v>
      </c>
      <c r="E94" s="4">
        <v>60149.21</v>
      </c>
      <c r="F94" s="4">
        <v>49662.99</v>
      </c>
      <c r="G94" s="4">
        <v>72687.58</v>
      </c>
      <c r="H94" s="4">
        <v>32.31</v>
      </c>
      <c r="I94" s="4">
        <v>122073.98</v>
      </c>
      <c r="J94" s="4">
        <v>0</v>
      </c>
      <c r="K94" s="4">
        <v>-1656.85</v>
      </c>
      <c r="L94" s="4">
        <v>1429825.8</v>
      </c>
      <c r="M94" s="4">
        <v>0</v>
      </c>
      <c r="N94" s="5">
        <f t="shared" si="2"/>
        <v>1732775.02</v>
      </c>
      <c r="O94" s="5">
        <f t="shared" si="3"/>
        <v>302949.21999999997</v>
      </c>
      <c r="P94" t="s">
        <v>520</v>
      </c>
    </row>
    <row r="95" spans="2:16" hidden="1">
      <c r="B95" t="s">
        <v>33</v>
      </c>
      <c r="C95" t="s">
        <v>34</v>
      </c>
      <c r="D95">
        <v>18230249</v>
      </c>
      <c r="E95" s="4">
        <v>34400.93</v>
      </c>
      <c r="F95" s="4">
        <v>28447.02</v>
      </c>
      <c r="G95" s="4">
        <v>10318.25</v>
      </c>
      <c r="H95" s="4">
        <v>0</v>
      </c>
      <c r="I95" s="4">
        <v>0</v>
      </c>
      <c r="J95" s="4">
        <v>0</v>
      </c>
      <c r="K95" s="4">
        <v>0</v>
      </c>
      <c r="L95" s="4">
        <v>322399</v>
      </c>
      <c r="M95" s="4">
        <v>0</v>
      </c>
      <c r="N95" s="5">
        <f t="shared" si="2"/>
        <v>395565.2</v>
      </c>
      <c r="O95" s="5">
        <f t="shared" si="3"/>
        <v>73166.200000000012</v>
      </c>
      <c r="P95" t="s">
        <v>520</v>
      </c>
    </row>
    <row r="96" spans="2:16" hidden="1">
      <c r="B96" t="s">
        <v>15</v>
      </c>
      <c r="C96" t="s">
        <v>80</v>
      </c>
      <c r="D96">
        <v>18230627</v>
      </c>
      <c r="E96" s="4">
        <v>34123.760000000002</v>
      </c>
      <c r="F96" s="4">
        <v>28269.279999999999</v>
      </c>
      <c r="G96" s="4">
        <v>84758.13</v>
      </c>
      <c r="H96" s="4">
        <v>0</v>
      </c>
      <c r="I96" s="4">
        <v>901.94</v>
      </c>
      <c r="J96" s="4">
        <v>0</v>
      </c>
      <c r="K96" s="4">
        <v>0</v>
      </c>
      <c r="L96" s="4">
        <v>847949.52</v>
      </c>
      <c r="M96" s="4">
        <v>0</v>
      </c>
      <c r="N96" s="5">
        <f t="shared" si="2"/>
        <v>996002.63</v>
      </c>
      <c r="O96" s="5">
        <f t="shared" si="3"/>
        <v>148053.10999999999</v>
      </c>
      <c r="P96" t="s">
        <v>520</v>
      </c>
    </row>
    <row r="97" spans="2:16" hidden="1">
      <c r="B97" t="s">
        <v>33</v>
      </c>
      <c r="C97" t="s">
        <v>82</v>
      </c>
      <c r="D97">
        <v>18230637</v>
      </c>
      <c r="E97" s="4">
        <v>59119.9</v>
      </c>
      <c r="F97" s="4">
        <v>48988.55</v>
      </c>
      <c r="G97" s="4">
        <v>28475.99</v>
      </c>
      <c r="H97" s="4">
        <v>0</v>
      </c>
      <c r="I97" s="4">
        <v>0</v>
      </c>
      <c r="J97" s="4">
        <v>341.25</v>
      </c>
      <c r="K97" s="4">
        <v>231.76</v>
      </c>
      <c r="L97" s="4">
        <v>2210201.15</v>
      </c>
      <c r="M97" s="4">
        <v>0</v>
      </c>
      <c r="N97" s="5">
        <f t="shared" si="2"/>
        <v>2347358.6</v>
      </c>
      <c r="O97" s="5">
        <f t="shared" si="3"/>
        <v>137157.45000000019</v>
      </c>
      <c r="P97" t="s">
        <v>520</v>
      </c>
    </row>
    <row r="98" spans="2:16" hidden="1">
      <c r="B98" t="s">
        <v>156</v>
      </c>
      <c r="C98" t="s">
        <v>157</v>
      </c>
      <c r="D98">
        <v>18230749</v>
      </c>
      <c r="E98" s="4">
        <v>9780.7000000000007</v>
      </c>
      <c r="F98" s="4">
        <v>7976.35</v>
      </c>
      <c r="G98" s="4">
        <v>248.7</v>
      </c>
      <c r="H98" s="4">
        <v>0</v>
      </c>
      <c r="I98" s="4">
        <v>158810</v>
      </c>
      <c r="J98" s="4">
        <v>0</v>
      </c>
      <c r="K98" s="4">
        <v>0</v>
      </c>
      <c r="L98" s="4">
        <v>0</v>
      </c>
      <c r="M98" s="4">
        <v>0</v>
      </c>
      <c r="N98" s="5">
        <f t="shared" si="2"/>
        <v>176815.75</v>
      </c>
      <c r="O98" s="5">
        <f t="shared" si="3"/>
        <v>176815.75</v>
      </c>
      <c r="P98" t="s">
        <v>522</v>
      </c>
    </row>
    <row r="99" spans="2:16" hidden="1">
      <c r="B99" t="s">
        <v>17</v>
      </c>
      <c r="C99" t="s">
        <v>38</v>
      </c>
      <c r="D99">
        <v>18230405</v>
      </c>
      <c r="E99" s="4">
        <v>16434.009999999998</v>
      </c>
      <c r="F99" s="4">
        <v>13541.96</v>
      </c>
      <c r="G99" s="4">
        <v>142.28</v>
      </c>
      <c r="H99" s="4">
        <v>15</v>
      </c>
      <c r="I99" s="4">
        <v>0</v>
      </c>
      <c r="J99" s="4">
        <v>0</v>
      </c>
      <c r="K99" s="4">
        <v>0</v>
      </c>
      <c r="L99" s="4">
        <v>32500</v>
      </c>
      <c r="M99" s="4">
        <v>0</v>
      </c>
      <c r="N99" s="5">
        <f t="shared" si="2"/>
        <v>62633.25</v>
      </c>
      <c r="O99" s="5">
        <f t="shared" si="3"/>
        <v>30133.25</v>
      </c>
      <c r="P99" t="s">
        <v>520</v>
      </c>
    </row>
    <row r="100" spans="2:16" hidden="1">
      <c r="B100" t="s">
        <v>105</v>
      </c>
      <c r="C100" t="s">
        <v>106</v>
      </c>
      <c r="D100">
        <v>18230684</v>
      </c>
      <c r="E100" s="4">
        <v>9487.86</v>
      </c>
      <c r="F100" s="4">
        <v>7810.89</v>
      </c>
      <c r="G100" s="4">
        <v>1134.53</v>
      </c>
      <c r="H100" s="4">
        <v>2.95</v>
      </c>
      <c r="I100" s="4">
        <v>0</v>
      </c>
      <c r="J100" s="4">
        <v>0</v>
      </c>
      <c r="K100" s="4">
        <v>0</v>
      </c>
      <c r="L100" s="4">
        <v>5500</v>
      </c>
      <c r="M100" s="4">
        <v>0</v>
      </c>
      <c r="N100" s="5">
        <f t="shared" si="2"/>
        <v>23936.23</v>
      </c>
      <c r="O100" s="5">
        <f t="shared" si="3"/>
        <v>18436.23</v>
      </c>
      <c r="P100" t="s">
        <v>520</v>
      </c>
    </row>
    <row r="101" spans="2:16" hidden="1">
      <c r="B101" t="s">
        <v>70</v>
      </c>
      <c r="C101" t="s">
        <v>176</v>
      </c>
      <c r="D101">
        <v>18231134</v>
      </c>
      <c r="E101" s="4">
        <v>130862.56</v>
      </c>
      <c r="F101" s="4">
        <v>108148.01</v>
      </c>
      <c r="G101" s="4">
        <v>19507.650000000001</v>
      </c>
      <c r="H101" s="4">
        <v>513.76</v>
      </c>
      <c r="I101" s="4">
        <v>1105327.6499999999</v>
      </c>
      <c r="J101" s="4">
        <v>699.85</v>
      </c>
      <c r="K101" s="4">
        <v>0</v>
      </c>
      <c r="L101" s="4">
        <v>6103156.6200000001</v>
      </c>
      <c r="M101" s="4">
        <v>0</v>
      </c>
      <c r="N101" s="5">
        <f t="shared" si="2"/>
        <v>7468216.0999999996</v>
      </c>
      <c r="O101" s="5">
        <f t="shared" si="3"/>
        <v>1365059.4799999995</v>
      </c>
      <c r="P101" t="s">
        <v>523</v>
      </c>
    </row>
    <row r="102" spans="2:16" hidden="1">
      <c r="B102" t="s">
        <v>31</v>
      </c>
      <c r="C102" t="s">
        <v>163</v>
      </c>
      <c r="D102">
        <v>18231022</v>
      </c>
      <c r="E102" s="4">
        <v>0</v>
      </c>
      <c r="F102" s="4">
        <v>0</v>
      </c>
      <c r="G102" s="4">
        <v>0</v>
      </c>
      <c r="H102" s="4">
        <v>0</v>
      </c>
      <c r="I102" s="4">
        <v>5260.14</v>
      </c>
      <c r="J102" s="4">
        <v>0</v>
      </c>
      <c r="K102" s="4">
        <v>0</v>
      </c>
      <c r="L102" s="4">
        <v>9874.4599999999991</v>
      </c>
      <c r="M102" s="4">
        <v>0</v>
      </c>
      <c r="N102" s="5">
        <f t="shared" si="2"/>
        <v>15134.599999999999</v>
      </c>
      <c r="O102" s="5">
        <f t="shared" si="3"/>
        <v>5260.1399999999994</v>
      </c>
      <c r="P102" t="s">
        <v>523</v>
      </c>
    </row>
    <row r="103" spans="2:16" hidden="1">
      <c r="B103" t="s">
        <v>15</v>
      </c>
      <c r="C103" t="s">
        <v>16</v>
      </c>
      <c r="D103">
        <v>18230023</v>
      </c>
      <c r="E103" s="4">
        <v>55465.49</v>
      </c>
      <c r="F103" s="4">
        <v>45841.86</v>
      </c>
      <c r="G103" s="4">
        <v>16259.85</v>
      </c>
      <c r="H103" s="4">
        <v>0</v>
      </c>
      <c r="I103" s="4">
        <v>43628.61</v>
      </c>
      <c r="J103" s="4">
        <v>0</v>
      </c>
      <c r="K103" s="4">
        <v>-4925.8100000000004</v>
      </c>
      <c r="L103" s="4">
        <v>525324.18999999994</v>
      </c>
      <c r="M103" s="4">
        <v>0</v>
      </c>
      <c r="N103" s="5">
        <f t="shared" si="2"/>
        <v>681594.19</v>
      </c>
      <c r="O103" s="5">
        <f t="shared" si="3"/>
        <v>156270</v>
      </c>
      <c r="P103" t="s">
        <v>520</v>
      </c>
    </row>
    <row r="104" spans="2:16" hidden="1">
      <c r="B104" t="s">
        <v>33</v>
      </c>
      <c r="C104" t="s">
        <v>107</v>
      </c>
      <c r="D104">
        <v>18230687</v>
      </c>
      <c r="E104" s="4">
        <v>47584.56</v>
      </c>
      <c r="F104" s="4">
        <v>39263.78</v>
      </c>
      <c r="G104" s="4">
        <v>29794.38</v>
      </c>
      <c r="H104" s="4">
        <v>158.33000000000001</v>
      </c>
      <c r="I104" s="4">
        <v>107107.79</v>
      </c>
      <c r="J104" s="4">
        <v>37.97</v>
      </c>
      <c r="K104" s="4">
        <v>-13432.26</v>
      </c>
      <c r="L104" s="4">
        <v>1080093.9099999999</v>
      </c>
      <c r="M104" s="4">
        <v>0</v>
      </c>
      <c r="N104" s="5">
        <f t="shared" si="2"/>
        <v>1290608.46</v>
      </c>
      <c r="O104" s="5">
        <f t="shared" si="3"/>
        <v>210514.55000000005</v>
      </c>
      <c r="P104" t="s">
        <v>520</v>
      </c>
    </row>
    <row r="105" spans="2:16" hidden="1">
      <c r="B105" t="s">
        <v>25</v>
      </c>
      <c r="C105" t="s">
        <v>162</v>
      </c>
      <c r="D105">
        <v>18231128</v>
      </c>
      <c r="E105" s="4">
        <v>2616.7600000000002</v>
      </c>
      <c r="F105" s="4">
        <v>2249.38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5">
        <f t="shared" si="2"/>
        <v>4866.1400000000003</v>
      </c>
      <c r="O105" s="5">
        <f t="shared" si="3"/>
        <v>4866.1400000000003</v>
      </c>
      <c r="P105" t="s">
        <v>522</v>
      </c>
    </row>
    <row r="106" spans="2:16" hidden="1">
      <c r="B106" t="s">
        <v>84</v>
      </c>
      <c r="C106" t="s">
        <v>166</v>
      </c>
      <c r="D106">
        <v>18231038</v>
      </c>
      <c r="E106" s="4">
        <v>446.24</v>
      </c>
      <c r="F106" s="4">
        <v>382.39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5">
        <f t="shared" si="2"/>
        <v>828.63</v>
      </c>
      <c r="O106" s="5">
        <f t="shared" si="3"/>
        <v>828.63</v>
      </c>
      <c r="P106" t="s">
        <v>522</v>
      </c>
    </row>
    <row r="107" spans="2:16" hidden="1">
      <c r="B107" t="s">
        <v>39</v>
      </c>
      <c r="C107" t="s">
        <v>167</v>
      </c>
      <c r="D107">
        <v>18230747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5">
        <f t="shared" si="2"/>
        <v>0</v>
      </c>
      <c r="O107" s="5">
        <f t="shared" si="3"/>
        <v>0</v>
      </c>
      <c r="P107" t="s">
        <v>520</v>
      </c>
    </row>
    <row r="108" spans="2:16" hidden="1">
      <c r="B108" t="s">
        <v>169</v>
      </c>
      <c r="C108" t="s">
        <v>170</v>
      </c>
      <c r="D108">
        <v>18230469</v>
      </c>
      <c r="E108" s="4">
        <v>155058.13</v>
      </c>
      <c r="F108" s="4">
        <v>128259.2</v>
      </c>
      <c r="G108" s="4">
        <v>0</v>
      </c>
      <c r="H108" s="4">
        <v>200.1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5">
        <f t="shared" si="2"/>
        <v>283517.43</v>
      </c>
      <c r="O108" s="5">
        <f t="shared" si="3"/>
        <v>283517.43</v>
      </c>
      <c r="P108" t="s">
        <v>525</v>
      </c>
    </row>
    <row r="109" spans="2:16" hidden="1">
      <c r="B109" t="s">
        <v>171</v>
      </c>
      <c r="C109" t="s">
        <v>172</v>
      </c>
      <c r="D109">
        <v>18230679</v>
      </c>
      <c r="E109" s="4">
        <v>23453.75</v>
      </c>
      <c r="F109" s="4">
        <v>19400.14</v>
      </c>
      <c r="G109" s="4">
        <v>12.75</v>
      </c>
      <c r="H109" s="4">
        <v>29.9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5">
        <f t="shared" si="2"/>
        <v>42896.54</v>
      </c>
      <c r="O109" s="5">
        <f t="shared" si="3"/>
        <v>42896.54</v>
      </c>
      <c r="P109" t="s">
        <v>525</v>
      </c>
    </row>
    <row r="110" spans="2:16" hidden="1">
      <c r="B110" t="s">
        <v>21</v>
      </c>
      <c r="C110" t="s">
        <v>22</v>
      </c>
      <c r="D110">
        <v>18230133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5">
        <f t="shared" si="2"/>
        <v>0</v>
      </c>
      <c r="O110" s="5">
        <f t="shared" si="3"/>
        <v>0</v>
      </c>
      <c r="P110" t="s">
        <v>429</v>
      </c>
    </row>
    <row r="111" spans="2:16" hidden="1">
      <c r="B111" t="s">
        <v>27</v>
      </c>
      <c r="C111" t="s">
        <v>28</v>
      </c>
      <c r="D111">
        <v>18230217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5">
        <f t="shared" si="2"/>
        <v>0</v>
      </c>
      <c r="O111" s="5">
        <f t="shared" si="3"/>
        <v>0</v>
      </c>
      <c r="P111" t="s">
        <v>429</v>
      </c>
    </row>
    <row r="112" spans="2:16" hidden="1">
      <c r="B112" t="s">
        <v>173</v>
      </c>
      <c r="C112" t="s">
        <v>174</v>
      </c>
      <c r="D112">
        <v>18230134</v>
      </c>
      <c r="E112" s="4">
        <v>14185.94</v>
      </c>
      <c r="F112" s="4">
        <v>11429.24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5">
        <f t="shared" si="2"/>
        <v>25615.18</v>
      </c>
      <c r="O112" s="5">
        <f t="shared" si="3"/>
        <v>25615.18</v>
      </c>
      <c r="P112" t="s">
        <v>521</v>
      </c>
    </row>
    <row r="113" spans="2:16" hidden="1">
      <c r="B113" t="s">
        <v>177</v>
      </c>
      <c r="C113" t="s">
        <v>178</v>
      </c>
      <c r="D113">
        <v>18230218</v>
      </c>
      <c r="E113" s="4">
        <v>6079.82</v>
      </c>
      <c r="F113" s="4">
        <v>4898.34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5">
        <f t="shared" si="2"/>
        <v>10978.16</v>
      </c>
      <c r="O113" s="5">
        <f t="shared" si="3"/>
        <v>10978.16</v>
      </c>
      <c r="P113" t="s">
        <v>521</v>
      </c>
    </row>
    <row r="114" spans="2:16" hidden="1">
      <c r="B114" t="s">
        <v>180</v>
      </c>
      <c r="C114" t="s">
        <v>181</v>
      </c>
      <c r="D114">
        <v>18230730</v>
      </c>
      <c r="E114" s="4">
        <v>0</v>
      </c>
      <c r="F114" s="4">
        <v>0</v>
      </c>
      <c r="G114" s="4">
        <v>0</v>
      </c>
      <c r="H114" s="4">
        <v>0</v>
      </c>
      <c r="I114" s="4">
        <v>117255.07</v>
      </c>
      <c r="J114" s="4">
        <v>0</v>
      </c>
      <c r="K114" s="4">
        <v>76767.95</v>
      </c>
      <c r="L114" s="4">
        <v>0</v>
      </c>
      <c r="M114" s="4">
        <v>0</v>
      </c>
      <c r="N114" s="5">
        <f t="shared" si="2"/>
        <v>194023.02000000002</v>
      </c>
      <c r="O114" s="5">
        <f t="shared" si="3"/>
        <v>194023.02000000002</v>
      </c>
      <c r="P114" t="s">
        <v>524</v>
      </c>
    </row>
    <row r="115" spans="2:16" hidden="1">
      <c r="B115" t="s">
        <v>182</v>
      </c>
      <c r="C115" t="s">
        <v>183</v>
      </c>
      <c r="D115">
        <v>18230698</v>
      </c>
      <c r="E115" s="4">
        <v>0</v>
      </c>
      <c r="F115" s="4">
        <v>0</v>
      </c>
      <c r="G115" s="4">
        <v>0</v>
      </c>
      <c r="H115" s="4">
        <v>0</v>
      </c>
      <c r="I115" s="4">
        <v>17520.88</v>
      </c>
      <c r="J115" s="4">
        <v>0</v>
      </c>
      <c r="K115" s="4">
        <v>6989</v>
      </c>
      <c r="L115" s="4">
        <v>0</v>
      </c>
      <c r="M115" s="4">
        <v>0</v>
      </c>
      <c r="N115" s="5">
        <f t="shared" si="2"/>
        <v>24509.88</v>
      </c>
      <c r="O115" s="5">
        <f t="shared" si="3"/>
        <v>24509.88</v>
      </c>
      <c r="P115" t="s">
        <v>524</v>
      </c>
    </row>
    <row r="116" spans="2:16" hidden="1">
      <c r="B116" t="s">
        <v>184</v>
      </c>
      <c r="C116" t="s">
        <v>185</v>
      </c>
      <c r="D116">
        <v>18230746</v>
      </c>
      <c r="E116" s="4">
        <v>28266.2</v>
      </c>
      <c r="F116" s="4">
        <v>23282.14</v>
      </c>
      <c r="G116" s="4">
        <v>9778.51</v>
      </c>
      <c r="H116" s="4">
        <v>0</v>
      </c>
      <c r="I116" s="4">
        <v>39100</v>
      </c>
      <c r="J116" s="4">
        <v>159.63</v>
      </c>
      <c r="K116" s="4">
        <v>-423.65</v>
      </c>
      <c r="L116" s="4">
        <v>0</v>
      </c>
      <c r="M116" s="4">
        <v>-185081.32</v>
      </c>
      <c r="N116" s="5">
        <f t="shared" si="2"/>
        <v>-84918.489999999991</v>
      </c>
      <c r="O116" s="5">
        <f t="shared" si="3"/>
        <v>-84918.489999999991</v>
      </c>
      <c r="P116" t="s">
        <v>524</v>
      </c>
    </row>
    <row r="117" spans="2:16" hidden="1">
      <c r="B117" t="s">
        <v>186</v>
      </c>
      <c r="C117" t="s">
        <v>187</v>
      </c>
      <c r="D117">
        <v>18231031</v>
      </c>
      <c r="E117" s="4">
        <v>28287.73</v>
      </c>
      <c r="F117" s="4">
        <v>23299.919999999998</v>
      </c>
      <c r="G117" s="4">
        <v>9844.9599999999991</v>
      </c>
      <c r="H117" s="4">
        <v>0</v>
      </c>
      <c r="I117" s="4">
        <v>39100</v>
      </c>
      <c r="J117" s="4">
        <v>159.6</v>
      </c>
      <c r="K117" s="4">
        <v>-486.39</v>
      </c>
      <c r="L117" s="4">
        <v>0</v>
      </c>
      <c r="M117" s="4">
        <v>-239672.19</v>
      </c>
      <c r="N117" s="5">
        <f t="shared" si="2"/>
        <v>-139466.37</v>
      </c>
      <c r="O117" s="5">
        <f t="shared" si="3"/>
        <v>-139466.37</v>
      </c>
      <c r="P117" t="s">
        <v>524</v>
      </c>
    </row>
  </sheetData>
  <autoFilter ref="A1:P117">
    <filterColumn colId="2">
      <filters>
        <filter val="Industrial Energy Management {G}"/>
      </filters>
    </filterColumn>
    <sortState ref="A11:P52">
      <sortCondition ref="C1:C117"/>
    </sortState>
  </autoFilter>
  <pageMargins left="0.7" right="0.7" top="0.75" bottom="0.75" header="0.3" footer="0.3"/>
  <legacy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15"/>
  <sheetViews>
    <sheetView zoomScale="85" zoomScaleNormal="85" workbookViewId="0">
      <selection activeCell="A28" sqref="A2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18230637</v>
      </c>
      <c r="D2" s="20" t="s">
        <v>82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18230637</v>
      </c>
      <c r="D5" s="61" t="s">
        <v>82</v>
      </c>
      <c r="E5" s="38" t="s">
        <v>1699</v>
      </c>
      <c r="F5" s="39" t="s">
        <v>1700</v>
      </c>
      <c r="G5" s="39">
        <v>30</v>
      </c>
      <c r="H5" s="39"/>
      <c r="I5" s="40" t="s">
        <v>269</v>
      </c>
      <c r="J5" s="41">
        <v>41</v>
      </c>
      <c r="K5" s="41">
        <v>0.64</v>
      </c>
      <c r="L5" s="41"/>
      <c r="M5" s="42">
        <v>50</v>
      </c>
      <c r="N5" s="42">
        <v>20.5</v>
      </c>
      <c r="O5" s="43">
        <v>26.24</v>
      </c>
      <c r="P5" s="44">
        <v>50</v>
      </c>
      <c r="Q5" s="44">
        <v>840.5</v>
      </c>
      <c r="R5" s="45">
        <v>0.24</v>
      </c>
      <c r="S5" s="46">
        <v>0</v>
      </c>
      <c r="T5" s="39">
        <f t="shared" ref="T5:T24" si="0">G5+H5</f>
        <v>30</v>
      </c>
      <c r="U5" s="47">
        <f t="shared" ref="U5:U24" si="1">(O5/$A$10)*T5</f>
        <v>1.359097085784731E-3</v>
      </c>
      <c r="V5" s="48">
        <f t="shared" ref="V5:V24" si="2">N5-M5</f>
        <v>-29.5</v>
      </c>
      <c r="W5" s="49">
        <f t="shared" ref="W5:W24" si="3">(O5/A$10)</f>
        <v>4.5303236192824362E-5</v>
      </c>
      <c r="X5" s="44">
        <f t="shared" ref="X5:X24" si="4">W5*A$8</f>
        <v>15.827801382670636</v>
      </c>
      <c r="Y5" s="44">
        <f t="shared" ref="Y5:Y24" si="5">Q5-P5</f>
        <v>790.5</v>
      </c>
      <c r="Z5" s="44">
        <f t="shared" ref="Z5:Z24" si="6">X5+(A$6*W5)</f>
        <v>197.22372864314508</v>
      </c>
      <c r="AA5" s="50">
        <f t="shared" ref="AA5:AA24" si="7">Q5+X5</f>
        <v>856.3278013826706</v>
      </c>
      <c r="AB5" s="51">
        <f t="shared" ref="AB5:AB24" si="8">Z5/(1+GasDiscountRate)^1</f>
        <v>184.37293506884646</v>
      </c>
      <c r="AC5" s="44">
        <f t="shared" ref="AC5:AC24" si="9">AA5/(1+GasDiscountRate)^1</f>
        <v>800.53080432146442</v>
      </c>
      <c r="AD5" s="44">
        <f t="shared" ref="AD5:AD24" si="10">-PV(GasDiscountRate,T5,R5)*J5</f>
        <v>122.47385074939528</v>
      </c>
      <c r="AE5" s="44">
        <v>0</v>
      </c>
      <c r="AF5" s="52">
        <f>HLOOKUP(I5,GasAvoidedCostsWOCC!$A$5:$G$50,G5+1,FALSE)</f>
        <v>18.94929753071774</v>
      </c>
      <c r="AG5" s="44">
        <f t="shared" ref="AG5:AG24" si="11">AF5*J5*K5</f>
        <v>497.22956720603349</v>
      </c>
      <c r="AH5" s="52">
        <f>HLOOKUP(I5,GasAvoidedCostsWOCC!$A$5:$Q$50,T5+1,FALSE)</f>
        <v>18.94929753071774</v>
      </c>
      <c r="AI5" s="44">
        <f t="shared" ref="AI5:AI24" si="12">AH5*J5*L5</f>
        <v>0</v>
      </c>
      <c r="AJ5" s="44">
        <f>AG5+AI5</f>
        <v>497.22956720603349</v>
      </c>
      <c r="AK5" s="44">
        <f>HLOOKUP(I5,GasAvoidedCostsWOCC!$A$5:$Q$50,G5+1,FALSE)*J5*L5</f>
        <v>0</v>
      </c>
      <c r="AL5" s="44">
        <f>AG5+AI5-AK5</f>
        <v>497.22956720603349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497.22956720603349</v>
      </c>
      <c r="AN5" s="48">
        <f>AM5*1.1+AD5+AE5</f>
        <v>669.4263746760322</v>
      </c>
      <c r="AO5" s="47">
        <f>IFERROR(AM5/AB5,0)</f>
        <v>2.6968685345295591</v>
      </c>
      <c r="AP5" s="47">
        <f>AN5/AC5</f>
        <v>0.83622812646596745</v>
      </c>
      <c r="AQ5">
        <v>2021</v>
      </c>
    </row>
    <row r="6" spans="1:43" ht="13.5" customHeight="1">
      <c r="A6" s="53">
        <f>SUMIF('Program Costs'!D:D,C2,'Program Costs'!L:L)</f>
        <v>4004039.06</v>
      </c>
      <c r="B6" s="97" t="s">
        <v>33</v>
      </c>
      <c r="C6" s="98">
        <v>18230637</v>
      </c>
      <c r="D6" s="61" t="s">
        <v>82</v>
      </c>
      <c r="E6" s="38" t="s">
        <v>1701</v>
      </c>
      <c r="F6" s="39" t="s">
        <v>1700</v>
      </c>
      <c r="G6" s="39">
        <v>45</v>
      </c>
      <c r="H6" s="39"/>
      <c r="I6" s="40" t="s">
        <v>269</v>
      </c>
      <c r="J6" s="41">
        <v>35114.79</v>
      </c>
      <c r="K6" s="41">
        <v>0.64</v>
      </c>
      <c r="L6" s="41"/>
      <c r="M6" s="42">
        <v>50</v>
      </c>
      <c r="N6" s="42">
        <v>20.5</v>
      </c>
      <c r="O6" s="43">
        <v>22473.47</v>
      </c>
      <c r="P6" s="44">
        <v>83900</v>
      </c>
      <c r="Q6" s="44">
        <v>719853.08</v>
      </c>
      <c r="R6" s="45">
        <v>0</v>
      </c>
      <c r="S6" s="46">
        <v>0</v>
      </c>
      <c r="T6" s="39">
        <f t="shared" si="0"/>
        <v>45</v>
      </c>
      <c r="U6" s="47">
        <f t="shared" si="1"/>
        <v>1.7460152963683639</v>
      </c>
      <c r="V6" s="48">
        <f t="shared" si="2"/>
        <v>-29.5</v>
      </c>
      <c r="W6" s="49">
        <f t="shared" si="3"/>
        <v>3.8800339919296975E-2</v>
      </c>
      <c r="X6" s="44">
        <f t="shared" si="4"/>
        <v>13555.854403178624</v>
      </c>
      <c r="Y6" s="44">
        <f t="shared" si="5"/>
        <v>635953.07999999996</v>
      </c>
      <c r="Z6" s="44">
        <f t="shared" si="6"/>
        <v>168913.93098132094</v>
      </c>
      <c r="AA6" s="50">
        <f t="shared" si="7"/>
        <v>733408.93440317863</v>
      </c>
      <c r="AB6" s="51">
        <f t="shared" si="8"/>
        <v>157907.76010219773</v>
      </c>
      <c r="AC6" s="44">
        <f t="shared" si="9"/>
        <v>685621.14088359219</v>
      </c>
      <c r="AD6" s="44">
        <f t="shared" si="10"/>
        <v>0</v>
      </c>
      <c r="AE6" s="44">
        <v>0</v>
      </c>
      <c r="AF6" s="52">
        <f>HLOOKUP(I6,GasAvoidedCostsWOCC!$A$5:$G$50,G6+1,FALSE)</f>
        <v>27.444232870165703</v>
      </c>
      <c r="AG6" s="44">
        <f t="shared" si="11"/>
        <v>616767.02332605817</v>
      </c>
      <c r="AH6" s="52">
        <f>HLOOKUP(I6,GasAvoidedCostsWOCC!$A$5:$Q$50,T6+1,FALSE)</f>
        <v>27.444232870165703</v>
      </c>
      <c r="AI6" s="44">
        <f t="shared" si="12"/>
        <v>0</v>
      </c>
      <c r="AJ6" s="44">
        <f t="shared" ref="AJ6:AJ24" si="13">AG6+AI6</f>
        <v>616767.02332605817</v>
      </c>
      <c r="AK6" s="44">
        <f>HLOOKUP(I6,GasAvoidedCostsWOCC!$A$5:$Q$50,G6+1,FALSE)*J6*L6</f>
        <v>0</v>
      </c>
      <c r="AL6" s="44">
        <f t="shared" ref="AL6:AL24" si="14">AG6+AI6-AK6</f>
        <v>616767.02332605817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616767.02332605817</v>
      </c>
      <c r="AN6" s="48">
        <f t="shared" ref="AN6:AN24" si="15">AM6*1.1+AD6+AE6</f>
        <v>678443.72565866401</v>
      </c>
      <c r="AO6" s="47">
        <f t="shared" ref="AO6:AO24" si="16">IFERROR(AM6/AB6,0)</f>
        <v>3.9058689891293956</v>
      </c>
      <c r="AP6" s="47">
        <f t="shared" ref="AP6:AP24" si="17">AN6/AC6</f>
        <v>0.98953151413085327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18230637</v>
      </c>
      <c r="D7" s="61" t="s">
        <v>82</v>
      </c>
      <c r="E7" s="38" t="s">
        <v>1702</v>
      </c>
      <c r="F7" s="39" t="s">
        <v>1700</v>
      </c>
      <c r="G7" s="39">
        <v>45</v>
      </c>
      <c r="H7" s="39"/>
      <c r="I7" s="40" t="s">
        <v>269</v>
      </c>
      <c r="J7" s="41">
        <v>124587.22</v>
      </c>
      <c r="K7" s="41">
        <v>0.38</v>
      </c>
      <c r="L7" s="41"/>
      <c r="M7" s="42">
        <v>50</v>
      </c>
      <c r="N7" s="42">
        <v>22.6</v>
      </c>
      <c r="O7" s="43">
        <v>47480.11</v>
      </c>
      <c r="P7" s="44">
        <v>324589</v>
      </c>
      <c r="Q7" s="44">
        <v>2815671.14</v>
      </c>
      <c r="R7" s="45">
        <v>0</v>
      </c>
      <c r="S7" s="46">
        <v>0</v>
      </c>
      <c r="T7" s="39">
        <f t="shared" si="0"/>
        <v>45</v>
      </c>
      <c r="U7" s="47">
        <f t="shared" si="1"/>
        <v>3.6888383651146226</v>
      </c>
      <c r="V7" s="48">
        <f t="shared" si="2"/>
        <v>-27.4</v>
      </c>
      <c r="W7" s="49">
        <f t="shared" si="3"/>
        <v>8.1974185891436055E-2</v>
      </c>
      <c r="X7" s="44">
        <f t="shared" si="4"/>
        <v>28639.70086537172</v>
      </c>
      <c r="Y7" s="44">
        <f t="shared" si="5"/>
        <v>2491082.14</v>
      </c>
      <c r="Z7" s="44">
        <f t="shared" si="6"/>
        <v>356867.54308638262</v>
      </c>
      <c r="AA7" s="50">
        <f t="shared" si="7"/>
        <v>2844310.8408653717</v>
      </c>
      <c r="AB7" s="51">
        <f t="shared" si="8"/>
        <v>333614.60511020152</v>
      </c>
      <c r="AC7" s="44">
        <f t="shared" si="9"/>
        <v>2658979.9391094432</v>
      </c>
      <c r="AD7" s="44">
        <f t="shared" si="10"/>
        <v>0</v>
      </c>
      <c r="AE7" s="44">
        <v>0</v>
      </c>
      <c r="AF7" s="52">
        <f>HLOOKUP(I7,GasAvoidedCostsWOCC!$A$5:$G$50,G7+1,FALSE)</f>
        <v>27.444232870165703</v>
      </c>
      <c r="AG7" s="44">
        <f t="shared" si="11"/>
        <v>1299296.257764095</v>
      </c>
      <c r="AH7" s="52">
        <f>HLOOKUP(I7,GasAvoidedCostsWOCC!$A$5:$Q$50,T7+1,FALSE)</f>
        <v>27.444232870165703</v>
      </c>
      <c r="AI7" s="44">
        <f t="shared" si="12"/>
        <v>0</v>
      </c>
      <c r="AJ7" s="44">
        <f t="shared" si="13"/>
        <v>1299296.257764095</v>
      </c>
      <c r="AK7" s="44">
        <f>HLOOKUP(I7,GasAvoidedCostsWOCC!$A$5:$Q$50,G7+1,FALSE)*J7*L7</f>
        <v>0</v>
      </c>
      <c r="AL7" s="44">
        <f t="shared" si="14"/>
        <v>1299296.257764095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1299296.257764095</v>
      </c>
      <c r="AN7" s="48">
        <f t="shared" si="15"/>
        <v>1429225.8835405046</v>
      </c>
      <c r="AO7" s="47">
        <f t="shared" si="16"/>
        <v>3.8946024480400188</v>
      </c>
      <c r="AP7" s="47">
        <f t="shared" si="17"/>
        <v>0.53750908854889179</v>
      </c>
      <c r="AQ7">
        <v>2021</v>
      </c>
    </row>
    <row r="8" spans="1:43" ht="13.5" customHeight="1">
      <c r="A8" s="53">
        <f>SUMIF('Program Costs'!D:D,C2,'Program Costs'!O:O)</f>
        <v>349374.63000000035</v>
      </c>
      <c r="B8" s="97" t="s">
        <v>33</v>
      </c>
      <c r="C8" s="98">
        <v>18230637</v>
      </c>
      <c r="D8" s="61" t="s">
        <v>82</v>
      </c>
      <c r="E8" s="38" t="s">
        <v>1703</v>
      </c>
      <c r="F8" s="39" t="s">
        <v>1704</v>
      </c>
      <c r="G8" s="39">
        <v>25</v>
      </c>
      <c r="H8" s="39"/>
      <c r="I8" s="40" t="s">
        <v>269</v>
      </c>
      <c r="J8" s="41">
        <v>234.1</v>
      </c>
      <c r="K8" s="41">
        <v>0.4</v>
      </c>
      <c r="L8" s="41"/>
      <c r="M8" s="42">
        <v>200</v>
      </c>
      <c r="N8" s="42">
        <v>17.809999999999999</v>
      </c>
      <c r="O8" s="43">
        <v>93.64</v>
      </c>
      <c r="P8" s="44">
        <v>4000</v>
      </c>
      <c r="Q8" s="44">
        <v>4169.32</v>
      </c>
      <c r="R8" s="45">
        <v>0</v>
      </c>
      <c r="S8" s="46">
        <v>0</v>
      </c>
      <c r="T8" s="39">
        <f t="shared" si="0"/>
        <v>25</v>
      </c>
      <c r="U8" s="47">
        <f t="shared" si="1"/>
        <v>4.0417254545503751E-3</v>
      </c>
      <c r="V8" s="48">
        <f t="shared" si="2"/>
        <v>-182.19</v>
      </c>
      <c r="W8" s="49">
        <f t="shared" si="3"/>
        <v>1.61669018182015E-4</v>
      </c>
      <c r="X8" s="44">
        <f t="shared" si="4"/>
        <v>56.483053409804825</v>
      </c>
      <c r="Y8" s="44">
        <f t="shared" si="5"/>
        <v>169.31999999999971</v>
      </c>
      <c r="Z8" s="44">
        <f t="shared" si="6"/>
        <v>703.81211700244307</v>
      </c>
      <c r="AA8" s="50">
        <f t="shared" si="7"/>
        <v>4225.8030534098043</v>
      </c>
      <c r="AB8" s="51">
        <f t="shared" si="8"/>
        <v>657.95280639659995</v>
      </c>
      <c r="AC8" s="44">
        <f t="shared" si="9"/>
        <v>3950.4562526033505</v>
      </c>
      <c r="AD8" s="44">
        <f t="shared" si="10"/>
        <v>0</v>
      </c>
      <c r="AE8" s="44">
        <v>0</v>
      </c>
      <c r="AF8" s="52">
        <f>HLOOKUP(I8,GasAvoidedCostsWOCC!$A$5:$G$50,G8+1,FALSE)</f>
        <v>16.472554524074432</v>
      </c>
      <c r="AG8" s="44">
        <f t="shared" si="11"/>
        <v>1542.4900056343299</v>
      </c>
      <c r="AH8" s="52">
        <f>HLOOKUP(I8,GasAvoidedCostsWOCC!$A$5:$Q$50,T8+1,FALSE)</f>
        <v>16.472554524074432</v>
      </c>
      <c r="AI8" s="44">
        <f t="shared" si="12"/>
        <v>0</v>
      </c>
      <c r="AJ8" s="44">
        <f t="shared" si="13"/>
        <v>1542.4900056343299</v>
      </c>
      <c r="AK8" s="44">
        <f>HLOOKUP(I8,GasAvoidedCostsWOCC!$A$5:$Q$50,G8+1,FALSE)*J8*L8</f>
        <v>0</v>
      </c>
      <c r="AL8" s="44">
        <f t="shared" si="14"/>
        <v>1542.4900056343299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1542.4900056343299</v>
      </c>
      <c r="AN8" s="48">
        <f t="shared" si="15"/>
        <v>1696.739006197763</v>
      </c>
      <c r="AO8" s="47">
        <f t="shared" si="16"/>
        <v>2.3443778803559807</v>
      </c>
      <c r="AP8" s="47">
        <f t="shared" si="17"/>
        <v>0.42950456800517967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18230637</v>
      </c>
      <c r="D9" s="61" t="s">
        <v>82</v>
      </c>
      <c r="E9" s="38" t="s">
        <v>1705</v>
      </c>
      <c r="F9" s="39" t="s">
        <v>1704</v>
      </c>
      <c r="G9" s="39">
        <v>25</v>
      </c>
      <c r="H9" s="39"/>
      <c r="I9" s="40" t="s">
        <v>269</v>
      </c>
      <c r="J9" s="41">
        <v>1302.32</v>
      </c>
      <c r="K9" s="41">
        <v>0.76</v>
      </c>
      <c r="L9" s="41"/>
      <c r="M9" s="42">
        <v>200</v>
      </c>
      <c r="N9" s="42">
        <v>18.53</v>
      </c>
      <c r="O9" s="43">
        <v>994.58</v>
      </c>
      <c r="P9" s="44">
        <v>13942.27</v>
      </c>
      <c r="Q9" s="44">
        <v>24131.99</v>
      </c>
      <c r="R9" s="45">
        <v>0</v>
      </c>
      <c r="S9" s="46">
        <v>0</v>
      </c>
      <c r="T9" s="39">
        <f t="shared" si="0"/>
        <v>25</v>
      </c>
      <c r="U9" s="47">
        <f t="shared" si="1"/>
        <v>4.2928441932792744E-2</v>
      </c>
      <c r="V9" s="48">
        <f t="shared" si="2"/>
        <v>-181.47</v>
      </c>
      <c r="W9" s="49">
        <f t="shared" si="3"/>
        <v>1.7171376773117096E-3</v>
      </c>
      <c r="X9" s="44">
        <f t="shared" si="4"/>
        <v>599.92434066983856</v>
      </c>
      <c r="Y9" s="44">
        <f t="shared" si="5"/>
        <v>10189.720000000001</v>
      </c>
      <c r="Z9" s="44">
        <f t="shared" si="6"/>
        <v>7475.4106720236005</v>
      </c>
      <c r="AA9" s="50">
        <f t="shared" si="7"/>
        <v>24731.914340669839</v>
      </c>
      <c r="AB9" s="51">
        <f t="shared" si="8"/>
        <v>6988.3244573465454</v>
      </c>
      <c r="AC9" s="44">
        <f t="shared" si="9"/>
        <v>23120.420997167275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16.472554524074432</v>
      </c>
      <c r="AG9" s="44">
        <f t="shared" si="11"/>
        <v>16303.928277922387</v>
      </c>
      <c r="AH9" s="52">
        <f>HLOOKUP(I9,GasAvoidedCostsWOCC!$A$5:$Q$50,T9+1,FALSE)</f>
        <v>16.472554524074432</v>
      </c>
      <c r="AI9" s="44">
        <f t="shared" si="12"/>
        <v>0</v>
      </c>
      <c r="AJ9" s="44">
        <f t="shared" si="13"/>
        <v>16303.928277922387</v>
      </c>
      <c r="AK9" s="44">
        <f>HLOOKUP(I9,GasAvoidedCostsWOCC!$A$5:$Q$50,G9+1,FALSE)*J9*L9</f>
        <v>0</v>
      </c>
      <c r="AL9" s="44">
        <f t="shared" si="14"/>
        <v>16303.928277922387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16303.928277922387</v>
      </c>
      <c r="AN9" s="48">
        <f t="shared" si="15"/>
        <v>17934.321105714625</v>
      </c>
      <c r="AO9" s="47">
        <f t="shared" si="16"/>
        <v>2.3330239426394579</v>
      </c>
      <c r="AP9" s="47">
        <f t="shared" si="17"/>
        <v>0.77569180543520144</v>
      </c>
      <c r="AQ9">
        <v>2021</v>
      </c>
    </row>
    <row r="10" spans="1:43" ht="13.5" customHeight="1">
      <c r="A10" s="54">
        <f>SUM(O5:O999)</f>
        <v>579208.07000000111</v>
      </c>
      <c r="B10" s="97" t="s">
        <v>33</v>
      </c>
      <c r="C10" s="98">
        <v>18230637</v>
      </c>
      <c r="D10" s="61" t="s">
        <v>82</v>
      </c>
      <c r="E10" s="38" t="s">
        <v>1706</v>
      </c>
      <c r="F10" s="39" t="s">
        <v>1707</v>
      </c>
      <c r="G10" s="39">
        <v>45</v>
      </c>
      <c r="H10" s="39"/>
      <c r="I10" s="40" t="s">
        <v>269</v>
      </c>
      <c r="J10" s="41">
        <v>76334</v>
      </c>
      <c r="K10" s="41">
        <v>0.1</v>
      </c>
      <c r="L10" s="41"/>
      <c r="M10" s="42">
        <v>0.5</v>
      </c>
      <c r="N10" s="42">
        <v>1.24</v>
      </c>
      <c r="O10" s="43">
        <v>7633.4</v>
      </c>
      <c r="P10" s="44">
        <v>37380.639999999999</v>
      </c>
      <c r="Q10" s="44">
        <v>94654.16</v>
      </c>
      <c r="R10" s="45">
        <v>0</v>
      </c>
      <c r="S10" s="46">
        <v>0</v>
      </c>
      <c r="T10" s="39">
        <f t="shared" si="0"/>
        <v>45</v>
      </c>
      <c r="U10" s="47">
        <f t="shared" si="1"/>
        <v>0.59305630876310012</v>
      </c>
      <c r="V10" s="48">
        <f t="shared" si="2"/>
        <v>0.74</v>
      </c>
      <c r="W10" s="49">
        <f t="shared" si="3"/>
        <v>1.3179029083624448E-2</v>
      </c>
      <c r="X10" s="44">
        <f t="shared" si="4"/>
        <v>4604.4184098505348</v>
      </c>
      <c r="Y10" s="44">
        <f t="shared" si="5"/>
        <v>57273.520000000004</v>
      </c>
      <c r="Z10" s="44">
        <f t="shared" si="6"/>
        <v>57373.765633558833</v>
      </c>
      <c r="AA10" s="50">
        <f t="shared" si="7"/>
        <v>99258.578409850539</v>
      </c>
      <c r="AB10" s="51">
        <f t="shared" si="8"/>
        <v>53635.379670523347</v>
      </c>
      <c r="AC10" s="44">
        <f t="shared" si="9"/>
        <v>92791.042731467256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27.444232870165703</v>
      </c>
      <c r="AG10" s="44">
        <f t="shared" si="11"/>
        <v>209492.80719112291</v>
      </c>
      <c r="AH10" s="52">
        <f>HLOOKUP(I10,GasAvoidedCostsWOCC!$A$5:$Q$50,T10+1,FALSE)</f>
        <v>27.444232870165703</v>
      </c>
      <c r="AI10" s="44">
        <f t="shared" si="12"/>
        <v>0</v>
      </c>
      <c r="AJ10" s="44">
        <f t="shared" si="13"/>
        <v>209492.80719112291</v>
      </c>
      <c r="AK10" s="44">
        <f>HLOOKUP(I10,GasAvoidedCostsWOCC!$A$5:$Q$50,G10+1,FALSE)*J10*L10</f>
        <v>0</v>
      </c>
      <c r="AL10" s="44">
        <f t="shared" si="14"/>
        <v>209492.80719112291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209492.80719112288</v>
      </c>
      <c r="AN10" s="48">
        <f t="shared" si="15"/>
        <v>230442.08791023519</v>
      </c>
      <c r="AO10" s="47">
        <f t="shared" si="16"/>
        <v>3.9058697538456104</v>
      </c>
      <c r="AP10" s="47">
        <f t="shared" si="17"/>
        <v>2.4834518626665649</v>
      </c>
      <c r="AQ10">
        <v>2021</v>
      </c>
    </row>
    <row r="11" spans="1:43" ht="13.5" customHeight="1">
      <c r="A11" s="36" t="s">
        <v>251</v>
      </c>
      <c r="B11" s="97" t="s">
        <v>33</v>
      </c>
      <c r="C11" s="98">
        <v>18230637</v>
      </c>
      <c r="D11" s="61" t="s">
        <v>82</v>
      </c>
      <c r="E11" s="38" t="s">
        <v>1708</v>
      </c>
      <c r="F11" s="39" t="s">
        <v>1707</v>
      </c>
      <c r="G11" s="39">
        <v>45</v>
      </c>
      <c r="H11" s="39"/>
      <c r="I11" s="40" t="s">
        <v>269</v>
      </c>
      <c r="J11" s="41">
        <v>287952</v>
      </c>
      <c r="K11" s="41">
        <v>0.09</v>
      </c>
      <c r="L11" s="41"/>
      <c r="M11" s="42">
        <v>0.5</v>
      </c>
      <c r="N11" s="42">
        <v>1.49</v>
      </c>
      <c r="O11" s="43">
        <v>26606.720000000001</v>
      </c>
      <c r="P11" s="44">
        <v>146614.46</v>
      </c>
      <c r="Q11" s="44">
        <v>429048.48</v>
      </c>
      <c r="R11" s="45">
        <v>0</v>
      </c>
      <c r="S11" s="46">
        <v>0</v>
      </c>
      <c r="T11" s="39">
        <f t="shared" si="0"/>
        <v>45</v>
      </c>
      <c r="U11" s="47">
        <f t="shared" si="1"/>
        <v>2.0671369444144618</v>
      </c>
      <c r="V11" s="48">
        <f t="shared" si="2"/>
        <v>0.99</v>
      </c>
      <c r="W11" s="49">
        <f t="shared" si="3"/>
        <v>4.5936376542543594E-2</v>
      </c>
      <c r="X11" s="44">
        <f t="shared" si="4"/>
        <v>16049.004558091863</v>
      </c>
      <c r="Y11" s="44">
        <f t="shared" si="5"/>
        <v>282434.02</v>
      </c>
      <c r="Z11" s="44">
        <f t="shared" si="6"/>
        <v>199980.05050930419</v>
      </c>
      <c r="AA11" s="50">
        <f t="shared" si="7"/>
        <v>445097.48455809185</v>
      </c>
      <c r="AB11" s="51">
        <f t="shared" si="8"/>
        <v>186949.65925895501</v>
      </c>
      <c r="AC11" s="44">
        <f t="shared" si="9"/>
        <v>416095.61985425057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27.444232870165703</v>
      </c>
      <c r="AG11" s="44">
        <f t="shared" si="11"/>
        <v>711235.95690869587</v>
      </c>
      <c r="AH11" s="52">
        <f>HLOOKUP(I11,GasAvoidedCostsWOCC!$A$5:$Q$50,T11+1,FALSE)</f>
        <v>27.444232870165703</v>
      </c>
      <c r="AI11" s="44">
        <f t="shared" si="12"/>
        <v>0</v>
      </c>
      <c r="AJ11" s="44">
        <f t="shared" si="13"/>
        <v>711235.95690869587</v>
      </c>
      <c r="AK11" s="44">
        <f>HLOOKUP(I11,GasAvoidedCostsWOCC!$A$5:$Q$50,G11+1,FALSE)*J11*L11</f>
        <v>0</v>
      </c>
      <c r="AL11" s="44">
        <f t="shared" si="14"/>
        <v>711235.95690869587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711235.95690869587</v>
      </c>
      <c r="AN11" s="48">
        <f t="shared" si="15"/>
        <v>782359.55259956548</v>
      </c>
      <c r="AO11" s="47">
        <f t="shared" si="16"/>
        <v>3.8044249972315858</v>
      </c>
      <c r="AP11" s="47">
        <f t="shared" si="17"/>
        <v>1.8802398181302877</v>
      </c>
      <c r="AQ11">
        <v>2021</v>
      </c>
    </row>
    <row r="12" spans="1:43" ht="13.5" customHeight="1">
      <c r="A12" s="55">
        <f>SUM(P5:P1000)</f>
        <v>3863176.9499999988</v>
      </c>
      <c r="B12" s="97" t="s">
        <v>33</v>
      </c>
      <c r="C12" s="98">
        <v>18230637</v>
      </c>
      <c r="D12" s="61" t="s">
        <v>82</v>
      </c>
      <c r="E12" s="38" t="s">
        <v>702</v>
      </c>
      <c r="F12" s="39" t="s">
        <v>703</v>
      </c>
      <c r="G12" s="39">
        <v>45</v>
      </c>
      <c r="H12" s="39"/>
      <c r="I12" s="40" t="s">
        <v>269</v>
      </c>
      <c r="J12" s="41">
        <v>93886</v>
      </c>
      <c r="K12" s="41">
        <v>0.03</v>
      </c>
      <c r="L12" s="41"/>
      <c r="M12" s="42">
        <v>0.5</v>
      </c>
      <c r="N12" s="42">
        <v>1.0900000000000001</v>
      </c>
      <c r="O12" s="43">
        <v>2816.58</v>
      </c>
      <c r="P12" s="44">
        <v>47582.29</v>
      </c>
      <c r="Q12" s="44">
        <v>102335.74</v>
      </c>
      <c r="R12" s="45">
        <v>0</v>
      </c>
      <c r="S12" s="46">
        <v>0</v>
      </c>
      <c r="T12" s="39">
        <f t="shared" si="0"/>
        <v>45</v>
      </c>
      <c r="U12" s="47">
        <f t="shared" si="1"/>
        <v>0.21882654362878567</v>
      </c>
      <c r="V12" s="48">
        <f t="shared" si="2"/>
        <v>0.59000000000000008</v>
      </c>
      <c r="W12" s="49">
        <f t="shared" si="3"/>
        <v>4.8628120806396818E-3</v>
      </c>
      <c r="X12" s="44">
        <f t="shared" si="4"/>
        <v>1698.9431714330208</v>
      </c>
      <c r="Y12" s="44">
        <f t="shared" si="5"/>
        <v>54753.450000000004</v>
      </c>
      <c r="Z12" s="44">
        <f t="shared" si="6"/>
        <v>21169.832683754175</v>
      </c>
      <c r="AA12" s="50">
        <f t="shared" si="7"/>
        <v>104034.68317143303</v>
      </c>
      <c r="AB12" s="51">
        <f t="shared" si="8"/>
        <v>19790.439079886113</v>
      </c>
      <c r="AC12" s="44">
        <f t="shared" si="9"/>
        <v>97255.943882801745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27.444232870165703</v>
      </c>
      <c r="AG12" s="44">
        <f t="shared" si="11"/>
        <v>77298.877417451309</v>
      </c>
      <c r="AH12" s="52">
        <f>HLOOKUP(I12,GasAvoidedCostsWOCC!$A$5:$Q$50,T12+1,FALSE)</f>
        <v>27.444232870165703</v>
      </c>
      <c r="AI12" s="44">
        <f t="shared" si="12"/>
        <v>0</v>
      </c>
      <c r="AJ12" s="44">
        <f t="shared" si="13"/>
        <v>77298.877417451309</v>
      </c>
      <c r="AK12" s="44">
        <f>HLOOKUP(I12,GasAvoidedCostsWOCC!$A$5:$Q$50,G12+1,FALSE)*J12*L12</f>
        <v>0</v>
      </c>
      <c r="AL12" s="44">
        <f t="shared" si="14"/>
        <v>77298.877417451309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77298.877417451309</v>
      </c>
      <c r="AN12" s="48">
        <f t="shared" si="15"/>
        <v>85028.765159196453</v>
      </c>
      <c r="AO12" s="47">
        <f t="shared" si="16"/>
        <v>3.90586975384561</v>
      </c>
      <c r="AP12" s="47">
        <f t="shared" si="17"/>
        <v>0.87427833985818237</v>
      </c>
      <c r="AQ12">
        <v>2021</v>
      </c>
    </row>
    <row r="13" spans="1:43" ht="13.5" customHeight="1">
      <c r="A13" s="56" t="s">
        <v>252</v>
      </c>
      <c r="B13" s="97" t="s">
        <v>33</v>
      </c>
      <c r="C13" s="98">
        <v>18230637</v>
      </c>
      <c r="D13" s="61" t="s">
        <v>82</v>
      </c>
      <c r="E13" s="38" t="s">
        <v>704</v>
      </c>
      <c r="F13" s="39" t="s">
        <v>703</v>
      </c>
      <c r="G13" s="39">
        <v>45</v>
      </c>
      <c r="H13" s="39"/>
      <c r="I13" s="40" t="s">
        <v>269</v>
      </c>
      <c r="J13" s="41">
        <v>419368</v>
      </c>
      <c r="K13" s="41">
        <v>0.03</v>
      </c>
      <c r="L13" s="41"/>
      <c r="M13" s="42">
        <v>0.5</v>
      </c>
      <c r="N13" s="42">
        <v>1.24</v>
      </c>
      <c r="O13" s="43">
        <v>13461.79</v>
      </c>
      <c r="P13" s="44">
        <v>207449.60000000001</v>
      </c>
      <c r="Q13" s="44">
        <v>520016.32</v>
      </c>
      <c r="R13" s="45">
        <v>0</v>
      </c>
      <c r="S13" s="46">
        <v>0</v>
      </c>
      <c r="T13" s="39">
        <f t="shared" si="0"/>
        <v>45</v>
      </c>
      <c r="U13" s="47">
        <f t="shared" si="1"/>
        <v>1.045877261344095</v>
      </c>
      <c r="V13" s="48">
        <f t="shared" si="2"/>
        <v>0.74</v>
      </c>
      <c r="W13" s="49">
        <f t="shared" si="3"/>
        <v>2.3241716918757666E-2</v>
      </c>
      <c r="X13" s="44">
        <f t="shared" si="4"/>
        <v>8120.0662490557079</v>
      </c>
      <c r="Y13" s="44">
        <f t="shared" si="5"/>
        <v>312566.71999999997</v>
      </c>
      <c r="Z13" s="44">
        <f t="shared" si="6"/>
        <v>101180.80861322425</v>
      </c>
      <c r="AA13" s="50">
        <f t="shared" si="7"/>
        <v>528136.38624905574</v>
      </c>
      <c r="AB13" s="51">
        <f t="shared" si="8"/>
        <v>94588.023383401174</v>
      </c>
      <c r="AC13" s="44">
        <f t="shared" si="9"/>
        <v>493723.83495284256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27.444232870165703</v>
      </c>
      <c r="AG13" s="44">
        <f t="shared" si="11"/>
        <v>345276.99150886951</v>
      </c>
      <c r="AH13" s="52">
        <f>HLOOKUP(I13,GasAvoidedCostsWOCC!$A$5:$Q$50,T13+1,FALSE)</f>
        <v>27.444232870165703</v>
      </c>
      <c r="AI13" s="44">
        <f t="shared" si="12"/>
        <v>0</v>
      </c>
      <c r="AJ13" s="44">
        <f t="shared" si="13"/>
        <v>345276.99150886951</v>
      </c>
      <c r="AK13" s="44">
        <f>HLOOKUP(I13,GasAvoidedCostsWOCC!$A$5:$Q$50,G13+1,FALSE)*J13*L13</f>
        <v>0</v>
      </c>
      <c r="AL13" s="44">
        <f t="shared" si="14"/>
        <v>345276.99150886951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345276.99150886951</v>
      </c>
      <c r="AN13" s="48">
        <f t="shared" si="15"/>
        <v>379804.69065975648</v>
      </c>
      <c r="AO13" s="47">
        <f t="shared" si="16"/>
        <v>3.6503246305225217</v>
      </c>
      <c r="AP13" s="47">
        <f t="shared" si="17"/>
        <v>0.76926545524388767</v>
      </c>
      <c r="AQ13">
        <v>2021</v>
      </c>
    </row>
    <row r="14" spans="1:43" ht="13.5" customHeight="1">
      <c r="A14" s="55">
        <f>SUM(Y5:Y1000)</f>
        <v>10945684.200000003</v>
      </c>
      <c r="B14" s="97" t="s">
        <v>33</v>
      </c>
      <c r="C14" s="98">
        <v>18230637</v>
      </c>
      <c r="D14" s="61" t="s">
        <v>82</v>
      </c>
      <c r="E14" s="38" t="s">
        <v>719</v>
      </c>
      <c r="F14" s="39" t="s">
        <v>720</v>
      </c>
      <c r="G14" s="39">
        <v>25</v>
      </c>
      <c r="H14" s="39"/>
      <c r="I14" s="40" t="s">
        <v>269</v>
      </c>
      <c r="J14" s="41">
        <v>1364</v>
      </c>
      <c r="K14" s="41">
        <v>0.02</v>
      </c>
      <c r="L14" s="41"/>
      <c r="M14" s="42">
        <v>1.39</v>
      </c>
      <c r="N14" s="42">
        <v>1.39</v>
      </c>
      <c r="O14" s="43">
        <v>27.28</v>
      </c>
      <c r="P14" s="44">
        <v>1200</v>
      </c>
      <c r="Q14" s="44">
        <v>1895.96</v>
      </c>
      <c r="R14" s="45">
        <v>0</v>
      </c>
      <c r="S14" s="46">
        <v>0</v>
      </c>
      <c r="T14" s="39">
        <f t="shared" si="0"/>
        <v>25</v>
      </c>
      <c r="U14" s="47">
        <f t="shared" si="1"/>
        <v>1.1774697821458162E-3</v>
      </c>
      <c r="V14" s="48">
        <f t="shared" si="2"/>
        <v>0</v>
      </c>
      <c r="W14" s="49">
        <f t="shared" si="3"/>
        <v>4.709879128583265E-5</v>
      </c>
      <c r="X14" s="44">
        <f t="shared" si="4"/>
        <v>16.455122778935024</v>
      </c>
      <c r="Y14" s="44">
        <f t="shared" si="5"/>
        <v>695.96</v>
      </c>
      <c r="Z14" s="44">
        <f t="shared" si="6"/>
        <v>205.04052276619657</v>
      </c>
      <c r="AA14" s="50">
        <f t="shared" si="7"/>
        <v>1912.415122778935</v>
      </c>
      <c r="AB14" s="51">
        <f t="shared" si="8"/>
        <v>191.68039895877027</v>
      </c>
      <c r="AC14" s="44">
        <f t="shared" si="9"/>
        <v>1787.8051068326959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16.472554524074432</v>
      </c>
      <c r="AG14" s="44">
        <f t="shared" si="11"/>
        <v>449.37128741675048</v>
      </c>
      <c r="AH14" s="52">
        <f>HLOOKUP(I14,GasAvoidedCostsWOCC!$A$5:$Q$50,T14+1,FALSE)</f>
        <v>16.472554524074432</v>
      </c>
      <c r="AI14" s="44">
        <f t="shared" si="12"/>
        <v>0</v>
      </c>
      <c r="AJ14" s="44">
        <f t="shared" si="13"/>
        <v>449.37128741675048</v>
      </c>
      <c r="AK14" s="44">
        <f>HLOOKUP(I14,GasAvoidedCostsWOCC!$A$5:$Q$50,G14+1,FALSE)*J14*L14</f>
        <v>0</v>
      </c>
      <c r="AL14" s="44">
        <f t="shared" si="14"/>
        <v>449.37128741675048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449.37128741675048</v>
      </c>
      <c r="AN14" s="48">
        <f t="shared" si="15"/>
        <v>494.30841615842559</v>
      </c>
      <c r="AO14" s="47">
        <f t="shared" si="16"/>
        <v>2.3443778803559803</v>
      </c>
      <c r="AP14" s="47">
        <f t="shared" si="17"/>
        <v>0.27648898320586535</v>
      </c>
      <c r="AQ14">
        <v>2021</v>
      </c>
    </row>
    <row r="15" spans="1:43" ht="13.5" customHeight="1">
      <c r="A15" s="57" t="s">
        <v>253</v>
      </c>
      <c r="B15" s="97" t="s">
        <v>33</v>
      </c>
      <c r="C15" s="98">
        <v>18230637</v>
      </c>
      <c r="D15" s="61" t="s">
        <v>82</v>
      </c>
      <c r="E15" s="38" t="s">
        <v>724</v>
      </c>
      <c r="F15" s="39" t="s">
        <v>725</v>
      </c>
      <c r="G15" s="39">
        <v>45</v>
      </c>
      <c r="H15" s="39"/>
      <c r="I15" s="40" t="s">
        <v>269</v>
      </c>
      <c r="J15" s="41">
        <v>174398</v>
      </c>
      <c r="K15" s="41">
        <v>0.04</v>
      </c>
      <c r="L15" s="41"/>
      <c r="M15" s="42">
        <v>0.25</v>
      </c>
      <c r="N15" s="42">
        <v>1.46</v>
      </c>
      <c r="O15" s="43">
        <v>6975.92</v>
      </c>
      <c r="P15" s="44">
        <v>30586.49</v>
      </c>
      <c r="Q15" s="44">
        <v>254621.08</v>
      </c>
      <c r="R15" s="45">
        <v>0</v>
      </c>
      <c r="S15" s="46">
        <v>0</v>
      </c>
      <c r="T15" s="39">
        <f t="shared" si="0"/>
        <v>45</v>
      </c>
      <c r="U15" s="47">
        <f t="shared" si="1"/>
        <v>0.54197518346040896</v>
      </c>
      <c r="V15" s="48">
        <f t="shared" si="2"/>
        <v>1.21</v>
      </c>
      <c r="W15" s="49">
        <f t="shared" si="3"/>
        <v>1.2043892965786866E-2</v>
      </c>
      <c r="X15" s="44">
        <f t="shared" si="4"/>
        <v>4207.8306486813935</v>
      </c>
      <c r="Y15" s="44">
        <f t="shared" si="5"/>
        <v>224034.59</v>
      </c>
      <c r="Z15" s="44">
        <f t="shared" si="6"/>
        <v>52432.048518151249</v>
      </c>
      <c r="AA15" s="50">
        <f t="shared" si="7"/>
        <v>258828.91064868137</v>
      </c>
      <c r="AB15" s="51">
        <f t="shared" si="8"/>
        <v>49015.657210574223</v>
      </c>
      <c r="AC15" s="44">
        <f t="shared" si="9"/>
        <v>241964.01855537193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27.444232870165703</v>
      </c>
      <c r="AG15" s="44">
        <f t="shared" si="11"/>
        <v>191448.7729636463</v>
      </c>
      <c r="AH15" s="52">
        <f>HLOOKUP(I15,GasAvoidedCostsWOCC!$A$5:$Q$50,T15+1,FALSE)</f>
        <v>27.444232870165703</v>
      </c>
      <c r="AI15" s="44">
        <f t="shared" si="12"/>
        <v>0</v>
      </c>
      <c r="AJ15" s="44">
        <f t="shared" si="13"/>
        <v>191448.7729636463</v>
      </c>
      <c r="AK15" s="44">
        <f>HLOOKUP(I15,GasAvoidedCostsWOCC!$A$5:$Q$50,G15+1,FALSE)*J15*L15</f>
        <v>0</v>
      </c>
      <c r="AL15" s="44">
        <f t="shared" si="14"/>
        <v>191448.7729636463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191448.77296364633</v>
      </c>
      <c r="AN15" s="48">
        <f t="shared" si="15"/>
        <v>210593.650260011</v>
      </c>
      <c r="AO15" s="47">
        <f t="shared" si="16"/>
        <v>3.90586975384561</v>
      </c>
      <c r="AP15" s="47">
        <f t="shared" si="17"/>
        <v>0.87035110227274548</v>
      </c>
      <c r="AQ15">
        <v>2021</v>
      </c>
    </row>
    <row r="16" spans="1:43" ht="13.5" customHeight="1">
      <c r="A16" s="54">
        <f>SUM(U5:U999)</f>
        <v>35.395790652571499</v>
      </c>
      <c r="B16" s="97" t="s">
        <v>33</v>
      </c>
      <c r="C16" s="98">
        <v>18230637</v>
      </c>
      <c r="D16" s="61" t="s">
        <v>82</v>
      </c>
      <c r="E16" s="38" t="s">
        <v>726</v>
      </c>
      <c r="F16" s="39" t="s">
        <v>725</v>
      </c>
      <c r="G16" s="39">
        <v>45</v>
      </c>
      <c r="H16" s="39"/>
      <c r="I16" s="40" t="s">
        <v>269</v>
      </c>
      <c r="J16" s="41">
        <v>852039</v>
      </c>
      <c r="K16" s="41">
        <v>0.03</v>
      </c>
      <c r="L16" s="41"/>
      <c r="M16" s="42">
        <v>0.25</v>
      </c>
      <c r="N16" s="42">
        <v>1.41</v>
      </c>
      <c r="O16" s="43">
        <v>29395.99</v>
      </c>
      <c r="P16" s="44">
        <v>140800</v>
      </c>
      <c r="Q16" s="44">
        <v>1201374.99</v>
      </c>
      <c r="R16" s="45">
        <v>0</v>
      </c>
      <c r="S16" s="46">
        <v>0</v>
      </c>
      <c r="T16" s="39">
        <f t="shared" si="0"/>
        <v>45</v>
      </c>
      <c r="U16" s="47">
        <f t="shared" si="1"/>
        <v>2.2838417116667546</v>
      </c>
      <c r="V16" s="48">
        <f t="shared" si="2"/>
        <v>1.1599999999999999</v>
      </c>
      <c r="W16" s="49">
        <f t="shared" si="3"/>
        <v>5.0752038037038996E-2</v>
      </c>
      <c r="X16" s="44">
        <f t="shared" si="4"/>
        <v>17731.474510936445</v>
      </c>
      <c r="Y16" s="44">
        <f t="shared" si="5"/>
        <v>1060574.99</v>
      </c>
      <c r="Z16" s="44">
        <f t="shared" si="6"/>
        <v>220944.61718584632</v>
      </c>
      <c r="AA16" s="50">
        <f t="shared" si="7"/>
        <v>1219106.4645109365</v>
      </c>
      <c r="AB16" s="51">
        <f t="shared" si="8"/>
        <v>206548.20714765476</v>
      </c>
      <c r="AC16" s="44">
        <f t="shared" si="9"/>
        <v>1139671.3700205071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27.444232870165703</v>
      </c>
      <c r="AG16" s="44">
        <f t="shared" si="11"/>
        <v>701506.70191389334</v>
      </c>
      <c r="AH16" s="52">
        <f>HLOOKUP(I16,GasAvoidedCostsWOCC!$A$5:$Q$50,T16+1,FALSE)</f>
        <v>27.444232870165703</v>
      </c>
      <c r="AI16" s="44">
        <f t="shared" si="12"/>
        <v>0</v>
      </c>
      <c r="AJ16" s="44">
        <f t="shared" si="13"/>
        <v>701506.70191389334</v>
      </c>
      <c r="AK16" s="44">
        <f>HLOOKUP(I16,GasAvoidedCostsWOCC!$A$5:$Q$50,G16+1,FALSE)*J16*L16</f>
        <v>0</v>
      </c>
      <c r="AL16" s="44">
        <f t="shared" si="14"/>
        <v>701506.70191389334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701506.70191389346</v>
      </c>
      <c r="AN16" s="48">
        <f t="shared" si="15"/>
        <v>771657.37210528285</v>
      </c>
      <c r="AO16" s="47">
        <f t="shared" si="16"/>
        <v>3.3963340161670277</v>
      </c>
      <c r="AP16" s="47">
        <f t="shared" si="17"/>
        <v>0.67708761701313747</v>
      </c>
      <c r="AQ16">
        <v>2021</v>
      </c>
    </row>
    <row r="17" spans="1:43" ht="13.5" customHeight="1">
      <c r="A17" s="58" t="s">
        <v>254</v>
      </c>
      <c r="B17" s="97" t="s">
        <v>33</v>
      </c>
      <c r="C17" s="98">
        <v>18230637</v>
      </c>
      <c r="D17" s="61" t="s">
        <v>82</v>
      </c>
      <c r="E17" s="38" t="s">
        <v>736</v>
      </c>
      <c r="F17" s="39" t="s">
        <v>737</v>
      </c>
      <c r="G17" s="39">
        <v>20</v>
      </c>
      <c r="H17" s="39"/>
      <c r="I17" s="40" t="s">
        <v>269</v>
      </c>
      <c r="J17" s="41">
        <v>163</v>
      </c>
      <c r="K17" s="41">
        <v>75.33</v>
      </c>
      <c r="L17" s="41"/>
      <c r="M17" s="42">
        <v>400</v>
      </c>
      <c r="N17" s="42">
        <v>1000</v>
      </c>
      <c r="O17" s="43">
        <v>12278.79</v>
      </c>
      <c r="P17" s="44">
        <v>60890.76</v>
      </c>
      <c r="Q17" s="44">
        <v>163000</v>
      </c>
      <c r="R17" s="45">
        <v>0</v>
      </c>
      <c r="S17" s="46">
        <v>0</v>
      </c>
      <c r="T17" s="39">
        <f t="shared" si="0"/>
        <v>20</v>
      </c>
      <c r="U17" s="47">
        <f t="shared" si="1"/>
        <v>0.42398546000921489</v>
      </c>
      <c r="V17" s="48">
        <f t="shared" si="2"/>
        <v>600</v>
      </c>
      <c r="W17" s="49">
        <f t="shared" si="3"/>
        <v>2.1199273000460744E-2</v>
      </c>
      <c r="X17" s="44">
        <f t="shared" si="4"/>
        <v>7406.48816080497</v>
      </c>
      <c r="Y17" s="44">
        <f t="shared" si="5"/>
        <v>102109.23999999999</v>
      </c>
      <c r="Z17" s="44">
        <f t="shared" si="6"/>
        <v>92289.20529825319</v>
      </c>
      <c r="AA17" s="50">
        <f t="shared" si="7"/>
        <v>170406.48816080496</v>
      </c>
      <c r="AB17" s="51">
        <f t="shared" si="8"/>
        <v>86275.783208612862</v>
      </c>
      <c r="AC17" s="44">
        <f t="shared" si="9"/>
        <v>159303.06456090955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13.765480191058694</v>
      </c>
      <c r="AG17" s="44">
        <f t="shared" si="11"/>
        <v>169023.44051516955</v>
      </c>
      <c r="AH17" s="52">
        <f>HLOOKUP(I17,GasAvoidedCostsWOCC!$A$5:$Q$50,T17+1,FALSE)</f>
        <v>13.765480191058694</v>
      </c>
      <c r="AI17" s="44">
        <f t="shared" si="12"/>
        <v>0</v>
      </c>
      <c r="AJ17" s="44">
        <f t="shared" si="13"/>
        <v>169023.44051516955</v>
      </c>
      <c r="AK17" s="44">
        <f>HLOOKUP(I17,GasAvoidedCostsWOCC!$A$5:$Q$50,G17+1,FALSE)*J17*L17</f>
        <v>0</v>
      </c>
      <c r="AL17" s="44">
        <f t="shared" si="14"/>
        <v>169023.44051516955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169023.44051516958</v>
      </c>
      <c r="AN17" s="48">
        <f t="shared" si="15"/>
        <v>185925.78456668655</v>
      </c>
      <c r="AO17" s="47">
        <f t="shared" si="16"/>
        <v>1.9591064169939181</v>
      </c>
      <c r="AP17" s="47">
        <f t="shared" si="17"/>
        <v>1.1671199488795634</v>
      </c>
      <c r="AQ17">
        <v>2021</v>
      </c>
    </row>
    <row r="18" spans="1:43" ht="13.5" customHeight="1">
      <c r="A18" s="59">
        <f>A6+A8</f>
        <v>4353413.6900000004</v>
      </c>
      <c r="B18" s="97" t="s">
        <v>33</v>
      </c>
      <c r="C18" s="98">
        <v>18230637</v>
      </c>
      <c r="D18" s="61" t="s">
        <v>82</v>
      </c>
      <c r="E18" s="38" t="s">
        <v>738</v>
      </c>
      <c r="F18" s="39" t="s">
        <v>737</v>
      </c>
      <c r="G18" s="39">
        <v>20</v>
      </c>
      <c r="H18" s="39"/>
      <c r="I18" s="40" t="s">
        <v>269</v>
      </c>
      <c r="J18" s="41">
        <v>904</v>
      </c>
      <c r="K18" s="41">
        <v>75.319999999999993</v>
      </c>
      <c r="L18" s="41"/>
      <c r="M18" s="42">
        <v>400</v>
      </c>
      <c r="N18" s="42">
        <v>1000</v>
      </c>
      <c r="O18" s="43">
        <v>68089.279999999999</v>
      </c>
      <c r="P18" s="44">
        <v>351819.98</v>
      </c>
      <c r="Q18" s="44">
        <v>904000</v>
      </c>
      <c r="R18" s="45">
        <v>0</v>
      </c>
      <c r="S18" s="46">
        <v>0</v>
      </c>
      <c r="T18" s="39">
        <f t="shared" si="0"/>
        <v>20</v>
      </c>
      <c r="U18" s="47">
        <f t="shared" si="1"/>
        <v>2.3511164131397502</v>
      </c>
      <c r="V18" s="48">
        <f t="shared" si="2"/>
        <v>600</v>
      </c>
      <c r="W18" s="49">
        <f t="shared" si="3"/>
        <v>0.11755582065698751</v>
      </c>
      <c r="X18" s="44">
        <f t="shared" si="4"/>
        <v>41071.021346381407</v>
      </c>
      <c r="Y18" s="44">
        <f t="shared" si="5"/>
        <v>552180.02</v>
      </c>
      <c r="Z18" s="44">
        <f t="shared" si="6"/>
        <v>511769.11898731429</v>
      </c>
      <c r="AA18" s="50">
        <f t="shared" si="7"/>
        <v>945071.0213463814</v>
      </c>
      <c r="AB18" s="51">
        <f t="shared" si="8"/>
        <v>478423.03354895225</v>
      </c>
      <c r="AC18" s="44">
        <f t="shared" si="9"/>
        <v>883491.65312366211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13.765480191058694</v>
      </c>
      <c r="AG18" s="44">
        <f t="shared" si="11"/>
        <v>937281.6350634488</v>
      </c>
      <c r="AH18" s="52">
        <f>HLOOKUP(I18,GasAvoidedCostsWOCC!$A$5:$Q$50,T18+1,FALSE)</f>
        <v>13.765480191058694</v>
      </c>
      <c r="AI18" s="44">
        <f t="shared" si="12"/>
        <v>0</v>
      </c>
      <c r="AJ18" s="44">
        <f t="shared" si="13"/>
        <v>937281.6350634488</v>
      </c>
      <c r="AK18" s="44">
        <f>HLOOKUP(I18,GasAvoidedCostsWOCC!$A$5:$Q$50,G18+1,FALSE)*J18*L18</f>
        <v>0</v>
      </c>
      <c r="AL18" s="44">
        <f t="shared" si="14"/>
        <v>937281.6350634488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937281.6350634488</v>
      </c>
      <c r="AN18" s="48">
        <f t="shared" si="15"/>
        <v>1031009.7985697938</v>
      </c>
      <c r="AO18" s="47">
        <f t="shared" si="16"/>
        <v>1.9591064169939179</v>
      </c>
      <c r="AP18" s="47">
        <f t="shared" si="17"/>
        <v>1.1669717477517398</v>
      </c>
      <c r="AQ18">
        <v>2021</v>
      </c>
    </row>
    <row r="19" spans="1:43" ht="13.5" customHeight="1">
      <c r="A19" s="58" t="s">
        <v>231</v>
      </c>
      <c r="B19" s="97" t="s">
        <v>33</v>
      </c>
      <c r="C19" s="98">
        <v>18230637</v>
      </c>
      <c r="D19" s="61" t="s">
        <v>82</v>
      </c>
      <c r="E19" s="38" t="s">
        <v>741</v>
      </c>
      <c r="F19" s="39" t="s">
        <v>742</v>
      </c>
      <c r="G19" s="39">
        <v>20</v>
      </c>
      <c r="H19" s="39"/>
      <c r="I19" s="40" t="s">
        <v>269</v>
      </c>
      <c r="J19" s="41">
        <v>170</v>
      </c>
      <c r="K19" s="41">
        <v>50.81</v>
      </c>
      <c r="L19" s="41"/>
      <c r="M19" s="42">
        <v>300</v>
      </c>
      <c r="N19" s="42">
        <v>631.58000000000004</v>
      </c>
      <c r="O19" s="43">
        <v>8637.7000000000207</v>
      </c>
      <c r="P19" s="44">
        <v>49968.89</v>
      </c>
      <c r="Q19" s="44">
        <v>107368.6</v>
      </c>
      <c r="R19" s="45">
        <v>0</v>
      </c>
      <c r="S19" s="46">
        <v>0</v>
      </c>
      <c r="T19" s="39">
        <f t="shared" si="0"/>
        <v>20</v>
      </c>
      <c r="U19" s="47">
        <f t="shared" si="1"/>
        <v>0.29825896590149387</v>
      </c>
      <c r="V19" s="48">
        <f t="shared" si="2"/>
        <v>331.58000000000004</v>
      </c>
      <c r="W19" s="49">
        <f t="shared" si="3"/>
        <v>1.4912948295074694E-2</v>
      </c>
      <c r="X19" s="44">
        <f t="shared" si="4"/>
        <v>5210.2057928008571</v>
      </c>
      <c r="Y19" s="44">
        <f t="shared" si="5"/>
        <v>57399.710000000006</v>
      </c>
      <c r="Z19" s="44">
        <f t="shared" si="6"/>
        <v>64922.233266040341</v>
      </c>
      <c r="AA19" s="50">
        <f t="shared" si="7"/>
        <v>112578.80579280086</v>
      </c>
      <c r="AB19" s="51">
        <f t="shared" si="8"/>
        <v>60692.000809610487</v>
      </c>
      <c r="AC19" s="44">
        <f t="shared" si="9"/>
        <v>105243.34466934734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13.765480191058694</v>
      </c>
      <c r="AG19" s="44">
        <f t="shared" si="11"/>
        <v>118902.0882463077</v>
      </c>
      <c r="AH19" s="52">
        <f>HLOOKUP(I19,GasAvoidedCostsWOCC!$A$5:$Q$50,T19+1,FALSE)</f>
        <v>13.765480191058694</v>
      </c>
      <c r="AI19" s="44">
        <f t="shared" si="12"/>
        <v>0</v>
      </c>
      <c r="AJ19" s="44">
        <f t="shared" si="13"/>
        <v>118902.0882463077</v>
      </c>
      <c r="AK19" s="44">
        <f>HLOOKUP(I19,GasAvoidedCostsWOCC!$A$5:$Q$50,G19+1,FALSE)*J19*L19</f>
        <v>0</v>
      </c>
      <c r="AL19" s="44">
        <f t="shared" si="14"/>
        <v>118902.0882463077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118902.08824630769</v>
      </c>
      <c r="AN19" s="48">
        <f t="shared" si="15"/>
        <v>130792.29707093847</v>
      </c>
      <c r="AO19" s="47">
        <f t="shared" si="16"/>
        <v>1.9591064169939132</v>
      </c>
      <c r="AP19" s="47">
        <f t="shared" si="17"/>
        <v>1.2427607416113637</v>
      </c>
      <c r="AQ19">
        <v>2021</v>
      </c>
    </row>
    <row r="20" spans="1:43" ht="13.5" customHeight="1">
      <c r="A20" s="59">
        <f>A8+SUM(Q5:Q906)</f>
        <v>15158235.779999999</v>
      </c>
      <c r="B20" s="97" t="s">
        <v>33</v>
      </c>
      <c r="C20" s="98">
        <v>18230637</v>
      </c>
      <c r="D20" s="61" t="s">
        <v>82</v>
      </c>
      <c r="E20" s="38" t="s">
        <v>748</v>
      </c>
      <c r="F20" s="39" t="s">
        <v>749</v>
      </c>
      <c r="G20" s="39">
        <v>45</v>
      </c>
      <c r="H20" s="39"/>
      <c r="I20" s="40" t="s">
        <v>269</v>
      </c>
      <c r="J20" s="41">
        <v>36373</v>
      </c>
      <c r="K20" s="41">
        <v>0.09</v>
      </c>
      <c r="L20" s="41"/>
      <c r="M20" s="42">
        <v>0.75</v>
      </c>
      <c r="N20" s="42">
        <v>1.54</v>
      </c>
      <c r="O20" s="43">
        <v>3273.57</v>
      </c>
      <c r="P20" s="44">
        <v>13867.39</v>
      </c>
      <c r="Q20" s="44">
        <v>56014.42</v>
      </c>
      <c r="R20" s="45">
        <v>0</v>
      </c>
      <c r="S20" s="46">
        <v>0</v>
      </c>
      <c r="T20" s="39">
        <f t="shared" si="0"/>
        <v>45</v>
      </c>
      <c r="U20" s="47">
        <f t="shared" si="1"/>
        <v>0.25433114217486597</v>
      </c>
      <c r="V20" s="48">
        <f t="shared" si="2"/>
        <v>0.79</v>
      </c>
      <c r="W20" s="49">
        <f t="shared" si="3"/>
        <v>5.6518031594414665E-3</v>
      </c>
      <c r="X20" s="44">
        <f t="shared" si="4"/>
        <v>1974.5966376626955</v>
      </c>
      <c r="Y20" s="44">
        <f t="shared" si="5"/>
        <v>42147.03</v>
      </c>
      <c r="Z20" s="44">
        <f t="shared" si="6"/>
        <v>24604.637247497736</v>
      </c>
      <c r="AA20" s="50">
        <f t="shared" si="7"/>
        <v>57989.016637662695</v>
      </c>
      <c r="AB20" s="51">
        <f t="shared" si="8"/>
        <v>23001.437082824843</v>
      </c>
      <c r="AC20" s="44">
        <f t="shared" si="9"/>
        <v>54210.541869367757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27.444232870165703</v>
      </c>
      <c r="AG20" s="44">
        <f t="shared" si="11"/>
        <v>89840.617396788337</v>
      </c>
      <c r="AH20" s="52">
        <f>HLOOKUP(I20,GasAvoidedCostsWOCC!$A$5:$Q$50,T20+1,FALSE)</f>
        <v>27.444232870165703</v>
      </c>
      <c r="AI20" s="44">
        <f t="shared" si="12"/>
        <v>0</v>
      </c>
      <c r="AJ20" s="44">
        <f t="shared" si="13"/>
        <v>89840.617396788337</v>
      </c>
      <c r="AK20" s="44">
        <f>HLOOKUP(I20,GasAvoidedCostsWOCC!$A$5:$Q$50,G20+1,FALSE)*J20*L20</f>
        <v>0</v>
      </c>
      <c r="AL20" s="44">
        <f t="shared" si="14"/>
        <v>89840.617396788337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89840.617396788337</v>
      </c>
      <c r="AN20" s="48">
        <f t="shared" si="15"/>
        <v>98824.679136467181</v>
      </c>
      <c r="AO20" s="47">
        <f t="shared" si="16"/>
        <v>3.9058697538456091</v>
      </c>
      <c r="AP20" s="47">
        <f t="shared" si="17"/>
        <v>1.8229789950192163</v>
      </c>
      <c r="AQ20">
        <v>2021</v>
      </c>
    </row>
    <row r="21" spans="1:43" ht="13.5" customHeight="1">
      <c r="A21" s="58" t="s">
        <v>245</v>
      </c>
      <c r="B21" s="97" t="s">
        <v>33</v>
      </c>
      <c r="C21" s="98">
        <v>18230637</v>
      </c>
      <c r="D21" s="61" t="s">
        <v>82</v>
      </c>
      <c r="E21" s="38" t="s">
        <v>750</v>
      </c>
      <c r="F21" s="39" t="s">
        <v>749</v>
      </c>
      <c r="G21" s="39">
        <v>45</v>
      </c>
      <c r="H21" s="39"/>
      <c r="I21" s="40" t="s">
        <v>269</v>
      </c>
      <c r="J21" s="41">
        <v>110981</v>
      </c>
      <c r="K21" s="41">
        <v>7.0000000000000007E-2</v>
      </c>
      <c r="L21" s="41"/>
      <c r="M21" s="42">
        <v>0.75</v>
      </c>
      <c r="N21" s="42">
        <v>1.56</v>
      </c>
      <c r="O21" s="43">
        <v>7424.69</v>
      </c>
      <c r="P21" s="44">
        <v>42983.519999999997</v>
      </c>
      <c r="Q21" s="44">
        <v>173130.36</v>
      </c>
      <c r="R21" s="45">
        <v>0</v>
      </c>
      <c r="S21" s="46">
        <v>0</v>
      </c>
      <c r="T21" s="39">
        <f t="shared" si="0"/>
        <v>45</v>
      </c>
      <c r="U21" s="47">
        <f t="shared" si="1"/>
        <v>0.57684115140177405</v>
      </c>
      <c r="V21" s="48">
        <f t="shared" si="2"/>
        <v>0.81</v>
      </c>
      <c r="W21" s="49">
        <f t="shared" si="3"/>
        <v>1.2818692253372756E-2</v>
      </c>
      <c r="X21" s="44">
        <f t="shared" si="4"/>
        <v>4478.5258631059778</v>
      </c>
      <c r="Y21" s="44">
        <f t="shared" si="5"/>
        <v>130146.84</v>
      </c>
      <c r="Z21" s="44">
        <f t="shared" si="6"/>
        <v>55805.070343729909</v>
      </c>
      <c r="AA21" s="50">
        <f t="shared" si="7"/>
        <v>177608.88586310597</v>
      </c>
      <c r="AB21" s="51">
        <f t="shared" si="8"/>
        <v>52168.898143152197</v>
      </c>
      <c r="AC21" s="44">
        <f t="shared" si="9"/>
        <v>166036.1651520108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27.444232870165703</v>
      </c>
      <c r="AG21" s="44">
        <f t="shared" si="11"/>
        <v>213205.18857147021</v>
      </c>
      <c r="AH21" s="52">
        <f>HLOOKUP(I21,GasAvoidedCostsWOCC!$A$5:$Q$50,T21+1,FALSE)</f>
        <v>27.444232870165703</v>
      </c>
      <c r="AI21" s="44">
        <f t="shared" si="12"/>
        <v>0</v>
      </c>
      <c r="AJ21" s="44">
        <f t="shared" si="13"/>
        <v>213205.18857147021</v>
      </c>
      <c r="AK21" s="44">
        <f>HLOOKUP(I21,GasAvoidedCostsWOCC!$A$5:$Q$50,G21+1,FALSE)*J21*L21</f>
        <v>0</v>
      </c>
      <c r="AL21" s="44">
        <f t="shared" si="14"/>
        <v>213205.18857147021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213205.18857147021</v>
      </c>
      <c r="AN21" s="48">
        <f t="shared" si="15"/>
        <v>234525.70742861726</v>
      </c>
      <c r="AO21" s="47">
        <f t="shared" si="16"/>
        <v>4.0868256022282115</v>
      </c>
      <c r="AP21" s="47">
        <f t="shared" si="17"/>
        <v>1.4124977363449844</v>
      </c>
      <c r="AQ21">
        <v>2021</v>
      </c>
    </row>
    <row r="22" spans="1:43" ht="13.5" customHeight="1">
      <c r="A22" s="60">
        <f>(SUM(AM5:AM1000)/(SUM(AB5:AB1000)))</f>
        <v>3.1041744521906214</v>
      </c>
      <c r="B22" s="97" t="s">
        <v>33</v>
      </c>
      <c r="C22" s="98">
        <v>18230637</v>
      </c>
      <c r="D22" s="61" t="s">
        <v>82</v>
      </c>
      <c r="E22" s="38" t="s">
        <v>765</v>
      </c>
      <c r="F22" s="39" t="s">
        <v>766</v>
      </c>
      <c r="G22" s="39">
        <v>25</v>
      </c>
      <c r="H22" s="39"/>
      <c r="I22" s="40" t="s">
        <v>269</v>
      </c>
      <c r="J22" s="41">
        <v>274.07</v>
      </c>
      <c r="K22" s="41">
        <v>0.16</v>
      </c>
      <c r="L22" s="41"/>
      <c r="M22" s="42">
        <v>200</v>
      </c>
      <c r="N22" s="42">
        <v>17.809999999999999</v>
      </c>
      <c r="O22" s="43">
        <v>43.88</v>
      </c>
      <c r="P22" s="44">
        <v>3371</v>
      </c>
      <c r="Q22" s="44">
        <v>4881.1899999999996</v>
      </c>
      <c r="R22" s="45">
        <v>0</v>
      </c>
      <c r="S22" s="46">
        <v>0</v>
      </c>
      <c r="T22" s="39">
        <f t="shared" si="0"/>
        <v>25</v>
      </c>
      <c r="U22" s="47">
        <f t="shared" si="1"/>
        <v>1.8939653240673908E-3</v>
      </c>
      <c r="V22" s="48">
        <f t="shared" si="2"/>
        <v>-182.19</v>
      </c>
      <c r="W22" s="49">
        <f t="shared" si="3"/>
        <v>7.5758612962695631E-5</v>
      </c>
      <c r="X22" s="44">
        <f t="shared" si="4"/>
        <v>26.468137373155017</v>
      </c>
      <c r="Y22" s="44">
        <f t="shared" si="5"/>
        <v>1510.1899999999996</v>
      </c>
      <c r="Z22" s="44">
        <f t="shared" si="6"/>
        <v>329.80858280721066</v>
      </c>
      <c r="AA22" s="50">
        <f t="shared" si="7"/>
        <v>4907.6581373731542</v>
      </c>
      <c r="AB22" s="51">
        <f t="shared" si="8"/>
        <v>308.3187648940924</v>
      </c>
      <c r="AC22" s="44">
        <f t="shared" si="9"/>
        <v>4587.8827123241599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16.472554524074432</v>
      </c>
      <c r="AG22" s="44">
        <f t="shared" si="11"/>
        <v>722.34128294609275</v>
      </c>
      <c r="AH22" s="52">
        <f>HLOOKUP(I22,GasAvoidedCostsWOCC!$A$5:$Q$50,T22+1,FALSE)</f>
        <v>16.472554524074432</v>
      </c>
      <c r="AI22" s="44">
        <f t="shared" si="12"/>
        <v>0</v>
      </c>
      <c r="AJ22" s="44">
        <f t="shared" si="13"/>
        <v>722.34128294609275</v>
      </c>
      <c r="AK22" s="44">
        <f>HLOOKUP(I22,GasAvoidedCostsWOCC!$A$5:$Q$50,G22+1,FALSE)*J22*L22</f>
        <v>0</v>
      </c>
      <c r="AL22" s="44">
        <f t="shared" si="14"/>
        <v>722.34128294609275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722.34128294609263</v>
      </c>
      <c r="AN22" s="48">
        <f t="shared" si="15"/>
        <v>794.57541124070201</v>
      </c>
      <c r="AO22" s="47">
        <f t="shared" si="16"/>
        <v>2.3428391820206502</v>
      </c>
      <c r="AP22" s="47">
        <f t="shared" si="17"/>
        <v>0.17319000093578696</v>
      </c>
      <c r="AQ22">
        <v>2021</v>
      </c>
    </row>
    <row r="23" spans="1:43" ht="13.5" customHeight="1">
      <c r="A23" s="58" t="s">
        <v>246</v>
      </c>
      <c r="B23" s="97" t="s">
        <v>33</v>
      </c>
      <c r="C23" s="98">
        <v>18230637</v>
      </c>
      <c r="D23" s="61" t="s">
        <v>82</v>
      </c>
      <c r="E23" s="38" t="s">
        <v>767</v>
      </c>
      <c r="F23" s="39" t="s">
        <v>766</v>
      </c>
      <c r="G23" s="39">
        <v>25</v>
      </c>
      <c r="H23" s="39"/>
      <c r="I23" s="40" t="s">
        <v>269</v>
      </c>
      <c r="J23" s="41">
        <v>761.45</v>
      </c>
      <c r="K23" s="41">
        <v>0.33</v>
      </c>
      <c r="L23" s="41"/>
      <c r="M23" s="42">
        <v>200</v>
      </c>
      <c r="N23" s="42">
        <v>18.53</v>
      </c>
      <c r="O23" s="43">
        <v>250.9</v>
      </c>
      <c r="P23" s="44">
        <v>9000</v>
      </c>
      <c r="Q23" s="44">
        <v>14109.67</v>
      </c>
      <c r="R23" s="45">
        <v>0</v>
      </c>
      <c r="S23" s="46">
        <v>0</v>
      </c>
      <c r="T23" s="39">
        <f t="shared" si="0"/>
        <v>25</v>
      </c>
      <c r="U23" s="47">
        <f t="shared" si="1"/>
        <v>1.0829441654706206E-2</v>
      </c>
      <c r="V23" s="48">
        <f t="shared" si="2"/>
        <v>-181.47</v>
      </c>
      <c r="W23" s="49">
        <f t="shared" si="3"/>
        <v>4.3317766618824826E-4</v>
      </c>
      <c r="X23" s="44">
        <f t="shared" si="4"/>
        <v>151.34128684878289</v>
      </c>
      <c r="Y23" s="44">
        <f t="shared" si="5"/>
        <v>5109.67</v>
      </c>
      <c r="Z23" s="44">
        <f t="shared" si="6"/>
        <v>1885.8015821861702</v>
      </c>
      <c r="AA23" s="50">
        <f t="shared" si="7"/>
        <v>14261.011286848783</v>
      </c>
      <c r="AB23" s="51">
        <f t="shared" si="8"/>
        <v>1762.9256634441151</v>
      </c>
      <c r="AC23" s="44">
        <f t="shared" si="9"/>
        <v>13331.785815507883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16.472554524074432</v>
      </c>
      <c r="AG23" s="44">
        <f t="shared" si="11"/>
        <v>4139.1987919776375</v>
      </c>
      <c r="AH23" s="52">
        <f>HLOOKUP(I23,GasAvoidedCostsWOCC!$A$5:$Q$50,T23+1,FALSE)</f>
        <v>16.472554524074432</v>
      </c>
      <c r="AI23" s="44">
        <f t="shared" si="12"/>
        <v>0</v>
      </c>
      <c r="AJ23" s="44">
        <f t="shared" si="13"/>
        <v>4139.1987919776375</v>
      </c>
      <c r="AK23" s="44">
        <f>HLOOKUP(I23,GasAvoidedCostsWOCC!$A$5:$Q$50,G23+1,FALSE)*J23*L23</f>
        <v>0</v>
      </c>
      <c r="AL23" s="44">
        <f t="shared" si="14"/>
        <v>4139.1987919776375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4139.1987919776375</v>
      </c>
      <c r="AN23" s="48">
        <f t="shared" si="15"/>
        <v>4553.1186711754017</v>
      </c>
      <c r="AO23" s="47">
        <f t="shared" si="16"/>
        <v>2.3479145365047041</v>
      </c>
      <c r="AP23" s="47">
        <f t="shared" si="17"/>
        <v>0.3415235388704711</v>
      </c>
      <c r="AQ23">
        <v>2021</v>
      </c>
    </row>
    <row r="24" spans="1:43" ht="13.5" customHeight="1">
      <c r="A24" s="60">
        <f>(SUM(AN5:AN1000)/SUM(AC5:AC1000))</f>
        <v>1.0122695511900708</v>
      </c>
      <c r="B24" s="97" t="s">
        <v>33</v>
      </c>
      <c r="C24" s="98">
        <v>18230637</v>
      </c>
      <c r="D24" s="61" t="s">
        <v>82</v>
      </c>
      <c r="E24" s="38" t="s">
        <v>771</v>
      </c>
      <c r="F24" s="39" t="s">
        <v>772</v>
      </c>
      <c r="G24" s="39"/>
      <c r="H24" s="39"/>
      <c r="I24" s="40"/>
      <c r="J24" s="41">
        <v>290</v>
      </c>
      <c r="K24" s="41">
        <v>0</v>
      </c>
      <c r="L24" s="41"/>
      <c r="M24" s="42">
        <v>250</v>
      </c>
      <c r="N24" s="42">
        <v>0</v>
      </c>
      <c r="O24" s="43">
        <v>0</v>
      </c>
      <c r="P24" s="44">
        <v>72500</v>
      </c>
      <c r="Q24" s="44">
        <v>0</v>
      </c>
      <c r="R24" s="45">
        <v>0</v>
      </c>
      <c r="S24" s="46">
        <v>0</v>
      </c>
      <c r="T24" s="39">
        <f t="shared" si="0"/>
        <v>0</v>
      </c>
      <c r="U24" s="47">
        <f t="shared" si="1"/>
        <v>0</v>
      </c>
      <c r="V24" s="48">
        <f t="shared" si="2"/>
        <v>-250</v>
      </c>
      <c r="W24" s="49">
        <f t="shared" si="3"/>
        <v>0</v>
      </c>
      <c r="X24" s="44">
        <f t="shared" si="4"/>
        <v>0</v>
      </c>
      <c r="Y24" s="44">
        <f t="shared" si="5"/>
        <v>-72500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  <c r="AQ24">
        <v>2021</v>
      </c>
    </row>
    <row r="25" spans="1:43" ht="13.5" customHeight="1">
      <c r="B25" s="97" t="s">
        <v>33</v>
      </c>
      <c r="C25" s="98">
        <v>18230637</v>
      </c>
      <c r="D25" s="61" t="s">
        <v>82</v>
      </c>
      <c r="E25" s="38" t="s">
        <v>773</v>
      </c>
      <c r="F25" s="39" t="s">
        <v>772</v>
      </c>
      <c r="G25" s="39"/>
      <c r="H25" s="39"/>
      <c r="I25" s="40" t="s">
        <v>269</v>
      </c>
      <c r="J25" s="41">
        <v>370</v>
      </c>
      <c r="K25" s="41">
        <v>0</v>
      </c>
      <c r="L25" s="41"/>
      <c r="M25" s="42">
        <v>400</v>
      </c>
      <c r="N25" s="42">
        <v>0</v>
      </c>
      <c r="O25" s="43">
        <v>0</v>
      </c>
      <c r="P25" s="44">
        <v>148000</v>
      </c>
      <c r="Q25" s="44">
        <v>0</v>
      </c>
      <c r="R25" s="45">
        <v>0</v>
      </c>
      <c r="S25" s="46">
        <v>0</v>
      </c>
      <c r="T25" s="39">
        <f t="shared" ref="T25:T82" si="19">G25+H25</f>
        <v>0</v>
      </c>
      <c r="U25" s="47">
        <f t="shared" ref="U25:U82" si="20">(O25/$A$10)*T25</f>
        <v>0</v>
      </c>
      <c r="V25" s="48">
        <f t="shared" ref="V25:V82" si="21">N25-M25</f>
        <v>-400</v>
      </c>
      <c r="W25" s="49">
        <f t="shared" ref="W25:W82" si="22">(O25/A$10)</f>
        <v>0</v>
      </c>
      <c r="X25" s="44">
        <f t="shared" ref="X25:X82" si="23">W25*A$8</f>
        <v>0</v>
      </c>
      <c r="Y25" s="44">
        <f t="shared" ref="Y25:Y82" si="24">Q25-P25</f>
        <v>-148000</v>
      </c>
      <c r="Z25" s="44">
        <f t="shared" ref="Z25:Z82" si="25">X25+(A$6*W25)</f>
        <v>0</v>
      </c>
      <c r="AA25" s="50">
        <f t="shared" ref="AA25:AA82" si="26">Q25+X25</f>
        <v>0</v>
      </c>
      <c r="AB25" s="51">
        <f t="shared" ref="AB25:AB82" si="27">Z25/(1+GasDiscountRate)^1</f>
        <v>0</v>
      </c>
      <c r="AC25" s="44">
        <f t="shared" ref="AC25:AC82" si="28">AA25/(1+GasDiscountRate)^1</f>
        <v>0</v>
      </c>
      <c r="AD25" s="44">
        <f t="shared" ref="AD25:AD82" si="29">-PV(GasDiscountRate,T25,R25)*J25</f>
        <v>0</v>
      </c>
      <c r="AE25" s="44">
        <f t="shared" ref="AE25:AE82" si="30">-PV(GasDiscountRate,T25,S25)*J25</f>
        <v>0</v>
      </c>
      <c r="AF25" s="52" t="str">
        <f>HLOOKUP(I25,GasAvoidedCostsWOCC!$A$5:$G$50,G25+1,FALSE)</f>
        <v>SF Space Heat</v>
      </c>
      <c r="AG25" s="44" t="e">
        <f t="shared" ref="AG25:AG82" si="31">AF25*J25*K25</f>
        <v>#VALUE!</v>
      </c>
      <c r="AH25" s="52" t="str">
        <f>HLOOKUP(I25,GasAvoidedCostsWOCC!$A$5:$Q$50,T25+1,FALSE)</f>
        <v>SF Space Heat</v>
      </c>
      <c r="AI25" s="44" t="e">
        <f t="shared" ref="AI25:AI82" si="32">AH25*J25*L25</f>
        <v>#VALUE!</v>
      </c>
      <c r="AJ25" s="44" t="e">
        <f t="shared" ref="AJ25:AJ82" si="33">AG25+AI25</f>
        <v>#VALUE!</v>
      </c>
      <c r="AK25" s="44" t="e">
        <f>HLOOKUP(I25,GasAvoidedCostsWOCC!$A$5:$Q$50,G25+1,FALSE)*J25*L25</f>
        <v>#VALUE!</v>
      </c>
      <c r="AL25" s="44" t="e">
        <f t="shared" ref="AL25:AL82" si="34">AG25+AI25-AK25</f>
        <v>#VALUE!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82" si="35">AM25*1.1+AD25+AE25</f>
        <v>0</v>
      </c>
      <c r="AO25" s="47">
        <f t="shared" ref="AO25:AO82" si="36">IFERROR(AM25/AB25,0)</f>
        <v>0</v>
      </c>
      <c r="AP25" s="47" t="e">
        <f t="shared" ref="AP25:AP82" si="37">AN25/AC25</f>
        <v>#DIV/0!</v>
      </c>
      <c r="AQ25">
        <v>2021</v>
      </c>
    </row>
    <row r="26" spans="1:43" ht="13.5" customHeight="1">
      <c r="B26" s="97" t="s">
        <v>33</v>
      </c>
      <c r="C26" s="98">
        <v>18230637</v>
      </c>
      <c r="D26" s="61" t="s">
        <v>82</v>
      </c>
      <c r="E26" s="38" t="s">
        <v>777</v>
      </c>
      <c r="F26" s="39" t="s">
        <v>778</v>
      </c>
      <c r="G26" s="39"/>
      <c r="H26" s="39"/>
      <c r="I26" s="40"/>
      <c r="J26" s="41">
        <v>71</v>
      </c>
      <c r="K26" s="41">
        <v>0</v>
      </c>
      <c r="L26" s="41"/>
      <c r="M26" s="42">
        <v>400</v>
      </c>
      <c r="N26" s="42">
        <v>0</v>
      </c>
      <c r="O26" s="43">
        <v>0</v>
      </c>
      <c r="P26" s="44">
        <v>28400</v>
      </c>
      <c r="Q26" s="44">
        <v>0</v>
      </c>
      <c r="R26" s="45">
        <v>0</v>
      </c>
      <c r="S26" s="46">
        <v>0</v>
      </c>
      <c r="T26" s="39">
        <f t="shared" si="19"/>
        <v>0</v>
      </c>
      <c r="U26" s="47">
        <f t="shared" si="20"/>
        <v>0</v>
      </c>
      <c r="V26" s="48">
        <f t="shared" si="21"/>
        <v>-400</v>
      </c>
      <c r="W26" s="49">
        <f t="shared" si="22"/>
        <v>0</v>
      </c>
      <c r="X26" s="44">
        <f t="shared" si="23"/>
        <v>0</v>
      </c>
      <c r="Y26" s="44">
        <f t="shared" si="24"/>
        <v>-28400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  <c r="AQ26">
        <v>2021</v>
      </c>
    </row>
    <row r="27" spans="1:43" ht="13.5" customHeight="1">
      <c r="B27" s="97" t="s">
        <v>33</v>
      </c>
      <c r="C27" s="98">
        <v>18230637</v>
      </c>
      <c r="D27" s="61" t="s">
        <v>82</v>
      </c>
      <c r="E27" s="38" t="s">
        <v>779</v>
      </c>
      <c r="F27" s="39" t="s">
        <v>778</v>
      </c>
      <c r="G27" s="39"/>
      <c r="H27" s="39"/>
      <c r="I27" s="40" t="s">
        <v>269</v>
      </c>
      <c r="J27" s="41">
        <v>82</v>
      </c>
      <c r="K27" s="41">
        <v>0</v>
      </c>
      <c r="L27" s="41"/>
      <c r="M27" s="42">
        <v>600</v>
      </c>
      <c r="N27" s="42">
        <v>0</v>
      </c>
      <c r="O27" s="43">
        <v>0</v>
      </c>
      <c r="P27" s="44">
        <v>49200</v>
      </c>
      <c r="Q27" s="44">
        <v>0</v>
      </c>
      <c r="R27" s="45">
        <v>0</v>
      </c>
      <c r="S27" s="46">
        <v>0</v>
      </c>
      <c r="T27" s="39">
        <f t="shared" si="19"/>
        <v>0</v>
      </c>
      <c r="U27" s="47">
        <f t="shared" si="20"/>
        <v>0</v>
      </c>
      <c r="V27" s="48">
        <f t="shared" si="21"/>
        <v>-600</v>
      </c>
      <c r="W27" s="49">
        <f t="shared" si="22"/>
        <v>0</v>
      </c>
      <c r="X27" s="44">
        <f t="shared" si="23"/>
        <v>0</v>
      </c>
      <c r="Y27" s="44">
        <f t="shared" si="24"/>
        <v>-49200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str">
        <f>HLOOKUP(I27,GasAvoidedCostsWOCC!$A$5:$G$50,G27+1,FALSE)</f>
        <v>SF Space Heat</v>
      </c>
      <c r="AG27" s="44" t="e">
        <f t="shared" si="31"/>
        <v>#VALUE!</v>
      </c>
      <c r="AH27" s="52" t="str">
        <f>HLOOKUP(I27,GasAvoidedCostsWOCC!$A$5:$Q$50,T27+1,FALSE)</f>
        <v>SF Space Heat</v>
      </c>
      <c r="AI27" s="44" t="e">
        <f t="shared" si="32"/>
        <v>#VALUE!</v>
      </c>
      <c r="AJ27" s="44" t="e">
        <f t="shared" si="33"/>
        <v>#VALUE!</v>
      </c>
      <c r="AK27" s="44" t="e">
        <f>HLOOKUP(I27,GasAvoidedCostsWOCC!$A$5:$Q$50,G27+1,FALSE)*J27*L27</f>
        <v>#VALUE!</v>
      </c>
      <c r="AL27" s="44" t="e">
        <f t="shared" si="34"/>
        <v>#VALUE!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  <c r="AQ27">
        <v>2021</v>
      </c>
    </row>
    <row r="28" spans="1:43" ht="13.5" customHeight="1">
      <c r="B28" s="97" t="s">
        <v>33</v>
      </c>
      <c r="C28" s="98">
        <v>18230637</v>
      </c>
      <c r="D28" s="61" t="s">
        <v>82</v>
      </c>
      <c r="E28" s="38" t="s">
        <v>782</v>
      </c>
      <c r="F28" s="39" t="s">
        <v>783</v>
      </c>
      <c r="G28" s="39">
        <v>45</v>
      </c>
      <c r="H28" s="39"/>
      <c r="I28" s="40" t="s">
        <v>269</v>
      </c>
      <c r="J28" s="41">
        <v>1250</v>
      </c>
      <c r="K28" s="41">
        <v>0.1</v>
      </c>
      <c r="L28" s="41"/>
      <c r="M28" s="42">
        <v>1</v>
      </c>
      <c r="N28" s="42">
        <v>1.24</v>
      </c>
      <c r="O28" s="43">
        <v>125</v>
      </c>
      <c r="P28" s="44">
        <v>1200</v>
      </c>
      <c r="Q28" s="44">
        <v>1550</v>
      </c>
      <c r="R28" s="45">
        <v>0</v>
      </c>
      <c r="S28" s="46">
        <v>0</v>
      </c>
      <c r="T28" s="39">
        <f t="shared" si="19"/>
        <v>45</v>
      </c>
      <c r="U28" s="47">
        <f t="shared" si="20"/>
        <v>9.7115359597803753E-3</v>
      </c>
      <c r="V28" s="48">
        <f t="shared" si="21"/>
        <v>0.24</v>
      </c>
      <c r="W28" s="49">
        <f t="shared" si="22"/>
        <v>2.1581191021734168E-4</v>
      </c>
      <c r="X28" s="44">
        <f t="shared" si="23"/>
        <v>75.39920628177704</v>
      </c>
      <c r="Y28" s="44">
        <f t="shared" si="24"/>
        <v>350</v>
      </c>
      <c r="Z28" s="44">
        <f t="shared" si="25"/>
        <v>939.51852440522623</v>
      </c>
      <c r="AA28" s="50">
        <f t="shared" si="26"/>
        <v>1625.399206281777</v>
      </c>
      <c r="AB28" s="51">
        <f t="shared" si="27"/>
        <v>878.30094830814824</v>
      </c>
      <c r="AC28" s="44">
        <f t="shared" si="28"/>
        <v>1519.4907041990996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27.444232870165703</v>
      </c>
      <c r="AG28" s="44">
        <f t="shared" si="31"/>
        <v>3430.5291087707128</v>
      </c>
      <c r="AH28" s="52">
        <f>HLOOKUP(I28,GasAvoidedCostsWOCC!$A$5:$Q$50,T28+1,FALSE)</f>
        <v>27.444232870165703</v>
      </c>
      <c r="AI28" s="44">
        <f t="shared" si="32"/>
        <v>0</v>
      </c>
      <c r="AJ28" s="44">
        <f t="shared" si="33"/>
        <v>3430.5291087707128</v>
      </c>
      <c r="AK28" s="44">
        <f>HLOOKUP(I28,GasAvoidedCostsWOCC!$A$5:$Q$50,G28+1,FALSE)*J28*L28</f>
        <v>0</v>
      </c>
      <c r="AL28" s="44">
        <f t="shared" si="34"/>
        <v>3430.5291087707128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3430.5291087707128</v>
      </c>
      <c r="AN28" s="48">
        <f t="shared" si="35"/>
        <v>3773.5820196477844</v>
      </c>
      <c r="AO28" s="47">
        <f t="shared" si="36"/>
        <v>3.90586975384561</v>
      </c>
      <c r="AP28" s="47">
        <f t="shared" si="37"/>
        <v>2.4834518626665649</v>
      </c>
      <c r="AQ28">
        <v>2021</v>
      </c>
    </row>
    <row r="29" spans="1:43">
      <c r="B29" s="97" t="s">
        <v>33</v>
      </c>
      <c r="C29" s="98">
        <v>18230637</v>
      </c>
      <c r="D29" s="61" t="s">
        <v>82</v>
      </c>
      <c r="E29" s="38" t="s">
        <v>784</v>
      </c>
      <c r="F29" s="39" t="s">
        <v>783</v>
      </c>
      <c r="G29" s="39">
        <v>45</v>
      </c>
      <c r="H29" s="39"/>
      <c r="I29" s="40" t="s">
        <v>269</v>
      </c>
      <c r="J29" s="41">
        <v>4902</v>
      </c>
      <c r="K29" s="41">
        <v>0.09</v>
      </c>
      <c r="L29" s="41"/>
      <c r="M29" s="42">
        <v>1</v>
      </c>
      <c r="N29" s="42">
        <v>1.49</v>
      </c>
      <c r="O29" s="43">
        <v>452.95</v>
      </c>
      <c r="P29" s="44">
        <v>6000</v>
      </c>
      <c r="Q29" s="44">
        <v>7303.98</v>
      </c>
      <c r="R29" s="45">
        <v>0</v>
      </c>
      <c r="S29" s="46">
        <v>0</v>
      </c>
      <c r="T29" s="39">
        <f t="shared" si="19"/>
        <v>45</v>
      </c>
      <c r="U29" s="47">
        <f t="shared" si="20"/>
        <v>3.5190721703860173E-2</v>
      </c>
      <c r="V29" s="48">
        <f t="shared" si="21"/>
        <v>0.49</v>
      </c>
      <c r="W29" s="49">
        <f t="shared" si="22"/>
        <v>7.8201603786355936E-4</v>
      </c>
      <c r="X29" s="44">
        <f t="shared" si="23"/>
        <v>273.21656388264734</v>
      </c>
      <c r="Y29" s="44">
        <f t="shared" si="24"/>
        <v>1303.9799999999996</v>
      </c>
      <c r="Z29" s="44">
        <f t="shared" si="25"/>
        <v>3404.439325034778</v>
      </c>
      <c r="AA29" s="50">
        <f t="shared" si="26"/>
        <v>7577.1965638826468</v>
      </c>
      <c r="AB29" s="51">
        <f t="shared" si="27"/>
        <v>3182.6113162894062</v>
      </c>
      <c r="AC29" s="44">
        <f t="shared" si="28"/>
        <v>7083.4781376859364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27.444232870165703</v>
      </c>
      <c r="AG29" s="44">
        <f t="shared" si="31"/>
        <v>12107.846657659704</v>
      </c>
      <c r="AH29" s="52">
        <f>HLOOKUP(I29,GasAvoidedCostsWOCC!$A$5:$Q$50,T29+1,FALSE)</f>
        <v>27.444232870165703</v>
      </c>
      <c r="AI29" s="44">
        <f t="shared" si="32"/>
        <v>0</v>
      </c>
      <c r="AJ29" s="44">
        <f t="shared" si="33"/>
        <v>12107.846657659704</v>
      </c>
      <c r="AK29" s="44">
        <f>HLOOKUP(I29,GasAvoidedCostsWOCC!$A$5:$Q$50,G29+1,FALSE)*J29*L29</f>
        <v>0</v>
      </c>
      <c r="AL29" s="44">
        <f t="shared" si="34"/>
        <v>12107.846657659704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12107.846657659706</v>
      </c>
      <c r="AN29" s="48">
        <f t="shared" si="35"/>
        <v>13318.631323425678</v>
      </c>
      <c r="AO29" s="47">
        <f t="shared" si="36"/>
        <v>3.8043749155571391</v>
      </c>
      <c r="AP29" s="47">
        <f t="shared" si="37"/>
        <v>1.8802389256440439</v>
      </c>
      <c r="AQ29">
        <v>2021</v>
      </c>
    </row>
    <row r="30" spans="1:43">
      <c r="B30" s="97" t="s">
        <v>33</v>
      </c>
      <c r="C30" s="98">
        <v>18230637</v>
      </c>
      <c r="D30" s="61" t="s">
        <v>82</v>
      </c>
      <c r="E30" s="38" t="s">
        <v>789</v>
      </c>
      <c r="F30" s="39" t="s">
        <v>790</v>
      </c>
      <c r="G30" s="39">
        <v>45</v>
      </c>
      <c r="H30" s="39"/>
      <c r="I30" s="40" t="s">
        <v>269</v>
      </c>
      <c r="J30" s="41">
        <v>2405</v>
      </c>
      <c r="K30" s="41">
        <v>0.03</v>
      </c>
      <c r="L30" s="41"/>
      <c r="M30" s="42">
        <v>1</v>
      </c>
      <c r="N30" s="42">
        <v>1.0900000000000001</v>
      </c>
      <c r="O30" s="43">
        <v>72.150000000000006</v>
      </c>
      <c r="P30" s="44">
        <v>2238.2399999999998</v>
      </c>
      <c r="Q30" s="44">
        <v>2621.45</v>
      </c>
      <c r="R30" s="45">
        <v>0</v>
      </c>
      <c r="S30" s="46">
        <v>0</v>
      </c>
      <c r="T30" s="39">
        <f t="shared" si="19"/>
        <v>45</v>
      </c>
      <c r="U30" s="47">
        <f t="shared" si="20"/>
        <v>5.605498555985234E-3</v>
      </c>
      <c r="V30" s="48">
        <f t="shared" si="21"/>
        <v>9.000000000000008E-2</v>
      </c>
      <c r="W30" s="49">
        <f t="shared" si="22"/>
        <v>1.2456663457744964E-4</v>
      </c>
      <c r="X30" s="44">
        <f t="shared" si="23"/>
        <v>43.520421865841719</v>
      </c>
      <c r="Y30" s="44">
        <f t="shared" si="24"/>
        <v>383.21000000000004</v>
      </c>
      <c r="Z30" s="44">
        <f t="shared" si="25"/>
        <v>542.29009228669668</v>
      </c>
      <c r="AA30" s="50">
        <f t="shared" si="26"/>
        <v>2664.9704218658417</v>
      </c>
      <c r="AB30" s="51">
        <f t="shared" si="27"/>
        <v>506.95530736346325</v>
      </c>
      <c r="AC30" s="44">
        <f t="shared" si="28"/>
        <v>2491.3250648460703</v>
      </c>
      <c r="AD30" s="44">
        <f t="shared" si="29"/>
        <v>0</v>
      </c>
      <c r="AE30" s="44">
        <f t="shared" si="30"/>
        <v>0</v>
      </c>
      <c r="AF30" s="52">
        <f>HLOOKUP(I30,GasAvoidedCostsWOCC!$A$5:$G$50,G30+1,FALSE)</f>
        <v>27.444232870165703</v>
      </c>
      <c r="AG30" s="44">
        <f t="shared" si="31"/>
        <v>1980.1014015824553</v>
      </c>
      <c r="AH30" s="52">
        <f>HLOOKUP(I30,GasAvoidedCostsWOCC!$A$5:$Q$50,T30+1,FALSE)</f>
        <v>27.444232870165703</v>
      </c>
      <c r="AI30" s="44">
        <f t="shared" si="32"/>
        <v>0</v>
      </c>
      <c r="AJ30" s="44">
        <f t="shared" si="33"/>
        <v>1980.1014015824553</v>
      </c>
      <c r="AK30" s="44">
        <f>HLOOKUP(I30,GasAvoidedCostsWOCC!$A$5:$Q$50,G30+1,FALSE)*J30*L30</f>
        <v>0</v>
      </c>
      <c r="AL30" s="44">
        <f t="shared" si="34"/>
        <v>1980.1014015824553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1980.1014015824553</v>
      </c>
      <c r="AN30" s="48">
        <f t="shared" si="35"/>
        <v>2178.1115417407009</v>
      </c>
      <c r="AO30" s="47">
        <f t="shared" si="36"/>
        <v>3.9058697538456091</v>
      </c>
      <c r="AP30" s="47">
        <f t="shared" si="37"/>
        <v>0.87427833985818237</v>
      </c>
      <c r="AQ30">
        <v>2021</v>
      </c>
    </row>
    <row r="31" spans="1:43">
      <c r="B31" s="97" t="s">
        <v>33</v>
      </c>
      <c r="C31" s="98">
        <v>18230637</v>
      </c>
      <c r="D31" s="61" t="s">
        <v>82</v>
      </c>
      <c r="E31" s="38" t="s">
        <v>791</v>
      </c>
      <c r="F31" s="39" t="s">
        <v>790</v>
      </c>
      <c r="G31" s="39">
        <v>45</v>
      </c>
      <c r="H31" s="39"/>
      <c r="I31" s="40" t="s">
        <v>269</v>
      </c>
      <c r="J31" s="41">
        <v>7800</v>
      </c>
      <c r="K31" s="41">
        <v>0.03</v>
      </c>
      <c r="L31" s="41"/>
      <c r="M31" s="42">
        <v>1</v>
      </c>
      <c r="N31" s="42">
        <v>1.24</v>
      </c>
      <c r="O31" s="43">
        <v>250.38</v>
      </c>
      <c r="P31" s="44">
        <v>7200</v>
      </c>
      <c r="Q31" s="44">
        <v>9672</v>
      </c>
      <c r="R31" s="45">
        <v>0</v>
      </c>
      <c r="S31" s="46">
        <v>0</v>
      </c>
      <c r="T31" s="39">
        <f t="shared" si="19"/>
        <v>45</v>
      </c>
      <c r="U31" s="47">
        <f t="shared" si="20"/>
        <v>1.9452594988878486E-2</v>
      </c>
      <c r="V31" s="48">
        <f t="shared" si="21"/>
        <v>0.24</v>
      </c>
      <c r="W31" s="49">
        <f t="shared" si="22"/>
        <v>4.3227988864174411E-4</v>
      </c>
      <c r="X31" s="44">
        <f t="shared" si="23"/>
        <v>151.02762615065069</v>
      </c>
      <c r="Y31" s="44">
        <f t="shared" si="24"/>
        <v>2472</v>
      </c>
      <c r="Z31" s="44">
        <f t="shared" si="25"/>
        <v>1881.8931851246443</v>
      </c>
      <c r="AA31" s="50">
        <f t="shared" si="26"/>
        <v>9823.0276261506515</v>
      </c>
      <c r="AB31" s="51">
        <f t="shared" si="27"/>
        <v>1759.2719314991532</v>
      </c>
      <c r="AC31" s="44">
        <f t="shared" si="28"/>
        <v>9182.974316304244</v>
      </c>
      <c r="AD31" s="44">
        <f t="shared" si="29"/>
        <v>0</v>
      </c>
      <c r="AE31" s="44">
        <f t="shared" si="30"/>
        <v>0</v>
      </c>
      <c r="AF31" s="52">
        <f>HLOOKUP(I31,GasAvoidedCostsWOCC!$A$5:$G$50,G31+1,FALSE)</f>
        <v>27.444232870165703</v>
      </c>
      <c r="AG31" s="44">
        <f t="shared" si="31"/>
        <v>6421.9504916187743</v>
      </c>
      <c r="AH31" s="52">
        <f>HLOOKUP(I31,GasAvoidedCostsWOCC!$A$5:$Q$50,T31+1,FALSE)</f>
        <v>27.444232870165703</v>
      </c>
      <c r="AI31" s="44">
        <f t="shared" si="32"/>
        <v>0</v>
      </c>
      <c r="AJ31" s="44">
        <f t="shared" si="33"/>
        <v>6421.9504916187743</v>
      </c>
      <c r="AK31" s="44">
        <f>HLOOKUP(I31,GasAvoidedCostsWOCC!$A$5:$Q$50,G31+1,FALSE)*J31*L31</f>
        <v>0</v>
      </c>
      <c r="AL31" s="44">
        <f t="shared" si="34"/>
        <v>6421.9504916187743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6421.9504916187743</v>
      </c>
      <c r="AN31" s="48">
        <f t="shared" si="35"/>
        <v>7064.1455407806525</v>
      </c>
      <c r="AO31" s="47">
        <f t="shared" si="36"/>
        <v>3.6503455643416918</v>
      </c>
      <c r="AP31" s="47">
        <f t="shared" si="37"/>
        <v>0.7692655230711426</v>
      </c>
      <c r="AQ31">
        <v>2021</v>
      </c>
    </row>
    <row r="32" spans="1:43">
      <c r="B32" s="97" t="s">
        <v>33</v>
      </c>
      <c r="C32" s="98">
        <v>18230637</v>
      </c>
      <c r="D32" s="61" t="s">
        <v>82</v>
      </c>
      <c r="E32" s="38" t="s">
        <v>799</v>
      </c>
      <c r="F32" s="39" t="s">
        <v>800</v>
      </c>
      <c r="G32" s="39">
        <v>45</v>
      </c>
      <c r="H32" s="39"/>
      <c r="I32" s="40" t="s">
        <v>269</v>
      </c>
      <c r="J32" s="41">
        <v>3520</v>
      </c>
      <c r="K32" s="41">
        <v>0.04</v>
      </c>
      <c r="L32" s="41"/>
      <c r="M32" s="42">
        <v>0.5</v>
      </c>
      <c r="N32" s="42">
        <v>1.46</v>
      </c>
      <c r="O32" s="43">
        <v>140.80000000000001</v>
      </c>
      <c r="P32" s="44">
        <v>1200</v>
      </c>
      <c r="Q32" s="44">
        <v>5139.2</v>
      </c>
      <c r="R32" s="45">
        <v>0</v>
      </c>
      <c r="S32" s="46">
        <v>0</v>
      </c>
      <c r="T32" s="39">
        <f t="shared" si="19"/>
        <v>45</v>
      </c>
      <c r="U32" s="47">
        <f t="shared" si="20"/>
        <v>1.0939074105096617E-2</v>
      </c>
      <c r="V32" s="48">
        <f t="shared" si="21"/>
        <v>0.96</v>
      </c>
      <c r="W32" s="49">
        <f t="shared" si="22"/>
        <v>2.430905356688137E-4</v>
      </c>
      <c r="X32" s="44">
        <f t="shared" si="23"/>
        <v>84.929665955793681</v>
      </c>
      <c r="Y32" s="44">
        <f t="shared" si="24"/>
        <v>3939.2</v>
      </c>
      <c r="Z32" s="44">
        <f t="shared" si="25"/>
        <v>1058.2736658900469</v>
      </c>
      <c r="AA32" s="50">
        <f t="shared" si="26"/>
        <v>5224.1296659557938</v>
      </c>
      <c r="AB32" s="51">
        <f t="shared" si="27"/>
        <v>989.31818817429826</v>
      </c>
      <c r="AC32" s="44">
        <f t="shared" si="28"/>
        <v>4883.733444849765</v>
      </c>
      <c r="AD32" s="44">
        <f t="shared" si="29"/>
        <v>0</v>
      </c>
      <c r="AE32" s="44">
        <f t="shared" si="30"/>
        <v>0</v>
      </c>
      <c r="AF32" s="52">
        <f>HLOOKUP(I32,GasAvoidedCostsWOCC!$A$5:$G$50,G32+1,FALSE)</f>
        <v>27.444232870165703</v>
      </c>
      <c r="AG32" s="44">
        <f t="shared" si="31"/>
        <v>3864.1479881193309</v>
      </c>
      <c r="AH32" s="52">
        <f>HLOOKUP(I32,GasAvoidedCostsWOCC!$A$5:$Q$50,T32+1,FALSE)</f>
        <v>27.444232870165703</v>
      </c>
      <c r="AI32" s="44">
        <f t="shared" si="32"/>
        <v>0</v>
      </c>
      <c r="AJ32" s="44">
        <f t="shared" si="33"/>
        <v>3864.1479881193309</v>
      </c>
      <c r="AK32" s="44">
        <f>HLOOKUP(I32,GasAvoidedCostsWOCC!$A$5:$Q$50,G32+1,FALSE)*J32*L32</f>
        <v>0</v>
      </c>
      <c r="AL32" s="44">
        <f t="shared" si="34"/>
        <v>3864.1479881193309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3864.1479881193309</v>
      </c>
      <c r="AN32" s="48">
        <f t="shared" si="35"/>
        <v>4250.5627869312639</v>
      </c>
      <c r="AO32" s="47">
        <f t="shared" si="36"/>
        <v>3.9058697538456095</v>
      </c>
      <c r="AP32" s="47">
        <f t="shared" si="37"/>
        <v>0.87035110227274515</v>
      </c>
      <c r="AQ32">
        <v>2021</v>
      </c>
    </row>
    <row r="33" spans="2:43">
      <c r="B33" s="97" t="s">
        <v>33</v>
      </c>
      <c r="C33" s="98">
        <v>18230637</v>
      </c>
      <c r="D33" s="61" t="s">
        <v>82</v>
      </c>
      <c r="E33" s="38" t="s">
        <v>801</v>
      </c>
      <c r="F33" s="39" t="s">
        <v>800</v>
      </c>
      <c r="G33" s="39">
        <v>45</v>
      </c>
      <c r="H33" s="39"/>
      <c r="I33" s="40" t="s">
        <v>269</v>
      </c>
      <c r="J33" s="41">
        <v>12124</v>
      </c>
      <c r="K33" s="41">
        <v>0.03</v>
      </c>
      <c r="L33" s="41"/>
      <c r="M33" s="42">
        <v>0.5</v>
      </c>
      <c r="N33" s="42">
        <v>1.41</v>
      </c>
      <c r="O33" s="43">
        <v>418.29</v>
      </c>
      <c r="P33" s="44">
        <v>4000</v>
      </c>
      <c r="Q33" s="44">
        <v>17094.84</v>
      </c>
      <c r="R33" s="45">
        <v>0</v>
      </c>
      <c r="S33" s="46">
        <v>0</v>
      </c>
      <c r="T33" s="39">
        <f t="shared" si="19"/>
        <v>45</v>
      </c>
      <c r="U33" s="47">
        <f t="shared" si="20"/>
        <v>3.2497907012932266E-2</v>
      </c>
      <c r="V33" s="48">
        <f t="shared" si="21"/>
        <v>0.90999999999999992</v>
      </c>
      <c r="W33" s="49">
        <f t="shared" si="22"/>
        <v>7.2217571139849483E-4</v>
      </c>
      <c r="X33" s="44">
        <f t="shared" si="23"/>
        <v>252.30987196483616</v>
      </c>
      <c r="Y33" s="44">
        <f t="shared" si="24"/>
        <v>13094.84</v>
      </c>
      <c r="Z33" s="44">
        <f t="shared" si="25"/>
        <v>3143.9296285876967</v>
      </c>
      <c r="AA33" s="50">
        <f t="shared" si="26"/>
        <v>17347.149871964837</v>
      </c>
      <c r="AB33" s="51">
        <f t="shared" si="27"/>
        <v>2939.0760293425228</v>
      </c>
      <c r="AC33" s="44">
        <f t="shared" si="28"/>
        <v>16216.836376521302</v>
      </c>
      <c r="AD33" s="44">
        <f t="shared" si="29"/>
        <v>0</v>
      </c>
      <c r="AE33" s="44">
        <f t="shared" si="30"/>
        <v>0</v>
      </c>
      <c r="AF33" s="52">
        <f>HLOOKUP(I33,GasAvoidedCostsWOCC!$A$5:$G$50,G33+1,FALSE)</f>
        <v>27.444232870165703</v>
      </c>
      <c r="AG33" s="44">
        <f t="shared" si="31"/>
        <v>9982.0163795366698</v>
      </c>
      <c r="AH33" s="52">
        <f>HLOOKUP(I33,GasAvoidedCostsWOCC!$A$5:$Q$50,T33+1,FALSE)</f>
        <v>27.444232870165703</v>
      </c>
      <c r="AI33" s="44">
        <f t="shared" si="32"/>
        <v>0</v>
      </c>
      <c r="AJ33" s="44">
        <f t="shared" si="33"/>
        <v>9982.0163795366698</v>
      </c>
      <c r="AK33" s="44">
        <f>HLOOKUP(I33,GasAvoidedCostsWOCC!$A$5:$Q$50,G33+1,FALSE)*J33*L33</f>
        <v>0</v>
      </c>
      <c r="AL33" s="44">
        <f t="shared" si="34"/>
        <v>9982.0163795366698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9982.016379536668</v>
      </c>
      <c r="AN33" s="48">
        <f t="shared" si="35"/>
        <v>10980.218017490335</v>
      </c>
      <c r="AO33" s="47">
        <f t="shared" si="36"/>
        <v>3.396311044654964</v>
      </c>
      <c r="AP33" s="47">
        <f t="shared" si="37"/>
        <v>0.67708755040455793</v>
      </c>
      <c r="AQ33">
        <v>2021</v>
      </c>
    </row>
    <row r="34" spans="2:43">
      <c r="B34" s="97" t="s">
        <v>33</v>
      </c>
      <c r="C34" s="98">
        <v>18230637</v>
      </c>
      <c r="D34" s="61" t="s">
        <v>82</v>
      </c>
      <c r="E34" s="38" t="s">
        <v>807</v>
      </c>
      <c r="F34" s="39" t="s">
        <v>808</v>
      </c>
      <c r="G34" s="39">
        <v>45</v>
      </c>
      <c r="H34" s="39"/>
      <c r="I34" s="40" t="s">
        <v>269</v>
      </c>
      <c r="J34" s="41">
        <v>825</v>
      </c>
      <c r="K34" s="41">
        <v>0.09</v>
      </c>
      <c r="L34" s="41"/>
      <c r="M34" s="42">
        <v>1.54</v>
      </c>
      <c r="N34" s="42">
        <v>1.54</v>
      </c>
      <c r="O34" s="43">
        <v>74.25</v>
      </c>
      <c r="P34" s="44">
        <v>800</v>
      </c>
      <c r="Q34" s="44">
        <v>1270.5</v>
      </c>
      <c r="R34" s="45">
        <v>0</v>
      </c>
      <c r="S34" s="46">
        <v>0</v>
      </c>
      <c r="T34" s="39">
        <f t="shared" si="19"/>
        <v>45</v>
      </c>
      <c r="U34" s="47">
        <f t="shared" si="20"/>
        <v>5.7686523601095437E-3</v>
      </c>
      <c r="V34" s="48">
        <f t="shared" si="21"/>
        <v>0</v>
      </c>
      <c r="W34" s="49">
        <f t="shared" si="22"/>
        <v>1.2819227466910098E-4</v>
      </c>
      <c r="X34" s="44">
        <f t="shared" si="23"/>
        <v>44.787128531375572</v>
      </c>
      <c r="Y34" s="44">
        <f t="shared" si="24"/>
        <v>470.5</v>
      </c>
      <c r="Z34" s="44">
        <f t="shared" si="25"/>
        <v>558.07400349670456</v>
      </c>
      <c r="AA34" s="50">
        <f t="shared" si="26"/>
        <v>1315.2871285313756</v>
      </c>
      <c r="AB34" s="51">
        <f t="shared" si="27"/>
        <v>521.71076329504024</v>
      </c>
      <c r="AC34" s="44">
        <f t="shared" si="28"/>
        <v>1229.5850505107746</v>
      </c>
      <c r="AD34" s="44">
        <f t="shared" si="29"/>
        <v>0</v>
      </c>
      <c r="AE34" s="44">
        <f t="shared" si="30"/>
        <v>0</v>
      </c>
      <c r="AF34" s="52">
        <f>HLOOKUP(I34,GasAvoidedCostsWOCC!$A$5:$G$50,G34+1,FALSE)</f>
        <v>27.444232870165703</v>
      </c>
      <c r="AG34" s="44">
        <f t="shared" si="31"/>
        <v>2037.7342906098033</v>
      </c>
      <c r="AH34" s="52">
        <f>HLOOKUP(I34,GasAvoidedCostsWOCC!$A$5:$Q$50,T34+1,FALSE)</f>
        <v>27.444232870165703</v>
      </c>
      <c r="AI34" s="44">
        <f t="shared" si="32"/>
        <v>0</v>
      </c>
      <c r="AJ34" s="44">
        <f t="shared" si="33"/>
        <v>2037.7342906098033</v>
      </c>
      <c r="AK34" s="44">
        <f>HLOOKUP(I34,GasAvoidedCostsWOCC!$A$5:$Q$50,G34+1,FALSE)*J34*L34</f>
        <v>0</v>
      </c>
      <c r="AL34" s="44">
        <f t="shared" si="34"/>
        <v>2037.7342906098033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2037.7342906098033</v>
      </c>
      <c r="AN34" s="48">
        <f t="shared" si="35"/>
        <v>2241.5077196707839</v>
      </c>
      <c r="AO34" s="47">
        <f t="shared" si="36"/>
        <v>3.9058697538456086</v>
      </c>
      <c r="AP34" s="47">
        <f t="shared" si="37"/>
        <v>1.8229789950192161</v>
      </c>
      <c r="AQ34">
        <v>2021</v>
      </c>
    </row>
    <row r="35" spans="2:43">
      <c r="B35" s="97" t="s">
        <v>33</v>
      </c>
      <c r="C35" s="98">
        <v>18230637</v>
      </c>
      <c r="D35" s="61" t="s">
        <v>82</v>
      </c>
      <c r="E35" s="38" t="s">
        <v>809</v>
      </c>
      <c r="F35" s="39" t="s">
        <v>808</v>
      </c>
      <c r="G35" s="39">
        <v>45</v>
      </c>
      <c r="H35" s="39"/>
      <c r="I35" s="40" t="s">
        <v>269</v>
      </c>
      <c r="J35" s="41">
        <v>1992</v>
      </c>
      <c r="K35" s="41">
        <v>7.0000000000000007E-2</v>
      </c>
      <c r="L35" s="41"/>
      <c r="M35" s="42">
        <v>1.56</v>
      </c>
      <c r="N35" s="42">
        <v>1.56</v>
      </c>
      <c r="O35" s="43">
        <v>133.26</v>
      </c>
      <c r="P35" s="44">
        <v>1600</v>
      </c>
      <c r="Q35" s="44">
        <v>3107.52</v>
      </c>
      <c r="R35" s="45">
        <v>0</v>
      </c>
      <c r="S35" s="46">
        <v>0</v>
      </c>
      <c r="T35" s="39">
        <f t="shared" si="19"/>
        <v>45</v>
      </c>
      <c r="U35" s="47">
        <f t="shared" si="20"/>
        <v>1.0353274256002663E-2</v>
      </c>
      <c r="V35" s="48">
        <f t="shared" si="21"/>
        <v>0</v>
      </c>
      <c r="W35" s="49">
        <f t="shared" si="22"/>
        <v>2.3007276124450361E-4</v>
      </c>
      <c r="X35" s="44">
        <f t="shared" si="23"/>
        <v>80.381585832876866</v>
      </c>
      <c r="Y35" s="44">
        <f t="shared" si="24"/>
        <v>1507.52</v>
      </c>
      <c r="Z35" s="44">
        <f t="shared" si="25"/>
        <v>1001.6019084979235</v>
      </c>
      <c r="AA35" s="50">
        <f t="shared" si="26"/>
        <v>3187.9015858328767</v>
      </c>
      <c r="AB35" s="51">
        <f t="shared" si="27"/>
        <v>936.33907497235066</v>
      </c>
      <c r="AC35" s="44">
        <f t="shared" si="28"/>
        <v>2980.1828417620609</v>
      </c>
      <c r="AD35" s="44">
        <f t="shared" si="29"/>
        <v>0</v>
      </c>
      <c r="AE35" s="44">
        <f t="shared" si="30"/>
        <v>0</v>
      </c>
      <c r="AF35" s="52">
        <f>HLOOKUP(I35,GasAvoidedCostsWOCC!$A$5:$G$50,G35+1,FALSE)</f>
        <v>27.444232870165703</v>
      </c>
      <c r="AG35" s="44">
        <f t="shared" si="31"/>
        <v>3826.8238314159062</v>
      </c>
      <c r="AH35" s="52">
        <f>HLOOKUP(I35,GasAvoidedCostsWOCC!$A$5:$Q$50,T35+1,FALSE)</f>
        <v>27.444232870165703</v>
      </c>
      <c r="AI35" s="44">
        <f t="shared" si="32"/>
        <v>0</v>
      </c>
      <c r="AJ35" s="44">
        <f t="shared" si="33"/>
        <v>3826.8238314159062</v>
      </c>
      <c r="AK35" s="44">
        <f>HLOOKUP(I35,GasAvoidedCostsWOCC!$A$5:$Q$50,G35+1,FALSE)*J35*L35</f>
        <v>0</v>
      </c>
      <c r="AL35" s="44">
        <f t="shared" si="34"/>
        <v>3826.8238314159062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3826.8238314159057</v>
      </c>
      <c r="AN35" s="48">
        <f t="shared" si="35"/>
        <v>4209.5062145574966</v>
      </c>
      <c r="AO35" s="47">
        <f t="shared" si="36"/>
        <v>4.0870064421149026</v>
      </c>
      <c r="AP35" s="47">
        <f t="shared" si="37"/>
        <v>1.4124993123135314</v>
      </c>
      <c r="AQ35">
        <v>2021</v>
      </c>
    </row>
    <row r="36" spans="2:43">
      <c r="B36" s="97" t="s">
        <v>33</v>
      </c>
      <c r="C36" s="98">
        <v>18230637</v>
      </c>
      <c r="D36" s="61" t="s">
        <v>82</v>
      </c>
      <c r="E36" s="38" t="s">
        <v>814</v>
      </c>
      <c r="F36" s="39" t="s">
        <v>815</v>
      </c>
      <c r="G36" s="39">
        <v>45</v>
      </c>
      <c r="H36" s="39"/>
      <c r="I36" s="40" t="s">
        <v>269</v>
      </c>
      <c r="J36" s="41">
        <v>662.15</v>
      </c>
      <c r="K36" s="41">
        <v>0.64</v>
      </c>
      <c r="L36" s="41"/>
      <c r="M36" s="42">
        <v>200</v>
      </c>
      <c r="N36" s="42">
        <v>20.5</v>
      </c>
      <c r="O36" s="43">
        <v>423.78</v>
      </c>
      <c r="P36" s="44">
        <v>4994</v>
      </c>
      <c r="Q36" s="44">
        <v>13574.07</v>
      </c>
      <c r="R36" s="45">
        <v>0</v>
      </c>
      <c r="S36" s="46">
        <v>0</v>
      </c>
      <c r="T36" s="39">
        <f t="shared" si="19"/>
        <v>45</v>
      </c>
      <c r="U36" s="47">
        <f t="shared" si="20"/>
        <v>3.2924437672285818E-2</v>
      </c>
      <c r="V36" s="48">
        <f t="shared" si="21"/>
        <v>-179.5</v>
      </c>
      <c r="W36" s="49">
        <f t="shared" si="22"/>
        <v>7.3165417049524042E-4</v>
      </c>
      <c r="X36" s="44">
        <f t="shared" si="23"/>
        <v>255.62140510473179</v>
      </c>
      <c r="Y36" s="44">
        <f t="shared" si="24"/>
        <v>8580.07</v>
      </c>
      <c r="Z36" s="44">
        <f t="shared" si="25"/>
        <v>3185.193282179574</v>
      </c>
      <c r="AA36" s="50">
        <f t="shared" si="26"/>
        <v>13829.691405104732</v>
      </c>
      <c r="AB36" s="51">
        <f t="shared" si="27"/>
        <v>2977.651006992216</v>
      </c>
      <c r="AC36" s="44">
        <f t="shared" si="28"/>
        <v>12928.570071145863</v>
      </c>
      <c r="AD36" s="44">
        <f t="shared" si="29"/>
        <v>0</v>
      </c>
      <c r="AE36" s="44">
        <f t="shared" si="30"/>
        <v>0</v>
      </c>
      <c r="AF36" s="52">
        <f>HLOOKUP(I36,GasAvoidedCostsWOCC!$A$5:$G$50,G36+1,FALSE)</f>
        <v>27.444232870165703</v>
      </c>
      <c r="AG36" s="44">
        <f t="shared" si="31"/>
        <v>11630.207228787342</v>
      </c>
      <c r="AH36" s="52">
        <f>HLOOKUP(I36,GasAvoidedCostsWOCC!$A$5:$Q$50,T36+1,FALSE)</f>
        <v>27.444232870165703</v>
      </c>
      <c r="AI36" s="44">
        <f t="shared" si="32"/>
        <v>0</v>
      </c>
      <c r="AJ36" s="44">
        <f t="shared" si="33"/>
        <v>11630.207228787342</v>
      </c>
      <c r="AK36" s="44">
        <f>HLOOKUP(I36,GasAvoidedCostsWOCC!$A$5:$Q$50,G36+1,FALSE)*J36*L36</f>
        <v>0</v>
      </c>
      <c r="AL36" s="44">
        <f t="shared" si="34"/>
        <v>11630.207228787342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11630.20722878734</v>
      </c>
      <c r="AN36" s="48">
        <f t="shared" si="35"/>
        <v>12793.227951666075</v>
      </c>
      <c r="AO36" s="47">
        <f t="shared" si="36"/>
        <v>3.9058328868886623</v>
      </c>
      <c r="AP36" s="47">
        <f t="shared" si="37"/>
        <v>0.98953154767039186</v>
      </c>
      <c r="AQ36">
        <v>2021</v>
      </c>
    </row>
    <row r="37" spans="2:43">
      <c r="B37" s="97" t="s">
        <v>33</v>
      </c>
      <c r="C37" s="98">
        <v>18230637</v>
      </c>
      <c r="D37" s="61" t="s">
        <v>82</v>
      </c>
      <c r="E37" s="38" t="s">
        <v>816</v>
      </c>
      <c r="F37" s="39" t="s">
        <v>815</v>
      </c>
      <c r="G37" s="39">
        <v>45</v>
      </c>
      <c r="H37" s="39"/>
      <c r="I37" s="40" t="s">
        <v>269</v>
      </c>
      <c r="J37" s="41">
        <v>2832.68</v>
      </c>
      <c r="K37" s="41">
        <v>0.38</v>
      </c>
      <c r="L37" s="41"/>
      <c r="M37" s="42">
        <v>200</v>
      </c>
      <c r="N37" s="42">
        <v>22.6</v>
      </c>
      <c r="O37" s="43">
        <v>1079.55</v>
      </c>
      <c r="P37" s="44">
        <v>26800</v>
      </c>
      <c r="Q37" s="44">
        <v>64018.559999999998</v>
      </c>
      <c r="R37" s="45">
        <v>0</v>
      </c>
      <c r="S37" s="46">
        <v>0</v>
      </c>
      <c r="T37" s="39">
        <f t="shared" si="19"/>
        <v>45</v>
      </c>
      <c r="U37" s="47">
        <f t="shared" si="20"/>
        <v>8.3872709163047232E-2</v>
      </c>
      <c r="V37" s="48">
        <f t="shared" si="21"/>
        <v>-177.4</v>
      </c>
      <c r="W37" s="49">
        <f t="shared" si="22"/>
        <v>1.8638379814010498E-3</v>
      </c>
      <c r="X37" s="44">
        <f t="shared" si="23"/>
        <v>651.17770513193932</v>
      </c>
      <c r="Y37" s="44">
        <f t="shared" si="24"/>
        <v>37218.559999999998</v>
      </c>
      <c r="Z37" s="44">
        <f t="shared" si="25"/>
        <v>8114.0577841732966</v>
      </c>
      <c r="AA37" s="50">
        <f t="shared" si="26"/>
        <v>64669.737705131934</v>
      </c>
      <c r="AB37" s="51">
        <f t="shared" si="27"/>
        <v>7585.358309968492</v>
      </c>
      <c r="AC37" s="44">
        <f t="shared" si="28"/>
        <v>60455.957469507273</v>
      </c>
      <c r="AD37" s="44">
        <f t="shared" si="29"/>
        <v>0</v>
      </c>
      <c r="AE37" s="44">
        <f t="shared" si="30"/>
        <v>0</v>
      </c>
      <c r="AF37" s="52">
        <f>HLOOKUP(I37,GasAvoidedCostsWOCC!$A$5:$G$50,G37+1,FALSE)</f>
        <v>27.444232870165703</v>
      </c>
      <c r="AG37" s="44">
        <f t="shared" si="31"/>
        <v>29541.477235331171</v>
      </c>
      <c r="AH37" s="52">
        <f>HLOOKUP(I37,GasAvoidedCostsWOCC!$A$5:$Q$50,T37+1,FALSE)</f>
        <v>27.444232870165703</v>
      </c>
      <c r="AI37" s="44">
        <f t="shared" si="32"/>
        <v>0</v>
      </c>
      <c r="AJ37" s="44">
        <f t="shared" si="33"/>
        <v>29541.477235331171</v>
      </c>
      <c r="AK37" s="44">
        <f>HLOOKUP(I37,GasAvoidedCostsWOCC!$A$5:$Q$50,G37+1,FALSE)*J37*L37</f>
        <v>0</v>
      </c>
      <c r="AL37" s="44">
        <f t="shared" si="34"/>
        <v>29541.477235331171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29541.477235331171</v>
      </c>
      <c r="AN37" s="48">
        <f t="shared" si="35"/>
        <v>32495.62495886429</v>
      </c>
      <c r="AO37" s="47">
        <f t="shared" si="36"/>
        <v>3.8945394572209575</v>
      </c>
      <c r="AP37" s="47">
        <f t="shared" si="37"/>
        <v>0.53750906145609234</v>
      </c>
      <c r="AQ37">
        <v>2021</v>
      </c>
    </row>
    <row r="38" spans="2:43">
      <c r="B38" s="97" t="s">
        <v>33</v>
      </c>
      <c r="C38" s="98">
        <v>18230637</v>
      </c>
      <c r="D38" s="61" t="s">
        <v>82</v>
      </c>
      <c r="E38" s="38" t="s">
        <v>828</v>
      </c>
      <c r="F38" s="39" t="s">
        <v>829</v>
      </c>
      <c r="G38" s="39">
        <v>20</v>
      </c>
      <c r="H38" s="39"/>
      <c r="I38" s="40" t="s">
        <v>269</v>
      </c>
      <c r="J38" s="41">
        <v>4</v>
      </c>
      <c r="K38" s="41">
        <v>75.33</v>
      </c>
      <c r="L38" s="41"/>
      <c r="M38" s="42">
        <v>800</v>
      </c>
      <c r="N38" s="42">
        <v>1000</v>
      </c>
      <c r="O38" s="43">
        <v>301.32</v>
      </c>
      <c r="P38" s="44">
        <v>1789.12</v>
      </c>
      <c r="Q38" s="44">
        <v>4000</v>
      </c>
      <c r="R38" s="45">
        <v>0</v>
      </c>
      <c r="S38" s="46">
        <v>0</v>
      </c>
      <c r="T38" s="39">
        <f t="shared" si="19"/>
        <v>20</v>
      </c>
      <c r="U38" s="47">
        <f t="shared" si="20"/>
        <v>1.0404551165870305E-2</v>
      </c>
      <c r="V38" s="48">
        <f t="shared" si="21"/>
        <v>200</v>
      </c>
      <c r="W38" s="49">
        <f t="shared" si="22"/>
        <v>5.2022755829351521E-4</v>
      </c>
      <c r="X38" s="44">
        <f t="shared" si="23"/>
        <v>181.75431069460049</v>
      </c>
      <c r="Y38" s="44">
        <f t="shared" si="24"/>
        <v>2210.88</v>
      </c>
      <c r="Z38" s="44">
        <f t="shared" si="25"/>
        <v>2264.7657741902622</v>
      </c>
      <c r="AA38" s="50">
        <f t="shared" si="26"/>
        <v>4181.7543106946005</v>
      </c>
      <c r="AB38" s="51">
        <f t="shared" si="27"/>
        <v>2117.1971339536899</v>
      </c>
      <c r="AC38" s="44">
        <f t="shared" si="28"/>
        <v>3909.2776579364308</v>
      </c>
      <c r="AD38" s="44">
        <f t="shared" si="29"/>
        <v>0</v>
      </c>
      <c r="AE38" s="44">
        <f t="shared" si="30"/>
        <v>0</v>
      </c>
      <c r="AF38" s="52">
        <f>HLOOKUP(I38,GasAvoidedCostsWOCC!$A$5:$G$50,G38+1,FALSE)</f>
        <v>13.765480191058694</v>
      </c>
      <c r="AG38" s="44">
        <f t="shared" si="31"/>
        <v>4147.8144911698055</v>
      </c>
      <c r="AH38" s="52">
        <f>HLOOKUP(I38,GasAvoidedCostsWOCC!$A$5:$Q$50,T38+1,FALSE)</f>
        <v>13.765480191058694</v>
      </c>
      <c r="AI38" s="44">
        <f t="shared" si="32"/>
        <v>0</v>
      </c>
      <c r="AJ38" s="44">
        <f t="shared" si="33"/>
        <v>4147.8144911698055</v>
      </c>
      <c r="AK38" s="44">
        <f>HLOOKUP(I38,GasAvoidedCostsWOCC!$A$5:$Q$50,G38+1,FALSE)*J38*L38</f>
        <v>0</v>
      </c>
      <c r="AL38" s="44">
        <f t="shared" si="34"/>
        <v>4147.8144911698055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4147.8144911698055</v>
      </c>
      <c r="AN38" s="48">
        <f t="shared" si="35"/>
        <v>4562.5959402867866</v>
      </c>
      <c r="AO38" s="47">
        <f t="shared" si="36"/>
        <v>1.9591064169939179</v>
      </c>
      <c r="AP38" s="47">
        <f t="shared" si="37"/>
        <v>1.1671199488795634</v>
      </c>
      <c r="AQ38">
        <v>2021</v>
      </c>
    </row>
    <row r="39" spans="2:43">
      <c r="B39" s="97" t="s">
        <v>33</v>
      </c>
      <c r="C39" s="98">
        <v>18230637</v>
      </c>
      <c r="D39" s="61" t="s">
        <v>82</v>
      </c>
      <c r="E39" s="38" t="s">
        <v>830</v>
      </c>
      <c r="F39" s="39" t="s">
        <v>829</v>
      </c>
      <c r="G39" s="39">
        <v>20</v>
      </c>
      <c r="H39" s="39"/>
      <c r="I39" s="40" t="s">
        <v>269</v>
      </c>
      <c r="J39" s="41">
        <v>13</v>
      </c>
      <c r="K39" s="41">
        <v>75.319999999999993</v>
      </c>
      <c r="L39" s="41"/>
      <c r="M39" s="42">
        <v>800</v>
      </c>
      <c r="N39" s="42">
        <v>1000</v>
      </c>
      <c r="O39" s="43">
        <v>979.16</v>
      </c>
      <c r="P39" s="44">
        <v>8749.67</v>
      </c>
      <c r="Q39" s="44">
        <v>13000</v>
      </c>
      <c r="R39" s="45">
        <v>0</v>
      </c>
      <c r="S39" s="46">
        <v>0</v>
      </c>
      <c r="T39" s="39">
        <f t="shared" si="19"/>
        <v>20</v>
      </c>
      <c r="U39" s="47">
        <f t="shared" si="20"/>
        <v>3.3810302401345964E-2</v>
      </c>
      <c r="V39" s="48">
        <f t="shared" si="21"/>
        <v>200</v>
      </c>
      <c r="W39" s="49">
        <f t="shared" si="22"/>
        <v>1.6905151200672982E-3</v>
      </c>
      <c r="X39" s="44">
        <f t="shared" si="23"/>
        <v>590.6230945829185</v>
      </c>
      <c r="Y39" s="44">
        <f t="shared" si="24"/>
        <v>4250.33</v>
      </c>
      <c r="Z39" s="44">
        <f t="shared" si="25"/>
        <v>7359.5116668529699</v>
      </c>
      <c r="AA39" s="50">
        <f t="shared" si="26"/>
        <v>13590.623094582919</v>
      </c>
      <c r="AB39" s="51">
        <f t="shared" si="27"/>
        <v>6879.977252363251</v>
      </c>
      <c r="AC39" s="44">
        <f t="shared" si="28"/>
        <v>12705.079082530539</v>
      </c>
      <c r="AD39" s="44">
        <f t="shared" si="29"/>
        <v>0</v>
      </c>
      <c r="AE39" s="44">
        <f t="shared" si="30"/>
        <v>0</v>
      </c>
      <c r="AF39" s="52">
        <f>HLOOKUP(I39,GasAvoidedCostsWOCC!$A$5:$G$50,G39+1,FALSE)</f>
        <v>13.765480191058694</v>
      </c>
      <c r="AG39" s="44">
        <f t="shared" si="31"/>
        <v>13478.60758387703</v>
      </c>
      <c r="AH39" s="52">
        <f>HLOOKUP(I39,GasAvoidedCostsWOCC!$A$5:$Q$50,T39+1,FALSE)</f>
        <v>13.765480191058694</v>
      </c>
      <c r="AI39" s="44">
        <f t="shared" si="32"/>
        <v>0</v>
      </c>
      <c r="AJ39" s="44">
        <f t="shared" si="33"/>
        <v>13478.60758387703</v>
      </c>
      <c r="AK39" s="44">
        <f>HLOOKUP(I39,GasAvoidedCostsWOCC!$A$5:$Q$50,G39+1,FALSE)*J39*L39</f>
        <v>0</v>
      </c>
      <c r="AL39" s="44">
        <f t="shared" si="34"/>
        <v>13478.60758387703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13478.607583877028</v>
      </c>
      <c r="AN39" s="48">
        <f t="shared" si="35"/>
        <v>14826.468342264732</v>
      </c>
      <c r="AO39" s="47">
        <f t="shared" si="36"/>
        <v>1.9591064169939179</v>
      </c>
      <c r="AP39" s="47">
        <f t="shared" si="37"/>
        <v>1.1669717477517396</v>
      </c>
      <c r="AQ39">
        <v>2021</v>
      </c>
    </row>
    <row r="40" spans="2:43">
      <c r="B40" s="97" t="s">
        <v>33</v>
      </c>
      <c r="C40" s="98">
        <v>18230637</v>
      </c>
      <c r="D40" s="61" t="s">
        <v>82</v>
      </c>
      <c r="E40" s="38" t="s">
        <v>835</v>
      </c>
      <c r="F40" s="39" t="s">
        <v>836</v>
      </c>
      <c r="G40" s="39">
        <v>45</v>
      </c>
      <c r="H40" s="39"/>
      <c r="I40" s="40" t="s">
        <v>269</v>
      </c>
      <c r="J40" s="41">
        <v>877811</v>
      </c>
      <c r="K40" s="41">
        <v>0.01</v>
      </c>
      <c r="L40" s="41"/>
      <c r="M40" s="42">
        <v>0.08</v>
      </c>
      <c r="N40" s="42">
        <v>0.2</v>
      </c>
      <c r="O40" s="43">
        <v>8778.11</v>
      </c>
      <c r="P40" s="44">
        <v>73264.62</v>
      </c>
      <c r="Q40" s="44">
        <v>176122.2</v>
      </c>
      <c r="R40" s="45">
        <v>0</v>
      </c>
      <c r="S40" s="46">
        <v>0</v>
      </c>
      <c r="T40" s="39">
        <f t="shared" si="19"/>
        <v>45</v>
      </c>
      <c r="U40" s="47">
        <f t="shared" si="20"/>
        <v>0.68199144739126172</v>
      </c>
      <c r="V40" s="48">
        <f t="shared" si="21"/>
        <v>0.12000000000000001</v>
      </c>
      <c r="W40" s="49">
        <f t="shared" si="22"/>
        <v>1.5155365497583595E-2</v>
      </c>
      <c r="X40" s="44">
        <f t="shared" si="23"/>
        <v>5294.9002132330397</v>
      </c>
      <c r="Y40" s="44">
        <f t="shared" si="24"/>
        <v>102857.58000000002</v>
      </c>
      <c r="Z40" s="44">
        <f t="shared" si="25"/>
        <v>65977.575634134089</v>
      </c>
      <c r="AA40" s="50">
        <f t="shared" si="26"/>
        <v>181417.10021323306</v>
      </c>
      <c r="AB40" s="51">
        <f t="shared" si="27"/>
        <v>61678.578698825921</v>
      </c>
      <c r="AC40" s="44">
        <f t="shared" si="28"/>
        <v>169596.24213633078</v>
      </c>
      <c r="AD40" s="44">
        <f t="shared" si="29"/>
        <v>0</v>
      </c>
      <c r="AE40" s="44">
        <f t="shared" si="30"/>
        <v>0</v>
      </c>
      <c r="AF40" s="52">
        <f>HLOOKUP(I40,GasAvoidedCostsWOCC!$A$5:$G$50,G40+1,FALSE)</f>
        <v>27.444232870165703</v>
      </c>
      <c r="AG40" s="44">
        <f t="shared" si="31"/>
        <v>240908.49499993026</v>
      </c>
      <c r="AH40" s="52">
        <f>HLOOKUP(I40,GasAvoidedCostsWOCC!$A$5:$Q$50,T40+1,FALSE)</f>
        <v>27.444232870165703</v>
      </c>
      <c r="AI40" s="44">
        <f t="shared" si="32"/>
        <v>0</v>
      </c>
      <c r="AJ40" s="44">
        <f t="shared" si="33"/>
        <v>240908.49499993026</v>
      </c>
      <c r="AK40" s="44">
        <f>HLOOKUP(I40,GasAvoidedCostsWOCC!$A$5:$Q$50,G40+1,FALSE)*J40*L40</f>
        <v>0</v>
      </c>
      <c r="AL40" s="44">
        <f t="shared" si="34"/>
        <v>240908.49499993026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240908.49499993026</v>
      </c>
      <c r="AN40" s="48">
        <f t="shared" si="35"/>
        <v>264999.34449992329</v>
      </c>
      <c r="AO40" s="47">
        <f t="shared" si="36"/>
        <v>3.9058697538456095</v>
      </c>
      <c r="AP40" s="47">
        <f t="shared" si="37"/>
        <v>1.5625307563530932</v>
      </c>
      <c r="AQ40">
        <v>2021</v>
      </c>
    </row>
    <row r="41" spans="2:43">
      <c r="B41" s="97" t="s">
        <v>33</v>
      </c>
      <c r="C41" s="98">
        <v>18230637</v>
      </c>
      <c r="D41" s="61" t="s">
        <v>82</v>
      </c>
      <c r="E41" s="38" t="s">
        <v>837</v>
      </c>
      <c r="F41" s="39" t="s">
        <v>838</v>
      </c>
      <c r="G41" s="39">
        <v>45</v>
      </c>
      <c r="H41" s="39"/>
      <c r="I41" s="40" t="s">
        <v>269</v>
      </c>
      <c r="J41" s="41">
        <v>18155</v>
      </c>
      <c r="K41" s="41">
        <v>0.01</v>
      </c>
      <c r="L41" s="41"/>
      <c r="M41" s="42">
        <v>0.2</v>
      </c>
      <c r="N41" s="42">
        <v>0.2</v>
      </c>
      <c r="O41" s="43">
        <v>181.55</v>
      </c>
      <c r="P41" s="44">
        <v>2848.71</v>
      </c>
      <c r="Q41" s="44">
        <v>3631</v>
      </c>
      <c r="R41" s="45">
        <v>0</v>
      </c>
      <c r="S41" s="46">
        <v>0</v>
      </c>
      <c r="T41" s="39">
        <f t="shared" si="19"/>
        <v>45</v>
      </c>
      <c r="U41" s="47">
        <f t="shared" si="20"/>
        <v>1.410503482798502E-2</v>
      </c>
      <c r="V41" s="48">
        <f t="shared" si="21"/>
        <v>0</v>
      </c>
      <c r="W41" s="49">
        <f t="shared" si="22"/>
        <v>3.1344521839966709E-4</v>
      </c>
      <c r="X41" s="44">
        <f t="shared" si="23"/>
        <v>109.509807203653</v>
      </c>
      <c r="Y41" s="44">
        <f t="shared" si="24"/>
        <v>782.29</v>
      </c>
      <c r="Z41" s="44">
        <f t="shared" si="25"/>
        <v>1364.5567048461508</v>
      </c>
      <c r="AA41" s="50">
        <f t="shared" si="26"/>
        <v>3740.5098072036531</v>
      </c>
      <c r="AB41" s="51">
        <f t="shared" si="27"/>
        <v>1275.6442973227547</v>
      </c>
      <c r="AC41" s="44">
        <f t="shared" si="28"/>
        <v>3496.7839648533727</v>
      </c>
      <c r="AD41" s="44">
        <f t="shared" si="29"/>
        <v>0</v>
      </c>
      <c r="AE41" s="44">
        <f t="shared" si="30"/>
        <v>0</v>
      </c>
      <c r="AF41" s="52">
        <f>HLOOKUP(I41,GasAvoidedCostsWOCC!$A$5:$G$50,G41+1,FALSE)</f>
        <v>27.444232870165703</v>
      </c>
      <c r="AG41" s="44">
        <f t="shared" si="31"/>
        <v>4982.5004775785837</v>
      </c>
      <c r="AH41" s="52">
        <f>HLOOKUP(I41,GasAvoidedCostsWOCC!$A$5:$Q$50,T41+1,FALSE)</f>
        <v>27.444232870165703</v>
      </c>
      <c r="AI41" s="44">
        <f t="shared" si="32"/>
        <v>0</v>
      </c>
      <c r="AJ41" s="44">
        <f t="shared" si="33"/>
        <v>4982.5004775785837</v>
      </c>
      <c r="AK41" s="44">
        <f>HLOOKUP(I41,GasAvoidedCostsWOCC!$A$5:$Q$50,G41+1,FALSE)*J41*L41</f>
        <v>0</v>
      </c>
      <c r="AL41" s="44">
        <f t="shared" si="34"/>
        <v>4982.5004775785837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4982.5004775785828</v>
      </c>
      <c r="AN41" s="48">
        <f t="shared" si="35"/>
        <v>5480.7505253364416</v>
      </c>
      <c r="AO41" s="47">
        <f t="shared" si="36"/>
        <v>3.9058697538456091</v>
      </c>
      <c r="AP41" s="47">
        <f t="shared" si="37"/>
        <v>1.5673689253966425</v>
      </c>
      <c r="AQ41">
        <v>2021</v>
      </c>
    </row>
    <row r="42" spans="2:43">
      <c r="B42" s="97" t="s">
        <v>33</v>
      </c>
      <c r="C42" s="98">
        <v>18230637</v>
      </c>
      <c r="D42" s="61" t="s">
        <v>82</v>
      </c>
      <c r="E42" s="38" t="s">
        <v>843</v>
      </c>
      <c r="F42" s="39" t="s">
        <v>844</v>
      </c>
      <c r="G42" s="39">
        <v>45</v>
      </c>
      <c r="H42" s="39"/>
      <c r="I42" s="40" t="s">
        <v>269</v>
      </c>
      <c r="J42" s="41">
        <v>1272527.3899999999</v>
      </c>
      <c r="K42" s="41">
        <v>0.01</v>
      </c>
      <c r="L42" s="41"/>
      <c r="M42" s="42">
        <v>0.08</v>
      </c>
      <c r="N42" s="42">
        <v>0.2</v>
      </c>
      <c r="O42" s="43">
        <v>12725.28</v>
      </c>
      <c r="P42" s="44">
        <v>102500.8</v>
      </c>
      <c r="Q42" s="44">
        <v>254505.48</v>
      </c>
      <c r="R42" s="45">
        <v>0</v>
      </c>
      <c r="S42" s="46">
        <v>0</v>
      </c>
      <c r="T42" s="39">
        <f t="shared" si="19"/>
        <v>45</v>
      </c>
      <c r="U42" s="47">
        <f t="shared" si="20"/>
        <v>0.98865611454619218</v>
      </c>
      <c r="V42" s="48">
        <f t="shared" si="21"/>
        <v>0.12000000000000001</v>
      </c>
      <c r="W42" s="49">
        <f t="shared" si="22"/>
        <v>2.1970135878804271E-2</v>
      </c>
      <c r="X42" s="44">
        <f t="shared" si="23"/>
        <v>7675.8080937069744</v>
      </c>
      <c r="Y42" s="44">
        <f t="shared" si="24"/>
        <v>152004.68</v>
      </c>
      <c r="Z42" s="44">
        <f t="shared" si="25"/>
        <v>95645.090305946709</v>
      </c>
      <c r="AA42" s="50">
        <f t="shared" si="26"/>
        <v>262181.288093707</v>
      </c>
      <c r="AB42" s="51">
        <f t="shared" si="27"/>
        <v>89413.003931893705</v>
      </c>
      <c r="AC42" s="44">
        <f t="shared" si="28"/>
        <v>245097.96026335139</v>
      </c>
      <c r="AD42" s="44">
        <f t="shared" si="29"/>
        <v>0</v>
      </c>
      <c r="AE42" s="44">
        <f t="shared" si="30"/>
        <v>0</v>
      </c>
      <c r="AF42" s="52">
        <f>HLOOKUP(I42,GasAvoidedCostsWOCC!$A$5:$G$50,G42+1,FALSE)</f>
        <v>27.444232870165703</v>
      </c>
      <c r="AG42" s="44">
        <f t="shared" si="31"/>
        <v>349235.38024824165</v>
      </c>
      <c r="AH42" s="52">
        <f>HLOOKUP(I42,GasAvoidedCostsWOCC!$A$5:$Q$50,T42+1,FALSE)</f>
        <v>27.444232870165703</v>
      </c>
      <c r="AI42" s="44">
        <f t="shared" si="32"/>
        <v>0</v>
      </c>
      <c r="AJ42" s="44">
        <f t="shared" si="33"/>
        <v>349235.38024824165</v>
      </c>
      <c r="AK42" s="44">
        <f>HLOOKUP(I42,GasAvoidedCostsWOCC!$A$5:$Q$50,G42+1,FALSE)*J42*L42</f>
        <v>0</v>
      </c>
      <c r="AL42" s="44">
        <f t="shared" si="34"/>
        <v>349235.38024824165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349235.38024824165</v>
      </c>
      <c r="AN42" s="48">
        <f t="shared" si="35"/>
        <v>384158.91827306582</v>
      </c>
      <c r="AO42" s="47">
        <f t="shared" si="36"/>
        <v>3.9058678815248826</v>
      </c>
      <c r="AP42" s="47">
        <f t="shared" si="37"/>
        <v>1.5673688914436377</v>
      </c>
      <c r="AQ42">
        <v>2021</v>
      </c>
    </row>
    <row r="43" spans="2:43">
      <c r="B43" s="97" t="s">
        <v>33</v>
      </c>
      <c r="C43" s="98">
        <v>18230637</v>
      </c>
      <c r="D43" s="61" t="s">
        <v>82</v>
      </c>
      <c r="E43" s="38" t="s">
        <v>845</v>
      </c>
      <c r="F43" s="39" t="s">
        <v>846</v>
      </c>
      <c r="G43" s="39">
        <v>45</v>
      </c>
      <c r="H43" s="39"/>
      <c r="I43" s="40" t="s">
        <v>269</v>
      </c>
      <c r="J43" s="41">
        <v>18892</v>
      </c>
      <c r="K43" s="41">
        <v>0.01</v>
      </c>
      <c r="L43" s="41"/>
      <c r="M43" s="42">
        <v>0.2</v>
      </c>
      <c r="N43" s="42">
        <v>0.2</v>
      </c>
      <c r="O43" s="43">
        <v>188.92</v>
      </c>
      <c r="P43" s="44">
        <v>2252.44</v>
      </c>
      <c r="Q43" s="44">
        <v>3778.4</v>
      </c>
      <c r="R43" s="45">
        <v>0</v>
      </c>
      <c r="S43" s="46">
        <v>0</v>
      </c>
      <c r="T43" s="39">
        <f t="shared" si="19"/>
        <v>45</v>
      </c>
      <c r="U43" s="47">
        <f t="shared" si="20"/>
        <v>1.4677626988173667E-2</v>
      </c>
      <c r="V43" s="48">
        <f t="shared" si="21"/>
        <v>0</v>
      </c>
      <c r="W43" s="49">
        <f t="shared" si="22"/>
        <v>3.261694886260815E-4</v>
      </c>
      <c r="X43" s="44">
        <f t="shared" si="23"/>
        <v>113.95534440602655</v>
      </c>
      <c r="Y43" s="44">
        <f t="shared" si="24"/>
        <v>1525.96</v>
      </c>
      <c r="Z43" s="44">
        <f t="shared" si="25"/>
        <v>1419.9507170450827</v>
      </c>
      <c r="AA43" s="50">
        <f t="shared" si="26"/>
        <v>3892.3553444060267</v>
      </c>
      <c r="AB43" s="51">
        <f t="shared" si="27"/>
        <v>1327.4289212350029</v>
      </c>
      <c r="AC43" s="44">
        <f t="shared" si="28"/>
        <v>3638.7354813555448</v>
      </c>
      <c r="AD43" s="44">
        <f t="shared" si="29"/>
        <v>0</v>
      </c>
      <c r="AE43" s="44">
        <f t="shared" si="30"/>
        <v>0</v>
      </c>
      <c r="AF43" s="52">
        <f>HLOOKUP(I43,GasAvoidedCostsWOCC!$A$5:$G$50,G43+1,FALSE)</f>
        <v>27.444232870165703</v>
      </c>
      <c r="AG43" s="44">
        <f t="shared" si="31"/>
        <v>5184.7644738317049</v>
      </c>
      <c r="AH43" s="52">
        <f>HLOOKUP(I43,GasAvoidedCostsWOCC!$A$5:$Q$50,T43+1,FALSE)</f>
        <v>27.444232870165703</v>
      </c>
      <c r="AI43" s="44">
        <f t="shared" si="32"/>
        <v>0</v>
      </c>
      <c r="AJ43" s="44">
        <f t="shared" si="33"/>
        <v>5184.7644738317049</v>
      </c>
      <c r="AK43" s="44">
        <f>HLOOKUP(I43,GasAvoidedCostsWOCC!$A$5:$Q$50,G43+1,FALSE)*J43*L43</f>
        <v>0</v>
      </c>
      <c r="AL43" s="44">
        <f t="shared" si="34"/>
        <v>5184.7644738317049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5184.7644738317049</v>
      </c>
      <c r="AN43" s="48">
        <f t="shared" si="35"/>
        <v>5703.2409212148759</v>
      </c>
      <c r="AO43" s="47">
        <f t="shared" si="36"/>
        <v>3.9058697538456104</v>
      </c>
      <c r="AP43" s="47">
        <f t="shared" si="37"/>
        <v>1.5673689253966427</v>
      </c>
      <c r="AQ43">
        <v>2021</v>
      </c>
    </row>
    <row r="44" spans="2:43">
      <c r="B44" s="97" t="s">
        <v>33</v>
      </c>
      <c r="C44" s="98">
        <v>18230637</v>
      </c>
      <c r="D44" s="61" t="s">
        <v>82</v>
      </c>
      <c r="E44" s="38" t="s">
        <v>855</v>
      </c>
      <c r="F44" s="39" t="s">
        <v>856</v>
      </c>
      <c r="G44" s="39">
        <v>18</v>
      </c>
      <c r="H44" s="39"/>
      <c r="I44" s="40" t="s">
        <v>269</v>
      </c>
      <c r="J44" s="41">
        <v>2</v>
      </c>
      <c r="K44" s="41">
        <v>18.96</v>
      </c>
      <c r="L44" s="41"/>
      <c r="M44" s="42">
        <v>450</v>
      </c>
      <c r="N44" s="42">
        <v>549</v>
      </c>
      <c r="O44" s="43">
        <v>37.92</v>
      </c>
      <c r="P44" s="44">
        <v>560.4</v>
      </c>
      <c r="Q44" s="44">
        <v>1098</v>
      </c>
      <c r="R44" s="45">
        <v>0</v>
      </c>
      <c r="S44" s="46">
        <v>0</v>
      </c>
      <c r="T44" s="39">
        <f t="shared" si="19"/>
        <v>18</v>
      </c>
      <c r="U44" s="47">
        <f t="shared" si="20"/>
        <v>1.1784366195035899E-3</v>
      </c>
      <c r="V44" s="48">
        <f t="shared" si="21"/>
        <v>99</v>
      </c>
      <c r="W44" s="49">
        <f t="shared" si="22"/>
        <v>6.5468701083532771E-5</v>
      </c>
      <c r="X44" s="44">
        <f t="shared" si="23"/>
        <v>22.873103217639883</v>
      </c>
      <c r="Y44" s="44">
        <f t="shared" si="24"/>
        <v>537.6</v>
      </c>
      <c r="Z44" s="44">
        <f t="shared" si="25"/>
        <v>285.01233956356941</v>
      </c>
      <c r="AA44" s="50">
        <f t="shared" si="26"/>
        <v>1120.8731032176399</v>
      </c>
      <c r="AB44" s="51">
        <f t="shared" si="27"/>
        <v>266.44137567875981</v>
      </c>
      <c r="AC44" s="44">
        <f t="shared" si="28"/>
        <v>1047.8387428415815</v>
      </c>
      <c r="AD44" s="44">
        <f t="shared" si="29"/>
        <v>0</v>
      </c>
      <c r="AE44" s="44">
        <f t="shared" si="30"/>
        <v>0</v>
      </c>
      <c r="AF44" s="52">
        <f>HLOOKUP(I44,GasAvoidedCostsWOCC!$A$5:$G$50,G44+1,FALSE)</f>
        <v>12.598768311384578</v>
      </c>
      <c r="AG44" s="44">
        <f t="shared" si="31"/>
        <v>477.74529436770325</v>
      </c>
      <c r="AH44" s="52">
        <f>HLOOKUP(I44,GasAvoidedCostsWOCC!$A$5:$Q$50,T44+1,FALSE)</f>
        <v>12.598768311384578</v>
      </c>
      <c r="AI44" s="44">
        <f t="shared" si="32"/>
        <v>0</v>
      </c>
      <c r="AJ44" s="44">
        <f t="shared" si="33"/>
        <v>477.74529436770325</v>
      </c>
      <c r="AK44" s="44">
        <f>HLOOKUP(I44,GasAvoidedCostsWOCC!$A$5:$Q$50,G44+1,FALSE)*J44*L44</f>
        <v>0</v>
      </c>
      <c r="AL44" s="44">
        <f t="shared" si="34"/>
        <v>477.74529436770325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477.74529436770325</v>
      </c>
      <c r="AN44" s="48">
        <f t="shared" si="35"/>
        <v>525.51982380447362</v>
      </c>
      <c r="AO44" s="47">
        <f t="shared" si="36"/>
        <v>1.7930597045997319</v>
      </c>
      <c r="AP44" s="47">
        <f t="shared" si="37"/>
        <v>0.50152738424172283</v>
      </c>
      <c r="AQ44">
        <v>2021</v>
      </c>
    </row>
    <row r="45" spans="2:43">
      <c r="B45" s="97" t="s">
        <v>33</v>
      </c>
      <c r="C45" s="61">
        <v>18230637</v>
      </c>
      <c r="D45" s="61" t="s">
        <v>82</v>
      </c>
      <c r="E45" s="38" t="s">
        <v>2366</v>
      </c>
      <c r="F45" s="39" t="s">
        <v>2367</v>
      </c>
      <c r="G45" s="39">
        <v>10</v>
      </c>
      <c r="H45" s="39"/>
      <c r="I45" s="40" t="s">
        <v>265</v>
      </c>
      <c r="J45" s="41">
        <v>643</v>
      </c>
      <c r="K45" s="41">
        <v>0.98</v>
      </c>
      <c r="L45" s="41"/>
      <c r="M45" s="42">
        <v>0.49</v>
      </c>
      <c r="N45" s="42">
        <v>0.49</v>
      </c>
      <c r="O45" s="43">
        <v>630.14</v>
      </c>
      <c r="P45" s="44">
        <v>282.91999999999899</v>
      </c>
      <c r="Q45" s="44">
        <v>315.07</v>
      </c>
      <c r="R45" s="45">
        <v>2.74</v>
      </c>
      <c r="S45" s="46">
        <v>0</v>
      </c>
      <c r="T45" s="39">
        <f t="shared" si="19"/>
        <v>10</v>
      </c>
      <c r="U45" s="47">
        <f t="shared" si="20"/>
        <v>1.0879337368348455E-2</v>
      </c>
      <c r="V45" s="48">
        <f t="shared" si="21"/>
        <v>0</v>
      </c>
      <c r="W45" s="49">
        <f t="shared" si="22"/>
        <v>1.0879337368348454E-3</v>
      </c>
      <c r="X45" s="44">
        <f t="shared" si="23"/>
        <v>380.09644677119189</v>
      </c>
      <c r="Y45" s="44">
        <f t="shared" si="24"/>
        <v>32.150000000001</v>
      </c>
      <c r="Z45" s="44">
        <f t="shared" si="25"/>
        <v>4736.225623749674</v>
      </c>
      <c r="AA45" s="50">
        <f t="shared" si="26"/>
        <v>695.16644677119189</v>
      </c>
      <c r="AB45" s="51">
        <f t="shared" si="27"/>
        <v>4427.6204765351722</v>
      </c>
      <c r="AC45" s="44">
        <f t="shared" si="28"/>
        <v>649.87047468560513</v>
      </c>
      <c r="AD45" s="44">
        <f t="shared" si="29"/>
        <v>12391.464699866196</v>
      </c>
      <c r="AE45" s="44">
        <f t="shared" si="30"/>
        <v>0</v>
      </c>
      <c r="AF45" s="52">
        <f>HLOOKUP(I45,GasAvoidedCostsWOCC!$A$5:$G$50,G45+1,FALSE)</f>
        <v>7.1400454873872068</v>
      </c>
      <c r="AG45" s="44">
        <f t="shared" si="31"/>
        <v>4499.2282634221747</v>
      </c>
      <c r="AH45" s="52">
        <f>HLOOKUP(I45,GasAvoidedCostsWOCC!$A$5:$Q$50,T45+1,FALSE)</f>
        <v>7.1400454873872068</v>
      </c>
      <c r="AI45" s="44">
        <f t="shared" si="32"/>
        <v>0</v>
      </c>
      <c r="AJ45" s="44">
        <f t="shared" si="33"/>
        <v>4499.2282634221747</v>
      </c>
      <c r="AK45" s="44">
        <f>HLOOKUP(I45,GasAvoidedCostsWOCC!$A$5:$Q$50,G45+1,FALSE)*J45*L45</f>
        <v>0</v>
      </c>
      <c r="AL45" s="44">
        <f t="shared" si="34"/>
        <v>4499.2282634221747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4499.2282634221747</v>
      </c>
      <c r="AN45" s="48">
        <f t="shared" si="35"/>
        <v>17340.615789630589</v>
      </c>
      <c r="AO45" s="47">
        <f t="shared" si="36"/>
        <v>1.0161729731051925</v>
      </c>
      <c r="AP45" s="47">
        <f t="shared" si="37"/>
        <v>26.683187596758639</v>
      </c>
      <c r="AQ45">
        <v>2020</v>
      </c>
    </row>
    <row r="46" spans="2:43">
      <c r="B46" s="97" t="s">
        <v>33</v>
      </c>
      <c r="C46" s="61">
        <v>18230637</v>
      </c>
      <c r="D46" s="61" t="s">
        <v>82</v>
      </c>
      <c r="E46" s="38" t="s">
        <v>2368</v>
      </c>
      <c r="F46" s="39" t="s">
        <v>2367</v>
      </c>
      <c r="G46" s="39">
        <v>10</v>
      </c>
      <c r="H46" s="39"/>
      <c r="I46" s="40" t="s">
        <v>265</v>
      </c>
      <c r="J46" s="41">
        <v>412</v>
      </c>
      <c r="K46" s="41">
        <v>1.52</v>
      </c>
      <c r="L46" s="41"/>
      <c r="M46" s="42">
        <v>0.45</v>
      </c>
      <c r="N46" s="42">
        <v>0.45</v>
      </c>
      <c r="O46" s="43">
        <v>626.23999999999899</v>
      </c>
      <c r="P46" s="44">
        <v>185.4</v>
      </c>
      <c r="Q46" s="44">
        <v>185.4</v>
      </c>
      <c r="R46" s="45">
        <v>4.3099999999999996</v>
      </c>
      <c r="S46" s="46">
        <v>0</v>
      </c>
      <c r="T46" s="39">
        <f t="shared" si="19"/>
        <v>10</v>
      </c>
      <c r="U46" s="47">
        <f t="shared" si="20"/>
        <v>1.0812004052360626E-2</v>
      </c>
      <c r="V46" s="48">
        <f t="shared" si="21"/>
        <v>0</v>
      </c>
      <c r="W46" s="49">
        <f t="shared" si="22"/>
        <v>1.0812004052360626E-3</v>
      </c>
      <c r="X46" s="44">
        <f t="shared" si="23"/>
        <v>377.74399153519983</v>
      </c>
      <c r="Y46" s="44">
        <f t="shared" si="24"/>
        <v>0</v>
      </c>
      <c r="Z46" s="44">
        <f t="shared" si="25"/>
        <v>4706.912645788223</v>
      </c>
      <c r="AA46" s="50">
        <f t="shared" si="26"/>
        <v>563.1439915351998</v>
      </c>
      <c r="AB46" s="51">
        <f t="shared" si="27"/>
        <v>4400.2174869479504</v>
      </c>
      <c r="AC46" s="44">
        <f t="shared" si="28"/>
        <v>526.45039874282486</v>
      </c>
      <c r="AD46" s="44">
        <f t="shared" si="29"/>
        <v>12489.228012422605</v>
      </c>
      <c r="AE46" s="44">
        <f t="shared" si="30"/>
        <v>0</v>
      </c>
      <c r="AF46" s="52">
        <f>HLOOKUP(I46,GasAvoidedCostsWOCC!$A$5:$G$50,G46+1,FALSE)</f>
        <v>7.1400454873872068</v>
      </c>
      <c r="AG46" s="44">
        <f t="shared" si="31"/>
        <v>4471.3820860213646</v>
      </c>
      <c r="AH46" s="52">
        <f>HLOOKUP(I46,GasAvoidedCostsWOCC!$A$5:$Q$50,T46+1,FALSE)</f>
        <v>7.1400454873872068</v>
      </c>
      <c r="AI46" s="44">
        <f t="shared" si="32"/>
        <v>0</v>
      </c>
      <c r="AJ46" s="44">
        <f t="shared" si="33"/>
        <v>4471.3820860213646</v>
      </c>
      <c r="AK46" s="44">
        <f>HLOOKUP(I46,GasAvoidedCostsWOCC!$A$5:$Q$50,G46+1,FALSE)*J46*L46</f>
        <v>0</v>
      </c>
      <c r="AL46" s="44">
        <f t="shared" si="34"/>
        <v>4471.3820860213646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4471.3820860213646</v>
      </c>
      <c r="AN46" s="48">
        <f t="shared" si="35"/>
        <v>17407.748307046106</v>
      </c>
      <c r="AO46" s="47">
        <f t="shared" si="36"/>
        <v>1.0161729731051941</v>
      </c>
      <c r="AP46" s="47">
        <f t="shared" si="37"/>
        <v>33.066264834476698</v>
      </c>
      <c r="AQ46">
        <v>2020</v>
      </c>
    </row>
    <row r="47" spans="2:43">
      <c r="B47" s="97" t="s">
        <v>33</v>
      </c>
      <c r="C47" s="61">
        <v>18230637</v>
      </c>
      <c r="D47" s="61" t="s">
        <v>82</v>
      </c>
      <c r="E47" s="38" t="s">
        <v>2369</v>
      </c>
      <c r="F47" s="39" t="s">
        <v>2370</v>
      </c>
      <c r="G47" s="39">
        <v>10</v>
      </c>
      <c r="H47" s="39"/>
      <c r="I47" s="40" t="s">
        <v>265</v>
      </c>
      <c r="J47" s="41">
        <v>189</v>
      </c>
      <c r="K47" s="41">
        <v>1.64</v>
      </c>
      <c r="L47" s="41"/>
      <c r="M47" s="42">
        <v>1.26</v>
      </c>
      <c r="N47" s="42">
        <v>1.26</v>
      </c>
      <c r="O47" s="43">
        <v>309.95999999999901</v>
      </c>
      <c r="P47" s="44">
        <v>215.45999999999901</v>
      </c>
      <c r="Q47" s="44">
        <v>238.14</v>
      </c>
      <c r="R47" s="45">
        <v>3.8</v>
      </c>
      <c r="S47" s="46">
        <v>0</v>
      </c>
      <c r="T47" s="39">
        <f t="shared" si="19"/>
        <v>10</v>
      </c>
      <c r="U47" s="47">
        <f t="shared" si="20"/>
        <v>5.3514447752773609E-3</v>
      </c>
      <c r="V47" s="48">
        <f t="shared" si="21"/>
        <v>0</v>
      </c>
      <c r="W47" s="49">
        <f t="shared" si="22"/>
        <v>5.3514447752773609E-4</v>
      </c>
      <c r="X47" s="44">
        <f t="shared" si="23"/>
        <v>186.9659038327963</v>
      </c>
      <c r="Y47" s="44">
        <f t="shared" si="24"/>
        <v>22.680000000000973</v>
      </c>
      <c r="Z47" s="44">
        <f t="shared" si="25"/>
        <v>2329.7052945971441</v>
      </c>
      <c r="AA47" s="50">
        <f t="shared" si="26"/>
        <v>425.10590383279629</v>
      </c>
      <c r="AB47" s="51">
        <f t="shared" si="27"/>
        <v>2177.9052955007423</v>
      </c>
      <c r="AC47" s="44">
        <f t="shared" si="28"/>
        <v>397.406659654853</v>
      </c>
      <c r="AD47" s="44">
        <f t="shared" si="29"/>
        <v>5051.3389264759735</v>
      </c>
      <c r="AE47" s="44">
        <f t="shared" si="30"/>
        <v>0</v>
      </c>
      <c r="AF47" s="52">
        <f>HLOOKUP(I47,GasAvoidedCostsWOCC!$A$5:$G$50,G47+1,FALSE)</f>
        <v>7.1400454873872068</v>
      </c>
      <c r="AG47" s="44">
        <f t="shared" si="31"/>
        <v>2213.1284992705387</v>
      </c>
      <c r="AH47" s="52">
        <f>HLOOKUP(I47,GasAvoidedCostsWOCC!$A$5:$Q$50,T47+1,FALSE)</f>
        <v>7.1400454873872068</v>
      </c>
      <c r="AI47" s="44">
        <f t="shared" si="32"/>
        <v>0</v>
      </c>
      <c r="AJ47" s="44">
        <f t="shared" si="33"/>
        <v>2213.1284992705387</v>
      </c>
      <c r="AK47" s="44">
        <f>HLOOKUP(I47,GasAvoidedCostsWOCC!$A$5:$Q$50,G47+1,FALSE)*J47*L47</f>
        <v>0</v>
      </c>
      <c r="AL47" s="44">
        <f t="shared" si="34"/>
        <v>2213.1284992705387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2213.1284992705387</v>
      </c>
      <c r="AN47" s="48">
        <f t="shared" si="35"/>
        <v>7485.7802756735664</v>
      </c>
      <c r="AO47" s="47">
        <f t="shared" si="36"/>
        <v>1.0161729731051954</v>
      </c>
      <c r="AP47" s="47">
        <f t="shared" si="37"/>
        <v>18.836574812749625</v>
      </c>
      <c r="AQ47">
        <v>2020</v>
      </c>
    </row>
    <row r="48" spans="2:43">
      <c r="B48" s="97" t="s">
        <v>33</v>
      </c>
      <c r="C48" s="61">
        <v>18230637</v>
      </c>
      <c r="D48" s="61" t="s">
        <v>82</v>
      </c>
      <c r="E48" s="38" t="s">
        <v>2371</v>
      </c>
      <c r="F48" s="39" t="s">
        <v>2370</v>
      </c>
      <c r="G48" s="39">
        <v>10</v>
      </c>
      <c r="H48" s="39"/>
      <c r="I48" s="40" t="s">
        <v>265</v>
      </c>
      <c r="J48" s="41">
        <v>75</v>
      </c>
      <c r="K48" s="41">
        <v>2.1</v>
      </c>
      <c r="L48" s="41"/>
      <c r="M48" s="42">
        <v>1.17</v>
      </c>
      <c r="N48" s="42">
        <v>1.17</v>
      </c>
      <c r="O48" s="43">
        <v>157.5</v>
      </c>
      <c r="P48" s="44">
        <v>87.750000000000099</v>
      </c>
      <c r="Q48" s="44">
        <v>87.750000000000099</v>
      </c>
      <c r="R48" s="45">
        <v>5.98</v>
      </c>
      <c r="S48" s="46">
        <v>0</v>
      </c>
      <c r="T48" s="39">
        <f t="shared" si="19"/>
        <v>10</v>
      </c>
      <c r="U48" s="47">
        <f t="shared" si="20"/>
        <v>2.7192300687385053E-3</v>
      </c>
      <c r="V48" s="48">
        <f t="shared" si="21"/>
        <v>0</v>
      </c>
      <c r="W48" s="49">
        <f t="shared" si="22"/>
        <v>2.7192300687385053E-4</v>
      </c>
      <c r="X48" s="44">
        <f t="shared" si="23"/>
        <v>95.002999915039084</v>
      </c>
      <c r="Y48" s="44">
        <f t="shared" si="24"/>
        <v>0</v>
      </c>
      <c r="Z48" s="44">
        <f t="shared" si="25"/>
        <v>1183.793340750585</v>
      </c>
      <c r="AA48" s="50">
        <f t="shared" si="26"/>
        <v>182.7529999150392</v>
      </c>
      <c r="AB48" s="51">
        <f t="shared" si="27"/>
        <v>1106.6591948682667</v>
      </c>
      <c r="AC48" s="44">
        <f t="shared" si="28"/>
        <v>170.84509667667493</v>
      </c>
      <c r="AD48" s="44">
        <f t="shared" si="29"/>
        <v>3154.4493296080122</v>
      </c>
      <c r="AE48" s="44">
        <f t="shared" si="30"/>
        <v>0</v>
      </c>
      <c r="AF48" s="52">
        <f>HLOOKUP(I48,GasAvoidedCostsWOCC!$A$5:$G$50,G48+1,FALSE)</f>
        <v>7.1400454873872068</v>
      </c>
      <c r="AG48" s="44">
        <f t="shared" si="31"/>
        <v>1124.5571642634852</v>
      </c>
      <c r="AH48" s="52">
        <f>HLOOKUP(I48,GasAvoidedCostsWOCC!$A$5:$Q$50,T48+1,FALSE)</f>
        <v>7.1400454873872068</v>
      </c>
      <c r="AI48" s="44">
        <f t="shared" si="32"/>
        <v>0</v>
      </c>
      <c r="AJ48" s="44">
        <f t="shared" si="33"/>
        <v>1124.5571642634852</v>
      </c>
      <c r="AK48" s="44">
        <f>HLOOKUP(I48,GasAvoidedCostsWOCC!$A$5:$Q$50,G48+1,FALSE)*J48*L48</f>
        <v>0</v>
      </c>
      <c r="AL48" s="44">
        <f t="shared" si="34"/>
        <v>1124.5571642634852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1124.5571642634852</v>
      </c>
      <c r="AN48" s="48">
        <f t="shared" si="35"/>
        <v>4391.4622102978465</v>
      </c>
      <c r="AO48" s="47">
        <f t="shared" si="36"/>
        <v>1.0161729731051925</v>
      </c>
      <c r="AP48" s="47">
        <f t="shared" si="37"/>
        <v>25.704350289951297</v>
      </c>
      <c r="AQ48">
        <v>2020</v>
      </c>
    </row>
    <row r="49" spans="2:43">
      <c r="B49" s="97" t="s">
        <v>33</v>
      </c>
      <c r="C49" s="61">
        <v>18230637</v>
      </c>
      <c r="D49" s="61" t="s">
        <v>82</v>
      </c>
      <c r="E49" s="38" t="s">
        <v>2372</v>
      </c>
      <c r="F49" s="39" t="s">
        <v>2373</v>
      </c>
      <c r="G49" s="39">
        <v>3</v>
      </c>
      <c r="H49" s="39">
        <v>7</v>
      </c>
      <c r="I49" s="40" t="s">
        <v>265</v>
      </c>
      <c r="J49" s="41">
        <v>433</v>
      </c>
      <c r="K49" s="41">
        <v>7.4</v>
      </c>
      <c r="L49" s="41">
        <v>4.0999999999999996</v>
      </c>
      <c r="M49" s="42">
        <v>3.51</v>
      </c>
      <c r="N49" s="42">
        <v>3.51</v>
      </c>
      <c r="O49" s="43">
        <v>3204.2000000000198</v>
      </c>
      <c r="P49" s="44">
        <v>1381.27000000001</v>
      </c>
      <c r="Q49" s="44">
        <v>1519.83</v>
      </c>
      <c r="R49" s="45">
        <v>13.56</v>
      </c>
      <c r="S49" s="46">
        <v>0</v>
      </c>
      <c r="T49" s="39">
        <f t="shared" si="19"/>
        <v>10</v>
      </c>
      <c r="U49" s="47">
        <f t="shared" si="20"/>
        <v>5.5320361817472845E-2</v>
      </c>
      <c r="V49" s="48">
        <f t="shared" si="21"/>
        <v>0</v>
      </c>
      <c r="W49" s="49">
        <f t="shared" si="22"/>
        <v>5.5320361817472845E-3</v>
      </c>
      <c r="X49" s="44">
        <f t="shared" si="23"/>
        <v>1932.7530941445723</v>
      </c>
      <c r="Y49" s="44">
        <f t="shared" si="24"/>
        <v>138.55999999998994</v>
      </c>
      <c r="Z49" s="44">
        <f t="shared" si="25"/>
        <v>24083.242047193959</v>
      </c>
      <c r="AA49" s="50">
        <f t="shared" si="26"/>
        <v>3452.583094144572</v>
      </c>
      <c r="AB49" s="51">
        <f t="shared" si="27"/>
        <v>22514.01518855189</v>
      </c>
      <c r="AC49" s="44">
        <f t="shared" si="28"/>
        <v>3227.6181117552319</v>
      </c>
      <c r="AD49" s="44">
        <f t="shared" si="29"/>
        <v>41296.067223649618</v>
      </c>
      <c r="AE49" s="44">
        <f t="shared" si="30"/>
        <v>0</v>
      </c>
      <c r="AF49" s="52">
        <f>HLOOKUP(I49,GasAvoidedCostsWOCC!$A$5:$G$50,G49+1,FALSE)</f>
        <v>2.3114255322367177</v>
      </c>
      <c r="AG49" s="44">
        <f t="shared" si="31"/>
        <v>7406.2696903928909</v>
      </c>
      <c r="AH49" s="52">
        <f>HLOOKUP(I49,GasAvoidedCostsWOCC!$A$5:$Q$50,T49+1,FALSE)</f>
        <v>7.1400454873872068</v>
      </c>
      <c r="AI49" s="44">
        <f t="shared" si="32"/>
        <v>12675.722753758508</v>
      </c>
      <c r="AJ49" s="44">
        <f t="shared" si="33"/>
        <v>20081.992444151398</v>
      </c>
      <c r="AK49" s="44">
        <f>HLOOKUP(I49,GasAvoidedCostsWOCC!$A$5:$Q$50,G49+1,FALSE)*J49*L49</f>
        <v>4103.4737473798441</v>
      </c>
      <c r="AL49" s="44">
        <f t="shared" si="34"/>
        <v>15978.518696771553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15978.518696771556</v>
      </c>
      <c r="AN49" s="48">
        <f t="shared" si="35"/>
        <v>58872.437790098331</v>
      </c>
      <c r="AO49" s="47">
        <f t="shared" si="36"/>
        <v>0.70971430741933783</v>
      </c>
      <c r="AP49" s="47">
        <f t="shared" si="37"/>
        <v>18.240211744902663</v>
      </c>
      <c r="AQ49">
        <v>2020</v>
      </c>
    </row>
    <row r="50" spans="2:43">
      <c r="B50" s="97" t="s">
        <v>33</v>
      </c>
      <c r="C50" s="61">
        <v>18230637</v>
      </c>
      <c r="D50" s="61" t="s">
        <v>82</v>
      </c>
      <c r="E50" s="38" t="s">
        <v>2374</v>
      </c>
      <c r="F50" s="39" t="s">
        <v>2375</v>
      </c>
      <c r="G50" s="39">
        <v>3</v>
      </c>
      <c r="H50" s="39">
        <v>7</v>
      </c>
      <c r="I50" s="40" t="s">
        <v>265</v>
      </c>
      <c r="J50" s="41">
        <v>532</v>
      </c>
      <c r="K50" s="41">
        <v>7.4</v>
      </c>
      <c r="L50" s="41">
        <v>4.0999999999999996</v>
      </c>
      <c r="M50" s="42">
        <v>8</v>
      </c>
      <c r="N50" s="42">
        <v>8</v>
      </c>
      <c r="O50" s="43">
        <v>3936.8000000000302</v>
      </c>
      <c r="P50" s="44">
        <v>3867.6399999999899</v>
      </c>
      <c r="Q50" s="44">
        <v>4256</v>
      </c>
      <c r="R50" s="45">
        <v>13.56</v>
      </c>
      <c r="S50" s="46">
        <v>0</v>
      </c>
      <c r="T50" s="39">
        <f t="shared" si="19"/>
        <v>10</v>
      </c>
      <c r="U50" s="47">
        <f t="shared" si="20"/>
        <v>6.7968666251490978E-2</v>
      </c>
      <c r="V50" s="48">
        <f t="shared" si="21"/>
        <v>0</v>
      </c>
      <c r="W50" s="49">
        <f t="shared" si="22"/>
        <v>6.7968666251490978E-3</v>
      </c>
      <c r="X50" s="44">
        <f t="shared" si="23"/>
        <v>2374.6527623208171</v>
      </c>
      <c r="Y50" s="44">
        <f t="shared" si="24"/>
        <v>388.36000000001013</v>
      </c>
      <c r="Z50" s="44">
        <f t="shared" si="25"/>
        <v>29589.572215028184</v>
      </c>
      <c r="AA50" s="50">
        <f t="shared" si="26"/>
        <v>6630.6527623208167</v>
      </c>
      <c r="AB50" s="51">
        <f t="shared" si="27"/>
        <v>27661.561386396355</v>
      </c>
      <c r="AC50" s="44">
        <f t="shared" si="28"/>
        <v>6198.6096684311642</v>
      </c>
      <c r="AD50" s="44">
        <f t="shared" si="29"/>
        <v>50737.89321704756</v>
      </c>
      <c r="AE50" s="44">
        <f t="shared" si="30"/>
        <v>0</v>
      </c>
      <c r="AF50" s="52">
        <f>HLOOKUP(I50,GasAvoidedCostsWOCC!$A$5:$G$50,G50+1,FALSE)</f>
        <v>2.3114255322367177</v>
      </c>
      <c r="AG50" s="44">
        <f t="shared" si="31"/>
        <v>9099.6200353095101</v>
      </c>
      <c r="AH50" s="52">
        <f>HLOOKUP(I50,GasAvoidedCostsWOCC!$A$5:$Q$50,T50+1,FALSE)</f>
        <v>7.1400454873872068</v>
      </c>
      <c r="AI50" s="44">
        <f t="shared" si="32"/>
        <v>15573.867217088975</v>
      </c>
      <c r="AJ50" s="44">
        <f t="shared" si="33"/>
        <v>24673.487252398485</v>
      </c>
      <c r="AK50" s="44">
        <f>HLOOKUP(I50,GasAvoidedCostsWOCC!$A$5:$Q$50,G50+1,FALSE)*J50*L50</f>
        <v>5041.6813709147282</v>
      </c>
      <c r="AL50" s="44">
        <f t="shared" si="34"/>
        <v>19631.805881483757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19631.805881483753</v>
      </c>
      <c r="AN50" s="48">
        <f t="shared" si="35"/>
        <v>72332.879686679691</v>
      </c>
      <c r="AO50" s="47">
        <f t="shared" si="36"/>
        <v>0.70971430741933661</v>
      </c>
      <c r="AP50" s="47">
        <f t="shared" si="37"/>
        <v>11.669210283567793</v>
      </c>
      <c r="AQ50">
        <v>2020</v>
      </c>
    </row>
    <row r="51" spans="2:43">
      <c r="B51" s="97" t="s">
        <v>33</v>
      </c>
      <c r="C51" s="61">
        <v>18230637</v>
      </c>
      <c r="D51" s="61" t="s">
        <v>82</v>
      </c>
      <c r="E51" s="38" t="s">
        <v>2376</v>
      </c>
      <c r="F51" s="39" t="s">
        <v>2377</v>
      </c>
      <c r="G51" s="39">
        <v>1</v>
      </c>
      <c r="H51" s="39"/>
      <c r="I51" s="40" t="s">
        <v>269</v>
      </c>
      <c r="J51" s="41">
        <v>168</v>
      </c>
      <c r="K51" s="41">
        <v>0</v>
      </c>
      <c r="L51" s="41"/>
      <c r="M51" s="42">
        <v>139</v>
      </c>
      <c r="N51" s="42">
        <v>139</v>
      </c>
      <c r="O51" s="43">
        <v>0</v>
      </c>
      <c r="P51" s="44">
        <v>23352</v>
      </c>
      <c r="Q51" s="44">
        <v>23352</v>
      </c>
      <c r="R51" s="45">
        <v>0</v>
      </c>
      <c r="S51" s="46">
        <v>0</v>
      </c>
      <c r="T51" s="39">
        <f t="shared" si="19"/>
        <v>1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23352</v>
      </c>
      <c r="AB51" s="51">
        <f t="shared" si="27"/>
        <v>0</v>
      </c>
      <c r="AC51" s="44">
        <f t="shared" si="28"/>
        <v>21830.419743853414</v>
      </c>
      <c r="AD51" s="44">
        <f t="shared" si="29"/>
        <v>0</v>
      </c>
      <c r="AE51" s="44">
        <f t="shared" si="30"/>
        <v>0</v>
      </c>
      <c r="AF51" s="52">
        <f>HLOOKUP(I51,GasAvoidedCostsWOCC!$A$5:$G$50,G51+1,FALSE)</f>
        <v>0.87909634590853636</v>
      </c>
      <c r="AG51" s="44">
        <f t="shared" si="31"/>
        <v>0</v>
      </c>
      <c r="AH51" s="52">
        <f>HLOOKUP(I51,GasAvoidedCostsWOCC!$A$5:$Q$50,T51+1,FALSE)</f>
        <v>0.87909634590853636</v>
      </c>
      <c r="AI51" s="44">
        <f t="shared" si="32"/>
        <v>0</v>
      </c>
      <c r="AJ51" s="44">
        <f t="shared" si="33"/>
        <v>0</v>
      </c>
      <c r="AK51" s="44">
        <f>HLOOKUP(I51,GasAvoidedCostsWOCC!$A$5:$Q$50,G51+1,FALSE)*J51*L51</f>
        <v>0</v>
      </c>
      <c r="AL51" s="44">
        <f t="shared" si="34"/>
        <v>0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>
        <f t="shared" si="37"/>
        <v>0</v>
      </c>
      <c r="AQ51">
        <v>2020</v>
      </c>
    </row>
    <row r="52" spans="2:43">
      <c r="B52" s="97" t="s">
        <v>33</v>
      </c>
      <c r="C52" s="61">
        <v>18230637</v>
      </c>
      <c r="D52" s="61" t="s">
        <v>82</v>
      </c>
      <c r="E52" s="38" t="s">
        <v>2378</v>
      </c>
      <c r="F52" s="39" t="s">
        <v>2377</v>
      </c>
      <c r="G52" s="39">
        <v>1</v>
      </c>
      <c r="H52" s="39"/>
      <c r="I52" s="40" t="s">
        <v>269</v>
      </c>
      <c r="J52" s="41">
        <v>322</v>
      </c>
      <c r="K52" s="41">
        <v>0</v>
      </c>
      <c r="L52" s="41"/>
      <c r="M52" s="42">
        <v>120</v>
      </c>
      <c r="N52" s="42">
        <v>120</v>
      </c>
      <c r="O52" s="43">
        <v>0</v>
      </c>
      <c r="P52" s="44">
        <v>19320</v>
      </c>
      <c r="Q52" s="44">
        <v>38640</v>
      </c>
      <c r="R52" s="45">
        <v>0</v>
      </c>
      <c r="S52" s="46">
        <v>0</v>
      </c>
      <c r="T52" s="39">
        <f t="shared" si="19"/>
        <v>1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19320</v>
      </c>
      <c r="Z52" s="44">
        <f t="shared" si="25"/>
        <v>0</v>
      </c>
      <c r="AA52" s="50">
        <f t="shared" si="26"/>
        <v>38640</v>
      </c>
      <c r="AB52" s="51">
        <f t="shared" si="27"/>
        <v>0</v>
      </c>
      <c r="AC52" s="44">
        <f t="shared" si="28"/>
        <v>36122.277274002052</v>
      </c>
      <c r="AD52" s="44">
        <f t="shared" si="29"/>
        <v>0</v>
      </c>
      <c r="AE52" s="44">
        <f t="shared" si="30"/>
        <v>0</v>
      </c>
      <c r="AF52" s="52">
        <f>HLOOKUP(I52,GasAvoidedCostsWOCC!$A$5:$G$50,G52+1,FALSE)</f>
        <v>0.87909634590853636</v>
      </c>
      <c r="AG52" s="44">
        <f t="shared" si="31"/>
        <v>0</v>
      </c>
      <c r="AH52" s="52">
        <f>HLOOKUP(I52,GasAvoidedCostsWOCC!$A$5:$Q$50,T52+1,FALSE)</f>
        <v>0.87909634590853636</v>
      </c>
      <c r="AI52" s="44">
        <f t="shared" si="32"/>
        <v>0</v>
      </c>
      <c r="AJ52" s="44">
        <f t="shared" si="33"/>
        <v>0</v>
      </c>
      <c r="AK52" s="44">
        <f>HLOOKUP(I52,GasAvoidedCostsWOCC!$A$5:$Q$50,G52+1,FALSE)*J52*L52</f>
        <v>0</v>
      </c>
      <c r="AL52" s="44">
        <f t="shared" si="34"/>
        <v>0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>
        <f t="shared" si="37"/>
        <v>0</v>
      </c>
      <c r="AQ52">
        <v>2020</v>
      </c>
    </row>
    <row r="53" spans="2:43">
      <c r="B53" s="97" t="s">
        <v>33</v>
      </c>
      <c r="C53" s="61">
        <v>18230637</v>
      </c>
      <c r="D53" s="61" t="s">
        <v>82</v>
      </c>
      <c r="E53" s="38" t="s">
        <v>2379</v>
      </c>
      <c r="F53" s="39" t="s">
        <v>2380</v>
      </c>
      <c r="G53" s="39">
        <v>1</v>
      </c>
      <c r="H53" s="39"/>
      <c r="I53" s="40" t="s">
        <v>269</v>
      </c>
      <c r="J53" s="41">
        <v>202</v>
      </c>
      <c r="K53" s="41">
        <v>0</v>
      </c>
      <c r="L53" s="41"/>
      <c r="M53" s="42">
        <v>139</v>
      </c>
      <c r="N53" s="42">
        <v>139</v>
      </c>
      <c r="O53" s="43">
        <v>0</v>
      </c>
      <c r="P53" s="44">
        <v>28078</v>
      </c>
      <c r="Q53" s="44">
        <v>28078</v>
      </c>
      <c r="R53" s="45">
        <v>0</v>
      </c>
      <c r="S53" s="46">
        <v>0</v>
      </c>
      <c r="T53" s="39">
        <f t="shared" si="19"/>
        <v>1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28078</v>
      </c>
      <c r="AB53" s="51">
        <f t="shared" si="27"/>
        <v>0</v>
      </c>
      <c r="AC53" s="44">
        <f t="shared" si="28"/>
        <v>26248.480882490414</v>
      </c>
      <c r="AD53" s="44">
        <f t="shared" si="29"/>
        <v>0</v>
      </c>
      <c r="AE53" s="44">
        <f t="shared" si="30"/>
        <v>0</v>
      </c>
      <c r="AF53" s="52">
        <f>HLOOKUP(I53,GasAvoidedCostsWOCC!$A$5:$G$50,G53+1,FALSE)</f>
        <v>0.87909634590853636</v>
      </c>
      <c r="AG53" s="44">
        <f t="shared" si="31"/>
        <v>0</v>
      </c>
      <c r="AH53" s="52">
        <f>HLOOKUP(I53,GasAvoidedCostsWOCC!$A$5:$Q$50,T53+1,FALSE)</f>
        <v>0.87909634590853636</v>
      </c>
      <c r="AI53" s="44">
        <f t="shared" si="32"/>
        <v>0</v>
      </c>
      <c r="AJ53" s="44">
        <f t="shared" si="33"/>
        <v>0</v>
      </c>
      <c r="AK53" s="44">
        <f>HLOOKUP(I53,GasAvoidedCostsWOCC!$A$5:$Q$50,G53+1,FALSE)*J53*L53</f>
        <v>0</v>
      </c>
      <c r="AL53" s="44">
        <f t="shared" si="34"/>
        <v>0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>
        <f t="shared" si="37"/>
        <v>0</v>
      </c>
      <c r="AQ53">
        <v>2020</v>
      </c>
    </row>
    <row r="54" spans="2:43">
      <c r="B54" s="97" t="s">
        <v>33</v>
      </c>
      <c r="C54" s="61">
        <v>18230637</v>
      </c>
      <c r="D54" s="61" t="s">
        <v>82</v>
      </c>
      <c r="E54" s="38" t="s">
        <v>2381</v>
      </c>
      <c r="F54" s="39" t="s">
        <v>2382</v>
      </c>
      <c r="G54" s="39">
        <v>1</v>
      </c>
      <c r="H54" s="39"/>
      <c r="I54" s="40" t="s">
        <v>269</v>
      </c>
      <c r="J54" s="41">
        <v>1</v>
      </c>
      <c r="K54" s="41">
        <v>0</v>
      </c>
      <c r="L54" s="41"/>
      <c r="M54" s="42">
        <v>120</v>
      </c>
      <c r="N54" s="42">
        <v>120</v>
      </c>
      <c r="O54" s="43">
        <v>0</v>
      </c>
      <c r="P54" s="44">
        <v>60</v>
      </c>
      <c r="Q54" s="44">
        <v>120</v>
      </c>
      <c r="R54" s="45">
        <v>0</v>
      </c>
      <c r="S54" s="46">
        <v>0</v>
      </c>
      <c r="T54" s="39">
        <f t="shared" si="19"/>
        <v>1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60</v>
      </c>
      <c r="Z54" s="44">
        <f t="shared" si="25"/>
        <v>0</v>
      </c>
      <c r="AA54" s="50">
        <f t="shared" si="26"/>
        <v>120</v>
      </c>
      <c r="AB54" s="51">
        <f t="shared" si="27"/>
        <v>0</v>
      </c>
      <c r="AC54" s="44">
        <f t="shared" si="28"/>
        <v>112.18098532298774</v>
      </c>
      <c r="AD54" s="44">
        <f t="shared" si="29"/>
        <v>0</v>
      </c>
      <c r="AE54" s="44">
        <f t="shared" si="30"/>
        <v>0</v>
      </c>
      <c r="AF54" s="52">
        <f>HLOOKUP(I54,GasAvoidedCostsWOCC!$A$5:$G$50,G54+1,FALSE)</f>
        <v>0.87909634590853636</v>
      </c>
      <c r="AG54" s="44">
        <f t="shared" si="31"/>
        <v>0</v>
      </c>
      <c r="AH54" s="52">
        <f>HLOOKUP(I54,GasAvoidedCostsWOCC!$A$5:$Q$50,T54+1,FALSE)</f>
        <v>0.87909634590853636</v>
      </c>
      <c r="AI54" s="44">
        <f t="shared" si="32"/>
        <v>0</v>
      </c>
      <c r="AJ54" s="44">
        <f t="shared" si="33"/>
        <v>0</v>
      </c>
      <c r="AK54" s="44">
        <f>HLOOKUP(I54,GasAvoidedCostsWOCC!$A$5:$Q$50,G54+1,FALSE)*J54*L54</f>
        <v>0</v>
      </c>
      <c r="AL54" s="44">
        <f t="shared" si="34"/>
        <v>0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>
        <f t="shared" si="37"/>
        <v>0</v>
      </c>
      <c r="AQ54">
        <v>2020</v>
      </c>
    </row>
    <row r="55" spans="2:43">
      <c r="B55" s="97" t="s">
        <v>33</v>
      </c>
      <c r="C55" s="61">
        <v>18230637</v>
      </c>
      <c r="D55" s="61" t="s">
        <v>82</v>
      </c>
      <c r="E55" s="38" t="s">
        <v>2393</v>
      </c>
      <c r="F55" s="39" t="s">
        <v>2394</v>
      </c>
      <c r="G55" s="39">
        <v>3</v>
      </c>
      <c r="H55" s="39">
        <v>7</v>
      </c>
      <c r="I55" s="40" t="s">
        <v>265</v>
      </c>
      <c r="J55" s="41">
        <v>3</v>
      </c>
      <c r="K55" s="41">
        <v>8.34</v>
      </c>
      <c r="L55" s="41">
        <v>4.0599999999999996</v>
      </c>
      <c r="M55" s="42"/>
      <c r="N55" s="42"/>
      <c r="O55" s="43">
        <v>25.02</v>
      </c>
      <c r="P55" s="44">
        <v>9.57</v>
      </c>
      <c r="Q55" s="44">
        <v>0</v>
      </c>
      <c r="R55" s="45">
        <v>14.53</v>
      </c>
      <c r="S55" s="46">
        <v>0</v>
      </c>
      <c r="T55" s="39">
        <f t="shared" si="19"/>
        <v>10</v>
      </c>
      <c r="U55" s="47">
        <f t="shared" si="20"/>
        <v>4.3196911949103109E-4</v>
      </c>
      <c r="V55" s="48">
        <f t="shared" si="21"/>
        <v>0</v>
      </c>
      <c r="W55" s="49">
        <f t="shared" si="22"/>
        <v>4.3196911949103111E-5</v>
      </c>
      <c r="X55" s="44">
        <f t="shared" si="23"/>
        <v>15.091905129360493</v>
      </c>
      <c r="Y55" s="44">
        <f t="shared" si="24"/>
        <v>-9.57</v>
      </c>
      <c r="Z55" s="44">
        <f t="shared" si="25"/>
        <v>188.0540278449501</v>
      </c>
      <c r="AA55" s="50">
        <f t="shared" si="26"/>
        <v>15.091905129360493</v>
      </c>
      <c r="AB55" s="51">
        <f t="shared" si="27"/>
        <v>175.80071781335897</v>
      </c>
      <c r="AC55" s="44">
        <f t="shared" si="28"/>
        <v>14.108539898439274</v>
      </c>
      <c r="AD55" s="44">
        <f t="shared" si="29"/>
        <v>306.58293484417669</v>
      </c>
      <c r="AE55" s="44">
        <f t="shared" si="30"/>
        <v>0</v>
      </c>
      <c r="AF55" s="52">
        <f>HLOOKUP(I55,GasAvoidedCostsWOCC!$A$5:$G$50,G55+1,FALSE)</f>
        <v>2.3114255322367177</v>
      </c>
      <c r="AG55" s="44">
        <f t="shared" si="31"/>
        <v>57.831866816562673</v>
      </c>
      <c r="AH55" s="52">
        <f>HLOOKUP(I55,GasAvoidedCostsWOCC!$A$5:$Q$50,T55+1,FALSE)</f>
        <v>7.1400454873872068</v>
      </c>
      <c r="AI55" s="44">
        <f t="shared" si="32"/>
        <v>86.965754036376183</v>
      </c>
      <c r="AJ55" s="44">
        <f t="shared" si="33"/>
        <v>144.79762085293885</v>
      </c>
      <c r="AK55" s="44">
        <f>HLOOKUP(I55,GasAvoidedCostsWOCC!$A$5:$Q$50,G55+1,FALSE)*J55*L55</f>
        <v>28.153162982643217</v>
      </c>
      <c r="AL55" s="44">
        <f t="shared" si="34"/>
        <v>116.64445787029564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116.64445787029564</v>
      </c>
      <c r="AN55" s="48">
        <f t="shared" si="35"/>
        <v>434.89183850150187</v>
      </c>
      <c r="AO55" s="47">
        <f t="shared" si="36"/>
        <v>0.66350387712371395</v>
      </c>
      <c r="AP55" s="47">
        <f t="shared" si="37"/>
        <v>30.824723297526404</v>
      </c>
      <c r="AQ55">
        <v>2020</v>
      </c>
    </row>
    <row r="56" spans="2:43">
      <c r="B56" s="97" t="s">
        <v>33</v>
      </c>
      <c r="C56" s="61">
        <v>18230637</v>
      </c>
      <c r="D56" s="61" t="s">
        <v>82</v>
      </c>
      <c r="E56" s="38" t="s">
        <v>2395</v>
      </c>
      <c r="F56" s="39" t="s">
        <v>2396</v>
      </c>
      <c r="G56" s="39">
        <v>3</v>
      </c>
      <c r="H56" s="39">
        <v>7</v>
      </c>
      <c r="I56" s="40" t="s">
        <v>265</v>
      </c>
      <c r="J56" s="41">
        <v>2</v>
      </c>
      <c r="K56" s="41">
        <v>8.34</v>
      </c>
      <c r="L56" s="41">
        <v>4.0599999999999996</v>
      </c>
      <c r="M56" s="42"/>
      <c r="N56" s="42"/>
      <c r="O56" s="43">
        <v>16.68</v>
      </c>
      <c r="P56" s="44">
        <v>14.54</v>
      </c>
      <c r="Q56" s="44">
        <v>0</v>
      </c>
      <c r="R56" s="45">
        <v>14.53</v>
      </c>
      <c r="S56" s="46">
        <v>0</v>
      </c>
      <c r="T56" s="39">
        <f t="shared" si="19"/>
        <v>10</v>
      </c>
      <c r="U56" s="47">
        <f t="shared" si="20"/>
        <v>2.8797941299402077E-4</v>
      </c>
      <c r="V56" s="48">
        <f t="shared" si="21"/>
        <v>0</v>
      </c>
      <c r="W56" s="49">
        <f t="shared" si="22"/>
        <v>2.8797941299402074E-5</v>
      </c>
      <c r="X56" s="44">
        <f t="shared" si="23"/>
        <v>10.061270086240329</v>
      </c>
      <c r="Y56" s="44">
        <f t="shared" si="24"/>
        <v>-14.54</v>
      </c>
      <c r="Z56" s="44">
        <f t="shared" si="25"/>
        <v>125.36935189663339</v>
      </c>
      <c r="AA56" s="50">
        <f t="shared" si="26"/>
        <v>10.061270086240329</v>
      </c>
      <c r="AB56" s="51">
        <f t="shared" si="27"/>
        <v>117.2004785422393</v>
      </c>
      <c r="AC56" s="44">
        <f t="shared" si="28"/>
        <v>9.4056932656261836</v>
      </c>
      <c r="AD56" s="44">
        <f t="shared" si="29"/>
        <v>204.38862322945113</v>
      </c>
      <c r="AE56" s="44">
        <f t="shared" si="30"/>
        <v>0</v>
      </c>
      <c r="AF56" s="52">
        <f>HLOOKUP(I56,GasAvoidedCostsWOCC!$A$5:$G$50,G56+1,FALSE)</f>
        <v>2.3114255322367177</v>
      </c>
      <c r="AG56" s="44">
        <f t="shared" si="31"/>
        <v>38.554577877708446</v>
      </c>
      <c r="AH56" s="52">
        <f>HLOOKUP(I56,GasAvoidedCostsWOCC!$A$5:$Q$50,T56+1,FALSE)</f>
        <v>7.1400454873872068</v>
      </c>
      <c r="AI56" s="44">
        <f t="shared" si="32"/>
        <v>57.977169357584117</v>
      </c>
      <c r="AJ56" s="44">
        <f t="shared" si="33"/>
        <v>96.531747235292556</v>
      </c>
      <c r="AK56" s="44">
        <f>HLOOKUP(I56,GasAvoidedCostsWOCC!$A$5:$Q$50,G56+1,FALSE)*J56*L56</f>
        <v>18.768775321762146</v>
      </c>
      <c r="AL56" s="44">
        <f t="shared" si="34"/>
        <v>77.762971913530407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77.762971913530407</v>
      </c>
      <c r="AN56" s="48">
        <f t="shared" si="35"/>
        <v>289.92789233433462</v>
      </c>
      <c r="AO56" s="47">
        <f t="shared" si="36"/>
        <v>0.66350387712371384</v>
      </c>
      <c r="AP56" s="47">
        <f t="shared" si="37"/>
        <v>30.824723297526404</v>
      </c>
      <c r="AQ56">
        <v>2020</v>
      </c>
    </row>
    <row r="57" spans="2:43">
      <c r="B57" s="97" t="s">
        <v>33</v>
      </c>
      <c r="C57" s="61">
        <v>18230637</v>
      </c>
      <c r="D57" s="61" t="s">
        <v>82</v>
      </c>
      <c r="E57" s="38" t="s">
        <v>2401</v>
      </c>
      <c r="F57" s="39" t="s">
        <v>2402</v>
      </c>
      <c r="G57" s="39">
        <v>10</v>
      </c>
      <c r="H57" s="39"/>
      <c r="I57" s="40" t="s">
        <v>265</v>
      </c>
      <c r="J57" s="41">
        <v>5</v>
      </c>
      <c r="K57" s="41">
        <v>1.74</v>
      </c>
      <c r="L57" s="41"/>
      <c r="M57" s="42">
        <v>0.45</v>
      </c>
      <c r="N57" s="42">
        <v>0.45</v>
      </c>
      <c r="O57" s="43">
        <v>8.6999999999999993</v>
      </c>
      <c r="P57" s="44">
        <v>2.25</v>
      </c>
      <c r="Q57" s="44">
        <v>2.25</v>
      </c>
      <c r="R57" s="45">
        <v>4.95</v>
      </c>
      <c r="S57" s="46">
        <v>0</v>
      </c>
      <c r="T57" s="39">
        <f t="shared" si="19"/>
        <v>10</v>
      </c>
      <c r="U57" s="47">
        <f t="shared" si="20"/>
        <v>1.502050895112698E-4</v>
      </c>
      <c r="V57" s="48">
        <f t="shared" si="21"/>
        <v>0</v>
      </c>
      <c r="W57" s="49">
        <f t="shared" si="22"/>
        <v>1.5020508951126981E-5</v>
      </c>
      <c r="X57" s="44">
        <f t="shared" si="23"/>
        <v>5.247784757211682</v>
      </c>
      <c r="Y57" s="44">
        <f t="shared" si="24"/>
        <v>0</v>
      </c>
      <c r="Z57" s="44">
        <f t="shared" si="25"/>
        <v>65.39048929860374</v>
      </c>
      <c r="AA57" s="50">
        <f t="shared" si="26"/>
        <v>7.497784757211682</v>
      </c>
      <c r="AB57" s="51">
        <f t="shared" si="27"/>
        <v>61.12974600224711</v>
      </c>
      <c r="AC57" s="44">
        <f t="shared" si="28"/>
        <v>7.0092406816973742</v>
      </c>
      <c r="AD57" s="44">
        <f t="shared" si="29"/>
        <v>174.0749630051244</v>
      </c>
      <c r="AE57" s="44">
        <f t="shared" si="30"/>
        <v>0</v>
      </c>
      <c r="AF57" s="52">
        <f>HLOOKUP(I57,GasAvoidedCostsWOCC!$A$5:$G$50,G57+1,FALSE)</f>
        <v>7.1400454873872068</v>
      </c>
      <c r="AG57" s="44">
        <f t="shared" si="31"/>
        <v>62.118395740268696</v>
      </c>
      <c r="AH57" s="52">
        <f>HLOOKUP(I57,GasAvoidedCostsWOCC!$A$5:$Q$50,T57+1,FALSE)</f>
        <v>7.1400454873872068</v>
      </c>
      <c r="AI57" s="44">
        <f t="shared" si="32"/>
        <v>0</v>
      </c>
      <c r="AJ57" s="44">
        <f t="shared" si="33"/>
        <v>62.118395740268696</v>
      </c>
      <c r="AK57" s="44">
        <f>HLOOKUP(I57,GasAvoidedCostsWOCC!$A$5:$Q$50,G57+1,FALSE)*J57*L57</f>
        <v>0</v>
      </c>
      <c r="AL57" s="44">
        <f t="shared" si="34"/>
        <v>62.118395740268696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62.118395740268696</v>
      </c>
      <c r="AN57" s="48">
        <f t="shared" si="35"/>
        <v>242.40519831941998</v>
      </c>
      <c r="AO57" s="47">
        <f t="shared" si="36"/>
        <v>1.0161729731051925</v>
      </c>
      <c r="AP57" s="47">
        <f t="shared" si="37"/>
        <v>34.583660246165003</v>
      </c>
      <c r="AQ57">
        <v>2020</v>
      </c>
    </row>
    <row r="58" spans="2:43">
      <c r="B58" s="97" t="s">
        <v>33</v>
      </c>
      <c r="C58" s="61">
        <v>18230637</v>
      </c>
      <c r="D58" s="61" t="s">
        <v>82</v>
      </c>
      <c r="E58" s="38" t="s">
        <v>2405</v>
      </c>
      <c r="F58" s="39" t="s">
        <v>2406</v>
      </c>
      <c r="G58" s="39">
        <v>10</v>
      </c>
      <c r="H58" s="39"/>
      <c r="I58" s="40" t="s">
        <v>265</v>
      </c>
      <c r="J58" s="41">
        <v>2</v>
      </c>
      <c r="K58" s="41">
        <v>2.15</v>
      </c>
      <c r="L58" s="41"/>
      <c r="M58" s="42">
        <v>1.17</v>
      </c>
      <c r="N58" s="42">
        <v>1.17</v>
      </c>
      <c r="O58" s="43">
        <v>4.3</v>
      </c>
      <c r="P58" s="44">
        <v>2.34</v>
      </c>
      <c r="Q58" s="44">
        <v>2.34</v>
      </c>
      <c r="R58" s="45">
        <v>6.12</v>
      </c>
      <c r="S58" s="46">
        <v>0</v>
      </c>
      <c r="T58" s="39">
        <f t="shared" si="19"/>
        <v>10</v>
      </c>
      <c r="U58" s="47">
        <f t="shared" si="20"/>
        <v>7.4239297114765535E-5</v>
      </c>
      <c r="V58" s="48">
        <f t="shared" si="21"/>
        <v>0</v>
      </c>
      <c r="W58" s="49">
        <f t="shared" si="22"/>
        <v>7.4239297114765535E-6</v>
      </c>
      <c r="X58" s="44">
        <f t="shared" si="23"/>
        <v>2.5937326960931304</v>
      </c>
      <c r="Y58" s="44">
        <f t="shared" si="24"/>
        <v>0</v>
      </c>
      <c r="Z58" s="44">
        <f t="shared" si="25"/>
        <v>32.319437239539781</v>
      </c>
      <c r="AA58" s="50">
        <f t="shared" si="26"/>
        <v>4.9337326960931307</v>
      </c>
      <c r="AB58" s="51">
        <f t="shared" si="27"/>
        <v>30.213552621800297</v>
      </c>
      <c r="AC58" s="44">
        <f t="shared" si="28"/>
        <v>4.612258293066402</v>
      </c>
      <c r="AD58" s="44">
        <f t="shared" si="29"/>
        <v>86.087981704352444</v>
      </c>
      <c r="AE58" s="44">
        <f t="shared" si="30"/>
        <v>0</v>
      </c>
      <c r="AF58" s="52">
        <f>HLOOKUP(I58,GasAvoidedCostsWOCC!$A$5:$G$50,G58+1,FALSE)</f>
        <v>7.1400454873872068</v>
      </c>
      <c r="AG58" s="44">
        <f t="shared" si="31"/>
        <v>30.702195595764987</v>
      </c>
      <c r="AH58" s="52">
        <f>HLOOKUP(I58,GasAvoidedCostsWOCC!$A$5:$Q$50,T58+1,FALSE)</f>
        <v>7.1400454873872068</v>
      </c>
      <c r="AI58" s="44">
        <f t="shared" si="32"/>
        <v>0</v>
      </c>
      <c r="AJ58" s="44">
        <f t="shared" si="33"/>
        <v>30.702195595764987</v>
      </c>
      <c r="AK58" s="44">
        <f>HLOOKUP(I58,GasAvoidedCostsWOCC!$A$5:$Q$50,G58+1,FALSE)*J58*L58</f>
        <v>0</v>
      </c>
      <c r="AL58" s="44">
        <f t="shared" si="34"/>
        <v>30.702195595764987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30.702195595764987</v>
      </c>
      <c r="AN58" s="48">
        <f t="shared" si="35"/>
        <v>119.86039685969394</v>
      </c>
      <c r="AO58" s="47">
        <f t="shared" si="36"/>
        <v>1.0161729731051923</v>
      </c>
      <c r="AP58" s="47">
        <f t="shared" si="37"/>
        <v>25.98735570379478</v>
      </c>
      <c r="AQ58">
        <v>2020</v>
      </c>
    </row>
    <row r="59" spans="2:43">
      <c r="B59" s="97" t="s">
        <v>33</v>
      </c>
      <c r="C59" s="61">
        <v>18230637</v>
      </c>
      <c r="D59" s="61" t="s">
        <v>82</v>
      </c>
      <c r="E59" s="38" t="s">
        <v>2413</v>
      </c>
      <c r="F59" s="39" t="s">
        <v>2414</v>
      </c>
      <c r="G59" s="39">
        <v>3</v>
      </c>
      <c r="H59" s="39">
        <v>7</v>
      </c>
      <c r="I59" s="40" t="s">
        <v>265</v>
      </c>
      <c r="J59" s="41">
        <v>4</v>
      </c>
      <c r="K59" s="41">
        <v>11.15</v>
      </c>
      <c r="L59" s="41">
        <v>6.69</v>
      </c>
      <c r="M59" s="42">
        <v>3.9</v>
      </c>
      <c r="N59" s="42">
        <v>3.9</v>
      </c>
      <c r="O59" s="43">
        <v>44.6</v>
      </c>
      <c r="P59" s="44">
        <v>15.6</v>
      </c>
      <c r="Q59" s="44">
        <v>15.6</v>
      </c>
      <c r="R59" s="45">
        <v>14.91</v>
      </c>
      <c r="S59" s="46">
        <v>0</v>
      </c>
      <c r="T59" s="39">
        <f t="shared" si="19"/>
        <v>10</v>
      </c>
      <c r="U59" s="47">
        <f t="shared" si="20"/>
        <v>7.7001689565547513E-4</v>
      </c>
      <c r="V59" s="48">
        <f t="shared" si="21"/>
        <v>0</v>
      </c>
      <c r="W59" s="49">
        <f t="shared" si="22"/>
        <v>7.7001689565547516E-5</v>
      </c>
      <c r="X59" s="44">
        <f t="shared" si="23"/>
        <v>26.902436801338052</v>
      </c>
      <c r="Y59" s="44">
        <f t="shared" si="24"/>
        <v>0</v>
      </c>
      <c r="Z59" s="44">
        <f t="shared" si="25"/>
        <v>335.22020950778477</v>
      </c>
      <c r="AA59" s="50">
        <f t="shared" si="26"/>
        <v>42.50243680133805</v>
      </c>
      <c r="AB59" s="51">
        <f t="shared" si="27"/>
        <v>313.37777835634733</v>
      </c>
      <c r="AC59" s="44">
        <f t="shared" si="28"/>
        <v>39.733043658350979</v>
      </c>
      <c r="AD59" s="44">
        <f t="shared" si="29"/>
        <v>419.46791085356045</v>
      </c>
      <c r="AE59" s="44">
        <f t="shared" si="30"/>
        <v>0</v>
      </c>
      <c r="AF59" s="52">
        <f>HLOOKUP(I59,GasAvoidedCostsWOCC!$A$5:$G$50,G59+1,FALSE)</f>
        <v>2.3114255322367177</v>
      </c>
      <c r="AG59" s="44">
        <f t="shared" si="31"/>
        <v>103.08957873775761</v>
      </c>
      <c r="AH59" s="52">
        <f>HLOOKUP(I59,GasAvoidedCostsWOCC!$A$5:$Q$50,T59+1,FALSE)</f>
        <v>7.1400454873872068</v>
      </c>
      <c r="AI59" s="44">
        <f t="shared" si="32"/>
        <v>191.06761724248167</v>
      </c>
      <c r="AJ59" s="44">
        <f t="shared" si="33"/>
        <v>294.15719598023929</v>
      </c>
      <c r="AK59" s="44">
        <f>HLOOKUP(I59,GasAvoidedCostsWOCC!$A$5:$Q$50,G59+1,FALSE)*J59*L59</f>
        <v>61.85374724265457</v>
      </c>
      <c r="AL59" s="44">
        <f t="shared" si="34"/>
        <v>232.30344873758472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232.30344873758472</v>
      </c>
      <c r="AN59" s="48">
        <f t="shared" si="35"/>
        <v>675.0017044649037</v>
      </c>
      <c r="AO59" s="47">
        <f t="shared" si="36"/>
        <v>0.74128883661121758</v>
      </c>
      <c r="AP59" s="47">
        <f t="shared" si="37"/>
        <v>16.98842178487461</v>
      </c>
      <c r="AQ59">
        <v>2020</v>
      </c>
    </row>
    <row r="60" spans="2:43">
      <c r="B60" s="97" t="s">
        <v>33</v>
      </c>
      <c r="C60" s="61">
        <v>18230637</v>
      </c>
      <c r="D60" s="61" t="s">
        <v>82</v>
      </c>
      <c r="E60" s="38" t="s">
        <v>2415</v>
      </c>
      <c r="F60" s="39" t="s">
        <v>2416</v>
      </c>
      <c r="G60" s="39">
        <v>3</v>
      </c>
      <c r="H60" s="39">
        <v>7</v>
      </c>
      <c r="I60" s="40" t="s">
        <v>265</v>
      </c>
      <c r="J60" s="41">
        <v>397</v>
      </c>
      <c r="K60" s="41">
        <v>11.64</v>
      </c>
      <c r="L60" s="41">
        <v>6.55</v>
      </c>
      <c r="M60" s="42">
        <v>3.9</v>
      </c>
      <c r="N60" s="42">
        <v>3.9</v>
      </c>
      <c r="O60" s="43">
        <v>4621.08</v>
      </c>
      <c r="P60" s="44">
        <v>1548.3</v>
      </c>
      <c r="Q60" s="44">
        <v>1548.3</v>
      </c>
      <c r="R60" s="45">
        <v>15.21</v>
      </c>
      <c r="S60" s="46">
        <v>0</v>
      </c>
      <c r="T60" s="39">
        <f t="shared" si="19"/>
        <v>10</v>
      </c>
      <c r="U60" s="47">
        <f t="shared" si="20"/>
        <v>7.9782728165372269E-2</v>
      </c>
      <c r="V60" s="48">
        <f t="shared" si="21"/>
        <v>0</v>
      </c>
      <c r="W60" s="49">
        <f t="shared" si="22"/>
        <v>7.9782728165372265E-3</v>
      </c>
      <c r="X60" s="44">
        <f t="shared" si="23"/>
        <v>2787.4061133167543</v>
      </c>
      <c r="Y60" s="44">
        <f t="shared" si="24"/>
        <v>0</v>
      </c>
      <c r="Z60" s="44">
        <f t="shared" si="25"/>
        <v>34732.722102068023</v>
      </c>
      <c r="AA60" s="50">
        <f t="shared" si="26"/>
        <v>4335.7061133167545</v>
      </c>
      <c r="AB60" s="51">
        <f t="shared" si="27"/>
        <v>32469.591569662542</v>
      </c>
      <c r="AC60" s="44">
        <f t="shared" si="28"/>
        <v>4053.1981988564589</v>
      </c>
      <c r="AD60" s="44">
        <f t="shared" si="29"/>
        <v>42469.859974192048</v>
      </c>
      <c r="AE60" s="44">
        <f t="shared" si="30"/>
        <v>0</v>
      </c>
      <c r="AF60" s="52">
        <f>HLOOKUP(I60,GasAvoidedCostsWOCC!$A$5:$G$50,G60+1,FALSE)</f>
        <v>2.3114255322367177</v>
      </c>
      <c r="AG60" s="44">
        <f t="shared" si="31"/>
        <v>10681.282298508451</v>
      </c>
      <c r="AH60" s="52">
        <f>HLOOKUP(I60,GasAvoidedCostsWOCC!$A$5:$Q$50,T60+1,FALSE)</f>
        <v>7.1400454873872068</v>
      </c>
      <c r="AI60" s="44">
        <f t="shared" si="32"/>
        <v>18566.617283127322</v>
      </c>
      <c r="AJ60" s="44">
        <f t="shared" si="33"/>
        <v>29247.899581635771</v>
      </c>
      <c r="AK60" s="44">
        <f>HLOOKUP(I60,GasAvoidedCostsWOCC!$A$5:$Q$50,G60+1,FALSE)*J60*L60</f>
        <v>6010.5153827517479</v>
      </c>
      <c r="AL60" s="44">
        <f t="shared" si="34"/>
        <v>23237.384198884021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23237.384198884021</v>
      </c>
      <c r="AN60" s="48">
        <f t="shared" si="35"/>
        <v>68030.982592964472</v>
      </c>
      <c r="AO60" s="47">
        <f t="shared" si="36"/>
        <v>0.71566604553768121</v>
      </c>
      <c r="AP60" s="47">
        <f t="shared" si="37"/>
        <v>16.784519102016343</v>
      </c>
      <c r="AQ60">
        <v>2020</v>
      </c>
    </row>
    <row r="61" spans="2:43">
      <c r="B61" s="97" t="s">
        <v>33</v>
      </c>
      <c r="C61" s="61">
        <v>18230637</v>
      </c>
      <c r="D61" s="61" t="s">
        <v>82</v>
      </c>
      <c r="E61" s="38" t="s">
        <v>2421</v>
      </c>
      <c r="F61" s="39" t="s">
        <v>2422</v>
      </c>
      <c r="G61" s="39">
        <v>3</v>
      </c>
      <c r="H61" s="39">
        <v>7</v>
      </c>
      <c r="I61" s="40" t="s">
        <v>265</v>
      </c>
      <c r="J61" s="41">
        <v>2</v>
      </c>
      <c r="K61" s="41">
        <v>11.15</v>
      </c>
      <c r="L61" s="41">
        <v>6.69</v>
      </c>
      <c r="M61" s="42">
        <v>8.07</v>
      </c>
      <c r="N61" s="42">
        <v>8.07</v>
      </c>
      <c r="O61" s="43">
        <v>22.3</v>
      </c>
      <c r="P61" s="44">
        <v>16.14</v>
      </c>
      <c r="Q61" s="44">
        <v>16.14</v>
      </c>
      <c r="R61" s="45">
        <v>14.91</v>
      </c>
      <c r="S61" s="46">
        <v>0</v>
      </c>
      <c r="T61" s="39">
        <f t="shared" si="19"/>
        <v>10</v>
      </c>
      <c r="U61" s="47">
        <f t="shared" si="20"/>
        <v>3.8500844782773756E-4</v>
      </c>
      <c r="V61" s="48">
        <f t="shared" si="21"/>
        <v>0</v>
      </c>
      <c r="W61" s="49">
        <f t="shared" si="22"/>
        <v>3.8500844782773758E-5</v>
      </c>
      <c r="X61" s="44">
        <f t="shared" si="23"/>
        <v>13.451218400669026</v>
      </c>
      <c r="Y61" s="44">
        <f t="shared" si="24"/>
        <v>0</v>
      </c>
      <c r="Z61" s="44">
        <f t="shared" si="25"/>
        <v>167.61010475389239</v>
      </c>
      <c r="AA61" s="50">
        <f t="shared" si="26"/>
        <v>29.591218400669028</v>
      </c>
      <c r="AB61" s="51">
        <f t="shared" si="27"/>
        <v>156.68888917817367</v>
      </c>
      <c r="AC61" s="44">
        <f t="shared" si="28"/>
        <v>27.663100309123141</v>
      </c>
      <c r="AD61" s="44">
        <f t="shared" si="29"/>
        <v>209.73395542678023</v>
      </c>
      <c r="AE61" s="44">
        <f t="shared" si="30"/>
        <v>0</v>
      </c>
      <c r="AF61" s="52">
        <f>HLOOKUP(I61,GasAvoidedCostsWOCC!$A$5:$G$50,G61+1,FALSE)</f>
        <v>2.3114255322367177</v>
      </c>
      <c r="AG61" s="44">
        <f t="shared" si="31"/>
        <v>51.544789368878803</v>
      </c>
      <c r="AH61" s="52">
        <f>HLOOKUP(I61,GasAvoidedCostsWOCC!$A$5:$Q$50,T61+1,FALSE)</f>
        <v>7.1400454873872068</v>
      </c>
      <c r="AI61" s="44">
        <f t="shared" si="32"/>
        <v>95.533808621240837</v>
      </c>
      <c r="AJ61" s="44">
        <f t="shared" si="33"/>
        <v>147.07859799011965</v>
      </c>
      <c r="AK61" s="44">
        <f>HLOOKUP(I61,GasAvoidedCostsWOCC!$A$5:$Q$50,G61+1,FALSE)*J61*L61</f>
        <v>30.926873621327285</v>
      </c>
      <c r="AL61" s="44">
        <f t="shared" si="34"/>
        <v>116.15172436879236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116.15172436879236</v>
      </c>
      <c r="AN61" s="48">
        <f t="shared" si="35"/>
        <v>337.50085223245185</v>
      </c>
      <c r="AO61" s="47">
        <f t="shared" si="36"/>
        <v>0.74128883661121758</v>
      </c>
      <c r="AP61" s="47">
        <f t="shared" si="37"/>
        <v>12.200398670468108</v>
      </c>
      <c r="AQ61">
        <v>2020</v>
      </c>
    </row>
    <row r="62" spans="2:43">
      <c r="B62" s="97" t="s">
        <v>33</v>
      </c>
      <c r="C62" s="61">
        <v>18230637</v>
      </c>
      <c r="D62" s="61" t="s">
        <v>82</v>
      </c>
      <c r="E62" s="38" t="s">
        <v>2423</v>
      </c>
      <c r="F62" s="39" t="s">
        <v>2424</v>
      </c>
      <c r="G62" s="39">
        <v>3</v>
      </c>
      <c r="H62" s="39">
        <v>7</v>
      </c>
      <c r="I62" s="40" t="s">
        <v>265</v>
      </c>
      <c r="J62" s="41">
        <v>314</v>
      </c>
      <c r="K62" s="41">
        <v>11.64</v>
      </c>
      <c r="L62" s="41">
        <v>6.55</v>
      </c>
      <c r="M62" s="42">
        <v>8.07</v>
      </c>
      <c r="N62" s="42">
        <v>8.07</v>
      </c>
      <c r="O62" s="43">
        <v>3654.96</v>
      </c>
      <c r="P62" s="44">
        <v>2533.98</v>
      </c>
      <c r="Q62" s="44">
        <v>2533.98</v>
      </c>
      <c r="R62" s="45">
        <v>15.21</v>
      </c>
      <c r="S62" s="46">
        <v>0</v>
      </c>
      <c r="T62" s="39">
        <f t="shared" si="19"/>
        <v>10</v>
      </c>
      <c r="U62" s="47">
        <f t="shared" si="20"/>
        <v>6.310271194943802E-2</v>
      </c>
      <c r="V62" s="48">
        <f t="shared" si="21"/>
        <v>0</v>
      </c>
      <c r="W62" s="49">
        <f t="shared" si="22"/>
        <v>6.3102711949438017E-3</v>
      </c>
      <c r="X62" s="44">
        <f t="shared" si="23"/>
        <v>2204.6486639331506</v>
      </c>
      <c r="Y62" s="44">
        <f t="shared" si="24"/>
        <v>0</v>
      </c>
      <c r="Z62" s="44">
        <f t="shared" si="25"/>
        <v>27471.221007681008</v>
      </c>
      <c r="AA62" s="50">
        <f t="shared" si="26"/>
        <v>4738.6286639331502</v>
      </c>
      <c r="AB62" s="51">
        <f t="shared" si="27"/>
        <v>25681.238672226798</v>
      </c>
      <c r="AC62" s="44">
        <f t="shared" si="28"/>
        <v>4429.8669383314482</v>
      </c>
      <c r="AD62" s="44">
        <f t="shared" si="29"/>
        <v>33590.770861199759</v>
      </c>
      <c r="AE62" s="44">
        <f t="shared" si="30"/>
        <v>0</v>
      </c>
      <c r="AF62" s="52">
        <f>HLOOKUP(I62,GasAvoidedCostsWOCC!$A$5:$G$50,G62+1,FALSE)</f>
        <v>2.3114255322367177</v>
      </c>
      <c r="AG62" s="44">
        <f t="shared" si="31"/>
        <v>8448.1678633039137</v>
      </c>
      <c r="AH62" s="52">
        <f>HLOOKUP(I62,GasAvoidedCostsWOCC!$A$5:$Q$50,T62+1,FALSE)</f>
        <v>7.1400454873872068</v>
      </c>
      <c r="AI62" s="44">
        <f t="shared" si="32"/>
        <v>14684.931553909268</v>
      </c>
      <c r="AJ62" s="44">
        <f t="shared" si="33"/>
        <v>23133.099417213183</v>
      </c>
      <c r="AK62" s="44">
        <f>HLOOKUP(I62,GasAvoidedCostsWOCC!$A$5:$Q$50,G62+1,FALSE)*J62*L62</f>
        <v>4753.9088921512575</v>
      </c>
      <c r="AL62" s="44">
        <f t="shared" si="34"/>
        <v>18379.190525061924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18379.190525061927</v>
      </c>
      <c r="AN62" s="48">
        <f t="shared" si="35"/>
        <v>53807.880438767883</v>
      </c>
      <c r="AO62" s="47">
        <f t="shared" si="36"/>
        <v>0.71566604553768132</v>
      </c>
      <c r="AP62" s="47">
        <f t="shared" si="37"/>
        <v>12.146613247718708</v>
      </c>
      <c r="AQ62">
        <v>2020</v>
      </c>
    </row>
    <row r="63" spans="2:43">
      <c r="B63" s="97" t="s">
        <v>33</v>
      </c>
      <c r="C63" s="61">
        <v>18230637</v>
      </c>
      <c r="D63" s="61" t="s">
        <v>82</v>
      </c>
      <c r="E63" s="38" t="s">
        <v>661</v>
      </c>
      <c r="F63" s="39" t="s">
        <v>662</v>
      </c>
      <c r="G63" s="39">
        <v>11</v>
      </c>
      <c r="H63" s="39"/>
      <c r="I63" s="40" t="s">
        <v>269</v>
      </c>
      <c r="J63" s="41">
        <v>38</v>
      </c>
      <c r="K63" s="41">
        <v>33</v>
      </c>
      <c r="L63" s="41"/>
      <c r="M63" s="42">
        <v>75</v>
      </c>
      <c r="N63" s="42">
        <v>172.38</v>
      </c>
      <c r="O63" s="43">
        <v>1254</v>
      </c>
      <c r="P63" s="44">
        <v>3990</v>
      </c>
      <c r="Q63" s="44">
        <v>6550.44</v>
      </c>
      <c r="R63" s="45">
        <v>0</v>
      </c>
      <c r="S63" s="46">
        <v>0</v>
      </c>
      <c r="T63" s="39">
        <f t="shared" si="19"/>
        <v>11</v>
      </c>
      <c r="U63" s="47">
        <f t="shared" si="20"/>
        <v>2.3815275916304092E-2</v>
      </c>
      <c r="V63" s="48">
        <f t="shared" si="21"/>
        <v>97.38</v>
      </c>
      <c r="W63" s="49">
        <f t="shared" si="22"/>
        <v>2.1650250833003719E-3</v>
      </c>
      <c r="X63" s="44">
        <f t="shared" si="23"/>
        <v>756.40483741878734</v>
      </c>
      <c r="Y63" s="44">
        <f t="shared" si="24"/>
        <v>2560.4399999999996</v>
      </c>
      <c r="Z63" s="44">
        <f t="shared" si="25"/>
        <v>9425.2498368332308</v>
      </c>
      <c r="AA63" s="50">
        <f t="shared" si="26"/>
        <v>7306.8448374187865</v>
      </c>
      <c r="AB63" s="51">
        <f t="shared" si="27"/>
        <v>8811.1151134273441</v>
      </c>
      <c r="AC63" s="44">
        <f t="shared" si="28"/>
        <v>6830.7421121985471</v>
      </c>
      <c r="AD63" s="44">
        <f t="shared" si="29"/>
        <v>0</v>
      </c>
      <c r="AE63" s="44">
        <f t="shared" si="30"/>
        <v>0</v>
      </c>
      <c r="AF63" s="52">
        <f>HLOOKUP(I63,GasAvoidedCostsWOCC!$A$5:$G$50,G63+1,FALSE)</f>
        <v>8.2477691503723172</v>
      </c>
      <c r="AG63" s="44">
        <f t="shared" si="31"/>
        <v>10342.702514566885</v>
      </c>
      <c r="AH63" s="52">
        <f>HLOOKUP(I63,GasAvoidedCostsWOCC!$A$5:$Q$50,T63+1,FALSE)</f>
        <v>8.2477691503723172</v>
      </c>
      <c r="AI63" s="44">
        <f t="shared" si="32"/>
        <v>0</v>
      </c>
      <c r="AJ63" s="44">
        <f t="shared" si="33"/>
        <v>10342.702514566885</v>
      </c>
      <c r="AK63" s="44">
        <f>HLOOKUP(I63,GasAvoidedCostsWOCC!$A$5:$Q$50,G63+1,FALSE)*J63*L63</f>
        <v>0</v>
      </c>
      <c r="AL63" s="44">
        <f t="shared" si="34"/>
        <v>10342.702514566885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10342.702514566887</v>
      </c>
      <c r="AN63" s="48">
        <f t="shared" si="35"/>
        <v>11376.972766023577</v>
      </c>
      <c r="AO63" s="47">
        <f t="shared" si="36"/>
        <v>1.1738244684609263</v>
      </c>
      <c r="AP63" s="47">
        <f t="shared" si="37"/>
        <v>1.6655544271985079</v>
      </c>
      <c r="AQ63">
        <v>2020</v>
      </c>
    </row>
    <row r="64" spans="2:43">
      <c r="B64" s="97" t="s">
        <v>33</v>
      </c>
      <c r="C64" s="61">
        <v>18230637</v>
      </c>
      <c r="D64" s="61" t="s">
        <v>82</v>
      </c>
      <c r="E64" s="38" t="s">
        <v>2427</v>
      </c>
      <c r="F64" s="39" t="s">
        <v>2428</v>
      </c>
      <c r="G64" s="39">
        <v>11</v>
      </c>
      <c r="H64" s="39"/>
      <c r="I64" s="40" t="s">
        <v>269</v>
      </c>
      <c r="J64" s="41">
        <v>234</v>
      </c>
      <c r="K64" s="41">
        <v>33</v>
      </c>
      <c r="L64" s="41"/>
      <c r="M64" s="42">
        <v>150</v>
      </c>
      <c r="N64" s="42">
        <v>172.38</v>
      </c>
      <c r="O64" s="43">
        <v>7722</v>
      </c>
      <c r="P64" s="44">
        <v>24570</v>
      </c>
      <c r="Q64" s="44">
        <v>40336.919999999896</v>
      </c>
      <c r="R64" s="45">
        <v>0</v>
      </c>
      <c r="S64" s="46">
        <v>0</v>
      </c>
      <c r="T64" s="39">
        <f t="shared" si="19"/>
        <v>11</v>
      </c>
      <c r="U64" s="47">
        <f t="shared" si="20"/>
        <v>0.14665196222145149</v>
      </c>
      <c r="V64" s="48">
        <f t="shared" si="21"/>
        <v>22.379999999999995</v>
      </c>
      <c r="W64" s="49">
        <f t="shared" si="22"/>
        <v>1.33319965655865E-2</v>
      </c>
      <c r="X64" s="44">
        <f t="shared" si="23"/>
        <v>4657.861367263059</v>
      </c>
      <c r="Y64" s="44">
        <f t="shared" si="24"/>
        <v>15766.919999999896</v>
      </c>
      <c r="Z64" s="44">
        <f t="shared" si="25"/>
        <v>58039.696363657262</v>
      </c>
      <c r="AA64" s="50">
        <f t="shared" si="26"/>
        <v>44994.781367262956</v>
      </c>
      <c r="AB64" s="51">
        <f t="shared" si="27"/>
        <v>54257.919382684173</v>
      </c>
      <c r="AC64" s="44">
        <f t="shared" si="28"/>
        <v>42062.99090143307</v>
      </c>
      <c r="AD64" s="44">
        <f t="shared" si="29"/>
        <v>0</v>
      </c>
      <c r="AE64" s="44">
        <f t="shared" si="30"/>
        <v>0</v>
      </c>
      <c r="AF64" s="52">
        <f>HLOOKUP(I64,GasAvoidedCostsWOCC!$A$5:$G$50,G64+1,FALSE)</f>
        <v>8.2477691503723172</v>
      </c>
      <c r="AG64" s="44">
        <f t="shared" si="31"/>
        <v>63689.273379175029</v>
      </c>
      <c r="AH64" s="52">
        <f>HLOOKUP(I64,GasAvoidedCostsWOCC!$A$5:$Q$50,T64+1,FALSE)</f>
        <v>8.2477691503723172</v>
      </c>
      <c r="AI64" s="44">
        <f t="shared" si="32"/>
        <v>0</v>
      </c>
      <c r="AJ64" s="44">
        <f t="shared" si="33"/>
        <v>63689.273379175029</v>
      </c>
      <c r="AK64" s="44">
        <f>HLOOKUP(I64,GasAvoidedCostsWOCC!$A$5:$Q$50,G64+1,FALSE)*J64*L64</f>
        <v>0</v>
      </c>
      <c r="AL64" s="44">
        <f t="shared" si="34"/>
        <v>63689.273379175029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63689.273379175036</v>
      </c>
      <c r="AN64" s="48">
        <f t="shared" si="35"/>
        <v>70058.20071709255</v>
      </c>
      <c r="AO64" s="47">
        <f t="shared" si="36"/>
        <v>1.1738244684609263</v>
      </c>
      <c r="AP64" s="47">
        <f t="shared" si="37"/>
        <v>1.6655544271985114</v>
      </c>
      <c r="AQ64">
        <v>2020</v>
      </c>
    </row>
    <row r="65" spans="2:43">
      <c r="B65" s="97" t="s">
        <v>33</v>
      </c>
      <c r="C65" s="61">
        <v>18230637</v>
      </c>
      <c r="D65" s="61" t="s">
        <v>82</v>
      </c>
      <c r="E65" s="38" t="s">
        <v>1699</v>
      </c>
      <c r="F65" s="39" t="s">
        <v>1700</v>
      </c>
      <c r="G65" s="39">
        <v>30</v>
      </c>
      <c r="H65" s="39"/>
      <c r="I65" s="40" t="s">
        <v>269</v>
      </c>
      <c r="J65" s="41">
        <v>30035.33</v>
      </c>
      <c r="K65" s="41">
        <v>0.64</v>
      </c>
      <c r="L65" s="41"/>
      <c r="M65" s="42">
        <v>50</v>
      </c>
      <c r="N65" s="42">
        <v>20.5</v>
      </c>
      <c r="O65" s="43">
        <v>19222.61</v>
      </c>
      <c r="P65" s="44">
        <v>83950</v>
      </c>
      <c r="Q65" s="44">
        <v>615724.31999999995</v>
      </c>
      <c r="R65" s="45">
        <v>0.24</v>
      </c>
      <c r="S65" s="46">
        <v>0</v>
      </c>
      <c r="T65" s="39">
        <f t="shared" si="19"/>
        <v>30</v>
      </c>
      <c r="U65" s="47">
        <f t="shared" si="20"/>
        <v>0.99563236403111388</v>
      </c>
      <c r="V65" s="48">
        <f t="shared" si="21"/>
        <v>-29.5</v>
      </c>
      <c r="W65" s="49">
        <f t="shared" si="22"/>
        <v>3.3187745467703797E-2</v>
      </c>
      <c r="X65" s="44">
        <f t="shared" si="23"/>
        <v>11594.956293313202</v>
      </c>
      <c r="Y65" s="44">
        <f t="shared" si="24"/>
        <v>531774.31999999995</v>
      </c>
      <c r="Z65" s="44">
        <f t="shared" si="25"/>
        <v>144479.98545933719</v>
      </c>
      <c r="AA65" s="50">
        <f t="shared" si="26"/>
        <v>627319.27629331313</v>
      </c>
      <c r="AB65" s="51">
        <f t="shared" si="27"/>
        <v>135065.89273566156</v>
      </c>
      <c r="AC65" s="44">
        <f t="shared" si="28"/>
        <v>586444.12105572876</v>
      </c>
      <c r="AD65" s="44">
        <f t="shared" si="29"/>
        <v>89720.549356800853</v>
      </c>
      <c r="AE65" s="44">
        <f t="shared" si="30"/>
        <v>0</v>
      </c>
      <c r="AF65" s="52">
        <f>HLOOKUP(I65,GasAvoidedCostsWOCC!$A$5:$G$50,G65+1,FALSE)</f>
        <v>18.94929753071774</v>
      </c>
      <c r="AG65" s="44">
        <f t="shared" si="31"/>
        <v>364254.97894610721</v>
      </c>
      <c r="AH65" s="52">
        <f>HLOOKUP(I65,GasAvoidedCostsWOCC!$A$5:$Q$50,T65+1,FALSE)</f>
        <v>18.94929753071774</v>
      </c>
      <c r="AI65" s="44">
        <f t="shared" si="32"/>
        <v>0</v>
      </c>
      <c r="AJ65" s="44">
        <f t="shared" si="33"/>
        <v>364254.97894610721</v>
      </c>
      <c r="AK65" s="44">
        <f>HLOOKUP(I65,GasAvoidedCostsWOCC!$A$5:$Q$50,G65+1,FALSE)*J65*L65</f>
        <v>0</v>
      </c>
      <c r="AL65" s="44">
        <f t="shared" si="34"/>
        <v>364254.97894610721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364254.97894610721</v>
      </c>
      <c r="AN65" s="48">
        <f t="shared" si="35"/>
        <v>490401.0261975188</v>
      </c>
      <c r="AO65" s="47">
        <f t="shared" si="36"/>
        <v>2.6968687028855856</v>
      </c>
      <c r="AP65" s="47">
        <f t="shared" si="37"/>
        <v>0.83622805411483847</v>
      </c>
      <c r="AQ65">
        <v>2020</v>
      </c>
    </row>
    <row r="66" spans="2:43">
      <c r="B66" s="97" t="s">
        <v>33</v>
      </c>
      <c r="C66" s="61">
        <v>18230637</v>
      </c>
      <c r="D66" s="61" t="s">
        <v>82</v>
      </c>
      <c r="E66" s="38" t="s">
        <v>1701</v>
      </c>
      <c r="F66" s="39" t="s">
        <v>1700</v>
      </c>
      <c r="G66" s="39">
        <v>45</v>
      </c>
      <c r="H66" s="39"/>
      <c r="I66" s="40" t="s">
        <v>269</v>
      </c>
      <c r="J66" s="41">
        <v>111634.74</v>
      </c>
      <c r="K66" s="41">
        <v>0.64</v>
      </c>
      <c r="L66" s="41"/>
      <c r="M66" s="42">
        <v>50</v>
      </c>
      <c r="N66" s="42">
        <v>20.5</v>
      </c>
      <c r="O66" s="43">
        <v>71446.23</v>
      </c>
      <c r="P66" s="44">
        <v>299750</v>
      </c>
      <c r="Q66" s="44">
        <v>2288512.2400000002</v>
      </c>
      <c r="R66" s="45">
        <v>0</v>
      </c>
      <c r="S66" s="46">
        <v>0</v>
      </c>
      <c r="T66" s="39">
        <f t="shared" si="19"/>
        <v>45</v>
      </c>
      <c r="U66" s="47">
        <f t="shared" si="20"/>
        <v>5.5508210546859154</v>
      </c>
      <c r="V66" s="48">
        <f t="shared" si="21"/>
        <v>-29.5</v>
      </c>
      <c r="W66" s="49">
        <f t="shared" si="22"/>
        <v>0.12335157899302035</v>
      </c>
      <c r="X66" s="44">
        <f t="shared" si="23"/>
        <v>43095.912270602304</v>
      </c>
      <c r="Y66" s="44">
        <f t="shared" si="24"/>
        <v>1988762.2400000002</v>
      </c>
      <c r="Z66" s="44">
        <f t="shared" si="25"/>
        <v>537000.45267133124</v>
      </c>
      <c r="AA66" s="50">
        <f t="shared" si="26"/>
        <v>2331608.1522706025</v>
      </c>
      <c r="AB66" s="51">
        <f t="shared" si="27"/>
        <v>502010.33249633654</v>
      </c>
      <c r="AC66" s="44">
        <f t="shared" si="28"/>
        <v>2179684.1659068922</v>
      </c>
      <c r="AD66" s="44">
        <f t="shared" si="29"/>
        <v>0</v>
      </c>
      <c r="AE66" s="44">
        <f t="shared" si="30"/>
        <v>0</v>
      </c>
      <c r="AF66" s="52">
        <f>HLOOKUP(I66,GasAvoidedCostsWOCC!$A$5:$G$50,G66+1,FALSE)</f>
        <v>27.444232870165703</v>
      </c>
      <c r="AG66" s="44">
        <f t="shared" si="31"/>
        <v>1960787.0726146572</v>
      </c>
      <c r="AH66" s="52">
        <f>HLOOKUP(I66,GasAvoidedCostsWOCC!$A$5:$Q$50,T66+1,FALSE)</f>
        <v>27.444232870165703</v>
      </c>
      <c r="AI66" s="44">
        <f t="shared" si="32"/>
        <v>0</v>
      </c>
      <c r="AJ66" s="44">
        <f t="shared" si="33"/>
        <v>1960787.0726146572</v>
      </c>
      <c r="AK66" s="44">
        <f>HLOOKUP(I66,GasAvoidedCostsWOCC!$A$5:$Q$50,G66+1,FALSE)*J66*L66</f>
        <v>0</v>
      </c>
      <c r="AL66" s="44">
        <f t="shared" si="34"/>
        <v>1960787.0726146572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1960787.0726146572</v>
      </c>
      <c r="AN66" s="48">
        <f t="shared" si="35"/>
        <v>2156865.7798761232</v>
      </c>
      <c r="AO66" s="47">
        <f t="shared" si="36"/>
        <v>3.9058699506527912</v>
      </c>
      <c r="AP66" s="47">
        <f t="shared" si="37"/>
        <v>0.98953133376491953</v>
      </c>
      <c r="AQ66">
        <v>2020</v>
      </c>
    </row>
    <row r="67" spans="2:43">
      <c r="B67" s="97" t="s">
        <v>33</v>
      </c>
      <c r="C67" s="61">
        <v>18230637</v>
      </c>
      <c r="D67" s="61" t="s">
        <v>82</v>
      </c>
      <c r="E67" s="38" t="s">
        <v>1959</v>
      </c>
      <c r="F67" s="39" t="s">
        <v>1704</v>
      </c>
      <c r="G67" s="39">
        <v>25</v>
      </c>
      <c r="H67" s="39"/>
      <c r="I67" s="40" t="s">
        <v>269</v>
      </c>
      <c r="J67" s="41">
        <v>31.08</v>
      </c>
      <c r="K67" s="41">
        <v>0.4</v>
      </c>
      <c r="L67" s="41"/>
      <c r="M67" s="42">
        <v>200</v>
      </c>
      <c r="N67" s="42">
        <v>17.809999999999999</v>
      </c>
      <c r="O67" s="43">
        <v>12.43</v>
      </c>
      <c r="P67" s="44">
        <v>522.49</v>
      </c>
      <c r="Q67" s="44">
        <v>553.53</v>
      </c>
      <c r="R67" s="45">
        <v>0.08</v>
      </c>
      <c r="S67" s="46">
        <v>0</v>
      </c>
      <c r="T67" s="39">
        <f t="shared" si="19"/>
        <v>25</v>
      </c>
      <c r="U67" s="47">
        <f t="shared" si="20"/>
        <v>5.3650840880031141E-4</v>
      </c>
      <c r="V67" s="48">
        <f t="shared" si="21"/>
        <v>-182.19</v>
      </c>
      <c r="W67" s="49">
        <f t="shared" si="22"/>
        <v>2.1460336352012456E-5</v>
      </c>
      <c r="X67" s="44">
        <f t="shared" si="23"/>
        <v>7.4976970726599097</v>
      </c>
      <c r="Y67" s="44">
        <f t="shared" si="24"/>
        <v>31.039999999999964</v>
      </c>
      <c r="Z67" s="44">
        <f t="shared" si="25"/>
        <v>93.425722066855684</v>
      </c>
      <c r="AA67" s="50">
        <f t="shared" si="26"/>
        <v>561.02769707265986</v>
      </c>
      <c r="AB67" s="51">
        <f t="shared" si="27"/>
        <v>87.338246299762247</v>
      </c>
      <c r="AC67" s="44">
        <f t="shared" si="28"/>
        <v>524.47199875914725</v>
      </c>
      <c r="AD67" s="44">
        <f t="shared" si="29"/>
        <v>29.053945621929191</v>
      </c>
      <c r="AE67" s="44">
        <f t="shared" si="30"/>
        <v>0</v>
      </c>
      <c r="AF67" s="52">
        <f>HLOOKUP(I67,GasAvoidedCostsWOCC!$A$5:$G$50,G67+1,FALSE)</f>
        <v>16.472554524074432</v>
      </c>
      <c r="AG67" s="44">
        <f t="shared" si="31"/>
        <v>204.78679784329336</v>
      </c>
      <c r="AH67" s="52">
        <f>HLOOKUP(I67,GasAvoidedCostsWOCC!$A$5:$Q$50,T67+1,FALSE)</f>
        <v>16.472554524074432</v>
      </c>
      <c r="AI67" s="44">
        <f t="shared" si="32"/>
        <v>0</v>
      </c>
      <c r="AJ67" s="44">
        <f t="shared" si="33"/>
        <v>204.78679784329336</v>
      </c>
      <c r="AK67" s="44">
        <f>HLOOKUP(I67,GasAvoidedCostsWOCC!$A$5:$Q$50,G67+1,FALSE)*J67*L67</f>
        <v>0</v>
      </c>
      <c r="AL67" s="44">
        <f t="shared" si="34"/>
        <v>204.78679784329336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204.78679784329336</v>
      </c>
      <c r="AN67" s="48">
        <f t="shared" si="35"/>
        <v>254.3194232495519</v>
      </c>
      <c r="AO67" s="47">
        <f t="shared" si="36"/>
        <v>2.3447550932088137</v>
      </c>
      <c r="AP67" s="47">
        <f t="shared" si="37"/>
        <v>0.48490562670885839</v>
      </c>
      <c r="AQ67">
        <v>2020</v>
      </c>
    </row>
    <row r="68" spans="2:43">
      <c r="B68" s="97" t="s">
        <v>33</v>
      </c>
      <c r="C68" s="61">
        <v>18230637</v>
      </c>
      <c r="D68" s="61" t="s">
        <v>82</v>
      </c>
      <c r="E68" s="38" t="s">
        <v>1703</v>
      </c>
      <c r="F68" s="39" t="s">
        <v>1704</v>
      </c>
      <c r="G68" s="39">
        <v>25</v>
      </c>
      <c r="H68" s="39"/>
      <c r="I68" s="40" t="s">
        <v>269</v>
      </c>
      <c r="J68" s="41">
        <v>640.84</v>
      </c>
      <c r="K68" s="41">
        <v>0.4</v>
      </c>
      <c r="L68" s="41"/>
      <c r="M68" s="42">
        <v>200</v>
      </c>
      <c r="N68" s="42">
        <v>17.809999999999999</v>
      </c>
      <c r="O68" s="43">
        <v>256.33</v>
      </c>
      <c r="P68" s="44">
        <v>8492</v>
      </c>
      <c r="Q68" s="44">
        <v>11413.36</v>
      </c>
      <c r="R68" s="45">
        <v>0</v>
      </c>
      <c r="S68" s="46">
        <v>0</v>
      </c>
      <c r="T68" s="39">
        <f t="shared" si="19"/>
        <v>25</v>
      </c>
      <c r="U68" s="47">
        <f t="shared" si="20"/>
        <v>1.1063813389202239E-2</v>
      </c>
      <c r="V68" s="48">
        <f t="shared" si="21"/>
        <v>-182.19</v>
      </c>
      <c r="W68" s="49">
        <f t="shared" si="22"/>
        <v>4.4255253556808952E-4</v>
      </c>
      <c r="X68" s="44">
        <f t="shared" si="23"/>
        <v>154.61662836966326</v>
      </c>
      <c r="Y68" s="44">
        <f t="shared" si="24"/>
        <v>2921.3600000000006</v>
      </c>
      <c r="Z68" s="44">
        <f t="shared" si="25"/>
        <v>1926.6142668863329</v>
      </c>
      <c r="AA68" s="50">
        <f t="shared" si="26"/>
        <v>11567.976628369664</v>
      </c>
      <c r="AB68" s="51">
        <f t="shared" si="27"/>
        <v>1801.0790566386208</v>
      </c>
      <c r="AC68" s="44">
        <f t="shared" si="28"/>
        <v>10814.225136365021</v>
      </c>
      <c r="AD68" s="44">
        <f t="shared" si="29"/>
        <v>0</v>
      </c>
      <c r="AE68" s="44">
        <f t="shared" si="30"/>
        <v>0</v>
      </c>
      <c r="AF68" s="52">
        <f>HLOOKUP(I68,GasAvoidedCostsWOCC!$A$5:$G$50,G68+1,FALSE)</f>
        <v>16.472554524074432</v>
      </c>
      <c r="AG68" s="44">
        <f t="shared" si="31"/>
        <v>4222.5087364831443</v>
      </c>
      <c r="AH68" s="52">
        <f>HLOOKUP(I68,GasAvoidedCostsWOCC!$A$5:$Q$50,T68+1,FALSE)</f>
        <v>16.472554524074432</v>
      </c>
      <c r="AI68" s="44">
        <f t="shared" si="32"/>
        <v>0</v>
      </c>
      <c r="AJ68" s="44">
        <f t="shared" si="33"/>
        <v>4222.5087364831443</v>
      </c>
      <c r="AK68" s="44">
        <f>HLOOKUP(I68,GasAvoidedCostsWOCC!$A$5:$Q$50,G68+1,FALSE)*J68*L68</f>
        <v>0</v>
      </c>
      <c r="AL68" s="44">
        <f t="shared" si="34"/>
        <v>4222.5087364831443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4222.5087364831443</v>
      </c>
      <c r="AN68" s="48">
        <f t="shared" si="35"/>
        <v>4644.7596101314593</v>
      </c>
      <c r="AO68" s="47">
        <f t="shared" si="36"/>
        <v>2.34443275597445</v>
      </c>
      <c r="AP68" s="47">
        <f t="shared" si="37"/>
        <v>0.42950461559307795</v>
      </c>
      <c r="AQ68">
        <v>2020</v>
      </c>
    </row>
    <row r="69" spans="2:43">
      <c r="B69" s="97" t="s">
        <v>33</v>
      </c>
      <c r="C69" s="61">
        <v>18230637</v>
      </c>
      <c r="D69" s="61" t="s">
        <v>82</v>
      </c>
      <c r="E69" s="38" t="s">
        <v>1963</v>
      </c>
      <c r="F69" s="39" t="s">
        <v>1707</v>
      </c>
      <c r="G69" s="39">
        <v>30</v>
      </c>
      <c r="H69" s="39"/>
      <c r="I69" s="40" t="s">
        <v>269</v>
      </c>
      <c r="J69" s="41">
        <v>60495</v>
      </c>
      <c r="K69" s="41">
        <v>0.1</v>
      </c>
      <c r="L69" s="41"/>
      <c r="M69" s="42">
        <v>0.33</v>
      </c>
      <c r="N69" s="42">
        <v>1.24</v>
      </c>
      <c r="O69" s="43">
        <v>6049.5</v>
      </c>
      <c r="P69" s="44">
        <v>29097.82</v>
      </c>
      <c r="Q69" s="44">
        <v>75013.8</v>
      </c>
      <c r="R69" s="45">
        <v>0.04</v>
      </c>
      <c r="S69" s="46">
        <v>0</v>
      </c>
      <c r="T69" s="39">
        <f t="shared" si="19"/>
        <v>30</v>
      </c>
      <c r="U69" s="47">
        <f t="shared" si="20"/>
        <v>0.31333299620635408</v>
      </c>
      <c r="V69" s="48">
        <f t="shared" si="21"/>
        <v>0.90999999999999992</v>
      </c>
      <c r="W69" s="49">
        <f t="shared" si="22"/>
        <v>1.0444433206878469E-2</v>
      </c>
      <c r="X69" s="44">
        <f t="shared" si="23"/>
        <v>3649.0199872128824</v>
      </c>
      <c r="Y69" s="44">
        <f t="shared" si="24"/>
        <v>45915.98</v>
      </c>
      <c r="Z69" s="44">
        <f t="shared" si="25"/>
        <v>45468.93850711533</v>
      </c>
      <c r="AA69" s="50">
        <f t="shared" si="26"/>
        <v>78662.81998721289</v>
      </c>
      <c r="AB69" s="51">
        <f t="shared" si="27"/>
        <v>42506.252694321141</v>
      </c>
      <c r="AC69" s="44">
        <f t="shared" si="28"/>
        <v>73537.272120419628</v>
      </c>
      <c r="AD69" s="44">
        <f t="shared" si="29"/>
        <v>30118.11219953117</v>
      </c>
      <c r="AE69" s="44">
        <f t="shared" si="30"/>
        <v>0</v>
      </c>
      <c r="AF69" s="52">
        <f>HLOOKUP(I69,GasAvoidedCostsWOCC!$A$5:$G$50,G69+1,FALSE)</f>
        <v>18.94929753071774</v>
      </c>
      <c r="AG69" s="44">
        <f t="shared" si="31"/>
        <v>114633.77541207697</v>
      </c>
      <c r="AH69" s="52">
        <f>HLOOKUP(I69,GasAvoidedCostsWOCC!$A$5:$Q$50,T69+1,FALSE)</f>
        <v>18.94929753071774</v>
      </c>
      <c r="AI69" s="44">
        <f t="shared" si="32"/>
        <v>0</v>
      </c>
      <c r="AJ69" s="44">
        <f t="shared" si="33"/>
        <v>114633.77541207697</v>
      </c>
      <c r="AK69" s="44">
        <f>HLOOKUP(I69,GasAvoidedCostsWOCC!$A$5:$Q$50,G69+1,FALSE)*J69*L69</f>
        <v>0</v>
      </c>
      <c r="AL69" s="44">
        <f t="shared" si="34"/>
        <v>114633.77541207697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114633.77541207698</v>
      </c>
      <c r="AN69" s="48">
        <f t="shared" si="35"/>
        <v>156215.26515281585</v>
      </c>
      <c r="AO69" s="47">
        <f t="shared" si="36"/>
        <v>2.6968685345295591</v>
      </c>
      <c r="AP69" s="47">
        <f t="shared" si="37"/>
        <v>2.1243005165735327</v>
      </c>
      <c r="AQ69">
        <v>2020</v>
      </c>
    </row>
    <row r="70" spans="2:43">
      <c r="B70" s="97" t="s">
        <v>33</v>
      </c>
      <c r="C70" s="61">
        <v>18230637</v>
      </c>
      <c r="D70" s="61" t="s">
        <v>82</v>
      </c>
      <c r="E70" s="38" t="s">
        <v>1706</v>
      </c>
      <c r="F70" s="39" t="s">
        <v>1707</v>
      </c>
      <c r="G70" s="39">
        <v>45</v>
      </c>
      <c r="H70" s="39"/>
      <c r="I70" s="40" t="s">
        <v>269</v>
      </c>
      <c r="J70" s="41">
        <v>250284</v>
      </c>
      <c r="K70" s="41">
        <v>0.1</v>
      </c>
      <c r="L70" s="41"/>
      <c r="M70" s="42">
        <v>0.5</v>
      </c>
      <c r="N70" s="42">
        <v>1.24</v>
      </c>
      <c r="O70" s="43">
        <v>25028.400000000001</v>
      </c>
      <c r="P70" s="44">
        <v>126120.13</v>
      </c>
      <c r="Q70" s="44">
        <v>310352.15999999997</v>
      </c>
      <c r="R70" s="45">
        <v>0</v>
      </c>
      <c r="S70" s="46">
        <v>0</v>
      </c>
      <c r="T70" s="39">
        <f t="shared" si="19"/>
        <v>45</v>
      </c>
      <c r="U70" s="47">
        <f t="shared" si="20"/>
        <v>1.9445136529261373</v>
      </c>
      <c r="V70" s="48">
        <f t="shared" si="21"/>
        <v>0.74</v>
      </c>
      <c r="W70" s="49">
        <f t="shared" si="22"/>
        <v>4.321141450946972E-2</v>
      </c>
      <c r="X70" s="44">
        <f t="shared" si="23"/>
        <v>15096.971956022629</v>
      </c>
      <c r="Y70" s="44">
        <f t="shared" si="24"/>
        <v>184232.02999999997</v>
      </c>
      <c r="Z70" s="44">
        <f t="shared" si="25"/>
        <v>188117.16348979014</v>
      </c>
      <c r="AA70" s="50">
        <f t="shared" si="26"/>
        <v>325449.13195602258</v>
      </c>
      <c r="AB70" s="51">
        <f t="shared" si="27"/>
        <v>175859.73963708527</v>
      </c>
      <c r="AC70" s="44">
        <f t="shared" si="28"/>
        <v>304243.3691278139</v>
      </c>
      <c r="AD70" s="44">
        <f t="shared" si="29"/>
        <v>0</v>
      </c>
      <c r="AE70" s="44">
        <f t="shared" si="30"/>
        <v>0</v>
      </c>
      <c r="AF70" s="52">
        <f>HLOOKUP(I70,GasAvoidedCostsWOCC!$A$5:$G$50,G70+1,FALSE)</f>
        <v>27.444232870165703</v>
      </c>
      <c r="AG70" s="44">
        <f t="shared" si="31"/>
        <v>686885.2379676553</v>
      </c>
      <c r="AH70" s="52">
        <f>HLOOKUP(I70,GasAvoidedCostsWOCC!$A$5:$Q$50,T70+1,FALSE)</f>
        <v>27.444232870165703</v>
      </c>
      <c r="AI70" s="44">
        <f t="shared" si="32"/>
        <v>0</v>
      </c>
      <c r="AJ70" s="44">
        <f t="shared" si="33"/>
        <v>686885.2379676553</v>
      </c>
      <c r="AK70" s="44">
        <f>HLOOKUP(I70,GasAvoidedCostsWOCC!$A$5:$Q$50,G70+1,FALSE)*J70*L70</f>
        <v>0</v>
      </c>
      <c r="AL70" s="44">
        <f t="shared" si="34"/>
        <v>686885.2379676553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686885.2379676553</v>
      </c>
      <c r="AN70" s="48">
        <f t="shared" si="35"/>
        <v>755573.76176442089</v>
      </c>
      <c r="AO70" s="47">
        <f t="shared" si="36"/>
        <v>3.90586975384561</v>
      </c>
      <c r="AP70" s="47">
        <f t="shared" si="37"/>
        <v>2.4834518626665654</v>
      </c>
      <c r="AQ70">
        <v>2020</v>
      </c>
    </row>
    <row r="71" spans="2:43">
      <c r="B71" s="97" t="s">
        <v>33</v>
      </c>
      <c r="C71" s="61">
        <v>18230637</v>
      </c>
      <c r="D71" s="61" t="s">
        <v>82</v>
      </c>
      <c r="E71" s="38" t="s">
        <v>1967</v>
      </c>
      <c r="F71" s="39" t="s">
        <v>703</v>
      </c>
      <c r="G71" s="39">
        <v>30</v>
      </c>
      <c r="H71" s="39"/>
      <c r="I71" s="40" t="s">
        <v>269</v>
      </c>
      <c r="J71" s="41">
        <v>103173</v>
      </c>
      <c r="K71" s="41">
        <v>0.03</v>
      </c>
      <c r="L71" s="41"/>
      <c r="M71" s="42">
        <v>0.33</v>
      </c>
      <c r="N71" s="42">
        <v>1.0900000000000001</v>
      </c>
      <c r="O71" s="43">
        <v>3095.19</v>
      </c>
      <c r="P71" s="44">
        <v>49805.9</v>
      </c>
      <c r="Q71" s="44">
        <v>112458.57</v>
      </c>
      <c r="R71" s="45">
        <v>0.02</v>
      </c>
      <c r="S71" s="46">
        <v>0</v>
      </c>
      <c r="T71" s="39">
        <f t="shared" si="19"/>
        <v>30</v>
      </c>
      <c r="U71" s="47">
        <f t="shared" si="20"/>
        <v>0.16031492793254731</v>
      </c>
      <c r="V71" s="48">
        <f t="shared" si="21"/>
        <v>0.76</v>
      </c>
      <c r="W71" s="49">
        <f t="shared" si="22"/>
        <v>5.3438309310849105E-3</v>
      </c>
      <c r="X71" s="44">
        <f t="shared" si="23"/>
        <v>1866.9989543303479</v>
      </c>
      <c r="Y71" s="44">
        <f t="shared" si="24"/>
        <v>62652.670000000006</v>
      </c>
      <c r="Z71" s="44">
        <f t="shared" si="25"/>
        <v>23263.9067324305</v>
      </c>
      <c r="AA71" s="50">
        <f t="shared" si="26"/>
        <v>114325.56895433036</v>
      </c>
      <c r="AB71" s="51">
        <f t="shared" si="27"/>
        <v>21748.066497551179</v>
      </c>
      <c r="AC71" s="44">
        <f t="shared" si="28"/>
        <v>106876.29144089964</v>
      </c>
      <c r="AD71" s="44">
        <f t="shared" si="29"/>
        <v>25682.915860502762</v>
      </c>
      <c r="AE71" s="44">
        <f t="shared" si="30"/>
        <v>0</v>
      </c>
      <c r="AF71" s="52">
        <f>HLOOKUP(I71,GasAvoidedCostsWOCC!$A$5:$G$50,G71+1,FALSE)</f>
        <v>18.94929753071774</v>
      </c>
      <c r="AG71" s="44">
        <f t="shared" si="31"/>
        <v>58651.676224102237</v>
      </c>
      <c r="AH71" s="52">
        <f>HLOOKUP(I71,GasAvoidedCostsWOCC!$A$5:$Q$50,T71+1,FALSE)</f>
        <v>18.94929753071774</v>
      </c>
      <c r="AI71" s="44">
        <f t="shared" si="32"/>
        <v>0</v>
      </c>
      <c r="AJ71" s="44">
        <f t="shared" si="33"/>
        <v>58651.676224102237</v>
      </c>
      <c r="AK71" s="44">
        <f>HLOOKUP(I71,GasAvoidedCostsWOCC!$A$5:$Q$50,G71+1,FALSE)*J71*L71</f>
        <v>0</v>
      </c>
      <c r="AL71" s="44">
        <f t="shared" si="34"/>
        <v>58651.676224102237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58651.676224102237</v>
      </c>
      <c r="AN71" s="48">
        <f t="shared" si="35"/>
        <v>90199.759707015226</v>
      </c>
      <c r="AO71" s="47">
        <f t="shared" si="36"/>
        <v>2.6968685345295587</v>
      </c>
      <c r="AP71" s="47">
        <f t="shared" si="37"/>
        <v>0.84396416165781551</v>
      </c>
      <c r="AQ71">
        <v>2020</v>
      </c>
    </row>
    <row r="72" spans="2:43">
      <c r="B72" s="97" t="s">
        <v>33</v>
      </c>
      <c r="C72" s="61">
        <v>18230637</v>
      </c>
      <c r="D72" s="61" t="s">
        <v>82</v>
      </c>
      <c r="E72" s="38" t="s">
        <v>702</v>
      </c>
      <c r="F72" s="39" t="s">
        <v>703</v>
      </c>
      <c r="G72" s="39">
        <v>45</v>
      </c>
      <c r="H72" s="39"/>
      <c r="I72" s="40" t="s">
        <v>269</v>
      </c>
      <c r="J72" s="41">
        <v>388276</v>
      </c>
      <c r="K72" s="41">
        <v>0.03</v>
      </c>
      <c r="L72" s="41"/>
      <c r="M72" s="42">
        <v>0.5</v>
      </c>
      <c r="N72" s="42">
        <v>1.0900000000000001</v>
      </c>
      <c r="O72" s="43">
        <v>11648.28</v>
      </c>
      <c r="P72" s="44">
        <v>189884.26</v>
      </c>
      <c r="Q72" s="44">
        <v>423220.84</v>
      </c>
      <c r="R72" s="45">
        <v>0</v>
      </c>
      <c r="S72" s="46">
        <v>0</v>
      </c>
      <c r="T72" s="39">
        <f t="shared" si="19"/>
        <v>45</v>
      </c>
      <c r="U72" s="47">
        <f t="shared" si="20"/>
        <v>0.90498152071672455</v>
      </c>
      <c r="V72" s="48">
        <f t="shared" si="21"/>
        <v>0.59000000000000008</v>
      </c>
      <c r="W72" s="49">
        <f t="shared" si="22"/>
        <v>2.0110700460371656E-2</v>
      </c>
      <c r="X72" s="44">
        <f t="shared" si="23"/>
        <v>7026.1685323831844</v>
      </c>
      <c r="Y72" s="44">
        <f t="shared" si="24"/>
        <v>233336.58000000002</v>
      </c>
      <c r="Z72" s="44">
        <f t="shared" si="25"/>
        <v>87550.19869967128</v>
      </c>
      <c r="AA72" s="50">
        <f t="shared" si="26"/>
        <v>430247.00853238319</v>
      </c>
      <c r="AB72" s="51">
        <f t="shared" si="27"/>
        <v>81845.562961270698</v>
      </c>
      <c r="AC72" s="44">
        <f t="shared" si="28"/>
        <v>402212.7779119222</v>
      </c>
      <c r="AD72" s="44">
        <f t="shared" si="29"/>
        <v>0</v>
      </c>
      <c r="AE72" s="44">
        <f t="shared" si="30"/>
        <v>0</v>
      </c>
      <c r="AF72" s="52">
        <f>HLOOKUP(I72,GasAvoidedCostsWOCC!$A$5:$G$50,G72+1,FALSE)</f>
        <v>27.444232870165703</v>
      </c>
      <c r="AG72" s="44">
        <f t="shared" si="31"/>
        <v>319678.10885689373</v>
      </c>
      <c r="AH72" s="52">
        <f>HLOOKUP(I72,GasAvoidedCostsWOCC!$A$5:$Q$50,T72+1,FALSE)</f>
        <v>27.444232870165703</v>
      </c>
      <c r="AI72" s="44">
        <f t="shared" si="32"/>
        <v>0</v>
      </c>
      <c r="AJ72" s="44">
        <f t="shared" si="33"/>
        <v>319678.10885689373</v>
      </c>
      <c r="AK72" s="44">
        <f>HLOOKUP(I72,GasAvoidedCostsWOCC!$A$5:$Q$50,G72+1,FALSE)*J72*L72</f>
        <v>0</v>
      </c>
      <c r="AL72" s="44">
        <f t="shared" si="34"/>
        <v>319678.10885689373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319678.10885689373</v>
      </c>
      <c r="AN72" s="48">
        <f t="shared" si="35"/>
        <v>351645.91974258312</v>
      </c>
      <c r="AO72" s="47">
        <f t="shared" si="36"/>
        <v>3.9058697538456095</v>
      </c>
      <c r="AP72" s="47">
        <f t="shared" si="37"/>
        <v>0.87427833985818237</v>
      </c>
      <c r="AQ72">
        <v>2020</v>
      </c>
    </row>
    <row r="73" spans="2:43">
      <c r="B73" s="97" t="s">
        <v>33</v>
      </c>
      <c r="C73" s="61">
        <v>18230637</v>
      </c>
      <c r="D73" s="61" t="s">
        <v>82</v>
      </c>
      <c r="E73" s="38" t="s">
        <v>1970</v>
      </c>
      <c r="F73" s="39" t="s">
        <v>712</v>
      </c>
      <c r="G73" s="39">
        <v>5</v>
      </c>
      <c r="H73" s="39"/>
      <c r="I73" s="40" t="s">
        <v>269</v>
      </c>
      <c r="J73" s="41">
        <v>30</v>
      </c>
      <c r="K73" s="41">
        <v>0</v>
      </c>
      <c r="L73" s="41"/>
      <c r="M73" s="42">
        <v>38.299999999999997</v>
      </c>
      <c r="N73" s="42">
        <v>38.299999999999997</v>
      </c>
      <c r="O73" s="43">
        <v>0</v>
      </c>
      <c r="P73" s="44">
        <v>0</v>
      </c>
      <c r="Q73" s="44">
        <v>1110.7</v>
      </c>
      <c r="R73" s="45">
        <v>0</v>
      </c>
      <c r="S73" s="46">
        <v>0</v>
      </c>
      <c r="T73" s="39">
        <f t="shared" si="19"/>
        <v>5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1110.7</v>
      </c>
      <c r="Z73" s="44">
        <f t="shared" si="25"/>
        <v>0</v>
      </c>
      <c r="AA73" s="50">
        <f t="shared" si="26"/>
        <v>1110.7</v>
      </c>
      <c r="AB73" s="51">
        <f t="shared" si="27"/>
        <v>0</v>
      </c>
      <c r="AC73" s="44">
        <f t="shared" si="28"/>
        <v>1038.3285033186874</v>
      </c>
      <c r="AD73" s="44">
        <f t="shared" si="29"/>
        <v>0</v>
      </c>
      <c r="AE73" s="44">
        <f t="shared" si="30"/>
        <v>0</v>
      </c>
      <c r="AF73" s="52">
        <f>HLOOKUP(I73,GasAvoidedCostsWOCC!$A$5:$G$50,G73+1,FALSE)</f>
        <v>4.0176254580215796</v>
      </c>
      <c r="AG73" s="44">
        <f t="shared" si="31"/>
        <v>0</v>
      </c>
      <c r="AH73" s="52">
        <f>HLOOKUP(I73,GasAvoidedCostsWOCC!$A$5:$Q$50,T73+1,FALSE)</f>
        <v>4.0176254580215796</v>
      </c>
      <c r="AI73" s="44">
        <f t="shared" si="32"/>
        <v>0</v>
      </c>
      <c r="AJ73" s="44">
        <f t="shared" si="33"/>
        <v>0</v>
      </c>
      <c r="AK73" s="44">
        <f>HLOOKUP(I73,GasAvoidedCostsWOCC!$A$5:$Q$50,G73+1,FALSE)*J73*L73</f>
        <v>0</v>
      </c>
      <c r="AL73" s="44">
        <f t="shared" si="34"/>
        <v>0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>
        <f t="shared" si="37"/>
        <v>0</v>
      </c>
      <c r="AQ73">
        <v>2020</v>
      </c>
    </row>
    <row r="74" spans="2:43">
      <c r="B74" s="97" t="s">
        <v>33</v>
      </c>
      <c r="C74" s="61">
        <v>18230637</v>
      </c>
      <c r="D74" s="61" t="s">
        <v>82</v>
      </c>
      <c r="E74" s="38" t="s">
        <v>711</v>
      </c>
      <c r="F74" s="39" t="s">
        <v>712</v>
      </c>
      <c r="G74" s="39">
        <v>5</v>
      </c>
      <c r="H74" s="39"/>
      <c r="I74" s="40" t="s">
        <v>269</v>
      </c>
      <c r="J74" s="41">
        <v>381</v>
      </c>
      <c r="K74" s="41">
        <v>0</v>
      </c>
      <c r="L74" s="41"/>
      <c r="M74" s="42">
        <v>35.5</v>
      </c>
      <c r="N74" s="42">
        <v>35.5</v>
      </c>
      <c r="O74" s="43">
        <v>0</v>
      </c>
      <c r="P74" s="44">
        <v>0</v>
      </c>
      <c r="Q74" s="44">
        <v>13312.5</v>
      </c>
      <c r="R74" s="45">
        <v>0</v>
      </c>
      <c r="S74" s="46">
        <v>0</v>
      </c>
      <c r="T74" s="39">
        <f t="shared" si="19"/>
        <v>5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13312.5</v>
      </c>
      <c r="Z74" s="44">
        <f t="shared" si="25"/>
        <v>0</v>
      </c>
      <c r="AA74" s="50">
        <f t="shared" si="26"/>
        <v>13312.5</v>
      </c>
      <c r="AB74" s="51">
        <f t="shared" si="27"/>
        <v>0</v>
      </c>
      <c r="AC74" s="44">
        <f t="shared" si="28"/>
        <v>12445.078059268953</v>
      </c>
      <c r="AD74" s="44">
        <f t="shared" si="29"/>
        <v>0</v>
      </c>
      <c r="AE74" s="44">
        <f t="shared" si="30"/>
        <v>0</v>
      </c>
      <c r="AF74" s="52">
        <f>HLOOKUP(I74,GasAvoidedCostsWOCC!$A$5:$G$50,G74+1,FALSE)</f>
        <v>4.0176254580215796</v>
      </c>
      <c r="AG74" s="44">
        <f t="shared" si="31"/>
        <v>0</v>
      </c>
      <c r="AH74" s="52">
        <f>HLOOKUP(I74,GasAvoidedCostsWOCC!$A$5:$Q$50,T74+1,FALSE)</f>
        <v>4.0176254580215796</v>
      </c>
      <c r="AI74" s="44">
        <f t="shared" si="32"/>
        <v>0</v>
      </c>
      <c r="AJ74" s="44">
        <f t="shared" si="33"/>
        <v>0</v>
      </c>
      <c r="AK74" s="44">
        <f>HLOOKUP(I74,GasAvoidedCostsWOCC!$A$5:$Q$50,G74+1,FALSE)*J74*L74</f>
        <v>0</v>
      </c>
      <c r="AL74" s="44">
        <f t="shared" si="34"/>
        <v>0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5"/>
        <v>0</v>
      </c>
      <c r="AO74" s="47">
        <f t="shared" si="36"/>
        <v>0</v>
      </c>
      <c r="AP74" s="47">
        <f t="shared" si="37"/>
        <v>0</v>
      </c>
      <c r="AQ74">
        <v>2020</v>
      </c>
    </row>
    <row r="75" spans="2:43">
      <c r="B75" s="97" t="s">
        <v>33</v>
      </c>
      <c r="C75" s="61">
        <v>18230637</v>
      </c>
      <c r="D75" s="61" t="s">
        <v>82</v>
      </c>
      <c r="E75" s="38" t="s">
        <v>1972</v>
      </c>
      <c r="F75" s="39" t="s">
        <v>720</v>
      </c>
      <c r="G75" s="39">
        <v>25</v>
      </c>
      <c r="H75" s="39"/>
      <c r="I75" s="40" t="s">
        <v>269</v>
      </c>
      <c r="J75" s="41">
        <v>3148</v>
      </c>
      <c r="K75" s="41">
        <v>0.02</v>
      </c>
      <c r="L75" s="41"/>
      <c r="M75" s="42">
        <v>1.39</v>
      </c>
      <c r="N75" s="42">
        <v>1.39</v>
      </c>
      <c r="O75" s="43">
        <v>62.96</v>
      </c>
      <c r="P75" s="44">
        <v>3600</v>
      </c>
      <c r="Q75" s="44">
        <v>4375.72</v>
      </c>
      <c r="R75" s="45">
        <v>0</v>
      </c>
      <c r="S75" s="46">
        <v>0</v>
      </c>
      <c r="T75" s="39">
        <f t="shared" si="19"/>
        <v>25</v>
      </c>
      <c r="U75" s="47">
        <f t="shared" si="20"/>
        <v>2.7175035734567665E-3</v>
      </c>
      <c r="V75" s="48">
        <f t="shared" si="21"/>
        <v>0</v>
      </c>
      <c r="W75" s="49">
        <f t="shared" si="22"/>
        <v>1.0870014293827066E-4</v>
      </c>
      <c r="X75" s="44">
        <f t="shared" si="23"/>
        <v>37.977072220005461</v>
      </c>
      <c r="Y75" s="44">
        <f t="shared" si="24"/>
        <v>775.72000000000025</v>
      </c>
      <c r="Z75" s="44">
        <f t="shared" si="25"/>
        <v>473.21669037242441</v>
      </c>
      <c r="AA75" s="50">
        <f t="shared" si="26"/>
        <v>4413.6970722200058</v>
      </c>
      <c r="AB75" s="51">
        <f t="shared" si="27"/>
        <v>442.38262164384815</v>
      </c>
      <c r="AC75" s="44">
        <f t="shared" si="28"/>
        <v>4126.1073873235537</v>
      </c>
      <c r="AD75" s="44">
        <f t="shared" si="29"/>
        <v>0</v>
      </c>
      <c r="AE75" s="44">
        <f t="shared" si="30"/>
        <v>0</v>
      </c>
      <c r="AF75" s="52">
        <f>HLOOKUP(I75,GasAvoidedCostsWOCC!$A$5:$G$50,G75+1,FALSE)</f>
        <v>16.472554524074432</v>
      </c>
      <c r="AG75" s="44">
        <f t="shared" si="31"/>
        <v>1037.1120328357263</v>
      </c>
      <c r="AH75" s="52">
        <f>HLOOKUP(I75,GasAvoidedCostsWOCC!$A$5:$Q$50,T75+1,FALSE)</f>
        <v>16.472554524074432</v>
      </c>
      <c r="AI75" s="44">
        <f t="shared" si="32"/>
        <v>0</v>
      </c>
      <c r="AJ75" s="44">
        <f t="shared" si="33"/>
        <v>1037.1120328357263</v>
      </c>
      <c r="AK75" s="44">
        <f>HLOOKUP(I75,GasAvoidedCostsWOCC!$A$5:$Q$50,G75+1,FALSE)*J75*L75</f>
        <v>0</v>
      </c>
      <c r="AL75" s="44">
        <f t="shared" si="34"/>
        <v>1037.1120328357263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1037.1120328357263</v>
      </c>
      <c r="AN75" s="48">
        <f t="shared" si="35"/>
        <v>1140.8232361192991</v>
      </c>
      <c r="AO75" s="47">
        <f t="shared" si="36"/>
        <v>2.3443778803559803</v>
      </c>
      <c r="AP75" s="47">
        <f t="shared" si="37"/>
        <v>0.27648898320586535</v>
      </c>
      <c r="AQ75">
        <v>2020</v>
      </c>
    </row>
    <row r="76" spans="2:43">
      <c r="B76" s="97" t="s">
        <v>33</v>
      </c>
      <c r="C76" s="61">
        <v>18230637</v>
      </c>
      <c r="D76" s="61" t="s">
        <v>82</v>
      </c>
      <c r="E76" s="38" t="s">
        <v>1974</v>
      </c>
      <c r="F76" s="39" t="s">
        <v>725</v>
      </c>
      <c r="G76" s="39">
        <v>30</v>
      </c>
      <c r="H76" s="39"/>
      <c r="I76" s="40" t="s">
        <v>269</v>
      </c>
      <c r="J76" s="41">
        <v>143038</v>
      </c>
      <c r="K76" s="41">
        <v>0.04</v>
      </c>
      <c r="L76" s="41"/>
      <c r="M76" s="42">
        <v>0.11</v>
      </c>
      <c r="N76" s="42">
        <v>1.46</v>
      </c>
      <c r="O76" s="43">
        <v>5721.52</v>
      </c>
      <c r="P76" s="44">
        <v>24242.22</v>
      </c>
      <c r="Q76" s="44">
        <v>208835.48</v>
      </c>
      <c r="R76" s="45">
        <v>0.02</v>
      </c>
      <c r="S76" s="46">
        <v>0</v>
      </c>
      <c r="T76" s="39">
        <f t="shared" si="19"/>
        <v>30</v>
      </c>
      <c r="U76" s="47">
        <f t="shared" si="20"/>
        <v>0.29634531853121399</v>
      </c>
      <c r="V76" s="48">
        <f t="shared" si="21"/>
        <v>1.3499999999999999</v>
      </c>
      <c r="W76" s="49">
        <f t="shared" si="22"/>
        <v>9.878177284373799E-3</v>
      </c>
      <c r="X76" s="44">
        <f t="shared" si="23"/>
        <v>3451.1845338025041</v>
      </c>
      <c r="Y76" s="44">
        <f t="shared" si="24"/>
        <v>184593.26</v>
      </c>
      <c r="Z76" s="44">
        <f t="shared" si="25"/>
        <v>43003.79222203992</v>
      </c>
      <c r="AA76" s="50">
        <f t="shared" si="26"/>
        <v>212286.66453380251</v>
      </c>
      <c r="AB76" s="51">
        <f t="shared" si="27"/>
        <v>40201.731534112289</v>
      </c>
      <c r="AC76" s="44">
        <f t="shared" si="28"/>
        <v>198454.39331943769</v>
      </c>
      <c r="AD76" s="44">
        <f t="shared" si="29"/>
        <v>35606.533868886181</v>
      </c>
      <c r="AE76" s="44">
        <f t="shared" si="30"/>
        <v>0</v>
      </c>
      <c r="AF76" s="52">
        <f>HLOOKUP(I76,GasAvoidedCostsWOCC!$A$5:$G$50,G76+1,FALSE)</f>
        <v>18.94929753071774</v>
      </c>
      <c r="AG76" s="44">
        <f t="shared" si="31"/>
        <v>108418.78480795216</v>
      </c>
      <c r="AH76" s="52">
        <f>HLOOKUP(I76,GasAvoidedCostsWOCC!$A$5:$Q$50,T76+1,FALSE)</f>
        <v>18.94929753071774</v>
      </c>
      <c r="AI76" s="44">
        <f t="shared" si="32"/>
        <v>0</v>
      </c>
      <c r="AJ76" s="44">
        <f t="shared" si="33"/>
        <v>108418.78480795216</v>
      </c>
      <c r="AK76" s="44">
        <f>HLOOKUP(I76,GasAvoidedCostsWOCC!$A$5:$Q$50,G76+1,FALSE)*J76*L76</f>
        <v>0</v>
      </c>
      <c r="AL76" s="44">
        <f t="shared" si="34"/>
        <v>108418.78480795216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108418.78480795216</v>
      </c>
      <c r="AN76" s="48">
        <f t="shared" si="35"/>
        <v>154867.19715763358</v>
      </c>
      <c r="AO76" s="47">
        <f t="shared" si="36"/>
        <v>2.6968685345295591</v>
      </c>
      <c r="AP76" s="47">
        <f t="shared" si="37"/>
        <v>0.78036668560093325</v>
      </c>
      <c r="AQ76">
        <v>2020</v>
      </c>
    </row>
    <row r="77" spans="2:43">
      <c r="B77" s="97" t="s">
        <v>33</v>
      </c>
      <c r="C77" s="61">
        <v>18230637</v>
      </c>
      <c r="D77" s="61" t="s">
        <v>82</v>
      </c>
      <c r="E77" s="38" t="s">
        <v>724</v>
      </c>
      <c r="F77" s="39" t="s">
        <v>725</v>
      </c>
      <c r="G77" s="39">
        <v>45</v>
      </c>
      <c r="H77" s="39"/>
      <c r="I77" s="40" t="s">
        <v>269</v>
      </c>
      <c r="J77" s="41">
        <v>649213</v>
      </c>
      <c r="K77" s="41">
        <v>0.04</v>
      </c>
      <c r="L77" s="41"/>
      <c r="M77" s="42">
        <v>0.25</v>
      </c>
      <c r="N77" s="42">
        <v>1.46</v>
      </c>
      <c r="O77" s="43">
        <v>25968.52</v>
      </c>
      <c r="P77" s="44">
        <v>109229.32</v>
      </c>
      <c r="Q77" s="44">
        <v>947850.98</v>
      </c>
      <c r="R77" s="45">
        <v>0</v>
      </c>
      <c r="S77" s="46">
        <v>0</v>
      </c>
      <c r="T77" s="39">
        <f t="shared" si="19"/>
        <v>45</v>
      </c>
      <c r="U77" s="47">
        <f t="shared" si="20"/>
        <v>2.0175537264182073</v>
      </c>
      <c r="V77" s="48">
        <f t="shared" si="21"/>
        <v>1.21</v>
      </c>
      <c r="W77" s="49">
        <f t="shared" si="22"/>
        <v>4.4834527253737939E-2</v>
      </c>
      <c r="X77" s="44">
        <f t="shared" si="23"/>
        <v>15664.046370499624</v>
      </c>
      <c r="Y77" s="44">
        <f t="shared" si="24"/>
        <v>838621.65999999992</v>
      </c>
      <c r="Z77" s="44">
        <f t="shared" si="25"/>
        <v>195183.24473110086</v>
      </c>
      <c r="AA77" s="50">
        <f t="shared" si="26"/>
        <v>963515.02637049963</v>
      </c>
      <c r="AB77" s="51">
        <f t="shared" si="27"/>
        <v>182465.40593727291</v>
      </c>
      <c r="AC77" s="44">
        <f t="shared" si="28"/>
        <v>900733.87526455976</v>
      </c>
      <c r="AD77" s="44">
        <f t="shared" si="29"/>
        <v>0</v>
      </c>
      <c r="AE77" s="44">
        <f t="shared" si="30"/>
        <v>0</v>
      </c>
      <c r="AF77" s="52">
        <f>HLOOKUP(I77,GasAvoidedCostsWOCC!$A$5:$G$50,G77+1,FALSE)</f>
        <v>27.444232870165703</v>
      </c>
      <c r="AG77" s="44">
        <f t="shared" si="31"/>
        <v>712686.11017355544</v>
      </c>
      <c r="AH77" s="52">
        <f>HLOOKUP(I77,GasAvoidedCostsWOCC!$A$5:$Q$50,T77+1,FALSE)</f>
        <v>27.444232870165703</v>
      </c>
      <c r="AI77" s="44">
        <f t="shared" si="32"/>
        <v>0</v>
      </c>
      <c r="AJ77" s="44">
        <f t="shared" si="33"/>
        <v>712686.11017355544</v>
      </c>
      <c r="AK77" s="44">
        <f>HLOOKUP(I77,GasAvoidedCostsWOCC!$A$5:$Q$50,G77+1,FALSE)*J77*L77</f>
        <v>0</v>
      </c>
      <c r="AL77" s="44">
        <f t="shared" si="34"/>
        <v>712686.11017355544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712686.11017355544</v>
      </c>
      <c r="AN77" s="48">
        <f t="shared" si="35"/>
        <v>783954.72119091102</v>
      </c>
      <c r="AO77" s="47">
        <f t="shared" si="36"/>
        <v>3.90586975384561</v>
      </c>
      <c r="AP77" s="47">
        <f t="shared" si="37"/>
        <v>0.87035110227274526</v>
      </c>
      <c r="AQ77">
        <v>2020</v>
      </c>
    </row>
    <row r="78" spans="2:43">
      <c r="B78" s="97" t="s">
        <v>33</v>
      </c>
      <c r="C78" s="61">
        <v>18230637</v>
      </c>
      <c r="D78" s="61" t="s">
        <v>82</v>
      </c>
      <c r="E78" s="38" t="s">
        <v>1979</v>
      </c>
      <c r="F78" s="39" t="s">
        <v>1980</v>
      </c>
      <c r="G78" s="39">
        <v>30</v>
      </c>
      <c r="H78" s="39"/>
      <c r="I78" s="40" t="s">
        <v>269</v>
      </c>
      <c r="J78" s="41">
        <v>150233</v>
      </c>
      <c r="K78" s="41">
        <v>0.01</v>
      </c>
      <c r="L78" s="41"/>
      <c r="M78" s="42">
        <v>0.09</v>
      </c>
      <c r="N78" s="42">
        <v>0.2</v>
      </c>
      <c r="O78" s="43">
        <v>1502.33</v>
      </c>
      <c r="P78" s="44">
        <v>12613.93</v>
      </c>
      <c r="Q78" s="44">
        <v>30046.6</v>
      </c>
      <c r="R78" s="45">
        <v>0</v>
      </c>
      <c r="S78" s="46">
        <v>0</v>
      </c>
      <c r="T78" s="39">
        <f t="shared" si="19"/>
        <v>30</v>
      </c>
      <c r="U78" s="47">
        <f t="shared" si="20"/>
        <v>7.781296969843654E-2</v>
      </c>
      <c r="V78" s="48">
        <f t="shared" si="21"/>
        <v>0.11000000000000001</v>
      </c>
      <c r="W78" s="49">
        <f t="shared" si="22"/>
        <v>2.5937656566145514E-3</v>
      </c>
      <c r="X78" s="44">
        <f t="shared" si="23"/>
        <v>906.19591658641684</v>
      </c>
      <c r="Y78" s="44">
        <f t="shared" si="24"/>
        <v>17432.669999999998</v>
      </c>
      <c r="Z78" s="44">
        <f t="shared" si="25"/>
        <v>11291.734918157628</v>
      </c>
      <c r="AA78" s="50">
        <f t="shared" si="26"/>
        <v>30952.795916586416</v>
      </c>
      <c r="AB78" s="51">
        <f t="shared" si="27"/>
        <v>10555.982909374243</v>
      </c>
      <c r="AC78" s="44">
        <f t="shared" si="28"/>
        <v>28935.959536866798</v>
      </c>
      <c r="AD78" s="44">
        <f t="shared" si="29"/>
        <v>0</v>
      </c>
      <c r="AE78" s="44">
        <f t="shared" si="30"/>
        <v>0</v>
      </c>
      <c r="AF78" s="52">
        <f>HLOOKUP(I78,GasAvoidedCostsWOCC!$A$5:$G$50,G78+1,FALSE)</f>
        <v>18.94929753071774</v>
      </c>
      <c r="AG78" s="44">
        <f t="shared" si="31"/>
        <v>28468.098159323181</v>
      </c>
      <c r="AH78" s="52">
        <f>HLOOKUP(I78,GasAvoidedCostsWOCC!$A$5:$Q$50,T78+1,FALSE)</f>
        <v>18.94929753071774</v>
      </c>
      <c r="AI78" s="44">
        <f t="shared" si="32"/>
        <v>0</v>
      </c>
      <c r="AJ78" s="44">
        <f t="shared" si="33"/>
        <v>28468.098159323181</v>
      </c>
      <c r="AK78" s="44">
        <f>HLOOKUP(I78,GasAvoidedCostsWOCC!$A$5:$Q$50,G78+1,FALSE)*J78*L78</f>
        <v>0</v>
      </c>
      <c r="AL78" s="44">
        <f t="shared" si="34"/>
        <v>28468.098159323181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28468.098159323185</v>
      </c>
      <c r="AN78" s="48">
        <f t="shared" si="35"/>
        <v>31314.907975255504</v>
      </c>
      <c r="AO78" s="47">
        <f t="shared" si="36"/>
        <v>2.6968685345295591</v>
      </c>
      <c r="AP78" s="47">
        <f t="shared" si="37"/>
        <v>1.0822142578461147</v>
      </c>
      <c r="AQ78">
        <v>2020</v>
      </c>
    </row>
    <row r="79" spans="2:43">
      <c r="B79" s="97" t="s">
        <v>33</v>
      </c>
      <c r="C79" s="61">
        <v>18230637</v>
      </c>
      <c r="D79" s="61" t="s">
        <v>82</v>
      </c>
      <c r="E79" s="38" t="s">
        <v>1983</v>
      </c>
      <c r="F79" s="39" t="s">
        <v>1984</v>
      </c>
      <c r="G79" s="39">
        <v>30</v>
      </c>
      <c r="H79" s="39"/>
      <c r="I79" s="40" t="s">
        <v>269</v>
      </c>
      <c r="J79" s="41">
        <v>162151</v>
      </c>
      <c r="K79" s="41">
        <v>0.01</v>
      </c>
      <c r="L79" s="41"/>
      <c r="M79" s="42">
        <v>0.09</v>
      </c>
      <c r="N79" s="42">
        <v>0.2</v>
      </c>
      <c r="O79" s="43">
        <v>1621.51</v>
      </c>
      <c r="P79" s="44">
        <v>13345.59</v>
      </c>
      <c r="Q79" s="44">
        <v>32430.2</v>
      </c>
      <c r="R79" s="45">
        <v>0</v>
      </c>
      <c r="S79" s="46">
        <v>0</v>
      </c>
      <c r="T79" s="39">
        <f t="shared" si="19"/>
        <v>30</v>
      </c>
      <c r="U79" s="47">
        <f t="shared" si="20"/>
        <v>8.3985880928765216E-2</v>
      </c>
      <c r="V79" s="48">
        <f t="shared" si="21"/>
        <v>0.11000000000000001</v>
      </c>
      <c r="W79" s="49">
        <f t="shared" si="22"/>
        <v>2.7995293642921739E-3</v>
      </c>
      <c r="X79" s="44">
        <f t="shared" si="23"/>
        <v>978.08453582371442</v>
      </c>
      <c r="Y79" s="44">
        <f t="shared" si="24"/>
        <v>19084.61</v>
      </c>
      <c r="Z79" s="44">
        <f t="shared" si="25"/>
        <v>12187.509460066549</v>
      </c>
      <c r="AA79" s="50">
        <f t="shared" si="26"/>
        <v>33408.284535823717</v>
      </c>
      <c r="AB79" s="51">
        <f t="shared" si="27"/>
        <v>11393.390165529165</v>
      </c>
      <c r="AC79" s="44">
        <f t="shared" si="28"/>
        <v>31231.452309828655</v>
      </c>
      <c r="AD79" s="44">
        <f t="shared" si="29"/>
        <v>0</v>
      </c>
      <c r="AE79" s="44">
        <f t="shared" si="30"/>
        <v>0</v>
      </c>
      <c r="AF79" s="52">
        <f>HLOOKUP(I79,GasAvoidedCostsWOCC!$A$5:$G$50,G79+1,FALSE)</f>
        <v>18.94929753071774</v>
      </c>
      <c r="AG79" s="44">
        <f t="shared" si="31"/>
        <v>30726.475439034122</v>
      </c>
      <c r="AH79" s="52">
        <f>HLOOKUP(I79,GasAvoidedCostsWOCC!$A$5:$Q$50,T79+1,FALSE)</f>
        <v>18.94929753071774</v>
      </c>
      <c r="AI79" s="44">
        <f t="shared" si="32"/>
        <v>0</v>
      </c>
      <c r="AJ79" s="44">
        <f t="shared" si="33"/>
        <v>30726.475439034122</v>
      </c>
      <c r="AK79" s="44">
        <f>HLOOKUP(I79,GasAvoidedCostsWOCC!$A$5:$Q$50,G79+1,FALSE)*J79*L79</f>
        <v>0</v>
      </c>
      <c r="AL79" s="44">
        <f t="shared" si="34"/>
        <v>30726.475439034122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30726.475439034122</v>
      </c>
      <c r="AN79" s="48">
        <f t="shared" si="35"/>
        <v>33799.122982937537</v>
      </c>
      <c r="AO79" s="47">
        <f t="shared" si="36"/>
        <v>2.6968685345295587</v>
      </c>
      <c r="AP79" s="47">
        <f t="shared" si="37"/>
        <v>1.0822142578461145</v>
      </c>
      <c r="AQ79">
        <v>2020</v>
      </c>
    </row>
    <row r="80" spans="2:43">
      <c r="B80" s="97" t="s">
        <v>33</v>
      </c>
      <c r="C80" s="61">
        <v>18230637</v>
      </c>
      <c r="D80" s="61" t="s">
        <v>82</v>
      </c>
      <c r="E80" s="38" t="s">
        <v>1985</v>
      </c>
      <c r="F80" s="39" t="s">
        <v>1986</v>
      </c>
      <c r="G80" s="39">
        <v>18</v>
      </c>
      <c r="H80" s="39"/>
      <c r="I80" s="40" t="s">
        <v>269</v>
      </c>
      <c r="J80" s="41">
        <v>3</v>
      </c>
      <c r="K80" s="41">
        <v>39.43</v>
      </c>
      <c r="L80" s="41"/>
      <c r="M80" s="42">
        <v>450</v>
      </c>
      <c r="N80" s="42">
        <v>462.66</v>
      </c>
      <c r="O80" s="43">
        <v>118.29</v>
      </c>
      <c r="P80" s="44">
        <v>1350</v>
      </c>
      <c r="Q80" s="44">
        <v>1387.98</v>
      </c>
      <c r="R80" s="45">
        <v>0</v>
      </c>
      <c r="S80" s="46">
        <v>0</v>
      </c>
      <c r="T80" s="39">
        <f t="shared" si="19"/>
        <v>18</v>
      </c>
      <c r="U80" s="47">
        <f t="shared" si="20"/>
        <v>3.6760882837837466E-3</v>
      </c>
      <c r="V80" s="48">
        <f t="shared" si="21"/>
        <v>12.660000000000025</v>
      </c>
      <c r="W80" s="49">
        <f t="shared" si="22"/>
        <v>2.0422712687687481E-4</v>
      </c>
      <c r="X80" s="44">
        <f t="shared" si="23"/>
        <v>71.351776888571266</v>
      </c>
      <c r="Y80" s="44">
        <f t="shared" si="24"/>
        <v>37.980000000000018</v>
      </c>
      <c r="Z80" s="44">
        <f t="shared" si="25"/>
        <v>889.08517001515384</v>
      </c>
      <c r="AA80" s="50">
        <f t="shared" si="26"/>
        <v>1459.3317768885713</v>
      </c>
      <c r="AB80" s="51">
        <f t="shared" si="27"/>
        <v>831.15375340296691</v>
      </c>
      <c r="AC80" s="44">
        <f t="shared" si="28"/>
        <v>1364.2439720375537</v>
      </c>
      <c r="AD80" s="44">
        <f t="shared" si="29"/>
        <v>0</v>
      </c>
      <c r="AE80" s="44">
        <f t="shared" si="30"/>
        <v>0</v>
      </c>
      <c r="AF80" s="52">
        <f>HLOOKUP(I80,GasAvoidedCostsWOCC!$A$5:$G$50,G80+1,FALSE)</f>
        <v>12.598768311384578</v>
      </c>
      <c r="AG80" s="44">
        <f t="shared" si="31"/>
        <v>1490.308303553682</v>
      </c>
      <c r="AH80" s="52">
        <f>HLOOKUP(I80,GasAvoidedCostsWOCC!$A$5:$Q$50,T80+1,FALSE)</f>
        <v>12.598768311384578</v>
      </c>
      <c r="AI80" s="44">
        <f t="shared" si="32"/>
        <v>0</v>
      </c>
      <c r="AJ80" s="44">
        <f t="shared" si="33"/>
        <v>1490.308303553682</v>
      </c>
      <c r="AK80" s="44">
        <f>HLOOKUP(I80,GasAvoidedCostsWOCC!$A$5:$Q$50,G80+1,FALSE)*J80*L80</f>
        <v>0</v>
      </c>
      <c r="AL80" s="44">
        <f t="shared" si="34"/>
        <v>1490.308303553682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1490.3083035536818</v>
      </c>
      <c r="AN80" s="48">
        <f t="shared" si="35"/>
        <v>1639.3391339090501</v>
      </c>
      <c r="AO80" s="47">
        <f t="shared" si="36"/>
        <v>1.7930597045997312</v>
      </c>
      <c r="AP80" s="47">
        <f t="shared" si="37"/>
        <v>1.2016466024479702</v>
      </c>
      <c r="AQ80">
        <v>2020</v>
      </c>
    </row>
    <row r="81" spans="2:43">
      <c r="B81" s="97" t="s">
        <v>33</v>
      </c>
      <c r="C81" s="61">
        <v>18230637</v>
      </c>
      <c r="D81" s="61" t="s">
        <v>82</v>
      </c>
      <c r="E81" s="38" t="s">
        <v>1992</v>
      </c>
      <c r="F81" s="39" t="s">
        <v>737</v>
      </c>
      <c r="G81" s="39">
        <v>20</v>
      </c>
      <c r="H81" s="39"/>
      <c r="I81" s="40" t="s">
        <v>269</v>
      </c>
      <c r="J81" s="41">
        <v>133</v>
      </c>
      <c r="K81" s="41">
        <v>75</v>
      </c>
      <c r="L81" s="41"/>
      <c r="M81" s="42">
        <v>400</v>
      </c>
      <c r="N81" s="42">
        <v>1000</v>
      </c>
      <c r="O81" s="43">
        <v>9975</v>
      </c>
      <c r="P81" s="44">
        <v>50695.44</v>
      </c>
      <c r="Q81" s="44">
        <v>133000</v>
      </c>
      <c r="R81" s="45">
        <v>0</v>
      </c>
      <c r="S81" s="46">
        <v>0</v>
      </c>
      <c r="T81" s="39">
        <f t="shared" si="19"/>
        <v>20</v>
      </c>
      <c r="U81" s="47">
        <f t="shared" si="20"/>
        <v>0.34443580870687729</v>
      </c>
      <c r="V81" s="48">
        <f t="shared" si="21"/>
        <v>600</v>
      </c>
      <c r="W81" s="49">
        <f t="shared" si="22"/>
        <v>1.7221790435343866E-2</v>
      </c>
      <c r="X81" s="44">
        <f t="shared" si="23"/>
        <v>6016.8566612858085</v>
      </c>
      <c r="Y81" s="44">
        <f t="shared" si="24"/>
        <v>82304.56</v>
      </c>
      <c r="Z81" s="44">
        <f t="shared" si="25"/>
        <v>74973.578247537051</v>
      </c>
      <c r="AA81" s="50">
        <f t="shared" si="26"/>
        <v>139016.8566612858</v>
      </c>
      <c r="AB81" s="51">
        <f t="shared" si="27"/>
        <v>70088.415674990232</v>
      </c>
      <c r="AC81" s="44">
        <f t="shared" si="28"/>
        <v>129958.73297306328</v>
      </c>
      <c r="AD81" s="44">
        <f t="shared" si="29"/>
        <v>0</v>
      </c>
      <c r="AE81" s="44">
        <f t="shared" si="30"/>
        <v>0</v>
      </c>
      <c r="AF81" s="52">
        <f>HLOOKUP(I81,GasAvoidedCostsWOCC!$A$5:$G$50,G81+1,FALSE)</f>
        <v>13.765480191058694</v>
      </c>
      <c r="AG81" s="44">
        <f t="shared" si="31"/>
        <v>137310.6649058105</v>
      </c>
      <c r="AH81" s="52">
        <f>HLOOKUP(I81,GasAvoidedCostsWOCC!$A$5:$Q$50,T81+1,FALSE)</f>
        <v>13.765480191058694</v>
      </c>
      <c r="AI81" s="44">
        <f t="shared" si="32"/>
        <v>0</v>
      </c>
      <c r="AJ81" s="44">
        <f t="shared" si="33"/>
        <v>137310.6649058105</v>
      </c>
      <c r="AK81" s="44">
        <f>HLOOKUP(I81,GasAvoidedCostsWOCC!$A$5:$Q$50,G81+1,FALSE)*J81*L81</f>
        <v>0</v>
      </c>
      <c r="AL81" s="44">
        <f t="shared" si="34"/>
        <v>137310.6649058105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137310.6649058105</v>
      </c>
      <c r="AN81" s="48">
        <f t="shared" si="35"/>
        <v>151041.73139639155</v>
      </c>
      <c r="AO81" s="47">
        <f t="shared" si="36"/>
        <v>1.9591064169939183</v>
      </c>
      <c r="AP81" s="47">
        <f t="shared" si="37"/>
        <v>1.1622284085187116</v>
      </c>
      <c r="AQ81">
        <v>2020</v>
      </c>
    </row>
    <row r="82" spans="2:43">
      <c r="B82" s="97" t="s">
        <v>33</v>
      </c>
      <c r="C82" s="61">
        <v>18230637</v>
      </c>
      <c r="D82" s="61" t="s">
        <v>82</v>
      </c>
      <c r="E82" s="38" t="s">
        <v>736</v>
      </c>
      <c r="F82" s="39" t="s">
        <v>737</v>
      </c>
      <c r="G82" s="39">
        <v>20</v>
      </c>
      <c r="H82" s="39"/>
      <c r="I82" s="40" t="s">
        <v>269</v>
      </c>
      <c r="J82" s="41">
        <v>669</v>
      </c>
      <c r="K82" s="41">
        <v>75.33</v>
      </c>
      <c r="L82" s="41"/>
      <c r="M82" s="42">
        <v>400</v>
      </c>
      <c r="N82" s="42">
        <v>1000</v>
      </c>
      <c r="O82" s="43">
        <v>50471.100000000799</v>
      </c>
      <c r="P82" s="44">
        <v>257534.98</v>
      </c>
      <c r="Q82" s="44">
        <v>670000</v>
      </c>
      <c r="R82" s="45">
        <v>0</v>
      </c>
      <c r="S82" s="46">
        <v>0</v>
      </c>
      <c r="T82" s="39">
        <f t="shared" si="19"/>
        <v>20</v>
      </c>
      <c r="U82" s="47">
        <f t="shared" si="20"/>
        <v>1.7427623202833034</v>
      </c>
      <c r="V82" s="48">
        <f t="shared" si="21"/>
        <v>600</v>
      </c>
      <c r="W82" s="49">
        <f t="shared" si="22"/>
        <v>8.7138116014165171E-2</v>
      </c>
      <c r="X82" s="44">
        <f t="shared" si="23"/>
        <v>30443.847041346064</v>
      </c>
      <c r="Y82" s="44">
        <f t="shared" si="24"/>
        <v>412465.02</v>
      </c>
      <c r="Z82" s="44">
        <f t="shared" si="25"/>
        <v>379348.26717687491</v>
      </c>
      <c r="AA82" s="50">
        <f t="shared" si="26"/>
        <v>700443.84704134602</v>
      </c>
      <c r="AB82" s="51">
        <f t="shared" si="27"/>
        <v>354630.51993724867</v>
      </c>
      <c r="AC82" s="44">
        <f t="shared" si="28"/>
        <v>654804.00770435261</v>
      </c>
      <c r="AD82" s="44">
        <f t="shared" si="29"/>
        <v>0</v>
      </c>
      <c r="AE82" s="44">
        <f t="shared" si="30"/>
        <v>0</v>
      </c>
      <c r="AF82" s="52">
        <f>HLOOKUP(I82,GasAvoidedCostsWOCC!$A$5:$G$50,G82+1,FALSE)</f>
        <v>13.765480191058694</v>
      </c>
      <c r="AG82" s="44">
        <f t="shared" si="31"/>
        <v>693721.97364814999</v>
      </c>
      <c r="AH82" s="52">
        <f>HLOOKUP(I82,GasAvoidedCostsWOCC!$A$5:$Q$50,T82+1,FALSE)</f>
        <v>13.765480191058694</v>
      </c>
      <c r="AI82" s="44">
        <f t="shared" si="32"/>
        <v>0</v>
      </c>
      <c r="AJ82" s="44">
        <f t="shared" si="33"/>
        <v>693721.97364814999</v>
      </c>
      <c r="AK82" s="44">
        <f>HLOOKUP(I82,GasAvoidedCostsWOCC!$A$5:$Q$50,G82+1,FALSE)*J82*L82</f>
        <v>0</v>
      </c>
      <c r="AL82" s="44">
        <f t="shared" si="34"/>
        <v>693721.97364814999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693721.97364814999</v>
      </c>
      <c r="AN82" s="48">
        <f t="shared" si="35"/>
        <v>763094.17101296503</v>
      </c>
      <c r="AO82" s="47">
        <f t="shared" si="36"/>
        <v>1.9561823775655378</v>
      </c>
      <c r="AP82" s="47">
        <f t="shared" si="37"/>
        <v>1.1653779788066081</v>
      </c>
      <c r="AQ82">
        <v>2020</v>
      </c>
    </row>
    <row r="83" spans="2:43">
      <c r="B83" s="97" t="s">
        <v>33</v>
      </c>
      <c r="C83" s="61">
        <v>18230637</v>
      </c>
      <c r="D83" s="61" t="s">
        <v>82</v>
      </c>
      <c r="E83" s="38" t="s">
        <v>1994</v>
      </c>
      <c r="F83" s="39" t="s">
        <v>742</v>
      </c>
      <c r="G83" s="39">
        <v>20</v>
      </c>
      <c r="H83" s="39"/>
      <c r="I83" s="40" t="s">
        <v>269</v>
      </c>
      <c r="J83" s="41">
        <v>23</v>
      </c>
      <c r="K83" s="41">
        <v>42.5</v>
      </c>
      <c r="L83" s="41"/>
      <c r="M83" s="42">
        <v>300</v>
      </c>
      <c r="N83" s="42">
        <v>608.58000000000004</v>
      </c>
      <c r="O83" s="43">
        <v>977.5</v>
      </c>
      <c r="P83" s="44">
        <v>6887.12</v>
      </c>
      <c r="Q83" s="44">
        <v>13997.34</v>
      </c>
      <c r="R83" s="45">
        <v>0</v>
      </c>
      <c r="S83" s="46">
        <v>0</v>
      </c>
      <c r="T83" s="39">
        <f t="shared" ref="T83:T146" si="38">G83+H83</f>
        <v>20</v>
      </c>
      <c r="U83" s="47">
        <f t="shared" ref="U83:U146" si="39">(O83/$A$10)*T83</f>
        <v>3.3752982757992239E-2</v>
      </c>
      <c r="V83" s="48">
        <f t="shared" ref="V83:V146" si="40">N83-M83</f>
        <v>308.58000000000004</v>
      </c>
      <c r="W83" s="49">
        <f t="shared" ref="W83:W146" si="41">(O83/A$10)</f>
        <v>1.6876491378996119E-3</v>
      </c>
      <c r="X83" s="44">
        <f t="shared" ref="X83:X146" si="42">W83*A$8</f>
        <v>589.62179312349645</v>
      </c>
      <c r="Y83" s="44">
        <f t="shared" ref="Y83:Y146" si="43">Q83-P83</f>
        <v>7110.22</v>
      </c>
      <c r="Z83" s="44">
        <f t="shared" ref="Z83:Z146" si="44">X83+(A$6*W83)</f>
        <v>7347.0348608488694</v>
      </c>
      <c r="AA83" s="50">
        <f t="shared" ref="AA83:AA146" si="45">Q83+X83</f>
        <v>14586.961793123497</v>
      </c>
      <c r="AB83" s="51">
        <f t="shared" ref="AB83:AB146" si="46">Z83/(1+GasDiscountRate)^1</f>
        <v>6868.3134157697195</v>
      </c>
      <c r="AC83" s="44">
        <f t="shared" ref="AC83:AC146" si="47">AA83/(1+GasDiscountRate)^1</f>
        <v>13636.497890178083</v>
      </c>
      <c r="AD83" s="44">
        <f t="shared" ref="AD83:AD146" si="48">-PV(GasDiscountRate,T83,R83)*J83</f>
        <v>0</v>
      </c>
      <c r="AE83" s="44">
        <f t="shared" ref="AE83:AE146" si="49">-PV(GasDiscountRate,T83,S83)*J83</f>
        <v>0</v>
      </c>
      <c r="AF83" s="52">
        <f>HLOOKUP(I83,GasAvoidedCostsWOCC!$A$5:$G$50,G83+1,FALSE)</f>
        <v>13.765480191058694</v>
      </c>
      <c r="AG83" s="44">
        <f t="shared" ref="AG83:AG146" si="50">AF83*J83*K83</f>
        <v>13455.756886759873</v>
      </c>
      <c r="AH83" s="52">
        <f>HLOOKUP(I83,GasAvoidedCostsWOCC!$A$5:$Q$50,T83+1,FALSE)</f>
        <v>13.765480191058694</v>
      </c>
      <c r="AI83" s="44">
        <f t="shared" ref="AI83:AI146" si="51">AH83*J83*L83</f>
        <v>0</v>
      </c>
      <c r="AJ83" s="44">
        <f t="shared" ref="AJ83:AJ146" si="52">AG83+AI83</f>
        <v>13455.756886759873</v>
      </c>
      <c r="AK83" s="44">
        <f>HLOOKUP(I83,GasAvoidedCostsWOCC!$A$5:$Q$50,G83+1,FALSE)*J83*L83</f>
        <v>0</v>
      </c>
      <c r="AL83" s="44">
        <f t="shared" ref="AL83:AL146" si="53">AG83+AI83-AK83</f>
        <v>13455.756886759873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13455.756886759875</v>
      </c>
      <c r="AN83" s="48">
        <f t="shared" ref="AN83:AN146" si="54">AM83*1.1+AD83+AE83</f>
        <v>14801.332575435863</v>
      </c>
      <c r="AO83" s="47">
        <f t="shared" ref="AO83:AO146" si="55">IFERROR(AM83/AB83,0)</f>
        <v>1.9591064169939183</v>
      </c>
      <c r="AP83" s="47">
        <f t="shared" ref="AP83:AP146" si="56">AN83/AC83</f>
        <v>1.0854203692648074</v>
      </c>
      <c r="AQ83">
        <v>2020</v>
      </c>
    </row>
    <row r="84" spans="2:43">
      <c r="B84" s="97" t="s">
        <v>33</v>
      </c>
      <c r="C84" s="61">
        <v>18230637</v>
      </c>
      <c r="D84" s="61" t="s">
        <v>82</v>
      </c>
      <c r="E84" s="38" t="s">
        <v>741</v>
      </c>
      <c r="F84" s="39" t="s">
        <v>742</v>
      </c>
      <c r="G84" s="39">
        <v>20</v>
      </c>
      <c r="H84" s="39"/>
      <c r="I84" s="40" t="s">
        <v>269</v>
      </c>
      <c r="J84" s="41">
        <v>94</v>
      </c>
      <c r="K84" s="41">
        <v>50.81</v>
      </c>
      <c r="L84" s="41"/>
      <c r="M84" s="42">
        <v>300</v>
      </c>
      <c r="N84" s="42">
        <v>631.58000000000004</v>
      </c>
      <c r="O84" s="43">
        <v>4776.1400000000003</v>
      </c>
      <c r="P84" s="44">
        <v>27217.47</v>
      </c>
      <c r="Q84" s="44">
        <v>59368.520000000099</v>
      </c>
      <c r="R84" s="45">
        <v>0</v>
      </c>
      <c r="S84" s="46">
        <v>0</v>
      </c>
      <c r="T84" s="39">
        <f t="shared" si="38"/>
        <v>20</v>
      </c>
      <c r="U84" s="47">
        <f t="shared" si="39"/>
        <v>0.1649196634984727</v>
      </c>
      <c r="V84" s="48">
        <f t="shared" si="40"/>
        <v>331.58000000000004</v>
      </c>
      <c r="W84" s="49">
        <f t="shared" si="41"/>
        <v>8.2459831749236347E-3</v>
      </c>
      <c r="X84" s="44">
        <f t="shared" si="42"/>
        <v>2880.9373207251729</v>
      </c>
      <c r="Y84" s="44">
        <f t="shared" si="43"/>
        <v>32151.050000000097</v>
      </c>
      <c r="Z84" s="44">
        <f t="shared" si="44"/>
        <v>35898.176041222214</v>
      </c>
      <c r="AA84" s="50">
        <f t="shared" si="45"/>
        <v>62249.457320725269</v>
      </c>
      <c r="AB84" s="51">
        <f t="shared" si="46"/>
        <v>33559.106330019829</v>
      </c>
      <c r="AC84" s="44">
        <f t="shared" si="47"/>
        <v>58193.37881716861</v>
      </c>
      <c r="AD84" s="44">
        <f t="shared" si="48"/>
        <v>0</v>
      </c>
      <c r="AE84" s="44">
        <f t="shared" si="49"/>
        <v>0</v>
      </c>
      <c r="AF84" s="52">
        <f>HLOOKUP(I84,GasAvoidedCostsWOCC!$A$5:$G$50,G84+1,FALSE)</f>
        <v>13.765480191058694</v>
      </c>
      <c r="AG84" s="44">
        <f t="shared" si="50"/>
        <v>65745.860559723078</v>
      </c>
      <c r="AH84" s="52">
        <f>HLOOKUP(I84,GasAvoidedCostsWOCC!$A$5:$Q$50,T84+1,FALSE)</f>
        <v>13.765480191058694</v>
      </c>
      <c r="AI84" s="44">
        <f t="shared" si="51"/>
        <v>0</v>
      </c>
      <c r="AJ84" s="44">
        <f t="shared" si="52"/>
        <v>65745.860559723078</v>
      </c>
      <c r="AK84" s="44">
        <f>HLOOKUP(I84,GasAvoidedCostsWOCC!$A$5:$Q$50,G84+1,FALSE)*J84*L84</f>
        <v>0</v>
      </c>
      <c r="AL84" s="44">
        <f t="shared" si="53"/>
        <v>65745.860559723078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65745.860559723078</v>
      </c>
      <c r="AN84" s="48">
        <f t="shared" si="54"/>
        <v>72320.446615695386</v>
      </c>
      <c r="AO84" s="47">
        <f t="shared" si="55"/>
        <v>1.9591064169939185</v>
      </c>
      <c r="AP84" s="47">
        <f t="shared" si="56"/>
        <v>1.242760741611362</v>
      </c>
      <c r="AQ84">
        <v>2020</v>
      </c>
    </row>
    <row r="85" spans="2:43">
      <c r="B85" s="97"/>
      <c r="C85" s="61"/>
      <c r="D85" s="61"/>
      <c r="E85" s="38" t="s">
        <v>1997</v>
      </c>
      <c r="F85" s="39" t="s">
        <v>749</v>
      </c>
      <c r="G85" s="39">
        <v>30</v>
      </c>
      <c r="H85" s="39"/>
      <c r="I85" s="40" t="s">
        <v>269</v>
      </c>
      <c r="J85" s="41">
        <v>23144</v>
      </c>
      <c r="K85" s="41">
        <v>0.09</v>
      </c>
      <c r="L85" s="41"/>
      <c r="M85" s="42">
        <v>0.22</v>
      </c>
      <c r="N85" s="42">
        <v>1.54</v>
      </c>
      <c r="O85" s="43">
        <v>2082.96</v>
      </c>
      <c r="P85" s="44">
        <v>8054.53</v>
      </c>
      <c r="Q85" s="44">
        <v>35641.760000000002</v>
      </c>
      <c r="R85" s="45">
        <v>0.04</v>
      </c>
      <c r="S85" s="46">
        <v>0</v>
      </c>
      <c r="T85" s="39">
        <f t="shared" si="38"/>
        <v>30</v>
      </c>
      <c r="U85" s="47">
        <f t="shared" si="39"/>
        <v>0.10788661836151538</v>
      </c>
      <c r="V85" s="48">
        <f t="shared" si="40"/>
        <v>1.32</v>
      </c>
      <c r="W85" s="49">
        <f t="shared" si="41"/>
        <v>3.5962206120505125E-3</v>
      </c>
      <c r="X85" s="44">
        <f t="shared" si="42"/>
        <v>1256.4282457335225</v>
      </c>
      <c r="Y85" s="44">
        <f t="shared" si="43"/>
        <v>27587.230000000003</v>
      </c>
      <c r="Z85" s="44">
        <f t="shared" si="44"/>
        <v>15655.836044760881</v>
      </c>
      <c r="AA85" s="50">
        <f t="shared" si="45"/>
        <v>36898.188245733523</v>
      </c>
      <c r="AB85" s="51">
        <f t="shared" si="46"/>
        <v>14635.725946303524</v>
      </c>
      <c r="AC85" s="44">
        <f t="shared" si="47"/>
        <v>34493.959283662261</v>
      </c>
      <c r="AD85" s="44">
        <f t="shared" si="48"/>
        <v>11522.499194081318</v>
      </c>
      <c r="AE85" s="44">
        <f t="shared" si="49"/>
        <v>0</v>
      </c>
      <c r="AF85" s="52">
        <f>HLOOKUP(I85,GasAvoidedCostsWOCC!$A$5:$G$50,G85+1,FALSE)</f>
        <v>18.94929753071774</v>
      </c>
      <c r="AG85" s="44">
        <f t="shared" si="50"/>
        <v>39470.628784583823</v>
      </c>
      <c r="AH85" s="52">
        <f>HLOOKUP(I85,GasAvoidedCostsWOCC!$A$5:$Q$50,T85+1,FALSE)</f>
        <v>18.94929753071774</v>
      </c>
      <c r="AI85" s="44">
        <f t="shared" si="51"/>
        <v>0</v>
      </c>
      <c r="AJ85" s="44">
        <f t="shared" si="52"/>
        <v>39470.628784583823</v>
      </c>
      <c r="AK85" s="44">
        <f>HLOOKUP(I85,GasAvoidedCostsWOCC!$A$5:$Q$50,G85+1,FALSE)*J85*L85</f>
        <v>0</v>
      </c>
      <c r="AL85" s="44">
        <f t="shared" si="53"/>
        <v>39470.628784583823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39470.628784583823</v>
      </c>
      <c r="AN85" s="48">
        <f t="shared" si="54"/>
        <v>54940.190857123525</v>
      </c>
      <c r="AO85" s="47">
        <f t="shared" si="55"/>
        <v>2.6968685345295587</v>
      </c>
      <c r="AP85" s="47">
        <f t="shared" si="56"/>
        <v>1.592748179625336</v>
      </c>
      <c r="AQ85">
        <v>2020</v>
      </c>
    </row>
    <row r="86" spans="2:43">
      <c r="B86" s="97"/>
      <c r="C86" s="61"/>
      <c r="D86" s="61"/>
      <c r="E86" s="38" t="s">
        <v>748</v>
      </c>
      <c r="F86" s="39" t="s">
        <v>749</v>
      </c>
      <c r="G86" s="39">
        <v>45</v>
      </c>
      <c r="H86" s="39"/>
      <c r="I86" s="40" t="s">
        <v>269</v>
      </c>
      <c r="J86" s="41">
        <v>118943</v>
      </c>
      <c r="K86" s="41">
        <v>0.09</v>
      </c>
      <c r="L86" s="41"/>
      <c r="M86" s="42">
        <v>0.75</v>
      </c>
      <c r="N86" s="42">
        <v>1.54</v>
      </c>
      <c r="O86" s="43">
        <v>10704.87</v>
      </c>
      <c r="P86" s="44">
        <v>46693.71</v>
      </c>
      <c r="Q86" s="44">
        <v>183172.22</v>
      </c>
      <c r="R86" s="45">
        <v>0</v>
      </c>
      <c r="S86" s="46">
        <v>0</v>
      </c>
      <c r="T86" s="39">
        <f t="shared" si="38"/>
        <v>45</v>
      </c>
      <c r="U86" s="47">
        <f t="shared" si="39"/>
        <v>0.83168583959819331</v>
      </c>
      <c r="V86" s="48">
        <f t="shared" si="40"/>
        <v>0.79</v>
      </c>
      <c r="W86" s="49">
        <f t="shared" si="41"/>
        <v>1.8481907546626517E-2</v>
      </c>
      <c r="X86" s="44">
        <f t="shared" si="42"/>
        <v>6457.1096107968533</v>
      </c>
      <c r="Y86" s="44">
        <f t="shared" si="43"/>
        <v>136478.51</v>
      </c>
      <c r="Z86" s="44">
        <f t="shared" si="44"/>
        <v>80459.389330798193</v>
      </c>
      <c r="AA86" s="50">
        <f t="shared" si="45"/>
        <v>189629.32961079685</v>
      </c>
      <c r="AB86" s="51">
        <f t="shared" si="46"/>
        <v>75216.779780123572</v>
      </c>
      <c r="AC86" s="44">
        <f t="shared" si="47"/>
        <v>177273.37534897338</v>
      </c>
      <c r="AD86" s="44">
        <f t="shared" si="48"/>
        <v>0</v>
      </c>
      <c r="AE86" s="44">
        <f t="shared" si="49"/>
        <v>0</v>
      </c>
      <c r="AF86" s="52">
        <f>HLOOKUP(I86,GasAvoidedCostsWOCC!$A$5:$G$50,G86+1,FALSE)</f>
        <v>27.444232870165703</v>
      </c>
      <c r="AG86" s="44">
        <f t="shared" si="50"/>
        <v>293786.94512485072</v>
      </c>
      <c r="AH86" s="52">
        <f>HLOOKUP(I86,GasAvoidedCostsWOCC!$A$5:$Q$50,T86+1,FALSE)</f>
        <v>27.444232870165703</v>
      </c>
      <c r="AI86" s="44">
        <f t="shared" si="51"/>
        <v>0</v>
      </c>
      <c r="AJ86" s="44">
        <f t="shared" si="52"/>
        <v>293786.94512485072</v>
      </c>
      <c r="AK86" s="44">
        <f>HLOOKUP(I86,GasAvoidedCostsWOCC!$A$5:$Q$50,G86+1,FALSE)*J86*L86</f>
        <v>0</v>
      </c>
      <c r="AL86" s="44">
        <f t="shared" si="53"/>
        <v>293786.94512485072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293786.94512485072</v>
      </c>
      <c r="AN86" s="48">
        <f t="shared" si="54"/>
        <v>323165.63963733584</v>
      </c>
      <c r="AO86" s="47">
        <f t="shared" si="55"/>
        <v>3.90586975384561</v>
      </c>
      <c r="AP86" s="47">
        <f t="shared" si="56"/>
        <v>1.8229789950192166</v>
      </c>
      <c r="AQ86">
        <v>2020</v>
      </c>
    </row>
    <row r="87" spans="2:43">
      <c r="B87" s="97"/>
      <c r="C87" s="61"/>
      <c r="D87" s="61"/>
      <c r="E87" s="38" t="s">
        <v>1873</v>
      </c>
      <c r="F87" s="39" t="s">
        <v>1874</v>
      </c>
      <c r="G87" s="39">
        <v>10</v>
      </c>
      <c r="H87" s="39"/>
      <c r="I87" s="40" t="s">
        <v>265</v>
      </c>
      <c r="J87" s="41">
        <v>750</v>
      </c>
      <c r="K87" s="41">
        <v>0.6</v>
      </c>
      <c r="L87" s="41"/>
      <c r="M87" s="42">
        <v>0.54</v>
      </c>
      <c r="N87" s="42">
        <v>0.54</v>
      </c>
      <c r="O87" s="43">
        <v>449.99999999999699</v>
      </c>
      <c r="P87" s="44">
        <v>112.49999999999901</v>
      </c>
      <c r="Q87" s="44">
        <v>404.99999999999898</v>
      </c>
      <c r="R87" s="45"/>
      <c r="S87" s="46">
        <v>0</v>
      </c>
      <c r="T87" s="39">
        <f t="shared" si="38"/>
        <v>10</v>
      </c>
      <c r="U87" s="47">
        <f t="shared" si="39"/>
        <v>7.7692287678242482E-3</v>
      </c>
      <c r="V87" s="48">
        <f t="shared" si="40"/>
        <v>0</v>
      </c>
      <c r="W87" s="49">
        <f t="shared" si="41"/>
        <v>7.7692287678242486E-4</v>
      </c>
      <c r="X87" s="44">
        <f t="shared" si="42"/>
        <v>271.43714261439555</v>
      </c>
      <c r="Y87" s="44">
        <f t="shared" si="43"/>
        <v>292.5</v>
      </c>
      <c r="Z87" s="44">
        <f t="shared" si="44"/>
        <v>3382.266687858792</v>
      </c>
      <c r="AA87" s="50">
        <f t="shared" si="45"/>
        <v>676.43714261439459</v>
      </c>
      <c r="AB87" s="51">
        <f t="shared" si="46"/>
        <v>3161.8834139093128</v>
      </c>
      <c r="AC87" s="44">
        <f t="shared" si="47"/>
        <v>632.36154306290973</v>
      </c>
      <c r="AD87" s="44">
        <f t="shared" si="48"/>
        <v>0</v>
      </c>
      <c r="AE87" s="44">
        <f t="shared" si="49"/>
        <v>0</v>
      </c>
      <c r="AF87" s="52">
        <f>HLOOKUP(I87,GasAvoidedCostsWOCC!$A$5:$G$50,G87+1,FALSE)</f>
        <v>7.1400454873872068</v>
      </c>
      <c r="AG87" s="44">
        <f t="shared" si="50"/>
        <v>3213.0204693242426</v>
      </c>
      <c r="AH87" s="52">
        <f>HLOOKUP(I87,GasAvoidedCostsWOCC!$A$5:$Q$50,T87+1,FALSE)</f>
        <v>7.1400454873872068</v>
      </c>
      <c r="AI87" s="44">
        <f t="shared" si="51"/>
        <v>0</v>
      </c>
      <c r="AJ87" s="44">
        <f t="shared" si="52"/>
        <v>3213.0204693242426</v>
      </c>
      <c r="AK87" s="44">
        <f>HLOOKUP(I87,GasAvoidedCostsWOCC!$A$5:$Q$50,G87+1,FALSE)*J87*L87</f>
        <v>0</v>
      </c>
      <c r="AL87" s="44">
        <f t="shared" si="53"/>
        <v>3213.0204693242426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3213.0204693242426</v>
      </c>
      <c r="AN87" s="48">
        <f t="shared" si="54"/>
        <v>3534.3225162566673</v>
      </c>
      <c r="AO87" s="47">
        <f t="shared" si="55"/>
        <v>1.0161729731051989</v>
      </c>
      <c r="AP87" s="47">
        <f t="shared" si="56"/>
        <v>5.5890851602673433</v>
      </c>
      <c r="AQ87">
        <v>2020</v>
      </c>
    </row>
    <row r="88" spans="2:43">
      <c r="B88" s="97"/>
      <c r="C88" s="61"/>
      <c r="D88" s="61"/>
      <c r="E88" s="38" t="s">
        <v>1877</v>
      </c>
      <c r="F88" s="39" t="s">
        <v>1878</v>
      </c>
      <c r="G88" s="39">
        <v>10</v>
      </c>
      <c r="H88" s="39"/>
      <c r="I88" s="40" t="s">
        <v>265</v>
      </c>
      <c r="J88" s="41">
        <v>632</v>
      </c>
      <c r="K88" s="41">
        <v>0.8</v>
      </c>
      <c r="L88" s="41"/>
      <c r="M88" s="42">
        <v>1.81</v>
      </c>
      <c r="N88" s="42">
        <v>1.81</v>
      </c>
      <c r="O88" s="43">
        <v>505.60000000000298</v>
      </c>
      <c r="P88" s="44">
        <v>632</v>
      </c>
      <c r="Q88" s="44">
        <v>1143.92</v>
      </c>
      <c r="R88" s="45">
        <v>2.74</v>
      </c>
      <c r="S88" s="46">
        <v>0</v>
      </c>
      <c r="T88" s="39">
        <f t="shared" si="38"/>
        <v>10</v>
      </c>
      <c r="U88" s="47">
        <f t="shared" si="39"/>
        <v>8.7291601444710876E-3</v>
      </c>
      <c r="V88" s="48">
        <f t="shared" si="40"/>
        <v>0</v>
      </c>
      <c r="W88" s="49">
        <f t="shared" si="41"/>
        <v>8.7291601444710882E-4</v>
      </c>
      <c r="X88" s="44">
        <f t="shared" si="42"/>
        <v>304.97470956853363</v>
      </c>
      <c r="Y88" s="44">
        <f t="shared" si="43"/>
        <v>511.92000000000007</v>
      </c>
      <c r="Z88" s="44">
        <f t="shared" si="44"/>
        <v>3800.1645275142819</v>
      </c>
      <c r="AA88" s="50">
        <f t="shared" si="45"/>
        <v>1448.8947095685337</v>
      </c>
      <c r="AB88" s="51">
        <f t="shared" si="46"/>
        <v>3552.5516757168193</v>
      </c>
      <c r="AC88" s="44">
        <f t="shared" si="47"/>
        <v>1354.4869679055189</v>
      </c>
      <c r="AD88" s="44">
        <f t="shared" si="48"/>
        <v>12179.480078251067</v>
      </c>
      <c r="AE88" s="44">
        <f t="shared" si="49"/>
        <v>0</v>
      </c>
      <c r="AF88" s="52">
        <f>HLOOKUP(I88,GasAvoidedCostsWOCC!$A$5:$G$50,G88+1,FALSE)</f>
        <v>7.1400454873872068</v>
      </c>
      <c r="AG88" s="44">
        <f t="shared" si="50"/>
        <v>3610.0069984229722</v>
      </c>
      <c r="AH88" s="52">
        <f>HLOOKUP(I88,GasAvoidedCostsWOCC!$A$5:$Q$50,T88+1,FALSE)</f>
        <v>7.1400454873872068</v>
      </c>
      <c r="AI88" s="44">
        <f t="shared" si="51"/>
        <v>0</v>
      </c>
      <c r="AJ88" s="44">
        <f t="shared" si="52"/>
        <v>3610.0069984229722</v>
      </c>
      <c r="AK88" s="44">
        <f>HLOOKUP(I88,GasAvoidedCostsWOCC!$A$5:$Q$50,G88+1,FALSE)*J88*L88</f>
        <v>0</v>
      </c>
      <c r="AL88" s="44">
        <f t="shared" si="53"/>
        <v>3610.0069984229722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3610.0069984229722</v>
      </c>
      <c r="AN88" s="48">
        <f t="shared" si="54"/>
        <v>16150.487776516336</v>
      </c>
      <c r="AO88" s="47">
        <f t="shared" si="55"/>
        <v>1.0161729731051863</v>
      </c>
      <c r="AP88" s="47">
        <f t="shared" si="56"/>
        <v>11.923693737334577</v>
      </c>
      <c r="AQ88">
        <v>2020</v>
      </c>
    </row>
    <row r="89" spans="2:43">
      <c r="B89" s="97"/>
      <c r="C89" s="61"/>
      <c r="D89" s="61"/>
      <c r="E89" s="38" t="s">
        <v>1879</v>
      </c>
      <c r="F89" s="39" t="s">
        <v>1880</v>
      </c>
      <c r="G89" s="39">
        <v>10</v>
      </c>
      <c r="H89" s="39"/>
      <c r="I89" s="40" t="s">
        <v>265</v>
      </c>
      <c r="J89" s="41">
        <v>316</v>
      </c>
      <c r="K89" s="41">
        <v>1.3</v>
      </c>
      <c r="L89" s="41"/>
      <c r="M89" s="42">
        <v>1.81</v>
      </c>
      <c r="N89" s="42">
        <v>1.81</v>
      </c>
      <c r="O89" s="43">
        <v>410.800000000002</v>
      </c>
      <c r="P89" s="44">
        <v>632</v>
      </c>
      <c r="Q89" s="44">
        <v>571.95999999999901</v>
      </c>
      <c r="R89" s="45">
        <v>3.8</v>
      </c>
      <c r="S89" s="46">
        <v>0</v>
      </c>
      <c r="T89" s="39">
        <f t="shared" si="38"/>
        <v>10</v>
      </c>
      <c r="U89" s="47">
        <f t="shared" si="39"/>
        <v>7.0924426173827517E-3</v>
      </c>
      <c r="V89" s="48">
        <f t="shared" si="40"/>
        <v>0</v>
      </c>
      <c r="W89" s="49">
        <f t="shared" si="41"/>
        <v>7.0924426173827519E-4</v>
      </c>
      <c r="X89" s="44">
        <f t="shared" si="42"/>
        <v>247.7919515244333</v>
      </c>
      <c r="Y89" s="44">
        <f t="shared" si="43"/>
        <v>-60.040000000000987</v>
      </c>
      <c r="Z89" s="44">
        <f t="shared" si="44"/>
        <v>3087.6336786053507</v>
      </c>
      <c r="AA89" s="50">
        <f t="shared" si="45"/>
        <v>819.75195152443234</v>
      </c>
      <c r="AB89" s="51">
        <f t="shared" si="46"/>
        <v>2886.4482365199124</v>
      </c>
      <c r="AC89" s="44">
        <f t="shared" si="47"/>
        <v>766.33818035377419</v>
      </c>
      <c r="AD89" s="44">
        <f t="shared" si="48"/>
        <v>8445.6248717799353</v>
      </c>
      <c r="AE89" s="44">
        <f t="shared" si="49"/>
        <v>0</v>
      </c>
      <c r="AF89" s="52">
        <f>HLOOKUP(I89,GasAvoidedCostsWOCC!$A$5:$G$50,G89+1,FALSE)</f>
        <v>7.1400454873872068</v>
      </c>
      <c r="AG89" s="44">
        <f t="shared" si="50"/>
        <v>2933.1306862186648</v>
      </c>
      <c r="AH89" s="52">
        <f>HLOOKUP(I89,GasAvoidedCostsWOCC!$A$5:$Q$50,T89+1,FALSE)</f>
        <v>7.1400454873872068</v>
      </c>
      <c r="AI89" s="44">
        <f t="shared" si="51"/>
        <v>0</v>
      </c>
      <c r="AJ89" s="44">
        <f t="shared" si="52"/>
        <v>2933.1306862186648</v>
      </c>
      <c r="AK89" s="44">
        <f>HLOOKUP(I89,GasAvoidedCostsWOCC!$A$5:$Q$50,G89+1,FALSE)*J89*L89</f>
        <v>0</v>
      </c>
      <c r="AL89" s="44">
        <f t="shared" si="53"/>
        <v>2933.1306862186648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2933.1306862186643</v>
      </c>
      <c r="AN89" s="48">
        <f t="shared" si="54"/>
        <v>11672.068626620467</v>
      </c>
      <c r="AO89" s="47">
        <f t="shared" si="55"/>
        <v>1.0161729731051874</v>
      </c>
      <c r="AP89" s="47">
        <f t="shared" si="56"/>
        <v>15.230963203780536</v>
      </c>
      <c r="AQ89">
        <v>2020</v>
      </c>
    </row>
    <row r="90" spans="2:43">
      <c r="B90" s="97"/>
      <c r="C90" s="61"/>
      <c r="D90" s="61"/>
      <c r="E90" s="38" t="s">
        <v>1881</v>
      </c>
      <c r="F90" s="39" t="s">
        <v>1882</v>
      </c>
      <c r="G90" s="39">
        <v>10</v>
      </c>
      <c r="H90" s="39"/>
      <c r="I90" s="40" t="s">
        <v>265</v>
      </c>
      <c r="J90" s="41">
        <v>316</v>
      </c>
      <c r="K90" s="41">
        <v>4.9000000000000004</v>
      </c>
      <c r="L90" s="41"/>
      <c r="M90" s="42">
        <v>10</v>
      </c>
      <c r="N90" s="42">
        <v>10</v>
      </c>
      <c r="O90" s="43">
        <v>1548.4000000000101</v>
      </c>
      <c r="P90" s="44">
        <v>2679.68</v>
      </c>
      <c r="Q90" s="44">
        <v>3160</v>
      </c>
      <c r="R90" s="45">
        <v>14.31</v>
      </c>
      <c r="S90" s="46">
        <v>0</v>
      </c>
      <c r="T90" s="39">
        <f t="shared" si="38"/>
        <v>10</v>
      </c>
      <c r="U90" s="47">
        <f t="shared" si="39"/>
        <v>2.6733052942442725E-2</v>
      </c>
      <c r="V90" s="48">
        <f t="shared" si="40"/>
        <v>0</v>
      </c>
      <c r="W90" s="49">
        <f t="shared" si="41"/>
        <v>2.6733052942442726E-3</v>
      </c>
      <c r="X90" s="44">
        <f t="shared" si="42"/>
        <v>933.98504805363484</v>
      </c>
      <c r="Y90" s="44">
        <f t="shared" si="43"/>
        <v>480.32000000000016</v>
      </c>
      <c r="Z90" s="44">
        <f t="shared" si="44"/>
        <v>11638.003865512495</v>
      </c>
      <c r="AA90" s="50">
        <f t="shared" si="45"/>
        <v>4093.9850480536347</v>
      </c>
      <c r="AB90" s="51">
        <f t="shared" si="46"/>
        <v>10879.689506882765</v>
      </c>
      <c r="AC90" s="44">
        <f t="shared" si="47"/>
        <v>3827.2273049019673</v>
      </c>
      <c r="AD90" s="44">
        <f t="shared" si="48"/>
        <v>31804.445240834444</v>
      </c>
      <c r="AE90" s="44">
        <f t="shared" si="49"/>
        <v>0</v>
      </c>
      <c r="AF90" s="52">
        <f>HLOOKUP(I90,GasAvoidedCostsWOCC!$A$5:$G$50,G90+1,FALSE)</f>
        <v>7.1400454873872068</v>
      </c>
      <c r="AG90" s="44">
        <f t="shared" si="50"/>
        <v>11055.646432670352</v>
      </c>
      <c r="AH90" s="52">
        <f>HLOOKUP(I90,GasAvoidedCostsWOCC!$A$5:$Q$50,T90+1,FALSE)</f>
        <v>7.1400454873872068</v>
      </c>
      <c r="AI90" s="44">
        <f t="shared" si="51"/>
        <v>0</v>
      </c>
      <c r="AJ90" s="44">
        <f t="shared" si="52"/>
        <v>11055.646432670352</v>
      </c>
      <c r="AK90" s="44">
        <f>HLOOKUP(I90,GasAvoidedCostsWOCC!$A$5:$Q$50,G90+1,FALSE)*J90*L90</f>
        <v>0</v>
      </c>
      <c r="AL90" s="44">
        <f t="shared" si="53"/>
        <v>11055.646432670352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11055.646432670352</v>
      </c>
      <c r="AN90" s="48">
        <f t="shared" si="54"/>
        <v>43965.656316771834</v>
      </c>
      <c r="AO90" s="47">
        <f t="shared" si="55"/>
        <v>1.0161729731051858</v>
      </c>
      <c r="AP90" s="47">
        <f t="shared" si="56"/>
        <v>11.487599981443484</v>
      </c>
      <c r="AQ90">
        <v>2020</v>
      </c>
    </row>
    <row r="91" spans="2:43">
      <c r="B91" s="97"/>
      <c r="C91" s="61"/>
      <c r="D91" s="61"/>
      <c r="E91" s="38" t="s">
        <v>2002</v>
      </c>
      <c r="F91" s="39" t="s">
        <v>2003</v>
      </c>
      <c r="G91" s="39">
        <v>25</v>
      </c>
      <c r="H91" s="39"/>
      <c r="I91" s="40" t="s">
        <v>269</v>
      </c>
      <c r="J91" s="41">
        <v>1000</v>
      </c>
      <c r="K91" s="41">
        <v>0.03</v>
      </c>
      <c r="L91" s="41"/>
      <c r="M91" s="42">
        <v>0.86</v>
      </c>
      <c r="N91" s="42">
        <v>0.86</v>
      </c>
      <c r="O91" s="43">
        <v>25.5</v>
      </c>
      <c r="P91" s="44">
        <v>1200</v>
      </c>
      <c r="Q91" s="44">
        <v>860</v>
      </c>
      <c r="R91" s="45">
        <v>0</v>
      </c>
      <c r="S91" s="46">
        <v>0</v>
      </c>
      <c r="T91" s="39">
        <f t="shared" si="38"/>
        <v>25</v>
      </c>
      <c r="U91" s="47">
        <f t="shared" si="39"/>
        <v>1.1006407421084426E-3</v>
      </c>
      <c r="V91" s="48">
        <f t="shared" si="40"/>
        <v>0</v>
      </c>
      <c r="W91" s="49">
        <f t="shared" si="41"/>
        <v>4.4025629684337705E-5</v>
      </c>
      <c r="X91" s="44">
        <f t="shared" si="42"/>
        <v>15.381438081482518</v>
      </c>
      <c r="Y91" s="44">
        <f t="shared" si="43"/>
        <v>-340</v>
      </c>
      <c r="Z91" s="44">
        <f t="shared" si="44"/>
        <v>191.66177897866615</v>
      </c>
      <c r="AA91" s="50">
        <f t="shared" si="45"/>
        <v>875.38143808148254</v>
      </c>
      <c r="AB91" s="51">
        <f t="shared" si="46"/>
        <v>179.17339345486224</v>
      </c>
      <c r="AC91" s="44">
        <f t="shared" si="47"/>
        <v>818.34293547862251</v>
      </c>
      <c r="AD91" s="44">
        <f t="shared" si="48"/>
        <v>0</v>
      </c>
      <c r="AE91" s="44">
        <f t="shared" si="49"/>
        <v>0</v>
      </c>
      <c r="AF91" s="52">
        <f>HLOOKUP(I91,GasAvoidedCostsWOCC!$A$5:$G$50,G91+1,FALSE)</f>
        <v>16.472554524074432</v>
      </c>
      <c r="AG91" s="44">
        <f t="shared" si="50"/>
        <v>494.17663572223296</v>
      </c>
      <c r="AH91" s="52">
        <f>HLOOKUP(I91,GasAvoidedCostsWOCC!$A$5:$Q$50,T91+1,FALSE)</f>
        <v>16.472554524074432</v>
      </c>
      <c r="AI91" s="44">
        <f t="shared" si="51"/>
        <v>0</v>
      </c>
      <c r="AJ91" s="44">
        <f t="shared" si="52"/>
        <v>494.17663572223296</v>
      </c>
      <c r="AK91" s="44">
        <f>HLOOKUP(I91,GasAvoidedCostsWOCC!$A$5:$Q$50,G91+1,FALSE)*J91*L91</f>
        <v>0</v>
      </c>
      <c r="AL91" s="44">
        <f t="shared" si="53"/>
        <v>494.17663572223296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494.17663572223296</v>
      </c>
      <c r="AN91" s="48">
        <f t="shared" si="54"/>
        <v>543.59429929445628</v>
      </c>
      <c r="AO91" s="47">
        <f t="shared" si="55"/>
        <v>2.7580916239482121</v>
      </c>
      <c r="AP91" s="47">
        <f t="shared" si="56"/>
        <v>0.66426222519599976</v>
      </c>
      <c r="AQ91">
        <v>2020</v>
      </c>
    </row>
    <row r="92" spans="2:43">
      <c r="B92" s="97"/>
      <c r="C92" s="61"/>
      <c r="D92" s="61"/>
      <c r="E92" s="38" t="s">
        <v>2006</v>
      </c>
      <c r="F92" s="39" t="s">
        <v>766</v>
      </c>
      <c r="G92" s="39">
        <v>25</v>
      </c>
      <c r="H92" s="39"/>
      <c r="I92" s="40" t="s">
        <v>269</v>
      </c>
      <c r="J92" s="41">
        <v>170</v>
      </c>
      <c r="K92" s="41">
        <v>0.16</v>
      </c>
      <c r="L92" s="41"/>
      <c r="M92" s="42">
        <v>200</v>
      </c>
      <c r="N92" s="42">
        <v>17.809999999999999</v>
      </c>
      <c r="O92" s="43">
        <v>27.22</v>
      </c>
      <c r="P92" s="44">
        <v>1600</v>
      </c>
      <c r="Q92" s="44">
        <v>3027.7</v>
      </c>
      <c r="R92" s="45">
        <v>0.03</v>
      </c>
      <c r="S92" s="46">
        <v>0</v>
      </c>
      <c r="T92" s="39">
        <f t="shared" si="38"/>
        <v>25</v>
      </c>
      <c r="U92" s="47">
        <f t="shared" si="39"/>
        <v>1.1748800392232081E-3</v>
      </c>
      <c r="V92" s="48">
        <f t="shared" si="40"/>
        <v>-182.19</v>
      </c>
      <c r="W92" s="49">
        <f t="shared" si="41"/>
        <v>4.6995201568928324E-5</v>
      </c>
      <c r="X92" s="44">
        <f t="shared" si="42"/>
        <v>16.418931159919769</v>
      </c>
      <c r="Y92" s="44">
        <f t="shared" si="43"/>
        <v>1427.6999999999998</v>
      </c>
      <c r="Z92" s="44">
        <f t="shared" si="44"/>
        <v>204.58955387448205</v>
      </c>
      <c r="AA92" s="50">
        <f t="shared" si="45"/>
        <v>3044.1189311599196</v>
      </c>
      <c r="AB92" s="51">
        <f t="shared" si="46"/>
        <v>191.25881450358233</v>
      </c>
      <c r="AC92" s="44">
        <f t="shared" si="47"/>
        <v>2845.7688428156675</v>
      </c>
      <c r="AD92" s="44">
        <f t="shared" si="48"/>
        <v>59.594241743821946</v>
      </c>
      <c r="AE92" s="44">
        <f t="shared" si="49"/>
        <v>0</v>
      </c>
      <c r="AF92" s="52">
        <f>HLOOKUP(I92,GasAvoidedCostsWOCC!$A$5:$G$50,G92+1,FALSE)</f>
        <v>16.472554524074432</v>
      </c>
      <c r="AG92" s="44">
        <f t="shared" si="50"/>
        <v>448.05348305482454</v>
      </c>
      <c r="AH92" s="52">
        <f>HLOOKUP(I92,GasAvoidedCostsWOCC!$A$5:$Q$50,T92+1,FALSE)</f>
        <v>16.472554524074432</v>
      </c>
      <c r="AI92" s="44">
        <f t="shared" si="51"/>
        <v>0</v>
      </c>
      <c r="AJ92" s="44">
        <f t="shared" si="52"/>
        <v>448.05348305482454</v>
      </c>
      <c r="AK92" s="44">
        <f>HLOOKUP(I92,GasAvoidedCostsWOCC!$A$5:$Q$50,G92+1,FALSE)*J92*L92</f>
        <v>0</v>
      </c>
      <c r="AL92" s="44">
        <f t="shared" si="53"/>
        <v>448.05348305482454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448.05348305482454</v>
      </c>
      <c r="AN92" s="48">
        <f t="shared" si="54"/>
        <v>552.45307310412898</v>
      </c>
      <c r="AO92" s="47">
        <f t="shared" si="55"/>
        <v>2.3426553396650505</v>
      </c>
      <c r="AP92" s="47">
        <f t="shared" si="56"/>
        <v>0.19413139422719924</v>
      </c>
      <c r="AQ92">
        <v>2020</v>
      </c>
    </row>
    <row r="93" spans="2:43">
      <c r="B93" s="97"/>
      <c r="C93" s="61"/>
      <c r="D93" s="61"/>
      <c r="E93" s="38" t="s">
        <v>765</v>
      </c>
      <c r="F93" s="39" t="s">
        <v>766</v>
      </c>
      <c r="G93" s="39">
        <v>25</v>
      </c>
      <c r="H93" s="39"/>
      <c r="I93" s="40" t="s">
        <v>269</v>
      </c>
      <c r="J93" s="41">
        <v>249.88</v>
      </c>
      <c r="K93" s="41">
        <v>0.16</v>
      </c>
      <c r="L93" s="41"/>
      <c r="M93" s="42">
        <v>200</v>
      </c>
      <c r="N93" s="42">
        <v>17.809999999999999</v>
      </c>
      <c r="O93" s="43">
        <v>40.01</v>
      </c>
      <c r="P93" s="44">
        <v>3000</v>
      </c>
      <c r="Q93" s="44">
        <v>4450.3599999999997</v>
      </c>
      <c r="R93" s="45">
        <v>0</v>
      </c>
      <c r="S93" s="46">
        <v>0</v>
      </c>
      <c r="T93" s="39">
        <f t="shared" si="38"/>
        <v>25</v>
      </c>
      <c r="U93" s="47">
        <f t="shared" si="39"/>
        <v>1.726926905559168E-3</v>
      </c>
      <c r="V93" s="48">
        <f t="shared" si="40"/>
        <v>-182.19</v>
      </c>
      <c r="W93" s="49">
        <f t="shared" si="41"/>
        <v>6.9077076222366719E-5</v>
      </c>
      <c r="X93" s="44">
        <f t="shared" si="42"/>
        <v>24.133777946671195</v>
      </c>
      <c r="Y93" s="44">
        <f t="shared" si="43"/>
        <v>1450.3599999999997</v>
      </c>
      <c r="Z93" s="44">
        <f t="shared" si="44"/>
        <v>300.72108929162482</v>
      </c>
      <c r="AA93" s="50">
        <f t="shared" si="45"/>
        <v>4474.4937779466709</v>
      </c>
      <c r="AB93" s="51">
        <f t="shared" si="46"/>
        <v>281.12656753447209</v>
      </c>
      <c r="AC93" s="44">
        <f t="shared" si="47"/>
        <v>4182.9426735969619</v>
      </c>
      <c r="AD93" s="44">
        <f t="shared" si="48"/>
        <v>0</v>
      </c>
      <c r="AE93" s="44">
        <f t="shared" si="49"/>
        <v>0</v>
      </c>
      <c r="AF93" s="52">
        <f>HLOOKUP(I93,GasAvoidedCostsWOCC!$A$5:$G$50,G93+1,FALSE)</f>
        <v>16.472554524074432</v>
      </c>
      <c r="AG93" s="44">
        <f t="shared" si="50"/>
        <v>658.58590791611516</v>
      </c>
      <c r="AH93" s="52">
        <f>HLOOKUP(I93,GasAvoidedCostsWOCC!$A$5:$Q$50,T93+1,FALSE)</f>
        <v>16.472554524074432</v>
      </c>
      <c r="AI93" s="44">
        <f t="shared" si="51"/>
        <v>0</v>
      </c>
      <c r="AJ93" s="44">
        <f t="shared" si="52"/>
        <v>658.58590791611516</v>
      </c>
      <c r="AK93" s="44">
        <f>HLOOKUP(I93,GasAvoidedCostsWOCC!$A$5:$Q$50,G93+1,FALSE)*J93*L93</f>
        <v>0</v>
      </c>
      <c r="AL93" s="44">
        <f t="shared" si="53"/>
        <v>658.58590791611516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658.58590791611505</v>
      </c>
      <c r="AN93" s="48">
        <f t="shared" si="54"/>
        <v>724.44449870772667</v>
      </c>
      <c r="AO93" s="47">
        <f t="shared" si="55"/>
        <v>2.3426669122453481</v>
      </c>
      <c r="AP93" s="47">
        <f t="shared" si="56"/>
        <v>0.17319015708258997</v>
      </c>
      <c r="AQ93">
        <v>2020</v>
      </c>
    </row>
    <row r="94" spans="2:43">
      <c r="B94" s="97"/>
      <c r="C94" s="61"/>
      <c r="D94" s="61"/>
      <c r="E94" s="38" t="s">
        <v>771</v>
      </c>
      <c r="F94" s="39" t="s">
        <v>772</v>
      </c>
      <c r="G94" s="39"/>
      <c r="H94" s="39"/>
      <c r="I94" s="40" t="s">
        <v>269</v>
      </c>
      <c r="J94" s="41">
        <v>445</v>
      </c>
      <c r="K94" s="41">
        <v>0</v>
      </c>
      <c r="L94" s="41"/>
      <c r="M94" s="42">
        <v>250</v>
      </c>
      <c r="N94" s="42">
        <v>0</v>
      </c>
      <c r="O94" s="43">
        <v>0</v>
      </c>
      <c r="P94" s="44">
        <v>111250</v>
      </c>
      <c r="Q94" s="44">
        <v>0</v>
      </c>
      <c r="R94" s="45">
        <v>0</v>
      </c>
      <c r="S94" s="46">
        <v>0</v>
      </c>
      <c r="T94" s="39">
        <f t="shared" si="38"/>
        <v>0</v>
      </c>
      <c r="U94" s="47">
        <f t="shared" si="39"/>
        <v>0</v>
      </c>
      <c r="V94" s="48">
        <f t="shared" si="40"/>
        <v>-250</v>
      </c>
      <c r="W94" s="49">
        <f t="shared" si="41"/>
        <v>0</v>
      </c>
      <c r="X94" s="44">
        <f t="shared" si="42"/>
        <v>0</v>
      </c>
      <c r="Y94" s="44">
        <f t="shared" si="43"/>
        <v>-111250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str">
        <f>HLOOKUP(I94,GasAvoidedCostsWOCC!$A$5:$G$50,G94+1,FALSE)</f>
        <v>SF Space Heat</v>
      </c>
      <c r="AG94" s="44" t="e">
        <f t="shared" si="50"/>
        <v>#VALUE!</v>
      </c>
      <c r="AH94" s="52" t="str">
        <f>HLOOKUP(I94,GasAvoidedCostsWOCC!$A$5:$Q$50,T94+1,FALSE)</f>
        <v>SF Space Heat</v>
      </c>
      <c r="AI94" s="44" t="e">
        <f t="shared" si="51"/>
        <v>#VALUE!</v>
      </c>
      <c r="AJ94" s="44" t="e">
        <f t="shared" si="52"/>
        <v>#VALUE!</v>
      </c>
      <c r="AK94" s="44" t="e">
        <f>HLOOKUP(I94,GasAvoidedCostsWOCC!$A$5:$Q$50,G94+1,FALSE)*J94*L94</f>
        <v>#VALUE!</v>
      </c>
      <c r="AL94" s="44" t="e">
        <f t="shared" si="53"/>
        <v>#VALUE!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  <c r="AQ94">
        <v>2020</v>
      </c>
    </row>
    <row r="95" spans="2:43">
      <c r="B95" s="97"/>
      <c r="C95" s="61"/>
      <c r="D95" s="61"/>
      <c r="E95" s="38" t="s">
        <v>777</v>
      </c>
      <c r="F95" s="39" t="s">
        <v>778</v>
      </c>
      <c r="G95" s="39"/>
      <c r="H95" s="39"/>
      <c r="I95" s="40" t="s">
        <v>269</v>
      </c>
      <c r="J95" s="41">
        <v>104</v>
      </c>
      <c r="K95" s="41">
        <v>0</v>
      </c>
      <c r="L95" s="41"/>
      <c r="M95" s="42">
        <v>400</v>
      </c>
      <c r="N95" s="42">
        <v>0</v>
      </c>
      <c r="O95" s="43">
        <v>0</v>
      </c>
      <c r="P95" s="44">
        <v>41600</v>
      </c>
      <c r="Q95" s="44">
        <v>0</v>
      </c>
      <c r="R95" s="45">
        <v>0</v>
      </c>
      <c r="S95" s="46">
        <v>0</v>
      </c>
      <c r="T95" s="39">
        <f t="shared" si="38"/>
        <v>0</v>
      </c>
      <c r="U95" s="47">
        <f t="shared" si="39"/>
        <v>0</v>
      </c>
      <c r="V95" s="48">
        <f t="shared" si="40"/>
        <v>-400</v>
      </c>
      <c r="W95" s="49">
        <f t="shared" si="41"/>
        <v>0</v>
      </c>
      <c r="X95" s="44">
        <f t="shared" si="42"/>
        <v>0</v>
      </c>
      <c r="Y95" s="44">
        <f t="shared" si="43"/>
        <v>-41600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str">
        <f>HLOOKUP(I95,GasAvoidedCostsWOCC!$A$5:$G$50,G95+1,FALSE)</f>
        <v>SF Space Heat</v>
      </c>
      <c r="AG95" s="44" t="e">
        <f t="shared" si="50"/>
        <v>#VALUE!</v>
      </c>
      <c r="AH95" s="52" t="str">
        <f>HLOOKUP(I95,GasAvoidedCostsWOCC!$A$5:$Q$50,T95+1,FALSE)</f>
        <v>SF Space Heat</v>
      </c>
      <c r="AI95" s="44" t="e">
        <f t="shared" si="51"/>
        <v>#VALUE!</v>
      </c>
      <c r="AJ95" s="44" t="e">
        <f t="shared" si="52"/>
        <v>#VALUE!</v>
      </c>
      <c r="AK95" s="44" t="e">
        <f>HLOOKUP(I95,GasAvoidedCostsWOCC!$A$5:$Q$50,G95+1,FALSE)*J95*L95</f>
        <v>#VALUE!</v>
      </c>
      <c r="AL95" s="44" t="e">
        <f t="shared" si="53"/>
        <v>#VALUE!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  <c r="AQ95">
        <v>2020</v>
      </c>
    </row>
    <row r="96" spans="2:43">
      <c r="B96" s="97"/>
      <c r="C96" s="61"/>
      <c r="D96" s="61"/>
      <c r="E96" s="38" t="s">
        <v>782</v>
      </c>
      <c r="F96" s="39" t="s">
        <v>783</v>
      </c>
      <c r="G96" s="39">
        <v>45</v>
      </c>
      <c r="H96" s="39"/>
      <c r="I96" s="40" t="s">
        <v>269</v>
      </c>
      <c r="J96" s="41">
        <v>1120</v>
      </c>
      <c r="K96" s="41">
        <v>0.1</v>
      </c>
      <c r="L96" s="41"/>
      <c r="M96" s="42">
        <v>1</v>
      </c>
      <c r="N96" s="42">
        <v>1.24</v>
      </c>
      <c r="O96" s="43">
        <v>112</v>
      </c>
      <c r="P96" s="44">
        <v>1200</v>
      </c>
      <c r="Q96" s="44">
        <v>1388.8</v>
      </c>
      <c r="R96" s="45">
        <v>0</v>
      </c>
      <c r="S96" s="46">
        <v>0</v>
      </c>
      <c r="T96" s="39">
        <f t="shared" si="38"/>
        <v>45</v>
      </c>
      <c r="U96" s="47">
        <f t="shared" si="39"/>
        <v>8.7015362199632171E-3</v>
      </c>
      <c r="V96" s="48">
        <f t="shared" si="40"/>
        <v>0.24</v>
      </c>
      <c r="W96" s="49">
        <f t="shared" si="41"/>
        <v>1.9336747155473816E-4</v>
      </c>
      <c r="X96" s="44">
        <f t="shared" si="42"/>
        <v>67.557688828472237</v>
      </c>
      <c r="Y96" s="44">
        <f t="shared" si="43"/>
        <v>188.79999999999995</v>
      </c>
      <c r="Z96" s="44">
        <f t="shared" si="44"/>
        <v>841.80859786708277</v>
      </c>
      <c r="AA96" s="50">
        <f t="shared" si="45"/>
        <v>1456.3576888284722</v>
      </c>
      <c r="AB96" s="51">
        <f t="shared" si="46"/>
        <v>786.95764968410083</v>
      </c>
      <c r="AC96" s="44">
        <f t="shared" si="47"/>
        <v>1361.4636709623933</v>
      </c>
      <c r="AD96" s="44">
        <f t="shared" si="48"/>
        <v>0</v>
      </c>
      <c r="AE96" s="44">
        <f t="shared" si="49"/>
        <v>0</v>
      </c>
      <c r="AF96" s="52">
        <f>HLOOKUP(I96,GasAvoidedCostsWOCC!$A$5:$G$50,G96+1,FALSE)</f>
        <v>27.444232870165703</v>
      </c>
      <c r="AG96" s="44">
        <f t="shared" si="50"/>
        <v>3073.7540814585591</v>
      </c>
      <c r="AH96" s="52">
        <f>HLOOKUP(I96,GasAvoidedCostsWOCC!$A$5:$Q$50,T96+1,FALSE)</f>
        <v>27.444232870165703</v>
      </c>
      <c r="AI96" s="44">
        <f t="shared" si="51"/>
        <v>0</v>
      </c>
      <c r="AJ96" s="44">
        <f t="shared" si="52"/>
        <v>3073.7540814585591</v>
      </c>
      <c r="AK96" s="44">
        <f>HLOOKUP(I96,GasAvoidedCostsWOCC!$A$5:$Q$50,G96+1,FALSE)*J96*L96</f>
        <v>0</v>
      </c>
      <c r="AL96" s="44">
        <f t="shared" si="53"/>
        <v>3073.7540814585591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3073.7540814585586</v>
      </c>
      <c r="AN96" s="48">
        <f t="shared" si="54"/>
        <v>3381.1294896044146</v>
      </c>
      <c r="AO96" s="47">
        <f t="shared" si="55"/>
        <v>3.90586975384561</v>
      </c>
      <c r="AP96" s="47">
        <f t="shared" si="56"/>
        <v>2.4834518626665649</v>
      </c>
      <c r="AQ96">
        <v>2020</v>
      </c>
    </row>
    <row r="97" spans="2:43">
      <c r="B97" s="97"/>
      <c r="C97" s="61"/>
      <c r="D97" s="61"/>
      <c r="E97" s="38" t="s">
        <v>789</v>
      </c>
      <c r="F97" s="39" t="s">
        <v>790</v>
      </c>
      <c r="G97" s="39">
        <v>45</v>
      </c>
      <c r="H97" s="39"/>
      <c r="I97" s="40" t="s">
        <v>269</v>
      </c>
      <c r="J97" s="41">
        <v>3201</v>
      </c>
      <c r="K97" s="41">
        <v>0.03</v>
      </c>
      <c r="L97" s="41"/>
      <c r="M97" s="42">
        <v>1</v>
      </c>
      <c r="N97" s="42">
        <v>1.0900000000000001</v>
      </c>
      <c r="O97" s="43">
        <v>96.03</v>
      </c>
      <c r="P97" s="44">
        <v>3155.27</v>
      </c>
      <c r="Q97" s="44">
        <v>3489.09</v>
      </c>
      <c r="R97" s="45">
        <v>0</v>
      </c>
      <c r="S97" s="46">
        <v>0</v>
      </c>
      <c r="T97" s="39">
        <f t="shared" si="38"/>
        <v>45</v>
      </c>
      <c r="U97" s="47">
        <f t="shared" si="39"/>
        <v>7.4607903857416757E-3</v>
      </c>
      <c r="V97" s="48">
        <f t="shared" si="40"/>
        <v>9.000000000000008E-2</v>
      </c>
      <c r="W97" s="49">
        <f t="shared" si="41"/>
        <v>1.6579534190537057E-4</v>
      </c>
      <c r="X97" s="44">
        <f t="shared" si="42"/>
        <v>57.924686233912396</v>
      </c>
      <c r="Y97" s="44">
        <f t="shared" si="43"/>
        <v>333.82000000000016</v>
      </c>
      <c r="Z97" s="44">
        <f t="shared" si="44"/>
        <v>721.7757111890711</v>
      </c>
      <c r="AA97" s="50">
        <f t="shared" si="45"/>
        <v>3547.0146862339125</v>
      </c>
      <c r="AB97" s="51">
        <f t="shared" si="46"/>
        <v>674.74592052825187</v>
      </c>
      <c r="AC97" s="44">
        <f t="shared" si="47"/>
        <v>3315.8966871402376</v>
      </c>
      <c r="AD97" s="44">
        <f t="shared" si="48"/>
        <v>0</v>
      </c>
      <c r="AE97" s="44">
        <f t="shared" si="49"/>
        <v>0</v>
      </c>
      <c r="AF97" s="52">
        <f>HLOOKUP(I97,GasAvoidedCostsWOCC!$A$5:$G$50,G97+1,FALSE)</f>
        <v>27.444232870165703</v>
      </c>
      <c r="AG97" s="44">
        <f t="shared" si="50"/>
        <v>2635.4696825220121</v>
      </c>
      <c r="AH97" s="52">
        <f>HLOOKUP(I97,GasAvoidedCostsWOCC!$A$5:$Q$50,T97+1,FALSE)</f>
        <v>27.444232870165703</v>
      </c>
      <c r="AI97" s="44">
        <f t="shared" si="51"/>
        <v>0</v>
      </c>
      <c r="AJ97" s="44">
        <f t="shared" si="52"/>
        <v>2635.4696825220121</v>
      </c>
      <c r="AK97" s="44">
        <f>HLOOKUP(I97,GasAvoidedCostsWOCC!$A$5:$Q$50,G97+1,FALSE)*J97*L97</f>
        <v>0</v>
      </c>
      <c r="AL97" s="44">
        <f t="shared" si="53"/>
        <v>2635.4696825220121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2635.4696825220121</v>
      </c>
      <c r="AN97" s="48">
        <f t="shared" si="54"/>
        <v>2899.0166507742138</v>
      </c>
      <c r="AO97" s="47">
        <f t="shared" si="55"/>
        <v>3.9058697538456091</v>
      </c>
      <c r="AP97" s="47">
        <f t="shared" si="56"/>
        <v>0.87427833985818237</v>
      </c>
      <c r="AQ97">
        <v>2020</v>
      </c>
    </row>
    <row r="98" spans="2:43">
      <c r="B98" s="97"/>
      <c r="C98" s="61"/>
      <c r="D98" s="61"/>
      <c r="E98" s="38" t="s">
        <v>799</v>
      </c>
      <c r="F98" s="39" t="s">
        <v>800</v>
      </c>
      <c r="G98" s="39">
        <v>45</v>
      </c>
      <c r="H98" s="39"/>
      <c r="I98" s="40" t="s">
        <v>269</v>
      </c>
      <c r="J98" s="41">
        <v>5020</v>
      </c>
      <c r="K98" s="41">
        <v>0.04</v>
      </c>
      <c r="L98" s="41"/>
      <c r="M98" s="42">
        <v>0.5</v>
      </c>
      <c r="N98" s="42">
        <v>1.46</v>
      </c>
      <c r="O98" s="43">
        <v>200.8</v>
      </c>
      <c r="P98" s="44">
        <v>2000</v>
      </c>
      <c r="Q98" s="44">
        <v>7329.2</v>
      </c>
      <c r="R98" s="45">
        <v>0</v>
      </c>
      <c r="S98" s="46">
        <v>0</v>
      </c>
      <c r="T98" s="39">
        <f t="shared" si="38"/>
        <v>45</v>
      </c>
      <c r="U98" s="47">
        <f t="shared" si="39"/>
        <v>1.5600611365791198E-2</v>
      </c>
      <c r="V98" s="48">
        <f t="shared" si="40"/>
        <v>0.96</v>
      </c>
      <c r="W98" s="49">
        <f t="shared" si="41"/>
        <v>3.4668025257313773E-4</v>
      </c>
      <c r="X98" s="44">
        <f t="shared" si="42"/>
        <v>121.12128497104666</v>
      </c>
      <c r="Y98" s="44">
        <f t="shared" si="43"/>
        <v>5329.2</v>
      </c>
      <c r="Z98" s="44">
        <f t="shared" si="44"/>
        <v>1509.2425576045557</v>
      </c>
      <c r="AA98" s="50">
        <f t="shared" si="45"/>
        <v>7450.3212849710462</v>
      </c>
      <c r="AB98" s="51">
        <f t="shared" si="46"/>
        <v>1410.9026433622096</v>
      </c>
      <c r="AC98" s="44">
        <f t="shared" si="47"/>
        <v>6964.8698560073344</v>
      </c>
      <c r="AD98" s="44">
        <f t="shared" si="48"/>
        <v>0</v>
      </c>
      <c r="AE98" s="44">
        <f t="shared" si="49"/>
        <v>0</v>
      </c>
      <c r="AF98" s="52">
        <f>HLOOKUP(I98,GasAvoidedCostsWOCC!$A$5:$G$50,G98+1,FALSE)</f>
        <v>27.444232870165703</v>
      </c>
      <c r="AG98" s="44">
        <f t="shared" si="50"/>
        <v>5510.8019603292723</v>
      </c>
      <c r="AH98" s="52">
        <f>HLOOKUP(I98,GasAvoidedCostsWOCC!$A$5:$Q$50,T98+1,FALSE)</f>
        <v>27.444232870165703</v>
      </c>
      <c r="AI98" s="44">
        <f t="shared" si="51"/>
        <v>0</v>
      </c>
      <c r="AJ98" s="44">
        <f t="shared" si="52"/>
        <v>5510.8019603292723</v>
      </c>
      <c r="AK98" s="44">
        <f>HLOOKUP(I98,GasAvoidedCostsWOCC!$A$5:$Q$50,G98+1,FALSE)*J98*L98</f>
        <v>0</v>
      </c>
      <c r="AL98" s="44">
        <f t="shared" si="53"/>
        <v>5510.8019603292723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5510.8019603292732</v>
      </c>
      <c r="AN98" s="48">
        <f t="shared" si="54"/>
        <v>6061.8821563622014</v>
      </c>
      <c r="AO98" s="47">
        <f t="shared" si="55"/>
        <v>3.9058697538456095</v>
      </c>
      <c r="AP98" s="47">
        <f t="shared" si="56"/>
        <v>0.87035110227274548</v>
      </c>
      <c r="AQ98">
        <v>2020</v>
      </c>
    </row>
    <row r="99" spans="2:43">
      <c r="B99" s="97"/>
      <c r="C99" s="61"/>
      <c r="D99" s="61"/>
      <c r="E99" s="38" t="s">
        <v>807</v>
      </c>
      <c r="F99" s="39" t="s">
        <v>808</v>
      </c>
      <c r="G99" s="39">
        <v>45</v>
      </c>
      <c r="H99" s="39"/>
      <c r="I99" s="40" t="s">
        <v>269</v>
      </c>
      <c r="J99" s="41">
        <v>968</v>
      </c>
      <c r="K99" s="41">
        <v>0.09</v>
      </c>
      <c r="L99" s="41"/>
      <c r="M99" s="42">
        <v>1.54</v>
      </c>
      <c r="N99" s="42">
        <v>1.54</v>
      </c>
      <c r="O99" s="43">
        <v>87.12</v>
      </c>
      <c r="P99" s="44">
        <v>896.86</v>
      </c>
      <c r="Q99" s="44">
        <v>1490.72</v>
      </c>
      <c r="R99" s="45">
        <v>0</v>
      </c>
      <c r="S99" s="46">
        <v>0</v>
      </c>
      <c r="T99" s="39">
        <f t="shared" si="38"/>
        <v>45</v>
      </c>
      <c r="U99" s="47">
        <f t="shared" si="39"/>
        <v>6.7685521025285314E-3</v>
      </c>
      <c r="V99" s="48">
        <f t="shared" si="40"/>
        <v>0</v>
      </c>
      <c r="W99" s="49">
        <f t="shared" si="41"/>
        <v>1.5041226894507847E-4</v>
      </c>
      <c r="X99" s="44">
        <f t="shared" si="42"/>
        <v>52.550230810147333</v>
      </c>
      <c r="Y99" s="44">
        <f t="shared" si="43"/>
        <v>593.86</v>
      </c>
      <c r="Z99" s="44">
        <f t="shared" si="44"/>
        <v>654.8068307694665</v>
      </c>
      <c r="AA99" s="50">
        <f t="shared" si="45"/>
        <v>1543.2702308101473</v>
      </c>
      <c r="AB99" s="51">
        <f t="shared" si="46"/>
        <v>612.14062893284699</v>
      </c>
      <c r="AC99" s="44">
        <f t="shared" si="47"/>
        <v>1442.713125932642</v>
      </c>
      <c r="AD99" s="44">
        <f t="shared" si="48"/>
        <v>0</v>
      </c>
      <c r="AE99" s="44">
        <f t="shared" si="49"/>
        <v>0</v>
      </c>
      <c r="AF99" s="52">
        <f>HLOOKUP(I99,GasAvoidedCostsWOCC!$A$5:$G$50,G99+1,FALSE)</f>
        <v>27.444232870165703</v>
      </c>
      <c r="AG99" s="44">
        <f t="shared" si="50"/>
        <v>2390.9415676488361</v>
      </c>
      <c r="AH99" s="52">
        <f>HLOOKUP(I99,GasAvoidedCostsWOCC!$A$5:$Q$50,T99+1,FALSE)</f>
        <v>27.444232870165703</v>
      </c>
      <c r="AI99" s="44">
        <f t="shared" si="51"/>
        <v>0</v>
      </c>
      <c r="AJ99" s="44">
        <f t="shared" si="52"/>
        <v>2390.9415676488361</v>
      </c>
      <c r="AK99" s="44">
        <f>HLOOKUP(I99,GasAvoidedCostsWOCC!$A$5:$Q$50,G99+1,FALSE)*J99*L99</f>
        <v>0</v>
      </c>
      <c r="AL99" s="44">
        <f t="shared" si="53"/>
        <v>2390.9415676488361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2390.9415676488361</v>
      </c>
      <c r="AN99" s="48">
        <f t="shared" si="54"/>
        <v>2630.0357244137199</v>
      </c>
      <c r="AO99" s="47">
        <f t="shared" si="55"/>
        <v>3.9058697538456104</v>
      </c>
      <c r="AP99" s="47">
        <f t="shared" si="56"/>
        <v>1.8229789950192163</v>
      </c>
      <c r="AQ99">
        <v>2020</v>
      </c>
    </row>
    <row r="100" spans="2:43">
      <c r="B100" s="97"/>
      <c r="C100" s="61"/>
      <c r="D100" s="61"/>
      <c r="E100" s="38" t="s">
        <v>814</v>
      </c>
      <c r="F100" s="39" t="s">
        <v>815</v>
      </c>
      <c r="G100" s="39">
        <v>45</v>
      </c>
      <c r="H100" s="39"/>
      <c r="I100" s="40" t="s">
        <v>269</v>
      </c>
      <c r="J100" s="41">
        <v>398.7</v>
      </c>
      <c r="K100" s="41">
        <v>0.64</v>
      </c>
      <c r="L100" s="41"/>
      <c r="M100" s="42">
        <v>200</v>
      </c>
      <c r="N100" s="42">
        <v>20.5</v>
      </c>
      <c r="O100" s="43">
        <v>255.17</v>
      </c>
      <c r="P100" s="44">
        <v>3800</v>
      </c>
      <c r="Q100" s="44">
        <v>8173.35</v>
      </c>
      <c r="R100" s="45">
        <v>0</v>
      </c>
      <c r="S100" s="46">
        <v>0</v>
      </c>
      <c r="T100" s="39">
        <f t="shared" si="38"/>
        <v>45</v>
      </c>
      <c r="U100" s="47">
        <f t="shared" si="39"/>
        <v>1.9824741046857268E-2</v>
      </c>
      <c r="V100" s="48">
        <f t="shared" si="40"/>
        <v>-179.5</v>
      </c>
      <c r="W100" s="49">
        <f t="shared" si="41"/>
        <v>4.4054980104127263E-4</v>
      </c>
      <c r="X100" s="44">
        <f t="shared" si="42"/>
        <v>153.91692373536839</v>
      </c>
      <c r="Y100" s="44">
        <f t="shared" si="43"/>
        <v>4373.3500000000004</v>
      </c>
      <c r="Z100" s="44">
        <f t="shared" si="44"/>
        <v>1917.8955349798525</v>
      </c>
      <c r="AA100" s="50">
        <f t="shared" si="45"/>
        <v>8327.2669237353693</v>
      </c>
      <c r="AB100" s="51">
        <f t="shared" si="46"/>
        <v>1792.9284238383214</v>
      </c>
      <c r="AC100" s="44">
        <f t="shared" si="47"/>
        <v>7784.6750712679896</v>
      </c>
      <c r="AD100" s="44">
        <f t="shared" si="48"/>
        <v>0</v>
      </c>
      <c r="AE100" s="44">
        <f t="shared" si="49"/>
        <v>0</v>
      </c>
      <c r="AF100" s="52">
        <f>HLOOKUP(I100,GasAvoidedCostsWOCC!$A$5:$G$50,G100+1,FALSE)</f>
        <v>27.444232870165703</v>
      </c>
      <c r="AG100" s="44">
        <f t="shared" si="50"/>
        <v>7002.8900130144411</v>
      </c>
      <c r="AH100" s="52">
        <f>HLOOKUP(I100,GasAvoidedCostsWOCC!$A$5:$Q$50,T100+1,FALSE)</f>
        <v>27.444232870165703</v>
      </c>
      <c r="AI100" s="44">
        <f t="shared" si="51"/>
        <v>0</v>
      </c>
      <c r="AJ100" s="44">
        <f t="shared" si="52"/>
        <v>7002.8900130144411</v>
      </c>
      <c r="AK100" s="44">
        <f>HLOOKUP(I100,GasAvoidedCostsWOCC!$A$5:$Q$50,G100+1,FALSE)*J100*L100</f>
        <v>0</v>
      </c>
      <c r="AL100" s="44">
        <f t="shared" si="53"/>
        <v>7002.8900130144411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7002.890013014442</v>
      </c>
      <c r="AN100" s="48">
        <f t="shared" si="54"/>
        <v>7703.1790143158869</v>
      </c>
      <c r="AO100" s="47">
        <f t="shared" si="55"/>
        <v>3.9058391399822736</v>
      </c>
      <c r="AP100" s="47">
        <f t="shared" si="56"/>
        <v>0.98953121919591847</v>
      </c>
      <c r="AQ100">
        <v>2020</v>
      </c>
    </row>
    <row r="101" spans="2:43">
      <c r="B101" s="97"/>
      <c r="C101" s="61"/>
      <c r="D101" s="61"/>
      <c r="E101" s="38" t="s">
        <v>828</v>
      </c>
      <c r="F101" s="39" t="s">
        <v>829</v>
      </c>
      <c r="G101" s="39">
        <v>20</v>
      </c>
      <c r="H101" s="39"/>
      <c r="I101" s="40" t="s">
        <v>269</v>
      </c>
      <c r="J101" s="41">
        <v>4</v>
      </c>
      <c r="K101" s="41">
        <v>75.33</v>
      </c>
      <c r="L101" s="41"/>
      <c r="M101" s="42">
        <v>800</v>
      </c>
      <c r="N101" s="42">
        <v>1000</v>
      </c>
      <c r="O101" s="43">
        <v>301.32</v>
      </c>
      <c r="P101" s="44">
        <v>2349.12</v>
      </c>
      <c r="Q101" s="44">
        <v>4000</v>
      </c>
      <c r="R101" s="45">
        <v>0</v>
      </c>
      <c r="S101" s="46">
        <v>0</v>
      </c>
      <c r="T101" s="39">
        <f t="shared" si="38"/>
        <v>20</v>
      </c>
      <c r="U101" s="47">
        <f t="shared" si="39"/>
        <v>1.0404551165870305E-2</v>
      </c>
      <c r="V101" s="48">
        <f t="shared" si="40"/>
        <v>200</v>
      </c>
      <c r="W101" s="49">
        <f t="shared" si="41"/>
        <v>5.2022755829351521E-4</v>
      </c>
      <c r="X101" s="44">
        <f t="shared" si="42"/>
        <v>181.75431069460049</v>
      </c>
      <c r="Y101" s="44">
        <f t="shared" si="43"/>
        <v>1650.88</v>
      </c>
      <c r="Z101" s="44">
        <f t="shared" si="44"/>
        <v>2264.7657741902622</v>
      </c>
      <c r="AA101" s="50">
        <f t="shared" si="45"/>
        <v>4181.7543106946005</v>
      </c>
      <c r="AB101" s="51">
        <f t="shared" si="46"/>
        <v>2117.1971339536899</v>
      </c>
      <c r="AC101" s="44">
        <f t="shared" si="47"/>
        <v>3909.2776579364308</v>
      </c>
      <c r="AD101" s="44">
        <f t="shared" si="48"/>
        <v>0</v>
      </c>
      <c r="AE101" s="44">
        <f t="shared" si="49"/>
        <v>0</v>
      </c>
      <c r="AF101" s="52">
        <f>HLOOKUP(I101,GasAvoidedCostsWOCC!$A$5:$G$50,G101+1,FALSE)</f>
        <v>13.765480191058694</v>
      </c>
      <c r="AG101" s="44">
        <f t="shared" si="50"/>
        <v>4147.8144911698055</v>
      </c>
      <c r="AH101" s="52">
        <f>HLOOKUP(I101,GasAvoidedCostsWOCC!$A$5:$Q$50,T101+1,FALSE)</f>
        <v>13.765480191058694</v>
      </c>
      <c r="AI101" s="44">
        <f t="shared" si="51"/>
        <v>0</v>
      </c>
      <c r="AJ101" s="44">
        <f t="shared" si="52"/>
        <v>4147.8144911698055</v>
      </c>
      <c r="AK101" s="44">
        <f>HLOOKUP(I101,GasAvoidedCostsWOCC!$A$5:$Q$50,G101+1,FALSE)*J101*L101</f>
        <v>0</v>
      </c>
      <c r="AL101" s="44">
        <f t="shared" si="53"/>
        <v>4147.8144911698055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4147.8144911698055</v>
      </c>
      <c r="AN101" s="48">
        <f t="shared" si="54"/>
        <v>4562.5959402867866</v>
      </c>
      <c r="AO101" s="47">
        <f t="shared" si="55"/>
        <v>1.9591064169939179</v>
      </c>
      <c r="AP101" s="47">
        <f t="shared" si="56"/>
        <v>1.1671199488795634</v>
      </c>
      <c r="AQ101">
        <v>2020</v>
      </c>
    </row>
    <row r="102" spans="2:43">
      <c r="B102" s="97"/>
      <c r="C102" s="61"/>
      <c r="D102" s="61"/>
      <c r="E102" s="38" t="s">
        <v>835</v>
      </c>
      <c r="F102" s="39" t="s">
        <v>836</v>
      </c>
      <c r="G102" s="39">
        <v>45</v>
      </c>
      <c r="H102" s="39"/>
      <c r="I102" s="40" t="s">
        <v>269</v>
      </c>
      <c r="J102" s="41">
        <v>607237</v>
      </c>
      <c r="K102" s="41">
        <v>0.01</v>
      </c>
      <c r="L102" s="41"/>
      <c r="M102" s="42">
        <v>0.08</v>
      </c>
      <c r="N102" s="42">
        <v>0.2</v>
      </c>
      <c r="O102" s="43">
        <v>6072.37</v>
      </c>
      <c r="P102" s="44">
        <v>49860.78</v>
      </c>
      <c r="Q102" s="44">
        <v>121882.6</v>
      </c>
      <c r="R102" s="45">
        <v>0</v>
      </c>
      <c r="S102" s="46">
        <v>0</v>
      </c>
      <c r="T102" s="39">
        <f t="shared" si="38"/>
        <v>45</v>
      </c>
      <c r="U102" s="47">
        <f t="shared" si="39"/>
        <v>0.47177631692873251</v>
      </c>
      <c r="V102" s="48">
        <f t="shared" si="40"/>
        <v>0.12000000000000001</v>
      </c>
      <c r="W102" s="49">
        <f t="shared" si="41"/>
        <v>1.0483918153971834E-2</v>
      </c>
      <c r="X102" s="44">
        <f t="shared" si="42"/>
        <v>3662.8150259941963</v>
      </c>
      <c r="Y102" s="44">
        <f t="shared" si="43"/>
        <v>72021.820000000007</v>
      </c>
      <c r="Z102" s="44">
        <f t="shared" si="44"/>
        <v>45640.832816340517</v>
      </c>
      <c r="AA102" s="50">
        <f t="shared" si="45"/>
        <v>125545.4150259942</v>
      </c>
      <c r="AB102" s="51">
        <f t="shared" si="46"/>
        <v>42666.94663582361</v>
      </c>
      <c r="AC102" s="44">
        <f t="shared" si="47"/>
        <v>117365.0696699955</v>
      </c>
      <c r="AD102" s="44">
        <f t="shared" si="48"/>
        <v>0</v>
      </c>
      <c r="AE102" s="44">
        <f t="shared" si="49"/>
        <v>0</v>
      </c>
      <c r="AF102" s="52">
        <f>HLOOKUP(I102,GasAvoidedCostsWOCC!$A$5:$G$50,G102+1,FALSE)</f>
        <v>27.444232870165703</v>
      </c>
      <c r="AG102" s="44">
        <f t="shared" si="50"/>
        <v>166651.5363538081</v>
      </c>
      <c r="AH102" s="52">
        <f>HLOOKUP(I102,GasAvoidedCostsWOCC!$A$5:$Q$50,T102+1,FALSE)</f>
        <v>27.444232870165703</v>
      </c>
      <c r="AI102" s="44">
        <f t="shared" si="51"/>
        <v>0</v>
      </c>
      <c r="AJ102" s="44">
        <f t="shared" si="52"/>
        <v>166651.5363538081</v>
      </c>
      <c r="AK102" s="44">
        <f>HLOOKUP(I102,GasAvoidedCostsWOCC!$A$5:$Q$50,G102+1,FALSE)*J102*L102</f>
        <v>0</v>
      </c>
      <c r="AL102" s="44">
        <f t="shared" si="53"/>
        <v>166651.5363538081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166651.5363538081</v>
      </c>
      <c r="AN102" s="48">
        <f t="shared" si="54"/>
        <v>183316.68998918892</v>
      </c>
      <c r="AO102" s="47">
        <f t="shared" si="55"/>
        <v>3.9058697538456091</v>
      </c>
      <c r="AP102" s="47">
        <f t="shared" si="56"/>
        <v>1.5619356807322207</v>
      </c>
      <c r="AQ102">
        <v>2020</v>
      </c>
    </row>
    <row r="103" spans="2:43">
      <c r="B103" s="97"/>
      <c r="C103" s="61"/>
      <c r="D103" s="61"/>
      <c r="E103" s="38" t="s">
        <v>837</v>
      </c>
      <c r="F103" s="39" t="s">
        <v>838</v>
      </c>
      <c r="G103" s="39">
        <v>45</v>
      </c>
      <c r="H103" s="39"/>
      <c r="I103" s="40" t="s">
        <v>269</v>
      </c>
      <c r="J103" s="41">
        <v>5321</v>
      </c>
      <c r="K103" s="41">
        <v>0.01</v>
      </c>
      <c r="L103" s="41"/>
      <c r="M103" s="42">
        <v>0.2</v>
      </c>
      <c r="N103" s="42">
        <v>0.2</v>
      </c>
      <c r="O103" s="43">
        <v>53.21</v>
      </c>
      <c r="P103" s="44">
        <v>962.52</v>
      </c>
      <c r="Q103" s="44">
        <v>1064.2</v>
      </c>
      <c r="R103" s="45">
        <v>0</v>
      </c>
      <c r="S103" s="46">
        <v>0</v>
      </c>
      <c r="T103" s="39">
        <f t="shared" si="38"/>
        <v>45</v>
      </c>
      <c r="U103" s="47">
        <f t="shared" si="39"/>
        <v>4.1340066273593103E-3</v>
      </c>
      <c r="V103" s="48">
        <f t="shared" si="40"/>
        <v>0</v>
      </c>
      <c r="W103" s="49">
        <f t="shared" si="41"/>
        <v>9.1866813941318009E-5</v>
      </c>
      <c r="X103" s="44">
        <f t="shared" si="42"/>
        <v>32.095934130026855</v>
      </c>
      <c r="Y103" s="44">
        <f t="shared" si="43"/>
        <v>101.68000000000006</v>
      </c>
      <c r="Z103" s="44">
        <f t="shared" si="44"/>
        <v>399.93424546881675</v>
      </c>
      <c r="AA103" s="50">
        <f t="shared" si="45"/>
        <v>1096.2959341300268</v>
      </c>
      <c r="AB103" s="51">
        <f t="shared" si="46"/>
        <v>373.87514767581257</v>
      </c>
      <c r="AC103" s="44">
        <f t="shared" si="47"/>
        <v>1024.862984135764</v>
      </c>
      <c r="AD103" s="44">
        <f t="shared" si="48"/>
        <v>0</v>
      </c>
      <c r="AE103" s="44">
        <f t="shared" si="49"/>
        <v>0</v>
      </c>
      <c r="AF103" s="52">
        <f>HLOOKUP(I103,GasAvoidedCostsWOCC!$A$5:$G$50,G103+1,FALSE)</f>
        <v>27.444232870165703</v>
      </c>
      <c r="AG103" s="44">
        <f t="shared" si="50"/>
        <v>1460.3076310215172</v>
      </c>
      <c r="AH103" s="52">
        <f>HLOOKUP(I103,GasAvoidedCostsWOCC!$A$5:$Q$50,T103+1,FALSE)</f>
        <v>27.444232870165703</v>
      </c>
      <c r="AI103" s="44">
        <f t="shared" si="51"/>
        <v>0</v>
      </c>
      <c r="AJ103" s="44">
        <f t="shared" si="52"/>
        <v>1460.3076310215172</v>
      </c>
      <c r="AK103" s="44">
        <f>HLOOKUP(I103,GasAvoidedCostsWOCC!$A$5:$Q$50,G103+1,FALSE)*J103*L103</f>
        <v>0</v>
      </c>
      <c r="AL103" s="44">
        <f t="shared" si="53"/>
        <v>1460.3076310215172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1460.307631021517</v>
      </c>
      <c r="AN103" s="48">
        <f t="shared" si="54"/>
        <v>1606.3383941236689</v>
      </c>
      <c r="AO103" s="47">
        <f t="shared" si="55"/>
        <v>3.9058697538456095</v>
      </c>
      <c r="AP103" s="47">
        <f t="shared" si="56"/>
        <v>1.5673689253966427</v>
      </c>
      <c r="AQ103">
        <v>2020</v>
      </c>
    </row>
    <row r="104" spans="2:43">
      <c r="B104" s="97"/>
      <c r="C104" s="61"/>
      <c r="D104" s="61"/>
      <c r="E104" s="38" t="s">
        <v>843</v>
      </c>
      <c r="F104" s="39" t="s">
        <v>844</v>
      </c>
      <c r="G104" s="39">
        <v>45</v>
      </c>
      <c r="H104" s="39"/>
      <c r="I104" s="40" t="s">
        <v>269</v>
      </c>
      <c r="J104" s="41">
        <v>760709.37</v>
      </c>
      <c r="K104" s="41">
        <v>0.01</v>
      </c>
      <c r="L104" s="41"/>
      <c r="M104" s="42">
        <v>0.08</v>
      </c>
      <c r="N104" s="42">
        <v>0.2</v>
      </c>
      <c r="O104" s="43">
        <v>7607.0900000000101</v>
      </c>
      <c r="P104" s="44">
        <v>59952.98</v>
      </c>
      <c r="Q104" s="44">
        <v>152141.87</v>
      </c>
      <c r="R104" s="45">
        <v>0</v>
      </c>
      <c r="S104" s="46">
        <v>0</v>
      </c>
      <c r="T104" s="39">
        <f t="shared" si="38"/>
        <v>45</v>
      </c>
      <c r="U104" s="47">
        <f t="shared" si="39"/>
        <v>0.59101222467428638</v>
      </c>
      <c r="V104" s="48">
        <f t="shared" si="40"/>
        <v>0.12000000000000001</v>
      </c>
      <c r="W104" s="49">
        <f t="shared" si="41"/>
        <v>1.313360499276192E-2</v>
      </c>
      <c r="X104" s="44">
        <f t="shared" si="42"/>
        <v>4588.548384912353</v>
      </c>
      <c r="Y104" s="44">
        <f t="shared" si="43"/>
        <v>92188.889999999985</v>
      </c>
      <c r="Z104" s="44">
        <f t="shared" si="44"/>
        <v>57176.015774542102</v>
      </c>
      <c r="AA104" s="50">
        <f t="shared" si="45"/>
        <v>156730.41838491234</v>
      </c>
      <c r="AB104" s="51">
        <f t="shared" si="46"/>
        <v>53450.514886923527</v>
      </c>
      <c r="AC104" s="44">
        <f t="shared" si="47"/>
        <v>146518.10637086316</v>
      </c>
      <c r="AD104" s="44">
        <f t="shared" si="48"/>
        <v>0</v>
      </c>
      <c r="AE104" s="44">
        <f t="shared" si="49"/>
        <v>0</v>
      </c>
      <c r="AF104" s="52">
        <f>HLOOKUP(I104,GasAvoidedCostsWOCC!$A$5:$G$50,G104+1,FALSE)</f>
        <v>27.444232870165703</v>
      </c>
      <c r="AG104" s="44">
        <f t="shared" si="50"/>
        <v>208770.85096797041</v>
      </c>
      <c r="AH104" s="52">
        <f>HLOOKUP(I104,GasAvoidedCostsWOCC!$A$5:$Q$50,T104+1,FALSE)</f>
        <v>27.444232870165703</v>
      </c>
      <c r="AI104" s="44">
        <f t="shared" si="51"/>
        <v>0</v>
      </c>
      <c r="AJ104" s="44">
        <f t="shared" si="52"/>
        <v>208770.85096797041</v>
      </c>
      <c r="AK104" s="44">
        <f>HLOOKUP(I104,GasAvoidedCostsWOCC!$A$5:$Q$50,G104+1,FALSE)*J104*L104</f>
        <v>0</v>
      </c>
      <c r="AL104" s="44">
        <f t="shared" si="53"/>
        <v>208770.85096797041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208770.85096797044</v>
      </c>
      <c r="AN104" s="48">
        <f t="shared" si="54"/>
        <v>229647.93606476751</v>
      </c>
      <c r="AO104" s="47">
        <f t="shared" si="55"/>
        <v>3.9058716536151734</v>
      </c>
      <c r="AP104" s="47">
        <f t="shared" si="56"/>
        <v>1.5673689877173822</v>
      </c>
      <c r="AQ104">
        <v>2020</v>
      </c>
    </row>
    <row r="105" spans="2:43">
      <c r="B105" s="97"/>
      <c r="C105" s="61"/>
      <c r="D105" s="61"/>
      <c r="E105" s="38" t="s">
        <v>845</v>
      </c>
      <c r="F105" s="39" t="s">
        <v>846</v>
      </c>
      <c r="G105" s="39">
        <v>45</v>
      </c>
      <c r="H105" s="39"/>
      <c r="I105" s="40" t="s">
        <v>269</v>
      </c>
      <c r="J105" s="41">
        <v>5016</v>
      </c>
      <c r="K105" s="41">
        <v>0.01</v>
      </c>
      <c r="L105" s="41"/>
      <c r="M105" s="42">
        <v>0.2</v>
      </c>
      <c r="N105" s="42">
        <v>0.2</v>
      </c>
      <c r="O105" s="43">
        <v>50.16</v>
      </c>
      <c r="P105" s="44">
        <v>678.88</v>
      </c>
      <c r="Q105" s="44">
        <v>1003.2</v>
      </c>
      <c r="R105" s="45">
        <v>0</v>
      </c>
      <c r="S105" s="46">
        <v>0</v>
      </c>
      <c r="T105" s="39">
        <f t="shared" si="38"/>
        <v>45</v>
      </c>
      <c r="U105" s="47">
        <f t="shared" si="39"/>
        <v>3.8970451499406693E-3</v>
      </c>
      <c r="V105" s="48">
        <f t="shared" si="40"/>
        <v>0</v>
      </c>
      <c r="W105" s="49">
        <f t="shared" si="41"/>
        <v>8.6601003332014873E-5</v>
      </c>
      <c r="X105" s="44">
        <f t="shared" si="42"/>
        <v>30.256193496751493</v>
      </c>
      <c r="Y105" s="44">
        <f t="shared" si="43"/>
        <v>324.32000000000005</v>
      </c>
      <c r="Z105" s="44">
        <f t="shared" si="44"/>
        <v>377.00999347332919</v>
      </c>
      <c r="AA105" s="50">
        <f t="shared" si="45"/>
        <v>1033.4561934967514</v>
      </c>
      <c r="AB105" s="51">
        <f t="shared" si="46"/>
        <v>352.44460453709371</v>
      </c>
      <c r="AC105" s="44">
        <f t="shared" si="47"/>
        <v>966.11778395508213</v>
      </c>
      <c r="AD105" s="44">
        <f t="shared" si="48"/>
        <v>0</v>
      </c>
      <c r="AE105" s="44">
        <f t="shared" si="49"/>
        <v>0</v>
      </c>
      <c r="AF105" s="52">
        <f>HLOOKUP(I105,GasAvoidedCostsWOCC!$A$5:$G$50,G105+1,FALSE)</f>
        <v>27.444232870165703</v>
      </c>
      <c r="AG105" s="44">
        <f t="shared" si="50"/>
        <v>1376.6027207675118</v>
      </c>
      <c r="AH105" s="52">
        <f>HLOOKUP(I105,GasAvoidedCostsWOCC!$A$5:$Q$50,T105+1,FALSE)</f>
        <v>27.444232870165703</v>
      </c>
      <c r="AI105" s="44">
        <f t="shared" si="51"/>
        <v>0</v>
      </c>
      <c r="AJ105" s="44">
        <f t="shared" si="52"/>
        <v>1376.6027207675118</v>
      </c>
      <c r="AK105" s="44">
        <f>HLOOKUP(I105,GasAvoidedCostsWOCC!$A$5:$Q$50,G105+1,FALSE)*J105*L105</f>
        <v>0</v>
      </c>
      <c r="AL105" s="44">
        <f t="shared" si="53"/>
        <v>1376.6027207675118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1376.6027207675115</v>
      </c>
      <c r="AN105" s="48">
        <f t="shared" si="54"/>
        <v>1514.2629928442627</v>
      </c>
      <c r="AO105" s="47">
        <f t="shared" si="55"/>
        <v>3.90586975384561</v>
      </c>
      <c r="AP105" s="47">
        <f t="shared" si="56"/>
        <v>1.5673689253966425</v>
      </c>
      <c r="AQ105">
        <v>2020</v>
      </c>
    </row>
    <row r="106" spans="2:43">
      <c r="B106" s="97"/>
      <c r="C106" s="61"/>
      <c r="D106" s="61"/>
      <c r="E106" s="38" t="s">
        <v>855</v>
      </c>
      <c r="F106" s="39" t="s">
        <v>856</v>
      </c>
      <c r="G106" s="39">
        <v>18</v>
      </c>
      <c r="H106" s="39"/>
      <c r="I106" s="40" t="s">
        <v>269</v>
      </c>
      <c r="J106" s="41">
        <v>2</v>
      </c>
      <c r="K106" s="41">
        <v>18.96</v>
      </c>
      <c r="L106" s="41"/>
      <c r="M106" s="42">
        <v>450</v>
      </c>
      <c r="N106" s="42">
        <v>549</v>
      </c>
      <c r="O106" s="43">
        <v>37.92</v>
      </c>
      <c r="P106" s="44">
        <v>900</v>
      </c>
      <c r="Q106" s="44">
        <v>1098</v>
      </c>
      <c r="R106" s="45">
        <v>0</v>
      </c>
      <c r="S106" s="46">
        <v>0</v>
      </c>
      <c r="T106" s="39">
        <f t="shared" si="38"/>
        <v>18</v>
      </c>
      <c r="U106" s="47">
        <f t="shared" si="39"/>
        <v>1.1784366195035899E-3</v>
      </c>
      <c r="V106" s="48">
        <f t="shared" si="40"/>
        <v>99</v>
      </c>
      <c r="W106" s="49">
        <f t="shared" si="41"/>
        <v>6.5468701083532771E-5</v>
      </c>
      <c r="X106" s="44">
        <f t="shared" si="42"/>
        <v>22.873103217639883</v>
      </c>
      <c r="Y106" s="44">
        <f t="shared" si="43"/>
        <v>198</v>
      </c>
      <c r="Z106" s="44">
        <f t="shared" si="44"/>
        <v>285.01233956356941</v>
      </c>
      <c r="AA106" s="50">
        <f t="shared" si="45"/>
        <v>1120.8731032176399</v>
      </c>
      <c r="AB106" s="51">
        <f t="shared" si="46"/>
        <v>266.44137567875981</v>
      </c>
      <c r="AC106" s="44">
        <f t="shared" si="47"/>
        <v>1047.8387428415815</v>
      </c>
      <c r="AD106" s="44">
        <f t="shared" si="48"/>
        <v>0</v>
      </c>
      <c r="AE106" s="44">
        <f t="shared" si="49"/>
        <v>0</v>
      </c>
      <c r="AF106" s="52">
        <f>HLOOKUP(I106,GasAvoidedCostsWOCC!$A$5:$G$50,G106+1,FALSE)</f>
        <v>12.598768311384578</v>
      </c>
      <c r="AG106" s="44">
        <f t="shared" si="50"/>
        <v>477.74529436770325</v>
      </c>
      <c r="AH106" s="52">
        <f>HLOOKUP(I106,GasAvoidedCostsWOCC!$A$5:$Q$50,T106+1,FALSE)</f>
        <v>12.598768311384578</v>
      </c>
      <c r="AI106" s="44">
        <f t="shared" si="51"/>
        <v>0</v>
      </c>
      <c r="AJ106" s="44">
        <f t="shared" si="52"/>
        <v>477.74529436770325</v>
      </c>
      <c r="AK106" s="44">
        <f>HLOOKUP(I106,GasAvoidedCostsWOCC!$A$5:$Q$50,G106+1,FALSE)*J106*L106</f>
        <v>0</v>
      </c>
      <c r="AL106" s="44">
        <f t="shared" si="53"/>
        <v>477.74529436770325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477.74529436770325</v>
      </c>
      <c r="AN106" s="48">
        <f t="shared" si="54"/>
        <v>525.51982380447362</v>
      </c>
      <c r="AO106" s="47">
        <f t="shared" si="55"/>
        <v>1.7930597045997319</v>
      </c>
      <c r="AP106" s="47">
        <f t="shared" si="56"/>
        <v>0.50152738424172283</v>
      </c>
      <c r="AQ106">
        <v>2020</v>
      </c>
    </row>
    <row r="107" spans="2:43">
      <c r="B107" s="9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HLOOKUP(I107,GasAvoidedCostsWOCC!$A$5:$G$50,G107+1,FALSE)</f>
        <v>#N/A</v>
      </c>
      <c r="AG107" s="44" t="e">
        <f t="shared" si="50"/>
        <v>#N/A</v>
      </c>
      <c r="AH107" s="52" t="e">
        <f>HLOOKUP(I107,GasAvoidedCostsWOCC!$A$5:$Q$50,T107+1,FALSE)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HLOOKUP(I107,GasAvoidedCostsWOCC!$A$5:$Q$50,G107+1,FALSE)*J107*L107</f>
        <v>#N/A</v>
      </c>
      <c r="AL107" s="44" t="e">
        <f t="shared" si="53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3">
      <c r="B108" s="9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HLOOKUP(I108,GasAvoidedCostsWOCC!$A$5:$G$50,G108+1,FALSE)</f>
        <v>#N/A</v>
      </c>
      <c r="AG108" s="44" t="e">
        <f t="shared" si="50"/>
        <v>#N/A</v>
      </c>
      <c r="AH108" s="52" t="e">
        <f>HLOOKUP(I108,GasAvoidedCostsWOCC!$A$5:$Q$50,T108+1,FALSE)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HLOOKUP(I108,GasAvoidedCostsWOCC!$A$5:$Q$50,G108+1,FALSE)*J108*L108</f>
        <v>#N/A</v>
      </c>
      <c r="AL108" s="44" t="e">
        <f t="shared" si="53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3">
      <c r="B109" s="9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HLOOKUP(I109,GasAvoidedCostsWOCC!$A$5:$G$50,G109+1,FALSE)</f>
        <v>#N/A</v>
      </c>
      <c r="AG109" s="44" t="e">
        <f t="shared" si="50"/>
        <v>#N/A</v>
      </c>
      <c r="AH109" s="52" t="e">
        <f>HLOOKUP(I109,GasAvoidedCostsWOCC!$A$5:$Q$50,T109+1,FALSE)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HLOOKUP(I109,GasAvoidedCostsWOCC!$A$5:$Q$50,G109+1,FALSE)*J109*L109</f>
        <v>#N/A</v>
      </c>
      <c r="AL109" s="44" t="e">
        <f t="shared" si="53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3">
      <c r="B110" s="9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HLOOKUP(I110,GasAvoidedCostsWOCC!$A$5:$G$50,G110+1,FALSE)</f>
        <v>#N/A</v>
      </c>
      <c r="AG110" s="44" t="e">
        <f t="shared" si="50"/>
        <v>#N/A</v>
      </c>
      <c r="AH110" s="52" t="e">
        <f>HLOOKUP(I110,GasAvoidedCostsWOCC!$A$5:$Q$50,T110+1,FALSE)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HLOOKUP(I110,GasAvoidedCostsWOCC!$A$5:$Q$50,G110+1,FALSE)*J110*L110</f>
        <v>#N/A</v>
      </c>
      <c r="AL110" s="44" t="e">
        <f t="shared" si="53"/>
        <v>#N/A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3">
      <c r="B111" s="9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HLOOKUP(I111,GasAvoidedCostsWOCC!$A$5:$G$50,G111+1,FALSE)</f>
        <v>#N/A</v>
      </c>
      <c r="AG111" s="44" t="e">
        <f t="shared" si="50"/>
        <v>#N/A</v>
      </c>
      <c r="AH111" s="52" t="e">
        <f>HLOOKUP(I111,GasAvoidedCostsWOCC!$A$5:$Q$50,T111+1,FALSE)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HLOOKUP(I111,GasAvoidedCostsWOCC!$A$5:$Q$50,G111+1,FALSE)*J111*L111</f>
        <v>#N/A</v>
      </c>
      <c r="AL111" s="44" t="e">
        <f t="shared" si="53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3">
      <c r="B112" s="9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HLOOKUP(I112,GasAvoidedCostsWOCC!$A$5:$G$50,G112+1,FALSE)</f>
        <v>#N/A</v>
      </c>
      <c r="AG112" s="44" t="e">
        <f t="shared" si="50"/>
        <v>#N/A</v>
      </c>
      <c r="AH112" s="52" t="e">
        <f>HLOOKUP(I112,GasAvoidedCostsWOCC!$A$5:$Q$50,T112+1,FALSE)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HLOOKUP(I112,GasAvoidedCostsWOCC!$A$5:$Q$50,G112+1,FALSE)*J112*L112</f>
        <v>#N/A</v>
      </c>
      <c r="AL112" s="44" t="e">
        <f t="shared" si="53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9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HLOOKUP(I113,GasAvoidedCostsWOCC!$A$5:$G$50,G113+1,FALSE)</f>
        <v>#N/A</v>
      </c>
      <c r="AG113" s="44" t="e">
        <f t="shared" si="50"/>
        <v>#N/A</v>
      </c>
      <c r="AH113" s="52" t="e">
        <f>HLOOKUP(I113,GasAvoidedCostsWOCC!$A$5:$Q$50,T113+1,FALSE)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HLOOKUP(I113,GasAvoidedCostsWOCC!$A$5:$Q$50,G113+1,FALSE)*J113*L113</f>
        <v>#N/A</v>
      </c>
      <c r="AL113" s="44" t="e">
        <f t="shared" si="53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9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HLOOKUP(I114,GasAvoidedCostsWOCC!$A$5:$G$50,G114+1,FALSE)</f>
        <v>#N/A</v>
      </c>
      <c r="AG114" s="44" t="e">
        <f t="shared" si="50"/>
        <v>#N/A</v>
      </c>
      <c r="AH114" s="52" t="e">
        <f>HLOOKUP(I114,GasAvoidedCostsWOCC!$A$5:$Q$50,T114+1,FALSE)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HLOOKUP(I114,GasAvoidedCostsWOCC!$A$5:$Q$50,G114+1,FALSE)*J114*L114</f>
        <v>#N/A</v>
      </c>
      <c r="AL114" s="44" t="e">
        <f t="shared" si="53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9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HLOOKUP(I115,GasAvoidedCostsWOCC!$A$5:$G$50,G115+1,FALSE)</f>
        <v>#N/A</v>
      </c>
      <c r="AG115" s="44" t="e">
        <f t="shared" si="50"/>
        <v>#N/A</v>
      </c>
      <c r="AH115" s="52" t="e">
        <f>HLOOKUP(I115,GasAvoidedCostsWOCC!$A$5:$Q$50,T115+1,FALSE)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HLOOKUP(I115,GasAvoidedCostsWOCC!$A$5:$Q$50,G115+1,FALSE)*J115*L115</f>
        <v>#N/A</v>
      </c>
      <c r="AL115" s="44" t="e">
        <f t="shared" si="53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9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HLOOKUP(I116,GasAvoidedCostsWOCC!$A$5:$G$50,G116+1,FALSE)</f>
        <v>#N/A</v>
      </c>
      <c r="AG116" s="44" t="e">
        <f t="shared" si="50"/>
        <v>#N/A</v>
      </c>
      <c r="AH116" s="52" t="e">
        <f>HLOOKUP(I116,GasAvoidedCostsWOCC!$A$5:$Q$50,T116+1,FALSE)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HLOOKUP(I116,GasAvoidedCostsWOCC!$A$5:$Q$50,G116+1,FALSE)*J116*L116</f>
        <v>#N/A</v>
      </c>
      <c r="AL116" s="44" t="e">
        <f t="shared" si="53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9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HLOOKUP(I117,GasAvoidedCostsWOCC!$A$5:$G$50,G117+1,FALSE)</f>
        <v>#N/A</v>
      </c>
      <c r="AG117" s="44" t="e">
        <f t="shared" si="50"/>
        <v>#N/A</v>
      </c>
      <c r="AH117" s="52" t="e">
        <f>HLOOKUP(I117,GasAvoidedCostsWOCC!$A$5:$Q$50,T117+1,FALSE)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HLOOKUP(I117,GasAvoidedCostsWOCC!$A$5:$Q$50,G117+1,FALSE)*J117*L117</f>
        <v>#N/A</v>
      </c>
      <c r="AL117" s="44" t="e">
        <f t="shared" si="53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9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HLOOKUP(I118,GasAvoidedCostsWOCC!$A$5:$G$50,G118+1,FALSE)</f>
        <v>#N/A</v>
      </c>
      <c r="AG118" s="44" t="e">
        <f t="shared" si="50"/>
        <v>#N/A</v>
      </c>
      <c r="AH118" s="52" t="e">
        <f>HLOOKUP(I118,GasAvoidedCostsWOCC!$A$5:$Q$50,T118+1,FALSE)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HLOOKUP(I118,GasAvoidedCostsWOCC!$A$5:$Q$50,G118+1,FALSE)*J118*L118</f>
        <v>#N/A</v>
      </c>
      <c r="AL118" s="44" t="e">
        <f t="shared" si="53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9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HLOOKUP(I119,GasAvoidedCostsWOCC!$A$5:$G$50,G119+1,FALSE)</f>
        <v>#N/A</v>
      </c>
      <c r="AG119" s="44" t="e">
        <f t="shared" si="50"/>
        <v>#N/A</v>
      </c>
      <c r="AH119" s="52" t="e">
        <f>HLOOKUP(I119,GasAvoidedCostsWOCC!$A$5:$Q$50,T119+1,FALSE)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HLOOKUP(I119,GasAvoidedCostsWOCC!$A$5:$Q$50,G119+1,FALSE)*J119*L119</f>
        <v>#N/A</v>
      </c>
      <c r="AL119" s="44" t="e">
        <f t="shared" si="53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9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HLOOKUP(I120,GasAvoidedCostsWOCC!$A$5:$G$50,G120+1,FALSE)</f>
        <v>#N/A</v>
      </c>
      <c r="AG120" s="44" t="e">
        <f t="shared" si="50"/>
        <v>#N/A</v>
      </c>
      <c r="AH120" s="52" t="e">
        <f>HLOOKUP(I120,GasAvoidedCostsWOCC!$A$5:$Q$50,T120+1,FALSE)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HLOOKUP(I120,GasAvoidedCostsWOCC!$A$5:$Q$50,G120+1,FALSE)*J120*L120</f>
        <v>#N/A</v>
      </c>
      <c r="AL120" s="44" t="e">
        <f t="shared" si="53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9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HLOOKUP(I121,GasAvoidedCostsWOCC!$A$5:$G$50,G121+1,FALSE)</f>
        <v>#N/A</v>
      </c>
      <c r="AG121" s="44" t="e">
        <f t="shared" si="50"/>
        <v>#N/A</v>
      </c>
      <c r="AH121" s="52" t="e">
        <f>HLOOKUP(I121,GasAvoidedCostsWOCC!$A$5:$Q$50,T121+1,FALSE)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HLOOKUP(I121,GasAvoidedCostsWOCC!$A$5:$Q$50,G121+1,FALSE)*J121*L121</f>
        <v>#N/A</v>
      </c>
      <c r="AL121" s="44" t="e">
        <f t="shared" si="53"/>
        <v>#N/A</v>
      </c>
      <c r="AM121" s="48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9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HLOOKUP(I122,GasAvoidedCostsWOCC!$A$5:$G$50,G122+1,FALSE)</f>
        <v>#N/A</v>
      </c>
      <c r="AG122" s="44" t="e">
        <f t="shared" si="50"/>
        <v>#N/A</v>
      </c>
      <c r="AH122" s="52" t="e">
        <f>HLOOKUP(I122,GasAvoidedCostsWOCC!$A$5:$Q$50,T122+1,FALSE)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HLOOKUP(I122,GasAvoidedCostsWOCC!$A$5:$Q$50,G122+1,FALSE)*J122*L122</f>
        <v>#N/A</v>
      </c>
      <c r="AL122" s="44" t="e">
        <f t="shared" si="53"/>
        <v>#N/A</v>
      </c>
      <c r="AM122" s="48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9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HLOOKUP(I123,GasAvoidedCostsWOCC!$A$5:$G$50,G123+1,FALSE)</f>
        <v>#N/A</v>
      </c>
      <c r="AG123" s="44" t="e">
        <f t="shared" si="50"/>
        <v>#N/A</v>
      </c>
      <c r="AH123" s="52" t="e">
        <f>HLOOKUP(I123,GasAvoidedCostsWOCC!$A$5:$Q$50,T123+1,FALSE)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HLOOKUP(I123,GasAvoidedCostsWOCC!$A$5:$Q$50,G123+1,FALSE)*J123*L123</f>
        <v>#N/A</v>
      </c>
      <c r="AL123" s="44" t="e">
        <f t="shared" si="53"/>
        <v>#N/A</v>
      </c>
      <c r="AM123" s="48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9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HLOOKUP(I124,GasAvoidedCostsWOCC!$A$5:$G$50,G124+1,FALSE)</f>
        <v>#N/A</v>
      </c>
      <c r="AG124" s="44" t="e">
        <f t="shared" si="50"/>
        <v>#N/A</v>
      </c>
      <c r="AH124" s="52" t="e">
        <f>HLOOKUP(I124,GasAvoidedCostsWOCC!$A$5:$Q$50,T124+1,FALSE)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HLOOKUP(I124,GasAvoidedCostsWOCC!$A$5:$Q$50,G124+1,FALSE)*J124*L124</f>
        <v>#N/A</v>
      </c>
      <c r="AL124" s="44" t="e">
        <f t="shared" si="53"/>
        <v>#N/A</v>
      </c>
      <c r="AM124" s="48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9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HLOOKUP(I125,GasAvoidedCostsWOCC!$A$5:$G$50,G125+1,FALSE)</f>
        <v>#N/A</v>
      </c>
      <c r="AG125" s="44" t="e">
        <f t="shared" si="50"/>
        <v>#N/A</v>
      </c>
      <c r="AH125" s="52" t="e">
        <f>HLOOKUP(I125,GasAvoidedCostsWOCC!$A$5:$Q$50,T125+1,FALSE)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HLOOKUP(I125,GasAvoidedCostsWOCC!$A$5:$Q$50,G125+1,FALSE)*J125*L125</f>
        <v>#N/A</v>
      </c>
      <c r="AL125" s="44" t="e">
        <f t="shared" si="53"/>
        <v>#N/A</v>
      </c>
      <c r="AM125" s="48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9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HLOOKUP(I126,GasAvoidedCostsWOCC!$A$5:$G$50,G126+1,FALSE)</f>
        <v>#N/A</v>
      </c>
      <c r="AG126" s="44" t="e">
        <f t="shared" si="50"/>
        <v>#N/A</v>
      </c>
      <c r="AH126" s="52" t="e">
        <f>HLOOKUP(I126,GasAvoidedCostsWOCC!$A$5:$Q$50,T126+1,FALSE)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HLOOKUP(I126,GasAvoidedCostsWOCC!$A$5:$Q$50,G126+1,FALSE)*J126*L126</f>
        <v>#N/A</v>
      </c>
      <c r="AL126" s="44" t="e">
        <f t="shared" si="53"/>
        <v>#N/A</v>
      </c>
      <c r="AM126" s="48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9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HLOOKUP(I127,GasAvoidedCostsWOCC!$A$5:$G$50,G127+1,FALSE)</f>
        <v>#N/A</v>
      </c>
      <c r="AG127" s="44" t="e">
        <f t="shared" si="50"/>
        <v>#N/A</v>
      </c>
      <c r="AH127" s="52" t="e">
        <f>HLOOKUP(I127,GasAvoidedCostsWOCC!$A$5:$Q$50,T127+1,FALSE)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HLOOKUP(I127,GasAvoidedCostsWOCC!$A$5:$Q$50,G127+1,FALSE)*J127*L127</f>
        <v>#N/A</v>
      </c>
      <c r="AL127" s="44" t="e">
        <f t="shared" si="53"/>
        <v>#N/A</v>
      </c>
      <c r="AM127" s="48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9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HLOOKUP(I128,GasAvoidedCostsWOCC!$A$5:$G$50,G128+1,FALSE)</f>
        <v>#N/A</v>
      </c>
      <c r="AG128" s="44" t="e">
        <f t="shared" si="50"/>
        <v>#N/A</v>
      </c>
      <c r="AH128" s="52" t="e">
        <f>HLOOKUP(I128,GasAvoidedCostsWOCC!$A$5:$Q$50,T128+1,FALSE)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HLOOKUP(I128,GasAvoidedCostsWOCC!$A$5:$Q$50,G128+1,FALSE)*J128*L128</f>
        <v>#N/A</v>
      </c>
      <c r="AL128" s="44" t="e">
        <f t="shared" si="53"/>
        <v>#N/A</v>
      </c>
      <c r="AM128" s="48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9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HLOOKUP(I129,GasAvoidedCostsWOCC!$A$5:$G$50,G129+1,FALSE)</f>
        <v>#N/A</v>
      </c>
      <c r="AG129" s="44" t="e">
        <f t="shared" si="50"/>
        <v>#N/A</v>
      </c>
      <c r="AH129" s="52" t="e">
        <f>HLOOKUP(I129,GasAvoidedCostsWOCC!$A$5:$Q$50,T129+1,FALSE)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HLOOKUP(I129,GasAvoidedCostsWOCC!$A$5:$Q$50,G129+1,FALSE)*J129*L129</f>
        <v>#N/A</v>
      </c>
      <c r="AL129" s="44" t="e">
        <f t="shared" si="53"/>
        <v>#N/A</v>
      </c>
      <c r="AM129" s="48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9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HLOOKUP(I130,GasAvoidedCostsWOCC!$A$5:$G$50,G130+1,FALSE)</f>
        <v>#N/A</v>
      </c>
      <c r="AG130" s="44" t="e">
        <f t="shared" si="50"/>
        <v>#N/A</v>
      </c>
      <c r="AH130" s="52" t="e">
        <f>HLOOKUP(I130,GasAvoidedCostsWOCC!$A$5:$Q$50,T130+1,FALSE)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HLOOKUP(I130,GasAvoidedCostsWOCC!$A$5:$Q$50,G130+1,FALSE)*J130*L130</f>
        <v>#N/A</v>
      </c>
      <c r="AL130" s="44" t="e">
        <f t="shared" si="53"/>
        <v>#N/A</v>
      </c>
      <c r="AM130" s="48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9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HLOOKUP(I131,GasAvoidedCostsWOCC!$A$5:$G$50,G131+1,FALSE)</f>
        <v>#N/A</v>
      </c>
      <c r="AG131" s="44" t="e">
        <f t="shared" si="50"/>
        <v>#N/A</v>
      </c>
      <c r="AH131" s="52" t="e">
        <f>HLOOKUP(I131,GasAvoidedCostsWOCC!$A$5:$Q$50,T131+1,FALSE)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HLOOKUP(I131,GasAvoidedCostsWOCC!$A$5:$Q$50,G131+1,FALSE)*J131*L131</f>
        <v>#N/A</v>
      </c>
      <c r="AL131" s="44" t="e">
        <f t="shared" si="53"/>
        <v>#N/A</v>
      </c>
      <c r="AM131" s="48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9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0">
        <f t="shared" si="45"/>
        <v>0</v>
      </c>
      <c r="AB132" s="51">
        <f t="shared" si="46"/>
        <v>0</v>
      </c>
      <c r="AC132" s="44">
        <f t="shared" si="47"/>
        <v>0</v>
      </c>
      <c r="AD132" s="44">
        <f t="shared" si="48"/>
        <v>0</v>
      </c>
      <c r="AE132" s="44">
        <f t="shared" si="49"/>
        <v>0</v>
      </c>
      <c r="AF132" s="52" t="e">
        <f>HLOOKUP(I132,GasAvoidedCostsWOCC!$A$5:$G$50,G132+1,FALSE)</f>
        <v>#N/A</v>
      </c>
      <c r="AG132" s="44" t="e">
        <f t="shared" si="50"/>
        <v>#N/A</v>
      </c>
      <c r="AH132" s="52" t="e">
        <f>HLOOKUP(I132,GasAvoidedCostsWOCC!$A$5:$Q$50,T132+1,FALSE)</f>
        <v>#N/A</v>
      </c>
      <c r="AI132" s="44" t="e">
        <f t="shared" si="51"/>
        <v>#N/A</v>
      </c>
      <c r="AJ132" s="44" t="e">
        <f t="shared" si="52"/>
        <v>#N/A</v>
      </c>
      <c r="AK132" s="44" t="e">
        <f>HLOOKUP(I132,GasAvoidedCostsWOCC!$A$5:$Q$50,G132+1,FALSE)*J132*L132</f>
        <v>#N/A</v>
      </c>
      <c r="AL132" s="44" t="e">
        <f t="shared" si="53"/>
        <v>#N/A</v>
      </c>
      <c r="AM132" s="48">
        <f>IF(O132=0,0,IF(H132=0, HLOOKUP(I132,GasAvoidedCostsWOCC!$A$5:$Q$50,T132+1,FALSE)*K132*J132,HLOOKUP(I132,GasAvoidedCostsWOCC!$A$5:$Q$50,T132+1,FALSE)*L132*J132+HLOOKUP(I132,GasAvoidedCostsWOCC!$A$5:$Q$50,G132+1,FALSE)*K132*J132-HLOOKUP(I132,GasAvoidedCostsWOCC!$A$5:$Q$50,G132+1,FALSE)*L132*J132))</f>
        <v>0</v>
      </c>
      <c r="AN132" s="48">
        <f t="shared" si="54"/>
        <v>0</v>
      </c>
      <c r="AO132" s="47">
        <f t="shared" si="55"/>
        <v>0</v>
      </c>
      <c r="AP132" s="47" t="e">
        <f t="shared" si="56"/>
        <v>#DIV/0!</v>
      </c>
    </row>
    <row r="133" spans="2:42">
      <c r="B133" s="9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HLOOKUP(I133,GasAvoidedCostsWOCC!$A$5:$G$50,G133+1,FALSE)</f>
        <v>#N/A</v>
      </c>
      <c r="AG133" s="44" t="e">
        <f t="shared" si="50"/>
        <v>#N/A</v>
      </c>
      <c r="AH133" s="52" t="e">
        <f>HLOOKUP(I133,GasAvoidedCostsWOCC!$A$5:$Q$50,T133+1,FALSE)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HLOOKUP(I133,GasAvoidedCostsWOCC!$A$5:$Q$50,G133+1,FALSE)*J133*L133</f>
        <v>#N/A</v>
      </c>
      <c r="AL133" s="44" t="e">
        <f t="shared" si="53"/>
        <v>#N/A</v>
      </c>
      <c r="AM133" s="48">
        <f>IF(O133=0,0,IF(H133=0, HLOOKUP(I133,GasAvoidedCostsWOCC!$A$5:$Q$50,T133+1,FALSE)*K133*J133,HLOOKUP(I133,GasAvoidedCostsWOCC!$A$5:$Q$50,T133+1,FALSE)*L133*J133+HLOOKUP(I133,GasAvoidedCostsWOCC!$A$5:$Q$50,G133+1,FALSE)*K133*J133-HLOOKUP(I133,GasAvoidedCostsWOCC!$A$5:$Q$50,G133+1,FALSE)*L133*J133))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  <row r="134" spans="2:42">
      <c r="B134" s="97"/>
      <c r="C134" s="61"/>
      <c r="D134" s="61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38"/>
        <v>0</v>
      </c>
      <c r="U134" s="47">
        <f t="shared" si="39"/>
        <v>0</v>
      </c>
      <c r="V134" s="48">
        <f t="shared" si="40"/>
        <v>0</v>
      </c>
      <c r="W134" s="49">
        <f t="shared" si="41"/>
        <v>0</v>
      </c>
      <c r="X134" s="44">
        <f t="shared" si="42"/>
        <v>0</v>
      </c>
      <c r="Y134" s="44">
        <f t="shared" si="43"/>
        <v>0</v>
      </c>
      <c r="Z134" s="44">
        <f t="shared" si="44"/>
        <v>0</v>
      </c>
      <c r="AA134" s="50">
        <f t="shared" si="45"/>
        <v>0</v>
      </c>
      <c r="AB134" s="51">
        <f t="shared" si="46"/>
        <v>0</v>
      </c>
      <c r="AC134" s="44">
        <f t="shared" si="47"/>
        <v>0</v>
      </c>
      <c r="AD134" s="44">
        <f t="shared" si="48"/>
        <v>0</v>
      </c>
      <c r="AE134" s="44">
        <f t="shared" si="49"/>
        <v>0</v>
      </c>
      <c r="AF134" s="52" t="e">
        <f>HLOOKUP(I134,GasAvoidedCostsWOCC!$A$5:$G$50,G134+1,FALSE)</f>
        <v>#N/A</v>
      </c>
      <c r="AG134" s="44" t="e">
        <f t="shared" si="50"/>
        <v>#N/A</v>
      </c>
      <c r="AH134" s="52" t="e">
        <f>HLOOKUP(I134,GasAvoidedCostsWOCC!$A$5:$Q$50,T134+1,FALSE)</f>
        <v>#N/A</v>
      </c>
      <c r="AI134" s="44" t="e">
        <f t="shared" si="51"/>
        <v>#N/A</v>
      </c>
      <c r="AJ134" s="44" t="e">
        <f t="shared" si="52"/>
        <v>#N/A</v>
      </c>
      <c r="AK134" s="44" t="e">
        <f>HLOOKUP(I134,GasAvoidedCostsWOCC!$A$5:$Q$50,G134+1,FALSE)*J134*L134</f>
        <v>#N/A</v>
      </c>
      <c r="AL134" s="44" t="e">
        <f t="shared" si="53"/>
        <v>#N/A</v>
      </c>
      <c r="AM134" s="48">
        <f>IF(O134=0,0,IF(H134=0, HLOOKUP(I134,GasAvoidedCostsWOCC!$A$5:$Q$50,T134+1,FALSE)*K134*J134,HLOOKUP(I134,GasAvoidedCostsWOCC!$A$5:$Q$50,T134+1,FALSE)*L134*J134+HLOOKUP(I134,GasAvoidedCostsWOCC!$A$5:$Q$50,G134+1,FALSE)*K134*J134-HLOOKUP(I134,GasAvoidedCostsWOCC!$A$5:$Q$50,G134+1,FALSE)*L134*J134))</f>
        <v>0</v>
      </c>
      <c r="AN134" s="48">
        <f t="shared" si="54"/>
        <v>0</v>
      </c>
      <c r="AO134" s="47">
        <f t="shared" si="55"/>
        <v>0</v>
      </c>
      <c r="AP134" s="47" t="e">
        <f t="shared" si="56"/>
        <v>#DIV/0!</v>
      </c>
    </row>
    <row r="135" spans="2:42">
      <c r="B135" s="97"/>
      <c r="C135" s="61"/>
      <c r="D135" s="61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38"/>
        <v>0</v>
      </c>
      <c r="U135" s="47">
        <f t="shared" si="39"/>
        <v>0</v>
      </c>
      <c r="V135" s="48">
        <f t="shared" si="40"/>
        <v>0</v>
      </c>
      <c r="W135" s="49">
        <f t="shared" si="41"/>
        <v>0</v>
      </c>
      <c r="X135" s="44">
        <f t="shared" si="42"/>
        <v>0</v>
      </c>
      <c r="Y135" s="44">
        <f t="shared" si="43"/>
        <v>0</v>
      </c>
      <c r="Z135" s="44">
        <f t="shared" si="44"/>
        <v>0</v>
      </c>
      <c r="AA135" s="50">
        <f t="shared" si="45"/>
        <v>0</v>
      </c>
      <c r="AB135" s="51">
        <f t="shared" si="46"/>
        <v>0</v>
      </c>
      <c r="AC135" s="44">
        <f t="shared" si="47"/>
        <v>0</v>
      </c>
      <c r="AD135" s="44">
        <f t="shared" si="48"/>
        <v>0</v>
      </c>
      <c r="AE135" s="44">
        <f t="shared" si="49"/>
        <v>0</v>
      </c>
      <c r="AF135" s="52" t="e">
        <f>HLOOKUP(I135,GasAvoidedCostsWOCC!$A$5:$G$50,G135+1,FALSE)</f>
        <v>#N/A</v>
      </c>
      <c r="AG135" s="44" t="e">
        <f t="shared" si="50"/>
        <v>#N/A</v>
      </c>
      <c r="AH135" s="52" t="e">
        <f>HLOOKUP(I135,GasAvoidedCostsWOCC!$A$5:$Q$50,T135+1,FALSE)</f>
        <v>#N/A</v>
      </c>
      <c r="AI135" s="44" t="e">
        <f t="shared" si="51"/>
        <v>#N/A</v>
      </c>
      <c r="AJ135" s="44" t="e">
        <f t="shared" si="52"/>
        <v>#N/A</v>
      </c>
      <c r="AK135" s="44" t="e">
        <f>HLOOKUP(I135,GasAvoidedCostsWOCC!$A$5:$Q$50,G135+1,FALSE)*J135*L135</f>
        <v>#N/A</v>
      </c>
      <c r="AL135" s="44" t="e">
        <f t="shared" si="53"/>
        <v>#N/A</v>
      </c>
      <c r="AM135" s="48">
        <f>IF(O135=0,0,IF(H135=0, HLOOKUP(I135,GasAvoidedCostsWOCC!$A$5:$Q$50,T135+1,FALSE)*K135*J135,HLOOKUP(I135,GasAvoidedCostsWOCC!$A$5:$Q$50,T135+1,FALSE)*L135*J135+HLOOKUP(I135,GasAvoidedCostsWOCC!$A$5:$Q$50,G135+1,FALSE)*K135*J135-HLOOKUP(I135,GasAvoidedCostsWOCC!$A$5:$Q$50,G135+1,FALSE)*L135*J135))</f>
        <v>0</v>
      </c>
      <c r="AN135" s="48">
        <f t="shared" si="54"/>
        <v>0</v>
      </c>
      <c r="AO135" s="47">
        <f t="shared" si="55"/>
        <v>0</v>
      </c>
      <c r="AP135" s="47" t="e">
        <f t="shared" si="56"/>
        <v>#DIV/0!</v>
      </c>
    </row>
    <row r="136" spans="2:42">
      <c r="B136" s="97"/>
      <c r="C136" s="61"/>
      <c r="D136" s="61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38"/>
        <v>0</v>
      </c>
      <c r="U136" s="47">
        <f t="shared" si="39"/>
        <v>0</v>
      </c>
      <c r="V136" s="48">
        <f t="shared" si="40"/>
        <v>0</v>
      </c>
      <c r="W136" s="49">
        <f t="shared" si="41"/>
        <v>0</v>
      </c>
      <c r="X136" s="44">
        <f t="shared" si="42"/>
        <v>0</v>
      </c>
      <c r="Y136" s="44">
        <f t="shared" si="43"/>
        <v>0</v>
      </c>
      <c r="Z136" s="44">
        <f t="shared" si="44"/>
        <v>0</v>
      </c>
      <c r="AA136" s="50">
        <f t="shared" si="45"/>
        <v>0</v>
      </c>
      <c r="AB136" s="51">
        <f t="shared" si="46"/>
        <v>0</v>
      </c>
      <c r="AC136" s="44">
        <f t="shared" si="47"/>
        <v>0</v>
      </c>
      <c r="AD136" s="44">
        <f t="shared" si="48"/>
        <v>0</v>
      </c>
      <c r="AE136" s="44">
        <f t="shared" si="49"/>
        <v>0</v>
      </c>
      <c r="AF136" s="52" t="e">
        <f>HLOOKUP(I136,GasAvoidedCostsWOCC!$A$5:$G$50,G136+1,FALSE)</f>
        <v>#N/A</v>
      </c>
      <c r="AG136" s="44" t="e">
        <f t="shared" si="50"/>
        <v>#N/A</v>
      </c>
      <c r="AH136" s="52" t="e">
        <f>HLOOKUP(I136,GasAvoidedCostsWOCC!$A$5:$Q$50,T136+1,FALSE)</f>
        <v>#N/A</v>
      </c>
      <c r="AI136" s="44" t="e">
        <f t="shared" si="51"/>
        <v>#N/A</v>
      </c>
      <c r="AJ136" s="44" t="e">
        <f t="shared" si="52"/>
        <v>#N/A</v>
      </c>
      <c r="AK136" s="44" t="e">
        <f>HLOOKUP(I136,GasAvoidedCostsWOCC!$A$5:$Q$50,G136+1,FALSE)*J136*L136</f>
        <v>#N/A</v>
      </c>
      <c r="AL136" s="44" t="e">
        <f t="shared" si="53"/>
        <v>#N/A</v>
      </c>
      <c r="AM136" s="48">
        <f>IF(O136=0,0,IF(H136=0, HLOOKUP(I136,GasAvoidedCostsWOCC!$A$5:$Q$50,T136+1,FALSE)*K136*J136,HLOOKUP(I136,GasAvoidedCostsWOCC!$A$5:$Q$50,T136+1,FALSE)*L136*J136+HLOOKUP(I136,GasAvoidedCostsWOCC!$A$5:$Q$50,G136+1,FALSE)*K136*J136-HLOOKUP(I136,GasAvoidedCostsWOCC!$A$5:$Q$50,G136+1,FALSE)*L136*J136))</f>
        <v>0</v>
      </c>
      <c r="AN136" s="48">
        <f t="shared" si="54"/>
        <v>0</v>
      </c>
      <c r="AO136" s="47">
        <f t="shared" si="55"/>
        <v>0</v>
      </c>
      <c r="AP136" s="47" t="e">
        <f t="shared" si="56"/>
        <v>#DIV/0!</v>
      </c>
    </row>
    <row r="137" spans="2:42">
      <c r="B137" s="97"/>
      <c r="C137" s="61"/>
      <c r="D137" s="61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38"/>
        <v>0</v>
      </c>
      <c r="U137" s="47">
        <f t="shared" si="39"/>
        <v>0</v>
      </c>
      <c r="V137" s="48">
        <f t="shared" si="40"/>
        <v>0</v>
      </c>
      <c r="W137" s="49">
        <f t="shared" si="41"/>
        <v>0</v>
      </c>
      <c r="X137" s="44">
        <f t="shared" si="42"/>
        <v>0</v>
      </c>
      <c r="Y137" s="44">
        <f t="shared" si="43"/>
        <v>0</v>
      </c>
      <c r="Z137" s="44">
        <f t="shared" si="44"/>
        <v>0</v>
      </c>
      <c r="AA137" s="50">
        <f t="shared" si="45"/>
        <v>0</v>
      </c>
      <c r="AB137" s="51">
        <f t="shared" si="46"/>
        <v>0</v>
      </c>
      <c r="AC137" s="44">
        <f t="shared" si="47"/>
        <v>0</v>
      </c>
      <c r="AD137" s="44">
        <f t="shared" si="48"/>
        <v>0</v>
      </c>
      <c r="AE137" s="44">
        <f t="shared" si="49"/>
        <v>0</v>
      </c>
      <c r="AF137" s="52" t="e">
        <f>HLOOKUP(I137,GasAvoidedCostsWOCC!$A$5:$G$50,G137+1,FALSE)</f>
        <v>#N/A</v>
      </c>
      <c r="AG137" s="44" t="e">
        <f t="shared" si="50"/>
        <v>#N/A</v>
      </c>
      <c r="AH137" s="52" t="e">
        <f>HLOOKUP(I137,GasAvoidedCostsWOCC!$A$5:$Q$50,T137+1,FALSE)</f>
        <v>#N/A</v>
      </c>
      <c r="AI137" s="44" t="e">
        <f t="shared" si="51"/>
        <v>#N/A</v>
      </c>
      <c r="AJ137" s="44" t="e">
        <f t="shared" si="52"/>
        <v>#N/A</v>
      </c>
      <c r="AK137" s="44" t="e">
        <f>HLOOKUP(I137,GasAvoidedCostsWOCC!$A$5:$Q$50,G137+1,FALSE)*J137*L137</f>
        <v>#N/A</v>
      </c>
      <c r="AL137" s="44" t="e">
        <f t="shared" si="53"/>
        <v>#N/A</v>
      </c>
      <c r="AM137" s="48">
        <f>IF(O137=0,0,IF(H137=0, HLOOKUP(I137,GasAvoidedCostsWOCC!$A$5:$Q$50,T137+1,FALSE)*K137*J137,HLOOKUP(I137,GasAvoidedCostsWOCC!$A$5:$Q$50,T137+1,FALSE)*L137*J137+HLOOKUP(I137,GasAvoidedCostsWOCC!$A$5:$Q$50,G137+1,FALSE)*K137*J137-HLOOKUP(I137,GasAvoidedCostsWOCC!$A$5:$Q$50,G137+1,FALSE)*L137*J137))</f>
        <v>0</v>
      </c>
      <c r="AN137" s="48">
        <f t="shared" si="54"/>
        <v>0</v>
      </c>
      <c r="AO137" s="47">
        <f t="shared" si="55"/>
        <v>0</v>
      </c>
      <c r="AP137" s="47" t="e">
        <f t="shared" si="56"/>
        <v>#DIV/0!</v>
      </c>
    </row>
    <row r="138" spans="2:42">
      <c r="B138" s="97"/>
      <c r="C138" s="61"/>
      <c r="D138" s="61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38"/>
        <v>0</v>
      </c>
      <c r="U138" s="47">
        <f t="shared" si="39"/>
        <v>0</v>
      </c>
      <c r="V138" s="48">
        <f t="shared" si="40"/>
        <v>0</v>
      </c>
      <c r="W138" s="49">
        <f t="shared" si="41"/>
        <v>0</v>
      </c>
      <c r="X138" s="44">
        <f t="shared" si="42"/>
        <v>0</v>
      </c>
      <c r="Y138" s="44">
        <f t="shared" si="43"/>
        <v>0</v>
      </c>
      <c r="Z138" s="44">
        <f t="shared" si="44"/>
        <v>0</v>
      </c>
      <c r="AA138" s="50">
        <f t="shared" si="45"/>
        <v>0</v>
      </c>
      <c r="AB138" s="51">
        <f t="shared" si="46"/>
        <v>0</v>
      </c>
      <c r="AC138" s="44">
        <f t="shared" si="47"/>
        <v>0</v>
      </c>
      <c r="AD138" s="44">
        <f t="shared" si="48"/>
        <v>0</v>
      </c>
      <c r="AE138" s="44">
        <f t="shared" si="49"/>
        <v>0</v>
      </c>
      <c r="AF138" s="52" t="e">
        <f>HLOOKUP(I138,GasAvoidedCostsWOCC!$A$5:$G$50,G138+1,FALSE)</f>
        <v>#N/A</v>
      </c>
      <c r="AG138" s="44" t="e">
        <f t="shared" si="50"/>
        <v>#N/A</v>
      </c>
      <c r="AH138" s="52" t="e">
        <f>HLOOKUP(I138,GasAvoidedCostsWOCC!$A$5:$Q$50,T138+1,FALSE)</f>
        <v>#N/A</v>
      </c>
      <c r="AI138" s="44" t="e">
        <f t="shared" si="51"/>
        <v>#N/A</v>
      </c>
      <c r="AJ138" s="44" t="e">
        <f t="shared" si="52"/>
        <v>#N/A</v>
      </c>
      <c r="AK138" s="44" t="e">
        <f>HLOOKUP(I138,GasAvoidedCostsWOCC!$A$5:$Q$50,G138+1,FALSE)*J138*L138</f>
        <v>#N/A</v>
      </c>
      <c r="AL138" s="44" t="e">
        <f t="shared" si="53"/>
        <v>#N/A</v>
      </c>
      <c r="AM138" s="48">
        <f>IF(O138=0,0,IF(H138=0, HLOOKUP(I138,GasAvoidedCostsWOCC!$A$5:$Q$50,T138+1,FALSE)*K138*J138,HLOOKUP(I138,GasAvoidedCostsWOCC!$A$5:$Q$50,T138+1,FALSE)*L138*J138+HLOOKUP(I138,GasAvoidedCostsWOCC!$A$5:$Q$50,G138+1,FALSE)*K138*J138-HLOOKUP(I138,GasAvoidedCostsWOCC!$A$5:$Q$50,G138+1,FALSE)*L138*J138))</f>
        <v>0</v>
      </c>
      <c r="AN138" s="48">
        <f t="shared" si="54"/>
        <v>0</v>
      </c>
      <c r="AO138" s="47">
        <f t="shared" si="55"/>
        <v>0</v>
      </c>
      <c r="AP138" s="47" t="e">
        <f t="shared" si="56"/>
        <v>#DIV/0!</v>
      </c>
    </row>
    <row r="139" spans="2:42">
      <c r="B139" s="97"/>
      <c r="C139" s="61"/>
      <c r="D139" s="61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38"/>
        <v>0</v>
      </c>
      <c r="U139" s="47">
        <f t="shared" si="39"/>
        <v>0</v>
      </c>
      <c r="V139" s="48">
        <f t="shared" si="40"/>
        <v>0</v>
      </c>
      <c r="W139" s="49">
        <f t="shared" si="41"/>
        <v>0</v>
      </c>
      <c r="X139" s="44">
        <f t="shared" si="42"/>
        <v>0</v>
      </c>
      <c r="Y139" s="44">
        <f t="shared" si="43"/>
        <v>0</v>
      </c>
      <c r="Z139" s="44">
        <f t="shared" si="44"/>
        <v>0</v>
      </c>
      <c r="AA139" s="50">
        <f t="shared" si="45"/>
        <v>0</v>
      </c>
      <c r="AB139" s="51">
        <f t="shared" si="46"/>
        <v>0</v>
      </c>
      <c r="AC139" s="44">
        <f t="shared" si="47"/>
        <v>0</v>
      </c>
      <c r="AD139" s="44">
        <f t="shared" si="48"/>
        <v>0</v>
      </c>
      <c r="AE139" s="44">
        <f t="shared" si="49"/>
        <v>0</v>
      </c>
      <c r="AF139" s="52" t="e">
        <f>HLOOKUP(I139,GasAvoidedCostsWOCC!$A$5:$G$50,G139+1,FALSE)</f>
        <v>#N/A</v>
      </c>
      <c r="AG139" s="44" t="e">
        <f t="shared" si="50"/>
        <v>#N/A</v>
      </c>
      <c r="AH139" s="52" t="e">
        <f>HLOOKUP(I139,GasAvoidedCostsWOCC!$A$5:$Q$50,T139+1,FALSE)</f>
        <v>#N/A</v>
      </c>
      <c r="AI139" s="44" t="e">
        <f t="shared" si="51"/>
        <v>#N/A</v>
      </c>
      <c r="AJ139" s="44" t="e">
        <f t="shared" si="52"/>
        <v>#N/A</v>
      </c>
      <c r="AK139" s="44" t="e">
        <f>HLOOKUP(I139,GasAvoidedCostsWOCC!$A$5:$Q$50,G139+1,FALSE)*J139*L139</f>
        <v>#N/A</v>
      </c>
      <c r="AL139" s="44" t="e">
        <f t="shared" si="53"/>
        <v>#N/A</v>
      </c>
      <c r="AM139" s="48">
        <f>IF(O139=0,0,IF(H139=0, HLOOKUP(I139,GasAvoidedCostsWOCC!$A$5:$Q$50,T139+1,FALSE)*K139*J139,HLOOKUP(I139,GasAvoidedCostsWOCC!$A$5:$Q$50,T139+1,FALSE)*L139*J139+HLOOKUP(I139,GasAvoidedCostsWOCC!$A$5:$Q$50,G139+1,FALSE)*K139*J139-HLOOKUP(I139,GasAvoidedCostsWOCC!$A$5:$Q$50,G139+1,FALSE)*L139*J139))</f>
        <v>0</v>
      </c>
      <c r="AN139" s="48">
        <f t="shared" si="54"/>
        <v>0</v>
      </c>
      <c r="AO139" s="47">
        <f t="shared" si="55"/>
        <v>0</v>
      </c>
      <c r="AP139" s="47" t="e">
        <f t="shared" si="56"/>
        <v>#DIV/0!</v>
      </c>
    </row>
    <row r="140" spans="2:42">
      <c r="B140" s="97"/>
      <c r="C140" s="61"/>
      <c r="D140" s="61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38"/>
        <v>0</v>
      </c>
      <c r="U140" s="47">
        <f t="shared" si="39"/>
        <v>0</v>
      </c>
      <c r="V140" s="48">
        <f t="shared" si="40"/>
        <v>0</v>
      </c>
      <c r="W140" s="49">
        <f t="shared" si="41"/>
        <v>0</v>
      </c>
      <c r="X140" s="44">
        <f t="shared" si="42"/>
        <v>0</v>
      </c>
      <c r="Y140" s="44">
        <f t="shared" si="43"/>
        <v>0</v>
      </c>
      <c r="Z140" s="44">
        <f t="shared" si="44"/>
        <v>0</v>
      </c>
      <c r="AA140" s="50">
        <f t="shared" si="45"/>
        <v>0</v>
      </c>
      <c r="AB140" s="51">
        <f t="shared" si="46"/>
        <v>0</v>
      </c>
      <c r="AC140" s="44">
        <f t="shared" si="47"/>
        <v>0</v>
      </c>
      <c r="AD140" s="44">
        <f t="shared" si="48"/>
        <v>0</v>
      </c>
      <c r="AE140" s="44">
        <f t="shared" si="49"/>
        <v>0</v>
      </c>
      <c r="AF140" s="52" t="e">
        <f>HLOOKUP(I140,GasAvoidedCostsWOCC!$A$5:$G$50,G140+1,FALSE)</f>
        <v>#N/A</v>
      </c>
      <c r="AG140" s="44" t="e">
        <f t="shared" si="50"/>
        <v>#N/A</v>
      </c>
      <c r="AH140" s="52" t="e">
        <f>HLOOKUP(I140,GasAvoidedCostsWOCC!$A$5:$Q$50,T140+1,FALSE)</f>
        <v>#N/A</v>
      </c>
      <c r="AI140" s="44" t="e">
        <f t="shared" si="51"/>
        <v>#N/A</v>
      </c>
      <c r="AJ140" s="44" t="e">
        <f t="shared" si="52"/>
        <v>#N/A</v>
      </c>
      <c r="AK140" s="44" t="e">
        <f>HLOOKUP(I140,GasAvoidedCostsWOCC!$A$5:$Q$50,G140+1,FALSE)*J140*L140</f>
        <v>#N/A</v>
      </c>
      <c r="AL140" s="44" t="e">
        <f t="shared" si="53"/>
        <v>#N/A</v>
      </c>
      <c r="AM140" s="48">
        <f>IF(O140=0,0,IF(H140=0, HLOOKUP(I140,GasAvoidedCostsWOCC!$A$5:$Q$50,T140+1,FALSE)*K140*J140,HLOOKUP(I140,GasAvoidedCostsWOCC!$A$5:$Q$50,T140+1,FALSE)*L140*J140+HLOOKUP(I140,GasAvoidedCostsWOCC!$A$5:$Q$50,G140+1,FALSE)*K140*J140-HLOOKUP(I140,GasAvoidedCostsWOCC!$A$5:$Q$50,G140+1,FALSE)*L140*J140))</f>
        <v>0</v>
      </c>
      <c r="AN140" s="48">
        <f t="shared" si="54"/>
        <v>0</v>
      </c>
      <c r="AO140" s="47">
        <f t="shared" si="55"/>
        <v>0</v>
      </c>
      <c r="AP140" s="47" t="e">
        <f t="shared" si="56"/>
        <v>#DIV/0!</v>
      </c>
    </row>
    <row r="141" spans="2:42">
      <c r="B141" s="97"/>
      <c r="C141" s="61"/>
      <c r="D141" s="61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38"/>
        <v>0</v>
      </c>
      <c r="U141" s="47">
        <f t="shared" si="39"/>
        <v>0</v>
      </c>
      <c r="V141" s="48">
        <f t="shared" si="40"/>
        <v>0</v>
      </c>
      <c r="W141" s="49">
        <f t="shared" si="41"/>
        <v>0</v>
      </c>
      <c r="X141" s="44">
        <f t="shared" si="42"/>
        <v>0</v>
      </c>
      <c r="Y141" s="44">
        <f t="shared" si="43"/>
        <v>0</v>
      </c>
      <c r="Z141" s="44">
        <f t="shared" si="44"/>
        <v>0</v>
      </c>
      <c r="AA141" s="50">
        <f t="shared" si="45"/>
        <v>0</v>
      </c>
      <c r="AB141" s="51">
        <f t="shared" si="46"/>
        <v>0</v>
      </c>
      <c r="AC141" s="44">
        <f t="shared" si="47"/>
        <v>0</v>
      </c>
      <c r="AD141" s="44">
        <f t="shared" si="48"/>
        <v>0</v>
      </c>
      <c r="AE141" s="44">
        <f t="shared" si="49"/>
        <v>0</v>
      </c>
      <c r="AF141" s="52" t="e">
        <f>HLOOKUP(I141,GasAvoidedCostsWOCC!$A$5:$G$50,G141+1,FALSE)</f>
        <v>#N/A</v>
      </c>
      <c r="AG141" s="44" t="e">
        <f t="shared" si="50"/>
        <v>#N/A</v>
      </c>
      <c r="AH141" s="52" t="e">
        <f>HLOOKUP(I141,GasAvoidedCostsWOCC!$A$5:$Q$50,T141+1,FALSE)</f>
        <v>#N/A</v>
      </c>
      <c r="AI141" s="44" t="e">
        <f t="shared" si="51"/>
        <v>#N/A</v>
      </c>
      <c r="AJ141" s="44" t="e">
        <f t="shared" si="52"/>
        <v>#N/A</v>
      </c>
      <c r="AK141" s="44" t="e">
        <f>HLOOKUP(I141,GasAvoidedCostsWOCC!$A$5:$Q$50,G141+1,FALSE)*J141*L141</f>
        <v>#N/A</v>
      </c>
      <c r="AL141" s="44" t="e">
        <f t="shared" si="53"/>
        <v>#N/A</v>
      </c>
      <c r="AM141" s="48">
        <f>IF(O141=0,0,IF(H141=0, HLOOKUP(I141,GasAvoidedCostsWOCC!$A$5:$Q$50,T141+1,FALSE)*K141*J141,HLOOKUP(I141,GasAvoidedCostsWOCC!$A$5:$Q$50,T141+1,FALSE)*L141*J141+HLOOKUP(I141,GasAvoidedCostsWOCC!$A$5:$Q$50,G141+1,FALSE)*K141*J141-HLOOKUP(I141,GasAvoidedCostsWOCC!$A$5:$Q$50,G141+1,FALSE)*L141*J141))</f>
        <v>0</v>
      </c>
      <c r="AN141" s="48">
        <f t="shared" si="54"/>
        <v>0</v>
      </c>
      <c r="AO141" s="47">
        <f t="shared" si="55"/>
        <v>0</v>
      </c>
      <c r="AP141" s="47" t="e">
        <f t="shared" si="56"/>
        <v>#DIV/0!</v>
      </c>
    </row>
    <row r="142" spans="2:42">
      <c r="B142" s="97"/>
      <c r="C142" s="61"/>
      <c r="D142" s="61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38"/>
        <v>0</v>
      </c>
      <c r="U142" s="47">
        <f t="shared" si="39"/>
        <v>0</v>
      </c>
      <c r="V142" s="48">
        <f t="shared" si="40"/>
        <v>0</v>
      </c>
      <c r="W142" s="49">
        <f t="shared" si="41"/>
        <v>0</v>
      </c>
      <c r="X142" s="44">
        <f t="shared" si="42"/>
        <v>0</v>
      </c>
      <c r="Y142" s="44">
        <f t="shared" si="43"/>
        <v>0</v>
      </c>
      <c r="Z142" s="44">
        <f t="shared" si="44"/>
        <v>0</v>
      </c>
      <c r="AA142" s="50">
        <f t="shared" si="45"/>
        <v>0</v>
      </c>
      <c r="AB142" s="51">
        <f t="shared" si="46"/>
        <v>0</v>
      </c>
      <c r="AC142" s="44">
        <f t="shared" si="47"/>
        <v>0</v>
      </c>
      <c r="AD142" s="44">
        <f t="shared" si="48"/>
        <v>0</v>
      </c>
      <c r="AE142" s="44">
        <f t="shared" si="49"/>
        <v>0</v>
      </c>
      <c r="AF142" s="52" t="e">
        <f>HLOOKUP(I142,GasAvoidedCostsWOCC!$A$5:$G$50,G142+1,FALSE)</f>
        <v>#N/A</v>
      </c>
      <c r="AG142" s="44" t="e">
        <f t="shared" si="50"/>
        <v>#N/A</v>
      </c>
      <c r="AH142" s="52" t="e">
        <f>HLOOKUP(I142,GasAvoidedCostsWOCC!$A$5:$Q$50,T142+1,FALSE)</f>
        <v>#N/A</v>
      </c>
      <c r="AI142" s="44" t="e">
        <f t="shared" si="51"/>
        <v>#N/A</v>
      </c>
      <c r="AJ142" s="44" t="e">
        <f t="shared" si="52"/>
        <v>#N/A</v>
      </c>
      <c r="AK142" s="44" t="e">
        <f>HLOOKUP(I142,GasAvoidedCostsWOCC!$A$5:$Q$50,G142+1,FALSE)*J142*L142</f>
        <v>#N/A</v>
      </c>
      <c r="AL142" s="44" t="e">
        <f t="shared" si="53"/>
        <v>#N/A</v>
      </c>
      <c r="AM142" s="48">
        <f>IF(O142=0,0,IF(H142=0, HLOOKUP(I142,GasAvoidedCostsWOCC!$A$5:$Q$50,T142+1,FALSE)*K142*J142,HLOOKUP(I142,GasAvoidedCostsWOCC!$A$5:$Q$50,T142+1,FALSE)*L142*J142+HLOOKUP(I142,GasAvoidedCostsWOCC!$A$5:$Q$50,G142+1,FALSE)*K142*J142-HLOOKUP(I142,GasAvoidedCostsWOCC!$A$5:$Q$50,G142+1,FALSE)*L142*J142))</f>
        <v>0</v>
      </c>
      <c r="AN142" s="48">
        <f t="shared" si="54"/>
        <v>0</v>
      </c>
      <c r="AO142" s="47">
        <f t="shared" si="55"/>
        <v>0</v>
      </c>
      <c r="AP142" s="47" t="e">
        <f t="shared" si="56"/>
        <v>#DIV/0!</v>
      </c>
    </row>
    <row r="143" spans="2:42">
      <c r="B143" s="97"/>
      <c r="C143" s="61"/>
      <c r="D143" s="61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38"/>
        <v>0</v>
      </c>
      <c r="U143" s="47">
        <f t="shared" si="39"/>
        <v>0</v>
      </c>
      <c r="V143" s="48">
        <f t="shared" si="40"/>
        <v>0</v>
      </c>
      <c r="W143" s="49">
        <f t="shared" si="41"/>
        <v>0</v>
      </c>
      <c r="X143" s="44">
        <f t="shared" si="42"/>
        <v>0</v>
      </c>
      <c r="Y143" s="44">
        <f t="shared" si="43"/>
        <v>0</v>
      </c>
      <c r="Z143" s="44">
        <f t="shared" si="44"/>
        <v>0</v>
      </c>
      <c r="AA143" s="50">
        <f t="shared" si="45"/>
        <v>0</v>
      </c>
      <c r="AB143" s="51">
        <f t="shared" si="46"/>
        <v>0</v>
      </c>
      <c r="AC143" s="44">
        <f t="shared" si="47"/>
        <v>0</v>
      </c>
      <c r="AD143" s="44">
        <f t="shared" si="48"/>
        <v>0</v>
      </c>
      <c r="AE143" s="44">
        <f t="shared" si="49"/>
        <v>0</v>
      </c>
      <c r="AF143" s="52" t="e">
        <f>HLOOKUP(I143,GasAvoidedCostsWOCC!$A$5:$G$50,G143+1,FALSE)</f>
        <v>#N/A</v>
      </c>
      <c r="AG143" s="44" t="e">
        <f t="shared" si="50"/>
        <v>#N/A</v>
      </c>
      <c r="AH143" s="52" t="e">
        <f>HLOOKUP(I143,GasAvoidedCostsWOCC!$A$5:$Q$50,T143+1,FALSE)</f>
        <v>#N/A</v>
      </c>
      <c r="AI143" s="44" t="e">
        <f t="shared" si="51"/>
        <v>#N/A</v>
      </c>
      <c r="AJ143" s="44" t="e">
        <f t="shared" si="52"/>
        <v>#N/A</v>
      </c>
      <c r="AK143" s="44" t="e">
        <f>HLOOKUP(I143,GasAvoidedCostsWOCC!$A$5:$Q$50,G143+1,FALSE)*J143*L143</f>
        <v>#N/A</v>
      </c>
      <c r="AL143" s="44" t="e">
        <f t="shared" si="53"/>
        <v>#N/A</v>
      </c>
      <c r="AM143" s="48">
        <f>IF(O143=0,0,IF(H143=0, HLOOKUP(I143,GasAvoidedCostsWOCC!$A$5:$Q$50,T143+1,FALSE)*K143*J143,HLOOKUP(I143,GasAvoidedCostsWOCC!$A$5:$Q$50,T143+1,FALSE)*L143*J143+HLOOKUP(I143,GasAvoidedCostsWOCC!$A$5:$Q$50,G143+1,FALSE)*K143*J143-HLOOKUP(I143,GasAvoidedCostsWOCC!$A$5:$Q$50,G143+1,FALSE)*L143*J143))</f>
        <v>0</v>
      </c>
      <c r="AN143" s="48">
        <f t="shared" si="54"/>
        <v>0</v>
      </c>
      <c r="AO143" s="47">
        <f t="shared" si="55"/>
        <v>0</v>
      </c>
      <c r="AP143" s="47" t="e">
        <f t="shared" si="56"/>
        <v>#DIV/0!</v>
      </c>
    </row>
    <row r="144" spans="2:42">
      <c r="B144" s="97"/>
      <c r="C144" s="61"/>
      <c r="D144" s="61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38"/>
        <v>0</v>
      </c>
      <c r="U144" s="47">
        <f t="shared" si="39"/>
        <v>0</v>
      </c>
      <c r="V144" s="48">
        <f t="shared" si="40"/>
        <v>0</v>
      </c>
      <c r="W144" s="49">
        <f t="shared" si="41"/>
        <v>0</v>
      </c>
      <c r="X144" s="44">
        <f t="shared" si="42"/>
        <v>0</v>
      </c>
      <c r="Y144" s="44">
        <f t="shared" si="43"/>
        <v>0</v>
      </c>
      <c r="Z144" s="44">
        <f t="shared" si="44"/>
        <v>0</v>
      </c>
      <c r="AA144" s="50">
        <f t="shared" si="45"/>
        <v>0</v>
      </c>
      <c r="AB144" s="51">
        <f t="shared" si="46"/>
        <v>0</v>
      </c>
      <c r="AC144" s="44">
        <f t="shared" si="47"/>
        <v>0</v>
      </c>
      <c r="AD144" s="44">
        <f t="shared" si="48"/>
        <v>0</v>
      </c>
      <c r="AE144" s="44">
        <f t="shared" si="49"/>
        <v>0</v>
      </c>
      <c r="AF144" s="52" t="e">
        <f>HLOOKUP(I144,GasAvoidedCostsWOCC!$A$5:$G$50,G144+1,FALSE)</f>
        <v>#N/A</v>
      </c>
      <c r="AG144" s="44" t="e">
        <f t="shared" si="50"/>
        <v>#N/A</v>
      </c>
      <c r="AH144" s="52" t="e">
        <f>HLOOKUP(I144,GasAvoidedCostsWOCC!$A$5:$Q$50,T144+1,FALSE)</f>
        <v>#N/A</v>
      </c>
      <c r="AI144" s="44" t="e">
        <f t="shared" si="51"/>
        <v>#N/A</v>
      </c>
      <c r="AJ144" s="44" t="e">
        <f t="shared" si="52"/>
        <v>#N/A</v>
      </c>
      <c r="AK144" s="44" t="e">
        <f>HLOOKUP(I144,GasAvoidedCostsWOCC!$A$5:$Q$50,G144+1,FALSE)*J144*L144</f>
        <v>#N/A</v>
      </c>
      <c r="AL144" s="44" t="e">
        <f t="shared" si="53"/>
        <v>#N/A</v>
      </c>
      <c r="AM144" s="48">
        <f>IF(O144=0,0,IF(H144=0, HLOOKUP(I144,GasAvoidedCostsWOCC!$A$5:$Q$50,T144+1,FALSE)*K144*J144,HLOOKUP(I144,GasAvoidedCostsWOCC!$A$5:$Q$50,T144+1,FALSE)*L144*J144+HLOOKUP(I144,GasAvoidedCostsWOCC!$A$5:$Q$50,G144+1,FALSE)*K144*J144-HLOOKUP(I144,GasAvoidedCostsWOCC!$A$5:$Q$50,G144+1,FALSE)*L144*J144))</f>
        <v>0</v>
      </c>
      <c r="AN144" s="48">
        <f t="shared" si="54"/>
        <v>0</v>
      </c>
      <c r="AO144" s="47">
        <f t="shared" si="55"/>
        <v>0</v>
      </c>
      <c r="AP144" s="47" t="e">
        <f t="shared" si="56"/>
        <v>#DIV/0!</v>
      </c>
    </row>
    <row r="145" spans="2:42">
      <c r="B145" s="97"/>
      <c r="C145" s="61"/>
      <c r="D145" s="61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38"/>
        <v>0</v>
      </c>
      <c r="U145" s="47">
        <f t="shared" si="39"/>
        <v>0</v>
      </c>
      <c r="V145" s="48">
        <f t="shared" si="40"/>
        <v>0</v>
      </c>
      <c r="W145" s="49">
        <f t="shared" si="41"/>
        <v>0</v>
      </c>
      <c r="X145" s="44">
        <f t="shared" si="42"/>
        <v>0</v>
      </c>
      <c r="Y145" s="44">
        <f t="shared" si="43"/>
        <v>0</v>
      </c>
      <c r="Z145" s="44">
        <f t="shared" si="44"/>
        <v>0</v>
      </c>
      <c r="AA145" s="50">
        <f t="shared" si="45"/>
        <v>0</v>
      </c>
      <c r="AB145" s="51">
        <f t="shared" si="46"/>
        <v>0</v>
      </c>
      <c r="AC145" s="44">
        <f t="shared" si="47"/>
        <v>0</v>
      </c>
      <c r="AD145" s="44">
        <f t="shared" si="48"/>
        <v>0</v>
      </c>
      <c r="AE145" s="44">
        <f t="shared" si="49"/>
        <v>0</v>
      </c>
      <c r="AF145" s="52" t="e">
        <f>HLOOKUP(I145,GasAvoidedCostsWOCC!$A$5:$G$50,G145+1,FALSE)</f>
        <v>#N/A</v>
      </c>
      <c r="AG145" s="44" t="e">
        <f t="shared" si="50"/>
        <v>#N/A</v>
      </c>
      <c r="AH145" s="52" t="e">
        <f>HLOOKUP(I145,GasAvoidedCostsWOCC!$A$5:$Q$50,T145+1,FALSE)</f>
        <v>#N/A</v>
      </c>
      <c r="AI145" s="44" t="e">
        <f t="shared" si="51"/>
        <v>#N/A</v>
      </c>
      <c r="AJ145" s="44" t="e">
        <f t="shared" si="52"/>
        <v>#N/A</v>
      </c>
      <c r="AK145" s="44" t="e">
        <f>HLOOKUP(I145,GasAvoidedCostsWOCC!$A$5:$Q$50,G145+1,FALSE)*J145*L145</f>
        <v>#N/A</v>
      </c>
      <c r="AL145" s="44" t="e">
        <f t="shared" si="53"/>
        <v>#N/A</v>
      </c>
      <c r="AM145" s="48">
        <f>IF(O145=0,0,IF(H145=0, HLOOKUP(I145,GasAvoidedCostsWOCC!$A$5:$Q$50,T145+1,FALSE)*K145*J145,HLOOKUP(I145,GasAvoidedCostsWOCC!$A$5:$Q$50,T145+1,FALSE)*L145*J145+HLOOKUP(I145,GasAvoidedCostsWOCC!$A$5:$Q$50,G145+1,FALSE)*K145*J145-HLOOKUP(I145,GasAvoidedCostsWOCC!$A$5:$Q$50,G145+1,FALSE)*L145*J145))</f>
        <v>0</v>
      </c>
      <c r="AN145" s="48">
        <f t="shared" si="54"/>
        <v>0</v>
      </c>
      <c r="AO145" s="47">
        <f t="shared" si="55"/>
        <v>0</v>
      </c>
      <c r="AP145" s="47" t="e">
        <f t="shared" si="56"/>
        <v>#DIV/0!</v>
      </c>
    </row>
    <row r="146" spans="2:42">
      <c r="B146" s="97"/>
      <c r="C146" s="61"/>
      <c r="D146" s="61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38"/>
        <v>0</v>
      </c>
      <c r="U146" s="47">
        <f t="shared" si="39"/>
        <v>0</v>
      </c>
      <c r="V146" s="48">
        <f t="shared" si="40"/>
        <v>0</v>
      </c>
      <c r="W146" s="49">
        <f t="shared" si="41"/>
        <v>0</v>
      </c>
      <c r="X146" s="44">
        <f t="shared" si="42"/>
        <v>0</v>
      </c>
      <c r="Y146" s="44">
        <f t="shared" si="43"/>
        <v>0</v>
      </c>
      <c r="Z146" s="44">
        <f t="shared" si="44"/>
        <v>0</v>
      </c>
      <c r="AA146" s="50">
        <f t="shared" si="45"/>
        <v>0</v>
      </c>
      <c r="AB146" s="51">
        <f t="shared" si="46"/>
        <v>0</v>
      </c>
      <c r="AC146" s="44">
        <f t="shared" si="47"/>
        <v>0</v>
      </c>
      <c r="AD146" s="44">
        <f t="shared" si="48"/>
        <v>0</v>
      </c>
      <c r="AE146" s="44">
        <f t="shared" si="49"/>
        <v>0</v>
      </c>
      <c r="AF146" s="52" t="e">
        <f>HLOOKUP(I146,GasAvoidedCostsWOCC!$A$5:$G$50,G146+1,FALSE)</f>
        <v>#N/A</v>
      </c>
      <c r="AG146" s="44" t="e">
        <f t="shared" si="50"/>
        <v>#N/A</v>
      </c>
      <c r="AH146" s="52" t="e">
        <f>HLOOKUP(I146,GasAvoidedCostsWOCC!$A$5:$Q$50,T146+1,FALSE)</f>
        <v>#N/A</v>
      </c>
      <c r="AI146" s="44" t="e">
        <f t="shared" si="51"/>
        <v>#N/A</v>
      </c>
      <c r="AJ146" s="44" t="e">
        <f t="shared" si="52"/>
        <v>#N/A</v>
      </c>
      <c r="AK146" s="44" t="e">
        <f>HLOOKUP(I146,GasAvoidedCostsWOCC!$A$5:$Q$50,G146+1,FALSE)*J146*L146</f>
        <v>#N/A</v>
      </c>
      <c r="AL146" s="44" t="e">
        <f t="shared" si="53"/>
        <v>#N/A</v>
      </c>
      <c r="AM146" s="48">
        <f>IF(O146=0,0,IF(H146=0, HLOOKUP(I146,GasAvoidedCostsWOCC!$A$5:$Q$50,T146+1,FALSE)*K146*J146,HLOOKUP(I146,GasAvoidedCostsWOCC!$A$5:$Q$50,T146+1,FALSE)*L146*J146+HLOOKUP(I146,GasAvoidedCostsWOCC!$A$5:$Q$50,G146+1,FALSE)*K146*J146-HLOOKUP(I146,GasAvoidedCostsWOCC!$A$5:$Q$50,G146+1,FALSE)*L146*J146))</f>
        <v>0</v>
      </c>
      <c r="AN146" s="48">
        <f t="shared" si="54"/>
        <v>0</v>
      </c>
      <c r="AO146" s="47">
        <f t="shared" si="55"/>
        <v>0</v>
      </c>
      <c r="AP146" s="47" t="e">
        <f t="shared" si="56"/>
        <v>#DIV/0!</v>
      </c>
    </row>
    <row r="147" spans="2:42">
      <c r="B147" s="97"/>
      <c r="C147" s="61"/>
      <c r="D147" s="61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ref="T147:T208" si="57">G147+H147</f>
        <v>0</v>
      </c>
      <c r="U147" s="47">
        <f t="shared" ref="U147:U208" si="58">(O147/$A$10)*T147</f>
        <v>0</v>
      </c>
      <c r="V147" s="48">
        <f t="shared" ref="V147:V208" si="59">N147-M147</f>
        <v>0</v>
      </c>
      <c r="W147" s="49">
        <f t="shared" ref="W147:W208" si="60">(O147/A$10)</f>
        <v>0</v>
      </c>
      <c r="X147" s="44">
        <f t="shared" ref="X147:X208" si="61">W147*A$8</f>
        <v>0</v>
      </c>
      <c r="Y147" s="44">
        <f t="shared" ref="Y147:Y208" si="62">Q147-P147</f>
        <v>0</v>
      </c>
      <c r="Z147" s="44">
        <f t="shared" ref="Z147:Z208" si="63">X147+(A$6*W147)</f>
        <v>0</v>
      </c>
      <c r="AA147" s="50">
        <f t="shared" ref="AA147:AA208" si="64">Q147+X147</f>
        <v>0</v>
      </c>
      <c r="AB147" s="51">
        <f t="shared" ref="AB147:AB208" si="65">Z147/(1+GasDiscountRate)^1</f>
        <v>0</v>
      </c>
      <c r="AC147" s="44">
        <f t="shared" ref="AC147:AC208" si="66">AA147/(1+GasDiscountRate)^1</f>
        <v>0</v>
      </c>
      <c r="AD147" s="44">
        <f t="shared" ref="AD147:AD208" si="67">-PV(GasDiscountRate,T147,R147)*J147</f>
        <v>0</v>
      </c>
      <c r="AE147" s="44">
        <f t="shared" ref="AE147:AE208" si="68">-PV(GasDiscountRate,T147,S147)*J147</f>
        <v>0</v>
      </c>
      <c r="AF147" s="52" t="e">
        <f>HLOOKUP(I147,GasAvoidedCostsWOCC!$A$5:$G$50,G147+1,FALSE)</f>
        <v>#N/A</v>
      </c>
      <c r="AG147" s="44" t="e">
        <f t="shared" ref="AG147:AG208" si="69">AF147*J147*K147</f>
        <v>#N/A</v>
      </c>
      <c r="AH147" s="52" t="e">
        <f>HLOOKUP(I147,GasAvoidedCostsWOCC!$A$5:$Q$50,T147+1,FALSE)</f>
        <v>#N/A</v>
      </c>
      <c r="AI147" s="44" t="e">
        <f t="shared" ref="AI147:AI208" si="70">AH147*J147*L147</f>
        <v>#N/A</v>
      </c>
      <c r="AJ147" s="44" t="e">
        <f t="shared" ref="AJ147:AJ208" si="71">AG147+AI147</f>
        <v>#N/A</v>
      </c>
      <c r="AK147" s="44" t="e">
        <f>HLOOKUP(I147,GasAvoidedCostsWOCC!$A$5:$Q$50,G147+1,FALSE)*J147*L147</f>
        <v>#N/A</v>
      </c>
      <c r="AL147" s="44" t="e">
        <f t="shared" ref="AL147:AL208" si="72">AG147+AI147-AK147</f>
        <v>#N/A</v>
      </c>
      <c r="AM147" s="48">
        <f>IF(O147=0,0,IF(H147=0, HLOOKUP(I147,GasAvoidedCostsWOCC!$A$5:$Q$50,T147+1,FALSE)*K147*J147,HLOOKUP(I147,GasAvoidedCostsWOCC!$A$5:$Q$50,T147+1,FALSE)*L147*J147+HLOOKUP(I147,GasAvoidedCostsWOCC!$A$5:$Q$50,G147+1,FALSE)*K147*J147-HLOOKUP(I147,GasAvoidedCostsWOCC!$A$5:$Q$50,G147+1,FALSE)*L147*J147))</f>
        <v>0</v>
      </c>
      <c r="AN147" s="48">
        <f t="shared" ref="AN147:AN208" si="73">AM147*1.1+AD147+AE147</f>
        <v>0</v>
      </c>
      <c r="AO147" s="47">
        <f t="shared" ref="AO147:AO208" si="74">IFERROR(AM147/AB147,0)</f>
        <v>0</v>
      </c>
      <c r="AP147" s="47" t="e">
        <f t="shared" ref="AP147:AP208" si="75">AN147/AC147</f>
        <v>#DIV/0!</v>
      </c>
    </row>
    <row r="148" spans="2:42">
      <c r="B148" s="97"/>
      <c r="C148" s="61"/>
      <c r="D148" s="61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57"/>
        <v>0</v>
      </c>
      <c r="U148" s="47">
        <f t="shared" si="58"/>
        <v>0</v>
      </c>
      <c r="V148" s="48">
        <f t="shared" si="59"/>
        <v>0</v>
      </c>
      <c r="W148" s="49">
        <f t="shared" si="60"/>
        <v>0</v>
      </c>
      <c r="X148" s="44">
        <f t="shared" si="61"/>
        <v>0</v>
      </c>
      <c r="Y148" s="44">
        <f t="shared" si="62"/>
        <v>0</v>
      </c>
      <c r="Z148" s="44">
        <f t="shared" si="63"/>
        <v>0</v>
      </c>
      <c r="AA148" s="50">
        <f t="shared" si="64"/>
        <v>0</v>
      </c>
      <c r="AB148" s="51">
        <f t="shared" si="65"/>
        <v>0</v>
      </c>
      <c r="AC148" s="44">
        <f t="shared" si="66"/>
        <v>0</v>
      </c>
      <c r="AD148" s="44">
        <f t="shared" si="67"/>
        <v>0</v>
      </c>
      <c r="AE148" s="44">
        <f t="shared" si="68"/>
        <v>0</v>
      </c>
      <c r="AF148" s="52" t="e">
        <f>HLOOKUP(I148,GasAvoidedCostsWOCC!$A$5:$G$50,G148+1,FALSE)</f>
        <v>#N/A</v>
      </c>
      <c r="AG148" s="44" t="e">
        <f t="shared" si="69"/>
        <v>#N/A</v>
      </c>
      <c r="AH148" s="52" t="e">
        <f>HLOOKUP(I148,GasAvoidedCostsWOCC!$A$5:$Q$50,T148+1,FALSE)</f>
        <v>#N/A</v>
      </c>
      <c r="AI148" s="44" t="e">
        <f t="shared" si="70"/>
        <v>#N/A</v>
      </c>
      <c r="AJ148" s="44" t="e">
        <f t="shared" si="71"/>
        <v>#N/A</v>
      </c>
      <c r="AK148" s="44" t="e">
        <f>HLOOKUP(I148,GasAvoidedCostsWOCC!$A$5:$Q$50,G148+1,FALSE)*J148*L148</f>
        <v>#N/A</v>
      </c>
      <c r="AL148" s="44" t="e">
        <f t="shared" si="72"/>
        <v>#N/A</v>
      </c>
      <c r="AM148" s="48">
        <f>IF(O148=0,0,IF(H148=0, HLOOKUP(I148,GasAvoidedCostsWOCC!$A$5:$Q$50,T148+1,FALSE)*K148*J148,HLOOKUP(I148,GasAvoidedCostsWOCC!$A$5:$Q$50,T148+1,FALSE)*L148*J148+HLOOKUP(I148,GasAvoidedCostsWOCC!$A$5:$Q$50,G148+1,FALSE)*K148*J148-HLOOKUP(I148,GasAvoidedCostsWOCC!$A$5:$Q$50,G148+1,FALSE)*L148*J148))</f>
        <v>0</v>
      </c>
      <c r="AN148" s="48">
        <f t="shared" si="73"/>
        <v>0</v>
      </c>
      <c r="AO148" s="47">
        <f t="shared" si="74"/>
        <v>0</v>
      </c>
      <c r="AP148" s="47" t="e">
        <f t="shared" si="75"/>
        <v>#DIV/0!</v>
      </c>
    </row>
    <row r="149" spans="2:42">
      <c r="B149" s="97"/>
      <c r="C149" s="61"/>
      <c r="D149" s="61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57"/>
        <v>0</v>
      </c>
      <c r="U149" s="47">
        <f t="shared" si="58"/>
        <v>0</v>
      </c>
      <c r="V149" s="48">
        <f t="shared" si="59"/>
        <v>0</v>
      </c>
      <c r="W149" s="49">
        <f t="shared" si="60"/>
        <v>0</v>
      </c>
      <c r="X149" s="44">
        <f t="shared" si="61"/>
        <v>0</v>
      </c>
      <c r="Y149" s="44">
        <f t="shared" si="62"/>
        <v>0</v>
      </c>
      <c r="Z149" s="44">
        <f t="shared" si="63"/>
        <v>0</v>
      </c>
      <c r="AA149" s="50">
        <f t="shared" si="64"/>
        <v>0</v>
      </c>
      <c r="AB149" s="51">
        <f t="shared" si="65"/>
        <v>0</v>
      </c>
      <c r="AC149" s="44">
        <f t="shared" si="66"/>
        <v>0</v>
      </c>
      <c r="AD149" s="44">
        <f t="shared" si="67"/>
        <v>0</v>
      </c>
      <c r="AE149" s="44">
        <f t="shared" si="68"/>
        <v>0</v>
      </c>
      <c r="AF149" s="52" t="e">
        <f>HLOOKUP(I149,GasAvoidedCostsWOCC!$A$5:$G$50,G149+1,FALSE)</f>
        <v>#N/A</v>
      </c>
      <c r="AG149" s="44" t="e">
        <f t="shared" si="69"/>
        <v>#N/A</v>
      </c>
      <c r="AH149" s="52" t="e">
        <f>HLOOKUP(I149,GasAvoidedCostsWOCC!$A$5:$Q$50,T149+1,FALSE)</f>
        <v>#N/A</v>
      </c>
      <c r="AI149" s="44" t="e">
        <f t="shared" si="70"/>
        <v>#N/A</v>
      </c>
      <c r="AJ149" s="44" t="e">
        <f t="shared" si="71"/>
        <v>#N/A</v>
      </c>
      <c r="AK149" s="44" t="e">
        <f>HLOOKUP(I149,GasAvoidedCostsWOCC!$A$5:$Q$50,G149+1,FALSE)*J149*L149</f>
        <v>#N/A</v>
      </c>
      <c r="AL149" s="44" t="e">
        <f t="shared" si="72"/>
        <v>#N/A</v>
      </c>
      <c r="AM149" s="48">
        <f>IF(O149=0,0,IF(H149=0, HLOOKUP(I149,GasAvoidedCostsWOCC!$A$5:$Q$50,T149+1,FALSE)*K149*J149,HLOOKUP(I149,GasAvoidedCostsWOCC!$A$5:$Q$50,T149+1,FALSE)*L149*J149+HLOOKUP(I149,GasAvoidedCostsWOCC!$A$5:$Q$50,G149+1,FALSE)*K149*J149-HLOOKUP(I149,GasAvoidedCostsWOCC!$A$5:$Q$50,G149+1,FALSE)*L149*J149))</f>
        <v>0</v>
      </c>
      <c r="AN149" s="48">
        <f t="shared" si="73"/>
        <v>0</v>
      </c>
      <c r="AO149" s="47">
        <f t="shared" si="74"/>
        <v>0</v>
      </c>
      <c r="AP149" s="47" t="e">
        <f t="shared" si="75"/>
        <v>#DIV/0!</v>
      </c>
    </row>
    <row r="150" spans="2:42">
      <c r="B150" s="97"/>
      <c r="C150" s="61"/>
      <c r="D150" s="61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57"/>
        <v>0</v>
      </c>
      <c r="U150" s="47">
        <f t="shared" si="58"/>
        <v>0</v>
      </c>
      <c r="V150" s="48">
        <f t="shared" si="59"/>
        <v>0</v>
      </c>
      <c r="W150" s="49">
        <f t="shared" si="60"/>
        <v>0</v>
      </c>
      <c r="X150" s="44">
        <f t="shared" si="61"/>
        <v>0</v>
      </c>
      <c r="Y150" s="44">
        <f t="shared" si="62"/>
        <v>0</v>
      </c>
      <c r="Z150" s="44">
        <f t="shared" si="63"/>
        <v>0</v>
      </c>
      <c r="AA150" s="50">
        <f t="shared" si="64"/>
        <v>0</v>
      </c>
      <c r="AB150" s="51">
        <f t="shared" si="65"/>
        <v>0</v>
      </c>
      <c r="AC150" s="44">
        <f t="shared" si="66"/>
        <v>0</v>
      </c>
      <c r="AD150" s="44">
        <f t="shared" si="67"/>
        <v>0</v>
      </c>
      <c r="AE150" s="44">
        <f t="shared" si="68"/>
        <v>0</v>
      </c>
      <c r="AF150" s="52" t="e">
        <f>HLOOKUP(I150,GasAvoidedCostsWOCC!$A$5:$G$50,G150+1,FALSE)</f>
        <v>#N/A</v>
      </c>
      <c r="AG150" s="44" t="e">
        <f t="shared" si="69"/>
        <v>#N/A</v>
      </c>
      <c r="AH150" s="52" t="e">
        <f>HLOOKUP(I150,GasAvoidedCostsWOCC!$A$5:$Q$50,T150+1,FALSE)</f>
        <v>#N/A</v>
      </c>
      <c r="AI150" s="44" t="e">
        <f t="shared" si="70"/>
        <v>#N/A</v>
      </c>
      <c r="AJ150" s="44" t="e">
        <f t="shared" si="71"/>
        <v>#N/A</v>
      </c>
      <c r="AK150" s="44" t="e">
        <f>HLOOKUP(I150,GasAvoidedCostsWOCC!$A$5:$Q$50,G150+1,FALSE)*J150*L150</f>
        <v>#N/A</v>
      </c>
      <c r="AL150" s="44" t="e">
        <f t="shared" si="72"/>
        <v>#N/A</v>
      </c>
      <c r="AM150" s="48">
        <f>IF(O150=0,0,IF(H150=0, HLOOKUP(I150,GasAvoidedCostsWOCC!$A$5:$Q$50,T150+1,FALSE)*K150*J150,HLOOKUP(I150,GasAvoidedCostsWOCC!$A$5:$Q$50,T150+1,FALSE)*L150*J150+HLOOKUP(I150,GasAvoidedCostsWOCC!$A$5:$Q$50,G150+1,FALSE)*K150*J150-HLOOKUP(I150,GasAvoidedCostsWOCC!$A$5:$Q$50,G150+1,FALSE)*L150*J150))</f>
        <v>0</v>
      </c>
      <c r="AN150" s="48">
        <f t="shared" si="73"/>
        <v>0</v>
      </c>
      <c r="AO150" s="47">
        <f t="shared" si="74"/>
        <v>0</v>
      </c>
      <c r="AP150" s="47" t="e">
        <f t="shared" si="75"/>
        <v>#DIV/0!</v>
      </c>
    </row>
    <row r="151" spans="2:42">
      <c r="B151" s="97"/>
      <c r="C151" s="61"/>
      <c r="D151" s="61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57"/>
        <v>0</v>
      </c>
      <c r="U151" s="47">
        <f t="shared" si="58"/>
        <v>0</v>
      </c>
      <c r="V151" s="48">
        <f t="shared" si="59"/>
        <v>0</v>
      </c>
      <c r="W151" s="49">
        <f t="shared" si="60"/>
        <v>0</v>
      </c>
      <c r="X151" s="44">
        <f t="shared" si="61"/>
        <v>0</v>
      </c>
      <c r="Y151" s="44">
        <f t="shared" si="62"/>
        <v>0</v>
      </c>
      <c r="Z151" s="44">
        <f t="shared" si="63"/>
        <v>0</v>
      </c>
      <c r="AA151" s="50">
        <f t="shared" si="64"/>
        <v>0</v>
      </c>
      <c r="AB151" s="51">
        <f t="shared" si="65"/>
        <v>0</v>
      </c>
      <c r="AC151" s="44">
        <f t="shared" si="66"/>
        <v>0</v>
      </c>
      <c r="AD151" s="44">
        <f t="shared" si="67"/>
        <v>0</v>
      </c>
      <c r="AE151" s="44">
        <f t="shared" si="68"/>
        <v>0</v>
      </c>
      <c r="AF151" s="52" t="e">
        <f>HLOOKUP(I151,GasAvoidedCostsWOCC!$A$5:$G$50,G151+1,FALSE)</f>
        <v>#N/A</v>
      </c>
      <c r="AG151" s="44" t="e">
        <f t="shared" si="69"/>
        <v>#N/A</v>
      </c>
      <c r="AH151" s="52" t="e">
        <f>HLOOKUP(I151,GasAvoidedCostsWOCC!$A$5:$Q$50,T151+1,FALSE)</f>
        <v>#N/A</v>
      </c>
      <c r="AI151" s="44" t="e">
        <f t="shared" si="70"/>
        <v>#N/A</v>
      </c>
      <c r="AJ151" s="44" t="e">
        <f t="shared" si="71"/>
        <v>#N/A</v>
      </c>
      <c r="AK151" s="44" t="e">
        <f>HLOOKUP(I151,GasAvoidedCostsWOCC!$A$5:$Q$50,G151+1,FALSE)*J151*L151</f>
        <v>#N/A</v>
      </c>
      <c r="AL151" s="44" t="e">
        <f t="shared" si="72"/>
        <v>#N/A</v>
      </c>
      <c r="AM151" s="48">
        <f>IF(O151=0,0,IF(H151=0, HLOOKUP(I151,GasAvoidedCostsWOCC!$A$5:$Q$50,T151+1,FALSE)*K151*J151,HLOOKUP(I151,GasAvoidedCostsWOCC!$A$5:$Q$50,T151+1,FALSE)*L151*J151+HLOOKUP(I151,GasAvoidedCostsWOCC!$A$5:$Q$50,G151+1,FALSE)*K151*J151-HLOOKUP(I151,GasAvoidedCostsWOCC!$A$5:$Q$50,G151+1,FALSE)*L151*J151))</f>
        <v>0</v>
      </c>
      <c r="AN151" s="48">
        <f t="shared" si="73"/>
        <v>0</v>
      </c>
      <c r="AO151" s="47">
        <f t="shared" si="74"/>
        <v>0</v>
      </c>
      <c r="AP151" s="47" t="e">
        <f t="shared" si="75"/>
        <v>#DIV/0!</v>
      </c>
    </row>
    <row r="152" spans="2:42">
      <c r="B152" s="97"/>
      <c r="C152" s="61"/>
      <c r="D152" s="61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7"/>
        <v>0</v>
      </c>
      <c r="U152" s="47">
        <f t="shared" si="58"/>
        <v>0</v>
      </c>
      <c r="V152" s="48">
        <f t="shared" si="59"/>
        <v>0</v>
      </c>
      <c r="W152" s="49">
        <f t="shared" si="60"/>
        <v>0</v>
      </c>
      <c r="X152" s="44">
        <f t="shared" si="61"/>
        <v>0</v>
      </c>
      <c r="Y152" s="44">
        <f t="shared" si="62"/>
        <v>0</v>
      </c>
      <c r="Z152" s="44">
        <f t="shared" si="63"/>
        <v>0</v>
      </c>
      <c r="AA152" s="50">
        <f t="shared" si="64"/>
        <v>0</v>
      </c>
      <c r="AB152" s="51">
        <f t="shared" si="65"/>
        <v>0</v>
      </c>
      <c r="AC152" s="44">
        <f t="shared" si="66"/>
        <v>0</v>
      </c>
      <c r="AD152" s="44">
        <f t="shared" si="67"/>
        <v>0</v>
      </c>
      <c r="AE152" s="44">
        <f t="shared" si="68"/>
        <v>0</v>
      </c>
      <c r="AF152" s="52" t="e">
        <f>HLOOKUP(I152,GasAvoidedCostsWOCC!$A$5:$G$50,G152+1,FALSE)</f>
        <v>#N/A</v>
      </c>
      <c r="AG152" s="44" t="e">
        <f t="shared" si="69"/>
        <v>#N/A</v>
      </c>
      <c r="AH152" s="52" t="e">
        <f>HLOOKUP(I152,GasAvoidedCostsWOCC!$A$5:$Q$50,T152+1,FALSE)</f>
        <v>#N/A</v>
      </c>
      <c r="AI152" s="44" t="e">
        <f t="shared" si="70"/>
        <v>#N/A</v>
      </c>
      <c r="AJ152" s="44" t="e">
        <f t="shared" si="71"/>
        <v>#N/A</v>
      </c>
      <c r="AK152" s="44" t="e">
        <f>HLOOKUP(I152,GasAvoidedCostsWOCC!$A$5:$Q$50,G152+1,FALSE)*J152*L152</f>
        <v>#N/A</v>
      </c>
      <c r="AL152" s="44" t="e">
        <f t="shared" si="72"/>
        <v>#N/A</v>
      </c>
      <c r="AM152" s="48">
        <f>IF(O152=0,0,IF(H152=0, HLOOKUP(I152,GasAvoidedCostsWOCC!$A$5:$Q$50,T152+1,FALSE)*K152*J152,HLOOKUP(I152,GasAvoidedCostsWOCC!$A$5:$Q$50,T152+1,FALSE)*L152*J152+HLOOKUP(I152,GasAvoidedCostsWOCC!$A$5:$Q$50,G152+1,FALSE)*K152*J152-HLOOKUP(I152,GasAvoidedCostsWOCC!$A$5:$Q$50,G152+1,FALSE)*L152*J152))</f>
        <v>0</v>
      </c>
      <c r="AN152" s="48">
        <f t="shared" si="73"/>
        <v>0</v>
      </c>
      <c r="AO152" s="47">
        <f t="shared" si="74"/>
        <v>0</v>
      </c>
      <c r="AP152" s="47" t="e">
        <f t="shared" si="75"/>
        <v>#DIV/0!</v>
      </c>
    </row>
    <row r="153" spans="2:42">
      <c r="B153" s="97"/>
      <c r="C153" s="61"/>
      <c r="D153" s="61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7"/>
        <v>0</v>
      </c>
      <c r="U153" s="47">
        <f t="shared" si="58"/>
        <v>0</v>
      </c>
      <c r="V153" s="48">
        <f t="shared" si="59"/>
        <v>0</v>
      </c>
      <c r="W153" s="49">
        <f t="shared" si="60"/>
        <v>0</v>
      </c>
      <c r="X153" s="44">
        <f t="shared" si="61"/>
        <v>0</v>
      </c>
      <c r="Y153" s="44">
        <f t="shared" si="62"/>
        <v>0</v>
      </c>
      <c r="Z153" s="44">
        <f t="shared" si="63"/>
        <v>0</v>
      </c>
      <c r="AA153" s="50">
        <f t="shared" si="64"/>
        <v>0</v>
      </c>
      <c r="AB153" s="51">
        <f t="shared" si="65"/>
        <v>0</v>
      </c>
      <c r="AC153" s="44">
        <f t="shared" si="66"/>
        <v>0</v>
      </c>
      <c r="AD153" s="44">
        <f t="shared" si="67"/>
        <v>0</v>
      </c>
      <c r="AE153" s="44">
        <f t="shared" si="68"/>
        <v>0</v>
      </c>
      <c r="AF153" s="52" t="e">
        <f>HLOOKUP(I153,GasAvoidedCostsWOCC!$A$5:$G$50,G153+1,FALSE)</f>
        <v>#N/A</v>
      </c>
      <c r="AG153" s="44" t="e">
        <f t="shared" si="69"/>
        <v>#N/A</v>
      </c>
      <c r="AH153" s="52" t="e">
        <f>HLOOKUP(I153,GasAvoidedCostsWOCC!$A$5:$Q$50,T153+1,FALSE)</f>
        <v>#N/A</v>
      </c>
      <c r="AI153" s="44" t="e">
        <f t="shared" si="70"/>
        <v>#N/A</v>
      </c>
      <c r="AJ153" s="44" t="e">
        <f t="shared" si="71"/>
        <v>#N/A</v>
      </c>
      <c r="AK153" s="44" t="e">
        <f>HLOOKUP(I153,GasAvoidedCostsWOCC!$A$5:$Q$50,G153+1,FALSE)*J153*L153</f>
        <v>#N/A</v>
      </c>
      <c r="AL153" s="44" t="e">
        <f t="shared" si="72"/>
        <v>#N/A</v>
      </c>
      <c r="AM153" s="48">
        <f>IF(O153=0,0,IF(H153=0, HLOOKUP(I153,GasAvoidedCostsWOCC!$A$5:$Q$50,T153+1,FALSE)*K153*J153,HLOOKUP(I153,GasAvoidedCostsWOCC!$A$5:$Q$50,T153+1,FALSE)*L153*J153+HLOOKUP(I153,GasAvoidedCostsWOCC!$A$5:$Q$50,G153+1,FALSE)*K153*J153-HLOOKUP(I153,GasAvoidedCostsWOCC!$A$5:$Q$50,G153+1,FALSE)*L153*J153))</f>
        <v>0</v>
      </c>
      <c r="AN153" s="48">
        <f t="shared" si="73"/>
        <v>0</v>
      </c>
      <c r="AO153" s="47">
        <f t="shared" si="74"/>
        <v>0</v>
      </c>
      <c r="AP153" s="47" t="e">
        <f t="shared" si="75"/>
        <v>#DIV/0!</v>
      </c>
    </row>
    <row r="154" spans="2:42">
      <c r="B154" s="97"/>
      <c r="C154" s="61"/>
      <c r="D154" s="61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7"/>
        <v>0</v>
      </c>
      <c r="U154" s="47">
        <f t="shared" si="58"/>
        <v>0</v>
      </c>
      <c r="V154" s="48">
        <f t="shared" si="59"/>
        <v>0</v>
      </c>
      <c r="W154" s="49">
        <f t="shared" si="60"/>
        <v>0</v>
      </c>
      <c r="X154" s="44">
        <f t="shared" si="61"/>
        <v>0</v>
      </c>
      <c r="Y154" s="44">
        <f t="shared" si="62"/>
        <v>0</v>
      </c>
      <c r="Z154" s="44">
        <f t="shared" si="63"/>
        <v>0</v>
      </c>
      <c r="AA154" s="50">
        <f t="shared" si="64"/>
        <v>0</v>
      </c>
      <c r="AB154" s="51">
        <f t="shared" si="65"/>
        <v>0</v>
      </c>
      <c r="AC154" s="44">
        <f t="shared" si="66"/>
        <v>0</v>
      </c>
      <c r="AD154" s="44">
        <f t="shared" si="67"/>
        <v>0</v>
      </c>
      <c r="AE154" s="44">
        <f t="shared" si="68"/>
        <v>0</v>
      </c>
      <c r="AF154" s="52" t="e">
        <f>HLOOKUP(I154,GasAvoidedCostsWOCC!$A$5:$G$50,G154+1,FALSE)</f>
        <v>#N/A</v>
      </c>
      <c r="AG154" s="44" t="e">
        <f t="shared" si="69"/>
        <v>#N/A</v>
      </c>
      <c r="AH154" s="52" t="e">
        <f>HLOOKUP(I154,GasAvoidedCostsWOCC!$A$5:$Q$50,T154+1,FALSE)</f>
        <v>#N/A</v>
      </c>
      <c r="AI154" s="44" t="e">
        <f t="shared" si="70"/>
        <v>#N/A</v>
      </c>
      <c r="AJ154" s="44" t="e">
        <f t="shared" si="71"/>
        <v>#N/A</v>
      </c>
      <c r="AK154" s="44" t="e">
        <f>HLOOKUP(I154,GasAvoidedCostsWOCC!$A$5:$Q$50,G154+1,FALSE)*J154*L154</f>
        <v>#N/A</v>
      </c>
      <c r="AL154" s="44" t="e">
        <f t="shared" si="72"/>
        <v>#N/A</v>
      </c>
      <c r="AM154" s="48">
        <f>IF(O154=0,0,IF(H154=0, HLOOKUP(I154,GasAvoidedCostsWOCC!$A$5:$Q$50,T154+1,FALSE)*K154*J154,HLOOKUP(I154,GasAvoidedCostsWOCC!$A$5:$Q$50,T154+1,FALSE)*L154*J154+HLOOKUP(I154,GasAvoidedCostsWOCC!$A$5:$Q$50,G154+1,FALSE)*K154*J154-HLOOKUP(I154,GasAvoidedCostsWOCC!$A$5:$Q$50,G154+1,FALSE)*L154*J154))</f>
        <v>0</v>
      </c>
      <c r="AN154" s="48">
        <f t="shared" si="73"/>
        <v>0</v>
      </c>
      <c r="AO154" s="47">
        <f t="shared" si="74"/>
        <v>0</v>
      </c>
      <c r="AP154" s="47" t="e">
        <f t="shared" si="75"/>
        <v>#DIV/0!</v>
      </c>
    </row>
    <row r="155" spans="2:42">
      <c r="B155" s="97"/>
      <c r="C155" s="61"/>
      <c r="D155" s="61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7"/>
        <v>0</v>
      </c>
      <c r="U155" s="47">
        <f t="shared" si="58"/>
        <v>0</v>
      </c>
      <c r="V155" s="48">
        <f t="shared" si="59"/>
        <v>0</v>
      </c>
      <c r="W155" s="49">
        <f t="shared" si="60"/>
        <v>0</v>
      </c>
      <c r="X155" s="44">
        <f t="shared" si="61"/>
        <v>0</v>
      </c>
      <c r="Y155" s="44">
        <f t="shared" si="62"/>
        <v>0</v>
      </c>
      <c r="Z155" s="44">
        <f t="shared" si="63"/>
        <v>0</v>
      </c>
      <c r="AA155" s="50">
        <f t="shared" si="64"/>
        <v>0</v>
      </c>
      <c r="AB155" s="51">
        <f t="shared" si="65"/>
        <v>0</v>
      </c>
      <c r="AC155" s="44">
        <f t="shared" si="66"/>
        <v>0</v>
      </c>
      <c r="AD155" s="44">
        <f t="shared" si="67"/>
        <v>0</v>
      </c>
      <c r="AE155" s="44">
        <f t="shared" si="68"/>
        <v>0</v>
      </c>
      <c r="AF155" s="52" t="e">
        <f>HLOOKUP(I155,GasAvoidedCostsWOCC!$A$5:$G$50,G155+1,FALSE)</f>
        <v>#N/A</v>
      </c>
      <c r="AG155" s="44" t="e">
        <f t="shared" si="69"/>
        <v>#N/A</v>
      </c>
      <c r="AH155" s="52" t="e">
        <f>HLOOKUP(I155,GasAvoidedCostsWOCC!$A$5:$Q$50,T155+1,FALSE)</f>
        <v>#N/A</v>
      </c>
      <c r="AI155" s="44" t="e">
        <f t="shared" si="70"/>
        <v>#N/A</v>
      </c>
      <c r="AJ155" s="44" t="e">
        <f t="shared" si="71"/>
        <v>#N/A</v>
      </c>
      <c r="AK155" s="44" t="e">
        <f>HLOOKUP(I155,GasAvoidedCostsWOCC!$A$5:$Q$50,G155+1,FALSE)*J155*L155</f>
        <v>#N/A</v>
      </c>
      <c r="AL155" s="44" t="e">
        <f t="shared" si="72"/>
        <v>#N/A</v>
      </c>
      <c r="AM155" s="48">
        <f>IF(O155=0,0,IF(H155=0, HLOOKUP(I155,GasAvoidedCostsWOCC!$A$5:$Q$50,T155+1,FALSE)*K155*J155,HLOOKUP(I155,GasAvoidedCostsWOCC!$A$5:$Q$50,T155+1,FALSE)*L155*J155+HLOOKUP(I155,GasAvoidedCostsWOCC!$A$5:$Q$50,G155+1,FALSE)*K155*J155-HLOOKUP(I155,GasAvoidedCostsWOCC!$A$5:$Q$50,G155+1,FALSE)*L155*J155))</f>
        <v>0</v>
      </c>
      <c r="AN155" s="48">
        <f t="shared" si="73"/>
        <v>0</v>
      </c>
      <c r="AO155" s="47">
        <f t="shared" si="74"/>
        <v>0</v>
      </c>
      <c r="AP155" s="47" t="e">
        <f t="shared" si="75"/>
        <v>#DIV/0!</v>
      </c>
    </row>
    <row r="156" spans="2:42">
      <c r="B156" s="97"/>
      <c r="C156" s="61"/>
      <c r="D156" s="61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0</v>
      </c>
      <c r="AB156" s="51">
        <f t="shared" si="65"/>
        <v>0</v>
      </c>
      <c r="AC156" s="44">
        <f t="shared" si="66"/>
        <v>0</v>
      </c>
      <c r="AD156" s="44">
        <f t="shared" si="67"/>
        <v>0</v>
      </c>
      <c r="AE156" s="44">
        <f t="shared" si="68"/>
        <v>0</v>
      </c>
      <c r="AF156" s="52" t="e">
        <f>HLOOKUP(I156,GasAvoidedCostsWOCC!$A$5:$G$50,G156+1,FALSE)</f>
        <v>#N/A</v>
      </c>
      <c r="AG156" s="44" t="e">
        <f t="shared" si="69"/>
        <v>#N/A</v>
      </c>
      <c r="AH156" s="52" t="e">
        <f>HLOOKUP(I156,GasAvoidedCostsWOCC!$A$5:$Q$50,T156+1,FALSE)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HLOOKUP(I156,GasAvoidedCostsWOCC!$A$5:$Q$50,G156+1,FALSE)*J156*L156</f>
        <v>#N/A</v>
      </c>
      <c r="AL156" s="44" t="e">
        <f t="shared" si="72"/>
        <v>#N/A</v>
      </c>
      <c r="AM156" s="48">
        <f>IF(O156=0,0,IF(H156=0, HLOOKUP(I156,GasAvoidedCostsWOCC!$A$5:$Q$50,T156+1,FALSE)*K156*J156,HLOOKUP(I156,GasAvoidedCostsWOCC!$A$5:$Q$50,T156+1,FALSE)*L156*J156+HLOOKUP(I156,GasAvoidedCostsWOCC!$A$5:$Q$50,G156+1,FALSE)*K156*J156-HLOOKUP(I156,GasAvoidedCostsWOCC!$A$5:$Q$50,G156+1,FALSE)*L156*J156))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 t="e">
        <f t="shared" si="75"/>
        <v>#DIV/0!</v>
      </c>
    </row>
    <row r="157" spans="2:42">
      <c r="B157" s="97"/>
      <c r="C157" s="61"/>
      <c r="D157" s="61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0</v>
      </c>
      <c r="AB157" s="51">
        <f t="shared" si="65"/>
        <v>0</v>
      </c>
      <c r="AC157" s="44">
        <f t="shared" si="66"/>
        <v>0</v>
      </c>
      <c r="AD157" s="44">
        <f t="shared" si="67"/>
        <v>0</v>
      </c>
      <c r="AE157" s="44">
        <f t="shared" si="68"/>
        <v>0</v>
      </c>
      <c r="AF157" s="52" t="e">
        <f>HLOOKUP(I157,GasAvoidedCostsWOCC!$A$5:$G$50,G157+1,FALSE)</f>
        <v>#N/A</v>
      </c>
      <c r="AG157" s="44" t="e">
        <f t="shared" si="69"/>
        <v>#N/A</v>
      </c>
      <c r="AH157" s="52" t="e">
        <f>HLOOKUP(I157,GasAvoidedCostsWOCC!$A$5:$Q$50,T157+1,FALSE)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HLOOKUP(I157,GasAvoidedCostsWOCC!$A$5:$Q$50,G157+1,FALSE)*J157*L157</f>
        <v>#N/A</v>
      </c>
      <c r="AL157" s="44" t="e">
        <f t="shared" si="72"/>
        <v>#N/A</v>
      </c>
      <c r="AM157" s="48">
        <f>IF(O157=0,0,IF(H157=0, HLOOKUP(I157,GasAvoidedCostsWOCC!$A$5:$Q$50,T157+1,FALSE)*K157*J157,HLOOKUP(I157,GasAvoidedCostsWOCC!$A$5:$Q$50,T157+1,FALSE)*L157*J157+HLOOKUP(I157,GasAvoidedCostsWOCC!$A$5:$Q$50,G157+1,FALSE)*K157*J157-HLOOKUP(I157,GasAvoidedCostsWOCC!$A$5:$Q$50,G157+1,FALSE)*L157*J157))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 t="e">
        <f t="shared" si="75"/>
        <v>#DIV/0!</v>
      </c>
    </row>
    <row r="158" spans="2:42">
      <c r="B158" s="97"/>
      <c r="C158" s="61"/>
      <c r="D158" s="61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7"/>
        <v>0</v>
      </c>
      <c r="U158" s="47">
        <f t="shared" si="58"/>
        <v>0</v>
      </c>
      <c r="V158" s="48">
        <f t="shared" si="59"/>
        <v>0</v>
      </c>
      <c r="W158" s="49">
        <f t="shared" si="60"/>
        <v>0</v>
      </c>
      <c r="X158" s="44">
        <f t="shared" si="61"/>
        <v>0</v>
      </c>
      <c r="Y158" s="44">
        <f t="shared" si="62"/>
        <v>0</v>
      </c>
      <c r="Z158" s="44">
        <f t="shared" si="63"/>
        <v>0</v>
      </c>
      <c r="AA158" s="50">
        <f t="shared" si="64"/>
        <v>0</v>
      </c>
      <c r="AB158" s="51">
        <f t="shared" si="65"/>
        <v>0</v>
      </c>
      <c r="AC158" s="44">
        <f t="shared" si="66"/>
        <v>0</v>
      </c>
      <c r="AD158" s="44">
        <f t="shared" si="67"/>
        <v>0</v>
      </c>
      <c r="AE158" s="44">
        <f t="shared" si="68"/>
        <v>0</v>
      </c>
      <c r="AF158" s="52" t="e">
        <f>HLOOKUP(I158,GasAvoidedCostsWOCC!$A$5:$G$50,G158+1,FALSE)</f>
        <v>#N/A</v>
      </c>
      <c r="AG158" s="44" t="e">
        <f t="shared" si="69"/>
        <v>#N/A</v>
      </c>
      <c r="AH158" s="52" t="e">
        <f>HLOOKUP(I158,GasAvoidedCostsWOCC!$A$5:$Q$50,T158+1,FALSE)</f>
        <v>#N/A</v>
      </c>
      <c r="AI158" s="44" t="e">
        <f t="shared" si="70"/>
        <v>#N/A</v>
      </c>
      <c r="AJ158" s="44" t="e">
        <f t="shared" si="71"/>
        <v>#N/A</v>
      </c>
      <c r="AK158" s="44" t="e">
        <f>HLOOKUP(I158,GasAvoidedCostsWOCC!$A$5:$Q$50,G158+1,FALSE)*J158*L158</f>
        <v>#N/A</v>
      </c>
      <c r="AL158" s="44" t="e">
        <f t="shared" si="72"/>
        <v>#N/A</v>
      </c>
      <c r="AM158" s="48">
        <f>IF(O158=0,0,IF(H158=0, HLOOKUP(I158,GasAvoidedCostsWOCC!$A$5:$Q$50,T158+1,FALSE)*K158*J158,HLOOKUP(I158,GasAvoidedCostsWOCC!$A$5:$Q$50,T158+1,FALSE)*L158*J158+HLOOKUP(I158,GasAvoidedCostsWOCC!$A$5:$Q$50,G158+1,FALSE)*K158*J158-HLOOKUP(I158,GasAvoidedCostsWOCC!$A$5:$Q$50,G158+1,FALSE)*L158*J158))</f>
        <v>0</v>
      </c>
      <c r="AN158" s="48">
        <f t="shared" si="73"/>
        <v>0</v>
      </c>
      <c r="AO158" s="47">
        <f t="shared" si="74"/>
        <v>0</v>
      </c>
      <c r="AP158" s="47" t="e">
        <f t="shared" si="75"/>
        <v>#DIV/0!</v>
      </c>
    </row>
    <row r="159" spans="2:42">
      <c r="B159" s="97"/>
      <c r="C159" s="61"/>
      <c r="D159" s="61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7"/>
        <v>0</v>
      </c>
      <c r="U159" s="47">
        <f t="shared" si="58"/>
        <v>0</v>
      </c>
      <c r="V159" s="48">
        <f t="shared" si="59"/>
        <v>0</v>
      </c>
      <c r="W159" s="49">
        <f t="shared" si="60"/>
        <v>0</v>
      </c>
      <c r="X159" s="44">
        <f t="shared" si="61"/>
        <v>0</v>
      </c>
      <c r="Y159" s="44">
        <f t="shared" si="62"/>
        <v>0</v>
      </c>
      <c r="Z159" s="44">
        <f t="shared" si="63"/>
        <v>0</v>
      </c>
      <c r="AA159" s="50">
        <f t="shared" si="64"/>
        <v>0</v>
      </c>
      <c r="AB159" s="51">
        <f t="shared" si="65"/>
        <v>0</v>
      </c>
      <c r="AC159" s="44">
        <f t="shared" si="66"/>
        <v>0</v>
      </c>
      <c r="AD159" s="44">
        <f t="shared" si="67"/>
        <v>0</v>
      </c>
      <c r="AE159" s="44">
        <f t="shared" si="68"/>
        <v>0</v>
      </c>
      <c r="AF159" s="52" t="e">
        <f>HLOOKUP(I159,GasAvoidedCostsWOCC!$A$5:$G$50,G159+1,FALSE)</f>
        <v>#N/A</v>
      </c>
      <c r="AG159" s="44" t="e">
        <f t="shared" si="69"/>
        <v>#N/A</v>
      </c>
      <c r="AH159" s="52" t="e">
        <f>HLOOKUP(I159,GasAvoidedCostsWOCC!$A$5:$Q$50,T159+1,FALSE)</f>
        <v>#N/A</v>
      </c>
      <c r="AI159" s="44" t="e">
        <f t="shared" si="70"/>
        <v>#N/A</v>
      </c>
      <c r="AJ159" s="44" t="e">
        <f t="shared" si="71"/>
        <v>#N/A</v>
      </c>
      <c r="AK159" s="44" t="e">
        <f>HLOOKUP(I159,GasAvoidedCostsWOCC!$A$5:$Q$50,G159+1,FALSE)*J159*L159</f>
        <v>#N/A</v>
      </c>
      <c r="AL159" s="44" t="e">
        <f t="shared" si="72"/>
        <v>#N/A</v>
      </c>
      <c r="AM159" s="48">
        <f>IF(O159=0,0,IF(H159=0, HLOOKUP(I159,GasAvoidedCostsWOCC!$A$5:$Q$50,T159+1,FALSE)*K159*J159,HLOOKUP(I159,GasAvoidedCostsWOCC!$A$5:$Q$50,T159+1,FALSE)*L159*J159+HLOOKUP(I159,GasAvoidedCostsWOCC!$A$5:$Q$50,G159+1,FALSE)*K159*J159-HLOOKUP(I159,GasAvoidedCostsWOCC!$A$5:$Q$50,G159+1,FALSE)*L159*J159))</f>
        <v>0</v>
      </c>
      <c r="AN159" s="48">
        <f t="shared" si="73"/>
        <v>0</v>
      </c>
      <c r="AO159" s="47">
        <f t="shared" si="74"/>
        <v>0</v>
      </c>
      <c r="AP159" s="47" t="e">
        <f t="shared" si="75"/>
        <v>#DIV/0!</v>
      </c>
    </row>
    <row r="160" spans="2:42">
      <c r="B160" s="97"/>
      <c r="C160" s="61"/>
      <c r="D160" s="61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HLOOKUP(I160,GasAvoidedCostsWOCC!$A$5:$G$50,G160+1,FALSE)</f>
        <v>#N/A</v>
      </c>
      <c r="AG160" s="44" t="e">
        <f t="shared" si="69"/>
        <v>#N/A</v>
      </c>
      <c r="AH160" s="52" t="e">
        <f>HLOOKUP(I160,GasAvoidedCostsWOCC!$A$5:$Q$50,T160+1,FALSE)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HLOOKUP(I160,GasAvoidedCostsWOCC!$A$5:$Q$50,G160+1,FALSE)*J160*L160</f>
        <v>#N/A</v>
      </c>
      <c r="AL160" s="44" t="e">
        <f t="shared" si="72"/>
        <v>#N/A</v>
      </c>
      <c r="AM160" s="48">
        <f>IF(O160=0,0,IF(H160=0, HLOOKUP(I160,GasAvoidedCostsWOCC!$A$5:$Q$50,T160+1,FALSE)*K160*J160,HLOOKUP(I160,GasAvoidedCostsWOCC!$A$5:$Q$50,T160+1,FALSE)*L160*J160+HLOOKUP(I160,GasAvoidedCostsWOCC!$A$5:$Q$50,G160+1,FALSE)*K160*J160-HLOOKUP(I160,GasAvoidedCostsWOCC!$A$5:$Q$50,G160+1,FALSE)*L160*J160))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>
      <c r="B161" s="97"/>
      <c r="C161" s="61"/>
      <c r="D161" s="61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0</v>
      </c>
      <c r="AB161" s="51">
        <f t="shared" si="65"/>
        <v>0</v>
      </c>
      <c r="AC161" s="44">
        <f t="shared" si="66"/>
        <v>0</v>
      </c>
      <c r="AD161" s="44">
        <f t="shared" si="67"/>
        <v>0</v>
      </c>
      <c r="AE161" s="44">
        <f t="shared" si="68"/>
        <v>0</v>
      </c>
      <c r="AF161" s="52" t="e">
        <f>HLOOKUP(I161,GasAvoidedCostsWOCC!$A$5:$G$50,G161+1,FALSE)</f>
        <v>#N/A</v>
      </c>
      <c r="AG161" s="44" t="e">
        <f t="shared" si="69"/>
        <v>#N/A</v>
      </c>
      <c r="AH161" s="52" t="e">
        <f>HLOOKUP(I161,GasAvoidedCostsWOCC!$A$5:$Q$50,T161+1,FALSE)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HLOOKUP(I161,GasAvoidedCostsWOCC!$A$5:$Q$50,G161+1,FALSE)*J161*L161</f>
        <v>#N/A</v>
      </c>
      <c r="AL161" s="44" t="e">
        <f t="shared" si="72"/>
        <v>#N/A</v>
      </c>
      <c r="AM161" s="48">
        <f>IF(O161=0,0,IF(H161=0, HLOOKUP(I161,GasAvoidedCostsWOCC!$A$5:$Q$50,T161+1,FALSE)*K161*J161,HLOOKUP(I161,GasAvoidedCostsWOCC!$A$5:$Q$50,T161+1,FALSE)*L161*J161+HLOOKUP(I161,GasAvoidedCostsWOCC!$A$5:$Q$50,G161+1,FALSE)*K161*J161-HLOOKUP(I161,GasAvoidedCostsWOCC!$A$5:$Q$50,G161+1,FALSE)*L161*J161))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 t="e">
        <f t="shared" si="75"/>
        <v>#DIV/0!</v>
      </c>
    </row>
    <row r="162" spans="2:42">
      <c r="B162" s="97"/>
      <c r="C162" s="61"/>
      <c r="D162" s="61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0</v>
      </c>
      <c r="Z162" s="44">
        <f t="shared" si="63"/>
        <v>0</v>
      </c>
      <c r="AA162" s="50">
        <f t="shared" si="64"/>
        <v>0</v>
      </c>
      <c r="AB162" s="51">
        <f t="shared" si="65"/>
        <v>0</v>
      </c>
      <c r="AC162" s="44">
        <f t="shared" si="66"/>
        <v>0</v>
      </c>
      <c r="AD162" s="44">
        <f t="shared" si="67"/>
        <v>0</v>
      </c>
      <c r="AE162" s="44">
        <f t="shared" si="68"/>
        <v>0</v>
      </c>
      <c r="AF162" s="52" t="e">
        <f>HLOOKUP(I162,GasAvoidedCostsWOCC!$A$5:$G$50,G162+1,FALSE)</f>
        <v>#N/A</v>
      </c>
      <c r="AG162" s="44" t="e">
        <f t="shared" si="69"/>
        <v>#N/A</v>
      </c>
      <c r="AH162" s="52" t="e">
        <f>HLOOKUP(I162,GasAvoidedCostsWOCC!$A$5:$Q$50,T162+1,FALSE)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HLOOKUP(I162,GasAvoidedCostsWOCC!$A$5:$Q$50,G162+1,FALSE)*J162*L162</f>
        <v>#N/A</v>
      </c>
      <c r="AL162" s="44" t="e">
        <f t="shared" si="72"/>
        <v>#N/A</v>
      </c>
      <c r="AM162" s="48">
        <f>IF(O162=0,0,IF(H162=0, HLOOKUP(I162,GasAvoidedCostsWOCC!$A$5:$Q$50,T162+1,FALSE)*K162*J162,HLOOKUP(I162,GasAvoidedCostsWOCC!$A$5:$Q$50,T162+1,FALSE)*L162*J162+HLOOKUP(I162,GasAvoidedCostsWOCC!$A$5:$Q$50,G162+1,FALSE)*K162*J162-HLOOKUP(I162,GasAvoidedCostsWOCC!$A$5:$Q$50,G162+1,FALSE)*L162*J162))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 t="e">
        <f t="shared" si="75"/>
        <v>#DIV/0!</v>
      </c>
    </row>
    <row r="163" spans="2:42">
      <c r="B163" s="97"/>
      <c r="C163" s="61"/>
      <c r="D163" s="61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0</v>
      </c>
      <c r="AB163" s="51">
        <f t="shared" si="65"/>
        <v>0</v>
      </c>
      <c r="AC163" s="44">
        <f t="shared" si="66"/>
        <v>0</v>
      </c>
      <c r="AD163" s="44">
        <f t="shared" si="67"/>
        <v>0</v>
      </c>
      <c r="AE163" s="44">
        <f t="shared" si="68"/>
        <v>0</v>
      </c>
      <c r="AF163" s="52" t="e">
        <f>HLOOKUP(I163,GasAvoidedCostsWOCC!$A$5:$G$50,G163+1,FALSE)</f>
        <v>#N/A</v>
      </c>
      <c r="AG163" s="44" t="e">
        <f t="shared" si="69"/>
        <v>#N/A</v>
      </c>
      <c r="AH163" s="52" t="e">
        <f>HLOOKUP(I163,GasAvoidedCostsWOCC!$A$5:$Q$50,T163+1,FALSE)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HLOOKUP(I163,GasAvoidedCostsWOCC!$A$5:$Q$50,G163+1,FALSE)*J163*L163</f>
        <v>#N/A</v>
      </c>
      <c r="AL163" s="44" t="e">
        <f t="shared" si="72"/>
        <v>#N/A</v>
      </c>
      <c r="AM163" s="48">
        <f>IF(O163=0,0,IF(H163=0, HLOOKUP(I163,GasAvoidedCostsWOCC!$A$5:$Q$50,T163+1,FALSE)*K163*J163,HLOOKUP(I163,GasAvoidedCostsWOCC!$A$5:$Q$50,T163+1,FALSE)*L163*J163+HLOOKUP(I163,GasAvoidedCostsWOCC!$A$5:$Q$50,G163+1,FALSE)*K163*J163-HLOOKUP(I163,GasAvoidedCostsWOCC!$A$5:$Q$50,G163+1,FALSE)*L163*J163))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 t="e">
        <f t="shared" si="75"/>
        <v>#DIV/0!</v>
      </c>
    </row>
    <row r="164" spans="2:42">
      <c r="B164" s="97"/>
      <c r="C164" s="61"/>
      <c r="D164" s="61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0</v>
      </c>
      <c r="Z164" s="44">
        <f t="shared" si="63"/>
        <v>0</v>
      </c>
      <c r="AA164" s="50">
        <f t="shared" si="64"/>
        <v>0</v>
      </c>
      <c r="AB164" s="51">
        <f t="shared" si="65"/>
        <v>0</v>
      </c>
      <c r="AC164" s="44">
        <f t="shared" si="66"/>
        <v>0</v>
      </c>
      <c r="AD164" s="44">
        <f t="shared" si="67"/>
        <v>0</v>
      </c>
      <c r="AE164" s="44">
        <f t="shared" si="68"/>
        <v>0</v>
      </c>
      <c r="AF164" s="52" t="e">
        <f>HLOOKUP(I164,GasAvoidedCostsWOCC!$A$5:$G$50,G164+1,FALSE)</f>
        <v>#N/A</v>
      </c>
      <c r="AG164" s="44" t="e">
        <f t="shared" si="69"/>
        <v>#N/A</v>
      </c>
      <c r="AH164" s="52" t="e">
        <f>HLOOKUP(I164,GasAvoidedCostsWOCC!$A$5:$Q$50,T164+1,FALSE)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HLOOKUP(I164,GasAvoidedCostsWOCC!$A$5:$Q$50,G164+1,FALSE)*J164*L164</f>
        <v>#N/A</v>
      </c>
      <c r="AL164" s="44" t="e">
        <f t="shared" si="72"/>
        <v>#N/A</v>
      </c>
      <c r="AM164" s="48">
        <f>IF(O164=0,0,IF(H164=0, HLOOKUP(I164,GasAvoidedCostsWOCC!$A$5:$Q$50,T164+1,FALSE)*K164*J164,HLOOKUP(I164,GasAvoidedCostsWOCC!$A$5:$Q$50,T164+1,FALSE)*L164*J164+HLOOKUP(I164,GasAvoidedCostsWOCC!$A$5:$Q$50,G164+1,FALSE)*K164*J164-HLOOKUP(I164,GasAvoidedCostsWOCC!$A$5:$Q$50,G164+1,FALSE)*L164*J164))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 t="e">
        <f t="shared" si="75"/>
        <v>#DIV/0!</v>
      </c>
    </row>
    <row r="165" spans="2:42">
      <c r="B165" s="97"/>
      <c r="C165" s="61"/>
      <c r="D165" s="61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7"/>
        <v>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0">
        <f t="shared" si="64"/>
        <v>0</v>
      </c>
      <c r="AB165" s="51">
        <f t="shared" si="65"/>
        <v>0</v>
      </c>
      <c r="AC165" s="44">
        <f t="shared" si="66"/>
        <v>0</v>
      </c>
      <c r="AD165" s="44">
        <f t="shared" si="67"/>
        <v>0</v>
      </c>
      <c r="AE165" s="44">
        <f t="shared" si="68"/>
        <v>0</v>
      </c>
      <c r="AF165" s="52" t="e">
        <f>HLOOKUP(I165,GasAvoidedCostsWOCC!$A$5:$G$50,G165+1,FALSE)</f>
        <v>#N/A</v>
      </c>
      <c r="AG165" s="44" t="e">
        <f t="shared" si="69"/>
        <v>#N/A</v>
      </c>
      <c r="AH165" s="52" t="e">
        <f>HLOOKUP(I165,GasAvoidedCostsWOCC!$A$5:$Q$50,T165+1,FALSE)</f>
        <v>#N/A</v>
      </c>
      <c r="AI165" s="44" t="e">
        <f t="shared" si="70"/>
        <v>#N/A</v>
      </c>
      <c r="AJ165" s="44" t="e">
        <f t="shared" si="71"/>
        <v>#N/A</v>
      </c>
      <c r="AK165" s="44" t="e">
        <f>HLOOKUP(I165,GasAvoidedCostsWOCC!$A$5:$Q$50,G165+1,FALSE)*J165*L165</f>
        <v>#N/A</v>
      </c>
      <c r="AL165" s="44" t="e">
        <f t="shared" si="72"/>
        <v>#N/A</v>
      </c>
      <c r="AM165" s="48">
        <f>IF(O165=0,0,IF(H165=0, HLOOKUP(I165,GasAvoidedCostsWOCC!$A$5:$Q$50,T165+1,FALSE)*K165*J165,HLOOKUP(I165,GasAvoidedCostsWOCC!$A$5:$Q$50,T165+1,FALSE)*L165*J165+HLOOKUP(I165,GasAvoidedCostsWOCC!$A$5:$Q$50,G165+1,FALSE)*K165*J165-HLOOKUP(I165,GasAvoidedCostsWOCC!$A$5:$Q$50,G165+1,FALSE)*L165*J165))</f>
        <v>0</v>
      </c>
      <c r="AN165" s="48">
        <f t="shared" si="73"/>
        <v>0</v>
      </c>
      <c r="AO165" s="47">
        <f t="shared" si="74"/>
        <v>0</v>
      </c>
      <c r="AP165" s="47" t="e">
        <f t="shared" si="75"/>
        <v>#DIV/0!</v>
      </c>
    </row>
    <row r="166" spans="2:42">
      <c r="B166" s="97"/>
      <c r="C166" s="61"/>
      <c r="D166" s="61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HLOOKUP(I166,GasAvoidedCostsWOCC!$A$5:$G$50,G166+1,FALSE)</f>
        <v>#N/A</v>
      </c>
      <c r="AG166" s="44" t="e">
        <f t="shared" si="69"/>
        <v>#N/A</v>
      </c>
      <c r="AH166" s="52" t="e">
        <f>HLOOKUP(I166,GasAvoidedCostsWOCC!$A$5:$Q$50,T166+1,FALSE)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HLOOKUP(I166,GasAvoidedCostsWOCC!$A$5:$Q$50,G166+1,FALSE)*J166*L166</f>
        <v>#N/A</v>
      </c>
      <c r="AL166" s="44" t="e">
        <f t="shared" si="72"/>
        <v>#N/A</v>
      </c>
      <c r="AM166" s="48">
        <f>IF(O166=0,0,IF(H166=0, HLOOKUP(I166,GasAvoidedCostsWOCC!$A$5:$Q$50,T166+1,FALSE)*K166*J166,HLOOKUP(I166,GasAvoidedCostsWOCC!$A$5:$Q$50,T166+1,FALSE)*L166*J166+HLOOKUP(I166,GasAvoidedCostsWOCC!$A$5:$Q$50,G166+1,FALSE)*K166*J166-HLOOKUP(I166,GasAvoidedCostsWOCC!$A$5:$Q$50,G166+1,FALSE)*L166*J166))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>
      <c r="B167" s="97"/>
      <c r="C167" s="61"/>
      <c r="D167" s="61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0">
        <f t="shared" si="64"/>
        <v>0</v>
      </c>
      <c r="AB167" s="51">
        <f t="shared" si="65"/>
        <v>0</v>
      </c>
      <c r="AC167" s="44">
        <f t="shared" si="66"/>
        <v>0</v>
      </c>
      <c r="AD167" s="44">
        <f t="shared" si="67"/>
        <v>0</v>
      </c>
      <c r="AE167" s="44">
        <f t="shared" si="68"/>
        <v>0</v>
      </c>
      <c r="AF167" s="52" t="e">
        <f>HLOOKUP(I167,GasAvoidedCostsWOCC!$A$5:$G$50,G167+1,FALSE)</f>
        <v>#N/A</v>
      </c>
      <c r="AG167" s="44" t="e">
        <f t="shared" si="69"/>
        <v>#N/A</v>
      </c>
      <c r="AH167" s="52" t="e">
        <f>HLOOKUP(I167,GasAvoidedCostsWOCC!$A$5:$Q$50,T167+1,FALSE)</f>
        <v>#N/A</v>
      </c>
      <c r="AI167" s="44" t="e">
        <f t="shared" si="70"/>
        <v>#N/A</v>
      </c>
      <c r="AJ167" s="44" t="e">
        <f t="shared" si="71"/>
        <v>#N/A</v>
      </c>
      <c r="AK167" s="44" t="e">
        <f>HLOOKUP(I167,GasAvoidedCostsWOCC!$A$5:$Q$50,G167+1,FALSE)*J167*L167</f>
        <v>#N/A</v>
      </c>
      <c r="AL167" s="44" t="e">
        <f t="shared" si="72"/>
        <v>#N/A</v>
      </c>
      <c r="AM167" s="48">
        <f>IF(O167=0,0,IF(H167=0, HLOOKUP(I167,GasAvoidedCostsWOCC!$A$5:$Q$50,T167+1,FALSE)*K167*J167,HLOOKUP(I167,GasAvoidedCostsWOCC!$A$5:$Q$50,T167+1,FALSE)*L167*J167+HLOOKUP(I167,GasAvoidedCostsWOCC!$A$5:$Q$50,G167+1,FALSE)*K167*J167-HLOOKUP(I167,GasAvoidedCostsWOCC!$A$5:$Q$50,G167+1,FALSE)*L167*J167))</f>
        <v>0</v>
      </c>
      <c r="AN167" s="48">
        <f t="shared" si="73"/>
        <v>0</v>
      </c>
      <c r="AO167" s="47">
        <f t="shared" si="74"/>
        <v>0</v>
      </c>
      <c r="AP167" s="47" t="e">
        <f t="shared" si="75"/>
        <v>#DIV/0!</v>
      </c>
    </row>
    <row r="168" spans="2:42">
      <c r="B168" s="97"/>
      <c r="C168" s="61"/>
      <c r="D168" s="61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HLOOKUP(I168,GasAvoidedCostsWOCC!$A$5:$G$50,G168+1,FALSE)</f>
        <v>#N/A</v>
      </c>
      <c r="AG168" s="44" t="e">
        <f t="shared" si="69"/>
        <v>#N/A</v>
      </c>
      <c r="AH168" s="52" t="e">
        <f>HLOOKUP(I168,GasAvoidedCostsWOCC!$A$5:$Q$50,T168+1,FALSE)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HLOOKUP(I168,GasAvoidedCostsWOCC!$A$5:$Q$50,G168+1,FALSE)*J168*L168</f>
        <v>#N/A</v>
      </c>
      <c r="AL168" s="44" t="e">
        <f t="shared" si="72"/>
        <v>#N/A</v>
      </c>
      <c r="AM168" s="48">
        <f>IF(O168=0,0,IF(H168=0, HLOOKUP(I168,GasAvoidedCostsWOCC!$A$5:$Q$50,T168+1,FALSE)*K168*J168,HLOOKUP(I168,GasAvoidedCostsWOCC!$A$5:$Q$50,T168+1,FALSE)*L168*J168+HLOOKUP(I168,GasAvoidedCostsWOCC!$A$5:$Q$50,G168+1,FALSE)*K168*J168-HLOOKUP(I168,GasAvoidedCostsWOCC!$A$5:$Q$50,G168+1,FALSE)*L168*J168))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>
      <c r="B169" s="97"/>
      <c r="C169" s="61"/>
      <c r="D169" s="61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HLOOKUP(I169,GasAvoidedCostsWOCC!$A$5:$G$50,G169+1,FALSE)</f>
        <v>#N/A</v>
      </c>
      <c r="AG169" s="44" t="e">
        <f t="shared" si="69"/>
        <v>#N/A</v>
      </c>
      <c r="AH169" s="52" t="e">
        <f>HLOOKUP(I169,GasAvoidedCostsWOCC!$A$5:$Q$50,T169+1,FALSE)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HLOOKUP(I169,GasAvoidedCostsWOCC!$A$5:$Q$50,G169+1,FALSE)*J169*L169</f>
        <v>#N/A</v>
      </c>
      <c r="AL169" s="44" t="e">
        <f t="shared" si="72"/>
        <v>#N/A</v>
      </c>
      <c r="AM169" s="48">
        <f>IF(O169=0,0,IF(H169=0, HLOOKUP(I169,GasAvoidedCostsWOCC!$A$5:$Q$50,T169+1,FALSE)*K169*J169,HLOOKUP(I169,GasAvoidedCostsWOCC!$A$5:$Q$50,T169+1,FALSE)*L169*J169+HLOOKUP(I169,GasAvoidedCostsWOCC!$A$5:$Q$50,G169+1,FALSE)*K169*J169-HLOOKUP(I169,GasAvoidedCostsWOCC!$A$5:$Q$50,G169+1,FALSE)*L169*J169))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>
      <c r="B170" s="97"/>
      <c r="C170" s="61"/>
      <c r="D170" s="61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HLOOKUP(I170,GasAvoidedCostsWOCC!$A$5:$G$50,G170+1,FALSE)</f>
        <v>#N/A</v>
      </c>
      <c r="AG170" s="44" t="e">
        <f t="shared" si="69"/>
        <v>#N/A</v>
      </c>
      <c r="AH170" s="52" t="e">
        <f>HLOOKUP(I170,GasAvoidedCostsWOCC!$A$5:$Q$50,T170+1,FALSE)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HLOOKUP(I170,GasAvoidedCostsWOCC!$A$5:$Q$50,G170+1,FALSE)*J170*L170</f>
        <v>#N/A</v>
      </c>
      <c r="AL170" s="44" t="e">
        <f t="shared" si="72"/>
        <v>#N/A</v>
      </c>
      <c r="AM170" s="48">
        <f>IF(O170=0,0,IF(H170=0, HLOOKUP(I170,GasAvoidedCostsWOCC!$A$5:$Q$50,T170+1,FALSE)*K170*J170,HLOOKUP(I170,GasAvoidedCostsWOCC!$A$5:$Q$50,T170+1,FALSE)*L170*J170+HLOOKUP(I170,GasAvoidedCostsWOCC!$A$5:$Q$50,G170+1,FALSE)*K170*J170-HLOOKUP(I170,GasAvoidedCostsWOCC!$A$5:$Q$50,G170+1,FALSE)*L170*J170))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>
      <c r="B171" s="97"/>
      <c r="C171" s="61"/>
      <c r="D171" s="61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HLOOKUP(I171,GasAvoidedCostsWOCC!$A$5:$G$50,G171+1,FALSE)</f>
        <v>#N/A</v>
      </c>
      <c r="AG171" s="44" t="e">
        <f t="shared" si="69"/>
        <v>#N/A</v>
      </c>
      <c r="AH171" s="52" t="e">
        <f>HLOOKUP(I171,GasAvoidedCostsWOCC!$A$5:$Q$50,T171+1,FALSE)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HLOOKUP(I171,GasAvoidedCostsWOCC!$A$5:$Q$50,G171+1,FALSE)*J171*L171</f>
        <v>#N/A</v>
      </c>
      <c r="AL171" s="44" t="e">
        <f t="shared" si="72"/>
        <v>#N/A</v>
      </c>
      <c r="AM171" s="48">
        <f>IF(O171=0,0,IF(H171=0, HLOOKUP(I171,GasAvoidedCostsWOCC!$A$5:$Q$50,T171+1,FALSE)*K171*J171,HLOOKUP(I171,GasAvoidedCostsWOCC!$A$5:$Q$50,T171+1,FALSE)*L171*J171+HLOOKUP(I171,GasAvoidedCostsWOCC!$A$5:$Q$50,G171+1,FALSE)*K171*J171-HLOOKUP(I171,GasAvoidedCostsWOCC!$A$5:$Q$50,G171+1,FALSE)*L171*J171))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>
      <c r="B172" s="9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HLOOKUP(I172,GasAvoidedCostsWOCC!$A$5:$G$50,G172+1,FALSE)</f>
        <v>#N/A</v>
      </c>
      <c r="AG172" s="44" t="e">
        <f t="shared" si="69"/>
        <v>#N/A</v>
      </c>
      <c r="AH172" s="52" t="e">
        <f>HLOOKUP(I172,GasAvoidedCostsWOCC!$A$5:$Q$50,T172+1,FALSE)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HLOOKUP(I172,GasAvoidedCostsWOCC!$A$5:$Q$50,G172+1,FALSE)*J172*L172</f>
        <v>#N/A</v>
      </c>
      <c r="AL172" s="44" t="e">
        <f t="shared" si="72"/>
        <v>#N/A</v>
      </c>
      <c r="AM172" s="48">
        <f>IF(O172=0,0,IF(H172=0, HLOOKUP(I172,GasAvoidedCostsWOCC!$A$5:$Q$50,T172+1,FALSE)*K172*J172,HLOOKUP(I172,GasAvoidedCostsWOCC!$A$5:$Q$50,T172+1,FALSE)*L172*J172+HLOOKUP(I172,GasAvoidedCostsWOCC!$A$5:$Q$50,G172+1,FALSE)*K172*J172-HLOOKUP(I172,GasAvoidedCostsWOCC!$A$5:$Q$50,G172+1,FALSE)*L172*J172))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  <row r="173" spans="2:42">
      <c r="B173" s="97"/>
      <c r="C173" s="61"/>
      <c r="D173" s="61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7"/>
        <v>0</v>
      </c>
      <c r="U173" s="47">
        <f t="shared" si="58"/>
        <v>0</v>
      </c>
      <c r="V173" s="48">
        <f t="shared" si="59"/>
        <v>0</v>
      </c>
      <c r="W173" s="49">
        <f t="shared" si="60"/>
        <v>0</v>
      </c>
      <c r="X173" s="44">
        <f t="shared" si="61"/>
        <v>0</v>
      </c>
      <c r="Y173" s="44">
        <f t="shared" si="62"/>
        <v>0</v>
      </c>
      <c r="Z173" s="44">
        <f t="shared" si="63"/>
        <v>0</v>
      </c>
      <c r="AA173" s="50">
        <f t="shared" si="64"/>
        <v>0</v>
      </c>
      <c r="AB173" s="51">
        <f t="shared" si="65"/>
        <v>0</v>
      </c>
      <c r="AC173" s="44">
        <f t="shared" si="66"/>
        <v>0</v>
      </c>
      <c r="AD173" s="44">
        <f t="shared" si="67"/>
        <v>0</v>
      </c>
      <c r="AE173" s="44">
        <f t="shared" si="68"/>
        <v>0</v>
      </c>
      <c r="AF173" s="52" t="e">
        <f>HLOOKUP(I173,GasAvoidedCostsWOCC!$A$5:$G$50,G173+1,FALSE)</f>
        <v>#N/A</v>
      </c>
      <c r="AG173" s="44" t="e">
        <f t="shared" si="69"/>
        <v>#N/A</v>
      </c>
      <c r="AH173" s="52" t="e">
        <f>HLOOKUP(I173,GasAvoidedCostsWOCC!$A$5:$Q$50,T173+1,FALSE)</f>
        <v>#N/A</v>
      </c>
      <c r="AI173" s="44" t="e">
        <f t="shared" si="70"/>
        <v>#N/A</v>
      </c>
      <c r="AJ173" s="44" t="e">
        <f t="shared" si="71"/>
        <v>#N/A</v>
      </c>
      <c r="AK173" s="44" t="e">
        <f>HLOOKUP(I173,GasAvoidedCostsWOCC!$A$5:$Q$50,G173+1,FALSE)*J173*L173</f>
        <v>#N/A</v>
      </c>
      <c r="AL173" s="44" t="e">
        <f t="shared" si="72"/>
        <v>#N/A</v>
      </c>
      <c r="AM173" s="48">
        <f>IF(O173=0,0,IF(H173=0, HLOOKUP(I173,GasAvoidedCostsWOCC!$A$5:$Q$50,T173+1,FALSE)*K173*J173,HLOOKUP(I173,GasAvoidedCostsWOCC!$A$5:$Q$50,T173+1,FALSE)*L173*J173+HLOOKUP(I173,GasAvoidedCostsWOCC!$A$5:$Q$50,G173+1,FALSE)*K173*J173-HLOOKUP(I173,GasAvoidedCostsWOCC!$A$5:$Q$50,G173+1,FALSE)*L173*J173))</f>
        <v>0</v>
      </c>
      <c r="AN173" s="48">
        <f t="shared" si="73"/>
        <v>0</v>
      </c>
      <c r="AO173" s="47">
        <f t="shared" si="74"/>
        <v>0</v>
      </c>
      <c r="AP173" s="47" t="e">
        <f t="shared" si="75"/>
        <v>#DIV/0!</v>
      </c>
    </row>
    <row r="174" spans="2:42">
      <c r="B174" s="97"/>
      <c r="C174" s="61"/>
      <c r="D174" s="61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7"/>
        <v>0</v>
      </c>
      <c r="U174" s="47">
        <f t="shared" si="58"/>
        <v>0</v>
      </c>
      <c r="V174" s="48">
        <f t="shared" si="59"/>
        <v>0</v>
      </c>
      <c r="W174" s="49">
        <f t="shared" si="60"/>
        <v>0</v>
      </c>
      <c r="X174" s="44">
        <f t="shared" si="61"/>
        <v>0</v>
      </c>
      <c r="Y174" s="44">
        <f t="shared" si="62"/>
        <v>0</v>
      </c>
      <c r="Z174" s="44">
        <f t="shared" si="63"/>
        <v>0</v>
      </c>
      <c r="AA174" s="50">
        <f t="shared" si="64"/>
        <v>0</v>
      </c>
      <c r="AB174" s="51">
        <f t="shared" si="65"/>
        <v>0</v>
      </c>
      <c r="AC174" s="44">
        <f t="shared" si="66"/>
        <v>0</v>
      </c>
      <c r="AD174" s="44">
        <f t="shared" si="67"/>
        <v>0</v>
      </c>
      <c r="AE174" s="44">
        <f t="shared" si="68"/>
        <v>0</v>
      </c>
      <c r="AF174" s="52" t="e">
        <f>HLOOKUP(I174,GasAvoidedCostsWOCC!$A$5:$G$50,G174+1,FALSE)</f>
        <v>#N/A</v>
      </c>
      <c r="AG174" s="44" t="e">
        <f t="shared" si="69"/>
        <v>#N/A</v>
      </c>
      <c r="AH174" s="52" t="e">
        <f>HLOOKUP(I174,GasAvoidedCostsWOCC!$A$5:$Q$50,T174+1,FALSE)</f>
        <v>#N/A</v>
      </c>
      <c r="AI174" s="44" t="e">
        <f t="shared" si="70"/>
        <v>#N/A</v>
      </c>
      <c r="AJ174" s="44" t="e">
        <f t="shared" si="71"/>
        <v>#N/A</v>
      </c>
      <c r="AK174" s="44" t="e">
        <f>HLOOKUP(I174,GasAvoidedCostsWOCC!$A$5:$Q$50,G174+1,FALSE)*J174*L174</f>
        <v>#N/A</v>
      </c>
      <c r="AL174" s="44" t="e">
        <f t="shared" si="72"/>
        <v>#N/A</v>
      </c>
      <c r="AM174" s="48">
        <f>IF(O174=0,0,IF(H174=0, HLOOKUP(I174,GasAvoidedCostsWOCC!$A$5:$Q$50,T174+1,FALSE)*K174*J174,HLOOKUP(I174,GasAvoidedCostsWOCC!$A$5:$Q$50,T174+1,FALSE)*L174*J174+HLOOKUP(I174,GasAvoidedCostsWOCC!$A$5:$Q$50,G174+1,FALSE)*K174*J174-HLOOKUP(I174,GasAvoidedCostsWOCC!$A$5:$Q$50,G174+1,FALSE)*L174*J174))</f>
        <v>0</v>
      </c>
      <c r="AN174" s="48">
        <f t="shared" si="73"/>
        <v>0</v>
      </c>
      <c r="AO174" s="47">
        <f t="shared" si="74"/>
        <v>0</v>
      </c>
      <c r="AP174" s="47" t="e">
        <f t="shared" si="75"/>
        <v>#DIV/0!</v>
      </c>
    </row>
    <row r="175" spans="2:42">
      <c r="B175" s="97"/>
      <c r="C175" s="61"/>
      <c r="D175" s="61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7"/>
        <v>0</v>
      </c>
      <c r="U175" s="47">
        <f t="shared" si="58"/>
        <v>0</v>
      </c>
      <c r="V175" s="48">
        <f t="shared" si="59"/>
        <v>0</v>
      </c>
      <c r="W175" s="49">
        <f t="shared" si="60"/>
        <v>0</v>
      </c>
      <c r="X175" s="44">
        <f t="shared" si="61"/>
        <v>0</v>
      </c>
      <c r="Y175" s="44">
        <f t="shared" si="62"/>
        <v>0</v>
      </c>
      <c r="Z175" s="44">
        <f t="shared" si="63"/>
        <v>0</v>
      </c>
      <c r="AA175" s="50">
        <f t="shared" si="64"/>
        <v>0</v>
      </c>
      <c r="AB175" s="51">
        <f t="shared" si="65"/>
        <v>0</v>
      </c>
      <c r="AC175" s="44">
        <f t="shared" si="66"/>
        <v>0</v>
      </c>
      <c r="AD175" s="44">
        <f t="shared" si="67"/>
        <v>0</v>
      </c>
      <c r="AE175" s="44">
        <f t="shared" si="68"/>
        <v>0</v>
      </c>
      <c r="AF175" s="52" t="e">
        <f>HLOOKUP(I175,GasAvoidedCostsWOCC!$A$5:$G$50,G175+1,FALSE)</f>
        <v>#N/A</v>
      </c>
      <c r="AG175" s="44" t="e">
        <f t="shared" si="69"/>
        <v>#N/A</v>
      </c>
      <c r="AH175" s="52" t="e">
        <f>HLOOKUP(I175,GasAvoidedCostsWOCC!$A$5:$Q$50,T175+1,FALSE)</f>
        <v>#N/A</v>
      </c>
      <c r="AI175" s="44" t="e">
        <f t="shared" si="70"/>
        <v>#N/A</v>
      </c>
      <c r="AJ175" s="44" t="e">
        <f t="shared" si="71"/>
        <v>#N/A</v>
      </c>
      <c r="AK175" s="44" t="e">
        <f>HLOOKUP(I175,GasAvoidedCostsWOCC!$A$5:$Q$50,G175+1,FALSE)*J175*L175</f>
        <v>#N/A</v>
      </c>
      <c r="AL175" s="44" t="e">
        <f t="shared" si="72"/>
        <v>#N/A</v>
      </c>
      <c r="AM175" s="48">
        <f>IF(O175=0,0,IF(H175=0, HLOOKUP(I175,GasAvoidedCostsWOCC!$A$5:$Q$50,T175+1,FALSE)*K175*J175,HLOOKUP(I175,GasAvoidedCostsWOCC!$A$5:$Q$50,T175+1,FALSE)*L175*J175+HLOOKUP(I175,GasAvoidedCostsWOCC!$A$5:$Q$50,G175+1,FALSE)*K175*J175-HLOOKUP(I175,GasAvoidedCostsWOCC!$A$5:$Q$50,G175+1,FALSE)*L175*J175))</f>
        <v>0</v>
      </c>
      <c r="AN175" s="48">
        <f t="shared" si="73"/>
        <v>0</v>
      </c>
      <c r="AO175" s="47">
        <f t="shared" si="74"/>
        <v>0</v>
      </c>
      <c r="AP175" s="47" t="e">
        <f t="shared" si="75"/>
        <v>#DIV/0!</v>
      </c>
    </row>
    <row r="176" spans="2:42">
      <c r="B176" s="97"/>
      <c r="C176" s="61"/>
      <c r="D176" s="61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7"/>
        <v>0</v>
      </c>
      <c r="U176" s="47">
        <f t="shared" si="58"/>
        <v>0</v>
      </c>
      <c r="V176" s="48">
        <f t="shared" si="59"/>
        <v>0</v>
      </c>
      <c r="W176" s="49">
        <f t="shared" si="60"/>
        <v>0</v>
      </c>
      <c r="X176" s="44">
        <f t="shared" si="61"/>
        <v>0</v>
      </c>
      <c r="Y176" s="44">
        <f t="shared" si="62"/>
        <v>0</v>
      </c>
      <c r="Z176" s="44">
        <f t="shared" si="63"/>
        <v>0</v>
      </c>
      <c r="AA176" s="50">
        <f t="shared" si="64"/>
        <v>0</v>
      </c>
      <c r="AB176" s="51">
        <f t="shared" si="65"/>
        <v>0</v>
      </c>
      <c r="AC176" s="44">
        <f t="shared" si="66"/>
        <v>0</v>
      </c>
      <c r="AD176" s="44">
        <f t="shared" si="67"/>
        <v>0</v>
      </c>
      <c r="AE176" s="44">
        <f t="shared" si="68"/>
        <v>0</v>
      </c>
      <c r="AF176" s="52" t="e">
        <f>HLOOKUP(I176,GasAvoidedCostsWOCC!$A$5:$G$50,G176+1,FALSE)</f>
        <v>#N/A</v>
      </c>
      <c r="AG176" s="44" t="e">
        <f t="shared" si="69"/>
        <v>#N/A</v>
      </c>
      <c r="AH176" s="52" t="e">
        <f>HLOOKUP(I176,GasAvoidedCostsWOCC!$A$5:$Q$50,T176+1,FALSE)</f>
        <v>#N/A</v>
      </c>
      <c r="AI176" s="44" t="e">
        <f t="shared" si="70"/>
        <v>#N/A</v>
      </c>
      <c r="AJ176" s="44" t="e">
        <f t="shared" si="71"/>
        <v>#N/A</v>
      </c>
      <c r="AK176" s="44" t="e">
        <f>HLOOKUP(I176,GasAvoidedCostsWOCC!$A$5:$Q$50,G176+1,FALSE)*J176*L176</f>
        <v>#N/A</v>
      </c>
      <c r="AL176" s="44" t="e">
        <f t="shared" si="72"/>
        <v>#N/A</v>
      </c>
      <c r="AM176" s="48">
        <f>IF(O176=0,0,IF(H176=0, HLOOKUP(I176,GasAvoidedCostsWOCC!$A$5:$Q$50,T176+1,FALSE)*K176*J176,HLOOKUP(I176,GasAvoidedCostsWOCC!$A$5:$Q$50,T176+1,FALSE)*L176*J176+HLOOKUP(I176,GasAvoidedCostsWOCC!$A$5:$Q$50,G176+1,FALSE)*K176*J176-HLOOKUP(I176,GasAvoidedCostsWOCC!$A$5:$Q$50,G176+1,FALSE)*L176*J176))</f>
        <v>0</v>
      </c>
      <c r="AN176" s="48">
        <f t="shared" si="73"/>
        <v>0</v>
      </c>
      <c r="AO176" s="47">
        <f t="shared" si="74"/>
        <v>0</v>
      </c>
      <c r="AP176" s="47" t="e">
        <f t="shared" si="75"/>
        <v>#DIV/0!</v>
      </c>
    </row>
    <row r="177" spans="2:42">
      <c r="B177" s="97"/>
      <c r="C177" s="61"/>
      <c r="D177" s="61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7"/>
        <v>0</v>
      </c>
      <c r="U177" s="47">
        <f t="shared" si="58"/>
        <v>0</v>
      </c>
      <c r="V177" s="48">
        <f t="shared" si="59"/>
        <v>0</v>
      </c>
      <c r="W177" s="49">
        <f t="shared" si="60"/>
        <v>0</v>
      </c>
      <c r="X177" s="44">
        <f t="shared" si="61"/>
        <v>0</v>
      </c>
      <c r="Y177" s="44">
        <f t="shared" si="62"/>
        <v>0</v>
      </c>
      <c r="Z177" s="44">
        <f t="shared" si="63"/>
        <v>0</v>
      </c>
      <c r="AA177" s="50">
        <f t="shared" si="64"/>
        <v>0</v>
      </c>
      <c r="AB177" s="51">
        <f t="shared" si="65"/>
        <v>0</v>
      </c>
      <c r="AC177" s="44">
        <f t="shared" si="66"/>
        <v>0</v>
      </c>
      <c r="AD177" s="44">
        <f t="shared" si="67"/>
        <v>0</v>
      </c>
      <c r="AE177" s="44">
        <f t="shared" si="68"/>
        <v>0</v>
      </c>
      <c r="AF177" s="52" t="e">
        <f>HLOOKUP(I177,GasAvoidedCostsWOCC!$A$5:$G$50,G177+1,FALSE)</f>
        <v>#N/A</v>
      </c>
      <c r="AG177" s="44" t="e">
        <f t="shared" si="69"/>
        <v>#N/A</v>
      </c>
      <c r="AH177" s="52" t="e">
        <f>HLOOKUP(I177,GasAvoidedCostsWOCC!$A$5:$Q$50,T177+1,FALSE)</f>
        <v>#N/A</v>
      </c>
      <c r="AI177" s="44" t="e">
        <f t="shared" si="70"/>
        <v>#N/A</v>
      </c>
      <c r="AJ177" s="44" t="e">
        <f t="shared" si="71"/>
        <v>#N/A</v>
      </c>
      <c r="AK177" s="44" t="e">
        <f>HLOOKUP(I177,GasAvoidedCostsWOCC!$A$5:$Q$50,G177+1,FALSE)*J177*L177</f>
        <v>#N/A</v>
      </c>
      <c r="AL177" s="44" t="e">
        <f t="shared" si="72"/>
        <v>#N/A</v>
      </c>
      <c r="AM177" s="48">
        <f>IF(O177=0,0,IF(H177=0, HLOOKUP(I177,GasAvoidedCostsWOCC!$A$5:$Q$50,T177+1,FALSE)*K177*J177,HLOOKUP(I177,GasAvoidedCostsWOCC!$A$5:$Q$50,T177+1,FALSE)*L177*J177+HLOOKUP(I177,GasAvoidedCostsWOCC!$A$5:$Q$50,G177+1,FALSE)*K177*J177-HLOOKUP(I177,GasAvoidedCostsWOCC!$A$5:$Q$50,G177+1,FALSE)*L177*J177))</f>
        <v>0</v>
      </c>
      <c r="AN177" s="48">
        <f t="shared" si="73"/>
        <v>0</v>
      </c>
      <c r="AO177" s="47">
        <f t="shared" si="74"/>
        <v>0</v>
      </c>
      <c r="AP177" s="47" t="e">
        <f t="shared" si="75"/>
        <v>#DIV/0!</v>
      </c>
    </row>
    <row r="178" spans="2:42">
      <c r="B178" s="97"/>
      <c r="C178" s="61"/>
      <c r="D178" s="61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57"/>
        <v>0</v>
      </c>
      <c r="U178" s="47">
        <f t="shared" si="58"/>
        <v>0</v>
      </c>
      <c r="V178" s="48">
        <f t="shared" si="59"/>
        <v>0</v>
      </c>
      <c r="W178" s="49">
        <f t="shared" si="60"/>
        <v>0</v>
      </c>
      <c r="X178" s="44">
        <f t="shared" si="61"/>
        <v>0</v>
      </c>
      <c r="Y178" s="44">
        <f t="shared" si="62"/>
        <v>0</v>
      </c>
      <c r="Z178" s="44">
        <f t="shared" si="63"/>
        <v>0</v>
      </c>
      <c r="AA178" s="50">
        <f t="shared" si="64"/>
        <v>0</v>
      </c>
      <c r="AB178" s="51">
        <f t="shared" si="65"/>
        <v>0</v>
      </c>
      <c r="AC178" s="44">
        <f t="shared" si="66"/>
        <v>0</v>
      </c>
      <c r="AD178" s="44">
        <f t="shared" si="67"/>
        <v>0</v>
      </c>
      <c r="AE178" s="44">
        <f t="shared" si="68"/>
        <v>0</v>
      </c>
      <c r="AF178" s="52" t="e">
        <f>HLOOKUP(I178,GasAvoidedCostsWOCC!$A$5:$G$50,G178+1,FALSE)</f>
        <v>#N/A</v>
      </c>
      <c r="AG178" s="44" t="e">
        <f t="shared" si="69"/>
        <v>#N/A</v>
      </c>
      <c r="AH178" s="52" t="e">
        <f>HLOOKUP(I178,GasAvoidedCostsWOCC!$A$5:$Q$50,T178+1,FALSE)</f>
        <v>#N/A</v>
      </c>
      <c r="AI178" s="44" t="e">
        <f t="shared" si="70"/>
        <v>#N/A</v>
      </c>
      <c r="AJ178" s="44" t="e">
        <f t="shared" si="71"/>
        <v>#N/A</v>
      </c>
      <c r="AK178" s="44" t="e">
        <f>HLOOKUP(I178,GasAvoidedCostsWOCC!$A$5:$Q$50,G178+1,FALSE)*J178*L178</f>
        <v>#N/A</v>
      </c>
      <c r="AL178" s="44" t="e">
        <f t="shared" si="72"/>
        <v>#N/A</v>
      </c>
      <c r="AM178" s="48">
        <f>IF(O178=0,0,IF(H178=0, HLOOKUP(I178,GasAvoidedCostsWOCC!$A$5:$Q$50,T178+1,FALSE)*K178*J178,HLOOKUP(I178,GasAvoidedCostsWOCC!$A$5:$Q$50,T178+1,FALSE)*L178*J178+HLOOKUP(I178,GasAvoidedCostsWOCC!$A$5:$Q$50,G178+1,FALSE)*K178*J178-HLOOKUP(I178,GasAvoidedCostsWOCC!$A$5:$Q$50,G178+1,FALSE)*L178*J178))</f>
        <v>0</v>
      </c>
      <c r="AN178" s="48">
        <f t="shared" si="73"/>
        <v>0</v>
      </c>
      <c r="AO178" s="47">
        <f t="shared" si="74"/>
        <v>0</v>
      </c>
      <c r="AP178" s="47" t="e">
        <f t="shared" si="75"/>
        <v>#DIV/0!</v>
      </c>
    </row>
    <row r="179" spans="2:42">
      <c r="B179" s="97"/>
      <c r="C179" s="61"/>
      <c r="D179" s="61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57"/>
        <v>0</v>
      </c>
      <c r="U179" s="47">
        <f t="shared" si="58"/>
        <v>0</v>
      </c>
      <c r="V179" s="48">
        <f t="shared" si="59"/>
        <v>0</v>
      </c>
      <c r="W179" s="49">
        <f t="shared" si="60"/>
        <v>0</v>
      </c>
      <c r="X179" s="44">
        <f t="shared" si="61"/>
        <v>0</v>
      </c>
      <c r="Y179" s="44">
        <f t="shared" si="62"/>
        <v>0</v>
      </c>
      <c r="Z179" s="44">
        <f t="shared" si="63"/>
        <v>0</v>
      </c>
      <c r="AA179" s="50">
        <f t="shared" si="64"/>
        <v>0</v>
      </c>
      <c r="AB179" s="51">
        <f t="shared" si="65"/>
        <v>0</v>
      </c>
      <c r="AC179" s="44">
        <f t="shared" si="66"/>
        <v>0</v>
      </c>
      <c r="AD179" s="44">
        <f t="shared" si="67"/>
        <v>0</v>
      </c>
      <c r="AE179" s="44">
        <f t="shared" si="68"/>
        <v>0</v>
      </c>
      <c r="AF179" s="52" t="e">
        <f>HLOOKUP(I179,GasAvoidedCostsWOCC!$A$5:$G$50,G179+1,FALSE)</f>
        <v>#N/A</v>
      </c>
      <c r="AG179" s="44" t="e">
        <f t="shared" si="69"/>
        <v>#N/A</v>
      </c>
      <c r="AH179" s="52" t="e">
        <f>HLOOKUP(I179,GasAvoidedCostsWOCC!$A$5:$Q$50,T179+1,FALSE)</f>
        <v>#N/A</v>
      </c>
      <c r="AI179" s="44" t="e">
        <f t="shared" si="70"/>
        <v>#N/A</v>
      </c>
      <c r="AJ179" s="44" t="e">
        <f t="shared" si="71"/>
        <v>#N/A</v>
      </c>
      <c r="AK179" s="44" t="e">
        <f>HLOOKUP(I179,GasAvoidedCostsWOCC!$A$5:$Q$50,G179+1,FALSE)*J179*L179</f>
        <v>#N/A</v>
      </c>
      <c r="AL179" s="44" t="e">
        <f t="shared" si="72"/>
        <v>#N/A</v>
      </c>
      <c r="AM179" s="48">
        <f>IF(O179=0,0,IF(H179=0, HLOOKUP(I179,GasAvoidedCostsWOCC!$A$5:$Q$50,T179+1,FALSE)*K179*J179,HLOOKUP(I179,GasAvoidedCostsWOCC!$A$5:$Q$50,T179+1,FALSE)*L179*J179+HLOOKUP(I179,GasAvoidedCostsWOCC!$A$5:$Q$50,G179+1,FALSE)*K179*J179-HLOOKUP(I179,GasAvoidedCostsWOCC!$A$5:$Q$50,G179+1,FALSE)*L179*J179))</f>
        <v>0</v>
      </c>
      <c r="AN179" s="48">
        <f t="shared" si="73"/>
        <v>0</v>
      </c>
      <c r="AO179" s="47">
        <f t="shared" si="74"/>
        <v>0</v>
      </c>
      <c r="AP179" s="47" t="e">
        <f t="shared" si="75"/>
        <v>#DIV/0!</v>
      </c>
    </row>
    <row r="180" spans="2:42">
      <c r="B180" s="97"/>
      <c r="C180" s="61"/>
      <c r="D180" s="61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57"/>
        <v>0</v>
      </c>
      <c r="U180" s="47">
        <f t="shared" si="58"/>
        <v>0</v>
      </c>
      <c r="V180" s="48">
        <f t="shared" si="59"/>
        <v>0</v>
      </c>
      <c r="W180" s="49">
        <f t="shared" si="60"/>
        <v>0</v>
      </c>
      <c r="X180" s="44">
        <f t="shared" si="61"/>
        <v>0</v>
      </c>
      <c r="Y180" s="44">
        <f t="shared" si="62"/>
        <v>0</v>
      </c>
      <c r="Z180" s="44">
        <f t="shared" si="63"/>
        <v>0</v>
      </c>
      <c r="AA180" s="50">
        <f t="shared" si="64"/>
        <v>0</v>
      </c>
      <c r="AB180" s="51">
        <f t="shared" si="65"/>
        <v>0</v>
      </c>
      <c r="AC180" s="44">
        <f t="shared" si="66"/>
        <v>0</v>
      </c>
      <c r="AD180" s="44">
        <f t="shared" si="67"/>
        <v>0</v>
      </c>
      <c r="AE180" s="44">
        <f t="shared" si="68"/>
        <v>0</v>
      </c>
      <c r="AF180" s="52" t="e">
        <f>HLOOKUP(I180,GasAvoidedCostsWOCC!$A$5:$G$50,G180+1,FALSE)</f>
        <v>#N/A</v>
      </c>
      <c r="AG180" s="44" t="e">
        <f t="shared" si="69"/>
        <v>#N/A</v>
      </c>
      <c r="AH180" s="52" t="e">
        <f>HLOOKUP(I180,GasAvoidedCostsWOCC!$A$5:$Q$50,T180+1,FALSE)</f>
        <v>#N/A</v>
      </c>
      <c r="AI180" s="44" t="e">
        <f t="shared" si="70"/>
        <v>#N/A</v>
      </c>
      <c r="AJ180" s="44" t="e">
        <f t="shared" si="71"/>
        <v>#N/A</v>
      </c>
      <c r="AK180" s="44" t="e">
        <f>HLOOKUP(I180,GasAvoidedCostsWOCC!$A$5:$Q$50,G180+1,FALSE)*J180*L180</f>
        <v>#N/A</v>
      </c>
      <c r="AL180" s="44" t="e">
        <f t="shared" si="72"/>
        <v>#N/A</v>
      </c>
      <c r="AM180" s="48">
        <f>IF(O180=0,0,IF(H180=0, HLOOKUP(I180,GasAvoidedCostsWOCC!$A$5:$Q$50,T180+1,FALSE)*K180*J180,HLOOKUP(I180,GasAvoidedCostsWOCC!$A$5:$Q$50,T180+1,FALSE)*L180*J180+HLOOKUP(I180,GasAvoidedCostsWOCC!$A$5:$Q$50,G180+1,FALSE)*K180*J180-HLOOKUP(I180,GasAvoidedCostsWOCC!$A$5:$Q$50,G180+1,FALSE)*L180*J180))</f>
        <v>0</v>
      </c>
      <c r="AN180" s="48">
        <f t="shared" si="73"/>
        <v>0</v>
      </c>
      <c r="AO180" s="47">
        <f t="shared" si="74"/>
        <v>0</v>
      </c>
      <c r="AP180" s="47" t="e">
        <f t="shared" si="75"/>
        <v>#DIV/0!</v>
      </c>
    </row>
    <row r="181" spans="2:42">
      <c r="B181" s="97"/>
      <c r="C181" s="61"/>
      <c r="D181" s="61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57"/>
        <v>0</v>
      </c>
      <c r="U181" s="47">
        <f t="shared" si="58"/>
        <v>0</v>
      </c>
      <c r="V181" s="48">
        <f t="shared" si="59"/>
        <v>0</v>
      </c>
      <c r="W181" s="49">
        <f t="shared" si="60"/>
        <v>0</v>
      </c>
      <c r="X181" s="44">
        <f t="shared" si="61"/>
        <v>0</v>
      </c>
      <c r="Y181" s="44">
        <f t="shared" si="62"/>
        <v>0</v>
      </c>
      <c r="Z181" s="44">
        <f t="shared" si="63"/>
        <v>0</v>
      </c>
      <c r="AA181" s="50">
        <f t="shared" si="64"/>
        <v>0</v>
      </c>
      <c r="AB181" s="51">
        <f t="shared" si="65"/>
        <v>0</v>
      </c>
      <c r="AC181" s="44">
        <f t="shared" si="66"/>
        <v>0</v>
      </c>
      <c r="AD181" s="44">
        <f t="shared" si="67"/>
        <v>0</v>
      </c>
      <c r="AE181" s="44">
        <f t="shared" si="68"/>
        <v>0</v>
      </c>
      <c r="AF181" s="52" t="e">
        <f>HLOOKUP(I181,GasAvoidedCostsWOCC!$A$5:$G$50,G181+1,FALSE)</f>
        <v>#N/A</v>
      </c>
      <c r="AG181" s="44" t="e">
        <f t="shared" si="69"/>
        <v>#N/A</v>
      </c>
      <c r="AH181" s="52" t="e">
        <f>HLOOKUP(I181,GasAvoidedCostsWOCC!$A$5:$Q$50,T181+1,FALSE)</f>
        <v>#N/A</v>
      </c>
      <c r="AI181" s="44" t="e">
        <f t="shared" si="70"/>
        <v>#N/A</v>
      </c>
      <c r="AJ181" s="44" t="e">
        <f t="shared" si="71"/>
        <v>#N/A</v>
      </c>
      <c r="AK181" s="44" t="e">
        <f>HLOOKUP(I181,GasAvoidedCostsWOCC!$A$5:$Q$50,G181+1,FALSE)*J181*L181</f>
        <v>#N/A</v>
      </c>
      <c r="AL181" s="44" t="e">
        <f t="shared" si="72"/>
        <v>#N/A</v>
      </c>
      <c r="AM181" s="48">
        <f>IF(O181=0,0,IF(H181=0, HLOOKUP(I181,GasAvoidedCostsWOCC!$A$5:$Q$50,T181+1,FALSE)*K181*J181,HLOOKUP(I181,GasAvoidedCostsWOCC!$A$5:$Q$50,T181+1,FALSE)*L181*J181+HLOOKUP(I181,GasAvoidedCostsWOCC!$A$5:$Q$50,G181+1,FALSE)*K181*J181-HLOOKUP(I181,GasAvoidedCostsWOCC!$A$5:$Q$50,G181+1,FALSE)*L181*J181))</f>
        <v>0</v>
      </c>
      <c r="AN181" s="48">
        <f t="shared" si="73"/>
        <v>0</v>
      </c>
      <c r="AO181" s="47">
        <f t="shared" si="74"/>
        <v>0</v>
      </c>
      <c r="AP181" s="47" t="e">
        <f t="shared" si="75"/>
        <v>#DIV/0!</v>
      </c>
    </row>
    <row r="182" spans="2:42">
      <c r="B182" s="9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7"/>
        <v>0</v>
      </c>
      <c r="U182" s="47">
        <f t="shared" si="58"/>
        <v>0</v>
      </c>
      <c r="V182" s="48">
        <f t="shared" si="59"/>
        <v>0</v>
      </c>
      <c r="W182" s="49">
        <f t="shared" si="60"/>
        <v>0</v>
      </c>
      <c r="X182" s="44">
        <f t="shared" si="61"/>
        <v>0</v>
      </c>
      <c r="Y182" s="44">
        <f t="shared" si="62"/>
        <v>0</v>
      </c>
      <c r="Z182" s="44">
        <f t="shared" si="63"/>
        <v>0</v>
      </c>
      <c r="AA182" s="50">
        <f t="shared" si="64"/>
        <v>0</v>
      </c>
      <c r="AB182" s="51">
        <f t="shared" si="65"/>
        <v>0</v>
      </c>
      <c r="AC182" s="44">
        <f t="shared" si="66"/>
        <v>0</v>
      </c>
      <c r="AD182" s="44">
        <f t="shared" si="67"/>
        <v>0</v>
      </c>
      <c r="AE182" s="44">
        <f t="shared" si="68"/>
        <v>0</v>
      </c>
      <c r="AF182" s="52" t="e">
        <f>HLOOKUP(I182,GasAvoidedCostsWOCC!$A$5:$G$50,G182+1,FALSE)</f>
        <v>#N/A</v>
      </c>
      <c r="AG182" s="44" t="e">
        <f t="shared" si="69"/>
        <v>#N/A</v>
      </c>
      <c r="AH182" s="52" t="e">
        <f>HLOOKUP(I182,GasAvoidedCostsWOCC!$A$5:$Q$50,T182+1,FALSE)</f>
        <v>#N/A</v>
      </c>
      <c r="AI182" s="44" t="e">
        <f t="shared" si="70"/>
        <v>#N/A</v>
      </c>
      <c r="AJ182" s="44" t="e">
        <f t="shared" si="71"/>
        <v>#N/A</v>
      </c>
      <c r="AK182" s="44" t="e">
        <f>HLOOKUP(I182,GasAvoidedCostsWOCC!$A$5:$Q$50,G182+1,FALSE)*J182*L182</f>
        <v>#N/A</v>
      </c>
      <c r="AL182" s="44" t="e">
        <f t="shared" si="72"/>
        <v>#N/A</v>
      </c>
      <c r="AM182" s="48">
        <f>IF(O182=0,0,IF(H182=0, HLOOKUP(I182,GasAvoidedCostsWOCC!$A$5:$Q$50,T182+1,FALSE)*K182*J182,HLOOKUP(I182,GasAvoidedCostsWOCC!$A$5:$Q$50,T182+1,FALSE)*L182*J182+HLOOKUP(I182,GasAvoidedCostsWOCC!$A$5:$Q$50,G182+1,FALSE)*K182*J182-HLOOKUP(I182,GasAvoidedCostsWOCC!$A$5:$Q$50,G182+1,FALSE)*L182*J182))</f>
        <v>0</v>
      </c>
      <c r="AN182" s="48">
        <f t="shared" si="73"/>
        <v>0</v>
      </c>
      <c r="AO182" s="47">
        <f t="shared" si="74"/>
        <v>0</v>
      </c>
      <c r="AP182" s="47" t="e">
        <f t="shared" si="75"/>
        <v>#DIV/0!</v>
      </c>
    </row>
    <row r="183" spans="2:42">
      <c r="B183" s="9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7"/>
        <v>0</v>
      </c>
      <c r="U183" s="47">
        <f t="shared" si="58"/>
        <v>0</v>
      </c>
      <c r="V183" s="48">
        <f t="shared" si="59"/>
        <v>0</v>
      </c>
      <c r="W183" s="49">
        <f t="shared" si="60"/>
        <v>0</v>
      </c>
      <c r="X183" s="44">
        <f t="shared" si="61"/>
        <v>0</v>
      </c>
      <c r="Y183" s="44">
        <f t="shared" si="62"/>
        <v>0</v>
      </c>
      <c r="Z183" s="44">
        <f t="shared" si="63"/>
        <v>0</v>
      </c>
      <c r="AA183" s="50">
        <f t="shared" si="64"/>
        <v>0</v>
      </c>
      <c r="AB183" s="51">
        <f t="shared" si="65"/>
        <v>0</v>
      </c>
      <c r="AC183" s="44">
        <f t="shared" si="66"/>
        <v>0</v>
      </c>
      <c r="AD183" s="44">
        <f t="shared" si="67"/>
        <v>0</v>
      </c>
      <c r="AE183" s="44">
        <f t="shared" si="68"/>
        <v>0</v>
      </c>
      <c r="AF183" s="52" t="e">
        <f>HLOOKUP(I183,GasAvoidedCostsWOCC!$A$5:$G$50,G183+1,FALSE)</f>
        <v>#N/A</v>
      </c>
      <c r="AG183" s="44" t="e">
        <f t="shared" si="69"/>
        <v>#N/A</v>
      </c>
      <c r="AH183" s="52" t="e">
        <f>HLOOKUP(I183,GasAvoidedCostsWOCC!$A$5:$Q$50,T183+1,FALSE)</f>
        <v>#N/A</v>
      </c>
      <c r="AI183" s="44" t="e">
        <f t="shared" si="70"/>
        <v>#N/A</v>
      </c>
      <c r="AJ183" s="44" t="e">
        <f t="shared" si="71"/>
        <v>#N/A</v>
      </c>
      <c r="AK183" s="44" t="e">
        <f>HLOOKUP(I183,GasAvoidedCostsWOCC!$A$5:$Q$50,G183+1,FALSE)*J183*L183</f>
        <v>#N/A</v>
      </c>
      <c r="AL183" s="44" t="e">
        <f t="shared" si="72"/>
        <v>#N/A</v>
      </c>
      <c r="AM183" s="48">
        <f>IF(O183=0,0,IF(H183=0, HLOOKUP(I183,GasAvoidedCostsWOCC!$A$5:$Q$50,T183+1,FALSE)*K183*J183,HLOOKUP(I183,GasAvoidedCostsWOCC!$A$5:$Q$50,T183+1,FALSE)*L183*J183+HLOOKUP(I183,GasAvoidedCostsWOCC!$A$5:$Q$50,G183+1,FALSE)*K183*J183-HLOOKUP(I183,GasAvoidedCostsWOCC!$A$5:$Q$50,G183+1,FALSE)*L183*J183))</f>
        <v>0</v>
      </c>
      <c r="AN183" s="48">
        <f t="shared" si="73"/>
        <v>0</v>
      </c>
      <c r="AO183" s="47">
        <f t="shared" si="74"/>
        <v>0</v>
      </c>
      <c r="AP183" s="47" t="e">
        <f t="shared" si="75"/>
        <v>#DIV/0!</v>
      </c>
    </row>
    <row r="184" spans="2:42">
      <c r="B184" s="9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7"/>
        <v>0</v>
      </c>
      <c r="U184" s="47">
        <f t="shared" si="58"/>
        <v>0</v>
      </c>
      <c r="V184" s="48">
        <f t="shared" si="59"/>
        <v>0</v>
      </c>
      <c r="W184" s="49">
        <f t="shared" si="60"/>
        <v>0</v>
      </c>
      <c r="X184" s="44">
        <f t="shared" si="61"/>
        <v>0</v>
      </c>
      <c r="Y184" s="44">
        <f t="shared" si="62"/>
        <v>0</v>
      </c>
      <c r="Z184" s="44">
        <f t="shared" si="63"/>
        <v>0</v>
      </c>
      <c r="AA184" s="50">
        <f t="shared" si="64"/>
        <v>0</v>
      </c>
      <c r="AB184" s="51">
        <f t="shared" si="65"/>
        <v>0</v>
      </c>
      <c r="AC184" s="44">
        <f t="shared" si="66"/>
        <v>0</v>
      </c>
      <c r="AD184" s="44">
        <f t="shared" si="67"/>
        <v>0</v>
      </c>
      <c r="AE184" s="44">
        <f t="shared" si="68"/>
        <v>0</v>
      </c>
      <c r="AF184" s="52" t="e">
        <f>HLOOKUP(I184,GasAvoidedCostsWOCC!$A$5:$G$50,G184+1,FALSE)</f>
        <v>#N/A</v>
      </c>
      <c r="AG184" s="44" t="e">
        <f t="shared" si="69"/>
        <v>#N/A</v>
      </c>
      <c r="AH184" s="52" t="e">
        <f>HLOOKUP(I184,GasAvoidedCostsWOCC!$A$5:$Q$50,T184+1,FALSE)</f>
        <v>#N/A</v>
      </c>
      <c r="AI184" s="44" t="e">
        <f t="shared" si="70"/>
        <v>#N/A</v>
      </c>
      <c r="AJ184" s="44" t="e">
        <f t="shared" si="71"/>
        <v>#N/A</v>
      </c>
      <c r="AK184" s="44" t="e">
        <f>HLOOKUP(I184,GasAvoidedCostsWOCC!$A$5:$Q$50,G184+1,FALSE)*J184*L184</f>
        <v>#N/A</v>
      </c>
      <c r="AL184" s="44" t="e">
        <f t="shared" si="72"/>
        <v>#N/A</v>
      </c>
      <c r="AM184" s="48">
        <f>IF(O184=0,0,IF(H184=0, HLOOKUP(I184,GasAvoidedCostsWOCC!$A$5:$Q$50,T184+1,FALSE)*K184*J184,HLOOKUP(I184,GasAvoidedCostsWOCC!$A$5:$Q$50,T184+1,FALSE)*L184*J184+HLOOKUP(I184,GasAvoidedCostsWOCC!$A$5:$Q$50,G184+1,FALSE)*K184*J184-HLOOKUP(I184,GasAvoidedCostsWOCC!$A$5:$Q$50,G184+1,FALSE)*L184*J184))</f>
        <v>0</v>
      </c>
      <c r="AN184" s="48">
        <f t="shared" si="73"/>
        <v>0</v>
      </c>
      <c r="AO184" s="47">
        <f t="shared" si="74"/>
        <v>0</v>
      </c>
      <c r="AP184" s="47" t="e">
        <f t="shared" si="75"/>
        <v>#DIV/0!</v>
      </c>
    </row>
    <row r="185" spans="2:42">
      <c r="B185" s="9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7"/>
        <v>0</v>
      </c>
      <c r="U185" s="47">
        <f t="shared" si="58"/>
        <v>0</v>
      </c>
      <c r="V185" s="48">
        <f t="shared" si="59"/>
        <v>0</v>
      </c>
      <c r="W185" s="49">
        <f t="shared" si="60"/>
        <v>0</v>
      </c>
      <c r="X185" s="44">
        <f t="shared" si="61"/>
        <v>0</v>
      </c>
      <c r="Y185" s="44">
        <f t="shared" si="62"/>
        <v>0</v>
      </c>
      <c r="Z185" s="44">
        <f t="shared" si="63"/>
        <v>0</v>
      </c>
      <c r="AA185" s="50">
        <f t="shared" si="64"/>
        <v>0</v>
      </c>
      <c r="AB185" s="51">
        <f t="shared" si="65"/>
        <v>0</v>
      </c>
      <c r="AC185" s="44">
        <f t="shared" si="66"/>
        <v>0</v>
      </c>
      <c r="AD185" s="44">
        <f t="shared" si="67"/>
        <v>0</v>
      </c>
      <c r="AE185" s="44">
        <f t="shared" si="68"/>
        <v>0</v>
      </c>
      <c r="AF185" s="52" t="e">
        <f>HLOOKUP(I185,GasAvoidedCostsWOCC!$A$5:$G$50,G185+1,FALSE)</f>
        <v>#N/A</v>
      </c>
      <c r="AG185" s="44" t="e">
        <f t="shared" si="69"/>
        <v>#N/A</v>
      </c>
      <c r="AH185" s="52" t="e">
        <f>HLOOKUP(I185,GasAvoidedCostsWOCC!$A$5:$Q$50,T185+1,FALSE)</f>
        <v>#N/A</v>
      </c>
      <c r="AI185" s="44" t="e">
        <f t="shared" si="70"/>
        <v>#N/A</v>
      </c>
      <c r="AJ185" s="44" t="e">
        <f t="shared" si="71"/>
        <v>#N/A</v>
      </c>
      <c r="AK185" s="44" t="e">
        <f>HLOOKUP(I185,GasAvoidedCostsWOCC!$A$5:$Q$50,G185+1,FALSE)*J185*L185</f>
        <v>#N/A</v>
      </c>
      <c r="AL185" s="44" t="e">
        <f t="shared" si="72"/>
        <v>#N/A</v>
      </c>
      <c r="AM185" s="48">
        <f>IF(O185=0,0,IF(H185=0, HLOOKUP(I185,GasAvoidedCostsWOCC!$A$5:$Q$50,T185+1,FALSE)*K185*J185,HLOOKUP(I185,GasAvoidedCostsWOCC!$A$5:$Q$50,T185+1,FALSE)*L185*J185+HLOOKUP(I185,GasAvoidedCostsWOCC!$A$5:$Q$50,G185+1,FALSE)*K185*J185-HLOOKUP(I185,GasAvoidedCostsWOCC!$A$5:$Q$50,G185+1,FALSE)*L185*J185))</f>
        <v>0</v>
      </c>
      <c r="AN185" s="48">
        <f t="shared" si="73"/>
        <v>0</v>
      </c>
      <c r="AO185" s="47">
        <f t="shared" si="74"/>
        <v>0</v>
      </c>
      <c r="AP185" s="47" t="e">
        <f t="shared" si="75"/>
        <v>#DIV/0!</v>
      </c>
    </row>
    <row r="186" spans="2:42">
      <c r="B186" s="9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7"/>
        <v>0</v>
      </c>
      <c r="U186" s="47">
        <f t="shared" si="58"/>
        <v>0</v>
      </c>
      <c r="V186" s="48">
        <f t="shared" si="59"/>
        <v>0</v>
      </c>
      <c r="W186" s="49">
        <f t="shared" si="60"/>
        <v>0</v>
      </c>
      <c r="X186" s="44">
        <f t="shared" si="61"/>
        <v>0</v>
      </c>
      <c r="Y186" s="44">
        <f t="shared" si="62"/>
        <v>0</v>
      </c>
      <c r="Z186" s="44">
        <f t="shared" si="63"/>
        <v>0</v>
      </c>
      <c r="AA186" s="50">
        <f t="shared" si="64"/>
        <v>0</v>
      </c>
      <c r="AB186" s="51">
        <f t="shared" si="65"/>
        <v>0</v>
      </c>
      <c r="AC186" s="44">
        <f t="shared" si="66"/>
        <v>0</v>
      </c>
      <c r="AD186" s="44">
        <f t="shared" si="67"/>
        <v>0</v>
      </c>
      <c r="AE186" s="44">
        <f t="shared" si="68"/>
        <v>0</v>
      </c>
      <c r="AF186" s="52" t="e">
        <f>HLOOKUP(I186,GasAvoidedCostsWOCC!$A$5:$G$50,G186+1,FALSE)</f>
        <v>#N/A</v>
      </c>
      <c r="AG186" s="44" t="e">
        <f t="shared" si="69"/>
        <v>#N/A</v>
      </c>
      <c r="AH186" s="52" t="e">
        <f>HLOOKUP(I186,GasAvoidedCostsWOCC!$A$5:$Q$50,T186+1,FALSE)</f>
        <v>#N/A</v>
      </c>
      <c r="AI186" s="44" t="e">
        <f t="shared" si="70"/>
        <v>#N/A</v>
      </c>
      <c r="AJ186" s="44" t="e">
        <f t="shared" si="71"/>
        <v>#N/A</v>
      </c>
      <c r="AK186" s="44" t="e">
        <f>HLOOKUP(I186,GasAvoidedCostsWOCC!$A$5:$Q$50,G186+1,FALSE)*J186*L186</f>
        <v>#N/A</v>
      </c>
      <c r="AL186" s="44" t="e">
        <f t="shared" si="72"/>
        <v>#N/A</v>
      </c>
      <c r="AM186" s="48">
        <f>IF(O186=0,0,IF(H186=0, HLOOKUP(I186,GasAvoidedCostsWOCC!$A$5:$Q$50,T186+1,FALSE)*K186*J186,HLOOKUP(I186,GasAvoidedCostsWOCC!$A$5:$Q$50,T186+1,FALSE)*L186*J186+HLOOKUP(I186,GasAvoidedCostsWOCC!$A$5:$Q$50,G186+1,FALSE)*K186*J186-HLOOKUP(I186,GasAvoidedCostsWOCC!$A$5:$Q$50,G186+1,FALSE)*L186*J186))</f>
        <v>0</v>
      </c>
      <c r="AN186" s="48">
        <f t="shared" si="73"/>
        <v>0</v>
      </c>
      <c r="AO186" s="47">
        <f t="shared" si="74"/>
        <v>0</v>
      </c>
      <c r="AP186" s="47" t="e">
        <f t="shared" si="75"/>
        <v>#DIV/0!</v>
      </c>
    </row>
    <row r="187" spans="2:42">
      <c r="B187" s="9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7"/>
        <v>0</v>
      </c>
      <c r="U187" s="47">
        <f t="shared" si="58"/>
        <v>0</v>
      </c>
      <c r="V187" s="48">
        <f t="shared" si="59"/>
        <v>0</v>
      </c>
      <c r="W187" s="49">
        <f t="shared" si="60"/>
        <v>0</v>
      </c>
      <c r="X187" s="44">
        <f t="shared" si="61"/>
        <v>0</v>
      </c>
      <c r="Y187" s="44">
        <f t="shared" si="62"/>
        <v>0</v>
      </c>
      <c r="Z187" s="44">
        <f t="shared" si="63"/>
        <v>0</v>
      </c>
      <c r="AA187" s="50">
        <f t="shared" si="64"/>
        <v>0</v>
      </c>
      <c r="AB187" s="51">
        <f t="shared" si="65"/>
        <v>0</v>
      </c>
      <c r="AC187" s="44">
        <f t="shared" si="66"/>
        <v>0</v>
      </c>
      <c r="AD187" s="44">
        <f t="shared" si="67"/>
        <v>0</v>
      </c>
      <c r="AE187" s="44">
        <f t="shared" si="68"/>
        <v>0</v>
      </c>
      <c r="AF187" s="52" t="e">
        <f>HLOOKUP(I187,GasAvoidedCostsWOCC!$A$5:$G$50,G187+1,FALSE)</f>
        <v>#N/A</v>
      </c>
      <c r="AG187" s="44" t="e">
        <f t="shared" si="69"/>
        <v>#N/A</v>
      </c>
      <c r="AH187" s="52" t="e">
        <f>HLOOKUP(I187,GasAvoidedCostsWOCC!$A$5:$Q$50,T187+1,FALSE)</f>
        <v>#N/A</v>
      </c>
      <c r="AI187" s="44" t="e">
        <f t="shared" si="70"/>
        <v>#N/A</v>
      </c>
      <c r="AJ187" s="44" t="e">
        <f t="shared" si="71"/>
        <v>#N/A</v>
      </c>
      <c r="AK187" s="44" t="e">
        <f>HLOOKUP(I187,GasAvoidedCostsWOCC!$A$5:$Q$50,G187+1,FALSE)*J187*L187</f>
        <v>#N/A</v>
      </c>
      <c r="AL187" s="44" t="e">
        <f t="shared" si="72"/>
        <v>#N/A</v>
      </c>
      <c r="AM187" s="48">
        <f>IF(O187=0,0,IF(H187=0, HLOOKUP(I187,GasAvoidedCostsWOCC!$A$5:$Q$50,T187+1,FALSE)*K187*J187,HLOOKUP(I187,GasAvoidedCostsWOCC!$A$5:$Q$50,T187+1,FALSE)*L187*J187+HLOOKUP(I187,GasAvoidedCostsWOCC!$A$5:$Q$50,G187+1,FALSE)*K187*J187-HLOOKUP(I187,GasAvoidedCostsWOCC!$A$5:$Q$50,G187+1,FALSE)*L187*J187))</f>
        <v>0</v>
      </c>
      <c r="AN187" s="48">
        <f t="shared" si="73"/>
        <v>0</v>
      </c>
      <c r="AO187" s="47">
        <f t="shared" si="74"/>
        <v>0</v>
      </c>
      <c r="AP187" s="47" t="e">
        <f t="shared" si="75"/>
        <v>#DIV/0!</v>
      </c>
    </row>
    <row r="188" spans="2:42">
      <c r="B188" s="9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57"/>
        <v>0</v>
      </c>
      <c r="U188" s="47">
        <f t="shared" si="58"/>
        <v>0</v>
      </c>
      <c r="V188" s="48">
        <f t="shared" si="59"/>
        <v>0</v>
      </c>
      <c r="W188" s="49">
        <f t="shared" si="60"/>
        <v>0</v>
      </c>
      <c r="X188" s="44">
        <f t="shared" si="61"/>
        <v>0</v>
      </c>
      <c r="Y188" s="44">
        <f t="shared" si="62"/>
        <v>0</v>
      </c>
      <c r="Z188" s="44">
        <f t="shared" si="63"/>
        <v>0</v>
      </c>
      <c r="AA188" s="50">
        <f t="shared" si="64"/>
        <v>0</v>
      </c>
      <c r="AB188" s="51">
        <f t="shared" si="65"/>
        <v>0</v>
      </c>
      <c r="AC188" s="44">
        <f t="shared" si="66"/>
        <v>0</v>
      </c>
      <c r="AD188" s="44">
        <f t="shared" si="67"/>
        <v>0</v>
      </c>
      <c r="AE188" s="44">
        <f t="shared" si="68"/>
        <v>0</v>
      </c>
      <c r="AF188" s="52" t="e">
        <f>HLOOKUP(I188,GasAvoidedCostsWOCC!$A$5:$G$50,G188+1,FALSE)</f>
        <v>#N/A</v>
      </c>
      <c r="AG188" s="44" t="e">
        <f t="shared" si="69"/>
        <v>#N/A</v>
      </c>
      <c r="AH188" s="52" t="e">
        <f>HLOOKUP(I188,GasAvoidedCostsWOCC!$A$5:$Q$50,T188+1,FALSE)</f>
        <v>#N/A</v>
      </c>
      <c r="AI188" s="44" t="e">
        <f t="shared" si="70"/>
        <v>#N/A</v>
      </c>
      <c r="AJ188" s="44" t="e">
        <f t="shared" si="71"/>
        <v>#N/A</v>
      </c>
      <c r="AK188" s="44" t="e">
        <f>HLOOKUP(I188,GasAvoidedCostsWOCC!$A$5:$Q$50,G188+1,FALSE)*J188*L188</f>
        <v>#N/A</v>
      </c>
      <c r="AL188" s="44" t="e">
        <f t="shared" si="72"/>
        <v>#N/A</v>
      </c>
      <c r="AM188" s="48">
        <f>IF(O188=0,0,IF(H188=0, HLOOKUP(I188,GasAvoidedCostsWOCC!$A$5:$Q$50,T188+1,FALSE)*K188*J188,HLOOKUP(I188,GasAvoidedCostsWOCC!$A$5:$Q$50,T188+1,FALSE)*L188*J188+HLOOKUP(I188,GasAvoidedCostsWOCC!$A$5:$Q$50,G188+1,FALSE)*K188*J188-HLOOKUP(I188,GasAvoidedCostsWOCC!$A$5:$Q$50,G188+1,FALSE)*L188*J188))</f>
        <v>0</v>
      </c>
      <c r="AN188" s="48">
        <f t="shared" si="73"/>
        <v>0</v>
      </c>
      <c r="AO188" s="47">
        <f t="shared" si="74"/>
        <v>0</v>
      </c>
      <c r="AP188" s="47" t="e">
        <f t="shared" si="75"/>
        <v>#DIV/0!</v>
      </c>
    </row>
    <row r="189" spans="2:42">
      <c r="B189" s="9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7"/>
        <v>0</v>
      </c>
      <c r="U189" s="47">
        <f t="shared" si="58"/>
        <v>0</v>
      </c>
      <c r="V189" s="48">
        <f t="shared" si="59"/>
        <v>0</v>
      </c>
      <c r="W189" s="49">
        <f t="shared" si="60"/>
        <v>0</v>
      </c>
      <c r="X189" s="44">
        <f t="shared" si="61"/>
        <v>0</v>
      </c>
      <c r="Y189" s="44">
        <f t="shared" si="62"/>
        <v>0</v>
      </c>
      <c r="Z189" s="44">
        <f t="shared" si="63"/>
        <v>0</v>
      </c>
      <c r="AA189" s="50">
        <f t="shared" si="64"/>
        <v>0</v>
      </c>
      <c r="AB189" s="51">
        <f t="shared" si="65"/>
        <v>0</v>
      </c>
      <c r="AC189" s="44">
        <f t="shared" si="66"/>
        <v>0</v>
      </c>
      <c r="AD189" s="44">
        <f t="shared" si="67"/>
        <v>0</v>
      </c>
      <c r="AE189" s="44">
        <f t="shared" si="68"/>
        <v>0</v>
      </c>
      <c r="AF189" s="52" t="e">
        <f>HLOOKUP(I189,GasAvoidedCostsWOCC!$A$5:$G$50,G189+1,FALSE)</f>
        <v>#N/A</v>
      </c>
      <c r="AG189" s="44" t="e">
        <f t="shared" si="69"/>
        <v>#N/A</v>
      </c>
      <c r="AH189" s="52" t="e">
        <f>HLOOKUP(I189,GasAvoidedCostsWOCC!$A$5:$Q$50,T189+1,FALSE)</f>
        <v>#N/A</v>
      </c>
      <c r="AI189" s="44" t="e">
        <f t="shared" si="70"/>
        <v>#N/A</v>
      </c>
      <c r="AJ189" s="44" t="e">
        <f t="shared" si="71"/>
        <v>#N/A</v>
      </c>
      <c r="AK189" s="44" t="e">
        <f>HLOOKUP(I189,GasAvoidedCostsWOCC!$A$5:$Q$50,G189+1,FALSE)*J189*L189</f>
        <v>#N/A</v>
      </c>
      <c r="AL189" s="44" t="e">
        <f t="shared" si="72"/>
        <v>#N/A</v>
      </c>
      <c r="AM189" s="48">
        <f>IF(O189=0,0,IF(H189=0, HLOOKUP(I189,GasAvoidedCostsWOCC!$A$5:$Q$50,T189+1,FALSE)*K189*J189,HLOOKUP(I189,GasAvoidedCostsWOCC!$A$5:$Q$50,T189+1,FALSE)*L189*J189+HLOOKUP(I189,GasAvoidedCostsWOCC!$A$5:$Q$50,G189+1,FALSE)*K189*J189-HLOOKUP(I189,GasAvoidedCostsWOCC!$A$5:$Q$50,G189+1,FALSE)*L189*J189))</f>
        <v>0</v>
      </c>
      <c r="AN189" s="48">
        <f t="shared" si="73"/>
        <v>0</v>
      </c>
      <c r="AO189" s="47">
        <f t="shared" si="74"/>
        <v>0</v>
      </c>
      <c r="AP189" s="47" t="e">
        <f t="shared" si="75"/>
        <v>#DIV/0!</v>
      </c>
    </row>
    <row r="190" spans="2:42">
      <c r="B190" s="9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7"/>
        <v>0</v>
      </c>
      <c r="U190" s="47">
        <f t="shared" si="58"/>
        <v>0</v>
      </c>
      <c r="V190" s="48">
        <f t="shared" si="59"/>
        <v>0</v>
      </c>
      <c r="W190" s="49">
        <f t="shared" si="60"/>
        <v>0</v>
      </c>
      <c r="X190" s="44">
        <f t="shared" si="61"/>
        <v>0</v>
      </c>
      <c r="Y190" s="44">
        <f t="shared" si="62"/>
        <v>0</v>
      </c>
      <c r="Z190" s="44">
        <f t="shared" si="63"/>
        <v>0</v>
      </c>
      <c r="AA190" s="50">
        <f t="shared" si="64"/>
        <v>0</v>
      </c>
      <c r="AB190" s="51">
        <f t="shared" si="65"/>
        <v>0</v>
      </c>
      <c r="AC190" s="44">
        <f t="shared" si="66"/>
        <v>0</v>
      </c>
      <c r="AD190" s="44">
        <f t="shared" si="67"/>
        <v>0</v>
      </c>
      <c r="AE190" s="44">
        <f t="shared" si="68"/>
        <v>0</v>
      </c>
      <c r="AF190" s="52" t="e">
        <f>HLOOKUP(I190,GasAvoidedCostsWOCC!$A$5:$G$50,G190+1,FALSE)</f>
        <v>#N/A</v>
      </c>
      <c r="AG190" s="44" t="e">
        <f t="shared" si="69"/>
        <v>#N/A</v>
      </c>
      <c r="AH190" s="52" t="e">
        <f>HLOOKUP(I190,GasAvoidedCostsWOCC!$A$5:$Q$50,T190+1,FALSE)</f>
        <v>#N/A</v>
      </c>
      <c r="AI190" s="44" t="e">
        <f t="shared" si="70"/>
        <v>#N/A</v>
      </c>
      <c r="AJ190" s="44" t="e">
        <f t="shared" si="71"/>
        <v>#N/A</v>
      </c>
      <c r="AK190" s="44" t="e">
        <f>HLOOKUP(I190,GasAvoidedCostsWOCC!$A$5:$Q$50,G190+1,FALSE)*J190*L190</f>
        <v>#N/A</v>
      </c>
      <c r="AL190" s="44" t="e">
        <f t="shared" si="72"/>
        <v>#N/A</v>
      </c>
      <c r="AM190" s="48">
        <f>IF(O190=0,0,IF(H190=0, HLOOKUP(I190,GasAvoidedCostsWOCC!$A$5:$Q$50,T190+1,FALSE)*K190*J190,HLOOKUP(I190,GasAvoidedCostsWOCC!$A$5:$Q$50,T190+1,FALSE)*L190*J190+HLOOKUP(I190,GasAvoidedCostsWOCC!$A$5:$Q$50,G190+1,FALSE)*K190*J190-HLOOKUP(I190,GasAvoidedCostsWOCC!$A$5:$Q$50,G190+1,FALSE)*L190*J190))</f>
        <v>0</v>
      </c>
      <c r="AN190" s="48">
        <f t="shared" si="73"/>
        <v>0</v>
      </c>
      <c r="AO190" s="47">
        <f t="shared" si="74"/>
        <v>0</v>
      </c>
      <c r="AP190" s="47" t="e">
        <f t="shared" si="75"/>
        <v>#DIV/0!</v>
      </c>
    </row>
    <row r="191" spans="2:42">
      <c r="B191" s="9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7"/>
        <v>0</v>
      </c>
      <c r="U191" s="47">
        <f t="shared" si="58"/>
        <v>0</v>
      </c>
      <c r="V191" s="48">
        <f t="shared" si="59"/>
        <v>0</v>
      </c>
      <c r="W191" s="49">
        <f t="shared" si="60"/>
        <v>0</v>
      </c>
      <c r="X191" s="44">
        <f t="shared" si="61"/>
        <v>0</v>
      </c>
      <c r="Y191" s="44">
        <f t="shared" si="62"/>
        <v>0</v>
      </c>
      <c r="Z191" s="44">
        <f t="shared" si="63"/>
        <v>0</v>
      </c>
      <c r="AA191" s="50">
        <f t="shared" si="64"/>
        <v>0</v>
      </c>
      <c r="AB191" s="51">
        <f t="shared" si="65"/>
        <v>0</v>
      </c>
      <c r="AC191" s="44">
        <f t="shared" si="66"/>
        <v>0</v>
      </c>
      <c r="AD191" s="44">
        <f t="shared" si="67"/>
        <v>0</v>
      </c>
      <c r="AE191" s="44">
        <f t="shared" si="68"/>
        <v>0</v>
      </c>
      <c r="AF191" s="52" t="e">
        <f>HLOOKUP(I191,GasAvoidedCostsWOCC!$A$5:$G$50,G191+1,FALSE)</f>
        <v>#N/A</v>
      </c>
      <c r="AG191" s="44" t="e">
        <f t="shared" si="69"/>
        <v>#N/A</v>
      </c>
      <c r="AH191" s="52" t="e">
        <f>HLOOKUP(I191,GasAvoidedCostsWOCC!$A$5:$Q$50,T191+1,FALSE)</f>
        <v>#N/A</v>
      </c>
      <c r="AI191" s="44" t="e">
        <f t="shared" si="70"/>
        <v>#N/A</v>
      </c>
      <c r="AJ191" s="44" t="e">
        <f t="shared" si="71"/>
        <v>#N/A</v>
      </c>
      <c r="AK191" s="44" t="e">
        <f>HLOOKUP(I191,GasAvoidedCostsWOCC!$A$5:$Q$50,G191+1,FALSE)*J191*L191</f>
        <v>#N/A</v>
      </c>
      <c r="AL191" s="44" t="e">
        <f t="shared" si="72"/>
        <v>#N/A</v>
      </c>
      <c r="AM191" s="48">
        <f>IF(O191=0,0,IF(H191=0, HLOOKUP(I191,GasAvoidedCostsWOCC!$A$5:$Q$50,T191+1,FALSE)*K191*J191,HLOOKUP(I191,GasAvoidedCostsWOCC!$A$5:$Q$50,T191+1,FALSE)*L191*J191+HLOOKUP(I191,GasAvoidedCostsWOCC!$A$5:$Q$50,G191+1,FALSE)*K191*J191-HLOOKUP(I191,GasAvoidedCostsWOCC!$A$5:$Q$50,G191+1,FALSE)*L191*J191))</f>
        <v>0</v>
      </c>
      <c r="AN191" s="48">
        <f t="shared" si="73"/>
        <v>0</v>
      </c>
      <c r="AO191" s="47">
        <f t="shared" si="74"/>
        <v>0</v>
      </c>
      <c r="AP191" s="47" t="e">
        <f t="shared" si="75"/>
        <v>#DIV/0!</v>
      </c>
    </row>
    <row r="192" spans="2:42">
      <c r="B192" s="9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7"/>
        <v>0</v>
      </c>
      <c r="U192" s="47">
        <f t="shared" si="58"/>
        <v>0</v>
      </c>
      <c r="V192" s="48">
        <f t="shared" si="59"/>
        <v>0</v>
      </c>
      <c r="W192" s="49">
        <f t="shared" si="60"/>
        <v>0</v>
      </c>
      <c r="X192" s="44">
        <f t="shared" si="61"/>
        <v>0</v>
      </c>
      <c r="Y192" s="44">
        <f t="shared" si="62"/>
        <v>0</v>
      </c>
      <c r="Z192" s="44">
        <f t="shared" si="63"/>
        <v>0</v>
      </c>
      <c r="AA192" s="50">
        <f t="shared" si="64"/>
        <v>0</v>
      </c>
      <c r="AB192" s="51">
        <f t="shared" si="65"/>
        <v>0</v>
      </c>
      <c r="AC192" s="44">
        <f t="shared" si="66"/>
        <v>0</v>
      </c>
      <c r="AD192" s="44">
        <f t="shared" si="67"/>
        <v>0</v>
      </c>
      <c r="AE192" s="44">
        <f t="shared" si="68"/>
        <v>0</v>
      </c>
      <c r="AF192" s="52" t="e">
        <f>HLOOKUP(I192,GasAvoidedCostsWOCC!$A$5:$G$50,G192+1,FALSE)</f>
        <v>#N/A</v>
      </c>
      <c r="AG192" s="44" t="e">
        <f t="shared" si="69"/>
        <v>#N/A</v>
      </c>
      <c r="AH192" s="52" t="e">
        <f>HLOOKUP(I192,GasAvoidedCostsWOCC!$A$5:$Q$50,T192+1,FALSE)</f>
        <v>#N/A</v>
      </c>
      <c r="AI192" s="44" t="e">
        <f t="shared" si="70"/>
        <v>#N/A</v>
      </c>
      <c r="AJ192" s="44" t="e">
        <f t="shared" si="71"/>
        <v>#N/A</v>
      </c>
      <c r="AK192" s="44" t="e">
        <f>HLOOKUP(I192,GasAvoidedCostsWOCC!$A$5:$Q$50,G192+1,FALSE)*J192*L192</f>
        <v>#N/A</v>
      </c>
      <c r="AL192" s="44" t="e">
        <f t="shared" si="72"/>
        <v>#N/A</v>
      </c>
      <c r="AM192" s="48">
        <f>IF(O192=0,0,IF(H192=0, HLOOKUP(I192,GasAvoidedCostsWOCC!$A$5:$Q$50,T192+1,FALSE)*K192*J192,HLOOKUP(I192,GasAvoidedCostsWOCC!$A$5:$Q$50,T192+1,FALSE)*L192*J192+HLOOKUP(I192,GasAvoidedCostsWOCC!$A$5:$Q$50,G192+1,FALSE)*K192*J192-HLOOKUP(I192,GasAvoidedCostsWOCC!$A$5:$Q$50,G192+1,FALSE)*L192*J192))</f>
        <v>0</v>
      </c>
      <c r="AN192" s="48">
        <f t="shared" si="73"/>
        <v>0</v>
      </c>
      <c r="AO192" s="47">
        <f t="shared" si="74"/>
        <v>0</v>
      </c>
      <c r="AP192" s="47" t="e">
        <f t="shared" si="75"/>
        <v>#DIV/0!</v>
      </c>
    </row>
    <row r="193" spans="2:42">
      <c r="B193" s="9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7"/>
        <v>0</v>
      </c>
      <c r="U193" s="47">
        <f t="shared" si="58"/>
        <v>0</v>
      </c>
      <c r="V193" s="48">
        <f t="shared" si="59"/>
        <v>0</v>
      </c>
      <c r="W193" s="49">
        <f t="shared" si="60"/>
        <v>0</v>
      </c>
      <c r="X193" s="44">
        <f t="shared" si="61"/>
        <v>0</v>
      </c>
      <c r="Y193" s="44">
        <f t="shared" si="62"/>
        <v>0</v>
      </c>
      <c r="Z193" s="44">
        <f t="shared" si="63"/>
        <v>0</v>
      </c>
      <c r="AA193" s="50">
        <f t="shared" si="64"/>
        <v>0</v>
      </c>
      <c r="AB193" s="51">
        <f t="shared" si="65"/>
        <v>0</v>
      </c>
      <c r="AC193" s="44">
        <f t="shared" si="66"/>
        <v>0</v>
      </c>
      <c r="AD193" s="44">
        <f t="shared" si="67"/>
        <v>0</v>
      </c>
      <c r="AE193" s="44">
        <f t="shared" si="68"/>
        <v>0</v>
      </c>
      <c r="AF193" s="52" t="e">
        <f>HLOOKUP(I193,GasAvoidedCostsWOCC!$A$5:$G$50,G193+1,FALSE)</f>
        <v>#N/A</v>
      </c>
      <c r="AG193" s="44" t="e">
        <f t="shared" si="69"/>
        <v>#N/A</v>
      </c>
      <c r="AH193" s="52" t="e">
        <f>HLOOKUP(I193,GasAvoidedCostsWOCC!$A$5:$Q$50,T193+1,FALSE)</f>
        <v>#N/A</v>
      </c>
      <c r="AI193" s="44" t="e">
        <f t="shared" si="70"/>
        <v>#N/A</v>
      </c>
      <c r="AJ193" s="44" t="e">
        <f t="shared" si="71"/>
        <v>#N/A</v>
      </c>
      <c r="AK193" s="44" t="e">
        <f>HLOOKUP(I193,GasAvoidedCostsWOCC!$A$5:$Q$50,G193+1,FALSE)*J193*L193</f>
        <v>#N/A</v>
      </c>
      <c r="AL193" s="44" t="e">
        <f t="shared" si="72"/>
        <v>#N/A</v>
      </c>
      <c r="AM193" s="48">
        <f>IF(O193=0,0,IF(H193=0, HLOOKUP(I193,GasAvoidedCostsWOCC!$A$5:$Q$50,T193+1,FALSE)*K193*J193,HLOOKUP(I193,GasAvoidedCostsWOCC!$A$5:$Q$50,T193+1,FALSE)*L193*J193+HLOOKUP(I193,GasAvoidedCostsWOCC!$A$5:$Q$50,G193+1,FALSE)*K193*J193-HLOOKUP(I193,GasAvoidedCostsWOCC!$A$5:$Q$50,G193+1,FALSE)*L193*J193))</f>
        <v>0</v>
      </c>
      <c r="AN193" s="48">
        <f t="shared" si="73"/>
        <v>0</v>
      </c>
      <c r="AO193" s="47">
        <f t="shared" si="74"/>
        <v>0</v>
      </c>
      <c r="AP193" s="47" t="e">
        <f t="shared" si="75"/>
        <v>#DIV/0!</v>
      </c>
    </row>
    <row r="194" spans="2:42">
      <c r="B194" s="9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7"/>
        <v>0</v>
      </c>
      <c r="U194" s="47">
        <f t="shared" si="58"/>
        <v>0</v>
      </c>
      <c r="V194" s="48">
        <f t="shared" si="59"/>
        <v>0</v>
      </c>
      <c r="W194" s="49">
        <f t="shared" si="60"/>
        <v>0</v>
      </c>
      <c r="X194" s="44">
        <f t="shared" si="61"/>
        <v>0</v>
      </c>
      <c r="Y194" s="44">
        <f t="shared" si="62"/>
        <v>0</v>
      </c>
      <c r="Z194" s="44">
        <f t="shared" si="63"/>
        <v>0</v>
      </c>
      <c r="AA194" s="50">
        <f t="shared" si="64"/>
        <v>0</v>
      </c>
      <c r="AB194" s="51">
        <f t="shared" si="65"/>
        <v>0</v>
      </c>
      <c r="AC194" s="44">
        <f t="shared" si="66"/>
        <v>0</v>
      </c>
      <c r="AD194" s="44">
        <f t="shared" si="67"/>
        <v>0</v>
      </c>
      <c r="AE194" s="44">
        <f t="shared" si="68"/>
        <v>0</v>
      </c>
      <c r="AF194" s="52" t="e">
        <f>HLOOKUP(I194,GasAvoidedCostsWOCC!$A$5:$G$50,G194+1,FALSE)</f>
        <v>#N/A</v>
      </c>
      <c r="AG194" s="44" t="e">
        <f t="shared" si="69"/>
        <v>#N/A</v>
      </c>
      <c r="AH194" s="52" t="e">
        <f>HLOOKUP(I194,GasAvoidedCostsWOCC!$A$5:$Q$50,T194+1,FALSE)</f>
        <v>#N/A</v>
      </c>
      <c r="AI194" s="44" t="e">
        <f t="shared" si="70"/>
        <v>#N/A</v>
      </c>
      <c r="AJ194" s="44" t="e">
        <f t="shared" si="71"/>
        <v>#N/A</v>
      </c>
      <c r="AK194" s="44" t="e">
        <f>HLOOKUP(I194,GasAvoidedCostsWOCC!$A$5:$Q$50,G194+1,FALSE)*J194*L194</f>
        <v>#N/A</v>
      </c>
      <c r="AL194" s="44" t="e">
        <f t="shared" si="72"/>
        <v>#N/A</v>
      </c>
      <c r="AM194" s="48">
        <f>IF(O194=0,0,IF(H194=0, HLOOKUP(I194,GasAvoidedCostsWOCC!$A$5:$Q$50,T194+1,FALSE)*K194*J194,HLOOKUP(I194,GasAvoidedCostsWOCC!$A$5:$Q$50,T194+1,FALSE)*L194*J194+HLOOKUP(I194,GasAvoidedCostsWOCC!$A$5:$Q$50,G194+1,FALSE)*K194*J194-HLOOKUP(I194,GasAvoidedCostsWOCC!$A$5:$Q$50,G194+1,FALSE)*L194*J194))</f>
        <v>0</v>
      </c>
      <c r="AN194" s="48">
        <f t="shared" si="73"/>
        <v>0</v>
      </c>
      <c r="AO194" s="47">
        <f t="shared" si="74"/>
        <v>0</v>
      </c>
      <c r="AP194" s="47" t="e">
        <f t="shared" si="75"/>
        <v>#DIV/0!</v>
      </c>
    </row>
    <row r="195" spans="2:42">
      <c r="B195" s="9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7"/>
        <v>0</v>
      </c>
      <c r="U195" s="47">
        <f t="shared" si="58"/>
        <v>0</v>
      </c>
      <c r="V195" s="48">
        <f t="shared" si="59"/>
        <v>0</v>
      </c>
      <c r="W195" s="49">
        <f t="shared" si="60"/>
        <v>0</v>
      </c>
      <c r="X195" s="44">
        <f t="shared" si="61"/>
        <v>0</v>
      </c>
      <c r="Y195" s="44">
        <f t="shared" si="62"/>
        <v>0</v>
      </c>
      <c r="Z195" s="44">
        <f t="shared" si="63"/>
        <v>0</v>
      </c>
      <c r="AA195" s="50">
        <f t="shared" si="64"/>
        <v>0</v>
      </c>
      <c r="AB195" s="51">
        <f t="shared" si="65"/>
        <v>0</v>
      </c>
      <c r="AC195" s="44">
        <f t="shared" si="66"/>
        <v>0</v>
      </c>
      <c r="AD195" s="44">
        <f t="shared" si="67"/>
        <v>0</v>
      </c>
      <c r="AE195" s="44">
        <f t="shared" si="68"/>
        <v>0</v>
      </c>
      <c r="AF195" s="52" t="e">
        <f>HLOOKUP(I195,GasAvoidedCostsWOCC!$A$5:$G$50,G195+1,FALSE)</f>
        <v>#N/A</v>
      </c>
      <c r="AG195" s="44" t="e">
        <f t="shared" si="69"/>
        <v>#N/A</v>
      </c>
      <c r="AH195" s="52" t="e">
        <f>HLOOKUP(I195,GasAvoidedCostsWOCC!$A$5:$Q$50,T195+1,FALSE)</f>
        <v>#N/A</v>
      </c>
      <c r="AI195" s="44" t="e">
        <f t="shared" si="70"/>
        <v>#N/A</v>
      </c>
      <c r="AJ195" s="44" t="e">
        <f t="shared" si="71"/>
        <v>#N/A</v>
      </c>
      <c r="AK195" s="44" t="e">
        <f>HLOOKUP(I195,GasAvoidedCostsWOCC!$A$5:$Q$50,G195+1,FALSE)*J195*L195</f>
        <v>#N/A</v>
      </c>
      <c r="AL195" s="44" t="e">
        <f t="shared" si="72"/>
        <v>#N/A</v>
      </c>
      <c r="AM195" s="48">
        <f>IF(O195=0,0,IF(H195=0, HLOOKUP(I195,GasAvoidedCostsWOCC!$A$5:$Q$50,T195+1,FALSE)*K195*J195,HLOOKUP(I195,GasAvoidedCostsWOCC!$A$5:$Q$50,T195+1,FALSE)*L195*J195+HLOOKUP(I195,GasAvoidedCostsWOCC!$A$5:$Q$50,G195+1,FALSE)*K195*J195-HLOOKUP(I195,GasAvoidedCostsWOCC!$A$5:$Q$50,G195+1,FALSE)*L195*J195))</f>
        <v>0</v>
      </c>
      <c r="AN195" s="48">
        <f t="shared" si="73"/>
        <v>0</v>
      </c>
      <c r="AO195" s="47">
        <f t="shared" si="74"/>
        <v>0</v>
      </c>
      <c r="AP195" s="47" t="e">
        <f t="shared" si="75"/>
        <v>#DIV/0!</v>
      </c>
    </row>
    <row r="196" spans="2:42">
      <c r="B196" s="9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si="57"/>
        <v>0</v>
      </c>
      <c r="U196" s="47">
        <f t="shared" si="58"/>
        <v>0</v>
      </c>
      <c r="V196" s="48">
        <f t="shared" si="59"/>
        <v>0</v>
      </c>
      <c r="W196" s="49">
        <f t="shared" si="60"/>
        <v>0</v>
      </c>
      <c r="X196" s="44">
        <f t="shared" si="61"/>
        <v>0</v>
      </c>
      <c r="Y196" s="44">
        <f t="shared" si="62"/>
        <v>0</v>
      </c>
      <c r="Z196" s="44">
        <f t="shared" si="63"/>
        <v>0</v>
      </c>
      <c r="AA196" s="50">
        <f t="shared" si="64"/>
        <v>0</v>
      </c>
      <c r="AB196" s="51">
        <f t="shared" si="65"/>
        <v>0</v>
      </c>
      <c r="AC196" s="44">
        <f t="shared" si="66"/>
        <v>0</v>
      </c>
      <c r="AD196" s="44">
        <f t="shared" si="67"/>
        <v>0</v>
      </c>
      <c r="AE196" s="44">
        <f t="shared" si="68"/>
        <v>0</v>
      </c>
      <c r="AF196" s="52" t="e">
        <f>HLOOKUP(I196,GasAvoidedCostsWOCC!$A$5:$G$50,G196+1,FALSE)</f>
        <v>#N/A</v>
      </c>
      <c r="AG196" s="44" t="e">
        <f t="shared" si="69"/>
        <v>#N/A</v>
      </c>
      <c r="AH196" s="52" t="e">
        <f>HLOOKUP(I196,GasAvoidedCostsWOCC!$A$5:$Q$50,T196+1,FALSE)</f>
        <v>#N/A</v>
      </c>
      <c r="AI196" s="44" t="e">
        <f t="shared" si="70"/>
        <v>#N/A</v>
      </c>
      <c r="AJ196" s="44" t="e">
        <f t="shared" si="71"/>
        <v>#N/A</v>
      </c>
      <c r="AK196" s="44" t="e">
        <f>HLOOKUP(I196,GasAvoidedCostsWOCC!$A$5:$Q$50,G196+1,FALSE)*J196*L196</f>
        <v>#N/A</v>
      </c>
      <c r="AL196" s="44" t="e">
        <f t="shared" si="72"/>
        <v>#N/A</v>
      </c>
      <c r="AM196" s="48">
        <f>IF(O196=0,0,IF(H196=0, HLOOKUP(I196,GasAvoidedCostsWOCC!$A$5:$Q$50,T196+1,FALSE)*K196*J196,HLOOKUP(I196,GasAvoidedCostsWOCC!$A$5:$Q$50,T196+1,FALSE)*L196*J196+HLOOKUP(I196,GasAvoidedCostsWOCC!$A$5:$Q$50,G196+1,FALSE)*K196*J196-HLOOKUP(I196,GasAvoidedCostsWOCC!$A$5:$Q$50,G196+1,FALSE)*L196*J196))</f>
        <v>0</v>
      </c>
      <c r="AN196" s="48">
        <f t="shared" si="73"/>
        <v>0</v>
      </c>
      <c r="AO196" s="47">
        <f t="shared" si="74"/>
        <v>0</v>
      </c>
      <c r="AP196" s="47" t="e">
        <f t="shared" si="75"/>
        <v>#DIV/0!</v>
      </c>
    </row>
    <row r="197" spans="2:42">
      <c r="B197" s="9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57"/>
        <v>0</v>
      </c>
      <c r="U197" s="47">
        <f t="shared" si="58"/>
        <v>0</v>
      </c>
      <c r="V197" s="48">
        <f t="shared" si="59"/>
        <v>0</v>
      </c>
      <c r="W197" s="49">
        <f t="shared" si="60"/>
        <v>0</v>
      </c>
      <c r="X197" s="44">
        <f t="shared" si="61"/>
        <v>0</v>
      </c>
      <c r="Y197" s="44">
        <f t="shared" si="62"/>
        <v>0</v>
      </c>
      <c r="Z197" s="44">
        <f t="shared" si="63"/>
        <v>0</v>
      </c>
      <c r="AA197" s="50">
        <f t="shared" si="64"/>
        <v>0</v>
      </c>
      <c r="AB197" s="51">
        <f t="shared" si="65"/>
        <v>0</v>
      </c>
      <c r="AC197" s="44">
        <f t="shared" si="66"/>
        <v>0</v>
      </c>
      <c r="AD197" s="44">
        <f t="shared" si="67"/>
        <v>0</v>
      </c>
      <c r="AE197" s="44">
        <f t="shared" si="68"/>
        <v>0</v>
      </c>
      <c r="AF197" s="52" t="e">
        <f>HLOOKUP(I197,GasAvoidedCostsWOCC!$A$5:$G$50,G197+1,FALSE)</f>
        <v>#N/A</v>
      </c>
      <c r="AG197" s="44" t="e">
        <f t="shared" si="69"/>
        <v>#N/A</v>
      </c>
      <c r="AH197" s="52" t="e">
        <f>HLOOKUP(I197,GasAvoidedCostsWOCC!$A$5:$Q$50,T197+1,FALSE)</f>
        <v>#N/A</v>
      </c>
      <c r="AI197" s="44" t="e">
        <f t="shared" si="70"/>
        <v>#N/A</v>
      </c>
      <c r="AJ197" s="44" t="e">
        <f t="shared" si="71"/>
        <v>#N/A</v>
      </c>
      <c r="AK197" s="44" t="e">
        <f>HLOOKUP(I197,GasAvoidedCostsWOCC!$A$5:$Q$50,G197+1,FALSE)*J197*L197</f>
        <v>#N/A</v>
      </c>
      <c r="AL197" s="44" t="e">
        <f t="shared" si="72"/>
        <v>#N/A</v>
      </c>
      <c r="AM197" s="48">
        <f>IF(O197=0,0,IF(H197=0, HLOOKUP(I197,GasAvoidedCostsWOCC!$A$5:$Q$50,T197+1,FALSE)*K197*J197,HLOOKUP(I197,GasAvoidedCostsWOCC!$A$5:$Q$50,T197+1,FALSE)*L197*J197+HLOOKUP(I197,GasAvoidedCostsWOCC!$A$5:$Q$50,G197+1,FALSE)*K197*J197-HLOOKUP(I197,GasAvoidedCostsWOCC!$A$5:$Q$50,G197+1,FALSE)*L197*J197))</f>
        <v>0</v>
      </c>
      <c r="AN197" s="48">
        <f t="shared" si="73"/>
        <v>0</v>
      </c>
      <c r="AO197" s="47">
        <f t="shared" si="74"/>
        <v>0</v>
      </c>
      <c r="AP197" s="47" t="e">
        <f t="shared" si="75"/>
        <v>#DIV/0!</v>
      </c>
    </row>
    <row r="198" spans="2:42">
      <c r="B198" s="9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57"/>
        <v>0</v>
      </c>
      <c r="U198" s="47">
        <f t="shared" si="58"/>
        <v>0</v>
      </c>
      <c r="V198" s="48">
        <f t="shared" si="59"/>
        <v>0</v>
      </c>
      <c r="W198" s="49">
        <f t="shared" si="60"/>
        <v>0</v>
      </c>
      <c r="X198" s="44">
        <f t="shared" si="61"/>
        <v>0</v>
      </c>
      <c r="Y198" s="44">
        <f t="shared" si="62"/>
        <v>0</v>
      </c>
      <c r="Z198" s="44">
        <f t="shared" si="63"/>
        <v>0</v>
      </c>
      <c r="AA198" s="50">
        <f t="shared" si="64"/>
        <v>0</v>
      </c>
      <c r="AB198" s="51">
        <f t="shared" si="65"/>
        <v>0</v>
      </c>
      <c r="AC198" s="44">
        <f t="shared" si="66"/>
        <v>0</v>
      </c>
      <c r="AD198" s="44">
        <f t="shared" si="67"/>
        <v>0</v>
      </c>
      <c r="AE198" s="44">
        <f t="shared" si="68"/>
        <v>0</v>
      </c>
      <c r="AF198" s="52" t="e">
        <f>HLOOKUP(I198,GasAvoidedCostsWOCC!$A$5:$G$50,G198+1,FALSE)</f>
        <v>#N/A</v>
      </c>
      <c r="AG198" s="44" t="e">
        <f t="shared" si="69"/>
        <v>#N/A</v>
      </c>
      <c r="AH198" s="52" t="e">
        <f>HLOOKUP(I198,GasAvoidedCostsWOCC!$A$5:$Q$50,T198+1,FALSE)</f>
        <v>#N/A</v>
      </c>
      <c r="AI198" s="44" t="e">
        <f t="shared" si="70"/>
        <v>#N/A</v>
      </c>
      <c r="AJ198" s="44" t="e">
        <f t="shared" si="71"/>
        <v>#N/A</v>
      </c>
      <c r="AK198" s="44" t="e">
        <f>HLOOKUP(I198,GasAvoidedCostsWOCC!$A$5:$Q$50,G198+1,FALSE)*J198*L198</f>
        <v>#N/A</v>
      </c>
      <c r="AL198" s="44" t="e">
        <f t="shared" si="72"/>
        <v>#N/A</v>
      </c>
      <c r="AM198" s="48">
        <f>IF(O198=0,0,IF(H198=0, HLOOKUP(I198,GasAvoidedCostsWOCC!$A$5:$Q$50,T198+1,FALSE)*K198*J198,HLOOKUP(I198,GasAvoidedCostsWOCC!$A$5:$Q$50,T198+1,FALSE)*L198*J198+HLOOKUP(I198,GasAvoidedCostsWOCC!$A$5:$Q$50,G198+1,FALSE)*K198*J198-HLOOKUP(I198,GasAvoidedCostsWOCC!$A$5:$Q$50,G198+1,FALSE)*L198*J198))</f>
        <v>0</v>
      </c>
      <c r="AN198" s="48">
        <f t="shared" si="73"/>
        <v>0</v>
      </c>
      <c r="AO198" s="47">
        <f t="shared" si="74"/>
        <v>0</v>
      </c>
      <c r="AP198" s="47" t="e">
        <f t="shared" si="75"/>
        <v>#DIV/0!</v>
      </c>
    </row>
    <row r="199" spans="2:42">
      <c r="B199" s="9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57"/>
        <v>0</v>
      </c>
      <c r="U199" s="47">
        <f t="shared" si="58"/>
        <v>0</v>
      </c>
      <c r="V199" s="48">
        <f t="shared" si="59"/>
        <v>0</v>
      </c>
      <c r="W199" s="49">
        <f t="shared" si="60"/>
        <v>0</v>
      </c>
      <c r="X199" s="44">
        <f t="shared" si="61"/>
        <v>0</v>
      </c>
      <c r="Y199" s="44">
        <f t="shared" si="62"/>
        <v>0</v>
      </c>
      <c r="Z199" s="44">
        <f t="shared" si="63"/>
        <v>0</v>
      </c>
      <c r="AA199" s="50">
        <f t="shared" si="64"/>
        <v>0</v>
      </c>
      <c r="AB199" s="51">
        <f t="shared" si="65"/>
        <v>0</v>
      </c>
      <c r="AC199" s="44">
        <f t="shared" si="66"/>
        <v>0</v>
      </c>
      <c r="AD199" s="44">
        <f t="shared" si="67"/>
        <v>0</v>
      </c>
      <c r="AE199" s="44">
        <f t="shared" si="68"/>
        <v>0</v>
      </c>
      <c r="AF199" s="52" t="e">
        <f>HLOOKUP(I199,GasAvoidedCostsWOCC!$A$5:$G$50,G199+1,FALSE)</f>
        <v>#N/A</v>
      </c>
      <c r="AG199" s="44" t="e">
        <f t="shared" si="69"/>
        <v>#N/A</v>
      </c>
      <c r="AH199" s="52" t="e">
        <f>HLOOKUP(I199,GasAvoidedCostsWOCC!$A$5:$Q$50,T199+1,FALSE)</f>
        <v>#N/A</v>
      </c>
      <c r="AI199" s="44" t="e">
        <f t="shared" si="70"/>
        <v>#N/A</v>
      </c>
      <c r="AJ199" s="44" t="e">
        <f t="shared" si="71"/>
        <v>#N/A</v>
      </c>
      <c r="AK199" s="44" t="e">
        <f>HLOOKUP(I199,GasAvoidedCostsWOCC!$A$5:$Q$50,G199+1,FALSE)*J199*L199</f>
        <v>#N/A</v>
      </c>
      <c r="AL199" s="44" t="e">
        <f t="shared" si="72"/>
        <v>#N/A</v>
      </c>
      <c r="AM199" s="48">
        <f>IF(O199=0,0,IF(H199=0, HLOOKUP(I199,GasAvoidedCostsWOCC!$A$5:$Q$50,T199+1,FALSE)*K199*J199,HLOOKUP(I199,GasAvoidedCostsWOCC!$A$5:$Q$50,T199+1,FALSE)*L199*J199+HLOOKUP(I199,GasAvoidedCostsWOCC!$A$5:$Q$50,G199+1,FALSE)*K199*J199-HLOOKUP(I199,GasAvoidedCostsWOCC!$A$5:$Q$50,G199+1,FALSE)*L199*J199))</f>
        <v>0</v>
      </c>
      <c r="AN199" s="48">
        <f t="shared" si="73"/>
        <v>0</v>
      </c>
      <c r="AO199" s="47">
        <f t="shared" si="74"/>
        <v>0</v>
      </c>
      <c r="AP199" s="47" t="e">
        <f t="shared" si="75"/>
        <v>#DIV/0!</v>
      </c>
    </row>
    <row r="200" spans="2:42">
      <c r="B200" s="9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57"/>
        <v>0</v>
      </c>
      <c r="U200" s="47">
        <f t="shared" si="58"/>
        <v>0</v>
      </c>
      <c r="V200" s="48">
        <f t="shared" si="59"/>
        <v>0</v>
      </c>
      <c r="W200" s="49">
        <f t="shared" si="60"/>
        <v>0</v>
      </c>
      <c r="X200" s="44">
        <f t="shared" si="61"/>
        <v>0</v>
      </c>
      <c r="Y200" s="44">
        <f t="shared" si="62"/>
        <v>0</v>
      </c>
      <c r="Z200" s="44">
        <f t="shared" si="63"/>
        <v>0</v>
      </c>
      <c r="AA200" s="50">
        <f t="shared" si="64"/>
        <v>0</v>
      </c>
      <c r="AB200" s="51">
        <f t="shared" si="65"/>
        <v>0</v>
      </c>
      <c r="AC200" s="44">
        <f t="shared" si="66"/>
        <v>0</v>
      </c>
      <c r="AD200" s="44">
        <f t="shared" si="67"/>
        <v>0</v>
      </c>
      <c r="AE200" s="44">
        <f t="shared" si="68"/>
        <v>0</v>
      </c>
      <c r="AF200" s="52" t="e">
        <f>HLOOKUP(I200,GasAvoidedCostsWOCC!$A$5:$G$50,G200+1,FALSE)</f>
        <v>#N/A</v>
      </c>
      <c r="AG200" s="44" t="e">
        <f t="shared" si="69"/>
        <v>#N/A</v>
      </c>
      <c r="AH200" s="52" t="e">
        <f>HLOOKUP(I200,GasAvoidedCostsWOCC!$A$5:$Q$50,T200+1,FALSE)</f>
        <v>#N/A</v>
      </c>
      <c r="AI200" s="44" t="e">
        <f t="shared" si="70"/>
        <v>#N/A</v>
      </c>
      <c r="AJ200" s="44" t="e">
        <f t="shared" si="71"/>
        <v>#N/A</v>
      </c>
      <c r="AK200" s="44" t="e">
        <f>HLOOKUP(I200,GasAvoidedCostsWOCC!$A$5:$Q$50,G200+1,FALSE)*J200*L200</f>
        <v>#N/A</v>
      </c>
      <c r="AL200" s="44" t="e">
        <f t="shared" si="72"/>
        <v>#N/A</v>
      </c>
      <c r="AM200" s="48">
        <f>IF(O200=0,0,IF(H200=0, HLOOKUP(I200,GasAvoidedCostsWOCC!$A$5:$Q$50,T200+1,FALSE)*K200*J200,HLOOKUP(I200,GasAvoidedCostsWOCC!$A$5:$Q$50,T200+1,FALSE)*L200*J200+HLOOKUP(I200,GasAvoidedCostsWOCC!$A$5:$Q$50,G200+1,FALSE)*K200*J200-HLOOKUP(I200,GasAvoidedCostsWOCC!$A$5:$Q$50,G200+1,FALSE)*L200*J200))</f>
        <v>0</v>
      </c>
      <c r="AN200" s="48">
        <f t="shared" si="73"/>
        <v>0</v>
      </c>
      <c r="AO200" s="47">
        <f t="shared" si="74"/>
        <v>0</v>
      </c>
      <c r="AP200" s="47" t="e">
        <f t="shared" si="75"/>
        <v>#DIV/0!</v>
      </c>
    </row>
    <row r="201" spans="2:42">
      <c r="B201" s="9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57"/>
        <v>0</v>
      </c>
      <c r="U201" s="47">
        <f t="shared" si="58"/>
        <v>0</v>
      </c>
      <c r="V201" s="48">
        <f t="shared" si="59"/>
        <v>0</v>
      </c>
      <c r="W201" s="49">
        <f t="shared" si="60"/>
        <v>0</v>
      </c>
      <c r="X201" s="44">
        <f t="shared" si="61"/>
        <v>0</v>
      </c>
      <c r="Y201" s="44">
        <f t="shared" si="62"/>
        <v>0</v>
      </c>
      <c r="Z201" s="44">
        <f t="shared" si="63"/>
        <v>0</v>
      </c>
      <c r="AA201" s="50">
        <f t="shared" si="64"/>
        <v>0</v>
      </c>
      <c r="AB201" s="51">
        <f t="shared" si="65"/>
        <v>0</v>
      </c>
      <c r="AC201" s="44">
        <f t="shared" si="66"/>
        <v>0</v>
      </c>
      <c r="AD201" s="44">
        <f t="shared" si="67"/>
        <v>0</v>
      </c>
      <c r="AE201" s="44">
        <f t="shared" si="68"/>
        <v>0</v>
      </c>
      <c r="AF201" s="52" t="e">
        <f>HLOOKUP(I201,GasAvoidedCostsWOCC!$A$5:$G$50,G201+1,FALSE)</f>
        <v>#N/A</v>
      </c>
      <c r="AG201" s="44" t="e">
        <f t="shared" si="69"/>
        <v>#N/A</v>
      </c>
      <c r="AH201" s="52" t="e">
        <f>HLOOKUP(I201,GasAvoidedCostsWOCC!$A$5:$Q$50,T201+1,FALSE)</f>
        <v>#N/A</v>
      </c>
      <c r="AI201" s="44" t="e">
        <f t="shared" si="70"/>
        <v>#N/A</v>
      </c>
      <c r="AJ201" s="44" t="e">
        <f t="shared" si="71"/>
        <v>#N/A</v>
      </c>
      <c r="AK201" s="44" t="e">
        <f>HLOOKUP(I201,GasAvoidedCostsWOCC!$A$5:$Q$50,G201+1,FALSE)*J201*L201</f>
        <v>#N/A</v>
      </c>
      <c r="AL201" s="44" t="e">
        <f t="shared" si="72"/>
        <v>#N/A</v>
      </c>
      <c r="AM201" s="48">
        <f>IF(O201=0,0,IF(H201=0, HLOOKUP(I201,GasAvoidedCostsWOCC!$A$5:$Q$50,T201+1,FALSE)*K201*J201,HLOOKUP(I201,GasAvoidedCostsWOCC!$A$5:$Q$50,T201+1,FALSE)*L201*J201+HLOOKUP(I201,GasAvoidedCostsWOCC!$A$5:$Q$50,G201+1,FALSE)*K201*J201-HLOOKUP(I201,GasAvoidedCostsWOCC!$A$5:$Q$50,G201+1,FALSE)*L201*J201))</f>
        <v>0</v>
      </c>
      <c r="AN201" s="48">
        <f t="shared" si="73"/>
        <v>0</v>
      </c>
      <c r="AO201" s="47">
        <f t="shared" si="74"/>
        <v>0</v>
      </c>
      <c r="AP201" s="47" t="e">
        <f t="shared" si="75"/>
        <v>#DIV/0!</v>
      </c>
    </row>
    <row r="202" spans="2:42">
      <c r="B202" s="9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57"/>
        <v>0</v>
      </c>
      <c r="U202" s="47">
        <f t="shared" si="58"/>
        <v>0</v>
      </c>
      <c r="V202" s="48">
        <f t="shared" si="59"/>
        <v>0</v>
      </c>
      <c r="W202" s="49">
        <f t="shared" si="60"/>
        <v>0</v>
      </c>
      <c r="X202" s="44">
        <f t="shared" si="61"/>
        <v>0</v>
      </c>
      <c r="Y202" s="44">
        <f t="shared" si="62"/>
        <v>0</v>
      </c>
      <c r="Z202" s="44">
        <f t="shared" si="63"/>
        <v>0</v>
      </c>
      <c r="AA202" s="50">
        <f t="shared" si="64"/>
        <v>0</v>
      </c>
      <c r="AB202" s="51">
        <f t="shared" si="65"/>
        <v>0</v>
      </c>
      <c r="AC202" s="44">
        <f t="shared" si="66"/>
        <v>0</v>
      </c>
      <c r="AD202" s="44">
        <f t="shared" si="67"/>
        <v>0</v>
      </c>
      <c r="AE202" s="44">
        <f t="shared" si="68"/>
        <v>0</v>
      </c>
      <c r="AF202" s="52" t="e">
        <f>HLOOKUP(I202,GasAvoidedCostsWOCC!$A$5:$G$50,G202+1,FALSE)</f>
        <v>#N/A</v>
      </c>
      <c r="AG202" s="44" t="e">
        <f t="shared" si="69"/>
        <v>#N/A</v>
      </c>
      <c r="AH202" s="52" t="e">
        <f>HLOOKUP(I202,GasAvoidedCostsWOCC!$A$5:$Q$50,T202+1,FALSE)</f>
        <v>#N/A</v>
      </c>
      <c r="AI202" s="44" t="e">
        <f t="shared" si="70"/>
        <v>#N/A</v>
      </c>
      <c r="AJ202" s="44" t="e">
        <f t="shared" si="71"/>
        <v>#N/A</v>
      </c>
      <c r="AK202" s="44" t="e">
        <f>HLOOKUP(I202,GasAvoidedCostsWOCC!$A$5:$Q$50,G202+1,FALSE)*J202*L202</f>
        <v>#N/A</v>
      </c>
      <c r="AL202" s="44" t="e">
        <f t="shared" si="72"/>
        <v>#N/A</v>
      </c>
      <c r="AM202" s="48">
        <f>IF(O202=0,0,IF(H202=0, HLOOKUP(I202,GasAvoidedCostsWOCC!$A$5:$Q$50,T202+1,FALSE)*K202*J202,HLOOKUP(I202,GasAvoidedCostsWOCC!$A$5:$Q$50,T202+1,FALSE)*L202*J202+HLOOKUP(I202,GasAvoidedCostsWOCC!$A$5:$Q$50,G202+1,FALSE)*K202*J202-HLOOKUP(I202,GasAvoidedCostsWOCC!$A$5:$Q$50,G202+1,FALSE)*L202*J202))</f>
        <v>0</v>
      </c>
      <c r="AN202" s="48">
        <f t="shared" si="73"/>
        <v>0</v>
      </c>
      <c r="AO202" s="47">
        <f t="shared" si="74"/>
        <v>0</v>
      </c>
      <c r="AP202" s="47" t="e">
        <f t="shared" si="75"/>
        <v>#DIV/0!</v>
      </c>
    </row>
    <row r="203" spans="2:42">
      <c r="B203" s="9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57"/>
        <v>0</v>
      </c>
      <c r="U203" s="47">
        <f t="shared" si="58"/>
        <v>0</v>
      </c>
      <c r="V203" s="48">
        <f t="shared" si="59"/>
        <v>0</v>
      </c>
      <c r="W203" s="49">
        <f t="shared" si="60"/>
        <v>0</v>
      </c>
      <c r="X203" s="44">
        <f t="shared" si="61"/>
        <v>0</v>
      </c>
      <c r="Y203" s="44">
        <f t="shared" si="62"/>
        <v>0</v>
      </c>
      <c r="Z203" s="44">
        <f t="shared" si="63"/>
        <v>0</v>
      </c>
      <c r="AA203" s="50">
        <f t="shared" si="64"/>
        <v>0</v>
      </c>
      <c r="AB203" s="51">
        <f t="shared" si="65"/>
        <v>0</v>
      </c>
      <c r="AC203" s="44">
        <f t="shared" si="66"/>
        <v>0</v>
      </c>
      <c r="AD203" s="44">
        <f t="shared" si="67"/>
        <v>0</v>
      </c>
      <c r="AE203" s="44">
        <f t="shared" si="68"/>
        <v>0</v>
      </c>
      <c r="AF203" s="52" t="e">
        <f>HLOOKUP(I203,GasAvoidedCostsWOCC!$A$5:$G$50,G203+1,FALSE)</f>
        <v>#N/A</v>
      </c>
      <c r="AG203" s="44" t="e">
        <f t="shared" si="69"/>
        <v>#N/A</v>
      </c>
      <c r="AH203" s="52" t="e">
        <f>HLOOKUP(I203,GasAvoidedCostsWOCC!$A$5:$Q$50,T203+1,FALSE)</f>
        <v>#N/A</v>
      </c>
      <c r="AI203" s="44" t="e">
        <f t="shared" si="70"/>
        <v>#N/A</v>
      </c>
      <c r="AJ203" s="44" t="e">
        <f t="shared" si="71"/>
        <v>#N/A</v>
      </c>
      <c r="AK203" s="44" t="e">
        <f>HLOOKUP(I203,GasAvoidedCostsWOCC!$A$5:$Q$50,G203+1,FALSE)*J203*L203</f>
        <v>#N/A</v>
      </c>
      <c r="AL203" s="44" t="e">
        <f t="shared" si="72"/>
        <v>#N/A</v>
      </c>
      <c r="AM203" s="48">
        <f>IF(O203=0,0,IF(H203=0, HLOOKUP(I203,GasAvoidedCostsWOCC!$A$5:$Q$50,T203+1,FALSE)*K203*J203,HLOOKUP(I203,GasAvoidedCostsWOCC!$A$5:$Q$50,T203+1,FALSE)*L203*J203+HLOOKUP(I203,GasAvoidedCostsWOCC!$A$5:$Q$50,G203+1,FALSE)*K203*J203-HLOOKUP(I203,GasAvoidedCostsWOCC!$A$5:$Q$50,G203+1,FALSE)*L203*J203))</f>
        <v>0</v>
      </c>
      <c r="AN203" s="48">
        <f t="shared" si="73"/>
        <v>0</v>
      </c>
      <c r="AO203" s="47">
        <f t="shared" si="74"/>
        <v>0</v>
      </c>
      <c r="AP203" s="47" t="e">
        <f t="shared" si="75"/>
        <v>#DIV/0!</v>
      </c>
    </row>
    <row r="204" spans="2:42">
      <c r="B204" s="9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57"/>
        <v>0</v>
      </c>
      <c r="U204" s="47">
        <f t="shared" si="58"/>
        <v>0</v>
      </c>
      <c r="V204" s="48">
        <f t="shared" si="59"/>
        <v>0</v>
      </c>
      <c r="W204" s="49">
        <f t="shared" si="60"/>
        <v>0</v>
      </c>
      <c r="X204" s="44">
        <f t="shared" si="61"/>
        <v>0</v>
      </c>
      <c r="Y204" s="44">
        <f t="shared" si="62"/>
        <v>0</v>
      </c>
      <c r="Z204" s="44">
        <f t="shared" si="63"/>
        <v>0</v>
      </c>
      <c r="AA204" s="50">
        <f t="shared" si="64"/>
        <v>0</v>
      </c>
      <c r="AB204" s="51">
        <f t="shared" si="65"/>
        <v>0</v>
      </c>
      <c r="AC204" s="44">
        <f t="shared" si="66"/>
        <v>0</v>
      </c>
      <c r="AD204" s="44">
        <f t="shared" si="67"/>
        <v>0</v>
      </c>
      <c r="AE204" s="44">
        <f t="shared" si="68"/>
        <v>0</v>
      </c>
      <c r="AF204" s="52" t="e">
        <f>HLOOKUP(I204,GasAvoidedCostsWOCC!$A$5:$G$50,G204+1,FALSE)</f>
        <v>#N/A</v>
      </c>
      <c r="AG204" s="44" t="e">
        <f t="shared" si="69"/>
        <v>#N/A</v>
      </c>
      <c r="AH204" s="52" t="e">
        <f>HLOOKUP(I204,GasAvoidedCostsWOCC!$A$5:$Q$50,T204+1,FALSE)</f>
        <v>#N/A</v>
      </c>
      <c r="AI204" s="44" t="e">
        <f t="shared" si="70"/>
        <v>#N/A</v>
      </c>
      <c r="AJ204" s="44" t="e">
        <f t="shared" si="71"/>
        <v>#N/A</v>
      </c>
      <c r="AK204" s="44" t="e">
        <f>HLOOKUP(I204,GasAvoidedCostsWOCC!$A$5:$Q$50,G204+1,FALSE)*J204*L204</f>
        <v>#N/A</v>
      </c>
      <c r="AL204" s="44" t="e">
        <f t="shared" si="72"/>
        <v>#N/A</v>
      </c>
      <c r="AM204" s="48">
        <f>IF(O204=0,0,IF(H204=0, HLOOKUP(I204,GasAvoidedCostsWOCC!$A$5:$Q$50,T204+1,FALSE)*K204*J204,HLOOKUP(I204,GasAvoidedCostsWOCC!$A$5:$Q$50,T204+1,FALSE)*L204*J204+HLOOKUP(I204,GasAvoidedCostsWOCC!$A$5:$Q$50,G204+1,FALSE)*K204*J204-HLOOKUP(I204,GasAvoidedCostsWOCC!$A$5:$Q$50,G204+1,FALSE)*L204*J204))</f>
        <v>0</v>
      </c>
      <c r="AN204" s="48">
        <f t="shared" si="73"/>
        <v>0</v>
      </c>
      <c r="AO204" s="47">
        <f t="shared" si="74"/>
        <v>0</v>
      </c>
      <c r="AP204" s="47" t="e">
        <f t="shared" si="75"/>
        <v>#DIV/0!</v>
      </c>
    </row>
    <row r="205" spans="2:42">
      <c r="B205" s="9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57"/>
        <v>0</v>
      </c>
      <c r="U205" s="47">
        <f t="shared" si="58"/>
        <v>0</v>
      </c>
      <c r="V205" s="48">
        <f t="shared" si="59"/>
        <v>0</v>
      </c>
      <c r="W205" s="49">
        <f t="shared" si="60"/>
        <v>0</v>
      </c>
      <c r="X205" s="44">
        <f t="shared" si="61"/>
        <v>0</v>
      </c>
      <c r="Y205" s="44">
        <f t="shared" si="62"/>
        <v>0</v>
      </c>
      <c r="Z205" s="44">
        <f t="shared" si="63"/>
        <v>0</v>
      </c>
      <c r="AA205" s="50">
        <f t="shared" si="64"/>
        <v>0</v>
      </c>
      <c r="AB205" s="51">
        <f t="shared" si="65"/>
        <v>0</v>
      </c>
      <c r="AC205" s="44">
        <f t="shared" si="66"/>
        <v>0</v>
      </c>
      <c r="AD205" s="44">
        <f t="shared" si="67"/>
        <v>0</v>
      </c>
      <c r="AE205" s="44">
        <f t="shared" si="68"/>
        <v>0</v>
      </c>
      <c r="AF205" s="52" t="e">
        <f>HLOOKUP(I205,GasAvoidedCostsWOCC!$A$5:$G$50,G205+1,FALSE)</f>
        <v>#N/A</v>
      </c>
      <c r="AG205" s="44" t="e">
        <f t="shared" si="69"/>
        <v>#N/A</v>
      </c>
      <c r="AH205" s="52" t="e">
        <f>HLOOKUP(I205,GasAvoidedCostsWOCC!$A$5:$Q$50,T205+1,FALSE)</f>
        <v>#N/A</v>
      </c>
      <c r="AI205" s="44" t="e">
        <f t="shared" si="70"/>
        <v>#N/A</v>
      </c>
      <c r="AJ205" s="44" t="e">
        <f t="shared" si="71"/>
        <v>#N/A</v>
      </c>
      <c r="AK205" s="44" t="e">
        <f>HLOOKUP(I205,GasAvoidedCostsWOCC!$A$5:$Q$50,G205+1,FALSE)*J205*L205</f>
        <v>#N/A</v>
      </c>
      <c r="AL205" s="44" t="e">
        <f t="shared" si="72"/>
        <v>#N/A</v>
      </c>
      <c r="AM205" s="48">
        <f>IF(O205=0,0,IF(H205=0, HLOOKUP(I205,GasAvoidedCostsWOCC!$A$5:$Q$50,T205+1,FALSE)*K205*J205,HLOOKUP(I205,GasAvoidedCostsWOCC!$A$5:$Q$50,T205+1,FALSE)*L205*J205+HLOOKUP(I205,GasAvoidedCostsWOCC!$A$5:$Q$50,G205+1,FALSE)*K205*J205-HLOOKUP(I205,GasAvoidedCostsWOCC!$A$5:$Q$50,G205+1,FALSE)*L205*J205))</f>
        <v>0</v>
      </c>
      <c r="AN205" s="48">
        <f t="shared" si="73"/>
        <v>0</v>
      </c>
      <c r="AO205" s="47">
        <f t="shared" si="74"/>
        <v>0</v>
      </c>
      <c r="AP205" s="47" t="e">
        <f t="shared" si="75"/>
        <v>#DIV/0!</v>
      </c>
    </row>
    <row r="206" spans="2:42">
      <c r="B206" s="9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57"/>
        <v>0</v>
      </c>
      <c r="U206" s="47">
        <f t="shared" si="58"/>
        <v>0</v>
      </c>
      <c r="V206" s="48">
        <f t="shared" si="59"/>
        <v>0</v>
      </c>
      <c r="W206" s="49">
        <f t="shared" si="60"/>
        <v>0</v>
      </c>
      <c r="X206" s="44">
        <f t="shared" si="61"/>
        <v>0</v>
      </c>
      <c r="Y206" s="44">
        <f t="shared" si="62"/>
        <v>0</v>
      </c>
      <c r="Z206" s="44">
        <f t="shared" si="63"/>
        <v>0</v>
      </c>
      <c r="AA206" s="50">
        <f t="shared" si="64"/>
        <v>0</v>
      </c>
      <c r="AB206" s="51">
        <f t="shared" si="65"/>
        <v>0</v>
      </c>
      <c r="AC206" s="44">
        <f t="shared" si="66"/>
        <v>0</v>
      </c>
      <c r="AD206" s="44">
        <f t="shared" si="67"/>
        <v>0</v>
      </c>
      <c r="AE206" s="44">
        <f t="shared" si="68"/>
        <v>0</v>
      </c>
      <c r="AF206" s="52" t="e">
        <f>HLOOKUP(I206,GasAvoidedCostsWOCC!$A$5:$G$50,G206+1,FALSE)</f>
        <v>#N/A</v>
      </c>
      <c r="AG206" s="44" t="e">
        <f t="shared" si="69"/>
        <v>#N/A</v>
      </c>
      <c r="AH206" s="52" t="e">
        <f>HLOOKUP(I206,GasAvoidedCostsWOCC!$A$5:$Q$50,T206+1,FALSE)</f>
        <v>#N/A</v>
      </c>
      <c r="AI206" s="44" t="e">
        <f t="shared" si="70"/>
        <v>#N/A</v>
      </c>
      <c r="AJ206" s="44" t="e">
        <f t="shared" si="71"/>
        <v>#N/A</v>
      </c>
      <c r="AK206" s="44" t="e">
        <f>HLOOKUP(I206,GasAvoidedCostsWOCC!$A$5:$Q$50,G206+1,FALSE)*J206*L206</f>
        <v>#N/A</v>
      </c>
      <c r="AL206" s="44" t="e">
        <f t="shared" si="72"/>
        <v>#N/A</v>
      </c>
      <c r="AM206" s="48">
        <f>IF(O206=0,0,IF(H206=0, HLOOKUP(I206,GasAvoidedCostsWOCC!$A$5:$Q$50,T206+1,FALSE)*K206*J206,HLOOKUP(I206,GasAvoidedCostsWOCC!$A$5:$Q$50,T206+1,FALSE)*L206*J206+HLOOKUP(I206,GasAvoidedCostsWOCC!$A$5:$Q$50,G206+1,FALSE)*K206*J206-HLOOKUP(I206,GasAvoidedCostsWOCC!$A$5:$Q$50,G206+1,FALSE)*L206*J206))</f>
        <v>0</v>
      </c>
      <c r="AN206" s="48">
        <f t="shared" si="73"/>
        <v>0</v>
      </c>
      <c r="AO206" s="47">
        <f t="shared" si="74"/>
        <v>0</v>
      </c>
      <c r="AP206" s="47" t="e">
        <f t="shared" si="75"/>
        <v>#DIV/0!</v>
      </c>
    </row>
    <row r="207" spans="2:42">
      <c r="B207" s="9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57"/>
        <v>0</v>
      </c>
      <c r="U207" s="47">
        <f t="shared" si="58"/>
        <v>0</v>
      </c>
      <c r="V207" s="48">
        <f t="shared" si="59"/>
        <v>0</v>
      </c>
      <c r="W207" s="49">
        <f t="shared" si="60"/>
        <v>0</v>
      </c>
      <c r="X207" s="44">
        <f t="shared" si="61"/>
        <v>0</v>
      </c>
      <c r="Y207" s="44">
        <f t="shared" si="62"/>
        <v>0</v>
      </c>
      <c r="Z207" s="44">
        <f t="shared" si="63"/>
        <v>0</v>
      </c>
      <c r="AA207" s="50">
        <f t="shared" si="64"/>
        <v>0</v>
      </c>
      <c r="AB207" s="51">
        <f t="shared" si="65"/>
        <v>0</v>
      </c>
      <c r="AC207" s="44">
        <f t="shared" si="66"/>
        <v>0</v>
      </c>
      <c r="AD207" s="44">
        <f t="shared" si="67"/>
        <v>0</v>
      </c>
      <c r="AE207" s="44">
        <f t="shared" si="68"/>
        <v>0</v>
      </c>
      <c r="AF207" s="52" t="e">
        <f>HLOOKUP(I207,GasAvoidedCostsWOCC!$A$5:$G$50,G207+1,FALSE)</f>
        <v>#N/A</v>
      </c>
      <c r="AG207" s="44" t="e">
        <f t="shared" si="69"/>
        <v>#N/A</v>
      </c>
      <c r="AH207" s="52" t="e">
        <f>HLOOKUP(I207,GasAvoidedCostsWOCC!$A$5:$Q$50,T207+1,FALSE)</f>
        <v>#N/A</v>
      </c>
      <c r="AI207" s="44" t="e">
        <f t="shared" si="70"/>
        <v>#N/A</v>
      </c>
      <c r="AJ207" s="44" t="e">
        <f t="shared" si="71"/>
        <v>#N/A</v>
      </c>
      <c r="AK207" s="44" t="e">
        <f>HLOOKUP(I207,GasAvoidedCostsWOCC!$A$5:$Q$50,G207+1,FALSE)*J207*L207</f>
        <v>#N/A</v>
      </c>
      <c r="AL207" s="44" t="e">
        <f t="shared" si="72"/>
        <v>#N/A</v>
      </c>
      <c r="AM207" s="48">
        <f>IF(O207=0,0,IF(H207=0, HLOOKUP(I207,GasAvoidedCostsWOCC!$A$5:$Q$50,T207+1,FALSE)*K207*J207,HLOOKUP(I207,GasAvoidedCostsWOCC!$A$5:$Q$50,T207+1,FALSE)*L207*J207+HLOOKUP(I207,GasAvoidedCostsWOCC!$A$5:$Q$50,G207+1,FALSE)*K207*J207-HLOOKUP(I207,GasAvoidedCostsWOCC!$A$5:$Q$50,G207+1,FALSE)*L207*J207))</f>
        <v>0</v>
      </c>
      <c r="AN207" s="48">
        <f t="shared" si="73"/>
        <v>0</v>
      </c>
      <c r="AO207" s="47">
        <f t="shared" si="74"/>
        <v>0</v>
      </c>
      <c r="AP207" s="47" t="e">
        <f t="shared" si="75"/>
        <v>#DIV/0!</v>
      </c>
    </row>
    <row r="208" spans="2:42">
      <c r="B208" s="9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57"/>
        <v>0</v>
      </c>
      <c r="U208" s="47">
        <f t="shared" si="58"/>
        <v>0</v>
      </c>
      <c r="V208" s="48">
        <f t="shared" si="59"/>
        <v>0</v>
      </c>
      <c r="W208" s="49">
        <f t="shared" si="60"/>
        <v>0</v>
      </c>
      <c r="X208" s="44">
        <f t="shared" si="61"/>
        <v>0</v>
      </c>
      <c r="Y208" s="44">
        <f t="shared" si="62"/>
        <v>0</v>
      </c>
      <c r="Z208" s="44">
        <f t="shared" si="63"/>
        <v>0</v>
      </c>
      <c r="AA208" s="50">
        <f t="shared" si="64"/>
        <v>0</v>
      </c>
      <c r="AB208" s="51">
        <f t="shared" si="65"/>
        <v>0</v>
      </c>
      <c r="AC208" s="44">
        <f t="shared" si="66"/>
        <v>0</v>
      </c>
      <c r="AD208" s="44">
        <f t="shared" si="67"/>
        <v>0</v>
      </c>
      <c r="AE208" s="44">
        <f t="shared" si="68"/>
        <v>0</v>
      </c>
      <c r="AF208" s="52" t="e">
        <f>HLOOKUP(I208,GasAvoidedCostsWOCC!$A$5:$G$50,G208+1,FALSE)</f>
        <v>#N/A</v>
      </c>
      <c r="AG208" s="44" t="e">
        <f t="shared" si="69"/>
        <v>#N/A</v>
      </c>
      <c r="AH208" s="52" t="e">
        <f>HLOOKUP(I208,GasAvoidedCostsWOCC!$A$5:$Q$50,T208+1,FALSE)</f>
        <v>#N/A</v>
      </c>
      <c r="AI208" s="44" t="e">
        <f t="shared" si="70"/>
        <v>#N/A</v>
      </c>
      <c r="AJ208" s="44" t="e">
        <f t="shared" si="71"/>
        <v>#N/A</v>
      </c>
      <c r="AK208" s="44" t="e">
        <f>HLOOKUP(I208,GasAvoidedCostsWOCC!$A$5:$Q$50,G208+1,FALSE)*J208*L208</f>
        <v>#N/A</v>
      </c>
      <c r="AL208" s="44" t="e">
        <f t="shared" si="72"/>
        <v>#N/A</v>
      </c>
      <c r="AM208" s="48">
        <f>IF(O208=0,0,IF(H208=0, HLOOKUP(I208,GasAvoidedCostsWOCC!$A$5:$Q$50,T208+1,FALSE)*K208*J208,HLOOKUP(I208,GasAvoidedCostsWOCC!$A$5:$Q$50,T208+1,FALSE)*L208*J208+HLOOKUP(I208,GasAvoidedCostsWOCC!$A$5:$Q$50,G208+1,FALSE)*K208*J208-HLOOKUP(I208,GasAvoidedCostsWOCC!$A$5:$Q$50,G208+1,FALSE)*L208*J208))</f>
        <v>0</v>
      </c>
      <c r="AN208" s="48">
        <f t="shared" si="73"/>
        <v>0</v>
      </c>
      <c r="AO208" s="47">
        <f t="shared" si="74"/>
        <v>0</v>
      </c>
      <c r="AP208" s="47" t="e">
        <f t="shared" si="75"/>
        <v>#DIV/0!</v>
      </c>
    </row>
    <row r="209" spans="2:42">
      <c r="B209" s="9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ref="T209:T215" si="76">G209+H209</f>
        <v>0</v>
      </c>
      <c r="U209" s="47">
        <f t="shared" ref="U209:U215" si="77">(O209/$A$10)*T209</f>
        <v>0</v>
      </c>
      <c r="V209" s="48">
        <f t="shared" ref="V209:V215" si="78">N209-M209</f>
        <v>0</v>
      </c>
      <c r="W209" s="49">
        <f t="shared" ref="W209:W215" si="79">(O209/A$10)</f>
        <v>0</v>
      </c>
      <c r="X209" s="44">
        <f t="shared" ref="X209:X215" si="80">W209*A$8</f>
        <v>0</v>
      </c>
      <c r="Y209" s="44">
        <f t="shared" ref="Y209:Y215" si="81">Q209-P209</f>
        <v>0</v>
      </c>
      <c r="Z209" s="44">
        <f t="shared" ref="Z209:Z215" si="82">X209+(A$6*W209)</f>
        <v>0</v>
      </c>
      <c r="AA209" s="50">
        <f t="shared" ref="AA209:AA215" si="83">Q209+X209</f>
        <v>0</v>
      </c>
      <c r="AB209" s="51">
        <f t="shared" ref="AB209:AB215" si="84">Z209/(1+GasDiscountRate)^1</f>
        <v>0</v>
      </c>
      <c r="AC209" s="44">
        <f t="shared" ref="AC209:AC215" si="85">AA209/(1+GasDiscountRate)^1</f>
        <v>0</v>
      </c>
      <c r="AD209" s="44">
        <f t="shared" ref="AD209:AD215" si="86">-PV(GasDiscountRate,T209,R209)*J209</f>
        <v>0</v>
      </c>
      <c r="AE209" s="44">
        <f t="shared" ref="AE209:AE215" si="87">-PV(GasDiscountRate,T209,S209)*J209</f>
        <v>0</v>
      </c>
      <c r="AF209" s="52" t="e">
        <f>HLOOKUP(I209,GasAvoidedCostsWOCC!$A$5:$G$50,G209+1,FALSE)</f>
        <v>#N/A</v>
      </c>
      <c r="AG209" s="44" t="e">
        <f t="shared" ref="AG209:AG215" si="88">AF209*J209*K209</f>
        <v>#N/A</v>
      </c>
      <c r="AH209" s="52" t="e">
        <f>HLOOKUP(I209,GasAvoidedCostsWOCC!$A$5:$Q$50,T209+1,FALSE)</f>
        <v>#N/A</v>
      </c>
      <c r="AI209" s="44" t="e">
        <f t="shared" ref="AI209:AI215" si="89">AH209*J209*L209</f>
        <v>#N/A</v>
      </c>
      <c r="AJ209" s="44" t="e">
        <f t="shared" ref="AJ209:AJ215" si="90">AG209+AI209</f>
        <v>#N/A</v>
      </c>
      <c r="AK209" s="44" t="e">
        <f>HLOOKUP(I209,GasAvoidedCostsWOCC!$A$5:$Q$50,G209+1,FALSE)*J209*L209</f>
        <v>#N/A</v>
      </c>
      <c r="AL209" s="44" t="e">
        <f t="shared" ref="AL209:AL215" si="91">AG209+AI209-AK209</f>
        <v>#N/A</v>
      </c>
      <c r="AM209" s="48">
        <f>IF(O209=0,0,IF(H209=0, HLOOKUP(I209,GasAvoidedCostsWOCC!$A$5:$Q$50,T209+1,FALSE)*K209*J209,HLOOKUP(I209,GasAvoidedCostsWOCC!$A$5:$Q$50,T209+1,FALSE)*L209*J209+HLOOKUP(I209,GasAvoidedCostsWOCC!$A$5:$Q$50,G209+1,FALSE)*K209*J209-HLOOKUP(I209,GasAvoidedCostsWOCC!$A$5:$Q$50,G209+1,FALSE)*L209*J209))</f>
        <v>0</v>
      </c>
      <c r="AN209" s="48">
        <f t="shared" ref="AN209:AN215" si="92">AM209*1.1+AD209+AE209</f>
        <v>0</v>
      </c>
      <c r="AO209" s="47">
        <f t="shared" ref="AO209:AO215" si="93">IFERROR(AM209/AB209,0)</f>
        <v>0</v>
      </c>
      <c r="AP209" s="47" t="e">
        <f t="shared" ref="AP209:AP215" si="94">AN209/AC209</f>
        <v>#DIV/0!</v>
      </c>
    </row>
    <row r="210" spans="2:42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76"/>
        <v>0</v>
      </c>
      <c r="U210" s="47">
        <f t="shared" si="77"/>
        <v>0</v>
      </c>
      <c r="V210" s="48">
        <f t="shared" si="78"/>
        <v>0</v>
      </c>
      <c r="W210" s="49">
        <f t="shared" si="79"/>
        <v>0</v>
      </c>
      <c r="X210" s="44">
        <f t="shared" si="80"/>
        <v>0</v>
      </c>
      <c r="Y210" s="44">
        <f t="shared" si="81"/>
        <v>0</v>
      </c>
      <c r="Z210" s="44">
        <f t="shared" si="82"/>
        <v>0</v>
      </c>
      <c r="AA210" s="50">
        <f t="shared" si="83"/>
        <v>0</v>
      </c>
      <c r="AB210" s="51">
        <f t="shared" si="84"/>
        <v>0</v>
      </c>
      <c r="AC210" s="44">
        <f t="shared" si="85"/>
        <v>0</v>
      </c>
      <c r="AD210" s="44">
        <f t="shared" si="86"/>
        <v>0</v>
      </c>
      <c r="AE210" s="44">
        <f t="shared" si="87"/>
        <v>0</v>
      </c>
      <c r="AF210" s="52" t="e">
        <f>HLOOKUP(I210,GasAvoidedCostsWOCC!$A$5:$G$50,G210+1,FALSE)</f>
        <v>#N/A</v>
      </c>
      <c r="AG210" s="44" t="e">
        <f t="shared" si="88"/>
        <v>#N/A</v>
      </c>
      <c r="AH210" s="52" t="e">
        <f>HLOOKUP(I210,GasAvoidedCostsWOCC!$A$5:$Q$50,T210+1,FALSE)</f>
        <v>#N/A</v>
      </c>
      <c r="AI210" s="44" t="e">
        <f t="shared" si="89"/>
        <v>#N/A</v>
      </c>
      <c r="AJ210" s="44" t="e">
        <f t="shared" si="90"/>
        <v>#N/A</v>
      </c>
      <c r="AK210" s="44" t="e">
        <f>HLOOKUP(I210,GasAvoidedCostsWOCC!$A$5:$Q$50,G210+1,FALSE)*J210*L210</f>
        <v>#N/A</v>
      </c>
      <c r="AL210" s="44" t="e">
        <f t="shared" si="91"/>
        <v>#N/A</v>
      </c>
      <c r="AM210" s="48">
        <f>IF(O210=0,0,IF(H210=0, HLOOKUP(I210,GasAvoidedCostsWOCC!$A$5:$Q$50,T210+1,FALSE)*K210*J210,HLOOKUP(I210,GasAvoidedCostsWOCC!$A$5:$Q$50,T210+1,FALSE)*L210*J210+HLOOKUP(I210,GasAvoidedCostsWOCC!$A$5:$Q$50,G210+1,FALSE)*K210*J210-HLOOKUP(I210,GasAvoidedCostsWOCC!$A$5:$Q$50,G210+1,FALSE)*L210*J210))</f>
        <v>0</v>
      </c>
      <c r="AN210" s="48">
        <f t="shared" si="92"/>
        <v>0</v>
      </c>
      <c r="AO210" s="47">
        <f t="shared" si="93"/>
        <v>0</v>
      </c>
      <c r="AP210" s="47" t="e">
        <f t="shared" si="94"/>
        <v>#DIV/0!</v>
      </c>
    </row>
    <row r="211" spans="2:42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76"/>
        <v>0</v>
      </c>
      <c r="U211" s="47">
        <f t="shared" si="77"/>
        <v>0</v>
      </c>
      <c r="V211" s="48">
        <f t="shared" si="78"/>
        <v>0</v>
      </c>
      <c r="W211" s="49">
        <f t="shared" si="79"/>
        <v>0</v>
      </c>
      <c r="X211" s="44">
        <f t="shared" si="80"/>
        <v>0</v>
      </c>
      <c r="Y211" s="44">
        <f t="shared" si="81"/>
        <v>0</v>
      </c>
      <c r="Z211" s="44">
        <f t="shared" si="82"/>
        <v>0</v>
      </c>
      <c r="AA211" s="50">
        <f t="shared" si="83"/>
        <v>0</v>
      </c>
      <c r="AB211" s="51">
        <f t="shared" si="84"/>
        <v>0</v>
      </c>
      <c r="AC211" s="44">
        <f t="shared" si="85"/>
        <v>0</v>
      </c>
      <c r="AD211" s="44">
        <f t="shared" si="86"/>
        <v>0</v>
      </c>
      <c r="AE211" s="44">
        <f t="shared" si="87"/>
        <v>0</v>
      </c>
      <c r="AF211" s="52" t="e">
        <f>HLOOKUP(I211,GasAvoidedCostsWOCC!$A$5:$G$50,G211+1,FALSE)</f>
        <v>#N/A</v>
      </c>
      <c r="AG211" s="44" t="e">
        <f t="shared" si="88"/>
        <v>#N/A</v>
      </c>
      <c r="AH211" s="52" t="e">
        <f>HLOOKUP(I211,GasAvoidedCostsWOCC!$A$5:$Q$50,T211+1,FALSE)</f>
        <v>#N/A</v>
      </c>
      <c r="AI211" s="44" t="e">
        <f t="shared" si="89"/>
        <v>#N/A</v>
      </c>
      <c r="AJ211" s="44" t="e">
        <f t="shared" si="90"/>
        <v>#N/A</v>
      </c>
      <c r="AK211" s="44" t="e">
        <f>HLOOKUP(I211,GasAvoidedCostsWOCC!$A$5:$Q$50,G211+1,FALSE)*J211*L211</f>
        <v>#N/A</v>
      </c>
      <c r="AL211" s="44" t="e">
        <f t="shared" si="91"/>
        <v>#N/A</v>
      </c>
      <c r="AM211" s="48">
        <f>IF(O211=0,0,IF(H211=0, HLOOKUP(I211,GasAvoidedCostsWOCC!$A$5:$Q$50,T211+1,FALSE)*K211*J211,HLOOKUP(I211,GasAvoidedCostsWOCC!$A$5:$Q$50,T211+1,FALSE)*L211*J211+HLOOKUP(I211,GasAvoidedCostsWOCC!$A$5:$Q$50,G211+1,FALSE)*K211*J211-HLOOKUP(I211,GasAvoidedCostsWOCC!$A$5:$Q$50,G211+1,FALSE)*L211*J211))</f>
        <v>0</v>
      </c>
      <c r="AN211" s="48">
        <f t="shared" si="92"/>
        <v>0</v>
      </c>
      <c r="AO211" s="47">
        <f t="shared" si="93"/>
        <v>0</v>
      </c>
      <c r="AP211" s="47" t="e">
        <f t="shared" si="94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76"/>
        <v>0</v>
      </c>
      <c r="U212" s="47">
        <f t="shared" si="77"/>
        <v>0</v>
      </c>
      <c r="V212" s="48">
        <f t="shared" si="78"/>
        <v>0</v>
      </c>
      <c r="W212" s="49">
        <f t="shared" si="79"/>
        <v>0</v>
      </c>
      <c r="X212" s="44">
        <f t="shared" si="80"/>
        <v>0</v>
      </c>
      <c r="Y212" s="44">
        <f t="shared" si="81"/>
        <v>0</v>
      </c>
      <c r="Z212" s="44">
        <f t="shared" si="82"/>
        <v>0</v>
      </c>
      <c r="AA212" s="50">
        <f t="shared" si="83"/>
        <v>0</v>
      </c>
      <c r="AB212" s="51">
        <f t="shared" si="84"/>
        <v>0</v>
      </c>
      <c r="AC212" s="44">
        <f t="shared" si="85"/>
        <v>0</v>
      </c>
      <c r="AD212" s="44">
        <f t="shared" si="86"/>
        <v>0</v>
      </c>
      <c r="AE212" s="44">
        <f t="shared" si="87"/>
        <v>0</v>
      </c>
      <c r="AF212" s="52" t="e">
        <f>HLOOKUP(I212,GasAvoidedCostsWOCC!$A$5:$G$50,G212+1,FALSE)</f>
        <v>#N/A</v>
      </c>
      <c r="AG212" s="44" t="e">
        <f t="shared" si="88"/>
        <v>#N/A</v>
      </c>
      <c r="AH212" s="52" t="e">
        <f>HLOOKUP(I212,GasAvoidedCostsWOCC!$A$5:$Q$50,T212+1,FALSE)</f>
        <v>#N/A</v>
      </c>
      <c r="AI212" s="44" t="e">
        <f t="shared" si="89"/>
        <v>#N/A</v>
      </c>
      <c r="AJ212" s="44" t="e">
        <f t="shared" si="90"/>
        <v>#N/A</v>
      </c>
      <c r="AK212" s="44" t="e">
        <f>HLOOKUP(I212,GasAvoidedCostsWOCC!$A$5:$Q$50,G212+1,FALSE)*J212*L212</f>
        <v>#N/A</v>
      </c>
      <c r="AL212" s="44" t="e">
        <f t="shared" si="91"/>
        <v>#N/A</v>
      </c>
      <c r="AM212" s="48">
        <f>IF(O212=0,0,IF(H212=0, HLOOKUP(I212,GasAvoidedCostsWOCC!$A$5:$Q$50,T212+1,FALSE)*K212*J212,HLOOKUP(I212,GasAvoidedCostsWOCC!$A$5:$Q$50,T212+1,FALSE)*L212*J212+HLOOKUP(I212,GasAvoidedCostsWOCC!$A$5:$Q$50,G212+1,FALSE)*K212*J212-HLOOKUP(I212,GasAvoidedCostsWOCC!$A$5:$Q$50,G212+1,FALSE)*L212*J212))</f>
        <v>0</v>
      </c>
      <c r="AN212" s="48">
        <f t="shared" si="92"/>
        <v>0</v>
      </c>
      <c r="AO212" s="47">
        <f t="shared" si="93"/>
        <v>0</v>
      </c>
      <c r="AP212" s="47" t="e">
        <f t="shared" si="94"/>
        <v>#DIV/0!</v>
      </c>
    </row>
    <row r="213" spans="2:42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76"/>
        <v>0</v>
      </c>
      <c r="U213" s="47">
        <f t="shared" si="77"/>
        <v>0</v>
      </c>
      <c r="V213" s="48">
        <f t="shared" si="78"/>
        <v>0</v>
      </c>
      <c r="W213" s="49">
        <f t="shared" si="79"/>
        <v>0</v>
      </c>
      <c r="X213" s="44">
        <f t="shared" si="80"/>
        <v>0</v>
      </c>
      <c r="Y213" s="44">
        <f t="shared" si="81"/>
        <v>0</v>
      </c>
      <c r="Z213" s="44">
        <f t="shared" si="82"/>
        <v>0</v>
      </c>
      <c r="AA213" s="50">
        <f t="shared" si="83"/>
        <v>0</v>
      </c>
      <c r="AB213" s="51">
        <f t="shared" si="84"/>
        <v>0</v>
      </c>
      <c r="AC213" s="44">
        <f t="shared" si="85"/>
        <v>0</v>
      </c>
      <c r="AD213" s="44">
        <f t="shared" si="86"/>
        <v>0</v>
      </c>
      <c r="AE213" s="44">
        <f t="shared" si="87"/>
        <v>0</v>
      </c>
      <c r="AF213" s="52" t="e">
        <f>HLOOKUP(I213,GasAvoidedCostsWOCC!$A$5:$G$50,G213+1,FALSE)</f>
        <v>#N/A</v>
      </c>
      <c r="AG213" s="44" t="e">
        <f t="shared" si="88"/>
        <v>#N/A</v>
      </c>
      <c r="AH213" s="52" t="e">
        <f>HLOOKUP(I213,GasAvoidedCostsWOCC!$A$5:$Q$50,T213+1,FALSE)</f>
        <v>#N/A</v>
      </c>
      <c r="AI213" s="44" t="e">
        <f t="shared" si="89"/>
        <v>#N/A</v>
      </c>
      <c r="AJ213" s="44" t="e">
        <f t="shared" si="90"/>
        <v>#N/A</v>
      </c>
      <c r="AK213" s="44" t="e">
        <f>HLOOKUP(I213,GasAvoidedCostsWOCC!$A$5:$Q$50,G213+1,FALSE)*J213*L213</f>
        <v>#N/A</v>
      </c>
      <c r="AL213" s="44" t="e">
        <f t="shared" si="91"/>
        <v>#N/A</v>
      </c>
      <c r="AM213" s="48">
        <f>IF(O213=0,0,IF(H213=0, HLOOKUP(I213,GasAvoidedCostsWOCC!$A$5:$Q$50,T213+1,FALSE)*K213*J213,HLOOKUP(I213,GasAvoidedCostsWOCC!$A$5:$Q$50,T213+1,FALSE)*L213*J213+HLOOKUP(I213,GasAvoidedCostsWOCC!$A$5:$Q$50,G213+1,FALSE)*K213*J213-HLOOKUP(I213,GasAvoidedCostsWOCC!$A$5:$Q$50,G213+1,FALSE)*L213*J213))</f>
        <v>0</v>
      </c>
      <c r="AN213" s="48">
        <f t="shared" si="92"/>
        <v>0</v>
      </c>
      <c r="AO213" s="47">
        <f t="shared" si="93"/>
        <v>0</v>
      </c>
      <c r="AP213" s="47" t="e">
        <f t="shared" si="94"/>
        <v>#DIV/0!</v>
      </c>
    </row>
    <row r="214" spans="2:42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76"/>
        <v>0</v>
      </c>
      <c r="U214" s="47">
        <f t="shared" si="77"/>
        <v>0</v>
      </c>
      <c r="V214" s="48">
        <f t="shared" si="78"/>
        <v>0</v>
      </c>
      <c r="W214" s="49">
        <f t="shared" si="79"/>
        <v>0</v>
      </c>
      <c r="X214" s="44">
        <f t="shared" si="80"/>
        <v>0</v>
      </c>
      <c r="Y214" s="44">
        <f t="shared" si="81"/>
        <v>0</v>
      </c>
      <c r="Z214" s="44">
        <f t="shared" si="82"/>
        <v>0</v>
      </c>
      <c r="AA214" s="50">
        <f t="shared" si="83"/>
        <v>0</v>
      </c>
      <c r="AB214" s="51">
        <f t="shared" si="84"/>
        <v>0</v>
      </c>
      <c r="AC214" s="44">
        <f t="shared" si="85"/>
        <v>0</v>
      </c>
      <c r="AD214" s="44">
        <f t="shared" si="86"/>
        <v>0</v>
      </c>
      <c r="AE214" s="44">
        <f t="shared" si="87"/>
        <v>0</v>
      </c>
      <c r="AF214" s="52" t="e">
        <f>HLOOKUP(I214,GasAvoidedCostsWOCC!$A$5:$G$50,G214+1,FALSE)</f>
        <v>#N/A</v>
      </c>
      <c r="AG214" s="44" t="e">
        <f t="shared" si="88"/>
        <v>#N/A</v>
      </c>
      <c r="AH214" s="52" t="e">
        <f>HLOOKUP(I214,GasAvoidedCostsWOCC!$A$5:$Q$50,T214+1,FALSE)</f>
        <v>#N/A</v>
      </c>
      <c r="AI214" s="44" t="e">
        <f t="shared" si="89"/>
        <v>#N/A</v>
      </c>
      <c r="AJ214" s="44" t="e">
        <f t="shared" si="90"/>
        <v>#N/A</v>
      </c>
      <c r="AK214" s="44" t="e">
        <f>HLOOKUP(I214,GasAvoidedCostsWOCC!$A$5:$Q$50,G214+1,FALSE)*J214*L214</f>
        <v>#N/A</v>
      </c>
      <c r="AL214" s="44" t="e">
        <f t="shared" si="91"/>
        <v>#N/A</v>
      </c>
      <c r="AM214" s="48">
        <f>IF(O214=0,0,IF(H214=0, HLOOKUP(I214,GasAvoidedCostsWOCC!$A$5:$Q$50,T214+1,FALSE)*K214*J214,HLOOKUP(I214,GasAvoidedCostsWOCC!$A$5:$Q$50,T214+1,FALSE)*L214*J214+HLOOKUP(I214,GasAvoidedCostsWOCC!$A$5:$Q$50,G214+1,FALSE)*K214*J214-HLOOKUP(I214,GasAvoidedCostsWOCC!$A$5:$Q$50,G214+1,FALSE)*L214*J214))</f>
        <v>0</v>
      </c>
      <c r="AN214" s="48">
        <f t="shared" si="92"/>
        <v>0</v>
      </c>
      <c r="AO214" s="47">
        <f t="shared" si="93"/>
        <v>0</v>
      </c>
      <c r="AP214" s="47" t="e">
        <f t="shared" si="94"/>
        <v>#DIV/0!</v>
      </c>
    </row>
    <row r="215" spans="2:42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76"/>
        <v>0</v>
      </c>
      <c r="U215" s="47">
        <f t="shared" si="77"/>
        <v>0</v>
      </c>
      <c r="V215" s="48">
        <f t="shared" si="78"/>
        <v>0</v>
      </c>
      <c r="W215" s="49">
        <f t="shared" si="79"/>
        <v>0</v>
      </c>
      <c r="X215" s="44">
        <f t="shared" si="80"/>
        <v>0</v>
      </c>
      <c r="Y215" s="44">
        <f t="shared" si="81"/>
        <v>0</v>
      </c>
      <c r="Z215" s="44">
        <f t="shared" si="82"/>
        <v>0</v>
      </c>
      <c r="AA215" s="50">
        <f t="shared" si="83"/>
        <v>0</v>
      </c>
      <c r="AB215" s="51">
        <f t="shared" si="84"/>
        <v>0</v>
      </c>
      <c r="AC215" s="44">
        <f t="shared" si="85"/>
        <v>0</v>
      </c>
      <c r="AD215" s="44">
        <f t="shared" si="86"/>
        <v>0</v>
      </c>
      <c r="AE215" s="44">
        <f t="shared" si="87"/>
        <v>0</v>
      </c>
      <c r="AF215" s="52" t="e">
        <f>HLOOKUP(I215,GasAvoidedCostsWOCC!$A$5:$G$50,G215+1,FALSE)</f>
        <v>#N/A</v>
      </c>
      <c r="AG215" s="44" t="e">
        <f t="shared" si="88"/>
        <v>#N/A</v>
      </c>
      <c r="AH215" s="52" t="e">
        <f>HLOOKUP(I215,GasAvoidedCostsWOCC!$A$5:$Q$50,T215+1,FALSE)</f>
        <v>#N/A</v>
      </c>
      <c r="AI215" s="44" t="e">
        <f t="shared" si="89"/>
        <v>#N/A</v>
      </c>
      <c r="AJ215" s="44" t="e">
        <f t="shared" si="90"/>
        <v>#N/A</v>
      </c>
      <c r="AK215" s="44" t="e">
        <f>HLOOKUP(I215,GasAvoidedCostsWOCC!$A$5:$Q$50,G215+1,FALSE)*J215*L215</f>
        <v>#N/A</v>
      </c>
      <c r="AL215" s="44" t="e">
        <f t="shared" si="91"/>
        <v>#N/A</v>
      </c>
      <c r="AM215" s="48">
        <f>IF(O215=0,0,IF(H215=0, HLOOKUP(I215,GasAvoidedCostsWOCC!$A$5:$Q$50,T215+1,FALSE)*K215*J215,HLOOKUP(I215,GasAvoidedCostsWOCC!$A$5:$Q$50,T215+1,FALSE)*L215*J215+HLOOKUP(I215,GasAvoidedCostsWOCC!$A$5:$Q$50,G215+1,FALSE)*K215*J215-HLOOKUP(I215,GasAvoidedCostsWOCC!$A$5:$Q$50,G215+1,FALSE)*L215*J215))</f>
        <v>0</v>
      </c>
      <c r="AN215" s="48">
        <f t="shared" si="92"/>
        <v>0</v>
      </c>
      <c r="AO215" s="47">
        <f t="shared" si="93"/>
        <v>0</v>
      </c>
      <c r="AP215" s="47" t="e">
        <f t="shared" si="94"/>
        <v>#DIV/0!</v>
      </c>
    </row>
  </sheetData>
  <conditionalFormatting sqref="J5:L215">
    <cfRule type="expression" dxfId="104" priority="4">
      <formula>ISTEXT(J5)</formula>
    </cfRule>
    <cfRule type="notContainsBlanks" dxfId="103" priority="5">
      <formula>LEN(TRIM(J5))&gt;0</formula>
    </cfRule>
  </conditionalFormatting>
  <conditionalFormatting sqref="M5:N215 R5:S215">
    <cfRule type="expression" dxfId="102" priority="2">
      <formula>ISTEXT(M5)</formula>
    </cfRule>
  </conditionalFormatting>
  <conditionalFormatting sqref="M5:N215 R5:S215">
    <cfRule type="notContainsBlanks" dxfId="101" priority="3">
      <formula>LEN(TRIM(M5))&gt;0</formula>
    </cfRule>
  </conditionalFormatting>
  <conditionalFormatting sqref="R5:S215">
    <cfRule type="expression" dxfId="10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67"/>
  <sheetViews>
    <sheetView zoomScale="85" zoomScaleNormal="85" workbookViewId="0">
      <selection activeCell="F12" sqref="F1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18230738</v>
      </c>
      <c r="D2" s="20" t="s">
        <v>149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18230738</v>
      </c>
      <c r="D5" s="61" t="s">
        <v>149</v>
      </c>
      <c r="E5" s="38" t="s">
        <v>857</v>
      </c>
      <c r="F5" s="39" t="s">
        <v>858</v>
      </c>
      <c r="G5" s="39">
        <v>2</v>
      </c>
      <c r="H5" s="39"/>
      <c r="I5" s="40" t="s">
        <v>265</v>
      </c>
      <c r="J5" s="41">
        <v>251991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2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1.5739315627100203</v>
      </c>
      <c r="AG5" s="44">
        <f t="shared" ref="AG5:AG24" si="11">AF5*J5*K5</f>
        <v>0</v>
      </c>
      <c r="AH5" s="52">
        <f>HLOOKUP(I5,GasAvoidedCostsWOCC!$A$5:$Q$50,T5+1,FALSE)</f>
        <v>1.5739315627100203</v>
      </c>
      <c r="AI5" s="44">
        <f t="shared" ref="AI5:AI24" si="12">AH5*J5*L5</f>
        <v>0</v>
      </c>
      <c r="AJ5" s="44">
        <f>AG5+AI5</f>
        <v>0</v>
      </c>
      <c r="AK5" s="44">
        <f>HLOOKUP(I5,GasAvoidedCostsWOCC!$A$5:$Q$50,G5+1,FALSE)*J5*L5</f>
        <v>0</v>
      </c>
      <c r="AL5" s="44">
        <f>AG5+AI5-AK5</f>
        <v>0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895668.07</v>
      </c>
      <c r="B6" s="97"/>
      <c r="C6" s="99"/>
      <c r="D6" s="100"/>
      <c r="E6" s="38" t="s">
        <v>1709</v>
      </c>
      <c r="F6" s="39" t="s">
        <v>1710</v>
      </c>
      <c r="G6" s="39">
        <v>2</v>
      </c>
      <c r="H6" s="39"/>
      <c r="I6" s="40" t="s">
        <v>265</v>
      </c>
      <c r="J6" s="41">
        <v>150291</v>
      </c>
      <c r="K6" s="41">
        <v>-2.9103605671663639</v>
      </c>
      <c r="L6" s="41"/>
      <c r="M6" s="42">
        <v>2.5</v>
      </c>
      <c r="N6" s="42">
        <v>2.5</v>
      </c>
      <c r="O6" s="43">
        <v>-437401</v>
      </c>
      <c r="P6" s="44">
        <v>375727.5</v>
      </c>
      <c r="Q6" s="44">
        <v>375727.5</v>
      </c>
      <c r="R6" s="45">
        <v>0</v>
      </c>
      <c r="S6" s="46">
        <v>0</v>
      </c>
      <c r="T6" s="39">
        <f t="shared" si="0"/>
        <v>2</v>
      </c>
      <c r="U6" s="47">
        <f t="shared" si="1"/>
        <v>-0.71649230804512221</v>
      </c>
      <c r="V6" s="48">
        <f t="shared" si="2"/>
        <v>0</v>
      </c>
      <c r="W6" s="49">
        <f t="shared" si="3"/>
        <v>-0.3582461540225611</v>
      </c>
      <c r="X6" s="44">
        <f t="shared" si="4"/>
        <v>-338945.1731721338</v>
      </c>
      <c r="Y6" s="44">
        <f t="shared" si="5"/>
        <v>0</v>
      </c>
      <c r="Z6" s="44">
        <f t="shared" si="6"/>
        <v>-659814.81453044387</v>
      </c>
      <c r="AA6" s="50">
        <f t="shared" si="7"/>
        <v>36782.3268278662</v>
      </c>
      <c r="AB6" s="51">
        <f t="shared" si="8"/>
        <v>-616822.30020608008</v>
      </c>
      <c r="AC6" s="44">
        <f t="shared" si="9"/>
        <v>34385.647216851634</v>
      </c>
      <c r="AD6" s="44">
        <f t="shared" si="10"/>
        <v>0</v>
      </c>
      <c r="AE6" s="44">
        <v>0</v>
      </c>
      <c r="AF6" s="52">
        <f>HLOOKUP(I6,GasAvoidedCostsWOCC!$A$5:$G$50,G6+1,FALSE)</f>
        <v>1.5739315627100203</v>
      </c>
      <c r="AG6" s="44">
        <f t="shared" si="11"/>
        <v>-688439.23946092557</v>
      </c>
      <c r="AH6" s="52">
        <f>HLOOKUP(I6,GasAvoidedCostsWOCC!$A$5:$Q$50,T6+1,FALSE)</f>
        <v>1.5739315627100203</v>
      </c>
      <c r="AI6" s="44">
        <f t="shared" si="12"/>
        <v>0</v>
      </c>
      <c r="AJ6" s="44">
        <f t="shared" ref="AJ6:AJ24" si="13">AG6+AI6</f>
        <v>-688439.23946092557</v>
      </c>
      <c r="AK6" s="44">
        <f>HLOOKUP(I6,GasAvoidedCostsWOCC!$A$5:$Q$50,G6+1,FALSE)*J6*L6</f>
        <v>0</v>
      </c>
      <c r="AL6" s="44">
        <f t="shared" ref="AL6:AL24" si="14">AG6+AI6-AK6</f>
        <v>-688439.23946092557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-688439.23946092557</v>
      </c>
      <c r="AN6" s="48">
        <f t="shared" ref="AN6:AN24" si="15">AM6*1.1+AD6+AE6</f>
        <v>-757283.16340701818</v>
      </c>
      <c r="AO6" s="47">
        <f t="shared" ref="AO6:AO24" si="16">IFERROR(AM6/AB6,0)</f>
        <v>1.1161062744179617</v>
      </c>
      <c r="AP6" s="47">
        <f t="shared" ref="AP6:AP24" si="17">AN6/AC6</f>
        <v>-22.023234247453416</v>
      </c>
      <c r="AQ6">
        <v>2021</v>
      </c>
    </row>
    <row r="7" spans="1:43" ht="13.5" customHeight="1">
      <c r="A7" s="36" t="s">
        <v>249</v>
      </c>
      <c r="B7" s="97" t="s">
        <v>33</v>
      </c>
      <c r="C7" s="99">
        <v>18230738</v>
      </c>
      <c r="D7" s="100" t="s">
        <v>149</v>
      </c>
      <c r="E7" s="38" t="s">
        <v>2451</v>
      </c>
      <c r="F7" s="39" t="s">
        <v>2452</v>
      </c>
      <c r="G7" s="39">
        <v>2</v>
      </c>
      <c r="H7" s="39"/>
      <c r="I7" s="40" t="s">
        <v>265</v>
      </c>
      <c r="J7" s="41">
        <v>180000</v>
      </c>
      <c r="K7" s="41">
        <v>7.4547499999999998</v>
      </c>
      <c r="L7" s="41"/>
      <c r="M7" s="42">
        <v>2.5</v>
      </c>
      <c r="N7" s="42">
        <v>2.5</v>
      </c>
      <c r="O7" s="43">
        <v>1341855</v>
      </c>
      <c r="P7" s="44">
        <v>450000</v>
      </c>
      <c r="Q7" s="44">
        <v>450000</v>
      </c>
      <c r="R7" s="45">
        <v>0</v>
      </c>
      <c r="S7" s="46">
        <v>0</v>
      </c>
      <c r="T7" s="39">
        <f t="shared" si="0"/>
        <v>2</v>
      </c>
      <c r="U7" s="47">
        <f t="shared" si="1"/>
        <v>2.1980488979492216</v>
      </c>
      <c r="V7" s="48">
        <f t="shared" si="2"/>
        <v>0</v>
      </c>
      <c r="W7" s="49">
        <f t="shared" si="3"/>
        <v>1.0990244489746108</v>
      </c>
      <c r="X7" s="44">
        <f t="shared" si="4"/>
        <v>1039813.0670640753</v>
      </c>
      <c r="Y7" s="44">
        <f t="shared" si="5"/>
        <v>0</v>
      </c>
      <c r="Z7" s="44">
        <f t="shared" si="6"/>
        <v>2024174.1741599785</v>
      </c>
      <c r="AA7" s="50">
        <f t="shared" si="7"/>
        <v>1489813.0670640753</v>
      </c>
      <c r="AB7" s="51">
        <f t="shared" si="8"/>
        <v>1892282.1110217615</v>
      </c>
      <c r="AC7" s="44">
        <f t="shared" si="9"/>
        <v>1392739.1484192533</v>
      </c>
      <c r="AD7" s="44">
        <f t="shared" si="10"/>
        <v>0</v>
      </c>
      <c r="AE7" s="44">
        <v>0</v>
      </c>
      <c r="AF7" s="52">
        <f>HLOOKUP(I7,GasAvoidedCostsWOCC!$A$5:$G$50,G7+1,FALSE)</f>
        <v>1.5739315627100203</v>
      </c>
      <c r="AG7" s="44">
        <f t="shared" si="11"/>
        <v>2111987.9370802543</v>
      </c>
      <c r="AH7" s="52">
        <f>HLOOKUP(I7,GasAvoidedCostsWOCC!$A$5:$Q$50,T7+1,FALSE)</f>
        <v>1.5739315627100203</v>
      </c>
      <c r="AI7" s="44">
        <f t="shared" si="12"/>
        <v>0</v>
      </c>
      <c r="AJ7" s="44">
        <f t="shared" si="13"/>
        <v>2111987.9370802543</v>
      </c>
      <c r="AK7" s="44">
        <f>HLOOKUP(I7,GasAvoidedCostsWOCC!$A$5:$Q$50,G7+1,FALSE)*J7*L7</f>
        <v>0</v>
      </c>
      <c r="AL7" s="44">
        <f t="shared" si="14"/>
        <v>2111987.9370802543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2111987.9370802543</v>
      </c>
      <c r="AN7" s="48">
        <f t="shared" si="15"/>
        <v>2323186.7307882798</v>
      </c>
      <c r="AO7" s="47">
        <f t="shared" si="16"/>
        <v>1.1161062744179617</v>
      </c>
      <c r="AP7" s="47">
        <f t="shared" si="17"/>
        <v>1.6680702437531654</v>
      </c>
      <c r="AQ7">
        <v>2020</v>
      </c>
    </row>
    <row r="8" spans="1:43" ht="13.5" customHeight="1">
      <c r="A8" s="53">
        <f>SUMIF('Program Costs'!D:D,C2,'Program Costs'!O:O)</f>
        <v>946123.68999999983</v>
      </c>
      <c r="B8" s="97" t="s">
        <v>33</v>
      </c>
      <c r="C8" s="100">
        <v>18230738</v>
      </c>
      <c r="D8" s="100" t="s">
        <v>149</v>
      </c>
      <c r="E8" s="38"/>
      <c r="F8" s="39" t="s">
        <v>2581</v>
      </c>
      <c r="G8" s="39">
        <v>1</v>
      </c>
      <c r="H8" s="39"/>
      <c r="I8" s="40" t="s">
        <v>265</v>
      </c>
      <c r="J8" s="41">
        <v>1</v>
      </c>
      <c r="K8" s="41"/>
      <c r="L8" s="41"/>
      <c r="M8" s="42"/>
      <c r="N8" s="42"/>
      <c r="O8" s="43">
        <v>316497</v>
      </c>
      <c r="P8" s="44"/>
      <c r="Q8" s="44"/>
      <c r="R8" s="45"/>
      <c r="S8" s="46"/>
      <c r="T8" s="39">
        <f t="shared" si="0"/>
        <v>1</v>
      </c>
      <c r="U8" s="47">
        <f t="shared" si="1"/>
        <v>0.25922170504795033</v>
      </c>
      <c r="V8" s="48">
        <f t="shared" si="2"/>
        <v>0</v>
      </c>
      <c r="W8" s="49">
        <f t="shared" si="3"/>
        <v>0.25922170504795033</v>
      </c>
      <c r="X8" s="44">
        <f t="shared" si="4"/>
        <v>245255.79610805836</v>
      </c>
      <c r="Y8" s="44">
        <f t="shared" si="5"/>
        <v>0</v>
      </c>
      <c r="Z8" s="44">
        <f t="shared" si="6"/>
        <v>477432.40037046524</v>
      </c>
      <c r="AA8" s="50">
        <f t="shared" si="7"/>
        <v>245255.79610805836</v>
      </c>
      <c r="AB8" s="51">
        <f t="shared" si="8"/>
        <v>446323.64248898305</v>
      </c>
      <c r="AC8" s="44">
        <f t="shared" si="9"/>
        <v>229275.30719646474</v>
      </c>
      <c r="AD8" s="44">
        <f t="shared" si="10"/>
        <v>0</v>
      </c>
      <c r="AE8" s="44">
        <v>0</v>
      </c>
      <c r="AF8" s="52">
        <f>HLOOKUP(I8,GasAvoidedCostsWOCC!$A$5:$G$50,G8+1,FALSE)</f>
        <v>0.80879994487576856</v>
      </c>
      <c r="AG8" s="44">
        <f t="shared" si="11"/>
        <v>0</v>
      </c>
      <c r="AH8" s="52">
        <f>HLOOKUP(I8,GasAvoidedCostsWOCC!$A$5:$Q$50,T8+1,FALSE)</f>
        <v>0.80879994487576856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>
        <f t="shared" si="17"/>
        <v>0</v>
      </c>
      <c r="AQ8">
        <v>2020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1220951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825727.5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1.7407782949520498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1841791.7599999998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1771851.19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0.82678730294862235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0.94536553378827237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67" si="19">G25+H25</f>
        <v>0</v>
      </c>
      <c r="U25" s="47">
        <f t="shared" ref="U25:U67" si="20">(O25/$A$10)*T25</f>
        <v>0</v>
      </c>
      <c r="V25" s="48">
        <f t="shared" ref="V25:V67" si="21">N25-M25</f>
        <v>0</v>
      </c>
      <c r="W25" s="49">
        <f t="shared" ref="W25:W67" si="22">(O25/A$10)</f>
        <v>0</v>
      </c>
      <c r="X25" s="44">
        <f t="shared" ref="X25:X67" si="23">W25*A$8</f>
        <v>0</v>
      </c>
      <c r="Y25" s="44">
        <f t="shared" ref="Y25:Y67" si="24">Q25-P25</f>
        <v>0</v>
      </c>
      <c r="Z25" s="44">
        <f t="shared" ref="Z25:Z67" si="25">X25+(A$6*W25)</f>
        <v>0</v>
      </c>
      <c r="AA25" s="50">
        <f t="shared" ref="AA25:AA67" si="26">Q25+X25</f>
        <v>0</v>
      </c>
      <c r="AB25" s="51">
        <f t="shared" ref="AB25:AB67" si="27">Z25/(1+GasDiscountRate)^1</f>
        <v>0</v>
      </c>
      <c r="AC25" s="44">
        <f t="shared" ref="AC25:AC67" si="28">AA25/(1+GasDiscountRate)^1</f>
        <v>0</v>
      </c>
      <c r="AD25" s="44">
        <f t="shared" ref="AD25:AD67" si="29">-PV(GasDiscountRate,T25,R25)*J25</f>
        <v>0</v>
      </c>
      <c r="AE25" s="44">
        <f t="shared" ref="AE25:AE67" si="30">-PV(GasDiscountRate,T25,S25)*J25</f>
        <v>0</v>
      </c>
      <c r="AF25" s="52" t="e">
        <f>HLOOKUP(I25,GasAvoidedCostsWOCC!$A$5:$G$50,G25+1,FALSE)</f>
        <v>#N/A</v>
      </c>
      <c r="AG25" s="44" t="e">
        <f t="shared" ref="AG25:AG67" si="31">AF25*J25*K25</f>
        <v>#N/A</v>
      </c>
      <c r="AH25" s="52" t="e">
        <f>HLOOKUP(I25,GasAvoidedCostsWOCC!$A$5:$Q$50,T25+1,FALSE)</f>
        <v>#N/A</v>
      </c>
      <c r="AI25" s="44" t="e">
        <f t="shared" ref="AI25:AI67" si="32">AH25*J25*L25</f>
        <v>#N/A</v>
      </c>
      <c r="AJ25" s="44" t="e">
        <f t="shared" ref="AJ25:AJ67" si="33">AG25+AI25</f>
        <v>#N/A</v>
      </c>
      <c r="AK25" s="44" t="e">
        <f>HLOOKUP(I25,GasAvoidedCostsWOCC!$A$5:$Q$50,G25+1,FALSE)*J25*L25</f>
        <v>#N/A</v>
      </c>
      <c r="AL25" s="44" t="e">
        <f t="shared" ref="AL25:AL67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67" si="35">AM25*1.1+AD25+AE25</f>
        <v>0</v>
      </c>
      <c r="AO25" s="47">
        <f t="shared" ref="AO25:AO67" si="36">IFERROR(AM25/AB25,0)</f>
        <v>0</v>
      </c>
      <c r="AP25" s="47" t="e">
        <f t="shared" ref="AP25:AP67" si="37">AN25/AC25</f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67">
    <cfRule type="expression" dxfId="99" priority="4">
      <formula>ISTEXT(J5)</formula>
    </cfRule>
    <cfRule type="notContainsBlanks" dxfId="98" priority="5">
      <formula>LEN(TRIM(J5))&gt;0</formula>
    </cfRule>
  </conditionalFormatting>
  <conditionalFormatting sqref="M5:N67 R5:S67">
    <cfRule type="expression" dxfId="97" priority="2">
      <formula>ISTEXT(M5)</formula>
    </cfRule>
  </conditionalFormatting>
  <conditionalFormatting sqref="M5:N67 R5:S67">
    <cfRule type="notContainsBlanks" dxfId="96" priority="3">
      <formula>LEN(TRIM(M5))&gt;0</formula>
    </cfRule>
  </conditionalFormatting>
  <conditionalFormatting sqref="R5:S67">
    <cfRule type="expression" dxfId="9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67"/>
  <sheetViews>
    <sheetView zoomScale="85" zoomScaleNormal="85" workbookViewId="0">
      <selection activeCell="D9" sqref="D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18230254</v>
      </c>
      <c r="D2" s="20" t="s">
        <v>1821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18230254</v>
      </c>
      <c r="D5" s="61" t="s">
        <v>1821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67" si="0">G5+H5</f>
        <v>0</v>
      </c>
      <c r="U5" s="47" t="e">
        <f t="shared" ref="U5:U67" si="1">(O5/$A$10)*T5</f>
        <v>#DIV/0!</v>
      </c>
      <c r="V5" s="48">
        <f t="shared" ref="V5:V67" si="2">N5-M5</f>
        <v>0</v>
      </c>
      <c r="W5" s="49" t="e">
        <f t="shared" ref="W5:W67" si="3">(O5/A$10)</f>
        <v>#DIV/0!</v>
      </c>
      <c r="X5" s="44" t="e">
        <f t="shared" ref="X5:X67" si="4">W5*A$8</f>
        <v>#DIV/0!</v>
      </c>
      <c r="Y5" s="44">
        <f t="shared" ref="Y5:Y67" si="5">Q5-P5</f>
        <v>0</v>
      </c>
      <c r="Z5" s="44" t="e">
        <f t="shared" ref="Z5:Z67" si="6">X5+(A$6*W5)</f>
        <v>#DIV/0!</v>
      </c>
      <c r="AA5" s="50" t="e">
        <f t="shared" ref="AA5:AA67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67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67" si="10">AF5*J5*K5</f>
        <v>#N/A</v>
      </c>
      <c r="AH5" s="52" t="e">
        <f>HLOOKUP(I5,GasAvoidedCostsWOCC!$A$5:$Q$50,T5+1,FALSE)</f>
        <v>#N/A</v>
      </c>
      <c r="AI5" s="44" t="e">
        <f t="shared" ref="AI5:AI67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 t="s">
        <v>33</v>
      </c>
      <c r="C6" s="99">
        <v>18230254</v>
      </c>
      <c r="D6" s="100" t="s">
        <v>35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67" si="12">AG6+AI6</f>
        <v>#N/A</v>
      </c>
      <c r="AK6" s="44" t="e">
        <f>HLOOKUP(I6,GasAvoidedCostsWOCC!$A$5:$Q$50,G6+1,FALSE)*J6*L6</f>
        <v>#N/A</v>
      </c>
      <c r="AL6" s="44" t="e">
        <f t="shared" ref="AL6:AL67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67" si="14">AM6*1.1+AD6+AE6</f>
        <v>0</v>
      </c>
      <c r="AO6" s="47">
        <f t="shared" ref="AO6:AO67" si="15">IFERROR(AM6/AB6,0)</f>
        <v>0</v>
      </c>
      <c r="AP6" s="47" t="e">
        <f t="shared" ref="AP6:AP67" si="16">AN6/AC6</f>
        <v>#DIV/0!</v>
      </c>
      <c r="AQ6">
        <v>2020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70424.309999999983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67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70424.309999999983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70424.309999999983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0"/>
        <v>0</v>
      </c>
      <c r="U25" s="47" t="e">
        <f t="shared" si="1"/>
        <v>#DIV/0!</v>
      </c>
      <c r="V25" s="48">
        <f t="shared" si="2"/>
        <v>0</v>
      </c>
      <c r="W25" s="49" t="e">
        <f t="shared" si="3"/>
        <v>#DIV/0!</v>
      </c>
      <c r="X25" s="44" t="e">
        <f t="shared" si="4"/>
        <v>#DIV/0!</v>
      </c>
      <c r="Y25" s="44">
        <f t="shared" si="5"/>
        <v>0</v>
      </c>
      <c r="Z25" s="44" t="e">
        <f t="shared" si="6"/>
        <v>#DIV/0!</v>
      </c>
      <c r="AA25" s="50" t="e">
        <f t="shared" si="7"/>
        <v>#DIV/0!</v>
      </c>
      <c r="AB25" s="51" t="e">
        <f t="shared" ref="AB25:AC67" si="18">Z25/(1+GasDiscountRate)^1</f>
        <v>#DIV/0!</v>
      </c>
      <c r="AC25" s="44" t="e">
        <f t="shared" si="18"/>
        <v>#DIV/0!</v>
      </c>
      <c r="AD25" s="44">
        <f t="shared" si="9"/>
        <v>0</v>
      </c>
      <c r="AE25" s="44">
        <f t="shared" si="17"/>
        <v>0</v>
      </c>
      <c r="AF25" s="52" t="e">
        <f>HLOOKUP(I25,GasAvoidedCostsWOCC!$A$5:$G$50,G25+1,FALSE)</f>
        <v>#N/A</v>
      </c>
      <c r="AG25" s="44" t="e">
        <f t="shared" si="10"/>
        <v>#N/A</v>
      </c>
      <c r="AH25" s="52" t="e">
        <f>HLOOKUP(I25,GasAvoidedCostsWOCC!$A$5:$Q$50,T25+1,FALSE)</f>
        <v>#N/A</v>
      </c>
      <c r="AI25" s="44" t="e">
        <f t="shared" si="11"/>
        <v>#N/A</v>
      </c>
      <c r="AJ25" s="44" t="e">
        <f t="shared" si="12"/>
        <v>#N/A</v>
      </c>
      <c r="AK25" s="44" t="e">
        <f>HLOOKUP(I25,GasAvoidedCostsWOCC!$A$5:$Q$50,G25+1,FALSE)*J25*L25</f>
        <v>#N/A</v>
      </c>
      <c r="AL25" s="44" t="e">
        <f t="shared" si="1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14"/>
        <v>0</v>
      </c>
      <c r="AO25" s="47">
        <f t="shared" si="15"/>
        <v>0</v>
      </c>
      <c r="AP25" s="47" t="e">
        <f t="shared" si="16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0"/>
        <v>0</v>
      </c>
      <c r="U26" s="47" t="e">
        <f t="shared" si="1"/>
        <v>#DIV/0!</v>
      </c>
      <c r="V26" s="48">
        <f t="shared" si="2"/>
        <v>0</v>
      </c>
      <c r="W26" s="49" t="e">
        <f t="shared" si="3"/>
        <v>#DIV/0!</v>
      </c>
      <c r="X26" s="44" t="e">
        <f t="shared" si="4"/>
        <v>#DIV/0!</v>
      </c>
      <c r="Y26" s="44">
        <f t="shared" si="5"/>
        <v>0</v>
      </c>
      <c r="Z26" s="44" t="e">
        <f t="shared" si="6"/>
        <v>#DIV/0!</v>
      </c>
      <c r="AA26" s="50" t="e">
        <f t="shared" si="7"/>
        <v>#DIV/0!</v>
      </c>
      <c r="AB26" s="51" t="e">
        <f t="shared" si="18"/>
        <v>#DIV/0!</v>
      </c>
      <c r="AC26" s="44" t="e">
        <f t="shared" si="18"/>
        <v>#DIV/0!</v>
      </c>
      <c r="AD26" s="44">
        <f t="shared" si="9"/>
        <v>0</v>
      </c>
      <c r="AE26" s="44">
        <f t="shared" si="17"/>
        <v>0</v>
      </c>
      <c r="AF26" s="52" t="e">
        <f>HLOOKUP(I26,GasAvoidedCostsWOCC!$A$5:$G$50,G26+1,FALSE)</f>
        <v>#N/A</v>
      </c>
      <c r="AG26" s="44" t="e">
        <f t="shared" si="10"/>
        <v>#N/A</v>
      </c>
      <c r="AH26" s="52" t="e">
        <f>HLOOKUP(I26,GasAvoidedCostsWOCC!$A$5:$Q$50,T26+1,FALSE)</f>
        <v>#N/A</v>
      </c>
      <c r="AI26" s="44" t="e">
        <f t="shared" si="11"/>
        <v>#N/A</v>
      </c>
      <c r="AJ26" s="44" t="e">
        <f t="shared" si="12"/>
        <v>#N/A</v>
      </c>
      <c r="AK26" s="44" t="e">
        <f>HLOOKUP(I26,GasAvoidedCostsWOCC!$A$5:$Q$50,G26+1,FALSE)*J26*L26</f>
        <v>#N/A</v>
      </c>
      <c r="AL26" s="44" t="e">
        <f t="shared" si="1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14"/>
        <v>0</v>
      </c>
      <c r="AO26" s="47">
        <f t="shared" si="15"/>
        <v>0</v>
      </c>
      <c r="AP26" s="47" t="e">
        <f t="shared" si="16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0"/>
        <v>0</v>
      </c>
      <c r="U27" s="47" t="e">
        <f t="shared" si="1"/>
        <v>#DIV/0!</v>
      </c>
      <c r="V27" s="48">
        <f t="shared" si="2"/>
        <v>0</v>
      </c>
      <c r="W27" s="49" t="e">
        <f t="shared" si="3"/>
        <v>#DIV/0!</v>
      </c>
      <c r="X27" s="44" t="e">
        <f t="shared" si="4"/>
        <v>#DIV/0!</v>
      </c>
      <c r="Y27" s="44">
        <f t="shared" si="5"/>
        <v>0</v>
      </c>
      <c r="Z27" s="44" t="e">
        <f t="shared" si="6"/>
        <v>#DIV/0!</v>
      </c>
      <c r="AA27" s="50" t="e">
        <f t="shared" si="7"/>
        <v>#DIV/0!</v>
      </c>
      <c r="AB27" s="51" t="e">
        <f t="shared" si="18"/>
        <v>#DIV/0!</v>
      </c>
      <c r="AC27" s="44" t="e">
        <f t="shared" si="18"/>
        <v>#DIV/0!</v>
      </c>
      <c r="AD27" s="44">
        <f t="shared" si="9"/>
        <v>0</v>
      </c>
      <c r="AE27" s="44">
        <f t="shared" si="17"/>
        <v>0</v>
      </c>
      <c r="AF27" s="52" t="e">
        <f>HLOOKUP(I27,GasAvoidedCostsWOCC!$A$5:$G$50,G27+1,FALSE)</f>
        <v>#N/A</v>
      </c>
      <c r="AG27" s="44" t="e">
        <f t="shared" si="10"/>
        <v>#N/A</v>
      </c>
      <c r="AH27" s="52" t="e">
        <f>HLOOKUP(I27,GasAvoidedCostsWOCC!$A$5:$Q$50,T27+1,FALSE)</f>
        <v>#N/A</v>
      </c>
      <c r="AI27" s="44" t="e">
        <f t="shared" si="11"/>
        <v>#N/A</v>
      </c>
      <c r="AJ27" s="44" t="e">
        <f t="shared" si="12"/>
        <v>#N/A</v>
      </c>
      <c r="AK27" s="44" t="e">
        <f>HLOOKUP(I27,GasAvoidedCostsWOCC!$A$5:$Q$50,G27+1,FALSE)*J27*L27</f>
        <v>#N/A</v>
      </c>
      <c r="AL27" s="44" t="e">
        <f t="shared" si="1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14"/>
        <v>0</v>
      </c>
      <c r="AO27" s="47">
        <f t="shared" si="15"/>
        <v>0</v>
      </c>
      <c r="AP27" s="47" t="e">
        <f t="shared" si="16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0"/>
        <v>0</v>
      </c>
      <c r="U28" s="47" t="e">
        <f t="shared" si="1"/>
        <v>#DIV/0!</v>
      </c>
      <c r="V28" s="48">
        <f t="shared" si="2"/>
        <v>0</v>
      </c>
      <c r="W28" s="49" t="e">
        <f t="shared" si="3"/>
        <v>#DIV/0!</v>
      </c>
      <c r="X28" s="44" t="e">
        <f t="shared" si="4"/>
        <v>#DIV/0!</v>
      </c>
      <c r="Y28" s="44">
        <f t="shared" si="5"/>
        <v>0</v>
      </c>
      <c r="Z28" s="44" t="e">
        <f t="shared" si="6"/>
        <v>#DIV/0!</v>
      </c>
      <c r="AA28" s="50" t="e">
        <f t="shared" si="7"/>
        <v>#DIV/0!</v>
      </c>
      <c r="AB28" s="51" t="e">
        <f t="shared" si="18"/>
        <v>#DIV/0!</v>
      </c>
      <c r="AC28" s="44" t="e">
        <f t="shared" si="18"/>
        <v>#DIV/0!</v>
      </c>
      <c r="AD28" s="44">
        <f t="shared" si="9"/>
        <v>0</v>
      </c>
      <c r="AE28" s="44">
        <f t="shared" si="17"/>
        <v>0</v>
      </c>
      <c r="AF28" s="52" t="e">
        <f>HLOOKUP(I28,GasAvoidedCostsWOCC!$A$5:$G$50,G28+1,FALSE)</f>
        <v>#N/A</v>
      </c>
      <c r="AG28" s="44" t="e">
        <f t="shared" si="10"/>
        <v>#N/A</v>
      </c>
      <c r="AH28" s="52" t="e">
        <f>HLOOKUP(I28,GasAvoidedCostsWOCC!$A$5:$Q$50,T28+1,FALSE)</f>
        <v>#N/A</v>
      </c>
      <c r="AI28" s="44" t="e">
        <f t="shared" si="11"/>
        <v>#N/A</v>
      </c>
      <c r="AJ28" s="44" t="e">
        <f t="shared" si="12"/>
        <v>#N/A</v>
      </c>
      <c r="AK28" s="44" t="e">
        <f>HLOOKUP(I28,GasAvoidedCostsWOCC!$A$5:$Q$50,G28+1,FALSE)*J28*L28</f>
        <v>#N/A</v>
      </c>
      <c r="AL28" s="44" t="e">
        <f t="shared" si="1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14"/>
        <v>0</v>
      </c>
      <c r="AO28" s="47">
        <f t="shared" si="15"/>
        <v>0</v>
      </c>
      <c r="AP28" s="47" t="e">
        <f t="shared" si="16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0"/>
        <v>0</v>
      </c>
      <c r="U29" s="47" t="e">
        <f t="shared" si="1"/>
        <v>#DIV/0!</v>
      </c>
      <c r="V29" s="48">
        <f t="shared" si="2"/>
        <v>0</v>
      </c>
      <c r="W29" s="49" t="e">
        <f t="shared" si="3"/>
        <v>#DIV/0!</v>
      </c>
      <c r="X29" s="44" t="e">
        <f t="shared" si="4"/>
        <v>#DIV/0!</v>
      </c>
      <c r="Y29" s="44">
        <f t="shared" si="5"/>
        <v>0</v>
      </c>
      <c r="Z29" s="44" t="e">
        <f t="shared" si="6"/>
        <v>#DIV/0!</v>
      </c>
      <c r="AA29" s="50" t="e">
        <f t="shared" si="7"/>
        <v>#DIV/0!</v>
      </c>
      <c r="AB29" s="51" t="e">
        <f t="shared" si="18"/>
        <v>#DIV/0!</v>
      </c>
      <c r="AC29" s="44" t="e">
        <f t="shared" si="18"/>
        <v>#DIV/0!</v>
      </c>
      <c r="AD29" s="44">
        <f t="shared" si="9"/>
        <v>0</v>
      </c>
      <c r="AE29" s="44">
        <f t="shared" si="17"/>
        <v>0</v>
      </c>
      <c r="AF29" s="52" t="e">
        <f>HLOOKUP(I29,GasAvoidedCostsWOCC!$A$5:$G$50,G29+1,FALSE)</f>
        <v>#N/A</v>
      </c>
      <c r="AG29" s="44" t="e">
        <f t="shared" si="10"/>
        <v>#N/A</v>
      </c>
      <c r="AH29" s="52" t="e">
        <f>HLOOKUP(I29,GasAvoidedCostsWOCC!$A$5:$Q$50,T29+1,FALSE)</f>
        <v>#N/A</v>
      </c>
      <c r="AI29" s="44" t="e">
        <f t="shared" si="11"/>
        <v>#N/A</v>
      </c>
      <c r="AJ29" s="44" t="e">
        <f t="shared" si="12"/>
        <v>#N/A</v>
      </c>
      <c r="AK29" s="44" t="e">
        <f>HLOOKUP(I29,GasAvoidedCostsWOCC!$A$5:$Q$50,G29+1,FALSE)*J29*L29</f>
        <v>#N/A</v>
      </c>
      <c r="AL29" s="44" t="e">
        <f t="shared" si="1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14"/>
        <v>0</v>
      </c>
      <c r="AO29" s="47">
        <f t="shared" si="15"/>
        <v>0</v>
      </c>
      <c r="AP29" s="47" t="e">
        <f t="shared" si="16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0"/>
        <v>0</v>
      </c>
      <c r="U30" s="47" t="e">
        <f t="shared" si="1"/>
        <v>#DIV/0!</v>
      </c>
      <c r="V30" s="48">
        <f t="shared" si="2"/>
        <v>0</v>
      </c>
      <c r="W30" s="49" t="e">
        <f t="shared" si="3"/>
        <v>#DIV/0!</v>
      </c>
      <c r="X30" s="44" t="e">
        <f t="shared" si="4"/>
        <v>#DIV/0!</v>
      </c>
      <c r="Y30" s="44">
        <f t="shared" si="5"/>
        <v>0</v>
      </c>
      <c r="Z30" s="44" t="e">
        <f t="shared" si="6"/>
        <v>#DIV/0!</v>
      </c>
      <c r="AA30" s="50" t="e">
        <f t="shared" si="7"/>
        <v>#DIV/0!</v>
      </c>
      <c r="AB30" s="51" t="e">
        <f t="shared" si="18"/>
        <v>#DIV/0!</v>
      </c>
      <c r="AC30" s="44" t="e">
        <f t="shared" si="18"/>
        <v>#DIV/0!</v>
      </c>
      <c r="AD30" s="44">
        <f t="shared" si="9"/>
        <v>0</v>
      </c>
      <c r="AE30" s="44">
        <f t="shared" si="17"/>
        <v>0</v>
      </c>
      <c r="AF30" s="52" t="e">
        <f>HLOOKUP(I30,GasAvoidedCostsWOCC!$A$5:$G$50,G30+1,FALSE)</f>
        <v>#N/A</v>
      </c>
      <c r="AG30" s="44" t="e">
        <f t="shared" si="10"/>
        <v>#N/A</v>
      </c>
      <c r="AH30" s="52" t="e">
        <f>HLOOKUP(I30,GasAvoidedCostsWOCC!$A$5:$Q$50,T30+1,FALSE)</f>
        <v>#N/A</v>
      </c>
      <c r="AI30" s="44" t="e">
        <f t="shared" si="11"/>
        <v>#N/A</v>
      </c>
      <c r="AJ30" s="44" t="e">
        <f t="shared" si="12"/>
        <v>#N/A</v>
      </c>
      <c r="AK30" s="44" t="e">
        <f>HLOOKUP(I30,GasAvoidedCostsWOCC!$A$5:$Q$50,G30+1,FALSE)*J30*L30</f>
        <v>#N/A</v>
      </c>
      <c r="AL30" s="44" t="e">
        <f t="shared" si="1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14"/>
        <v>0</v>
      </c>
      <c r="AO30" s="47">
        <f t="shared" si="15"/>
        <v>0</v>
      </c>
      <c r="AP30" s="47" t="e">
        <f t="shared" si="16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0"/>
        <v>0</v>
      </c>
      <c r="U31" s="47" t="e">
        <f t="shared" si="1"/>
        <v>#DIV/0!</v>
      </c>
      <c r="V31" s="48">
        <f t="shared" si="2"/>
        <v>0</v>
      </c>
      <c r="W31" s="49" t="e">
        <f t="shared" si="3"/>
        <v>#DIV/0!</v>
      </c>
      <c r="X31" s="44" t="e">
        <f t="shared" si="4"/>
        <v>#DIV/0!</v>
      </c>
      <c r="Y31" s="44">
        <f t="shared" si="5"/>
        <v>0</v>
      </c>
      <c r="Z31" s="44" t="e">
        <f t="shared" si="6"/>
        <v>#DIV/0!</v>
      </c>
      <c r="AA31" s="50" t="e">
        <f t="shared" si="7"/>
        <v>#DIV/0!</v>
      </c>
      <c r="AB31" s="51" t="e">
        <f t="shared" si="18"/>
        <v>#DIV/0!</v>
      </c>
      <c r="AC31" s="44" t="e">
        <f t="shared" si="18"/>
        <v>#DIV/0!</v>
      </c>
      <c r="AD31" s="44">
        <f t="shared" si="9"/>
        <v>0</v>
      </c>
      <c r="AE31" s="44">
        <f t="shared" si="17"/>
        <v>0</v>
      </c>
      <c r="AF31" s="52" t="e">
        <f>HLOOKUP(I31,GasAvoidedCostsWOCC!$A$5:$G$50,G31+1,FALSE)</f>
        <v>#N/A</v>
      </c>
      <c r="AG31" s="44" t="e">
        <f t="shared" si="10"/>
        <v>#N/A</v>
      </c>
      <c r="AH31" s="52" t="e">
        <f>HLOOKUP(I31,GasAvoidedCostsWOCC!$A$5:$Q$50,T31+1,FALSE)</f>
        <v>#N/A</v>
      </c>
      <c r="AI31" s="44" t="e">
        <f t="shared" si="11"/>
        <v>#N/A</v>
      </c>
      <c r="AJ31" s="44" t="e">
        <f t="shared" si="12"/>
        <v>#N/A</v>
      </c>
      <c r="AK31" s="44" t="e">
        <f>HLOOKUP(I31,GasAvoidedCostsWOCC!$A$5:$Q$50,G31+1,FALSE)*J31*L31</f>
        <v>#N/A</v>
      </c>
      <c r="AL31" s="44" t="e">
        <f t="shared" si="1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14"/>
        <v>0</v>
      </c>
      <c r="AO31" s="47">
        <f t="shared" si="15"/>
        <v>0</v>
      </c>
      <c r="AP31" s="47" t="e">
        <f t="shared" si="16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0"/>
        <v>0</v>
      </c>
      <c r="U32" s="47" t="e">
        <f t="shared" si="1"/>
        <v>#DIV/0!</v>
      </c>
      <c r="V32" s="48">
        <f t="shared" si="2"/>
        <v>0</v>
      </c>
      <c r="W32" s="49" t="e">
        <f t="shared" si="3"/>
        <v>#DIV/0!</v>
      </c>
      <c r="X32" s="44" t="e">
        <f t="shared" si="4"/>
        <v>#DIV/0!</v>
      </c>
      <c r="Y32" s="44">
        <f t="shared" si="5"/>
        <v>0</v>
      </c>
      <c r="Z32" s="44" t="e">
        <f t="shared" si="6"/>
        <v>#DIV/0!</v>
      </c>
      <c r="AA32" s="50" t="e">
        <f t="shared" si="7"/>
        <v>#DIV/0!</v>
      </c>
      <c r="AB32" s="51" t="e">
        <f t="shared" si="18"/>
        <v>#DIV/0!</v>
      </c>
      <c r="AC32" s="44" t="e">
        <f t="shared" si="18"/>
        <v>#DIV/0!</v>
      </c>
      <c r="AD32" s="44">
        <f t="shared" si="9"/>
        <v>0</v>
      </c>
      <c r="AE32" s="44">
        <f t="shared" si="17"/>
        <v>0</v>
      </c>
      <c r="AF32" s="52" t="e">
        <f>HLOOKUP(I32,GasAvoidedCostsWOCC!$A$5:$G$50,G32+1,FALSE)</f>
        <v>#N/A</v>
      </c>
      <c r="AG32" s="44" t="e">
        <f t="shared" si="10"/>
        <v>#N/A</v>
      </c>
      <c r="AH32" s="52" t="e">
        <f>HLOOKUP(I32,GasAvoidedCostsWOCC!$A$5:$Q$50,T32+1,FALSE)</f>
        <v>#N/A</v>
      </c>
      <c r="AI32" s="44" t="e">
        <f t="shared" si="11"/>
        <v>#N/A</v>
      </c>
      <c r="AJ32" s="44" t="e">
        <f t="shared" si="12"/>
        <v>#N/A</v>
      </c>
      <c r="AK32" s="44" t="e">
        <f>HLOOKUP(I32,GasAvoidedCostsWOCC!$A$5:$Q$50,G32+1,FALSE)*J32*L32</f>
        <v>#N/A</v>
      </c>
      <c r="AL32" s="44" t="e">
        <f t="shared" si="1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14"/>
        <v>0</v>
      </c>
      <c r="AO32" s="47">
        <f t="shared" si="15"/>
        <v>0</v>
      </c>
      <c r="AP32" s="47" t="e">
        <f t="shared" si="16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0"/>
        <v>0</v>
      </c>
      <c r="U33" s="47" t="e">
        <f t="shared" si="1"/>
        <v>#DIV/0!</v>
      </c>
      <c r="V33" s="48">
        <f t="shared" si="2"/>
        <v>0</v>
      </c>
      <c r="W33" s="49" t="e">
        <f t="shared" si="3"/>
        <v>#DIV/0!</v>
      </c>
      <c r="X33" s="44" t="e">
        <f t="shared" si="4"/>
        <v>#DIV/0!</v>
      </c>
      <c r="Y33" s="44">
        <f t="shared" si="5"/>
        <v>0</v>
      </c>
      <c r="Z33" s="44" t="e">
        <f t="shared" si="6"/>
        <v>#DIV/0!</v>
      </c>
      <c r="AA33" s="50" t="e">
        <f t="shared" si="7"/>
        <v>#DIV/0!</v>
      </c>
      <c r="AB33" s="51" t="e">
        <f t="shared" si="18"/>
        <v>#DIV/0!</v>
      </c>
      <c r="AC33" s="44" t="e">
        <f t="shared" si="18"/>
        <v>#DIV/0!</v>
      </c>
      <c r="AD33" s="44">
        <f t="shared" si="9"/>
        <v>0</v>
      </c>
      <c r="AE33" s="44">
        <f t="shared" si="17"/>
        <v>0</v>
      </c>
      <c r="AF33" s="52" t="e">
        <f>HLOOKUP(I33,GasAvoidedCostsWOCC!$A$5:$G$50,G33+1,FALSE)</f>
        <v>#N/A</v>
      </c>
      <c r="AG33" s="44" t="e">
        <f t="shared" si="10"/>
        <v>#N/A</v>
      </c>
      <c r="AH33" s="52" t="e">
        <f>HLOOKUP(I33,GasAvoidedCostsWOCC!$A$5:$Q$50,T33+1,FALSE)</f>
        <v>#N/A</v>
      </c>
      <c r="AI33" s="44" t="e">
        <f t="shared" si="11"/>
        <v>#N/A</v>
      </c>
      <c r="AJ33" s="44" t="e">
        <f t="shared" si="12"/>
        <v>#N/A</v>
      </c>
      <c r="AK33" s="44" t="e">
        <f>HLOOKUP(I33,GasAvoidedCostsWOCC!$A$5:$Q$50,G33+1,FALSE)*J33*L33</f>
        <v>#N/A</v>
      </c>
      <c r="AL33" s="44" t="e">
        <f t="shared" si="13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14"/>
        <v>0</v>
      </c>
      <c r="AO33" s="47">
        <f t="shared" si="15"/>
        <v>0</v>
      </c>
      <c r="AP33" s="47" t="e">
        <f t="shared" si="16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0"/>
        <v>0</v>
      </c>
      <c r="U34" s="47" t="e">
        <f t="shared" si="1"/>
        <v>#DIV/0!</v>
      </c>
      <c r="V34" s="48">
        <f t="shared" si="2"/>
        <v>0</v>
      </c>
      <c r="W34" s="49" t="e">
        <f t="shared" si="3"/>
        <v>#DIV/0!</v>
      </c>
      <c r="X34" s="44" t="e">
        <f t="shared" si="4"/>
        <v>#DIV/0!</v>
      </c>
      <c r="Y34" s="44">
        <f t="shared" si="5"/>
        <v>0</v>
      </c>
      <c r="Z34" s="44" t="e">
        <f t="shared" si="6"/>
        <v>#DIV/0!</v>
      </c>
      <c r="AA34" s="50" t="e">
        <f t="shared" si="7"/>
        <v>#DIV/0!</v>
      </c>
      <c r="AB34" s="51" t="e">
        <f t="shared" si="18"/>
        <v>#DIV/0!</v>
      </c>
      <c r="AC34" s="44" t="e">
        <f t="shared" si="18"/>
        <v>#DIV/0!</v>
      </c>
      <c r="AD34" s="44">
        <f t="shared" si="9"/>
        <v>0</v>
      </c>
      <c r="AE34" s="44">
        <f t="shared" si="17"/>
        <v>0</v>
      </c>
      <c r="AF34" s="52" t="e">
        <f>HLOOKUP(I34,GasAvoidedCostsWOCC!$A$5:$G$50,G34+1,FALSE)</f>
        <v>#N/A</v>
      </c>
      <c r="AG34" s="44" t="e">
        <f t="shared" si="10"/>
        <v>#N/A</v>
      </c>
      <c r="AH34" s="52" t="e">
        <f>HLOOKUP(I34,GasAvoidedCostsWOCC!$A$5:$Q$50,T34+1,FALSE)</f>
        <v>#N/A</v>
      </c>
      <c r="AI34" s="44" t="e">
        <f t="shared" si="11"/>
        <v>#N/A</v>
      </c>
      <c r="AJ34" s="44" t="e">
        <f t="shared" si="12"/>
        <v>#N/A</v>
      </c>
      <c r="AK34" s="44" t="e">
        <f>HLOOKUP(I34,GasAvoidedCostsWOCC!$A$5:$Q$50,G34+1,FALSE)*J34*L34</f>
        <v>#N/A</v>
      </c>
      <c r="AL34" s="44" t="e">
        <f t="shared" si="1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14"/>
        <v>0</v>
      </c>
      <c r="AO34" s="47">
        <f t="shared" si="15"/>
        <v>0</v>
      </c>
      <c r="AP34" s="47" t="e">
        <f t="shared" si="16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0"/>
        <v>0</v>
      </c>
      <c r="U35" s="47" t="e">
        <f t="shared" si="1"/>
        <v>#DIV/0!</v>
      </c>
      <c r="V35" s="48">
        <f t="shared" si="2"/>
        <v>0</v>
      </c>
      <c r="W35" s="49" t="e">
        <f t="shared" si="3"/>
        <v>#DIV/0!</v>
      </c>
      <c r="X35" s="44" t="e">
        <f t="shared" si="4"/>
        <v>#DIV/0!</v>
      </c>
      <c r="Y35" s="44">
        <f t="shared" si="5"/>
        <v>0</v>
      </c>
      <c r="Z35" s="44" t="e">
        <f t="shared" si="6"/>
        <v>#DIV/0!</v>
      </c>
      <c r="AA35" s="50" t="e">
        <f t="shared" si="7"/>
        <v>#DIV/0!</v>
      </c>
      <c r="AB35" s="51" t="e">
        <f t="shared" si="18"/>
        <v>#DIV/0!</v>
      </c>
      <c r="AC35" s="44" t="e">
        <f t="shared" si="18"/>
        <v>#DIV/0!</v>
      </c>
      <c r="AD35" s="44">
        <f t="shared" si="9"/>
        <v>0</v>
      </c>
      <c r="AE35" s="44">
        <f t="shared" si="17"/>
        <v>0</v>
      </c>
      <c r="AF35" s="52" t="e">
        <f>HLOOKUP(I35,GasAvoidedCostsWOCC!$A$5:$G$50,G35+1,FALSE)</f>
        <v>#N/A</v>
      </c>
      <c r="AG35" s="44" t="e">
        <f t="shared" si="10"/>
        <v>#N/A</v>
      </c>
      <c r="AH35" s="52" t="e">
        <f>HLOOKUP(I35,GasAvoidedCostsWOCC!$A$5:$Q$50,T35+1,FALSE)</f>
        <v>#N/A</v>
      </c>
      <c r="AI35" s="44" t="e">
        <f t="shared" si="11"/>
        <v>#N/A</v>
      </c>
      <c r="AJ35" s="44" t="e">
        <f t="shared" si="12"/>
        <v>#N/A</v>
      </c>
      <c r="AK35" s="44" t="e">
        <f>HLOOKUP(I35,GasAvoidedCostsWOCC!$A$5:$Q$50,G35+1,FALSE)*J35*L35</f>
        <v>#N/A</v>
      </c>
      <c r="AL35" s="44" t="e">
        <f t="shared" si="1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14"/>
        <v>0</v>
      </c>
      <c r="AO35" s="47">
        <f t="shared" si="15"/>
        <v>0</v>
      </c>
      <c r="AP35" s="47" t="e">
        <f t="shared" si="16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0"/>
        <v>0</v>
      </c>
      <c r="U36" s="47" t="e">
        <f t="shared" si="1"/>
        <v>#DIV/0!</v>
      </c>
      <c r="V36" s="48">
        <f t="shared" si="2"/>
        <v>0</v>
      </c>
      <c r="W36" s="49" t="e">
        <f t="shared" si="3"/>
        <v>#DIV/0!</v>
      </c>
      <c r="X36" s="44" t="e">
        <f t="shared" si="4"/>
        <v>#DIV/0!</v>
      </c>
      <c r="Y36" s="44">
        <f t="shared" si="5"/>
        <v>0</v>
      </c>
      <c r="Z36" s="44" t="e">
        <f t="shared" si="6"/>
        <v>#DIV/0!</v>
      </c>
      <c r="AA36" s="50" t="e">
        <f t="shared" si="7"/>
        <v>#DIV/0!</v>
      </c>
      <c r="AB36" s="51" t="e">
        <f t="shared" si="18"/>
        <v>#DIV/0!</v>
      </c>
      <c r="AC36" s="44" t="e">
        <f t="shared" si="18"/>
        <v>#DIV/0!</v>
      </c>
      <c r="AD36" s="44">
        <f t="shared" si="9"/>
        <v>0</v>
      </c>
      <c r="AE36" s="44">
        <f t="shared" si="17"/>
        <v>0</v>
      </c>
      <c r="AF36" s="52" t="e">
        <f>HLOOKUP(I36,GasAvoidedCostsWOCC!$A$5:$G$50,G36+1,FALSE)</f>
        <v>#N/A</v>
      </c>
      <c r="AG36" s="44" t="e">
        <f t="shared" si="10"/>
        <v>#N/A</v>
      </c>
      <c r="AH36" s="52" t="e">
        <f>HLOOKUP(I36,GasAvoidedCostsWOCC!$A$5:$Q$50,T36+1,FALSE)</f>
        <v>#N/A</v>
      </c>
      <c r="AI36" s="44" t="e">
        <f t="shared" si="11"/>
        <v>#N/A</v>
      </c>
      <c r="AJ36" s="44" t="e">
        <f t="shared" si="12"/>
        <v>#N/A</v>
      </c>
      <c r="AK36" s="44" t="e">
        <f>HLOOKUP(I36,GasAvoidedCostsWOCC!$A$5:$Q$50,G36+1,FALSE)*J36*L36</f>
        <v>#N/A</v>
      </c>
      <c r="AL36" s="44" t="e">
        <f t="shared" si="13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14"/>
        <v>0</v>
      </c>
      <c r="AO36" s="47">
        <f t="shared" si="15"/>
        <v>0</v>
      </c>
      <c r="AP36" s="47" t="e">
        <f t="shared" si="16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0"/>
        <v>0</v>
      </c>
      <c r="U37" s="47" t="e">
        <f t="shared" si="1"/>
        <v>#DIV/0!</v>
      </c>
      <c r="V37" s="48">
        <f t="shared" si="2"/>
        <v>0</v>
      </c>
      <c r="W37" s="49" t="e">
        <f t="shared" si="3"/>
        <v>#DIV/0!</v>
      </c>
      <c r="X37" s="44" t="e">
        <f t="shared" si="4"/>
        <v>#DIV/0!</v>
      </c>
      <c r="Y37" s="44">
        <f t="shared" si="5"/>
        <v>0</v>
      </c>
      <c r="Z37" s="44" t="e">
        <f t="shared" si="6"/>
        <v>#DIV/0!</v>
      </c>
      <c r="AA37" s="50" t="e">
        <f t="shared" si="7"/>
        <v>#DIV/0!</v>
      </c>
      <c r="AB37" s="51" t="e">
        <f t="shared" si="18"/>
        <v>#DIV/0!</v>
      </c>
      <c r="AC37" s="44" t="e">
        <f t="shared" si="18"/>
        <v>#DIV/0!</v>
      </c>
      <c r="AD37" s="44">
        <f t="shared" si="9"/>
        <v>0</v>
      </c>
      <c r="AE37" s="44">
        <f t="shared" si="17"/>
        <v>0</v>
      </c>
      <c r="AF37" s="52" t="e">
        <f>HLOOKUP(I37,GasAvoidedCostsWOCC!$A$5:$G$50,G37+1,FALSE)</f>
        <v>#N/A</v>
      </c>
      <c r="AG37" s="44" t="e">
        <f t="shared" si="10"/>
        <v>#N/A</v>
      </c>
      <c r="AH37" s="52" t="e">
        <f>HLOOKUP(I37,GasAvoidedCostsWOCC!$A$5:$Q$50,T37+1,FALSE)</f>
        <v>#N/A</v>
      </c>
      <c r="AI37" s="44" t="e">
        <f t="shared" si="11"/>
        <v>#N/A</v>
      </c>
      <c r="AJ37" s="44" t="e">
        <f t="shared" si="12"/>
        <v>#N/A</v>
      </c>
      <c r="AK37" s="44" t="e">
        <f>HLOOKUP(I37,GasAvoidedCostsWOCC!$A$5:$Q$50,G37+1,FALSE)*J37*L37</f>
        <v>#N/A</v>
      </c>
      <c r="AL37" s="44" t="e">
        <f t="shared" si="13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14"/>
        <v>0</v>
      </c>
      <c r="AO37" s="47">
        <f t="shared" si="15"/>
        <v>0</v>
      </c>
      <c r="AP37" s="47" t="e">
        <f t="shared" si="16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0"/>
        <v>0</v>
      </c>
      <c r="U38" s="47" t="e">
        <f t="shared" si="1"/>
        <v>#DIV/0!</v>
      </c>
      <c r="V38" s="48">
        <f t="shared" si="2"/>
        <v>0</v>
      </c>
      <c r="W38" s="49" t="e">
        <f t="shared" si="3"/>
        <v>#DIV/0!</v>
      </c>
      <c r="X38" s="44" t="e">
        <f t="shared" si="4"/>
        <v>#DIV/0!</v>
      </c>
      <c r="Y38" s="44">
        <f t="shared" si="5"/>
        <v>0</v>
      </c>
      <c r="Z38" s="44" t="e">
        <f t="shared" si="6"/>
        <v>#DIV/0!</v>
      </c>
      <c r="AA38" s="50" t="e">
        <f t="shared" si="7"/>
        <v>#DIV/0!</v>
      </c>
      <c r="AB38" s="51" t="e">
        <f t="shared" si="18"/>
        <v>#DIV/0!</v>
      </c>
      <c r="AC38" s="44" t="e">
        <f t="shared" si="18"/>
        <v>#DIV/0!</v>
      </c>
      <c r="AD38" s="44">
        <f t="shared" si="9"/>
        <v>0</v>
      </c>
      <c r="AE38" s="44">
        <f t="shared" si="17"/>
        <v>0</v>
      </c>
      <c r="AF38" s="52" t="e">
        <f>HLOOKUP(I38,GasAvoidedCostsWOCC!$A$5:$G$50,G38+1,FALSE)</f>
        <v>#N/A</v>
      </c>
      <c r="AG38" s="44" t="e">
        <f t="shared" si="10"/>
        <v>#N/A</v>
      </c>
      <c r="AH38" s="52" t="e">
        <f>HLOOKUP(I38,GasAvoidedCostsWOCC!$A$5:$Q$50,T38+1,FALSE)</f>
        <v>#N/A</v>
      </c>
      <c r="AI38" s="44" t="e">
        <f t="shared" si="11"/>
        <v>#N/A</v>
      </c>
      <c r="AJ38" s="44" t="e">
        <f t="shared" si="12"/>
        <v>#N/A</v>
      </c>
      <c r="AK38" s="44" t="e">
        <f>HLOOKUP(I38,GasAvoidedCostsWOCC!$A$5:$Q$50,G38+1,FALSE)*J38*L38</f>
        <v>#N/A</v>
      </c>
      <c r="AL38" s="44" t="e">
        <f t="shared" si="13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14"/>
        <v>0</v>
      </c>
      <c r="AO38" s="47">
        <f t="shared" si="15"/>
        <v>0</v>
      </c>
      <c r="AP38" s="47" t="e">
        <f t="shared" si="16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0"/>
        <v>0</v>
      </c>
      <c r="U39" s="47" t="e">
        <f t="shared" si="1"/>
        <v>#DIV/0!</v>
      </c>
      <c r="V39" s="48">
        <f t="shared" si="2"/>
        <v>0</v>
      </c>
      <c r="W39" s="49" t="e">
        <f t="shared" si="3"/>
        <v>#DIV/0!</v>
      </c>
      <c r="X39" s="44" t="e">
        <f t="shared" si="4"/>
        <v>#DIV/0!</v>
      </c>
      <c r="Y39" s="44">
        <f t="shared" si="5"/>
        <v>0</v>
      </c>
      <c r="Z39" s="44" t="e">
        <f t="shared" si="6"/>
        <v>#DIV/0!</v>
      </c>
      <c r="AA39" s="50" t="e">
        <f t="shared" si="7"/>
        <v>#DIV/0!</v>
      </c>
      <c r="AB39" s="51" t="e">
        <f t="shared" si="18"/>
        <v>#DIV/0!</v>
      </c>
      <c r="AC39" s="44" t="e">
        <f t="shared" si="18"/>
        <v>#DIV/0!</v>
      </c>
      <c r="AD39" s="44">
        <f t="shared" si="9"/>
        <v>0</v>
      </c>
      <c r="AE39" s="44">
        <f t="shared" si="17"/>
        <v>0</v>
      </c>
      <c r="AF39" s="52" t="e">
        <f>HLOOKUP(I39,GasAvoidedCostsWOCC!$A$5:$G$50,G39+1,FALSE)</f>
        <v>#N/A</v>
      </c>
      <c r="AG39" s="44" t="e">
        <f t="shared" si="10"/>
        <v>#N/A</v>
      </c>
      <c r="AH39" s="52" t="e">
        <f>HLOOKUP(I39,GasAvoidedCostsWOCC!$A$5:$Q$50,T39+1,FALSE)</f>
        <v>#N/A</v>
      </c>
      <c r="AI39" s="44" t="e">
        <f t="shared" si="11"/>
        <v>#N/A</v>
      </c>
      <c r="AJ39" s="44" t="e">
        <f t="shared" si="12"/>
        <v>#N/A</v>
      </c>
      <c r="AK39" s="44" t="e">
        <f>HLOOKUP(I39,GasAvoidedCostsWOCC!$A$5:$Q$50,G39+1,FALSE)*J39*L39</f>
        <v>#N/A</v>
      </c>
      <c r="AL39" s="44" t="e">
        <f t="shared" si="13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14"/>
        <v>0</v>
      </c>
      <c r="AO39" s="47">
        <f t="shared" si="15"/>
        <v>0</v>
      </c>
      <c r="AP39" s="47" t="e">
        <f t="shared" si="16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0"/>
        <v>0</v>
      </c>
      <c r="U40" s="47" t="e">
        <f t="shared" si="1"/>
        <v>#DIV/0!</v>
      </c>
      <c r="V40" s="48">
        <f t="shared" si="2"/>
        <v>0</v>
      </c>
      <c r="W40" s="49" t="e">
        <f t="shared" si="3"/>
        <v>#DIV/0!</v>
      </c>
      <c r="X40" s="44" t="e">
        <f t="shared" si="4"/>
        <v>#DIV/0!</v>
      </c>
      <c r="Y40" s="44">
        <f t="shared" si="5"/>
        <v>0</v>
      </c>
      <c r="Z40" s="44" t="e">
        <f t="shared" si="6"/>
        <v>#DIV/0!</v>
      </c>
      <c r="AA40" s="50" t="e">
        <f t="shared" si="7"/>
        <v>#DIV/0!</v>
      </c>
      <c r="AB40" s="51" t="e">
        <f t="shared" si="18"/>
        <v>#DIV/0!</v>
      </c>
      <c r="AC40" s="44" t="e">
        <f t="shared" si="18"/>
        <v>#DIV/0!</v>
      </c>
      <c r="AD40" s="44">
        <f t="shared" si="9"/>
        <v>0</v>
      </c>
      <c r="AE40" s="44">
        <f t="shared" si="17"/>
        <v>0</v>
      </c>
      <c r="AF40" s="52" t="e">
        <f>HLOOKUP(I40,GasAvoidedCostsWOCC!$A$5:$G$50,G40+1,FALSE)</f>
        <v>#N/A</v>
      </c>
      <c r="AG40" s="44" t="e">
        <f t="shared" si="10"/>
        <v>#N/A</v>
      </c>
      <c r="AH40" s="52" t="e">
        <f>HLOOKUP(I40,GasAvoidedCostsWOCC!$A$5:$Q$50,T40+1,FALSE)</f>
        <v>#N/A</v>
      </c>
      <c r="AI40" s="44" t="e">
        <f t="shared" si="11"/>
        <v>#N/A</v>
      </c>
      <c r="AJ40" s="44" t="e">
        <f t="shared" si="12"/>
        <v>#N/A</v>
      </c>
      <c r="AK40" s="44" t="e">
        <f>HLOOKUP(I40,GasAvoidedCostsWOCC!$A$5:$Q$50,G40+1,FALSE)*J40*L40</f>
        <v>#N/A</v>
      </c>
      <c r="AL40" s="44" t="e">
        <f t="shared" si="1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14"/>
        <v>0</v>
      </c>
      <c r="AO40" s="47">
        <f t="shared" si="15"/>
        <v>0</v>
      </c>
      <c r="AP40" s="47" t="e">
        <f t="shared" si="16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0"/>
        <v>0</v>
      </c>
      <c r="U41" s="47" t="e">
        <f t="shared" si="1"/>
        <v>#DIV/0!</v>
      </c>
      <c r="V41" s="48">
        <f t="shared" si="2"/>
        <v>0</v>
      </c>
      <c r="W41" s="49" t="e">
        <f t="shared" si="3"/>
        <v>#DIV/0!</v>
      </c>
      <c r="X41" s="44" t="e">
        <f t="shared" si="4"/>
        <v>#DIV/0!</v>
      </c>
      <c r="Y41" s="44">
        <f t="shared" si="5"/>
        <v>0</v>
      </c>
      <c r="Z41" s="44" t="e">
        <f t="shared" si="6"/>
        <v>#DIV/0!</v>
      </c>
      <c r="AA41" s="50" t="e">
        <f t="shared" si="7"/>
        <v>#DIV/0!</v>
      </c>
      <c r="AB41" s="51" t="e">
        <f t="shared" si="18"/>
        <v>#DIV/0!</v>
      </c>
      <c r="AC41" s="44" t="e">
        <f t="shared" si="18"/>
        <v>#DIV/0!</v>
      </c>
      <c r="AD41" s="44">
        <f t="shared" si="9"/>
        <v>0</v>
      </c>
      <c r="AE41" s="44">
        <f t="shared" si="17"/>
        <v>0</v>
      </c>
      <c r="AF41" s="52" t="e">
        <f>HLOOKUP(I41,GasAvoidedCostsWOCC!$A$5:$G$50,G41+1,FALSE)</f>
        <v>#N/A</v>
      </c>
      <c r="AG41" s="44" t="e">
        <f t="shared" si="10"/>
        <v>#N/A</v>
      </c>
      <c r="AH41" s="52" t="e">
        <f>HLOOKUP(I41,GasAvoidedCostsWOCC!$A$5:$Q$50,T41+1,FALSE)</f>
        <v>#N/A</v>
      </c>
      <c r="AI41" s="44" t="e">
        <f t="shared" si="11"/>
        <v>#N/A</v>
      </c>
      <c r="AJ41" s="44" t="e">
        <f t="shared" si="12"/>
        <v>#N/A</v>
      </c>
      <c r="AK41" s="44" t="e">
        <f>HLOOKUP(I41,GasAvoidedCostsWOCC!$A$5:$Q$50,G41+1,FALSE)*J41*L41</f>
        <v>#N/A</v>
      </c>
      <c r="AL41" s="44" t="e">
        <f t="shared" si="1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14"/>
        <v>0</v>
      </c>
      <c r="AO41" s="47">
        <f t="shared" si="15"/>
        <v>0</v>
      </c>
      <c r="AP41" s="47" t="e">
        <f t="shared" si="16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0"/>
        <v>0</v>
      </c>
      <c r="U42" s="47" t="e">
        <f t="shared" si="1"/>
        <v>#DIV/0!</v>
      </c>
      <c r="V42" s="48">
        <f t="shared" si="2"/>
        <v>0</v>
      </c>
      <c r="W42" s="49" t="e">
        <f t="shared" si="3"/>
        <v>#DIV/0!</v>
      </c>
      <c r="X42" s="44" t="e">
        <f t="shared" si="4"/>
        <v>#DIV/0!</v>
      </c>
      <c r="Y42" s="44">
        <f t="shared" si="5"/>
        <v>0</v>
      </c>
      <c r="Z42" s="44" t="e">
        <f t="shared" si="6"/>
        <v>#DIV/0!</v>
      </c>
      <c r="AA42" s="50" t="e">
        <f t="shared" si="7"/>
        <v>#DIV/0!</v>
      </c>
      <c r="AB42" s="51" t="e">
        <f t="shared" si="18"/>
        <v>#DIV/0!</v>
      </c>
      <c r="AC42" s="44" t="e">
        <f t="shared" si="18"/>
        <v>#DIV/0!</v>
      </c>
      <c r="AD42" s="44">
        <f t="shared" si="9"/>
        <v>0</v>
      </c>
      <c r="AE42" s="44">
        <f t="shared" si="17"/>
        <v>0</v>
      </c>
      <c r="AF42" s="52" t="e">
        <f>HLOOKUP(I42,GasAvoidedCostsWOCC!$A$5:$G$50,G42+1,FALSE)</f>
        <v>#N/A</v>
      </c>
      <c r="AG42" s="44" t="e">
        <f t="shared" si="10"/>
        <v>#N/A</v>
      </c>
      <c r="AH42" s="52" t="e">
        <f>HLOOKUP(I42,GasAvoidedCostsWOCC!$A$5:$Q$50,T42+1,FALSE)</f>
        <v>#N/A</v>
      </c>
      <c r="AI42" s="44" t="e">
        <f t="shared" si="11"/>
        <v>#N/A</v>
      </c>
      <c r="AJ42" s="44" t="e">
        <f t="shared" si="12"/>
        <v>#N/A</v>
      </c>
      <c r="AK42" s="44" t="e">
        <f>HLOOKUP(I42,GasAvoidedCostsWOCC!$A$5:$Q$50,G42+1,FALSE)*J42*L42</f>
        <v>#N/A</v>
      </c>
      <c r="AL42" s="44" t="e">
        <f t="shared" si="13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14"/>
        <v>0</v>
      </c>
      <c r="AO42" s="47">
        <f t="shared" si="15"/>
        <v>0</v>
      </c>
      <c r="AP42" s="47" t="e">
        <f t="shared" si="16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0"/>
        <v>0</v>
      </c>
      <c r="U43" s="47" t="e">
        <f t="shared" si="1"/>
        <v>#DIV/0!</v>
      </c>
      <c r="V43" s="48">
        <f t="shared" si="2"/>
        <v>0</v>
      </c>
      <c r="W43" s="49" t="e">
        <f t="shared" si="3"/>
        <v>#DIV/0!</v>
      </c>
      <c r="X43" s="44" t="e">
        <f t="shared" si="4"/>
        <v>#DIV/0!</v>
      </c>
      <c r="Y43" s="44">
        <f t="shared" si="5"/>
        <v>0</v>
      </c>
      <c r="Z43" s="44" t="e">
        <f t="shared" si="6"/>
        <v>#DIV/0!</v>
      </c>
      <c r="AA43" s="50" t="e">
        <f t="shared" si="7"/>
        <v>#DIV/0!</v>
      </c>
      <c r="AB43" s="51" t="e">
        <f t="shared" si="18"/>
        <v>#DIV/0!</v>
      </c>
      <c r="AC43" s="44" t="e">
        <f t="shared" si="18"/>
        <v>#DIV/0!</v>
      </c>
      <c r="AD43" s="44">
        <f t="shared" si="9"/>
        <v>0</v>
      </c>
      <c r="AE43" s="44">
        <f t="shared" si="17"/>
        <v>0</v>
      </c>
      <c r="AF43" s="52" t="e">
        <f>HLOOKUP(I43,GasAvoidedCostsWOCC!$A$5:$G$50,G43+1,FALSE)</f>
        <v>#N/A</v>
      </c>
      <c r="AG43" s="44" t="e">
        <f t="shared" si="10"/>
        <v>#N/A</v>
      </c>
      <c r="AH43" s="52" t="e">
        <f>HLOOKUP(I43,GasAvoidedCostsWOCC!$A$5:$Q$50,T43+1,FALSE)</f>
        <v>#N/A</v>
      </c>
      <c r="AI43" s="44" t="e">
        <f t="shared" si="11"/>
        <v>#N/A</v>
      </c>
      <c r="AJ43" s="44" t="e">
        <f t="shared" si="12"/>
        <v>#N/A</v>
      </c>
      <c r="AK43" s="44" t="e">
        <f>HLOOKUP(I43,GasAvoidedCostsWOCC!$A$5:$Q$50,G43+1,FALSE)*J43*L43</f>
        <v>#N/A</v>
      </c>
      <c r="AL43" s="44" t="e">
        <f t="shared" si="13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14"/>
        <v>0</v>
      </c>
      <c r="AO43" s="47">
        <f t="shared" si="15"/>
        <v>0</v>
      </c>
      <c r="AP43" s="47" t="e">
        <f t="shared" si="16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0"/>
        <v>0</v>
      </c>
      <c r="U44" s="47" t="e">
        <f t="shared" si="1"/>
        <v>#DIV/0!</v>
      </c>
      <c r="V44" s="48">
        <f t="shared" si="2"/>
        <v>0</v>
      </c>
      <c r="W44" s="49" t="e">
        <f t="shared" si="3"/>
        <v>#DIV/0!</v>
      </c>
      <c r="X44" s="44" t="e">
        <f t="shared" si="4"/>
        <v>#DIV/0!</v>
      </c>
      <c r="Y44" s="44">
        <f t="shared" si="5"/>
        <v>0</v>
      </c>
      <c r="Z44" s="44" t="e">
        <f t="shared" si="6"/>
        <v>#DIV/0!</v>
      </c>
      <c r="AA44" s="50" t="e">
        <f t="shared" si="7"/>
        <v>#DIV/0!</v>
      </c>
      <c r="AB44" s="51" t="e">
        <f t="shared" si="18"/>
        <v>#DIV/0!</v>
      </c>
      <c r="AC44" s="44" t="e">
        <f t="shared" si="18"/>
        <v>#DIV/0!</v>
      </c>
      <c r="AD44" s="44">
        <f t="shared" si="9"/>
        <v>0</v>
      </c>
      <c r="AE44" s="44">
        <f t="shared" si="17"/>
        <v>0</v>
      </c>
      <c r="AF44" s="52" t="e">
        <f>HLOOKUP(I44,GasAvoidedCostsWOCC!$A$5:$G$50,G44+1,FALSE)</f>
        <v>#N/A</v>
      </c>
      <c r="AG44" s="44" t="e">
        <f t="shared" si="10"/>
        <v>#N/A</v>
      </c>
      <c r="AH44" s="52" t="e">
        <f>HLOOKUP(I44,GasAvoidedCostsWOCC!$A$5:$Q$50,T44+1,FALSE)</f>
        <v>#N/A</v>
      </c>
      <c r="AI44" s="44" t="e">
        <f t="shared" si="11"/>
        <v>#N/A</v>
      </c>
      <c r="AJ44" s="44" t="e">
        <f t="shared" si="12"/>
        <v>#N/A</v>
      </c>
      <c r="AK44" s="44" t="e">
        <f>HLOOKUP(I44,GasAvoidedCostsWOCC!$A$5:$Q$50,G44+1,FALSE)*J44*L44</f>
        <v>#N/A</v>
      </c>
      <c r="AL44" s="44" t="e">
        <f t="shared" si="13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14"/>
        <v>0</v>
      </c>
      <c r="AO44" s="47">
        <f t="shared" si="15"/>
        <v>0</v>
      </c>
      <c r="AP44" s="47" t="e">
        <f t="shared" si="16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0"/>
        <v>0</v>
      </c>
      <c r="U45" s="47" t="e">
        <f t="shared" si="1"/>
        <v>#DIV/0!</v>
      </c>
      <c r="V45" s="48">
        <f t="shared" si="2"/>
        <v>0</v>
      </c>
      <c r="W45" s="49" t="e">
        <f t="shared" si="3"/>
        <v>#DIV/0!</v>
      </c>
      <c r="X45" s="44" t="e">
        <f t="shared" si="4"/>
        <v>#DIV/0!</v>
      </c>
      <c r="Y45" s="44">
        <f t="shared" si="5"/>
        <v>0</v>
      </c>
      <c r="Z45" s="44" t="e">
        <f t="shared" si="6"/>
        <v>#DIV/0!</v>
      </c>
      <c r="AA45" s="50" t="e">
        <f t="shared" si="7"/>
        <v>#DIV/0!</v>
      </c>
      <c r="AB45" s="51" t="e">
        <f t="shared" si="18"/>
        <v>#DIV/0!</v>
      </c>
      <c r="AC45" s="44" t="e">
        <f t="shared" si="18"/>
        <v>#DIV/0!</v>
      </c>
      <c r="AD45" s="44">
        <f t="shared" si="9"/>
        <v>0</v>
      </c>
      <c r="AE45" s="44">
        <f t="shared" si="17"/>
        <v>0</v>
      </c>
      <c r="AF45" s="52" t="e">
        <f>HLOOKUP(I45,GasAvoidedCostsWOCC!$A$5:$G$50,G45+1,FALSE)</f>
        <v>#N/A</v>
      </c>
      <c r="AG45" s="44" t="e">
        <f t="shared" si="10"/>
        <v>#N/A</v>
      </c>
      <c r="AH45" s="52" t="e">
        <f>HLOOKUP(I45,GasAvoidedCostsWOCC!$A$5:$Q$50,T45+1,FALSE)</f>
        <v>#N/A</v>
      </c>
      <c r="AI45" s="44" t="e">
        <f t="shared" si="11"/>
        <v>#N/A</v>
      </c>
      <c r="AJ45" s="44" t="e">
        <f t="shared" si="12"/>
        <v>#N/A</v>
      </c>
      <c r="AK45" s="44" t="e">
        <f>HLOOKUP(I45,GasAvoidedCostsWOCC!$A$5:$Q$50,G45+1,FALSE)*J45*L45</f>
        <v>#N/A</v>
      </c>
      <c r="AL45" s="44" t="e">
        <f t="shared" si="13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14"/>
        <v>0</v>
      </c>
      <c r="AO45" s="47">
        <f t="shared" si="15"/>
        <v>0</v>
      </c>
      <c r="AP45" s="47" t="e">
        <f t="shared" si="16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0"/>
        <v>0</v>
      </c>
      <c r="U46" s="47" t="e">
        <f t="shared" si="1"/>
        <v>#DIV/0!</v>
      </c>
      <c r="V46" s="48">
        <f t="shared" si="2"/>
        <v>0</v>
      </c>
      <c r="W46" s="49" t="e">
        <f t="shared" si="3"/>
        <v>#DIV/0!</v>
      </c>
      <c r="X46" s="44" t="e">
        <f t="shared" si="4"/>
        <v>#DIV/0!</v>
      </c>
      <c r="Y46" s="44">
        <f t="shared" si="5"/>
        <v>0</v>
      </c>
      <c r="Z46" s="44" t="e">
        <f t="shared" si="6"/>
        <v>#DIV/0!</v>
      </c>
      <c r="AA46" s="50" t="e">
        <f t="shared" si="7"/>
        <v>#DIV/0!</v>
      </c>
      <c r="AB46" s="51" t="e">
        <f t="shared" si="18"/>
        <v>#DIV/0!</v>
      </c>
      <c r="AC46" s="44" t="e">
        <f t="shared" si="18"/>
        <v>#DIV/0!</v>
      </c>
      <c r="AD46" s="44">
        <f t="shared" si="9"/>
        <v>0</v>
      </c>
      <c r="AE46" s="44">
        <f t="shared" si="17"/>
        <v>0</v>
      </c>
      <c r="AF46" s="52" t="e">
        <f>HLOOKUP(I46,GasAvoidedCostsWOCC!$A$5:$G$50,G46+1,FALSE)</f>
        <v>#N/A</v>
      </c>
      <c r="AG46" s="44" t="e">
        <f t="shared" si="10"/>
        <v>#N/A</v>
      </c>
      <c r="AH46" s="52" t="e">
        <f>HLOOKUP(I46,GasAvoidedCostsWOCC!$A$5:$Q$50,T46+1,FALSE)</f>
        <v>#N/A</v>
      </c>
      <c r="AI46" s="44" t="e">
        <f t="shared" si="11"/>
        <v>#N/A</v>
      </c>
      <c r="AJ46" s="44" t="e">
        <f t="shared" si="12"/>
        <v>#N/A</v>
      </c>
      <c r="AK46" s="44" t="e">
        <f>HLOOKUP(I46,GasAvoidedCostsWOCC!$A$5:$Q$50,G46+1,FALSE)*J46*L46</f>
        <v>#N/A</v>
      </c>
      <c r="AL46" s="44" t="e">
        <f t="shared" si="13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14"/>
        <v>0</v>
      </c>
      <c r="AO46" s="47">
        <f t="shared" si="15"/>
        <v>0</v>
      </c>
      <c r="AP46" s="47" t="e">
        <f t="shared" si="16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0"/>
        <v>0</v>
      </c>
      <c r="U47" s="47" t="e">
        <f t="shared" si="1"/>
        <v>#DIV/0!</v>
      </c>
      <c r="V47" s="48">
        <f t="shared" si="2"/>
        <v>0</v>
      </c>
      <c r="W47" s="49" t="e">
        <f t="shared" si="3"/>
        <v>#DIV/0!</v>
      </c>
      <c r="X47" s="44" t="e">
        <f t="shared" si="4"/>
        <v>#DIV/0!</v>
      </c>
      <c r="Y47" s="44">
        <f t="shared" si="5"/>
        <v>0</v>
      </c>
      <c r="Z47" s="44" t="e">
        <f t="shared" si="6"/>
        <v>#DIV/0!</v>
      </c>
      <c r="AA47" s="50" t="e">
        <f t="shared" si="7"/>
        <v>#DIV/0!</v>
      </c>
      <c r="AB47" s="51" t="e">
        <f t="shared" si="18"/>
        <v>#DIV/0!</v>
      </c>
      <c r="AC47" s="44" t="e">
        <f t="shared" si="18"/>
        <v>#DIV/0!</v>
      </c>
      <c r="AD47" s="44">
        <f t="shared" si="9"/>
        <v>0</v>
      </c>
      <c r="AE47" s="44">
        <f t="shared" si="17"/>
        <v>0</v>
      </c>
      <c r="AF47" s="52" t="e">
        <f>HLOOKUP(I47,GasAvoidedCostsWOCC!$A$5:$G$50,G47+1,FALSE)</f>
        <v>#N/A</v>
      </c>
      <c r="AG47" s="44" t="e">
        <f t="shared" si="10"/>
        <v>#N/A</v>
      </c>
      <c r="AH47" s="52" t="e">
        <f>HLOOKUP(I47,GasAvoidedCostsWOCC!$A$5:$Q$50,T47+1,FALSE)</f>
        <v>#N/A</v>
      </c>
      <c r="AI47" s="44" t="e">
        <f t="shared" si="11"/>
        <v>#N/A</v>
      </c>
      <c r="AJ47" s="44" t="e">
        <f t="shared" si="12"/>
        <v>#N/A</v>
      </c>
      <c r="AK47" s="44" t="e">
        <f>HLOOKUP(I47,GasAvoidedCostsWOCC!$A$5:$Q$50,G47+1,FALSE)*J47*L47</f>
        <v>#N/A</v>
      </c>
      <c r="AL47" s="44" t="e">
        <f t="shared" si="13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14"/>
        <v>0</v>
      </c>
      <c r="AO47" s="47">
        <f t="shared" si="15"/>
        <v>0</v>
      </c>
      <c r="AP47" s="47" t="e">
        <f t="shared" si="16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0"/>
        <v>0</v>
      </c>
      <c r="U48" s="47" t="e">
        <f t="shared" si="1"/>
        <v>#DIV/0!</v>
      </c>
      <c r="V48" s="48">
        <f t="shared" si="2"/>
        <v>0</v>
      </c>
      <c r="W48" s="49" t="e">
        <f t="shared" si="3"/>
        <v>#DIV/0!</v>
      </c>
      <c r="X48" s="44" t="e">
        <f t="shared" si="4"/>
        <v>#DIV/0!</v>
      </c>
      <c r="Y48" s="44">
        <f t="shared" si="5"/>
        <v>0</v>
      </c>
      <c r="Z48" s="44" t="e">
        <f t="shared" si="6"/>
        <v>#DIV/0!</v>
      </c>
      <c r="AA48" s="50" t="e">
        <f t="shared" si="7"/>
        <v>#DIV/0!</v>
      </c>
      <c r="AB48" s="51" t="e">
        <f t="shared" si="18"/>
        <v>#DIV/0!</v>
      </c>
      <c r="AC48" s="44" t="e">
        <f t="shared" si="18"/>
        <v>#DIV/0!</v>
      </c>
      <c r="AD48" s="44">
        <f t="shared" si="9"/>
        <v>0</v>
      </c>
      <c r="AE48" s="44">
        <f t="shared" si="17"/>
        <v>0</v>
      </c>
      <c r="AF48" s="52" t="e">
        <f>HLOOKUP(I48,GasAvoidedCostsWOCC!$A$5:$G$50,G48+1,FALSE)</f>
        <v>#N/A</v>
      </c>
      <c r="AG48" s="44" t="e">
        <f t="shared" si="10"/>
        <v>#N/A</v>
      </c>
      <c r="AH48" s="52" t="e">
        <f>HLOOKUP(I48,GasAvoidedCostsWOCC!$A$5:$Q$50,T48+1,FALSE)</f>
        <v>#N/A</v>
      </c>
      <c r="AI48" s="44" t="e">
        <f t="shared" si="11"/>
        <v>#N/A</v>
      </c>
      <c r="AJ48" s="44" t="e">
        <f t="shared" si="12"/>
        <v>#N/A</v>
      </c>
      <c r="AK48" s="44" t="e">
        <f>HLOOKUP(I48,GasAvoidedCostsWOCC!$A$5:$Q$50,G48+1,FALSE)*J48*L48</f>
        <v>#N/A</v>
      </c>
      <c r="AL48" s="44" t="e">
        <f t="shared" si="13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14"/>
        <v>0</v>
      </c>
      <c r="AO48" s="47">
        <f t="shared" si="15"/>
        <v>0</v>
      </c>
      <c r="AP48" s="47" t="e">
        <f t="shared" si="16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0"/>
        <v>0</v>
      </c>
      <c r="U49" s="47" t="e">
        <f t="shared" si="1"/>
        <v>#DIV/0!</v>
      </c>
      <c r="V49" s="48">
        <f t="shared" si="2"/>
        <v>0</v>
      </c>
      <c r="W49" s="49" t="e">
        <f t="shared" si="3"/>
        <v>#DIV/0!</v>
      </c>
      <c r="X49" s="44" t="e">
        <f t="shared" si="4"/>
        <v>#DIV/0!</v>
      </c>
      <c r="Y49" s="44">
        <f t="shared" si="5"/>
        <v>0</v>
      </c>
      <c r="Z49" s="44" t="e">
        <f t="shared" si="6"/>
        <v>#DIV/0!</v>
      </c>
      <c r="AA49" s="50" t="e">
        <f t="shared" si="7"/>
        <v>#DIV/0!</v>
      </c>
      <c r="AB49" s="51" t="e">
        <f t="shared" si="18"/>
        <v>#DIV/0!</v>
      </c>
      <c r="AC49" s="44" t="e">
        <f t="shared" si="18"/>
        <v>#DIV/0!</v>
      </c>
      <c r="AD49" s="44">
        <f t="shared" si="9"/>
        <v>0</v>
      </c>
      <c r="AE49" s="44">
        <f t="shared" si="17"/>
        <v>0</v>
      </c>
      <c r="AF49" s="52" t="e">
        <f>HLOOKUP(I49,GasAvoidedCostsWOCC!$A$5:$G$50,G49+1,FALSE)</f>
        <v>#N/A</v>
      </c>
      <c r="AG49" s="44" t="e">
        <f t="shared" si="10"/>
        <v>#N/A</v>
      </c>
      <c r="AH49" s="52" t="e">
        <f>HLOOKUP(I49,GasAvoidedCostsWOCC!$A$5:$Q$50,T49+1,FALSE)</f>
        <v>#N/A</v>
      </c>
      <c r="AI49" s="44" t="e">
        <f t="shared" si="11"/>
        <v>#N/A</v>
      </c>
      <c r="AJ49" s="44" t="e">
        <f t="shared" si="12"/>
        <v>#N/A</v>
      </c>
      <c r="AK49" s="44" t="e">
        <f>HLOOKUP(I49,GasAvoidedCostsWOCC!$A$5:$Q$50,G49+1,FALSE)*J49*L49</f>
        <v>#N/A</v>
      </c>
      <c r="AL49" s="44" t="e">
        <f t="shared" si="13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14"/>
        <v>0</v>
      </c>
      <c r="AO49" s="47">
        <f t="shared" si="15"/>
        <v>0</v>
      </c>
      <c r="AP49" s="47" t="e">
        <f t="shared" si="16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0"/>
        <v>0</v>
      </c>
      <c r="U50" s="47" t="e">
        <f t="shared" si="1"/>
        <v>#DIV/0!</v>
      </c>
      <c r="V50" s="48">
        <f t="shared" si="2"/>
        <v>0</v>
      </c>
      <c r="W50" s="49" t="e">
        <f t="shared" si="3"/>
        <v>#DIV/0!</v>
      </c>
      <c r="X50" s="44" t="e">
        <f t="shared" si="4"/>
        <v>#DIV/0!</v>
      </c>
      <c r="Y50" s="44">
        <f t="shared" si="5"/>
        <v>0</v>
      </c>
      <c r="Z50" s="44" t="e">
        <f t="shared" si="6"/>
        <v>#DIV/0!</v>
      </c>
      <c r="AA50" s="50" t="e">
        <f t="shared" si="7"/>
        <v>#DIV/0!</v>
      </c>
      <c r="AB50" s="51" t="e">
        <f t="shared" si="18"/>
        <v>#DIV/0!</v>
      </c>
      <c r="AC50" s="44" t="e">
        <f t="shared" si="18"/>
        <v>#DIV/0!</v>
      </c>
      <c r="AD50" s="44">
        <f t="shared" si="9"/>
        <v>0</v>
      </c>
      <c r="AE50" s="44">
        <f t="shared" si="17"/>
        <v>0</v>
      </c>
      <c r="AF50" s="52" t="e">
        <f>HLOOKUP(I50,GasAvoidedCostsWOCC!$A$5:$G$50,G50+1,FALSE)</f>
        <v>#N/A</v>
      </c>
      <c r="AG50" s="44" t="e">
        <f t="shared" si="10"/>
        <v>#N/A</v>
      </c>
      <c r="AH50" s="52" t="e">
        <f>HLOOKUP(I50,GasAvoidedCostsWOCC!$A$5:$Q$50,T50+1,FALSE)</f>
        <v>#N/A</v>
      </c>
      <c r="AI50" s="44" t="e">
        <f t="shared" si="11"/>
        <v>#N/A</v>
      </c>
      <c r="AJ50" s="44" t="e">
        <f t="shared" si="12"/>
        <v>#N/A</v>
      </c>
      <c r="AK50" s="44" t="e">
        <f>HLOOKUP(I50,GasAvoidedCostsWOCC!$A$5:$Q$50,G50+1,FALSE)*J50*L50</f>
        <v>#N/A</v>
      </c>
      <c r="AL50" s="44" t="e">
        <f t="shared" si="13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14"/>
        <v>0</v>
      </c>
      <c r="AO50" s="47">
        <f t="shared" si="15"/>
        <v>0</v>
      </c>
      <c r="AP50" s="47" t="e">
        <f t="shared" si="16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0"/>
        <v>0</v>
      </c>
      <c r="U51" s="47" t="e">
        <f t="shared" si="1"/>
        <v>#DIV/0!</v>
      </c>
      <c r="V51" s="48">
        <f t="shared" si="2"/>
        <v>0</v>
      </c>
      <c r="W51" s="49" t="e">
        <f t="shared" si="3"/>
        <v>#DIV/0!</v>
      </c>
      <c r="X51" s="44" t="e">
        <f t="shared" si="4"/>
        <v>#DIV/0!</v>
      </c>
      <c r="Y51" s="44">
        <f t="shared" si="5"/>
        <v>0</v>
      </c>
      <c r="Z51" s="44" t="e">
        <f t="shared" si="6"/>
        <v>#DIV/0!</v>
      </c>
      <c r="AA51" s="50" t="e">
        <f t="shared" si="7"/>
        <v>#DIV/0!</v>
      </c>
      <c r="AB51" s="51" t="e">
        <f t="shared" si="18"/>
        <v>#DIV/0!</v>
      </c>
      <c r="AC51" s="44" t="e">
        <f t="shared" si="18"/>
        <v>#DIV/0!</v>
      </c>
      <c r="AD51" s="44">
        <f t="shared" si="9"/>
        <v>0</v>
      </c>
      <c r="AE51" s="44">
        <f t="shared" si="17"/>
        <v>0</v>
      </c>
      <c r="AF51" s="52" t="e">
        <f>HLOOKUP(I51,GasAvoidedCostsWOCC!$A$5:$G$50,G51+1,FALSE)</f>
        <v>#N/A</v>
      </c>
      <c r="AG51" s="44" t="e">
        <f t="shared" si="10"/>
        <v>#N/A</v>
      </c>
      <c r="AH51" s="52" t="e">
        <f>HLOOKUP(I51,GasAvoidedCostsWOCC!$A$5:$Q$50,T51+1,FALSE)</f>
        <v>#N/A</v>
      </c>
      <c r="AI51" s="44" t="e">
        <f t="shared" si="11"/>
        <v>#N/A</v>
      </c>
      <c r="AJ51" s="44" t="e">
        <f t="shared" si="12"/>
        <v>#N/A</v>
      </c>
      <c r="AK51" s="44" t="e">
        <f>HLOOKUP(I51,GasAvoidedCostsWOCC!$A$5:$Q$50,G51+1,FALSE)*J51*L51</f>
        <v>#N/A</v>
      </c>
      <c r="AL51" s="44" t="e">
        <f t="shared" si="13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14"/>
        <v>0</v>
      </c>
      <c r="AO51" s="47">
        <f t="shared" si="15"/>
        <v>0</v>
      </c>
      <c r="AP51" s="47" t="e">
        <f t="shared" si="16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0"/>
        <v>0</v>
      </c>
      <c r="U52" s="47" t="e">
        <f t="shared" si="1"/>
        <v>#DIV/0!</v>
      </c>
      <c r="V52" s="48">
        <f t="shared" si="2"/>
        <v>0</v>
      </c>
      <c r="W52" s="49" t="e">
        <f t="shared" si="3"/>
        <v>#DIV/0!</v>
      </c>
      <c r="X52" s="44" t="e">
        <f t="shared" si="4"/>
        <v>#DIV/0!</v>
      </c>
      <c r="Y52" s="44">
        <f t="shared" si="5"/>
        <v>0</v>
      </c>
      <c r="Z52" s="44" t="e">
        <f t="shared" si="6"/>
        <v>#DIV/0!</v>
      </c>
      <c r="AA52" s="50" t="e">
        <f t="shared" si="7"/>
        <v>#DIV/0!</v>
      </c>
      <c r="AB52" s="51" t="e">
        <f t="shared" si="18"/>
        <v>#DIV/0!</v>
      </c>
      <c r="AC52" s="44" t="e">
        <f t="shared" si="18"/>
        <v>#DIV/0!</v>
      </c>
      <c r="AD52" s="44">
        <f t="shared" si="9"/>
        <v>0</v>
      </c>
      <c r="AE52" s="44">
        <f t="shared" si="17"/>
        <v>0</v>
      </c>
      <c r="AF52" s="52" t="e">
        <f>HLOOKUP(I52,GasAvoidedCostsWOCC!$A$5:$G$50,G52+1,FALSE)</f>
        <v>#N/A</v>
      </c>
      <c r="AG52" s="44" t="e">
        <f t="shared" si="10"/>
        <v>#N/A</v>
      </c>
      <c r="AH52" s="52" t="e">
        <f>HLOOKUP(I52,GasAvoidedCostsWOCC!$A$5:$Q$50,T52+1,FALSE)</f>
        <v>#N/A</v>
      </c>
      <c r="AI52" s="44" t="e">
        <f t="shared" si="11"/>
        <v>#N/A</v>
      </c>
      <c r="AJ52" s="44" t="e">
        <f t="shared" si="12"/>
        <v>#N/A</v>
      </c>
      <c r="AK52" s="44" t="e">
        <f>HLOOKUP(I52,GasAvoidedCostsWOCC!$A$5:$Q$50,G52+1,FALSE)*J52*L52</f>
        <v>#N/A</v>
      </c>
      <c r="AL52" s="44" t="e">
        <f t="shared" si="13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14"/>
        <v>0</v>
      </c>
      <c r="AO52" s="47">
        <f t="shared" si="15"/>
        <v>0</v>
      </c>
      <c r="AP52" s="47" t="e">
        <f t="shared" si="16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0"/>
        <v>0</v>
      </c>
      <c r="U53" s="47" t="e">
        <f t="shared" si="1"/>
        <v>#DIV/0!</v>
      </c>
      <c r="V53" s="48">
        <f t="shared" si="2"/>
        <v>0</v>
      </c>
      <c r="W53" s="49" t="e">
        <f t="shared" si="3"/>
        <v>#DIV/0!</v>
      </c>
      <c r="X53" s="44" t="e">
        <f t="shared" si="4"/>
        <v>#DIV/0!</v>
      </c>
      <c r="Y53" s="44">
        <f t="shared" si="5"/>
        <v>0</v>
      </c>
      <c r="Z53" s="44" t="e">
        <f t="shared" si="6"/>
        <v>#DIV/0!</v>
      </c>
      <c r="AA53" s="50" t="e">
        <f t="shared" si="7"/>
        <v>#DIV/0!</v>
      </c>
      <c r="AB53" s="51" t="e">
        <f t="shared" si="18"/>
        <v>#DIV/0!</v>
      </c>
      <c r="AC53" s="44" t="e">
        <f t="shared" si="18"/>
        <v>#DIV/0!</v>
      </c>
      <c r="AD53" s="44">
        <f t="shared" si="9"/>
        <v>0</v>
      </c>
      <c r="AE53" s="44">
        <f t="shared" si="17"/>
        <v>0</v>
      </c>
      <c r="AF53" s="52" t="e">
        <f>HLOOKUP(I53,GasAvoidedCostsWOCC!$A$5:$G$50,G53+1,FALSE)</f>
        <v>#N/A</v>
      </c>
      <c r="AG53" s="44" t="e">
        <f t="shared" si="10"/>
        <v>#N/A</v>
      </c>
      <c r="AH53" s="52" t="e">
        <f>HLOOKUP(I53,GasAvoidedCostsWOCC!$A$5:$Q$50,T53+1,FALSE)</f>
        <v>#N/A</v>
      </c>
      <c r="AI53" s="44" t="e">
        <f t="shared" si="11"/>
        <v>#N/A</v>
      </c>
      <c r="AJ53" s="44" t="e">
        <f t="shared" si="12"/>
        <v>#N/A</v>
      </c>
      <c r="AK53" s="44" t="e">
        <f>HLOOKUP(I53,GasAvoidedCostsWOCC!$A$5:$Q$50,G53+1,FALSE)*J53*L53</f>
        <v>#N/A</v>
      </c>
      <c r="AL53" s="44" t="e">
        <f t="shared" si="13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14"/>
        <v>0</v>
      </c>
      <c r="AO53" s="47">
        <f t="shared" si="15"/>
        <v>0</v>
      </c>
      <c r="AP53" s="47" t="e">
        <f t="shared" si="16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0"/>
        <v>0</v>
      </c>
      <c r="U54" s="47" t="e">
        <f t="shared" si="1"/>
        <v>#DIV/0!</v>
      </c>
      <c r="V54" s="48">
        <f t="shared" si="2"/>
        <v>0</v>
      </c>
      <c r="W54" s="49" t="e">
        <f t="shared" si="3"/>
        <v>#DIV/0!</v>
      </c>
      <c r="X54" s="44" t="e">
        <f t="shared" si="4"/>
        <v>#DIV/0!</v>
      </c>
      <c r="Y54" s="44">
        <f t="shared" si="5"/>
        <v>0</v>
      </c>
      <c r="Z54" s="44" t="e">
        <f t="shared" si="6"/>
        <v>#DIV/0!</v>
      </c>
      <c r="AA54" s="50" t="e">
        <f t="shared" si="7"/>
        <v>#DIV/0!</v>
      </c>
      <c r="AB54" s="51" t="e">
        <f t="shared" si="18"/>
        <v>#DIV/0!</v>
      </c>
      <c r="AC54" s="44" t="e">
        <f t="shared" si="18"/>
        <v>#DIV/0!</v>
      </c>
      <c r="AD54" s="44">
        <f t="shared" si="9"/>
        <v>0</v>
      </c>
      <c r="AE54" s="44">
        <f t="shared" si="17"/>
        <v>0</v>
      </c>
      <c r="AF54" s="52" t="e">
        <f>HLOOKUP(I54,GasAvoidedCostsWOCC!$A$5:$G$50,G54+1,FALSE)</f>
        <v>#N/A</v>
      </c>
      <c r="AG54" s="44" t="e">
        <f t="shared" si="10"/>
        <v>#N/A</v>
      </c>
      <c r="AH54" s="52" t="e">
        <f>HLOOKUP(I54,GasAvoidedCostsWOCC!$A$5:$Q$50,T54+1,FALSE)</f>
        <v>#N/A</v>
      </c>
      <c r="AI54" s="44" t="e">
        <f t="shared" si="11"/>
        <v>#N/A</v>
      </c>
      <c r="AJ54" s="44" t="e">
        <f t="shared" si="12"/>
        <v>#N/A</v>
      </c>
      <c r="AK54" s="44" t="e">
        <f>HLOOKUP(I54,GasAvoidedCostsWOCC!$A$5:$Q$50,G54+1,FALSE)*J54*L54</f>
        <v>#N/A</v>
      </c>
      <c r="AL54" s="44" t="e">
        <f t="shared" si="1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14"/>
        <v>0</v>
      </c>
      <c r="AO54" s="47">
        <f t="shared" si="15"/>
        <v>0</v>
      </c>
      <c r="AP54" s="47" t="e">
        <f t="shared" si="16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0"/>
        <v>0</v>
      </c>
      <c r="U55" s="47" t="e">
        <f t="shared" si="1"/>
        <v>#DIV/0!</v>
      </c>
      <c r="V55" s="48">
        <f t="shared" si="2"/>
        <v>0</v>
      </c>
      <c r="W55" s="49" t="e">
        <f t="shared" si="3"/>
        <v>#DIV/0!</v>
      </c>
      <c r="X55" s="44" t="e">
        <f t="shared" si="4"/>
        <v>#DIV/0!</v>
      </c>
      <c r="Y55" s="44">
        <f t="shared" si="5"/>
        <v>0</v>
      </c>
      <c r="Z55" s="44" t="e">
        <f t="shared" si="6"/>
        <v>#DIV/0!</v>
      </c>
      <c r="AA55" s="50" t="e">
        <f t="shared" si="7"/>
        <v>#DIV/0!</v>
      </c>
      <c r="AB55" s="51" t="e">
        <f t="shared" si="18"/>
        <v>#DIV/0!</v>
      </c>
      <c r="AC55" s="44" t="e">
        <f t="shared" si="18"/>
        <v>#DIV/0!</v>
      </c>
      <c r="AD55" s="44">
        <f t="shared" si="9"/>
        <v>0</v>
      </c>
      <c r="AE55" s="44">
        <f t="shared" si="17"/>
        <v>0</v>
      </c>
      <c r="AF55" s="52" t="e">
        <f>HLOOKUP(I55,GasAvoidedCostsWOCC!$A$5:$G$50,G55+1,FALSE)</f>
        <v>#N/A</v>
      </c>
      <c r="AG55" s="44" t="e">
        <f t="shared" si="10"/>
        <v>#N/A</v>
      </c>
      <c r="AH55" s="52" t="e">
        <f>HLOOKUP(I55,GasAvoidedCostsWOCC!$A$5:$Q$50,T55+1,FALSE)</f>
        <v>#N/A</v>
      </c>
      <c r="AI55" s="44" t="e">
        <f t="shared" si="11"/>
        <v>#N/A</v>
      </c>
      <c r="AJ55" s="44" t="e">
        <f t="shared" si="12"/>
        <v>#N/A</v>
      </c>
      <c r="AK55" s="44" t="e">
        <f>HLOOKUP(I55,GasAvoidedCostsWOCC!$A$5:$Q$50,G55+1,FALSE)*J55*L55</f>
        <v>#N/A</v>
      </c>
      <c r="AL55" s="44" t="e">
        <f t="shared" si="1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14"/>
        <v>0</v>
      </c>
      <c r="AO55" s="47">
        <f t="shared" si="15"/>
        <v>0</v>
      </c>
      <c r="AP55" s="47" t="e">
        <f t="shared" si="16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0"/>
        <v>0</v>
      </c>
      <c r="U56" s="47" t="e">
        <f t="shared" si="1"/>
        <v>#DIV/0!</v>
      </c>
      <c r="V56" s="48">
        <f t="shared" si="2"/>
        <v>0</v>
      </c>
      <c r="W56" s="49" t="e">
        <f t="shared" si="3"/>
        <v>#DIV/0!</v>
      </c>
      <c r="X56" s="44" t="e">
        <f t="shared" si="4"/>
        <v>#DIV/0!</v>
      </c>
      <c r="Y56" s="44">
        <f t="shared" si="5"/>
        <v>0</v>
      </c>
      <c r="Z56" s="44" t="e">
        <f t="shared" si="6"/>
        <v>#DIV/0!</v>
      </c>
      <c r="AA56" s="50" t="e">
        <f t="shared" si="7"/>
        <v>#DIV/0!</v>
      </c>
      <c r="AB56" s="51" t="e">
        <f t="shared" si="18"/>
        <v>#DIV/0!</v>
      </c>
      <c r="AC56" s="44" t="e">
        <f t="shared" si="18"/>
        <v>#DIV/0!</v>
      </c>
      <c r="AD56" s="44">
        <f t="shared" si="9"/>
        <v>0</v>
      </c>
      <c r="AE56" s="44">
        <f t="shared" si="17"/>
        <v>0</v>
      </c>
      <c r="AF56" s="52" t="e">
        <f>HLOOKUP(I56,GasAvoidedCostsWOCC!$A$5:$G$50,G56+1,FALSE)</f>
        <v>#N/A</v>
      </c>
      <c r="AG56" s="44" t="e">
        <f t="shared" si="10"/>
        <v>#N/A</v>
      </c>
      <c r="AH56" s="52" t="e">
        <f>HLOOKUP(I56,GasAvoidedCostsWOCC!$A$5:$Q$50,T56+1,FALSE)</f>
        <v>#N/A</v>
      </c>
      <c r="AI56" s="44" t="e">
        <f t="shared" si="11"/>
        <v>#N/A</v>
      </c>
      <c r="AJ56" s="44" t="e">
        <f t="shared" si="12"/>
        <v>#N/A</v>
      </c>
      <c r="AK56" s="44" t="e">
        <f>HLOOKUP(I56,GasAvoidedCostsWOCC!$A$5:$Q$50,G56+1,FALSE)*J56*L56</f>
        <v>#N/A</v>
      </c>
      <c r="AL56" s="44" t="e">
        <f t="shared" si="1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14"/>
        <v>0</v>
      </c>
      <c r="AO56" s="47">
        <f t="shared" si="15"/>
        <v>0</v>
      </c>
      <c r="AP56" s="47" t="e">
        <f t="shared" si="16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0"/>
        <v>0</v>
      </c>
      <c r="U57" s="47" t="e">
        <f t="shared" si="1"/>
        <v>#DIV/0!</v>
      </c>
      <c r="V57" s="48">
        <f t="shared" si="2"/>
        <v>0</v>
      </c>
      <c r="W57" s="49" t="e">
        <f t="shared" si="3"/>
        <v>#DIV/0!</v>
      </c>
      <c r="X57" s="44" t="e">
        <f t="shared" si="4"/>
        <v>#DIV/0!</v>
      </c>
      <c r="Y57" s="44">
        <f t="shared" si="5"/>
        <v>0</v>
      </c>
      <c r="Z57" s="44" t="e">
        <f t="shared" si="6"/>
        <v>#DIV/0!</v>
      </c>
      <c r="AA57" s="50" t="e">
        <f t="shared" si="7"/>
        <v>#DIV/0!</v>
      </c>
      <c r="AB57" s="51" t="e">
        <f t="shared" si="18"/>
        <v>#DIV/0!</v>
      </c>
      <c r="AC57" s="44" t="e">
        <f t="shared" si="18"/>
        <v>#DIV/0!</v>
      </c>
      <c r="AD57" s="44">
        <f t="shared" si="9"/>
        <v>0</v>
      </c>
      <c r="AE57" s="44">
        <f t="shared" si="17"/>
        <v>0</v>
      </c>
      <c r="AF57" s="52" t="e">
        <f>HLOOKUP(I57,GasAvoidedCostsWOCC!$A$5:$G$50,G57+1,FALSE)</f>
        <v>#N/A</v>
      </c>
      <c r="AG57" s="44" t="e">
        <f t="shared" si="10"/>
        <v>#N/A</v>
      </c>
      <c r="AH57" s="52" t="e">
        <f>HLOOKUP(I57,GasAvoidedCostsWOCC!$A$5:$Q$50,T57+1,FALSE)</f>
        <v>#N/A</v>
      </c>
      <c r="AI57" s="44" t="e">
        <f t="shared" si="11"/>
        <v>#N/A</v>
      </c>
      <c r="AJ57" s="44" t="e">
        <f t="shared" si="12"/>
        <v>#N/A</v>
      </c>
      <c r="AK57" s="44" t="e">
        <f>HLOOKUP(I57,GasAvoidedCostsWOCC!$A$5:$Q$50,G57+1,FALSE)*J57*L57</f>
        <v>#N/A</v>
      </c>
      <c r="AL57" s="44" t="e">
        <f t="shared" si="1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14"/>
        <v>0</v>
      </c>
      <c r="AO57" s="47">
        <f t="shared" si="15"/>
        <v>0</v>
      </c>
      <c r="AP57" s="47" t="e">
        <f t="shared" si="16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0"/>
        <v>0</v>
      </c>
      <c r="U58" s="47" t="e">
        <f t="shared" si="1"/>
        <v>#DIV/0!</v>
      </c>
      <c r="V58" s="48">
        <f t="shared" si="2"/>
        <v>0</v>
      </c>
      <c r="W58" s="49" t="e">
        <f t="shared" si="3"/>
        <v>#DIV/0!</v>
      </c>
      <c r="X58" s="44" t="e">
        <f t="shared" si="4"/>
        <v>#DIV/0!</v>
      </c>
      <c r="Y58" s="44">
        <f t="shared" si="5"/>
        <v>0</v>
      </c>
      <c r="Z58" s="44" t="e">
        <f t="shared" si="6"/>
        <v>#DIV/0!</v>
      </c>
      <c r="AA58" s="50" t="e">
        <f t="shared" si="7"/>
        <v>#DIV/0!</v>
      </c>
      <c r="AB58" s="51" t="e">
        <f t="shared" si="18"/>
        <v>#DIV/0!</v>
      </c>
      <c r="AC58" s="44" t="e">
        <f t="shared" si="18"/>
        <v>#DIV/0!</v>
      </c>
      <c r="AD58" s="44">
        <f t="shared" si="9"/>
        <v>0</v>
      </c>
      <c r="AE58" s="44">
        <f t="shared" si="17"/>
        <v>0</v>
      </c>
      <c r="AF58" s="52" t="e">
        <f>HLOOKUP(I58,GasAvoidedCostsWOCC!$A$5:$G$50,G58+1,FALSE)</f>
        <v>#N/A</v>
      </c>
      <c r="AG58" s="44" t="e">
        <f t="shared" si="10"/>
        <v>#N/A</v>
      </c>
      <c r="AH58" s="52" t="e">
        <f>HLOOKUP(I58,GasAvoidedCostsWOCC!$A$5:$Q$50,T58+1,FALSE)</f>
        <v>#N/A</v>
      </c>
      <c r="AI58" s="44" t="e">
        <f t="shared" si="11"/>
        <v>#N/A</v>
      </c>
      <c r="AJ58" s="44" t="e">
        <f t="shared" si="12"/>
        <v>#N/A</v>
      </c>
      <c r="AK58" s="44" t="e">
        <f>HLOOKUP(I58,GasAvoidedCostsWOCC!$A$5:$Q$50,G58+1,FALSE)*J58*L58</f>
        <v>#N/A</v>
      </c>
      <c r="AL58" s="44" t="e">
        <f t="shared" si="1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14"/>
        <v>0</v>
      </c>
      <c r="AO58" s="47">
        <f t="shared" si="15"/>
        <v>0</v>
      </c>
      <c r="AP58" s="47" t="e">
        <f t="shared" si="16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0"/>
        <v>0</v>
      </c>
      <c r="U59" s="47" t="e">
        <f t="shared" si="1"/>
        <v>#DIV/0!</v>
      </c>
      <c r="V59" s="48">
        <f t="shared" si="2"/>
        <v>0</v>
      </c>
      <c r="W59" s="49" t="e">
        <f t="shared" si="3"/>
        <v>#DIV/0!</v>
      </c>
      <c r="X59" s="44" t="e">
        <f t="shared" si="4"/>
        <v>#DIV/0!</v>
      </c>
      <c r="Y59" s="44">
        <f t="shared" si="5"/>
        <v>0</v>
      </c>
      <c r="Z59" s="44" t="e">
        <f t="shared" si="6"/>
        <v>#DIV/0!</v>
      </c>
      <c r="AA59" s="50" t="e">
        <f t="shared" si="7"/>
        <v>#DIV/0!</v>
      </c>
      <c r="AB59" s="51" t="e">
        <f t="shared" si="18"/>
        <v>#DIV/0!</v>
      </c>
      <c r="AC59" s="44" t="e">
        <f t="shared" si="18"/>
        <v>#DIV/0!</v>
      </c>
      <c r="AD59" s="44">
        <f t="shared" si="9"/>
        <v>0</v>
      </c>
      <c r="AE59" s="44">
        <f t="shared" si="17"/>
        <v>0</v>
      </c>
      <c r="AF59" s="52" t="e">
        <f>HLOOKUP(I59,GasAvoidedCostsWOCC!$A$5:$G$50,G59+1,FALSE)</f>
        <v>#N/A</v>
      </c>
      <c r="AG59" s="44" t="e">
        <f t="shared" si="10"/>
        <v>#N/A</v>
      </c>
      <c r="AH59" s="52" t="e">
        <f>HLOOKUP(I59,GasAvoidedCostsWOCC!$A$5:$Q$50,T59+1,FALSE)</f>
        <v>#N/A</v>
      </c>
      <c r="AI59" s="44" t="e">
        <f t="shared" si="11"/>
        <v>#N/A</v>
      </c>
      <c r="AJ59" s="44" t="e">
        <f t="shared" si="12"/>
        <v>#N/A</v>
      </c>
      <c r="AK59" s="44" t="e">
        <f>HLOOKUP(I59,GasAvoidedCostsWOCC!$A$5:$Q$50,G59+1,FALSE)*J59*L59</f>
        <v>#N/A</v>
      </c>
      <c r="AL59" s="44" t="e">
        <f t="shared" si="1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14"/>
        <v>0</v>
      </c>
      <c r="AO59" s="47">
        <f t="shared" si="15"/>
        <v>0</v>
      </c>
      <c r="AP59" s="47" t="e">
        <f t="shared" si="16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0"/>
        <v>0</v>
      </c>
      <c r="U60" s="47" t="e">
        <f t="shared" si="1"/>
        <v>#DIV/0!</v>
      </c>
      <c r="V60" s="48">
        <f t="shared" si="2"/>
        <v>0</v>
      </c>
      <c r="W60" s="49" t="e">
        <f t="shared" si="3"/>
        <v>#DIV/0!</v>
      </c>
      <c r="X60" s="44" t="e">
        <f t="shared" si="4"/>
        <v>#DIV/0!</v>
      </c>
      <c r="Y60" s="44">
        <f t="shared" si="5"/>
        <v>0</v>
      </c>
      <c r="Z60" s="44" t="e">
        <f t="shared" si="6"/>
        <v>#DIV/0!</v>
      </c>
      <c r="AA60" s="50" t="e">
        <f t="shared" si="7"/>
        <v>#DIV/0!</v>
      </c>
      <c r="AB60" s="51" t="e">
        <f t="shared" si="18"/>
        <v>#DIV/0!</v>
      </c>
      <c r="AC60" s="44" t="e">
        <f t="shared" si="18"/>
        <v>#DIV/0!</v>
      </c>
      <c r="AD60" s="44">
        <f t="shared" si="9"/>
        <v>0</v>
      </c>
      <c r="AE60" s="44">
        <f t="shared" si="17"/>
        <v>0</v>
      </c>
      <c r="AF60" s="52" t="e">
        <f>HLOOKUP(I60,GasAvoidedCostsWOCC!$A$5:$G$50,G60+1,FALSE)</f>
        <v>#N/A</v>
      </c>
      <c r="AG60" s="44" t="e">
        <f t="shared" si="10"/>
        <v>#N/A</v>
      </c>
      <c r="AH60" s="52" t="e">
        <f>HLOOKUP(I60,GasAvoidedCostsWOCC!$A$5:$Q$50,T60+1,FALSE)</f>
        <v>#N/A</v>
      </c>
      <c r="AI60" s="44" t="e">
        <f t="shared" si="11"/>
        <v>#N/A</v>
      </c>
      <c r="AJ60" s="44" t="e">
        <f t="shared" si="12"/>
        <v>#N/A</v>
      </c>
      <c r="AK60" s="44" t="e">
        <f>HLOOKUP(I60,GasAvoidedCostsWOCC!$A$5:$Q$50,G60+1,FALSE)*J60*L60</f>
        <v>#N/A</v>
      </c>
      <c r="AL60" s="44" t="e">
        <f t="shared" si="1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14"/>
        <v>0</v>
      </c>
      <c r="AO60" s="47">
        <f t="shared" si="15"/>
        <v>0</v>
      </c>
      <c r="AP60" s="47" t="e">
        <f t="shared" si="16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0"/>
        <v>0</v>
      </c>
      <c r="U61" s="47" t="e">
        <f t="shared" si="1"/>
        <v>#DIV/0!</v>
      </c>
      <c r="V61" s="48">
        <f t="shared" si="2"/>
        <v>0</v>
      </c>
      <c r="W61" s="49" t="e">
        <f t="shared" si="3"/>
        <v>#DIV/0!</v>
      </c>
      <c r="X61" s="44" t="e">
        <f t="shared" si="4"/>
        <v>#DIV/0!</v>
      </c>
      <c r="Y61" s="44">
        <f t="shared" si="5"/>
        <v>0</v>
      </c>
      <c r="Z61" s="44" t="e">
        <f t="shared" si="6"/>
        <v>#DIV/0!</v>
      </c>
      <c r="AA61" s="50" t="e">
        <f t="shared" si="7"/>
        <v>#DIV/0!</v>
      </c>
      <c r="AB61" s="51" t="e">
        <f t="shared" si="18"/>
        <v>#DIV/0!</v>
      </c>
      <c r="AC61" s="44" t="e">
        <f t="shared" si="18"/>
        <v>#DIV/0!</v>
      </c>
      <c r="AD61" s="44">
        <f t="shared" si="9"/>
        <v>0</v>
      </c>
      <c r="AE61" s="44">
        <f t="shared" si="17"/>
        <v>0</v>
      </c>
      <c r="AF61" s="52" t="e">
        <f>HLOOKUP(I61,GasAvoidedCostsWOCC!$A$5:$G$50,G61+1,FALSE)</f>
        <v>#N/A</v>
      </c>
      <c r="AG61" s="44" t="e">
        <f t="shared" si="10"/>
        <v>#N/A</v>
      </c>
      <c r="AH61" s="52" t="e">
        <f>HLOOKUP(I61,GasAvoidedCostsWOCC!$A$5:$Q$50,T61+1,FALSE)</f>
        <v>#N/A</v>
      </c>
      <c r="AI61" s="44" t="e">
        <f t="shared" si="11"/>
        <v>#N/A</v>
      </c>
      <c r="AJ61" s="44" t="e">
        <f t="shared" si="12"/>
        <v>#N/A</v>
      </c>
      <c r="AK61" s="44" t="e">
        <f>HLOOKUP(I61,GasAvoidedCostsWOCC!$A$5:$Q$50,G61+1,FALSE)*J61*L61</f>
        <v>#N/A</v>
      </c>
      <c r="AL61" s="44" t="e">
        <f t="shared" si="1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14"/>
        <v>0</v>
      </c>
      <c r="AO61" s="47">
        <f t="shared" si="15"/>
        <v>0</v>
      </c>
      <c r="AP61" s="47" t="e">
        <f t="shared" si="16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0"/>
        <v>0</v>
      </c>
      <c r="U62" s="47" t="e">
        <f t="shared" si="1"/>
        <v>#DIV/0!</v>
      </c>
      <c r="V62" s="48">
        <f t="shared" si="2"/>
        <v>0</v>
      </c>
      <c r="W62" s="49" t="e">
        <f t="shared" si="3"/>
        <v>#DIV/0!</v>
      </c>
      <c r="X62" s="44" t="e">
        <f t="shared" si="4"/>
        <v>#DIV/0!</v>
      </c>
      <c r="Y62" s="44">
        <f t="shared" si="5"/>
        <v>0</v>
      </c>
      <c r="Z62" s="44" t="e">
        <f t="shared" si="6"/>
        <v>#DIV/0!</v>
      </c>
      <c r="AA62" s="50" t="e">
        <f t="shared" si="7"/>
        <v>#DIV/0!</v>
      </c>
      <c r="AB62" s="51" t="e">
        <f t="shared" si="18"/>
        <v>#DIV/0!</v>
      </c>
      <c r="AC62" s="44" t="e">
        <f t="shared" si="18"/>
        <v>#DIV/0!</v>
      </c>
      <c r="AD62" s="44">
        <f t="shared" si="9"/>
        <v>0</v>
      </c>
      <c r="AE62" s="44">
        <f t="shared" si="17"/>
        <v>0</v>
      </c>
      <c r="AF62" s="52" t="e">
        <f>HLOOKUP(I62,GasAvoidedCostsWOCC!$A$5:$G$50,G62+1,FALSE)</f>
        <v>#N/A</v>
      </c>
      <c r="AG62" s="44" t="e">
        <f t="shared" si="10"/>
        <v>#N/A</v>
      </c>
      <c r="AH62" s="52" t="e">
        <f>HLOOKUP(I62,GasAvoidedCostsWOCC!$A$5:$Q$50,T62+1,FALSE)</f>
        <v>#N/A</v>
      </c>
      <c r="AI62" s="44" t="e">
        <f t="shared" si="11"/>
        <v>#N/A</v>
      </c>
      <c r="AJ62" s="44" t="e">
        <f t="shared" si="12"/>
        <v>#N/A</v>
      </c>
      <c r="AK62" s="44" t="e">
        <f>HLOOKUP(I62,GasAvoidedCostsWOCC!$A$5:$Q$50,G62+1,FALSE)*J62*L62</f>
        <v>#N/A</v>
      </c>
      <c r="AL62" s="44" t="e">
        <f t="shared" si="1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14"/>
        <v>0</v>
      </c>
      <c r="AO62" s="47">
        <f t="shared" si="15"/>
        <v>0</v>
      </c>
      <c r="AP62" s="47" t="e">
        <f t="shared" si="16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0"/>
        <v>0</v>
      </c>
      <c r="U63" s="47" t="e">
        <f t="shared" si="1"/>
        <v>#DIV/0!</v>
      </c>
      <c r="V63" s="48">
        <f t="shared" si="2"/>
        <v>0</v>
      </c>
      <c r="W63" s="49" t="e">
        <f t="shared" si="3"/>
        <v>#DIV/0!</v>
      </c>
      <c r="X63" s="44" t="e">
        <f t="shared" si="4"/>
        <v>#DIV/0!</v>
      </c>
      <c r="Y63" s="44">
        <f t="shared" si="5"/>
        <v>0</v>
      </c>
      <c r="Z63" s="44" t="e">
        <f t="shared" si="6"/>
        <v>#DIV/0!</v>
      </c>
      <c r="AA63" s="50" t="e">
        <f t="shared" si="7"/>
        <v>#DIV/0!</v>
      </c>
      <c r="AB63" s="51" t="e">
        <f t="shared" si="18"/>
        <v>#DIV/0!</v>
      </c>
      <c r="AC63" s="44" t="e">
        <f t="shared" si="18"/>
        <v>#DIV/0!</v>
      </c>
      <c r="AD63" s="44">
        <f t="shared" si="9"/>
        <v>0</v>
      </c>
      <c r="AE63" s="44">
        <f t="shared" si="17"/>
        <v>0</v>
      </c>
      <c r="AF63" s="52" t="e">
        <f>HLOOKUP(I63,GasAvoidedCostsWOCC!$A$5:$G$50,G63+1,FALSE)</f>
        <v>#N/A</v>
      </c>
      <c r="AG63" s="44" t="e">
        <f t="shared" si="10"/>
        <v>#N/A</v>
      </c>
      <c r="AH63" s="52" t="e">
        <f>HLOOKUP(I63,GasAvoidedCostsWOCC!$A$5:$Q$50,T63+1,FALSE)</f>
        <v>#N/A</v>
      </c>
      <c r="AI63" s="44" t="e">
        <f t="shared" si="11"/>
        <v>#N/A</v>
      </c>
      <c r="AJ63" s="44" t="e">
        <f t="shared" si="12"/>
        <v>#N/A</v>
      </c>
      <c r="AK63" s="44" t="e">
        <f>HLOOKUP(I63,GasAvoidedCostsWOCC!$A$5:$Q$50,G63+1,FALSE)*J63*L63</f>
        <v>#N/A</v>
      </c>
      <c r="AL63" s="44" t="e">
        <f t="shared" si="1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14"/>
        <v>0</v>
      </c>
      <c r="AO63" s="47">
        <f t="shared" si="15"/>
        <v>0</v>
      </c>
      <c r="AP63" s="47" t="e">
        <f t="shared" si="16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0"/>
        <v>0</v>
      </c>
      <c r="U64" s="47" t="e">
        <f t="shared" si="1"/>
        <v>#DIV/0!</v>
      </c>
      <c r="V64" s="48">
        <f t="shared" si="2"/>
        <v>0</v>
      </c>
      <c r="W64" s="49" t="e">
        <f t="shared" si="3"/>
        <v>#DIV/0!</v>
      </c>
      <c r="X64" s="44" t="e">
        <f t="shared" si="4"/>
        <v>#DIV/0!</v>
      </c>
      <c r="Y64" s="44">
        <f t="shared" si="5"/>
        <v>0</v>
      </c>
      <c r="Z64" s="44" t="e">
        <f t="shared" si="6"/>
        <v>#DIV/0!</v>
      </c>
      <c r="AA64" s="50" t="e">
        <f t="shared" si="7"/>
        <v>#DIV/0!</v>
      </c>
      <c r="AB64" s="51" t="e">
        <f t="shared" si="18"/>
        <v>#DIV/0!</v>
      </c>
      <c r="AC64" s="44" t="e">
        <f t="shared" si="18"/>
        <v>#DIV/0!</v>
      </c>
      <c r="AD64" s="44">
        <f t="shared" si="9"/>
        <v>0</v>
      </c>
      <c r="AE64" s="44">
        <f t="shared" si="17"/>
        <v>0</v>
      </c>
      <c r="AF64" s="52" t="e">
        <f>HLOOKUP(I64,GasAvoidedCostsWOCC!$A$5:$G$50,G64+1,FALSE)</f>
        <v>#N/A</v>
      </c>
      <c r="AG64" s="44" t="e">
        <f t="shared" si="10"/>
        <v>#N/A</v>
      </c>
      <c r="AH64" s="52" t="e">
        <f>HLOOKUP(I64,GasAvoidedCostsWOCC!$A$5:$Q$50,T64+1,FALSE)</f>
        <v>#N/A</v>
      </c>
      <c r="AI64" s="44" t="e">
        <f t="shared" si="11"/>
        <v>#N/A</v>
      </c>
      <c r="AJ64" s="44" t="e">
        <f t="shared" si="12"/>
        <v>#N/A</v>
      </c>
      <c r="AK64" s="44" t="e">
        <f>HLOOKUP(I64,GasAvoidedCostsWOCC!$A$5:$Q$50,G64+1,FALSE)*J64*L64</f>
        <v>#N/A</v>
      </c>
      <c r="AL64" s="44" t="e">
        <f t="shared" si="1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14"/>
        <v>0</v>
      </c>
      <c r="AO64" s="47">
        <f t="shared" si="15"/>
        <v>0</v>
      </c>
      <c r="AP64" s="47" t="e">
        <f t="shared" si="16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0"/>
        <v>0</v>
      </c>
      <c r="U65" s="47" t="e">
        <f t="shared" si="1"/>
        <v>#DIV/0!</v>
      </c>
      <c r="V65" s="48">
        <f t="shared" si="2"/>
        <v>0</v>
      </c>
      <c r="W65" s="49" t="e">
        <f t="shared" si="3"/>
        <v>#DIV/0!</v>
      </c>
      <c r="X65" s="44" t="e">
        <f t="shared" si="4"/>
        <v>#DIV/0!</v>
      </c>
      <c r="Y65" s="44">
        <f t="shared" si="5"/>
        <v>0</v>
      </c>
      <c r="Z65" s="44" t="e">
        <f t="shared" si="6"/>
        <v>#DIV/0!</v>
      </c>
      <c r="AA65" s="50" t="e">
        <f t="shared" si="7"/>
        <v>#DIV/0!</v>
      </c>
      <c r="AB65" s="51" t="e">
        <f t="shared" si="18"/>
        <v>#DIV/0!</v>
      </c>
      <c r="AC65" s="44" t="e">
        <f t="shared" si="18"/>
        <v>#DIV/0!</v>
      </c>
      <c r="AD65" s="44">
        <f t="shared" si="9"/>
        <v>0</v>
      </c>
      <c r="AE65" s="44">
        <f t="shared" si="17"/>
        <v>0</v>
      </c>
      <c r="AF65" s="52" t="e">
        <f>HLOOKUP(I65,GasAvoidedCostsWOCC!$A$5:$G$50,G65+1,FALSE)</f>
        <v>#N/A</v>
      </c>
      <c r="AG65" s="44" t="e">
        <f t="shared" si="10"/>
        <v>#N/A</v>
      </c>
      <c r="AH65" s="52" t="e">
        <f>HLOOKUP(I65,GasAvoidedCostsWOCC!$A$5:$Q$50,T65+1,FALSE)</f>
        <v>#N/A</v>
      </c>
      <c r="AI65" s="44" t="e">
        <f t="shared" si="11"/>
        <v>#N/A</v>
      </c>
      <c r="AJ65" s="44" t="e">
        <f t="shared" si="12"/>
        <v>#N/A</v>
      </c>
      <c r="AK65" s="44" t="e">
        <f>HLOOKUP(I65,GasAvoidedCostsWOCC!$A$5:$Q$50,G65+1,FALSE)*J65*L65</f>
        <v>#N/A</v>
      </c>
      <c r="AL65" s="44" t="e">
        <f t="shared" si="1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14"/>
        <v>0</v>
      </c>
      <c r="AO65" s="47">
        <f t="shared" si="15"/>
        <v>0</v>
      </c>
      <c r="AP65" s="47" t="e">
        <f t="shared" si="16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0"/>
        <v>0</v>
      </c>
      <c r="U66" s="47" t="e">
        <f t="shared" si="1"/>
        <v>#DIV/0!</v>
      </c>
      <c r="V66" s="48">
        <f t="shared" si="2"/>
        <v>0</v>
      </c>
      <c r="W66" s="49" t="e">
        <f t="shared" si="3"/>
        <v>#DIV/0!</v>
      </c>
      <c r="X66" s="44" t="e">
        <f t="shared" si="4"/>
        <v>#DIV/0!</v>
      </c>
      <c r="Y66" s="44">
        <f t="shared" si="5"/>
        <v>0</v>
      </c>
      <c r="Z66" s="44" t="e">
        <f t="shared" si="6"/>
        <v>#DIV/0!</v>
      </c>
      <c r="AA66" s="50" t="e">
        <f t="shared" si="7"/>
        <v>#DIV/0!</v>
      </c>
      <c r="AB66" s="51" t="e">
        <f t="shared" si="18"/>
        <v>#DIV/0!</v>
      </c>
      <c r="AC66" s="44" t="e">
        <f t="shared" si="18"/>
        <v>#DIV/0!</v>
      </c>
      <c r="AD66" s="44">
        <f t="shared" si="9"/>
        <v>0</v>
      </c>
      <c r="AE66" s="44">
        <f t="shared" si="17"/>
        <v>0</v>
      </c>
      <c r="AF66" s="52" t="e">
        <f>HLOOKUP(I66,GasAvoidedCostsWOCC!$A$5:$G$50,G66+1,FALSE)</f>
        <v>#N/A</v>
      </c>
      <c r="AG66" s="44" t="e">
        <f t="shared" si="10"/>
        <v>#N/A</v>
      </c>
      <c r="AH66" s="52" t="e">
        <f>HLOOKUP(I66,GasAvoidedCostsWOCC!$A$5:$Q$50,T66+1,FALSE)</f>
        <v>#N/A</v>
      </c>
      <c r="AI66" s="44" t="e">
        <f t="shared" si="11"/>
        <v>#N/A</v>
      </c>
      <c r="AJ66" s="44" t="e">
        <f t="shared" si="12"/>
        <v>#N/A</v>
      </c>
      <c r="AK66" s="44" t="e">
        <f>HLOOKUP(I66,GasAvoidedCostsWOCC!$A$5:$Q$50,G66+1,FALSE)*J66*L66</f>
        <v>#N/A</v>
      </c>
      <c r="AL66" s="44" t="e">
        <f t="shared" si="1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14"/>
        <v>0</v>
      </c>
      <c r="AO66" s="47">
        <f t="shared" si="15"/>
        <v>0</v>
      </c>
      <c r="AP66" s="47" t="e">
        <f t="shared" si="16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0"/>
        <v>0</v>
      </c>
      <c r="U67" s="47" t="e">
        <f t="shared" si="1"/>
        <v>#DIV/0!</v>
      </c>
      <c r="V67" s="48">
        <f t="shared" si="2"/>
        <v>0</v>
      </c>
      <c r="W67" s="49" t="e">
        <f t="shared" si="3"/>
        <v>#DIV/0!</v>
      </c>
      <c r="X67" s="44" t="e">
        <f t="shared" si="4"/>
        <v>#DIV/0!</v>
      </c>
      <c r="Y67" s="44">
        <f t="shared" si="5"/>
        <v>0</v>
      </c>
      <c r="Z67" s="44" t="e">
        <f t="shared" si="6"/>
        <v>#DIV/0!</v>
      </c>
      <c r="AA67" s="50" t="e">
        <f t="shared" si="7"/>
        <v>#DIV/0!</v>
      </c>
      <c r="AB67" s="51" t="e">
        <f t="shared" si="18"/>
        <v>#DIV/0!</v>
      </c>
      <c r="AC67" s="44" t="e">
        <f t="shared" si="18"/>
        <v>#DIV/0!</v>
      </c>
      <c r="AD67" s="44">
        <f t="shared" si="9"/>
        <v>0</v>
      </c>
      <c r="AE67" s="44">
        <f t="shared" si="17"/>
        <v>0</v>
      </c>
      <c r="AF67" s="52" t="e">
        <f>HLOOKUP(I67,GasAvoidedCostsWOCC!$A$5:$G$50,G67+1,FALSE)</f>
        <v>#N/A</v>
      </c>
      <c r="AG67" s="44" t="e">
        <f t="shared" si="10"/>
        <v>#N/A</v>
      </c>
      <c r="AH67" s="52" t="e">
        <f>HLOOKUP(I67,GasAvoidedCostsWOCC!$A$5:$Q$50,T67+1,FALSE)</f>
        <v>#N/A</v>
      </c>
      <c r="AI67" s="44" t="e">
        <f t="shared" si="11"/>
        <v>#N/A</v>
      </c>
      <c r="AJ67" s="44" t="e">
        <f t="shared" si="12"/>
        <v>#N/A</v>
      </c>
      <c r="AK67" s="44" t="e">
        <f>HLOOKUP(I67,GasAvoidedCostsWOCC!$A$5:$Q$50,G67+1,FALSE)*J67*L67</f>
        <v>#N/A</v>
      </c>
      <c r="AL67" s="44" t="e">
        <f t="shared" si="1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14"/>
        <v>0</v>
      </c>
      <c r="AO67" s="47">
        <f t="shared" si="15"/>
        <v>0</v>
      </c>
      <c r="AP67" s="47" t="e">
        <f t="shared" si="16"/>
        <v>#DIV/0!</v>
      </c>
    </row>
  </sheetData>
  <conditionalFormatting sqref="J5:L67">
    <cfRule type="expression" dxfId="94" priority="4">
      <formula>ISTEXT(J5)</formula>
    </cfRule>
    <cfRule type="notContainsBlanks" dxfId="93" priority="5">
      <formula>LEN(TRIM(J5))&gt;0</formula>
    </cfRule>
  </conditionalFormatting>
  <conditionalFormatting sqref="M5:N67 R5:S67">
    <cfRule type="expression" dxfId="92" priority="2">
      <formula>ISTEXT(M5)</formula>
    </cfRule>
  </conditionalFormatting>
  <conditionalFormatting sqref="M5:N67 R5:S67">
    <cfRule type="notContainsBlanks" dxfId="91" priority="3">
      <formula>LEN(TRIM(M5))&gt;0</formula>
    </cfRule>
  </conditionalFormatting>
  <conditionalFormatting sqref="R5:S67">
    <cfRule type="expression" dxfId="9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18230684</v>
      </c>
      <c r="D2" s="20" t="s">
        <v>106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105</v>
      </c>
      <c r="C5" s="98">
        <v>18230684</v>
      </c>
      <c r="D5" s="61" t="s">
        <v>106</v>
      </c>
      <c r="E5" s="38" t="s">
        <v>864</v>
      </c>
      <c r="F5" s="39" t="s">
        <v>865</v>
      </c>
      <c r="G5" s="39">
        <v>27</v>
      </c>
      <c r="H5" s="39"/>
      <c r="I5" s="40" t="s">
        <v>269</v>
      </c>
      <c r="J5" s="41">
        <v>7</v>
      </c>
      <c r="K5" s="41">
        <v>133.14285714285714</v>
      </c>
      <c r="L5" s="41"/>
      <c r="M5" s="42">
        <v>750</v>
      </c>
      <c r="N5" s="42">
        <v>2215</v>
      </c>
      <c r="O5" s="43">
        <v>932</v>
      </c>
      <c r="P5" s="44">
        <v>5250</v>
      </c>
      <c r="Q5" s="44">
        <v>15966.02</v>
      </c>
      <c r="R5" s="45">
        <v>8.6300000000000008</v>
      </c>
      <c r="S5" s="46">
        <v>0</v>
      </c>
      <c r="T5" s="39">
        <f t="shared" ref="T5:T24" si="0">G5+H5</f>
        <v>27</v>
      </c>
      <c r="U5" s="47">
        <f t="shared" ref="U5:U24" si="1">(O5/$A$10)*T5</f>
        <v>1.9016096123328041</v>
      </c>
      <c r="V5" s="48">
        <f t="shared" ref="V5:V24" si="2">N5-M5</f>
        <v>1465</v>
      </c>
      <c r="W5" s="49">
        <f t="shared" ref="W5:W24" si="3">(O5/A$10)</f>
        <v>7.0429985641955711E-2</v>
      </c>
      <c r="X5" s="44">
        <f t="shared" ref="X5:X24" si="4">W5*A$8</f>
        <v>2369.7358935993348</v>
      </c>
      <c r="Y5" s="44">
        <f t="shared" ref="Y5:Y24" si="5">Q5-P5</f>
        <v>10716.02</v>
      </c>
      <c r="Z5" s="44">
        <f t="shared" ref="Z5:Z24" si="6">X5+(A$6*W5)</f>
        <v>4447.4204700370283</v>
      </c>
      <c r="AA5" s="50">
        <f t="shared" ref="AA5:AA24" si="7">Q5+X5</f>
        <v>18335.755893599337</v>
      </c>
      <c r="AB5" s="51">
        <f t="shared" ref="AB5:AB24" si="8">Z5/(1+GasDiscountRate)^1</f>
        <v>4157.6334206198262</v>
      </c>
      <c r="AC5" s="44">
        <f t="shared" ref="AC5:AC24" si="9">AA5/(1+GasDiscountRate)^1</f>
        <v>17141.026356547944</v>
      </c>
      <c r="AD5" s="44">
        <f t="shared" ref="AD5:AD24" si="10">-PV(GasDiscountRate,T5,R5)*J5</f>
        <v>726.17377171289309</v>
      </c>
      <c r="AE5" s="44">
        <v>0</v>
      </c>
      <c r="AF5" s="52">
        <f>HLOOKUP(I5,GasAvoidedCostsWOCC!$A$5:$G$50,G5+1,FALSE)</f>
        <v>17.4887031577709</v>
      </c>
      <c r="AG5" s="44">
        <f t="shared" ref="AG5:AG24" si="11">AF5*J5*K5</f>
        <v>16299.471343042478</v>
      </c>
      <c r="AH5" s="52">
        <f>HLOOKUP(I5,GasAvoidedCostsWOCC!$A$5:$Q$50,T5+1,FALSE)</f>
        <v>17.4887031577709</v>
      </c>
      <c r="AI5" s="44">
        <f t="shared" ref="AI5:AI24" si="12">AH5*J5*L5</f>
        <v>0</v>
      </c>
      <c r="AJ5" s="44">
        <f>AG5+AI5</f>
        <v>16299.471343042478</v>
      </c>
      <c r="AK5" s="44">
        <f>HLOOKUP(I5,GasAvoidedCostsWOCC!$A$5:$Q$50,G5+1,FALSE)*J5*L5</f>
        <v>0</v>
      </c>
      <c r="AL5" s="44">
        <f>AG5+AI5-AK5</f>
        <v>16299.471343042478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16299.471343042478</v>
      </c>
      <c r="AN5" s="48">
        <f>AM5*1.1+AD5+AE5</f>
        <v>18655.59224905962</v>
      </c>
      <c r="AO5" s="47">
        <f>IFERROR(AM5/AB5,0)</f>
        <v>3.9203724075829003</v>
      </c>
      <c r="AP5" s="47">
        <f>AN5/AC5</f>
        <v>1.0883591134514012</v>
      </c>
      <c r="AQ5">
        <v>2021</v>
      </c>
    </row>
    <row r="6" spans="1:43" ht="13.5" customHeight="1">
      <c r="A6" s="53">
        <f>SUMIF('Program Costs'!D:D,C2,'Program Costs'!L:L)</f>
        <v>29500</v>
      </c>
      <c r="B6" s="97"/>
      <c r="C6" s="99"/>
      <c r="D6" s="100"/>
      <c r="E6" s="38" t="s">
        <v>866</v>
      </c>
      <c r="F6" s="39" t="s">
        <v>867</v>
      </c>
      <c r="G6" s="39">
        <v>27</v>
      </c>
      <c r="H6" s="39"/>
      <c r="I6" s="40" t="s">
        <v>269</v>
      </c>
      <c r="J6" s="41">
        <v>1</v>
      </c>
      <c r="K6" s="41">
        <v>95</v>
      </c>
      <c r="L6" s="41"/>
      <c r="M6" s="42">
        <v>1000</v>
      </c>
      <c r="N6" s="42">
        <v>3773</v>
      </c>
      <c r="O6" s="43">
        <v>95</v>
      </c>
      <c r="P6" s="44">
        <v>1000</v>
      </c>
      <c r="Q6" s="44">
        <v>3773</v>
      </c>
      <c r="R6" s="45">
        <v>14.96</v>
      </c>
      <c r="S6" s="46">
        <v>0</v>
      </c>
      <c r="T6" s="39">
        <f t="shared" si="0"/>
        <v>27</v>
      </c>
      <c r="U6" s="47">
        <f t="shared" si="1"/>
        <v>0.19383359782362275</v>
      </c>
      <c r="V6" s="48">
        <f t="shared" si="2"/>
        <v>2773</v>
      </c>
      <c r="W6" s="49">
        <f t="shared" si="3"/>
        <v>7.1790221416156577E-3</v>
      </c>
      <c r="X6" s="44">
        <f t="shared" si="4"/>
        <v>241.55033250207816</v>
      </c>
      <c r="Y6" s="44">
        <f t="shared" si="5"/>
        <v>2773</v>
      </c>
      <c r="Z6" s="44">
        <f t="shared" si="6"/>
        <v>453.33148567974007</v>
      </c>
      <c r="AA6" s="50">
        <f t="shared" si="7"/>
        <v>4014.5503325020782</v>
      </c>
      <c r="AB6" s="51">
        <f t="shared" si="8"/>
        <v>423.79310617905958</v>
      </c>
      <c r="AC6" s="44">
        <f t="shared" si="9"/>
        <v>3752.9684327400932</v>
      </c>
      <c r="AD6" s="44">
        <f t="shared" si="10"/>
        <v>179.83048542997645</v>
      </c>
      <c r="AE6" s="44">
        <v>0</v>
      </c>
      <c r="AF6" s="52">
        <f>HLOOKUP(I6,GasAvoidedCostsWOCC!$A$5:$G$50,G6+1,FALSE)</f>
        <v>17.4887031577709</v>
      </c>
      <c r="AG6" s="44">
        <f t="shared" si="11"/>
        <v>1661.4267999882354</v>
      </c>
      <c r="AH6" s="52">
        <f>HLOOKUP(I6,GasAvoidedCostsWOCC!$A$5:$Q$50,T6+1,FALSE)</f>
        <v>17.4887031577709</v>
      </c>
      <c r="AI6" s="44">
        <f t="shared" si="12"/>
        <v>0</v>
      </c>
      <c r="AJ6" s="44">
        <f t="shared" ref="AJ6:AJ24" si="13">AG6+AI6</f>
        <v>1661.4267999882354</v>
      </c>
      <c r="AK6" s="44">
        <f>HLOOKUP(I6,GasAvoidedCostsWOCC!$A$5:$Q$50,G6+1,FALSE)*J6*L6</f>
        <v>0</v>
      </c>
      <c r="AL6" s="44">
        <f t="shared" ref="AL6:AL24" si="14">AG6+AI6-AK6</f>
        <v>1661.4267999882354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1661.4267999882354</v>
      </c>
      <c r="AN6" s="48">
        <f t="shared" ref="AN6:AN24" si="15">AM6*1.1+AD6+AE6</f>
        <v>2007.3999654170357</v>
      </c>
      <c r="AO6" s="47">
        <f t="shared" ref="AO6:AO24" si="16">IFERROR(AM6/AB6,0)</f>
        <v>3.9203724075829003</v>
      </c>
      <c r="AP6" s="47">
        <f t="shared" ref="AP6:AP24" si="17">AN6/AC6</f>
        <v>0.53488325345476084</v>
      </c>
      <c r="AQ6">
        <v>2021</v>
      </c>
    </row>
    <row r="7" spans="1:43" ht="13.5" customHeight="1">
      <c r="A7" s="36" t="s">
        <v>249</v>
      </c>
      <c r="B7" s="97" t="s">
        <v>105</v>
      </c>
      <c r="C7" s="99">
        <v>18230684</v>
      </c>
      <c r="D7" s="100" t="s">
        <v>106</v>
      </c>
      <c r="E7" s="38" t="s">
        <v>2012</v>
      </c>
      <c r="F7" s="39" t="s">
        <v>865</v>
      </c>
      <c r="G7" s="39">
        <v>36</v>
      </c>
      <c r="H7" s="39"/>
      <c r="I7" s="40" t="s">
        <v>269</v>
      </c>
      <c r="J7" s="41">
        <v>8</v>
      </c>
      <c r="K7" s="41">
        <v>247</v>
      </c>
      <c r="L7" s="41"/>
      <c r="M7" s="42">
        <v>750</v>
      </c>
      <c r="N7" s="42">
        <v>797</v>
      </c>
      <c r="O7" s="43">
        <v>1976</v>
      </c>
      <c r="P7" s="44">
        <v>6000</v>
      </c>
      <c r="Q7" s="44">
        <v>6376</v>
      </c>
      <c r="R7" s="45"/>
      <c r="S7" s="46">
        <v>0</v>
      </c>
      <c r="T7" s="39">
        <v>36</v>
      </c>
      <c r="U7" s="47">
        <f t="shared" si="1"/>
        <v>5.3756517796418049</v>
      </c>
      <c r="V7" s="48">
        <f t="shared" si="2"/>
        <v>47</v>
      </c>
      <c r="W7" s="49">
        <f t="shared" si="3"/>
        <v>0.1493236605456057</v>
      </c>
      <c r="X7" s="44">
        <f t="shared" si="4"/>
        <v>5024.2469160432265</v>
      </c>
      <c r="Y7" s="44">
        <f t="shared" si="5"/>
        <v>376</v>
      </c>
      <c r="Z7" s="44">
        <f t="shared" si="6"/>
        <v>9429.2949021385939</v>
      </c>
      <c r="AA7" s="50">
        <f t="shared" si="7"/>
        <v>11400.246916043227</v>
      </c>
      <c r="AB7" s="51">
        <f t="shared" si="8"/>
        <v>8814.8966085244392</v>
      </c>
      <c r="AC7" s="44">
        <f t="shared" si="9"/>
        <v>10657.424433059012</v>
      </c>
      <c r="AD7" s="44">
        <f t="shared" si="10"/>
        <v>0</v>
      </c>
      <c r="AE7" s="44">
        <v>0</v>
      </c>
      <c r="AF7" s="52">
        <f>HLOOKUP(I7,GasAvoidedCostsWOCC!$A$5:$G$50,G7+1,FALSE)</f>
        <v>21.975375626131143</v>
      </c>
      <c r="AG7" s="44">
        <f t="shared" si="11"/>
        <v>43423.342237235142</v>
      </c>
      <c r="AH7" s="52">
        <f>HLOOKUP(I7,GasAvoidedCostsWOCC!$A$5:$Q$50,T7+1,FALSE)</f>
        <v>21.975375626131143</v>
      </c>
      <c r="AI7" s="44">
        <f t="shared" si="12"/>
        <v>0</v>
      </c>
      <c r="AJ7" s="44">
        <f t="shared" si="13"/>
        <v>43423.342237235142</v>
      </c>
      <c r="AK7" s="44">
        <f>HLOOKUP(I7,GasAvoidedCostsWOCC!$A$5:$Q$50,G7+1,FALSE)*J7*L7</f>
        <v>0</v>
      </c>
      <c r="AL7" s="44">
        <f t="shared" si="14"/>
        <v>43423.342237235142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43423.342237235142</v>
      </c>
      <c r="AN7" s="48">
        <f t="shared" si="15"/>
        <v>47765.676460958661</v>
      </c>
      <c r="AO7" s="47">
        <f t="shared" si="16"/>
        <v>4.9261317705351901</v>
      </c>
      <c r="AP7" s="47">
        <f t="shared" si="17"/>
        <v>4.4819155660903363</v>
      </c>
    </row>
    <row r="8" spans="1:43" ht="13.5" customHeight="1">
      <c r="A8" s="53">
        <f>SUMIF('Program Costs'!D:D,C2,'Program Costs'!O:O)</f>
        <v>33646.69</v>
      </c>
      <c r="B8" s="97" t="s">
        <v>105</v>
      </c>
      <c r="C8" s="100">
        <v>18230684</v>
      </c>
      <c r="D8" s="100" t="s">
        <v>106</v>
      </c>
      <c r="E8" s="38" t="s">
        <v>661</v>
      </c>
      <c r="F8" s="39" t="s">
        <v>662</v>
      </c>
      <c r="G8" s="39">
        <v>11</v>
      </c>
      <c r="H8" s="39"/>
      <c r="I8" s="40" t="s">
        <v>269</v>
      </c>
      <c r="J8" s="41">
        <v>310</v>
      </c>
      <c r="K8" s="41">
        <v>33</v>
      </c>
      <c r="L8" s="41"/>
      <c r="M8" s="42">
        <v>75</v>
      </c>
      <c r="N8" s="42">
        <v>172.38</v>
      </c>
      <c r="O8" s="43">
        <v>10230</v>
      </c>
      <c r="P8" s="44">
        <v>23250</v>
      </c>
      <c r="Q8" s="44">
        <v>53437.799999999697</v>
      </c>
      <c r="R8" s="45">
        <v>0</v>
      </c>
      <c r="S8" s="46">
        <v>0</v>
      </c>
      <c r="T8" s="39">
        <v>11</v>
      </c>
      <c r="U8" s="47">
        <f t="shared" si="1"/>
        <v>8.5037406483790523</v>
      </c>
      <c r="V8" s="48">
        <f t="shared" si="2"/>
        <v>97.38</v>
      </c>
      <c r="W8" s="49">
        <f t="shared" si="3"/>
        <v>0.77306733167082298</v>
      </c>
      <c r="X8" s="44">
        <f t="shared" si="4"/>
        <v>26011.156857855363</v>
      </c>
      <c r="Y8" s="44">
        <f t="shared" si="5"/>
        <v>30187.799999999697</v>
      </c>
      <c r="Z8" s="44">
        <f t="shared" si="6"/>
        <v>48816.64314214464</v>
      </c>
      <c r="AA8" s="50">
        <f t="shared" si="7"/>
        <v>79448.956857855053</v>
      </c>
      <c r="AB8" s="51">
        <f t="shared" si="8"/>
        <v>45635.826065387148</v>
      </c>
      <c r="AC8" s="44">
        <f t="shared" si="9"/>
        <v>74272.185526647707</v>
      </c>
      <c r="AD8" s="44">
        <f t="shared" si="10"/>
        <v>0</v>
      </c>
      <c r="AE8" s="44">
        <v>0</v>
      </c>
      <c r="AF8" s="52">
        <f>HLOOKUP(I8,GasAvoidedCostsWOCC!$A$5:$G$50,G8+1,FALSE)</f>
        <v>8.2477691503723172</v>
      </c>
      <c r="AG8" s="44">
        <f t="shared" si="11"/>
        <v>84374.678408308813</v>
      </c>
      <c r="AH8" s="52">
        <f>HLOOKUP(I8,GasAvoidedCostsWOCC!$A$5:$Q$50,T8+1,FALSE)</f>
        <v>8.2477691503723172</v>
      </c>
      <c r="AI8" s="44">
        <f t="shared" si="12"/>
        <v>0</v>
      </c>
      <c r="AJ8" s="44">
        <f t="shared" si="13"/>
        <v>84374.678408308813</v>
      </c>
      <c r="AK8" s="44">
        <f>HLOOKUP(I8,GasAvoidedCostsWOCC!$A$5:$Q$50,G8+1,FALSE)*J8*L8</f>
        <v>0</v>
      </c>
      <c r="AL8" s="44">
        <f t="shared" si="14"/>
        <v>84374.678408308813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84374.678408308813</v>
      </c>
      <c r="AN8" s="48">
        <f t="shared" si="15"/>
        <v>92812.146249139696</v>
      </c>
      <c r="AO8" s="47">
        <f t="shared" si="16"/>
        <v>1.8488693134954219</v>
      </c>
      <c r="AP8" s="47">
        <f t="shared" si="17"/>
        <v>1.2496218549518803</v>
      </c>
    </row>
    <row r="9" spans="1:43" ht="13.5" customHeight="1">
      <c r="A9" s="36" t="s">
        <v>303</v>
      </c>
      <c r="B9" s="97"/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13233</v>
      </c>
      <c r="B10" s="97"/>
      <c r="C10" s="100"/>
      <c r="D10" s="100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35500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44052.819999999701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15.974835638177284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63146.69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113199.5099999997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2.4691447077928923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1.523675320898636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89" priority="4">
      <formula>ISTEXT(J5)</formula>
    </cfRule>
    <cfRule type="notContainsBlanks" dxfId="88" priority="5">
      <formula>LEN(TRIM(J5))&gt;0</formula>
    </cfRule>
  </conditionalFormatting>
  <conditionalFormatting sqref="M5:N24 R5:S24">
    <cfRule type="expression" dxfId="87" priority="2">
      <formula>ISTEXT(M5)</formula>
    </cfRule>
  </conditionalFormatting>
  <conditionalFormatting sqref="M5:N24 R5:S24">
    <cfRule type="notContainsBlanks" dxfId="86" priority="3">
      <formula>LEN(TRIM(M5))&gt;0</formula>
    </cfRule>
  </conditionalFormatting>
  <conditionalFormatting sqref="R5:S24">
    <cfRule type="expression" dxfId="8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C5" sqref="C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18230752</v>
      </c>
      <c r="D2" s="20" t="s">
        <v>319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105</v>
      </c>
      <c r="C5" s="98">
        <v>18230752</v>
      </c>
      <c r="D5" s="61" t="s">
        <v>319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84" priority="4">
      <formula>ISTEXT(J5)</formula>
    </cfRule>
    <cfRule type="notContainsBlanks" dxfId="83" priority="5">
      <formula>LEN(TRIM(J5))&gt;0</formula>
    </cfRule>
  </conditionalFormatting>
  <conditionalFormatting sqref="M5:N24 R5:S24">
    <cfRule type="expression" dxfId="82" priority="2">
      <formula>ISTEXT(M5)</formula>
    </cfRule>
  </conditionalFormatting>
  <conditionalFormatting sqref="M5:N24 R5:S24">
    <cfRule type="notContainsBlanks" dxfId="81" priority="3">
      <formula>LEN(TRIM(M5))&gt;0</formula>
    </cfRule>
  </conditionalFormatting>
  <conditionalFormatting sqref="R5:S24">
    <cfRule type="expression" dxfId="8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93"/>
  <sheetViews>
    <sheetView zoomScale="85" zoomScaleNormal="85" workbookViewId="0">
      <selection activeCell="A30" sqref="A3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18230736</v>
      </c>
      <c r="D2" s="20" t="s">
        <v>146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145</v>
      </c>
      <c r="C5" s="98">
        <v>18230736</v>
      </c>
      <c r="D5" s="61" t="s">
        <v>146</v>
      </c>
      <c r="E5" s="38" t="s">
        <v>908</v>
      </c>
      <c r="F5" s="39" t="s">
        <v>909</v>
      </c>
      <c r="G5" s="39">
        <v>15</v>
      </c>
      <c r="H5" s="39"/>
      <c r="I5" s="40" t="s">
        <v>255</v>
      </c>
      <c r="J5" s="41">
        <v>1</v>
      </c>
      <c r="K5" s="41">
        <v>1748</v>
      </c>
      <c r="L5" s="41"/>
      <c r="M5" s="42">
        <v>5</v>
      </c>
      <c r="N5" s="42">
        <v>7.14</v>
      </c>
      <c r="O5" s="43">
        <v>1748</v>
      </c>
      <c r="P5" s="44">
        <v>8740</v>
      </c>
      <c r="Q5" s="44">
        <v>55000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0.43074925399223407</v>
      </c>
      <c r="V5" s="48">
        <f t="shared" ref="V5:V24" si="2">N5-M5</f>
        <v>2.1399999999999997</v>
      </c>
      <c r="W5" s="49">
        <f t="shared" ref="W5:W24" si="3">(O5/A$10)</f>
        <v>2.8716616932815606E-2</v>
      </c>
      <c r="X5" s="44">
        <f t="shared" ref="X5:X24" si="4">W5*A$8</f>
        <v>6430.3971632976691</v>
      </c>
      <c r="Y5" s="44">
        <f t="shared" ref="Y5:Y24" si="5">Q5-P5</f>
        <v>46260</v>
      </c>
      <c r="Z5" s="44">
        <f t="shared" ref="Z5:Z24" si="6">X5+(A$6*W5)</f>
        <v>17498.9750789707</v>
      </c>
      <c r="AA5" s="50">
        <f t="shared" ref="AA5:AA24" si="7">Q5+X5</f>
        <v>61430.397163297668</v>
      </c>
      <c r="AB5" s="51">
        <f t="shared" ref="AB5:AB24" si="8">Z5/(1+GasDiscountRate)^1</f>
        <v>16358.768887511169</v>
      </c>
      <c r="AC5" s="44">
        <f t="shared" ref="AC5:AC24" si="9">AA5/(1+GasDiscountRate)^1</f>
        <v>57427.687354676695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17731.514813643298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17731.514813643298</v>
      </c>
      <c r="AK5" s="44">
        <f>HLOOKUP(I5,GasAvoidedCostsWOCC!$A$5:$Q$50,G5+1,FALSE)*J5*L5</f>
        <v>0</v>
      </c>
      <c r="AL5" s="44">
        <f>AG5+AI5-AK5</f>
        <v>17731.514813643298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17731.514813643298</v>
      </c>
      <c r="AN5" s="48">
        <f>AM5*1.1+AD5+AE5</f>
        <v>19504.666295007628</v>
      </c>
      <c r="AO5" s="47">
        <f>IFERROR(AM5/AB5,0)</f>
        <v>1.0839149899097926</v>
      </c>
      <c r="AP5" s="47">
        <f>AN5/AC5</f>
        <v>0.33963872120682292</v>
      </c>
      <c r="AQ5">
        <v>2021</v>
      </c>
    </row>
    <row r="6" spans="1:43" ht="13.5" customHeight="1">
      <c r="A6" s="53">
        <f>SUMIF('Program Costs'!D:D,C2,'Program Costs'!L:L)</f>
        <v>385441.57</v>
      </c>
      <c r="B6" s="97" t="s">
        <v>145</v>
      </c>
      <c r="C6" s="98">
        <v>18230736</v>
      </c>
      <c r="D6" s="61" t="s">
        <v>146</v>
      </c>
      <c r="E6" s="38" t="s">
        <v>910</v>
      </c>
      <c r="F6" s="39" t="s">
        <v>911</v>
      </c>
      <c r="G6" s="39">
        <v>24</v>
      </c>
      <c r="H6" s="39"/>
      <c r="I6" s="40" t="s">
        <v>261</v>
      </c>
      <c r="J6" s="41">
        <v>1</v>
      </c>
      <c r="K6" s="41">
        <v>3354</v>
      </c>
      <c r="L6" s="41"/>
      <c r="M6" s="42">
        <v>5</v>
      </c>
      <c r="N6" s="42">
        <v>7.14</v>
      </c>
      <c r="O6" s="43">
        <v>3354</v>
      </c>
      <c r="P6" s="44">
        <v>16770</v>
      </c>
      <c r="Q6" s="44">
        <v>71074</v>
      </c>
      <c r="R6" s="45">
        <v>0</v>
      </c>
      <c r="S6" s="46">
        <v>0</v>
      </c>
      <c r="T6" s="39">
        <f t="shared" si="0"/>
        <v>24</v>
      </c>
      <c r="U6" s="47">
        <f t="shared" si="1"/>
        <v>1.3224100667184926</v>
      </c>
      <c r="V6" s="48">
        <f t="shared" si="2"/>
        <v>2.1399999999999997</v>
      </c>
      <c r="W6" s="49">
        <f t="shared" si="3"/>
        <v>5.5100419446603856E-2</v>
      </c>
      <c r="X6" s="44">
        <f t="shared" si="4"/>
        <v>12338.416525000219</v>
      </c>
      <c r="Y6" s="44">
        <f t="shared" si="5"/>
        <v>54304</v>
      </c>
      <c r="Z6" s="44">
        <f t="shared" si="6"/>
        <v>33576.408704157744</v>
      </c>
      <c r="AA6" s="50">
        <f t="shared" si="7"/>
        <v>83412.416525000212</v>
      </c>
      <c r="AB6" s="51">
        <f t="shared" si="8"/>
        <v>31388.621766997981</v>
      </c>
      <c r="AC6" s="44">
        <f t="shared" si="9"/>
        <v>77977.392282883244</v>
      </c>
      <c r="AD6" s="44">
        <f t="shared" si="10"/>
        <v>0</v>
      </c>
      <c r="AE6" s="44">
        <v>0</v>
      </c>
      <c r="AF6" s="52">
        <f>HLOOKUP(I6,GasAvoidedCostsWOCC!$A$5:$G$50,G6+1,FALSE)</f>
        <v>16.785698132496019</v>
      </c>
      <c r="AG6" s="44">
        <f t="shared" si="11"/>
        <v>56299.23153639165</v>
      </c>
      <c r="AH6" s="52">
        <f>HLOOKUP(I6,GasAvoidedCostsWOCC!$A$5:$Q$50,T6+1,FALSE)</f>
        <v>16.785698132496019</v>
      </c>
      <c r="AI6" s="44">
        <f t="shared" si="12"/>
        <v>0</v>
      </c>
      <c r="AJ6" s="44">
        <f t="shared" ref="AJ6:AJ24" si="13">AG6+AI6</f>
        <v>56299.23153639165</v>
      </c>
      <c r="AK6" s="44">
        <f>HLOOKUP(I6,GasAvoidedCostsWOCC!$A$5:$Q$50,G6+1,FALSE)*J6*L6</f>
        <v>0</v>
      </c>
      <c r="AL6" s="44">
        <f t="shared" ref="AL6:AL24" si="14">AG6+AI6-AK6</f>
        <v>56299.23153639165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56299.23153639165</v>
      </c>
      <c r="AN6" s="48">
        <f t="shared" ref="AN6:AN24" si="15">AM6*1.1+AD6+AE6</f>
        <v>61929.154690030817</v>
      </c>
      <c r="AO6" s="47">
        <f t="shared" ref="AO6:AO24" si="16">IFERROR(AM6/AB6,0)</f>
        <v>1.7936191003959499</v>
      </c>
      <c r="AP6" s="47">
        <f t="shared" ref="AP6:AP24" si="17">AN6/AC6</f>
        <v>0.79419371277981088</v>
      </c>
      <c r="AQ6">
        <v>2021</v>
      </c>
    </row>
    <row r="7" spans="1:43" ht="13.5" customHeight="1">
      <c r="A7" s="36" t="s">
        <v>249</v>
      </c>
      <c r="B7" s="97" t="s">
        <v>145</v>
      </c>
      <c r="C7" s="98">
        <v>18230736</v>
      </c>
      <c r="D7" s="61" t="s">
        <v>146</v>
      </c>
      <c r="E7" s="38" t="s">
        <v>617</v>
      </c>
      <c r="F7" s="39" t="s">
        <v>618</v>
      </c>
      <c r="G7" s="39">
        <v>14</v>
      </c>
      <c r="H7" s="39"/>
      <c r="I7" s="40" t="s">
        <v>265</v>
      </c>
      <c r="J7" s="41">
        <v>1</v>
      </c>
      <c r="K7" s="41">
        <v>0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v>0</v>
      </c>
      <c r="R7" s="45">
        <v>17.059999999999999</v>
      </c>
      <c r="S7" s="46">
        <v>0</v>
      </c>
      <c r="T7" s="39">
        <f t="shared" si="0"/>
        <v>14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149.46647337894538</v>
      </c>
      <c r="AE7" s="44">
        <v>0</v>
      </c>
      <c r="AF7" s="52">
        <f>HLOOKUP(I7,GasAvoidedCostsWOCC!$A$5:$G$50,G7+1,FALSE)</f>
        <v>9.6059277231229743</v>
      </c>
      <c r="AG7" s="44">
        <f t="shared" si="11"/>
        <v>0</v>
      </c>
      <c r="AH7" s="52">
        <f>HLOOKUP(I7,GasAvoidedCostsWOCC!$A$5:$Q$50,T7+1,FALSE)</f>
        <v>9.6059277231229743</v>
      </c>
      <c r="AI7" s="44">
        <f t="shared" si="12"/>
        <v>0</v>
      </c>
      <c r="AJ7" s="44">
        <f t="shared" si="13"/>
        <v>0</v>
      </c>
      <c r="AK7" s="44">
        <f>HLOOKUP(I7,GasAvoidedCostsWOCC!$A$5:$Q$50,G7+1,FALSE)*J7*L7</f>
        <v>0</v>
      </c>
      <c r="AL7" s="44">
        <f t="shared" si="14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149.46647337894538</v>
      </c>
      <c r="AO7" s="47">
        <f t="shared" si="16"/>
        <v>0</v>
      </c>
      <c r="AP7" s="47" t="e">
        <f t="shared" si="17"/>
        <v>#DIV/0!</v>
      </c>
      <c r="AQ7">
        <v>2021</v>
      </c>
    </row>
    <row r="8" spans="1:43" ht="13.5" customHeight="1">
      <c r="A8" s="53">
        <f>SUMIF('Program Costs'!D:D,C2,'Program Costs'!O:O)</f>
        <v>223926.00000000006</v>
      </c>
      <c r="B8" s="97" t="s">
        <v>145</v>
      </c>
      <c r="C8" s="98">
        <v>18230736</v>
      </c>
      <c r="D8" s="61" t="s">
        <v>146</v>
      </c>
      <c r="E8" s="38" t="s">
        <v>931</v>
      </c>
      <c r="F8" s="39" t="s">
        <v>932</v>
      </c>
      <c r="G8" s="39">
        <v>45</v>
      </c>
      <c r="H8" s="39"/>
      <c r="I8" s="40" t="s">
        <v>269</v>
      </c>
      <c r="J8" s="41">
        <v>24540</v>
      </c>
      <c r="K8" s="41">
        <v>1.1499999999999999</v>
      </c>
      <c r="L8" s="41"/>
      <c r="M8" s="42">
        <v>7</v>
      </c>
      <c r="N8" s="42">
        <v>23.3</v>
      </c>
      <c r="O8" s="43">
        <v>28221</v>
      </c>
      <c r="P8" s="44">
        <v>217014</v>
      </c>
      <c r="Q8" s="44">
        <v>571782</v>
      </c>
      <c r="R8" s="45">
        <v>0</v>
      </c>
      <c r="S8" s="46">
        <v>0</v>
      </c>
      <c r="T8" s="39">
        <f t="shared" si="0"/>
        <v>45</v>
      </c>
      <c r="U8" s="47">
        <f t="shared" si="1"/>
        <v>20.863000051913339</v>
      </c>
      <c r="V8" s="48">
        <f t="shared" si="2"/>
        <v>16.3</v>
      </c>
      <c r="W8" s="49">
        <f t="shared" si="3"/>
        <v>0.46362222337585196</v>
      </c>
      <c r="X8" s="44">
        <f t="shared" si="4"/>
        <v>103817.06999166105</v>
      </c>
      <c r="Y8" s="44">
        <f t="shared" si="5"/>
        <v>354768</v>
      </c>
      <c r="Z8" s="44">
        <f t="shared" si="6"/>
        <v>282516.34765654011</v>
      </c>
      <c r="AA8" s="50">
        <f t="shared" si="7"/>
        <v>675599.069991661</v>
      </c>
      <c r="AB8" s="51">
        <f t="shared" si="8"/>
        <v>264108.01874968689</v>
      </c>
      <c r="AC8" s="44">
        <f t="shared" si="9"/>
        <v>631578.07795798907</v>
      </c>
      <c r="AD8" s="44">
        <f t="shared" si="10"/>
        <v>0</v>
      </c>
      <c r="AE8" s="44">
        <v>0</v>
      </c>
      <c r="AF8" s="52">
        <f>HLOOKUP(I8,GasAvoidedCostsWOCC!$A$5:$G$50,G8+1,FALSE)</f>
        <v>27.444232870165703</v>
      </c>
      <c r="AG8" s="44">
        <f t="shared" si="11"/>
        <v>774503.69582894619</v>
      </c>
      <c r="AH8" s="52">
        <f>HLOOKUP(I8,GasAvoidedCostsWOCC!$A$5:$Q$50,T8+1,FALSE)</f>
        <v>27.444232870165703</v>
      </c>
      <c r="AI8" s="44">
        <f t="shared" si="12"/>
        <v>0</v>
      </c>
      <c r="AJ8" s="44">
        <f t="shared" si="13"/>
        <v>774503.69582894619</v>
      </c>
      <c r="AK8" s="44">
        <f>HLOOKUP(I8,GasAvoidedCostsWOCC!$A$5:$Q$50,G8+1,FALSE)*J8*L8</f>
        <v>0</v>
      </c>
      <c r="AL8" s="44">
        <f t="shared" si="14"/>
        <v>774503.69582894619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774503.69582894619</v>
      </c>
      <c r="AN8" s="48">
        <f t="shared" si="15"/>
        <v>851954.06541184091</v>
      </c>
      <c r="AO8" s="47">
        <f t="shared" si="16"/>
        <v>2.9325262424651934</v>
      </c>
      <c r="AP8" s="47">
        <f t="shared" si="17"/>
        <v>1.3489291271260855</v>
      </c>
      <c r="AQ8">
        <v>2021</v>
      </c>
    </row>
    <row r="9" spans="1:43" ht="13.5" customHeight="1">
      <c r="A9" s="36" t="s">
        <v>303</v>
      </c>
      <c r="B9" s="97" t="s">
        <v>145</v>
      </c>
      <c r="C9" s="98">
        <v>18230736</v>
      </c>
      <c r="D9" s="61" t="s">
        <v>146</v>
      </c>
      <c r="E9" s="38" t="s">
        <v>937</v>
      </c>
      <c r="F9" s="39" t="s">
        <v>938</v>
      </c>
      <c r="G9" s="39">
        <v>18</v>
      </c>
      <c r="H9" s="39"/>
      <c r="I9" s="40" t="s">
        <v>269</v>
      </c>
      <c r="J9" s="41">
        <v>2</v>
      </c>
      <c r="K9" s="41">
        <v>184</v>
      </c>
      <c r="L9" s="41"/>
      <c r="M9" s="42">
        <v>800</v>
      </c>
      <c r="N9" s="42">
        <v>987</v>
      </c>
      <c r="O9" s="43">
        <v>368</v>
      </c>
      <c r="P9" s="44">
        <v>1600</v>
      </c>
      <c r="Q9" s="44">
        <v>1974</v>
      </c>
      <c r="R9" s="45">
        <v>0</v>
      </c>
      <c r="S9" s="46">
        <v>0</v>
      </c>
      <c r="T9" s="39">
        <f t="shared" si="0"/>
        <v>18</v>
      </c>
      <c r="U9" s="47">
        <f t="shared" si="1"/>
        <v>0.10882086416645913</v>
      </c>
      <c r="V9" s="48">
        <f t="shared" si="2"/>
        <v>187</v>
      </c>
      <c r="W9" s="49">
        <f t="shared" si="3"/>
        <v>6.045603564803285E-3</v>
      </c>
      <c r="X9" s="44">
        <f t="shared" si="4"/>
        <v>1353.7678238521407</v>
      </c>
      <c r="Y9" s="44">
        <f t="shared" si="5"/>
        <v>374</v>
      </c>
      <c r="Z9" s="44">
        <f t="shared" si="6"/>
        <v>3683.9947534675157</v>
      </c>
      <c r="AA9" s="50">
        <f t="shared" si="7"/>
        <v>3327.7678238521407</v>
      </c>
      <c r="AB9" s="51">
        <f t="shared" si="8"/>
        <v>3443.9513447391937</v>
      </c>
      <c r="AC9" s="44">
        <f t="shared" si="9"/>
        <v>3110.9356117155653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12.598768311384578</v>
      </c>
      <c r="AG9" s="44">
        <f t="shared" si="11"/>
        <v>4636.3467385895246</v>
      </c>
      <c r="AH9" s="52">
        <f>HLOOKUP(I9,GasAvoidedCostsWOCC!$A$5:$Q$50,T9+1,FALSE)</f>
        <v>12.598768311384578</v>
      </c>
      <c r="AI9" s="44">
        <f t="shared" si="12"/>
        <v>0</v>
      </c>
      <c r="AJ9" s="44">
        <f t="shared" si="13"/>
        <v>4636.3467385895246</v>
      </c>
      <c r="AK9" s="44">
        <f>HLOOKUP(I9,GasAvoidedCostsWOCC!$A$5:$Q$50,G9+1,FALSE)*J9*L9</f>
        <v>0</v>
      </c>
      <c r="AL9" s="44">
        <f t="shared" si="14"/>
        <v>4636.3467385895246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4636.3467385895246</v>
      </c>
      <c r="AN9" s="48">
        <f t="shared" si="15"/>
        <v>5099.9814124484774</v>
      </c>
      <c r="AO9" s="47">
        <f t="shared" si="16"/>
        <v>1.3462288733177876</v>
      </c>
      <c r="AP9" s="47">
        <f t="shared" si="17"/>
        <v>1.6393722175548426</v>
      </c>
      <c r="AQ9">
        <v>2021</v>
      </c>
    </row>
    <row r="10" spans="1:43" ht="13.5" customHeight="1">
      <c r="A10" s="54">
        <f>SUM(O5:O999)</f>
        <v>60870.679999999993</v>
      </c>
      <c r="B10" s="97" t="s">
        <v>145</v>
      </c>
      <c r="C10" s="98">
        <v>18230736</v>
      </c>
      <c r="D10" s="61" t="s">
        <v>146</v>
      </c>
      <c r="E10" s="38" t="s">
        <v>939</v>
      </c>
      <c r="F10" s="39" t="s">
        <v>938</v>
      </c>
      <c r="G10" s="39">
        <v>20</v>
      </c>
      <c r="H10" s="39"/>
      <c r="I10" s="40" t="s">
        <v>269</v>
      </c>
      <c r="J10" s="41">
        <v>1</v>
      </c>
      <c r="K10" s="41">
        <v>184</v>
      </c>
      <c r="L10" s="41"/>
      <c r="M10" s="42">
        <v>800</v>
      </c>
      <c r="N10" s="42">
        <v>987</v>
      </c>
      <c r="O10" s="43">
        <v>184</v>
      </c>
      <c r="P10" s="44">
        <v>800</v>
      </c>
      <c r="Q10" s="44">
        <v>987</v>
      </c>
      <c r="R10" s="45">
        <v>0</v>
      </c>
      <c r="S10" s="46">
        <v>0</v>
      </c>
      <c r="T10" s="39">
        <f t="shared" si="0"/>
        <v>20</v>
      </c>
      <c r="U10" s="47">
        <f t="shared" si="1"/>
        <v>6.0456035648032848E-2</v>
      </c>
      <c r="V10" s="48">
        <f t="shared" si="2"/>
        <v>187</v>
      </c>
      <c r="W10" s="49">
        <f t="shared" si="3"/>
        <v>3.0228017824016425E-3</v>
      </c>
      <c r="X10" s="44">
        <f t="shared" si="4"/>
        <v>676.88391192607037</v>
      </c>
      <c r="Y10" s="44">
        <f t="shared" si="5"/>
        <v>187</v>
      </c>
      <c r="Z10" s="44">
        <f t="shared" si="6"/>
        <v>1841.9973767337578</v>
      </c>
      <c r="AA10" s="50">
        <f t="shared" si="7"/>
        <v>1663.8839119260704</v>
      </c>
      <c r="AB10" s="51">
        <f t="shared" si="8"/>
        <v>1721.9756723695969</v>
      </c>
      <c r="AC10" s="44">
        <f t="shared" si="9"/>
        <v>1555.4678058577827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13.765480191058694</v>
      </c>
      <c r="AG10" s="44">
        <f t="shared" si="11"/>
        <v>2532.8483551547997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3"/>
        <v>2532.8483551547997</v>
      </c>
      <c r="AK10" s="44">
        <f>HLOOKUP(I10,GasAvoidedCostsWOCC!$A$5:$Q$50,G10+1,FALSE)*J10*L10</f>
        <v>0</v>
      </c>
      <c r="AL10" s="44">
        <f t="shared" si="14"/>
        <v>2532.8483551547997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2532.8483551547997</v>
      </c>
      <c r="AN10" s="48">
        <f t="shared" si="15"/>
        <v>2786.1331906702799</v>
      </c>
      <c r="AO10" s="47">
        <f t="shared" si="16"/>
        <v>1.4708967123033554</v>
      </c>
      <c r="AP10" s="47">
        <f t="shared" si="17"/>
        <v>1.7911866643448986</v>
      </c>
      <c r="AQ10">
        <v>2021</v>
      </c>
    </row>
    <row r="11" spans="1:43" ht="13.5" customHeight="1">
      <c r="A11" s="36" t="s">
        <v>251</v>
      </c>
      <c r="B11" s="97" t="s">
        <v>145</v>
      </c>
      <c r="C11" s="98">
        <v>18230736</v>
      </c>
      <c r="D11" s="61" t="s">
        <v>146</v>
      </c>
      <c r="E11" s="38" t="s">
        <v>940</v>
      </c>
      <c r="F11" s="39" t="s">
        <v>941</v>
      </c>
      <c r="G11" s="39">
        <v>20</v>
      </c>
      <c r="H11" s="39"/>
      <c r="I11" s="40" t="s">
        <v>269</v>
      </c>
      <c r="J11" s="41">
        <v>2</v>
      </c>
      <c r="K11" s="41">
        <v>110</v>
      </c>
      <c r="L11" s="41"/>
      <c r="M11" s="42">
        <v>350</v>
      </c>
      <c r="N11" s="42">
        <v>603</v>
      </c>
      <c r="O11" s="43">
        <v>220</v>
      </c>
      <c r="P11" s="44">
        <v>700</v>
      </c>
      <c r="Q11" s="44">
        <v>1206</v>
      </c>
      <c r="R11" s="45">
        <v>0</v>
      </c>
      <c r="S11" s="46">
        <v>0</v>
      </c>
      <c r="T11" s="39">
        <f t="shared" si="0"/>
        <v>20</v>
      </c>
      <c r="U11" s="47">
        <f t="shared" si="1"/>
        <v>7.2284390448734942E-2</v>
      </c>
      <c r="V11" s="48">
        <f t="shared" si="2"/>
        <v>253</v>
      </c>
      <c r="W11" s="49">
        <f t="shared" si="3"/>
        <v>3.6142195224367468E-3</v>
      </c>
      <c r="X11" s="44">
        <f t="shared" si="4"/>
        <v>809.31772078117115</v>
      </c>
      <c r="Y11" s="44">
        <f t="shared" si="5"/>
        <v>506</v>
      </c>
      <c r="Z11" s="44">
        <f t="shared" si="6"/>
        <v>2202.3881678338412</v>
      </c>
      <c r="AA11" s="50">
        <f t="shared" si="7"/>
        <v>2015.3177207811711</v>
      </c>
      <c r="AB11" s="51">
        <f t="shared" si="8"/>
        <v>2058.8839560940833</v>
      </c>
      <c r="AC11" s="44">
        <f t="shared" si="9"/>
        <v>1884.0027304675807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13.765480191058694</v>
      </c>
      <c r="AG11" s="44">
        <f t="shared" si="11"/>
        <v>3028.405642032913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3"/>
        <v>3028.405642032913</v>
      </c>
      <c r="AK11" s="44">
        <f>HLOOKUP(I11,GasAvoidedCostsWOCC!$A$5:$Q$50,G11+1,FALSE)*J11*L11</f>
        <v>0</v>
      </c>
      <c r="AL11" s="44">
        <f t="shared" si="14"/>
        <v>3028.405642032913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3028.405642032913</v>
      </c>
      <c r="AN11" s="48">
        <f t="shared" si="15"/>
        <v>3331.2462062362047</v>
      </c>
      <c r="AO11" s="47">
        <f t="shared" si="16"/>
        <v>1.4708967123033554</v>
      </c>
      <c r="AP11" s="47">
        <f t="shared" si="17"/>
        <v>1.7681748292421213</v>
      </c>
      <c r="AQ11">
        <v>2021</v>
      </c>
    </row>
    <row r="12" spans="1:43" ht="13.5" customHeight="1">
      <c r="A12" s="55">
        <f>SUM(P5:P1000)</f>
        <v>385065.39999999997</v>
      </c>
      <c r="B12" s="97" t="s">
        <v>145</v>
      </c>
      <c r="C12" s="98">
        <v>18230736</v>
      </c>
      <c r="D12" s="61" t="s">
        <v>146</v>
      </c>
      <c r="E12" s="38" t="s">
        <v>942</v>
      </c>
      <c r="F12" s="39" t="s">
        <v>943</v>
      </c>
      <c r="G12" s="39">
        <v>20</v>
      </c>
      <c r="H12" s="39"/>
      <c r="I12" s="40" t="s">
        <v>265</v>
      </c>
      <c r="J12" s="41">
        <v>2</v>
      </c>
      <c r="K12" s="41">
        <v>42</v>
      </c>
      <c r="L12" s="41"/>
      <c r="M12" s="42">
        <v>250</v>
      </c>
      <c r="N12" s="42">
        <v>925.6</v>
      </c>
      <c r="O12" s="43">
        <v>84</v>
      </c>
      <c r="P12" s="44">
        <v>500</v>
      </c>
      <c r="Q12" s="44">
        <v>1851.2</v>
      </c>
      <c r="R12" s="45">
        <v>15.03</v>
      </c>
      <c r="S12" s="46">
        <v>0</v>
      </c>
      <c r="T12" s="39">
        <f t="shared" si="0"/>
        <v>20</v>
      </c>
      <c r="U12" s="47">
        <f t="shared" si="1"/>
        <v>2.7599494534971521E-2</v>
      </c>
      <c r="V12" s="48">
        <f t="shared" si="2"/>
        <v>675.6</v>
      </c>
      <c r="W12" s="49">
        <f t="shared" si="3"/>
        <v>1.379974726748576E-3</v>
      </c>
      <c r="X12" s="44">
        <f t="shared" si="4"/>
        <v>309.01222066190172</v>
      </c>
      <c r="Y12" s="44">
        <f t="shared" si="5"/>
        <v>1351.2</v>
      </c>
      <c r="Z12" s="44">
        <f t="shared" si="6"/>
        <v>840.91184590019384</v>
      </c>
      <c r="AA12" s="50">
        <f t="shared" si="7"/>
        <v>2160.2122206619019</v>
      </c>
      <c r="AB12" s="51">
        <f t="shared" si="8"/>
        <v>786.11932869046814</v>
      </c>
      <c r="AC12" s="44">
        <f t="shared" si="9"/>
        <v>2019.4561285050966</v>
      </c>
      <c r="AD12" s="44">
        <f t="shared" si="10"/>
        <v>319.19995660946779</v>
      </c>
      <c r="AE12" s="44">
        <f t="shared" si="18"/>
        <v>0</v>
      </c>
      <c r="AF12" s="52">
        <f>HLOOKUP(I12,GasAvoidedCostsWOCC!$A$5:$G$50,G12+1,FALSE)</f>
        <v>13.114573164368423</v>
      </c>
      <c r="AG12" s="44">
        <f t="shared" si="11"/>
        <v>1101.6241458069476</v>
      </c>
      <c r="AH12" s="52">
        <f>HLOOKUP(I12,GasAvoidedCostsWOCC!$A$5:$Q$50,T12+1,FALSE)</f>
        <v>13.114573164368423</v>
      </c>
      <c r="AI12" s="44">
        <f t="shared" si="12"/>
        <v>0</v>
      </c>
      <c r="AJ12" s="44">
        <f t="shared" si="13"/>
        <v>1101.6241458069476</v>
      </c>
      <c r="AK12" s="44">
        <f>HLOOKUP(I12,GasAvoidedCostsWOCC!$A$5:$Q$50,G12+1,FALSE)*J12*L12</f>
        <v>0</v>
      </c>
      <c r="AL12" s="44">
        <f t="shared" si="14"/>
        <v>1101.6241458069476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1101.6241458069476</v>
      </c>
      <c r="AN12" s="48">
        <f t="shared" si="15"/>
        <v>1530.9865169971101</v>
      </c>
      <c r="AO12" s="47">
        <f t="shared" si="16"/>
        <v>1.4013446885246457</v>
      </c>
      <c r="AP12" s="47">
        <f t="shared" si="17"/>
        <v>0.75811823559169056</v>
      </c>
      <c r="AQ12">
        <v>2021</v>
      </c>
    </row>
    <row r="13" spans="1:43" ht="13.5" customHeight="1">
      <c r="A13" s="56" t="s">
        <v>252</v>
      </c>
      <c r="B13" s="97" t="s">
        <v>145</v>
      </c>
      <c r="C13" s="98">
        <v>18230736</v>
      </c>
      <c r="D13" s="61" t="s">
        <v>146</v>
      </c>
      <c r="E13" s="38" t="s">
        <v>952</v>
      </c>
      <c r="F13" s="39" t="s">
        <v>953</v>
      </c>
      <c r="G13" s="39">
        <v>45</v>
      </c>
      <c r="H13" s="39"/>
      <c r="I13" s="40" t="s">
        <v>269</v>
      </c>
      <c r="J13" s="41">
        <v>332</v>
      </c>
      <c r="K13" s="41">
        <v>0.62</v>
      </c>
      <c r="L13" s="41"/>
      <c r="M13" s="42">
        <v>5</v>
      </c>
      <c r="N13" s="42">
        <v>23.3</v>
      </c>
      <c r="O13" s="43">
        <v>205.84</v>
      </c>
      <c r="P13" s="44">
        <v>2035</v>
      </c>
      <c r="Q13" s="44">
        <v>7735.6</v>
      </c>
      <c r="R13" s="45">
        <v>0</v>
      </c>
      <c r="S13" s="46">
        <v>0</v>
      </c>
      <c r="T13" s="39">
        <f t="shared" si="0"/>
        <v>45</v>
      </c>
      <c r="U13" s="47">
        <f t="shared" si="1"/>
        <v>0.15217178451103228</v>
      </c>
      <c r="V13" s="48">
        <f t="shared" si="2"/>
        <v>18.3</v>
      </c>
      <c r="W13" s="49">
        <f t="shared" si="3"/>
        <v>3.3815952113562726E-3</v>
      </c>
      <c r="X13" s="44">
        <f t="shared" si="4"/>
        <v>757.22708929816486</v>
      </c>
      <c r="Y13" s="44">
        <f t="shared" si="5"/>
        <v>5700.6</v>
      </c>
      <c r="Z13" s="44">
        <f t="shared" si="6"/>
        <v>2060.6344566678081</v>
      </c>
      <c r="AA13" s="50">
        <f t="shared" si="7"/>
        <v>8492.8270892981654</v>
      </c>
      <c r="AB13" s="51">
        <f t="shared" si="8"/>
        <v>1926.3666978291183</v>
      </c>
      <c r="AC13" s="44">
        <f t="shared" si="9"/>
        <v>7939.4475921269186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27.444232870165703</v>
      </c>
      <c r="AG13" s="44">
        <f t="shared" si="11"/>
        <v>5649.1208939949074</v>
      </c>
      <c r="AH13" s="52">
        <f>HLOOKUP(I13,GasAvoidedCostsWOCC!$A$5:$Q$50,T13+1,FALSE)</f>
        <v>27.444232870165703</v>
      </c>
      <c r="AI13" s="44">
        <f t="shared" si="12"/>
        <v>0</v>
      </c>
      <c r="AJ13" s="44">
        <f t="shared" si="13"/>
        <v>5649.1208939949074</v>
      </c>
      <c r="AK13" s="44">
        <f>HLOOKUP(I13,GasAvoidedCostsWOCC!$A$5:$Q$50,G13+1,FALSE)*J13*L13</f>
        <v>0</v>
      </c>
      <c r="AL13" s="44">
        <f t="shared" si="14"/>
        <v>5649.1208939949074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5649.1208939949083</v>
      </c>
      <c r="AN13" s="48">
        <f t="shared" si="15"/>
        <v>6214.0329833943997</v>
      </c>
      <c r="AO13" s="47">
        <f t="shared" si="16"/>
        <v>2.9325262424651943</v>
      </c>
      <c r="AP13" s="47">
        <f t="shared" si="17"/>
        <v>0.78267825453706497</v>
      </c>
      <c r="AQ13">
        <v>2021</v>
      </c>
    </row>
    <row r="14" spans="1:43" ht="13.5" customHeight="1">
      <c r="A14" s="55">
        <f>SUM(Y5:Y1000)</f>
        <v>654779.93999999983</v>
      </c>
      <c r="B14" s="97" t="s">
        <v>145</v>
      </c>
      <c r="C14" s="98">
        <v>18230736</v>
      </c>
      <c r="D14" s="61" t="s">
        <v>146</v>
      </c>
      <c r="E14" s="38" t="s">
        <v>633</v>
      </c>
      <c r="F14" s="39" t="s">
        <v>634</v>
      </c>
      <c r="G14" s="39">
        <v>14</v>
      </c>
      <c r="H14" s="39"/>
      <c r="I14" s="40" t="s">
        <v>265</v>
      </c>
      <c r="J14" s="41">
        <v>156</v>
      </c>
      <c r="K14" s="41">
        <v>0.8</v>
      </c>
      <c r="L14" s="41"/>
      <c r="M14" s="42">
        <v>0</v>
      </c>
      <c r="N14" s="42">
        <v>0</v>
      </c>
      <c r="O14" s="43">
        <v>124.8</v>
      </c>
      <c r="P14" s="44">
        <v>0</v>
      </c>
      <c r="Q14" s="44">
        <v>0</v>
      </c>
      <c r="R14" s="45">
        <v>7.49</v>
      </c>
      <c r="S14" s="46">
        <v>0</v>
      </c>
      <c r="T14" s="39">
        <f t="shared" si="0"/>
        <v>14</v>
      </c>
      <c r="U14" s="47">
        <f t="shared" si="1"/>
        <v>2.8703474316370377E-2</v>
      </c>
      <c r="V14" s="48">
        <f t="shared" si="2"/>
        <v>0</v>
      </c>
      <c r="W14" s="49">
        <f t="shared" si="3"/>
        <v>2.050248165455027E-3</v>
      </c>
      <c r="X14" s="44">
        <f t="shared" si="4"/>
        <v>459.10387069768251</v>
      </c>
      <c r="Y14" s="44">
        <f t="shared" si="5"/>
        <v>0</v>
      </c>
      <c r="Z14" s="44">
        <f t="shared" si="6"/>
        <v>1249.3547424802878</v>
      </c>
      <c r="AA14" s="50">
        <f t="shared" si="7"/>
        <v>459.10387069768251</v>
      </c>
      <c r="AB14" s="51">
        <f t="shared" si="8"/>
        <v>1167.9487169115525</v>
      </c>
      <c r="AC14" s="44">
        <f t="shared" si="9"/>
        <v>429.18937150386319</v>
      </c>
      <c r="AD14" s="44">
        <f t="shared" si="10"/>
        <v>10236.964018458088</v>
      </c>
      <c r="AE14" s="44">
        <f t="shared" si="18"/>
        <v>0</v>
      </c>
      <c r="AF14" s="52">
        <f>HLOOKUP(I14,GasAvoidedCostsWOCC!$A$5:$G$50,G14+1,FALSE)</f>
        <v>9.6059277231229743</v>
      </c>
      <c r="AG14" s="44">
        <f t="shared" si="11"/>
        <v>1198.8197798457472</v>
      </c>
      <c r="AH14" s="52">
        <f>HLOOKUP(I14,GasAvoidedCostsWOCC!$A$5:$Q$50,T14+1,FALSE)</f>
        <v>9.6059277231229743</v>
      </c>
      <c r="AI14" s="44">
        <f t="shared" si="12"/>
        <v>0</v>
      </c>
      <c r="AJ14" s="44">
        <f t="shared" si="13"/>
        <v>1198.8197798457472</v>
      </c>
      <c r="AK14" s="44">
        <f>HLOOKUP(I14,GasAvoidedCostsWOCC!$A$5:$Q$50,G14+1,FALSE)*J14*L14</f>
        <v>0</v>
      </c>
      <c r="AL14" s="44">
        <f t="shared" si="14"/>
        <v>1198.8197798457472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1198.8197798457472</v>
      </c>
      <c r="AN14" s="48">
        <f t="shared" si="15"/>
        <v>11555.66577628841</v>
      </c>
      <c r="AO14" s="47">
        <f t="shared" si="16"/>
        <v>1.0264318651043414</v>
      </c>
      <c r="AP14" s="47">
        <f t="shared" si="17"/>
        <v>26.924398746869702</v>
      </c>
      <c r="AQ14">
        <v>2021</v>
      </c>
    </row>
    <row r="15" spans="1:43" ht="13.5" customHeight="1">
      <c r="A15" s="57" t="s">
        <v>253</v>
      </c>
      <c r="B15" s="97" t="s">
        <v>145</v>
      </c>
      <c r="C15" s="98">
        <v>18230736</v>
      </c>
      <c r="D15" s="61" t="s">
        <v>146</v>
      </c>
      <c r="E15" s="38" t="s">
        <v>643</v>
      </c>
      <c r="F15" s="39" t="s">
        <v>644</v>
      </c>
      <c r="G15" s="39">
        <v>14</v>
      </c>
      <c r="H15" s="39"/>
      <c r="I15" s="40" t="s">
        <v>265</v>
      </c>
      <c r="J15" s="41">
        <v>5</v>
      </c>
      <c r="K15" s="41">
        <v>0</v>
      </c>
      <c r="L15" s="41"/>
      <c r="M15" s="42">
        <v>0</v>
      </c>
      <c r="N15" s="42">
        <v>0</v>
      </c>
      <c r="O15" s="43">
        <v>0</v>
      </c>
      <c r="P15" s="44">
        <v>0</v>
      </c>
      <c r="Q15" s="44">
        <v>0</v>
      </c>
      <c r="R15" s="45">
        <v>17.059999999999999</v>
      </c>
      <c r="S15" s="46">
        <v>0</v>
      </c>
      <c r="T15" s="39">
        <f t="shared" si="0"/>
        <v>14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747.33236689472687</v>
      </c>
      <c r="AE15" s="44">
        <f t="shared" si="18"/>
        <v>0</v>
      </c>
      <c r="AF15" s="52">
        <f>HLOOKUP(I15,GasAvoidedCostsWOCC!$A$5:$G$50,G15+1,FALSE)</f>
        <v>9.6059277231229743</v>
      </c>
      <c r="AG15" s="44">
        <f t="shared" si="11"/>
        <v>0</v>
      </c>
      <c r="AH15" s="52">
        <f>HLOOKUP(I15,GasAvoidedCostsWOCC!$A$5:$Q$50,T15+1,FALSE)</f>
        <v>9.6059277231229743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747.33236689472687</v>
      </c>
      <c r="AO15" s="47">
        <f t="shared" si="16"/>
        <v>0</v>
      </c>
      <c r="AP15" s="47" t="e">
        <f t="shared" si="17"/>
        <v>#DIV/0!</v>
      </c>
      <c r="AQ15">
        <v>2021</v>
      </c>
    </row>
    <row r="16" spans="1:43" ht="13.5" customHeight="1">
      <c r="A16" s="54">
        <f>SUM(U5:U999)</f>
        <v>35.451549087343864</v>
      </c>
      <c r="B16" s="97" t="s">
        <v>145</v>
      </c>
      <c r="C16" s="100">
        <v>18230736</v>
      </c>
      <c r="D16" s="100" t="s">
        <v>146</v>
      </c>
      <c r="E16" s="38" t="s">
        <v>2018</v>
      </c>
      <c r="F16" s="39" t="s">
        <v>2019</v>
      </c>
      <c r="G16" s="39">
        <v>10</v>
      </c>
      <c r="H16" s="39"/>
      <c r="I16" s="40" t="s">
        <v>265</v>
      </c>
      <c r="J16" s="41">
        <v>302</v>
      </c>
      <c r="K16" s="41">
        <v>2</v>
      </c>
      <c r="L16" s="41"/>
      <c r="M16" s="42">
        <v>2</v>
      </c>
      <c r="N16" s="42">
        <v>2</v>
      </c>
      <c r="O16" s="43">
        <v>604</v>
      </c>
      <c r="P16" s="44">
        <v>604</v>
      </c>
      <c r="Q16" s="44">
        <v>604</v>
      </c>
      <c r="R16" s="45">
        <v>5.89</v>
      </c>
      <c r="S16" s="46">
        <v>0</v>
      </c>
      <c r="T16" s="39">
        <f t="shared" si="0"/>
        <v>10</v>
      </c>
      <c r="U16" s="47">
        <f t="shared" si="1"/>
        <v>9.9226754161445219E-2</v>
      </c>
      <c r="V16" s="48">
        <f t="shared" si="2"/>
        <v>0</v>
      </c>
      <c r="W16" s="49">
        <f t="shared" si="3"/>
        <v>9.9226754161445222E-3</v>
      </c>
      <c r="X16" s="44">
        <f t="shared" si="4"/>
        <v>2221.9450152355789</v>
      </c>
      <c r="Y16" s="44">
        <f t="shared" si="5"/>
        <v>0</v>
      </c>
      <c r="Z16" s="44">
        <f t="shared" si="6"/>
        <v>6046.556606234727</v>
      </c>
      <c r="AA16" s="50">
        <f t="shared" si="7"/>
        <v>2825.9450152355789</v>
      </c>
      <c r="AB16" s="51">
        <f t="shared" si="8"/>
        <v>5652.5723158219371</v>
      </c>
      <c r="AC16" s="44">
        <f t="shared" si="9"/>
        <v>2641.8108023142736</v>
      </c>
      <c r="AD16" s="44">
        <f t="shared" si="10"/>
        <v>12510.750007848696</v>
      </c>
      <c r="AE16" s="44">
        <f t="shared" si="18"/>
        <v>0</v>
      </c>
      <c r="AF16" s="52">
        <f>HLOOKUP(I16,GasAvoidedCostsWOCC!$A$5:$G$50,G16+1,FALSE)</f>
        <v>7.1400454873872068</v>
      </c>
      <c r="AG16" s="44">
        <f t="shared" si="11"/>
        <v>4312.5874743818731</v>
      </c>
      <c r="AH16" s="52">
        <f>HLOOKUP(I16,GasAvoidedCostsWOCC!$A$5:$Q$50,T16+1,FALSE)</f>
        <v>7.1400454873872068</v>
      </c>
      <c r="AI16" s="44">
        <f t="shared" si="12"/>
        <v>0</v>
      </c>
      <c r="AJ16" s="44">
        <f t="shared" si="13"/>
        <v>4312.5874743818731</v>
      </c>
      <c r="AK16" s="44">
        <f>HLOOKUP(I16,GasAvoidedCostsWOCC!$A$5:$Q$50,G16+1,FALSE)*J16*L16</f>
        <v>0</v>
      </c>
      <c r="AL16" s="44">
        <f t="shared" si="14"/>
        <v>4312.5874743818731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4312.5874743818731</v>
      </c>
      <c r="AN16" s="48">
        <f t="shared" si="15"/>
        <v>17254.596229668758</v>
      </c>
      <c r="AO16" s="47">
        <f t="shared" si="16"/>
        <v>0.76294246821232969</v>
      </c>
      <c r="AP16" s="47">
        <f t="shared" si="17"/>
        <v>6.5313519857491018</v>
      </c>
      <c r="AQ16">
        <v>2020</v>
      </c>
    </row>
    <row r="17" spans="1:42" ht="13.5" customHeight="1">
      <c r="A17" s="58" t="s">
        <v>254</v>
      </c>
      <c r="B17" s="97" t="s">
        <v>145</v>
      </c>
      <c r="C17" s="100">
        <v>18230736</v>
      </c>
      <c r="D17" s="100" t="s">
        <v>146</v>
      </c>
      <c r="E17" s="38" t="s">
        <v>2022</v>
      </c>
      <c r="F17" s="39" t="s">
        <v>2023</v>
      </c>
      <c r="G17" s="39">
        <v>10</v>
      </c>
      <c r="H17" s="39"/>
      <c r="I17" s="40" t="s">
        <v>265</v>
      </c>
      <c r="J17" s="41">
        <v>39</v>
      </c>
      <c r="K17" s="41">
        <v>2</v>
      </c>
      <c r="L17" s="41"/>
      <c r="M17" s="42">
        <v>2</v>
      </c>
      <c r="N17" s="42">
        <v>2</v>
      </c>
      <c r="O17" s="43">
        <v>78</v>
      </c>
      <c r="P17" s="44">
        <v>78</v>
      </c>
      <c r="Q17" s="44">
        <v>78</v>
      </c>
      <c r="R17" s="45">
        <v>4.53</v>
      </c>
      <c r="S17" s="46">
        <v>0</v>
      </c>
      <c r="T17" s="39">
        <f t="shared" si="0"/>
        <v>10</v>
      </c>
      <c r="U17" s="47">
        <f t="shared" si="1"/>
        <v>1.2814051034093919E-2</v>
      </c>
      <c r="V17" s="48">
        <f t="shared" si="2"/>
        <v>0</v>
      </c>
      <c r="W17" s="49">
        <f t="shared" si="3"/>
        <v>1.2814051034093919E-3</v>
      </c>
      <c r="X17" s="44">
        <f t="shared" si="4"/>
        <v>286.93991918605155</v>
      </c>
      <c r="Y17" s="44">
        <f t="shared" si="5"/>
        <v>0</v>
      </c>
      <c r="Z17" s="44">
        <f t="shared" si="6"/>
        <v>780.84671405018003</v>
      </c>
      <c r="AA17" s="50">
        <f t="shared" si="7"/>
        <v>364.93991918605155</v>
      </c>
      <c r="AB17" s="51">
        <f t="shared" si="8"/>
        <v>729.96794806972048</v>
      </c>
      <c r="AC17" s="44">
        <f t="shared" si="9"/>
        <v>341.16099764985654</v>
      </c>
      <c r="AD17" s="44">
        <f t="shared" si="10"/>
        <v>1242.5787359238518</v>
      </c>
      <c r="AE17" s="44">
        <f t="shared" si="18"/>
        <v>0</v>
      </c>
      <c r="AF17" s="52">
        <f>HLOOKUP(I17,GasAvoidedCostsWOCC!$A$5:$G$50,G17+1,FALSE)</f>
        <v>7.1400454873872068</v>
      </c>
      <c r="AG17" s="44">
        <f t="shared" si="11"/>
        <v>556.92354801620218</v>
      </c>
      <c r="AH17" s="52">
        <f>HLOOKUP(I17,GasAvoidedCostsWOCC!$A$5:$Q$50,T17+1,FALSE)</f>
        <v>7.1400454873872068</v>
      </c>
      <c r="AI17" s="44">
        <f t="shared" si="12"/>
        <v>0</v>
      </c>
      <c r="AJ17" s="44">
        <f t="shared" si="13"/>
        <v>556.92354801620218</v>
      </c>
      <c r="AK17" s="44">
        <f>HLOOKUP(I17,GasAvoidedCostsWOCC!$A$5:$Q$50,G17+1,FALSE)*J17*L17</f>
        <v>0</v>
      </c>
      <c r="AL17" s="44">
        <f t="shared" si="14"/>
        <v>556.92354801620218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556.92354801620218</v>
      </c>
      <c r="AN17" s="48">
        <f t="shared" si="15"/>
        <v>1855.1946387416742</v>
      </c>
      <c r="AO17" s="47">
        <f t="shared" si="16"/>
        <v>0.76294246821232958</v>
      </c>
      <c r="AP17" s="47">
        <f t="shared" si="17"/>
        <v>5.4378860758453831</v>
      </c>
    </row>
    <row r="18" spans="1:42" ht="13.5" customHeight="1">
      <c r="A18" s="59">
        <f>A6+A8</f>
        <v>609367.57000000007</v>
      </c>
      <c r="B18" s="97" t="s">
        <v>145</v>
      </c>
      <c r="C18" s="100">
        <v>18230736</v>
      </c>
      <c r="D18" s="100" t="s">
        <v>146</v>
      </c>
      <c r="E18" s="38" t="s">
        <v>2024</v>
      </c>
      <c r="F18" s="39" t="s">
        <v>2025</v>
      </c>
      <c r="G18" s="39">
        <v>45</v>
      </c>
      <c r="H18" s="39"/>
      <c r="I18" s="40" t="s">
        <v>269</v>
      </c>
      <c r="J18" s="41">
        <v>1153</v>
      </c>
      <c r="K18" s="41">
        <v>0.04</v>
      </c>
      <c r="L18" s="41"/>
      <c r="M18" s="42">
        <v>0.75</v>
      </c>
      <c r="N18" s="42">
        <v>0.79</v>
      </c>
      <c r="O18" s="43">
        <v>46.12</v>
      </c>
      <c r="P18" s="44">
        <v>864.75</v>
      </c>
      <c r="Q18" s="44">
        <v>910.87</v>
      </c>
      <c r="R18" s="45">
        <v>0</v>
      </c>
      <c r="S18" s="46">
        <v>0</v>
      </c>
      <c r="T18" s="39">
        <f t="shared" si="0"/>
        <v>45</v>
      </c>
      <c r="U18" s="47">
        <f t="shared" si="1"/>
        <v>3.4095232713023747E-2</v>
      </c>
      <c r="V18" s="48">
        <f t="shared" si="2"/>
        <v>4.0000000000000036E-2</v>
      </c>
      <c r="W18" s="49">
        <f t="shared" si="3"/>
        <v>7.5767183806719433E-4</v>
      </c>
      <c r="X18" s="44">
        <f t="shared" si="4"/>
        <v>169.6624240110346</v>
      </c>
      <c r="Y18" s="44">
        <f t="shared" si="5"/>
        <v>46.120000000000005</v>
      </c>
      <c r="Z18" s="44">
        <f t="shared" si="6"/>
        <v>461.70064682043977</v>
      </c>
      <c r="AA18" s="50">
        <f t="shared" si="7"/>
        <v>1080.5324240110347</v>
      </c>
      <c r="AB18" s="51">
        <f t="shared" si="8"/>
        <v>431.61694570481416</v>
      </c>
      <c r="AC18" s="44">
        <f t="shared" si="9"/>
        <v>1010.1265999916187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27.444232870165703</v>
      </c>
      <c r="AG18" s="44">
        <f t="shared" si="11"/>
        <v>1265.7280199720424</v>
      </c>
      <c r="AH18" s="52">
        <f>HLOOKUP(I18,GasAvoidedCostsWOCC!$A$5:$Q$50,T18+1,FALSE)</f>
        <v>27.444232870165703</v>
      </c>
      <c r="AI18" s="44">
        <f t="shared" si="12"/>
        <v>0</v>
      </c>
      <c r="AJ18" s="44">
        <f t="shared" si="13"/>
        <v>1265.7280199720424</v>
      </c>
      <c r="AK18" s="44">
        <f>HLOOKUP(I18,GasAvoidedCostsWOCC!$A$5:$Q$50,G18+1,FALSE)*J18*L18</f>
        <v>0</v>
      </c>
      <c r="AL18" s="44">
        <f t="shared" si="14"/>
        <v>1265.7280199720424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1265.7280199720421</v>
      </c>
      <c r="AN18" s="48">
        <f t="shared" si="15"/>
        <v>1392.3008219692465</v>
      </c>
      <c r="AO18" s="47">
        <f t="shared" si="16"/>
        <v>2.9325262424651934</v>
      </c>
      <c r="AP18" s="47">
        <f t="shared" si="17"/>
        <v>1.3783428948220933</v>
      </c>
    </row>
    <row r="19" spans="1:42" ht="13.5" customHeight="1">
      <c r="A19" s="58" t="s">
        <v>231</v>
      </c>
      <c r="B19" s="97" t="s">
        <v>145</v>
      </c>
      <c r="C19" s="100">
        <v>18230736</v>
      </c>
      <c r="D19" s="100" t="s">
        <v>146</v>
      </c>
      <c r="E19" s="38" t="s">
        <v>2026</v>
      </c>
      <c r="F19" s="39" t="s">
        <v>2027</v>
      </c>
      <c r="G19" s="39">
        <v>45</v>
      </c>
      <c r="H19" s="39"/>
      <c r="I19" s="40" t="s">
        <v>269</v>
      </c>
      <c r="J19" s="41">
        <v>4992</v>
      </c>
      <c r="K19" s="41">
        <v>0.02</v>
      </c>
      <c r="L19" s="41"/>
      <c r="M19" s="42">
        <v>0.75</v>
      </c>
      <c r="N19" s="42">
        <v>0.76</v>
      </c>
      <c r="O19" s="43">
        <v>99.84</v>
      </c>
      <c r="P19" s="44">
        <v>3744</v>
      </c>
      <c r="Q19" s="44">
        <v>3793.92</v>
      </c>
      <c r="R19" s="45">
        <v>0</v>
      </c>
      <c r="S19" s="46">
        <v>0</v>
      </c>
      <c r="T19" s="39">
        <f t="shared" si="0"/>
        <v>45</v>
      </c>
      <c r="U19" s="47">
        <f t="shared" si="1"/>
        <v>7.3808933956380982E-2</v>
      </c>
      <c r="V19" s="48">
        <f t="shared" si="2"/>
        <v>1.0000000000000009E-2</v>
      </c>
      <c r="W19" s="49">
        <f t="shared" si="3"/>
        <v>1.6401985323640218E-3</v>
      </c>
      <c r="X19" s="44">
        <f t="shared" si="4"/>
        <v>367.28309655814604</v>
      </c>
      <c r="Y19" s="44">
        <f t="shared" si="5"/>
        <v>49.920000000000073</v>
      </c>
      <c r="Z19" s="44">
        <f t="shared" si="6"/>
        <v>999.48379398423049</v>
      </c>
      <c r="AA19" s="50">
        <f t="shared" si="7"/>
        <v>4161.2030965581462</v>
      </c>
      <c r="AB19" s="51">
        <f t="shared" si="8"/>
        <v>934.35897352924223</v>
      </c>
      <c r="AC19" s="44">
        <f t="shared" si="9"/>
        <v>3890.0655291746712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27.444232870165703</v>
      </c>
      <c r="AG19" s="44">
        <f t="shared" si="11"/>
        <v>2740.0322097573435</v>
      </c>
      <c r="AH19" s="52">
        <f>HLOOKUP(I19,GasAvoidedCostsWOCC!$A$5:$Q$50,T19+1,FALSE)</f>
        <v>27.444232870165703</v>
      </c>
      <c r="AI19" s="44">
        <f t="shared" si="12"/>
        <v>0</v>
      </c>
      <c r="AJ19" s="44">
        <f t="shared" si="13"/>
        <v>2740.0322097573435</v>
      </c>
      <c r="AK19" s="44">
        <f>HLOOKUP(I19,GasAvoidedCostsWOCC!$A$5:$Q$50,G19+1,FALSE)*J19*L19</f>
        <v>0</v>
      </c>
      <c r="AL19" s="44">
        <f t="shared" si="14"/>
        <v>2740.0322097573435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2740.0322097573439</v>
      </c>
      <c r="AN19" s="48">
        <f t="shared" si="15"/>
        <v>3014.0354307330786</v>
      </c>
      <c r="AO19" s="47">
        <f t="shared" si="16"/>
        <v>2.9325262424651934</v>
      </c>
      <c r="AP19" s="47">
        <f t="shared" si="17"/>
        <v>0.77480325411704465</v>
      </c>
    </row>
    <row r="20" spans="1:42" ht="13.5" customHeight="1">
      <c r="A20" s="59">
        <f>A8+SUM(Q5:Q906)</f>
        <v>1263771.3400000001</v>
      </c>
      <c r="B20" s="97" t="s">
        <v>145</v>
      </c>
      <c r="C20" s="100">
        <v>18230736</v>
      </c>
      <c r="D20" s="100" t="s">
        <v>146</v>
      </c>
      <c r="E20" s="38" t="s">
        <v>2035</v>
      </c>
      <c r="F20" s="39" t="s">
        <v>2036</v>
      </c>
      <c r="G20" s="39">
        <v>45</v>
      </c>
      <c r="H20" s="39"/>
      <c r="I20" s="40" t="s">
        <v>269</v>
      </c>
      <c r="J20" s="41">
        <v>3300</v>
      </c>
      <c r="K20" s="41">
        <v>0.06</v>
      </c>
      <c r="L20" s="41"/>
      <c r="M20" s="42">
        <v>0.75</v>
      </c>
      <c r="N20" s="42">
        <v>0.97</v>
      </c>
      <c r="O20" s="43">
        <v>198</v>
      </c>
      <c r="P20" s="44">
        <v>2475</v>
      </c>
      <c r="Q20" s="44">
        <v>3201</v>
      </c>
      <c r="R20" s="45">
        <v>0</v>
      </c>
      <c r="S20" s="46">
        <v>0</v>
      </c>
      <c r="T20" s="39">
        <f t="shared" si="0"/>
        <v>45</v>
      </c>
      <c r="U20" s="47">
        <f t="shared" si="1"/>
        <v>0.14637589065868825</v>
      </c>
      <c r="V20" s="48">
        <f t="shared" si="2"/>
        <v>0.21999999999999997</v>
      </c>
      <c r="W20" s="49">
        <f t="shared" si="3"/>
        <v>3.252797570193072E-3</v>
      </c>
      <c r="X20" s="44">
        <f t="shared" si="4"/>
        <v>728.38594870305405</v>
      </c>
      <c r="Y20" s="44">
        <f t="shared" si="5"/>
        <v>726</v>
      </c>
      <c r="Z20" s="44">
        <f t="shared" si="6"/>
        <v>1982.149351050457</v>
      </c>
      <c r="AA20" s="50">
        <f t="shared" si="7"/>
        <v>3929.3859487030541</v>
      </c>
      <c r="AB20" s="51">
        <f t="shared" si="8"/>
        <v>1852.995560484675</v>
      </c>
      <c r="AC20" s="44">
        <f t="shared" si="9"/>
        <v>3673.3532286650966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27.444232870165703</v>
      </c>
      <c r="AG20" s="44">
        <f t="shared" si="11"/>
        <v>5433.9581082928089</v>
      </c>
      <c r="AH20" s="52">
        <f>HLOOKUP(I20,GasAvoidedCostsWOCC!$A$5:$Q$50,T20+1,FALSE)</f>
        <v>27.444232870165703</v>
      </c>
      <c r="AI20" s="44">
        <f t="shared" si="12"/>
        <v>0</v>
      </c>
      <c r="AJ20" s="44">
        <f t="shared" si="13"/>
        <v>5433.9581082928089</v>
      </c>
      <c r="AK20" s="44">
        <f>HLOOKUP(I20,GasAvoidedCostsWOCC!$A$5:$Q$50,G20+1,FALSE)*J20*L20</f>
        <v>0</v>
      </c>
      <c r="AL20" s="44">
        <f t="shared" si="14"/>
        <v>5433.9581082928089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5433.9581082928089</v>
      </c>
      <c r="AN20" s="48">
        <f t="shared" si="15"/>
        <v>5977.3539191220907</v>
      </c>
      <c r="AO20" s="47">
        <f t="shared" si="16"/>
        <v>2.9325262424651934</v>
      </c>
      <c r="AP20" s="47">
        <f t="shared" si="17"/>
        <v>1.62722002133573</v>
      </c>
    </row>
    <row r="21" spans="1:42" ht="13.5" customHeight="1">
      <c r="A21" s="58" t="s">
        <v>245</v>
      </c>
      <c r="B21" s="97" t="s">
        <v>145</v>
      </c>
      <c r="C21" s="100">
        <v>18230736</v>
      </c>
      <c r="D21" s="100" t="s">
        <v>146</v>
      </c>
      <c r="E21" s="38" t="s">
        <v>2040</v>
      </c>
      <c r="F21" s="39" t="s">
        <v>2041</v>
      </c>
      <c r="G21" s="39">
        <v>20</v>
      </c>
      <c r="H21" s="39"/>
      <c r="I21" s="40" t="s">
        <v>269</v>
      </c>
      <c r="J21" s="41">
        <v>84</v>
      </c>
      <c r="K21" s="41">
        <v>72</v>
      </c>
      <c r="L21" s="41"/>
      <c r="M21" s="42">
        <v>200</v>
      </c>
      <c r="N21" s="42">
        <v>562</v>
      </c>
      <c r="O21" s="43">
        <v>6048</v>
      </c>
      <c r="P21" s="44">
        <v>16800</v>
      </c>
      <c r="Q21" s="44">
        <v>47208</v>
      </c>
      <c r="R21" s="45">
        <v>0</v>
      </c>
      <c r="S21" s="46">
        <v>0</v>
      </c>
      <c r="T21" s="39">
        <f t="shared" si="0"/>
        <v>20</v>
      </c>
      <c r="U21" s="47">
        <f t="shared" si="1"/>
        <v>1.9871636065179494</v>
      </c>
      <c r="V21" s="48">
        <f t="shared" si="2"/>
        <v>362</v>
      </c>
      <c r="W21" s="49">
        <f t="shared" si="3"/>
        <v>9.9358180325897466E-2</v>
      </c>
      <c r="X21" s="44">
        <f t="shared" si="4"/>
        <v>22248.879887656924</v>
      </c>
      <c r="Y21" s="44">
        <f t="shared" si="5"/>
        <v>30408</v>
      </c>
      <c r="Z21" s="44">
        <f t="shared" si="6"/>
        <v>60545.652904813949</v>
      </c>
      <c r="AA21" s="50">
        <f t="shared" si="7"/>
        <v>69456.87988765692</v>
      </c>
      <c r="AB21" s="51">
        <f t="shared" si="8"/>
        <v>56600.591665713699</v>
      </c>
      <c r="AC21" s="44">
        <f t="shared" si="9"/>
        <v>64931.176860481362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13.765480191058694</v>
      </c>
      <c r="AG21" s="44">
        <f t="shared" si="11"/>
        <v>83253.624195522993</v>
      </c>
      <c r="AH21" s="52">
        <f>HLOOKUP(I21,GasAvoidedCostsWOCC!$A$5:$Q$50,T21+1,FALSE)</f>
        <v>13.765480191058694</v>
      </c>
      <c r="AI21" s="44">
        <f t="shared" si="12"/>
        <v>0</v>
      </c>
      <c r="AJ21" s="44">
        <f t="shared" si="13"/>
        <v>83253.624195522993</v>
      </c>
      <c r="AK21" s="44">
        <f>HLOOKUP(I21,GasAvoidedCostsWOCC!$A$5:$Q$50,G21+1,FALSE)*J21*L21</f>
        <v>0</v>
      </c>
      <c r="AL21" s="44">
        <f t="shared" si="14"/>
        <v>83253.624195522993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83253.624195522993</v>
      </c>
      <c r="AN21" s="48">
        <f t="shared" si="15"/>
        <v>91578.986615075293</v>
      </c>
      <c r="AO21" s="47">
        <f t="shared" si="16"/>
        <v>1.4708967123033556</v>
      </c>
      <c r="AP21" s="47">
        <f t="shared" si="17"/>
        <v>1.4104008435247137</v>
      </c>
    </row>
    <row r="22" spans="1:42" ht="13.5" customHeight="1">
      <c r="A22" s="60">
        <f>(SUM(AM5:AM1000)/(SUM(AB5:AB1000)))</f>
        <v>2.1940471418102261</v>
      </c>
      <c r="B22" s="97" t="s">
        <v>145</v>
      </c>
      <c r="C22" s="100">
        <v>18230736</v>
      </c>
      <c r="D22" s="100" t="s">
        <v>146</v>
      </c>
      <c r="E22" s="38" t="s">
        <v>2050</v>
      </c>
      <c r="F22" s="39" t="s">
        <v>2051</v>
      </c>
      <c r="G22" s="39">
        <v>18</v>
      </c>
      <c r="H22" s="39"/>
      <c r="I22" s="40" t="s">
        <v>269</v>
      </c>
      <c r="J22" s="41">
        <v>3</v>
      </c>
      <c r="K22" s="41">
        <v>82.4</v>
      </c>
      <c r="L22" s="41"/>
      <c r="M22" s="42">
        <v>350</v>
      </c>
      <c r="N22" s="42">
        <v>603</v>
      </c>
      <c r="O22" s="43">
        <v>247.2</v>
      </c>
      <c r="P22" s="44">
        <v>1050</v>
      </c>
      <c r="Q22" s="44">
        <v>1809</v>
      </c>
      <c r="R22" s="45">
        <v>0</v>
      </c>
      <c r="S22" s="46"/>
      <c r="T22" s="39">
        <f t="shared" si="0"/>
        <v>18</v>
      </c>
      <c r="U22" s="47">
        <f t="shared" si="1"/>
        <v>7.3099232668338843E-2</v>
      </c>
      <c r="V22" s="48">
        <f t="shared" si="2"/>
        <v>253</v>
      </c>
      <c r="W22" s="49">
        <f t="shared" si="3"/>
        <v>4.0610684815743803E-3</v>
      </c>
      <c r="X22" s="44">
        <f t="shared" si="4"/>
        <v>909.37882080502493</v>
      </c>
      <c r="Y22" s="44">
        <f t="shared" si="5"/>
        <v>759</v>
      </c>
      <c r="Z22" s="44">
        <f t="shared" si="6"/>
        <v>2474.68343222057</v>
      </c>
      <c r="AA22" s="50">
        <f t="shared" si="7"/>
        <v>2718.378820805025</v>
      </c>
      <c r="AB22" s="51">
        <f t="shared" si="8"/>
        <v>2313.4368815748057</v>
      </c>
      <c r="AC22" s="44">
        <f t="shared" si="9"/>
        <v>2541.253454992077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12.598768311384578</v>
      </c>
      <c r="AG22" s="44">
        <f t="shared" si="11"/>
        <v>3114.4155265742684</v>
      </c>
      <c r="AH22" s="52">
        <f>HLOOKUP(I22,GasAvoidedCostsWOCC!$A$5:$Q$50,T22+1,FALSE)</f>
        <v>12.598768311384578</v>
      </c>
      <c r="AI22" s="44">
        <f t="shared" si="12"/>
        <v>0</v>
      </c>
      <c r="AJ22" s="44">
        <f t="shared" si="13"/>
        <v>3114.4155265742684</v>
      </c>
      <c r="AK22" s="44">
        <f>HLOOKUP(I22,GasAvoidedCostsWOCC!$A$5:$Q$50,G22+1,FALSE)*J22*L22</f>
        <v>0</v>
      </c>
      <c r="AL22" s="44">
        <f t="shared" si="14"/>
        <v>3114.4155265742684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3114.4155265742684</v>
      </c>
      <c r="AN22" s="48">
        <f t="shared" si="15"/>
        <v>3425.8570792316955</v>
      </c>
      <c r="AO22" s="47">
        <f t="shared" si="16"/>
        <v>1.3462288733177883</v>
      </c>
      <c r="AP22" s="47">
        <f t="shared" si="17"/>
        <v>1.3480973621509063</v>
      </c>
    </row>
    <row r="23" spans="1:42" ht="13.5" customHeight="1">
      <c r="A23" s="58" t="s">
        <v>246</v>
      </c>
      <c r="B23" s="97" t="s">
        <v>145</v>
      </c>
      <c r="C23" s="100">
        <v>18230736</v>
      </c>
      <c r="D23" s="100" t="s">
        <v>146</v>
      </c>
      <c r="E23" s="38" t="s">
        <v>2055</v>
      </c>
      <c r="F23" s="39" t="s">
        <v>2056</v>
      </c>
      <c r="G23" s="39">
        <v>10</v>
      </c>
      <c r="H23" s="39"/>
      <c r="I23" s="40" t="s">
        <v>265</v>
      </c>
      <c r="J23" s="41">
        <v>107</v>
      </c>
      <c r="K23" s="41">
        <v>14.1</v>
      </c>
      <c r="L23" s="41"/>
      <c r="M23" s="42">
        <v>40.4</v>
      </c>
      <c r="N23" s="42">
        <v>40.4</v>
      </c>
      <c r="O23" s="43">
        <v>1508.7</v>
      </c>
      <c r="P23" s="44">
        <v>4322.8</v>
      </c>
      <c r="Q23" s="44">
        <v>4322.8</v>
      </c>
      <c r="R23" s="45">
        <v>24.9</v>
      </c>
      <c r="S23" s="46">
        <v>0</v>
      </c>
      <c r="T23" s="39">
        <f t="shared" si="0"/>
        <v>10</v>
      </c>
      <c r="U23" s="47">
        <f t="shared" si="1"/>
        <v>0.24785331788637818</v>
      </c>
      <c r="V23" s="48">
        <f t="shared" si="2"/>
        <v>0</v>
      </c>
      <c r="W23" s="49">
        <f t="shared" si="3"/>
        <v>2.4785331788637819E-2</v>
      </c>
      <c r="X23" s="44">
        <f t="shared" si="4"/>
        <v>5550.0802061025133</v>
      </c>
      <c r="Y23" s="44">
        <f t="shared" si="5"/>
        <v>0</v>
      </c>
      <c r="Z23" s="44">
        <f t="shared" si="6"/>
        <v>15103.377403685983</v>
      </c>
      <c r="AA23" s="50">
        <f t="shared" si="7"/>
        <v>9872.8802061025126</v>
      </c>
      <c r="AB23" s="51">
        <f t="shared" si="8"/>
        <v>14119.264657087017</v>
      </c>
      <c r="AC23" s="44">
        <f t="shared" si="9"/>
        <v>9229.5785791366852</v>
      </c>
      <c r="AD23" s="44">
        <f t="shared" si="10"/>
        <v>18738.906017557696</v>
      </c>
      <c r="AE23" s="44">
        <f t="shared" si="18"/>
        <v>0</v>
      </c>
      <c r="AF23" s="52">
        <f>HLOOKUP(I23,GasAvoidedCostsWOCC!$A$5:$G$50,G23+1,FALSE)</f>
        <v>7.1400454873872068</v>
      </c>
      <c r="AG23" s="44">
        <f t="shared" si="11"/>
        <v>10772.186626821078</v>
      </c>
      <c r="AH23" s="52">
        <f>HLOOKUP(I23,GasAvoidedCostsWOCC!$A$5:$Q$50,T23+1,FALSE)</f>
        <v>7.1400454873872068</v>
      </c>
      <c r="AI23" s="44">
        <f t="shared" si="12"/>
        <v>0</v>
      </c>
      <c r="AJ23" s="44">
        <f t="shared" si="13"/>
        <v>10772.186626821078</v>
      </c>
      <c r="AK23" s="44">
        <f>HLOOKUP(I23,GasAvoidedCostsWOCC!$A$5:$Q$50,G23+1,FALSE)*J23*L23</f>
        <v>0</v>
      </c>
      <c r="AL23" s="44">
        <f t="shared" si="14"/>
        <v>10772.186626821078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10772.186626821078</v>
      </c>
      <c r="AN23" s="48">
        <f t="shared" si="15"/>
        <v>30588.311307060882</v>
      </c>
      <c r="AO23" s="47">
        <f t="shared" si="16"/>
        <v>0.76294246821232947</v>
      </c>
      <c r="AP23" s="47">
        <f t="shared" si="17"/>
        <v>3.3141612095058459</v>
      </c>
    </row>
    <row r="24" spans="1:42" ht="13.5" customHeight="1">
      <c r="A24" s="60">
        <f>(SUM(AN5:AN1000)/SUM(AC5:AC1000))</f>
        <v>1.2156579431679684</v>
      </c>
      <c r="B24" s="97" t="s">
        <v>145</v>
      </c>
      <c r="C24" s="61">
        <v>18230736</v>
      </c>
      <c r="D24" s="61" t="s">
        <v>146</v>
      </c>
      <c r="E24" s="38" t="s">
        <v>2057</v>
      </c>
      <c r="F24" s="39" t="s">
        <v>2056</v>
      </c>
      <c r="G24" s="39">
        <v>10</v>
      </c>
      <c r="H24" s="39"/>
      <c r="I24" s="40" t="s">
        <v>265</v>
      </c>
      <c r="J24" s="41">
        <v>114</v>
      </c>
      <c r="K24" s="41">
        <v>11.9</v>
      </c>
      <c r="L24" s="41"/>
      <c r="M24" s="42">
        <v>40.4</v>
      </c>
      <c r="N24" s="42">
        <v>40.4</v>
      </c>
      <c r="O24" s="43">
        <v>1356.6</v>
      </c>
      <c r="P24" s="44">
        <v>4605.6000000000004</v>
      </c>
      <c r="Q24" s="44">
        <v>4605.6000000000004</v>
      </c>
      <c r="R24" s="45">
        <v>21.41</v>
      </c>
      <c r="S24" s="46">
        <v>0</v>
      </c>
      <c r="T24" s="39">
        <f t="shared" si="0"/>
        <v>10</v>
      </c>
      <c r="U24" s="47">
        <f t="shared" si="1"/>
        <v>0.222865918369895</v>
      </c>
      <c r="V24" s="48">
        <f t="shared" si="2"/>
        <v>0</v>
      </c>
      <c r="W24" s="49">
        <f t="shared" si="3"/>
        <v>2.22865918369895E-2</v>
      </c>
      <c r="X24" s="44">
        <f t="shared" si="4"/>
        <v>4990.5473636897123</v>
      </c>
      <c r="Y24" s="44">
        <f t="shared" si="5"/>
        <v>0</v>
      </c>
      <c r="Z24" s="44">
        <f t="shared" si="6"/>
        <v>13580.72631128813</v>
      </c>
      <c r="AA24" s="50">
        <f t="shared" si="7"/>
        <v>9596.1473636897135</v>
      </c>
      <c r="AB24" s="51">
        <f t="shared" si="8"/>
        <v>12695.82715835106</v>
      </c>
      <c r="AC24" s="44">
        <f t="shared" si="9"/>
        <v>8970.8772213608609</v>
      </c>
      <c r="AD24" s="44">
        <f t="shared" si="10"/>
        <v>17166.534351722319</v>
      </c>
      <c r="AE24" s="44">
        <f t="shared" si="18"/>
        <v>0</v>
      </c>
      <c r="AF24" s="52">
        <f>HLOOKUP(I24,GasAvoidedCostsWOCC!$A$5:$G$50,G24+1,FALSE)</f>
        <v>7.1400454873872068</v>
      </c>
      <c r="AG24" s="44">
        <f t="shared" si="11"/>
        <v>9686.185708189485</v>
      </c>
      <c r="AH24" s="52">
        <f>HLOOKUP(I24,GasAvoidedCostsWOCC!$A$5:$Q$50,T24+1,FALSE)</f>
        <v>7.1400454873872068</v>
      </c>
      <c r="AI24" s="44">
        <f t="shared" si="12"/>
        <v>0</v>
      </c>
      <c r="AJ24" s="44">
        <f t="shared" si="13"/>
        <v>9686.185708189485</v>
      </c>
      <c r="AK24" s="44">
        <f>HLOOKUP(I24,GasAvoidedCostsWOCC!$A$5:$Q$50,G24+1,FALSE)*J24*L24</f>
        <v>0</v>
      </c>
      <c r="AL24" s="44">
        <f t="shared" si="14"/>
        <v>9686.185708189485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9686.185708189485</v>
      </c>
      <c r="AN24" s="48">
        <f t="shared" si="15"/>
        <v>27821.338630730752</v>
      </c>
      <c r="AO24" s="47">
        <f t="shared" si="16"/>
        <v>0.76294246821232969</v>
      </c>
      <c r="AP24" s="47">
        <f t="shared" si="17"/>
        <v>3.1012952183187186</v>
      </c>
    </row>
    <row r="25" spans="1:42" ht="13.5" customHeight="1">
      <c r="B25" s="97" t="s">
        <v>145</v>
      </c>
      <c r="C25" s="61">
        <v>18230736</v>
      </c>
      <c r="D25" s="61" t="s">
        <v>146</v>
      </c>
      <c r="E25" s="38" t="s">
        <v>2063</v>
      </c>
      <c r="F25" s="39" t="s">
        <v>2064</v>
      </c>
      <c r="G25" s="39">
        <v>45</v>
      </c>
      <c r="H25" s="39"/>
      <c r="I25" s="40" t="s">
        <v>269</v>
      </c>
      <c r="J25" s="41">
        <v>5239</v>
      </c>
      <c r="K25" s="41">
        <v>0.1</v>
      </c>
      <c r="L25" s="41"/>
      <c r="M25" s="42">
        <v>0.75</v>
      </c>
      <c r="N25" s="42">
        <v>1.04</v>
      </c>
      <c r="O25" s="43">
        <v>523.9</v>
      </c>
      <c r="P25" s="44">
        <v>3929.25</v>
      </c>
      <c r="Q25" s="44">
        <v>5448.56</v>
      </c>
      <c r="R25" s="45">
        <v>0</v>
      </c>
      <c r="S25" s="46">
        <v>0</v>
      </c>
      <c r="T25" s="39">
        <f t="shared" ref="T25:T88" si="19">G25+H25</f>
        <v>45</v>
      </c>
      <c r="U25" s="47">
        <f t="shared" ref="U25:U88" si="20">(O25/$A$10)*T25</f>
        <v>0.38730469250548871</v>
      </c>
      <c r="V25" s="48">
        <f t="shared" ref="V25:V88" si="21">N25-M25</f>
        <v>0.29000000000000004</v>
      </c>
      <c r="W25" s="49">
        <f t="shared" ref="W25:W88" si="22">(O25/A$10)</f>
        <v>8.6067709445664161E-3</v>
      </c>
      <c r="X25" s="44">
        <f t="shared" ref="X25:X88" si="23">W25*A$8</f>
        <v>1927.2797905329799</v>
      </c>
      <c r="Y25" s="44">
        <f t="shared" ref="Y25:Y88" si="24">Q25-P25</f>
        <v>1519.3100000000004</v>
      </c>
      <c r="Z25" s="44">
        <f t="shared" ref="Z25:Z88" si="25">X25+(A$6*W25)</f>
        <v>5244.6870960370425</v>
      </c>
      <c r="AA25" s="50">
        <f t="shared" ref="AA25:AA88" si="26">Q25+X25</f>
        <v>7375.8397905329803</v>
      </c>
      <c r="AB25" s="51">
        <f t="shared" ref="AB25:AB88" si="27">Z25/(1+GasDiscountRate)^1</f>
        <v>4902.9513845349557</v>
      </c>
      <c r="AC25" s="44">
        <f t="shared" ref="AC25:AC88" si="28">AA25/(1+GasDiscountRate)^1</f>
        <v>6895.2414607207438</v>
      </c>
      <c r="AD25" s="44">
        <f t="shared" ref="AD25:AD88" si="29">-PV(GasDiscountRate,T25,R25)*J25</f>
        <v>0</v>
      </c>
      <c r="AE25" s="44">
        <f t="shared" ref="AE25:AE88" si="30">-PV(GasDiscountRate,T25,S25)*J25</f>
        <v>0</v>
      </c>
      <c r="AF25" s="52">
        <f>HLOOKUP(I25,GasAvoidedCostsWOCC!$A$5:$G$50,G25+1,FALSE)</f>
        <v>27.444232870165703</v>
      </c>
      <c r="AG25" s="44">
        <f t="shared" ref="AG25:AG88" si="31">AF25*J25*K25</f>
        <v>14378.033600679812</v>
      </c>
      <c r="AH25" s="52">
        <f>HLOOKUP(I25,GasAvoidedCostsWOCC!$A$5:$Q$50,T25+1,FALSE)</f>
        <v>27.444232870165703</v>
      </c>
      <c r="AI25" s="44">
        <f t="shared" ref="AI25:AI88" si="32">AH25*J25*L25</f>
        <v>0</v>
      </c>
      <c r="AJ25" s="44">
        <f t="shared" ref="AJ25:AJ88" si="33">AG25+AI25</f>
        <v>14378.033600679812</v>
      </c>
      <c r="AK25" s="44">
        <f>HLOOKUP(I25,GasAvoidedCostsWOCC!$A$5:$Q$50,G25+1,FALSE)*J25*L25</f>
        <v>0</v>
      </c>
      <c r="AL25" s="44">
        <f t="shared" ref="AL25:AL88" si="34">AG25+AI25-AK25</f>
        <v>14378.033600679812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14378.033600679812</v>
      </c>
      <c r="AN25" s="48">
        <f t="shared" ref="AN25:AN88" si="35">AM25*1.1+AD25+AE25</f>
        <v>15815.836960747794</v>
      </c>
      <c r="AO25" s="47">
        <f t="shared" ref="AO25:AO88" si="36">IFERROR(AM25/AB25,0)</f>
        <v>2.9325262424651934</v>
      </c>
      <c r="AP25" s="47">
        <f t="shared" ref="AP25:AP88" si="37">AN25/AC25</f>
        <v>2.2937321413389054</v>
      </c>
    </row>
    <row r="26" spans="1:42" ht="13.5" customHeight="1">
      <c r="B26" s="97" t="s">
        <v>145</v>
      </c>
      <c r="C26" s="61">
        <v>18230736</v>
      </c>
      <c r="D26" s="61" t="s">
        <v>146</v>
      </c>
      <c r="E26" s="38" t="s">
        <v>2070</v>
      </c>
      <c r="F26" s="39" t="s">
        <v>2071</v>
      </c>
      <c r="G26" s="39">
        <v>45</v>
      </c>
      <c r="H26" s="39"/>
      <c r="I26" s="40" t="s">
        <v>269</v>
      </c>
      <c r="J26" s="41">
        <v>737</v>
      </c>
      <c r="K26" s="41">
        <v>0.98</v>
      </c>
      <c r="L26" s="41"/>
      <c r="M26" s="42">
        <v>7</v>
      </c>
      <c r="N26" s="42">
        <v>17.809999999999999</v>
      </c>
      <c r="O26" s="43">
        <v>722.26</v>
      </c>
      <c r="P26" s="44">
        <v>5159</v>
      </c>
      <c r="Q26" s="44">
        <v>13125.97</v>
      </c>
      <c r="R26" s="45">
        <v>0</v>
      </c>
      <c r="S26" s="46">
        <v>0</v>
      </c>
      <c r="T26" s="39">
        <f t="shared" si="19"/>
        <v>45</v>
      </c>
      <c r="U26" s="47">
        <f t="shared" si="20"/>
        <v>0.53394672114719277</v>
      </c>
      <c r="V26" s="48">
        <f t="shared" si="21"/>
        <v>10.809999999999999</v>
      </c>
      <c r="W26" s="49">
        <f t="shared" si="22"/>
        <v>1.1865482692159838E-2</v>
      </c>
      <c r="X26" s="44">
        <f t="shared" si="23"/>
        <v>2656.9900773245845</v>
      </c>
      <c r="Y26" s="44">
        <f t="shared" si="24"/>
        <v>7966.9699999999993</v>
      </c>
      <c r="Z26" s="44">
        <f t="shared" si="25"/>
        <v>7230.4403549984991</v>
      </c>
      <c r="AA26" s="50">
        <f t="shared" si="26"/>
        <v>15782.960077324584</v>
      </c>
      <c r="AB26" s="51">
        <f t="shared" si="27"/>
        <v>6759.3160278568739</v>
      </c>
      <c r="AC26" s="44">
        <f t="shared" si="28"/>
        <v>14754.566773230423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27.444232870165703</v>
      </c>
      <c r="AG26" s="44">
        <f t="shared" si="31"/>
        <v>19821.87163280588</v>
      </c>
      <c r="AH26" s="52">
        <f>HLOOKUP(I26,GasAvoidedCostsWOCC!$A$5:$Q$50,T26+1,FALSE)</f>
        <v>27.444232870165703</v>
      </c>
      <c r="AI26" s="44">
        <f t="shared" si="32"/>
        <v>0</v>
      </c>
      <c r="AJ26" s="44">
        <f t="shared" si="33"/>
        <v>19821.87163280588</v>
      </c>
      <c r="AK26" s="44">
        <f>HLOOKUP(I26,GasAvoidedCostsWOCC!$A$5:$Q$50,G26+1,FALSE)*J26*L26</f>
        <v>0</v>
      </c>
      <c r="AL26" s="44">
        <f t="shared" si="34"/>
        <v>19821.87163280588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19821.87163280588</v>
      </c>
      <c r="AN26" s="48">
        <f t="shared" si="35"/>
        <v>21804.058796086469</v>
      </c>
      <c r="AO26" s="47">
        <f t="shared" si="36"/>
        <v>2.9325262424651943</v>
      </c>
      <c r="AP26" s="47">
        <f t="shared" si="37"/>
        <v>1.477783735110821</v>
      </c>
    </row>
    <row r="27" spans="1:42" ht="13.5" customHeight="1">
      <c r="B27" s="97" t="s">
        <v>145</v>
      </c>
      <c r="C27" s="61">
        <v>18230736</v>
      </c>
      <c r="D27" s="61" t="s">
        <v>146</v>
      </c>
      <c r="E27" s="38" t="s">
        <v>2075</v>
      </c>
      <c r="F27" s="39" t="s">
        <v>2076</v>
      </c>
      <c r="G27" s="39">
        <v>24</v>
      </c>
      <c r="H27" s="39"/>
      <c r="I27" s="40" t="s">
        <v>261</v>
      </c>
      <c r="J27" s="41">
        <v>1</v>
      </c>
      <c r="K27" s="41">
        <v>0</v>
      </c>
      <c r="L27" s="41"/>
      <c r="M27" s="42">
        <v>11660</v>
      </c>
      <c r="N27" s="42">
        <v>36251</v>
      </c>
      <c r="O27" s="43">
        <v>1746</v>
      </c>
      <c r="P27" s="44">
        <v>8730</v>
      </c>
      <c r="Q27" s="44">
        <v>20101</v>
      </c>
      <c r="R27" s="45">
        <v>0</v>
      </c>
      <c r="S27" s="46">
        <v>0</v>
      </c>
      <c r="T27" s="39">
        <f t="shared" si="19"/>
        <v>24</v>
      </c>
      <c r="U27" s="47">
        <f t="shared" si="20"/>
        <v>0.68841024940086104</v>
      </c>
      <c r="V27" s="48">
        <f t="shared" si="21"/>
        <v>24591</v>
      </c>
      <c r="W27" s="49">
        <f t="shared" si="22"/>
        <v>2.8683760391702545E-2</v>
      </c>
      <c r="X27" s="44">
        <f t="shared" si="23"/>
        <v>6423.0397294723853</v>
      </c>
      <c r="Y27" s="44">
        <f t="shared" si="24"/>
        <v>11371</v>
      </c>
      <c r="Z27" s="44">
        <f t="shared" si="25"/>
        <v>17478.953368354028</v>
      </c>
      <c r="AA27" s="50">
        <f t="shared" si="26"/>
        <v>26524.039729472384</v>
      </c>
      <c r="AB27" s="51">
        <f t="shared" si="27"/>
        <v>16340.051760637587</v>
      </c>
      <c r="AC27" s="44">
        <f t="shared" si="28"/>
        <v>24795.774263319043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16.785698132496019</v>
      </c>
      <c r="AG27" s="44">
        <f t="shared" si="31"/>
        <v>0</v>
      </c>
      <c r="AH27" s="52">
        <f>HLOOKUP(I27,GasAvoidedCostsWOCC!$A$5:$Q$50,T27+1,FALSE)</f>
        <v>16.785698132496019</v>
      </c>
      <c r="AI27" s="44">
        <f t="shared" si="32"/>
        <v>0</v>
      </c>
      <c r="AJ27" s="44">
        <f t="shared" si="33"/>
        <v>0</v>
      </c>
      <c r="AK27" s="44">
        <f>HLOOKUP(I27,GasAvoidedCostsWOCC!$A$5:$Q$50,G27+1,FALSE)*J27*L27</f>
        <v>0</v>
      </c>
      <c r="AL27" s="44">
        <f t="shared" si="34"/>
        <v>0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>
        <f t="shared" si="37"/>
        <v>0</v>
      </c>
    </row>
    <row r="28" spans="1:42" ht="13.5" customHeight="1">
      <c r="B28" s="97" t="s">
        <v>145</v>
      </c>
      <c r="C28" s="61">
        <v>18230736</v>
      </c>
      <c r="D28" s="61" t="s">
        <v>146</v>
      </c>
      <c r="E28" s="38" t="s">
        <v>2077</v>
      </c>
      <c r="F28" s="39" t="s">
        <v>911</v>
      </c>
      <c r="G28" s="39">
        <v>24</v>
      </c>
      <c r="H28" s="39"/>
      <c r="I28" s="40" t="s">
        <v>261</v>
      </c>
      <c r="J28" s="41">
        <v>1</v>
      </c>
      <c r="K28" s="41"/>
      <c r="L28" s="41"/>
      <c r="M28" s="42">
        <v>3670</v>
      </c>
      <c r="N28" s="42">
        <v>6000</v>
      </c>
      <c r="O28" s="43">
        <v>4492</v>
      </c>
      <c r="P28" s="44">
        <v>22460</v>
      </c>
      <c r="Q28" s="44">
        <v>73712</v>
      </c>
      <c r="R28" s="45">
        <v>0</v>
      </c>
      <c r="S28" s="46">
        <v>0</v>
      </c>
      <c r="T28" s="39">
        <f t="shared" si="19"/>
        <v>24</v>
      </c>
      <c r="U28" s="47">
        <f t="shared" si="20"/>
        <v>1.7710989921584583</v>
      </c>
      <c r="V28" s="48">
        <f t="shared" si="21"/>
        <v>2330</v>
      </c>
      <c r="W28" s="49">
        <f t="shared" si="22"/>
        <v>7.379579133993576E-2</v>
      </c>
      <c r="X28" s="44">
        <f t="shared" si="23"/>
        <v>16524.796371586461</v>
      </c>
      <c r="Y28" s="44">
        <f t="shared" si="24"/>
        <v>51252</v>
      </c>
      <c r="Z28" s="44">
        <f t="shared" si="25"/>
        <v>44968.762045043703</v>
      </c>
      <c r="AA28" s="50">
        <f t="shared" si="26"/>
        <v>90236.796371586461</v>
      </c>
      <c r="AB28" s="51">
        <f t="shared" si="27"/>
        <v>42038.666958066467</v>
      </c>
      <c r="AC28" s="44">
        <f t="shared" si="28"/>
        <v>84357.106077953125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16.785698132496019</v>
      </c>
      <c r="AG28" s="44">
        <f t="shared" si="31"/>
        <v>0</v>
      </c>
      <c r="AH28" s="52">
        <f>HLOOKUP(I28,GasAvoidedCostsWOCC!$A$5:$Q$50,T28+1,FALSE)</f>
        <v>16.785698132496019</v>
      </c>
      <c r="AI28" s="44">
        <f t="shared" si="32"/>
        <v>0</v>
      </c>
      <c r="AJ28" s="44">
        <f t="shared" si="33"/>
        <v>0</v>
      </c>
      <c r="AK28" s="44">
        <f>HLOOKUP(I28,GasAvoidedCostsWOCC!$A$5:$Q$50,G28+1,FALSE)*J28*L28</f>
        <v>0</v>
      </c>
      <c r="AL28" s="44">
        <f t="shared" si="34"/>
        <v>0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>
        <f t="shared" si="37"/>
        <v>0</v>
      </c>
    </row>
    <row r="29" spans="1:42">
      <c r="B29" s="97" t="s">
        <v>145</v>
      </c>
      <c r="C29" s="61">
        <v>18230736</v>
      </c>
      <c r="D29" s="61" t="s">
        <v>146</v>
      </c>
      <c r="E29" s="38" t="s">
        <v>2080</v>
      </c>
      <c r="F29" s="39" t="s">
        <v>932</v>
      </c>
      <c r="G29" s="39">
        <v>45</v>
      </c>
      <c r="H29" s="39"/>
      <c r="I29" s="40" t="s">
        <v>269</v>
      </c>
      <c r="J29" s="41">
        <v>8129</v>
      </c>
      <c r="K29" s="41">
        <v>0.98</v>
      </c>
      <c r="L29" s="41"/>
      <c r="M29" s="42">
        <v>7</v>
      </c>
      <c r="N29" s="42">
        <v>17.809999999999999</v>
      </c>
      <c r="O29" s="43">
        <v>7966.42</v>
      </c>
      <c r="P29" s="44">
        <v>58919</v>
      </c>
      <c r="Q29" s="44">
        <v>144777.49</v>
      </c>
      <c r="R29" s="45">
        <v>0</v>
      </c>
      <c r="S29" s="46">
        <v>0</v>
      </c>
      <c r="T29" s="39">
        <f t="shared" si="19"/>
        <v>45</v>
      </c>
      <c r="U29" s="47">
        <f t="shared" si="20"/>
        <v>5.8893526407130663</v>
      </c>
      <c r="V29" s="48">
        <f t="shared" si="21"/>
        <v>10.809999999999999</v>
      </c>
      <c r="W29" s="49">
        <f t="shared" si="22"/>
        <v>0.13087450312695703</v>
      </c>
      <c r="X29" s="44">
        <f t="shared" si="23"/>
        <v>29306.203987206987</v>
      </c>
      <c r="Y29" s="44">
        <f t="shared" si="24"/>
        <v>85858.489999999991</v>
      </c>
      <c r="Z29" s="44">
        <f t="shared" si="25"/>
        <v>79750.677945431205</v>
      </c>
      <c r="AA29" s="50">
        <f t="shared" si="26"/>
        <v>174083.69398720696</v>
      </c>
      <c r="AB29" s="51">
        <f t="shared" si="27"/>
        <v>74554.246934122843</v>
      </c>
      <c r="AC29" s="44">
        <f t="shared" si="28"/>
        <v>162740.66933458627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27.444232870165703</v>
      </c>
      <c r="AG29" s="44">
        <f t="shared" si="31"/>
        <v>218632.28562154545</v>
      </c>
      <c r="AH29" s="52">
        <f>HLOOKUP(I29,GasAvoidedCostsWOCC!$A$5:$Q$50,T29+1,FALSE)</f>
        <v>27.444232870165703</v>
      </c>
      <c r="AI29" s="44">
        <f t="shared" si="32"/>
        <v>0</v>
      </c>
      <c r="AJ29" s="44">
        <f t="shared" si="33"/>
        <v>218632.28562154545</v>
      </c>
      <c r="AK29" s="44">
        <f>HLOOKUP(I29,GasAvoidedCostsWOCC!$A$5:$Q$50,G29+1,FALSE)*J29*L29</f>
        <v>0</v>
      </c>
      <c r="AL29" s="44">
        <f t="shared" si="34"/>
        <v>218632.28562154545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218632.28562154545</v>
      </c>
      <c r="AN29" s="48">
        <f t="shared" si="35"/>
        <v>240495.51418370003</v>
      </c>
      <c r="AO29" s="47">
        <f t="shared" si="36"/>
        <v>2.9325262424651939</v>
      </c>
      <c r="AP29" s="47">
        <f t="shared" si="37"/>
        <v>1.4777837351108214</v>
      </c>
    </row>
    <row r="30" spans="1:42">
      <c r="B30" s="97" t="s">
        <v>145</v>
      </c>
      <c r="C30" s="61">
        <v>18230736</v>
      </c>
      <c r="D30" s="61" t="s">
        <v>146</v>
      </c>
      <c r="E30" s="38" t="s">
        <v>937</v>
      </c>
      <c r="F30" s="39" t="s">
        <v>938</v>
      </c>
      <c r="G30" s="39">
        <v>18</v>
      </c>
      <c r="H30" s="39"/>
      <c r="I30" s="40" t="s">
        <v>269</v>
      </c>
      <c r="J30" s="41">
        <v>3</v>
      </c>
      <c r="K30" s="41">
        <v>184</v>
      </c>
      <c r="L30" s="41"/>
      <c r="M30" s="42">
        <v>800</v>
      </c>
      <c r="N30" s="42">
        <v>987</v>
      </c>
      <c r="O30" s="43">
        <v>552</v>
      </c>
      <c r="P30" s="44">
        <v>2400</v>
      </c>
      <c r="Q30" s="44">
        <v>2961</v>
      </c>
      <c r="R30" s="45">
        <v>0</v>
      </c>
      <c r="S30" s="46">
        <v>0</v>
      </c>
      <c r="T30" s="39">
        <f t="shared" si="19"/>
        <v>18</v>
      </c>
      <c r="U30" s="47">
        <f t="shared" si="20"/>
        <v>0.16323129624968871</v>
      </c>
      <c r="V30" s="48">
        <f t="shared" si="21"/>
        <v>187</v>
      </c>
      <c r="W30" s="49">
        <f t="shared" si="22"/>
        <v>9.0684053472049279E-3</v>
      </c>
      <c r="X30" s="44">
        <f t="shared" si="23"/>
        <v>2030.6517357782111</v>
      </c>
      <c r="Y30" s="44">
        <f t="shared" si="24"/>
        <v>561</v>
      </c>
      <c r="Z30" s="44">
        <f t="shared" si="25"/>
        <v>5525.9921302012735</v>
      </c>
      <c r="AA30" s="50">
        <f t="shared" si="26"/>
        <v>4991.6517357782113</v>
      </c>
      <c r="AB30" s="51">
        <f t="shared" si="27"/>
        <v>5165.9270171087901</v>
      </c>
      <c r="AC30" s="44">
        <f t="shared" si="28"/>
        <v>4666.4034175733486</v>
      </c>
      <c r="AD30" s="44">
        <f t="shared" si="29"/>
        <v>0</v>
      </c>
      <c r="AE30" s="44">
        <f t="shared" si="30"/>
        <v>0</v>
      </c>
      <c r="AF30" s="52">
        <f>HLOOKUP(I30,GasAvoidedCostsWOCC!$A$5:$G$50,G30+1,FALSE)</f>
        <v>12.598768311384578</v>
      </c>
      <c r="AG30" s="44">
        <f t="shared" si="31"/>
        <v>6954.5201078842874</v>
      </c>
      <c r="AH30" s="52">
        <f>HLOOKUP(I30,GasAvoidedCostsWOCC!$A$5:$Q$50,T30+1,FALSE)</f>
        <v>12.598768311384578</v>
      </c>
      <c r="AI30" s="44">
        <f t="shared" si="32"/>
        <v>0</v>
      </c>
      <c r="AJ30" s="44">
        <f t="shared" si="33"/>
        <v>6954.5201078842874</v>
      </c>
      <c r="AK30" s="44">
        <f>HLOOKUP(I30,GasAvoidedCostsWOCC!$A$5:$Q$50,G30+1,FALSE)*J30*L30</f>
        <v>0</v>
      </c>
      <c r="AL30" s="44">
        <f t="shared" si="34"/>
        <v>6954.5201078842874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6954.5201078842874</v>
      </c>
      <c r="AN30" s="48">
        <f t="shared" si="35"/>
        <v>7649.9721186727165</v>
      </c>
      <c r="AO30" s="47">
        <f t="shared" si="36"/>
        <v>1.3462288733177878</v>
      </c>
      <c r="AP30" s="47">
        <f t="shared" si="37"/>
        <v>1.6393722175548426</v>
      </c>
    </row>
    <row r="31" spans="1:42">
      <c r="B31" s="97" t="s">
        <v>145</v>
      </c>
      <c r="C31" s="61">
        <v>18230736</v>
      </c>
      <c r="D31" s="61" t="s">
        <v>146</v>
      </c>
      <c r="E31" s="38" t="s">
        <v>940</v>
      </c>
      <c r="F31" s="39" t="s">
        <v>941</v>
      </c>
      <c r="G31" s="39">
        <v>20</v>
      </c>
      <c r="H31" s="39"/>
      <c r="I31" s="40" t="s">
        <v>269</v>
      </c>
      <c r="J31" s="41">
        <v>1</v>
      </c>
      <c r="K31" s="41">
        <v>110</v>
      </c>
      <c r="L31" s="41"/>
      <c r="M31" s="42">
        <v>350</v>
      </c>
      <c r="N31" s="42">
        <v>603</v>
      </c>
      <c r="O31" s="43">
        <v>110</v>
      </c>
      <c r="P31" s="44">
        <v>350</v>
      </c>
      <c r="Q31" s="44">
        <v>603</v>
      </c>
      <c r="R31" s="45">
        <v>0</v>
      </c>
      <c r="S31" s="46">
        <v>0</v>
      </c>
      <c r="T31" s="39">
        <f t="shared" si="19"/>
        <v>20</v>
      </c>
      <c r="U31" s="47">
        <f t="shared" si="20"/>
        <v>3.6142195224367471E-2</v>
      </c>
      <c r="V31" s="48">
        <f t="shared" si="21"/>
        <v>253</v>
      </c>
      <c r="W31" s="49">
        <f t="shared" si="22"/>
        <v>1.8071097612183734E-3</v>
      </c>
      <c r="X31" s="44">
        <f t="shared" si="23"/>
        <v>404.65886039058557</v>
      </c>
      <c r="Y31" s="44">
        <f t="shared" si="24"/>
        <v>253</v>
      </c>
      <c r="Z31" s="44">
        <f t="shared" si="25"/>
        <v>1101.1940839169206</v>
      </c>
      <c r="AA31" s="50">
        <f t="shared" si="26"/>
        <v>1007.6588603905856</v>
      </c>
      <c r="AB31" s="51">
        <f t="shared" si="27"/>
        <v>1029.4419780470416</v>
      </c>
      <c r="AC31" s="44">
        <f t="shared" si="28"/>
        <v>942.00136523379035</v>
      </c>
      <c r="AD31" s="44">
        <f t="shared" si="29"/>
        <v>0</v>
      </c>
      <c r="AE31" s="44">
        <f t="shared" si="30"/>
        <v>0</v>
      </c>
      <c r="AF31" s="52">
        <f>HLOOKUP(I31,GasAvoidedCostsWOCC!$A$5:$G$50,G31+1,FALSE)</f>
        <v>13.765480191058694</v>
      </c>
      <c r="AG31" s="44">
        <f t="shared" si="31"/>
        <v>1514.2028210164565</v>
      </c>
      <c r="AH31" s="52">
        <f>HLOOKUP(I31,GasAvoidedCostsWOCC!$A$5:$Q$50,T31+1,FALSE)</f>
        <v>13.765480191058694</v>
      </c>
      <c r="AI31" s="44">
        <f t="shared" si="32"/>
        <v>0</v>
      </c>
      <c r="AJ31" s="44">
        <f t="shared" si="33"/>
        <v>1514.2028210164565</v>
      </c>
      <c r="AK31" s="44">
        <f>HLOOKUP(I31,GasAvoidedCostsWOCC!$A$5:$Q$50,G31+1,FALSE)*J31*L31</f>
        <v>0</v>
      </c>
      <c r="AL31" s="44">
        <f t="shared" si="34"/>
        <v>1514.2028210164565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1514.2028210164565</v>
      </c>
      <c r="AN31" s="48">
        <f t="shared" si="35"/>
        <v>1665.6231031181023</v>
      </c>
      <c r="AO31" s="47">
        <f t="shared" si="36"/>
        <v>1.4708967123033554</v>
      </c>
      <c r="AP31" s="47">
        <f t="shared" si="37"/>
        <v>1.7681748292421213</v>
      </c>
    </row>
    <row r="32" spans="1:42">
      <c r="B32" s="97" t="s">
        <v>145</v>
      </c>
      <c r="C32" s="61">
        <v>18230736</v>
      </c>
      <c r="D32" s="61" t="s">
        <v>146</v>
      </c>
      <c r="E32" s="38" t="s">
        <v>1695</v>
      </c>
      <c r="F32" s="39" t="s">
        <v>943</v>
      </c>
      <c r="G32" s="39">
        <v>20</v>
      </c>
      <c r="H32" s="39"/>
      <c r="I32" s="40" t="s">
        <v>265</v>
      </c>
      <c r="J32" s="41">
        <v>1</v>
      </c>
      <c r="K32" s="41">
        <v>51</v>
      </c>
      <c r="L32" s="41"/>
      <c r="M32" s="42">
        <v>250</v>
      </c>
      <c r="N32" s="42">
        <v>808.33</v>
      </c>
      <c r="O32" s="43">
        <v>51</v>
      </c>
      <c r="P32" s="44">
        <v>250</v>
      </c>
      <c r="Q32" s="44">
        <v>808.33</v>
      </c>
      <c r="R32" s="45">
        <v>11.51</v>
      </c>
      <c r="S32" s="46">
        <v>0</v>
      </c>
      <c r="T32" s="39">
        <f t="shared" si="19"/>
        <v>20</v>
      </c>
      <c r="U32" s="47">
        <f t="shared" si="20"/>
        <v>1.6756835967661279E-2</v>
      </c>
      <c r="V32" s="48">
        <f t="shared" si="21"/>
        <v>558.33000000000004</v>
      </c>
      <c r="W32" s="49">
        <f t="shared" si="22"/>
        <v>8.3784179838306396E-4</v>
      </c>
      <c r="X32" s="44">
        <f t="shared" si="23"/>
        <v>187.61456254472603</v>
      </c>
      <c r="Y32" s="44">
        <f t="shared" si="24"/>
        <v>558.33000000000004</v>
      </c>
      <c r="Z32" s="44">
        <f t="shared" si="25"/>
        <v>510.55362072511764</v>
      </c>
      <c r="AA32" s="50">
        <f t="shared" si="26"/>
        <v>995.94456254472607</v>
      </c>
      <c r="AB32" s="51">
        <f t="shared" si="27"/>
        <v>477.28673527635561</v>
      </c>
      <c r="AC32" s="44">
        <f t="shared" si="28"/>
        <v>931.05035294449465</v>
      </c>
      <c r="AD32" s="44">
        <f t="shared" si="29"/>
        <v>122.22193947355203</v>
      </c>
      <c r="AE32" s="44">
        <f t="shared" si="30"/>
        <v>0</v>
      </c>
      <c r="AF32" s="52">
        <f>HLOOKUP(I32,GasAvoidedCostsWOCC!$A$5:$G$50,G32+1,FALSE)</f>
        <v>13.114573164368423</v>
      </c>
      <c r="AG32" s="44">
        <f t="shared" si="31"/>
        <v>668.84323138278955</v>
      </c>
      <c r="AH32" s="52">
        <f>HLOOKUP(I32,GasAvoidedCostsWOCC!$A$5:$Q$50,T32+1,FALSE)</f>
        <v>13.114573164368423</v>
      </c>
      <c r="AI32" s="44">
        <f t="shared" si="32"/>
        <v>0</v>
      </c>
      <c r="AJ32" s="44">
        <f t="shared" si="33"/>
        <v>668.84323138278955</v>
      </c>
      <c r="AK32" s="44">
        <f>HLOOKUP(I32,GasAvoidedCostsWOCC!$A$5:$Q$50,G32+1,FALSE)*J32*L32</f>
        <v>0</v>
      </c>
      <c r="AL32" s="44">
        <f t="shared" si="34"/>
        <v>668.84323138278955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668.84323138278955</v>
      </c>
      <c r="AN32" s="48">
        <f t="shared" si="35"/>
        <v>857.94949399462052</v>
      </c>
      <c r="AO32" s="47">
        <f t="shared" si="36"/>
        <v>1.4013446885246457</v>
      </c>
      <c r="AP32" s="47">
        <f t="shared" si="37"/>
        <v>0.92148560094662024</v>
      </c>
    </row>
    <row r="33" spans="2:42">
      <c r="B33" s="97" t="s">
        <v>145</v>
      </c>
      <c r="C33" s="61">
        <v>18230736</v>
      </c>
      <c r="D33" s="61" t="s">
        <v>146</v>
      </c>
      <c r="E33" s="38" t="s">
        <v>2083</v>
      </c>
      <c r="F33" s="39" t="s">
        <v>2084</v>
      </c>
      <c r="G33" s="39">
        <v>10</v>
      </c>
      <c r="H33" s="39"/>
      <c r="I33" s="40" t="s">
        <v>265</v>
      </c>
      <c r="J33" s="41">
        <v>5</v>
      </c>
      <c r="K33" s="41">
        <v>2.2000000000000002</v>
      </c>
      <c r="L33" s="41"/>
      <c r="M33" s="42">
        <v>33</v>
      </c>
      <c r="N33" s="42">
        <v>33</v>
      </c>
      <c r="O33" s="43">
        <v>11</v>
      </c>
      <c r="P33" s="44">
        <v>165</v>
      </c>
      <c r="Q33" s="44">
        <v>165</v>
      </c>
      <c r="R33" s="45">
        <v>3.52</v>
      </c>
      <c r="S33" s="46">
        <v>0</v>
      </c>
      <c r="T33" s="39">
        <f t="shared" si="19"/>
        <v>10</v>
      </c>
      <c r="U33" s="47">
        <f t="shared" si="20"/>
        <v>1.8071097612183734E-3</v>
      </c>
      <c r="V33" s="48">
        <f t="shared" si="21"/>
        <v>0</v>
      </c>
      <c r="W33" s="49">
        <f t="shared" si="22"/>
        <v>1.8071097612183733E-4</v>
      </c>
      <c r="X33" s="44">
        <f t="shared" si="23"/>
        <v>40.465886039058553</v>
      </c>
      <c r="Y33" s="44">
        <f t="shared" si="24"/>
        <v>0</v>
      </c>
      <c r="Z33" s="44">
        <f t="shared" si="25"/>
        <v>110.11940839169205</v>
      </c>
      <c r="AA33" s="50">
        <f t="shared" si="26"/>
        <v>205.46588603905855</v>
      </c>
      <c r="AB33" s="51">
        <f t="shared" si="27"/>
        <v>102.94419780470416</v>
      </c>
      <c r="AC33" s="44">
        <f t="shared" si="28"/>
        <v>192.07804621768582</v>
      </c>
      <c r="AD33" s="44">
        <f t="shared" si="29"/>
        <v>123.78664035919959</v>
      </c>
      <c r="AE33" s="44">
        <f t="shared" si="30"/>
        <v>0</v>
      </c>
      <c r="AF33" s="52">
        <f>HLOOKUP(I33,GasAvoidedCostsWOCC!$A$5:$G$50,G33+1,FALSE)</f>
        <v>7.1400454873872068</v>
      </c>
      <c r="AG33" s="44">
        <f t="shared" si="31"/>
        <v>78.540500361259276</v>
      </c>
      <c r="AH33" s="52">
        <f>HLOOKUP(I33,GasAvoidedCostsWOCC!$A$5:$Q$50,T33+1,FALSE)</f>
        <v>7.1400454873872068</v>
      </c>
      <c r="AI33" s="44">
        <f t="shared" si="32"/>
        <v>0</v>
      </c>
      <c r="AJ33" s="44">
        <f t="shared" si="33"/>
        <v>78.540500361259276</v>
      </c>
      <c r="AK33" s="44">
        <f>HLOOKUP(I33,GasAvoidedCostsWOCC!$A$5:$Q$50,G33+1,FALSE)*J33*L33</f>
        <v>0</v>
      </c>
      <c r="AL33" s="44">
        <f t="shared" si="34"/>
        <v>78.540500361259276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78.540500361259276</v>
      </c>
      <c r="AN33" s="48">
        <f t="shared" si="35"/>
        <v>210.18119075658481</v>
      </c>
      <c r="AO33" s="47">
        <f t="shared" si="36"/>
        <v>0.76294246821232958</v>
      </c>
      <c r="AP33" s="47">
        <f t="shared" si="37"/>
        <v>1.0942488998372168</v>
      </c>
    </row>
    <row r="34" spans="2:42">
      <c r="B34" s="9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9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9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9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9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9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9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9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9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9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9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9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9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HLOOKUP(I68,GasAvoidedCostsWOCC!$A$5:$G$50,G68+1,FALSE)</f>
        <v>#N/A</v>
      </c>
      <c r="AG68" s="44" t="e">
        <f t="shared" si="31"/>
        <v>#N/A</v>
      </c>
      <c r="AH68" s="52" t="e">
        <f>HLOOKUP(I68,GasAvoidedCostsWOCC!$A$5:$Q$50,T68+1,FALSE)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HLOOKUP(I68,GasAvoidedCostsWOCC!$A$5:$Q$50,G68+1,FALSE)*J68*L68</f>
        <v>#N/A</v>
      </c>
      <c r="AL68" s="44" t="e">
        <f t="shared" si="34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9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HLOOKUP(I69,GasAvoidedCostsWOCC!$A$5:$G$50,G69+1,FALSE)</f>
        <v>#N/A</v>
      </c>
      <c r="AG69" s="44" t="e">
        <f t="shared" si="31"/>
        <v>#N/A</v>
      </c>
      <c r="AH69" s="52" t="e">
        <f>HLOOKUP(I69,GasAvoidedCostsWOCC!$A$5:$Q$50,T69+1,FALSE)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HLOOKUP(I69,GasAvoidedCostsWOCC!$A$5:$Q$50,G69+1,FALSE)*J69*L69</f>
        <v>#N/A</v>
      </c>
      <c r="AL69" s="44" t="e">
        <f t="shared" si="34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9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HLOOKUP(I70,GasAvoidedCostsWOCC!$A$5:$G$50,G70+1,FALSE)</f>
        <v>#N/A</v>
      </c>
      <c r="AG70" s="44" t="e">
        <f t="shared" si="31"/>
        <v>#N/A</v>
      </c>
      <c r="AH70" s="52" t="e">
        <f>HLOOKUP(I70,GasAvoidedCostsWOCC!$A$5:$Q$50,T70+1,FALSE)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HLOOKUP(I70,GasAvoidedCostsWOCC!$A$5:$Q$50,G70+1,FALSE)*J70*L70</f>
        <v>#N/A</v>
      </c>
      <c r="AL70" s="44" t="e">
        <f t="shared" si="34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9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HLOOKUP(I71,GasAvoidedCostsWOCC!$A$5:$G$50,G71+1,FALSE)</f>
        <v>#N/A</v>
      </c>
      <c r="AG71" s="44" t="e">
        <f t="shared" si="31"/>
        <v>#N/A</v>
      </c>
      <c r="AH71" s="52" t="e">
        <f>HLOOKUP(I71,GasAvoidedCostsWOCC!$A$5:$Q$50,T71+1,FALSE)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HLOOKUP(I71,GasAvoidedCostsWOCC!$A$5:$Q$50,G71+1,FALSE)*J71*L71</f>
        <v>#N/A</v>
      </c>
      <c r="AL71" s="44" t="e">
        <f t="shared" si="34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9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HLOOKUP(I72,GasAvoidedCostsWOCC!$A$5:$G$50,G72+1,FALSE)</f>
        <v>#N/A</v>
      </c>
      <c r="AG72" s="44" t="e">
        <f t="shared" si="31"/>
        <v>#N/A</v>
      </c>
      <c r="AH72" s="52" t="e">
        <f>HLOOKUP(I72,GasAvoidedCostsWOCC!$A$5:$Q$50,T72+1,FALSE)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HLOOKUP(I72,GasAvoidedCostsWOCC!$A$5:$Q$50,G72+1,FALSE)*J72*L72</f>
        <v>#N/A</v>
      </c>
      <c r="AL72" s="44" t="e">
        <f t="shared" si="34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9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HLOOKUP(I73,GasAvoidedCostsWOCC!$A$5:$G$50,G73+1,FALSE)</f>
        <v>#N/A</v>
      </c>
      <c r="AG73" s="44" t="e">
        <f t="shared" si="31"/>
        <v>#N/A</v>
      </c>
      <c r="AH73" s="52" t="e">
        <f>HLOOKUP(I73,GasAvoidedCostsWOCC!$A$5:$Q$50,T73+1,FALSE)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HLOOKUP(I73,GasAvoidedCostsWOCC!$A$5:$Q$50,G73+1,FALSE)*J73*L73</f>
        <v>#N/A</v>
      </c>
      <c r="AL73" s="44" t="e">
        <f t="shared" si="34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9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HLOOKUP(I74,GasAvoidedCostsWOCC!$A$5:$G$50,G74+1,FALSE)</f>
        <v>#N/A</v>
      </c>
      <c r="AG74" s="44" t="e">
        <f t="shared" si="31"/>
        <v>#N/A</v>
      </c>
      <c r="AH74" s="52" t="e">
        <f>HLOOKUP(I74,GasAvoidedCostsWOCC!$A$5:$Q$50,T74+1,FALSE)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HLOOKUP(I74,GasAvoidedCostsWOCC!$A$5:$Q$50,G74+1,FALSE)*J74*L74</f>
        <v>#N/A</v>
      </c>
      <c r="AL74" s="44" t="e">
        <f t="shared" si="34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HLOOKUP(I75,GasAvoidedCostsWOCC!$A$5:$G$50,G75+1,FALSE)</f>
        <v>#N/A</v>
      </c>
      <c r="AG75" s="44" t="e">
        <f t="shared" si="31"/>
        <v>#N/A</v>
      </c>
      <c r="AH75" s="52" t="e">
        <f>HLOOKUP(I75,GasAvoidedCostsWOCC!$A$5:$Q$50,T75+1,FALSE)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HLOOKUP(I75,GasAvoidedCostsWOCC!$A$5:$Q$50,G75+1,FALSE)*J75*L75</f>
        <v>#N/A</v>
      </c>
      <c r="AL75" s="44" t="e">
        <f t="shared" si="34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HLOOKUP(I76,GasAvoidedCostsWOCC!$A$5:$G$50,G76+1,FALSE)</f>
        <v>#N/A</v>
      </c>
      <c r="AG76" s="44" t="e">
        <f t="shared" si="31"/>
        <v>#N/A</v>
      </c>
      <c r="AH76" s="52" t="e">
        <f>HLOOKUP(I76,GasAvoidedCostsWOCC!$A$5:$Q$50,T76+1,FALSE)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HLOOKUP(I76,GasAvoidedCostsWOCC!$A$5:$Q$50,G76+1,FALSE)*J76*L76</f>
        <v>#N/A</v>
      </c>
      <c r="AL76" s="44" t="e">
        <f t="shared" si="34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HLOOKUP(I77,GasAvoidedCostsWOCC!$A$5:$G$50,G77+1,FALSE)</f>
        <v>#N/A</v>
      </c>
      <c r="AG77" s="44" t="e">
        <f t="shared" si="31"/>
        <v>#N/A</v>
      </c>
      <c r="AH77" s="52" t="e">
        <f>HLOOKUP(I77,GasAvoidedCostsWOCC!$A$5:$Q$50,T77+1,FALSE)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HLOOKUP(I77,GasAvoidedCostsWOCC!$A$5:$Q$50,G77+1,FALSE)*J77*L77</f>
        <v>#N/A</v>
      </c>
      <c r="AL77" s="44" t="e">
        <f t="shared" si="34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9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HLOOKUP(I78,GasAvoidedCostsWOCC!$A$5:$G$50,G78+1,FALSE)</f>
        <v>#N/A</v>
      </c>
      <c r="AG78" s="44" t="e">
        <f t="shared" si="31"/>
        <v>#N/A</v>
      </c>
      <c r="AH78" s="52" t="e">
        <f>HLOOKUP(I78,GasAvoidedCostsWOCC!$A$5:$Q$50,T78+1,FALSE)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HLOOKUP(I78,GasAvoidedCostsWOCC!$A$5:$Q$50,G78+1,FALSE)*J78*L78</f>
        <v>#N/A</v>
      </c>
      <c r="AL78" s="44" t="e">
        <f t="shared" si="34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HLOOKUP(I79,GasAvoidedCostsWOCC!$A$5:$G$50,G79+1,FALSE)</f>
        <v>#N/A</v>
      </c>
      <c r="AG79" s="44" t="e">
        <f t="shared" si="31"/>
        <v>#N/A</v>
      </c>
      <c r="AH79" s="52" t="e">
        <f>HLOOKUP(I79,GasAvoidedCostsWOCC!$A$5:$Q$50,T79+1,FALSE)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HLOOKUP(I79,GasAvoidedCostsWOCC!$A$5:$Q$50,G79+1,FALSE)*J79*L79</f>
        <v>#N/A</v>
      </c>
      <c r="AL79" s="44" t="e">
        <f t="shared" si="34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HLOOKUP(I80,GasAvoidedCostsWOCC!$A$5:$G$50,G80+1,FALSE)</f>
        <v>#N/A</v>
      </c>
      <c r="AG80" s="44" t="e">
        <f t="shared" si="31"/>
        <v>#N/A</v>
      </c>
      <c r="AH80" s="52" t="e">
        <f>HLOOKUP(I80,GasAvoidedCostsWOCC!$A$5:$Q$50,T80+1,FALSE)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HLOOKUP(I80,GasAvoidedCostsWOCC!$A$5:$Q$50,G80+1,FALSE)*J80*L80</f>
        <v>#N/A</v>
      </c>
      <c r="AL80" s="44" t="e">
        <f t="shared" si="34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HLOOKUP(I81,GasAvoidedCostsWOCC!$A$5:$G$50,G81+1,FALSE)</f>
        <v>#N/A</v>
      </c>
      <c r="AG81" s="44" t="e">
        <f t="shared" si="31"/>
        <v>#N/A</v>
      </c>
      <c r="AH81" s="52" t="e">
        <f>HLOOKUP(I81,GasAvoidedCostsWOCC!$A$5:$Q$50,T81+1,FALSE)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HLOOKUP(I81,GasAvoidedCostsWOCC!$A$5:$Q$50,G81+1,FALSE)*J81*L81</f>
        <v>#N/A</v>
      </c>
      <c r="AL81" s="44" t="e">
        <f t="shared" si="34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HLOOKUP(I82,GasAvoidedCostsWOCC!$A$5:$G$50,G82+1,FALSE)</f>
        <v>#N/A</v>
      </c>
      <c r="AG82" s="44" t="e">
        <f t="shared" si="31"/>
        <v>#N/A</v>
      </c>
      <c r="AH82" s="52" t="e">
        <f>HLOOKUP(I82,GasAvoidedCostsWOCC!$A$5:$Q$50,T82+1,FALSE)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HLOOKUP(I82,GasAvoidedCostsWOCC!$A$5:$Q$50,G82+1,FALSE)*J82*L82</f>
        <v>#N/A</v>
      </c>
      <c r="AL82" s="44" t="e">
        <f t="shared" si="34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HLOOKUP(I83,GasAvoidedCostsWOCC!$A$5:$G$50,G83+1,FALSE)</f>
        <v>#N/A</v>
      </c>
      <c r="AG83" s="44" t="e">
        <f t="shared" si="31"/>
        <v>#N/A</v>
      </c>
      <c r="AH83" s="52" t="e">
        <f>HLOOKUP(I83,GasAvoidedCostsWOCC!$A$5:$Q$50,T83+1,FALSE)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HLOOKUP(I83,GasAvoidedCostsWOCC!$A$5:$Q$50,G83+1,FALSE)*J83*L83</f>
        <v>#N/A</v>
      </c>
      <c r="AL83" s="44" t="e">
        <f t="shared" si="34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HLOOKUP(I84,GasAvoidedCostsWOCC!$A$5:$G$50,G84+1,FALSE)</f>
        <v>#N/A</v>
      </c>
      <c r="AG84" s="44" t="e">
        <f t="shared" si="31"/>
        <v>#N/A</v>
      </c>
      <c r="AH84" s="52" t="e">
        <f>HLOOKUP(I84,GasAvoidedCostsWOCC!$A$5:$Q$50,T84+1,FALSE)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HLOOKUP(I84,GasAvoidedCostsWOCC!$A$5:$Q$50,G84+1,FALSE)*J84*L84</f>
        <v>#N/A</v>
      </c>
      <c r="AL84" s="44" t="e">
        <f t="shared" si="34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HLOOKUP(I85,GasAvoidedCostsWOCC!$A$5:$G$50,G85+1,FALSE)</f>
        <v>#N/A</v>
      </c>
      <c r="AG85" s="44" t="e">
        <f t="shared" si="31"/>
        <v>#N/A</v>
      </c>
      <c r="AH85" s="52" t="e">
        <f>HLOOKUP(I85,GasAvoidedCostsWOCC!$A$5:$Q$50,T85+1,FALSE)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HLOOKUP(I85,GasAvoidedCostsWOCC!$A$5:$Q$50,G85+1,FALSE)*J85*L85</f>
        <v>#N/A</v>
      </c>
      <c r="AL85" s="44" t="e">
        <f t="shared" si="34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HLOOKUP(I86,GasAvoidedCostsWOCC!$A$5:$G$50,G86+1,FALSE)</f>
        <v>#N/A</v>
      </c>
      <c r="AG86" s="44" t="e">
        <f t="shared" si="31"/>
        <v>#N/A</v>
      </c>
      <c r="AH86" s="52" t="e">
        <f>HLOOKUP(I86,GasAvoidedCostsWOCC!$A$5:$Q$50,T86+1,FALSE)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HLOOKUP(I86,GasAvoidedCostsWOCC!$A$5:$Q$50,G86+1,FALSE)*J86*L86</f>
        <v>#N/A</v>
      </c>
      <c r="AL86" s="44" t="e">
        <f t="shared" si="34"/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19"/>
        <v>0</v>
      </c>
      <c r="U87" s="47">
        <f t="shared" si="20"/>
        <v>0</v>
      </c>
      <c r="V87" s="48">
        <f t="shared" si="21"/>
        <v>0</v>
      </c>
      <c r="W87" s="49">
        <f t="shared" si="22"/>
        <v>0</v>
      </c>
      <c r="X87" s="44">
        <f t="shared" si="23"/>
        <v>0</v>
      </c>
      <c r="Y87" s="44">
        <f t="shared" si="24"/>
        <v>0</v>
      </c>
      <c r="Z87" s="44">
        <f t="shared" si="25"/>
        <v>0</v>
      </c>
      <c r="AA87" s="50">
        <f t="shared" si="26"/>
        <v>0</v>
      </c>
      <c r="AB87" s="51">
        <f t="shared" si="27"/>
        <v>0</v>
      </c>
      <c r="AC87" s="44">
        <f t="shared" si="28"/>
        <v>0</v>
      </c>
      <c r="AD87" s="44">
        <f t="shared" si="29"/>
        <v>0</v>
      </c>
      <c r="AE87" s="44">
        <f t="shared" si="30"/>
        <v>0</v>
      </c>
      <c r="AF87" s="52" t="e">
        <f>HLOOKUP(I87,GasAvoidedCostsWOCC!$A$5:$G$50,G87+1,FALSE)</f>
        <v>#N/A</v>
      </c>
      <c r="AG87" s="44" t="e">
        <f t="shared" si="31"/>
        <v>#N/A</v>
      </c>
      <c r="AH87" s="52" t="e">
        <f>HLOOKUP(I87,GasAvoidedCostsWOCC!$A$5:$Q$50,T87+1,FALSE)</f>
        <v>#N/A</v>
      </c>
      <c r="AI87" s="44" t="e">
        <f t="shared" si="32"/>
        <v>#N/A</v>
      </c>
      <c r="AJ87" s="44" t="e">
        <f t="shared" si="33"/>
        <v>#N/A</v>
      </c>
      <c r="AK87" s="44" t="e">
        <f>HLOOKUP(I87,GasAvoidedCostsWOCC!$A$5:$Q$50,G87+1,FALSE)*J87*L87</f>
        <v>#N/A</v>
      </c>
      <c r="AL87" s="44" t="e">
        <f t="shared" si="34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35"/>
        <v>0</v>
      </c>
      <c r="AO87" s="47">
        <f t="shared" si="36"/>
        <v>0</v>
      </c>
      <c r="AP87" s="47" t="e">
        <f t="shared" si="37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19"/>
        <v>0</v>
      </c>
      <c r="U88" s="47">
        <f t="shared" si="20"/>
        <v>0</v>
      </c>
      <c r="V88" s="48">
        <f t="shared" si="21"/>
        <v>0</v>
      </c>
      <c r="W88" s="49">
        <f t="shared" si="22"/>
        <v>0</v>
      </c>
      <c r="X88" s="44">
        <f t="shared" si="23"/>
        <v>0</v>
      </c>
      <c r="Y88" s="44">
        <f t="shared" si="24"/>
        <v>0</v>
      </c>
      <c r="Z88" s="44">
        <f t="shared" si="25"/>
        <v>0</v>
      </c>
      <c r="AA88" s="50">
        <f t="shared" si="26"/>
        <v>0</v>
      </c>
      <c r="AB88" s="51">
        <f t="shared" si="27"/>
        <v>0</v>
      </c>
      <c r="AC88" s="44">
        <f t="shared" si="28"/>
        <v>0</v>
      </c>
      <c r="AD88" s="44">
        <f t="shared" si="29"/>
        <v>0</v>
      </c>
      <c r="AE88" s="44">
        <f t="shared" si="30"/>
        <v>0</v>
      </c>
      <c r="AF88" s="52" t="e">
        <f>HLOOKUP(I88,GasAvoidedCostsWOCC!$A$5:$G$50,G88+1,FALSE)</f>
        <v>#N/A</v>
      </c>
      <c r="AG88" s="44" t="e">
        <f t="shared" si="31"/>
        <v>#N/A</v>
      </c>
      <c r="AH88" s="52" t="e">
        <f>HLOOKUP(I88,GasAvoidedCostsWOCC!$A$5:$Q$50,T88+1,FALSE)</f>
        <v>#N/A</v>
      </c>
      <c r="AI88" s="44" t="e">
        <f t="shared" si="32"/>
        <v>#N/A</v>
      </c>
      <c r="AJ88" s="44" t="e">
        <f t="shared" si="33"/>
        <v>#N/A</v>
      </c>
      <c r="AK88" s="44" t="e">
        <f>HLOOKUP(I88,GasAvoidedCostsWOCC!$A$5:$Q$50,G88+1,FALSE)*J88*L88</f>
        <v>#N/A</v>
      </c>
      <c r="AL88" s="44" t="e">
        <f t="shared" si="34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35"/>
        <v>0</v>
      </c>
      <c r="AO88" s="47">
        <f t="shared" si="36"/>
        <v>0</v>
      </c>
      <c r="AP88" s="47" t="e">
        <f t="shared" si="37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ref="T89:T93" si="38">G89+H89</f>
        <v>0</v>
      </c>
      <c r="U89" s="47">
        <f t="shared" ref="U89:U93" si="39">(O89/$A$10)*T89</f>
        <v>0</v>
      </c>
      <c r="V89" s="48">
        <f t="shared" ref="V89:V93" si="40">N89-M89</f>
        <v>0</v>
      </c>
      <c r="W89" s="49">
        <f t="shared" ref="W89:W93" si="41">(O89/A$10)</f>
        <v>0</v>
      </c>
      <c r="X89" s="44">
        <f t="shared" ref="X89:X93" si="42">W89*A$8</f>
        <v>0</v>
      </c>
      <c r="Y89" s="44">
        <f t="shared" ref="Y89:Y93" si="43">Q89-P89</f>
        <v>0</v>
      </c>
      <c r="Z89" s="44">
        <f t="shared" ref="Z89:Z93" si="44">X89+(A$6*W89)</f>
        <v>0</v>
      </c>
      <c r="AA89" s="50">
        <f t="shared" ref="AA89:AA93" si="45">Q89+X89</f>
        <v>0</v>
      </c>
      <c r="AB89" s="51">
        <f t="shared" ref="AB89:AB93" si="46">Z89/(1+GasDiscountRate)^1</f>
        <v>0</v>
      </c>
      <c r="AC89" s="44">
        <f t="shared" ref="AC89:AC93" si="47">AA89/(1+GasDiscountRate)^1</f>
        <v>0</v>
      </c>
      <c r="AD89" s="44">
        <f t="shared" ref="AD89:AD93" si="48">-PV(GasDiscountRate,T89,R89)*J89</f>
        <v>0</v>
      </c>
      <c r="AE89" s="44">
        <f t="shared" ref="AE89:AE93" si="49">-PV(GasDiscountRate,T89,S89)*J89</f>
        <v>0</v>
      </c>
      <c r="AF89" s="52" t="e">
        <f>HLOOKUP(I89,GasAvoidedCostsWOCC!$A$5:$G$50,G89+1,FALSE)</f>
        <v>#N/A</v>
      </c>
      <c r="AG89" s="44" t="e">
        <f t="shared" ref="AG89:AG93" si="50">AF89*J89*K89</f>
        <v>#N/A</v>
      </c>
      <c r="AH89" s="52" t="e">
        <f>HLOOKUP(I89,GasAvoidedCostsWOCC!$A$5:$Q$50,T89+1,FALSE)</f>
        <v>#N/A</v>
      </c>
      <c r="AI89" s="44" t="e">
        <f t="shared" ref="AI89:AI93" si="51">AH89*J89*L89</f>
        <v>#N/A</v>
      </c>
      <c r="AJ89" s="44" t="e">
        <f t="shared" ref="AJ89:AJ93" si="52">AG89+AI89</f>
        <v>#N/A</v>
      </c>
      <c r="AK89" s="44" t="e">
        <f>HLOOKUP(I89,GasAvoidedCostsWOCC!$A$5:$Q$50,G89+1,FALSE)*J89*L89</f>
        <v>#N/A</v>
      </c>
      <c r="AL89" s="44" t="e">
        <f t="shared" ref="AL89:AL93" si="53">AG89+AI89-AK89</f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ref="AN89:AN93" si="54">AM89*1.1+AD89+AE89</f>
        <v>0</v>
      </c>
      <c r="AO89" s="47">
        <f t="shared" ref="AO89:AO93" si="55">IFERROR(AM89/AB89,0)</f>
        <v>0</v>
      </c>
      <c r="AP89" s="47" t="e">
        <f t="shared" ref="AP89:AP93" si="56">AN89/AC89</f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HLOOKUP(I90,GasAvoidedCostsWOCC!$A$5:$G$50,G90+1,FALSE)</f>
        <v>#N/A</v>
      </c>
      <c r="AG90" s="44" t="e">
        <f t="shared" si="50"/>
        <v>#N/A</v>
      </c>
      <c r="AH90" s="52" t="e">
        <f>HLOOKUP(I90,GasAvoidedCostsWOCC!$A$5:$Q$50,T90+1,FALSE)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HLOOKUP(I90,GasAvoidedCostsWOCC!$A$5:$Q$50,G90+1,FALSE)*J90*L90</f>
        <v>#N/A</v>
      </c>
      <c r="AL90" s="44" t="e">
        <f t="shared" si="53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HLOOKUP(I91,GasAvoidedCostsWOCC!$A$5:$G$50,G91+1,FALSE)</f>
        <v>#N/A</v>
      </c>
      <c r="AG91" s="44" t="e">
        <f t="shared" si="50"/>
        <v>#N/A</v>
      </c>
      <c r="AH91" s="52" t="e">
        <f>HLOOKUP(I91,GasAvoidedCostsWOCC!$A$5:$Q$50,T91+1,FALSE)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HLOOKUP(I91,GasAvoidedCostsWOCC!$A$5:$Q$50,G91+1,FALSE)*J91*L91</f>
        <v>#N/A</v>
      </c>
      <c r="AL91" s="44" t="e">
        <f t="shared" si="53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3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HLOOKUP(I92,GasAvoidedCostsWOCC!$A$5:$G$50,G92+1,FALSE)</f>
        <v>#N/A</v>
      </c>
      <c r="AG92" s="44" t="e">
        <f t="shared" si="50"/>
        <v>#N/A</v>
      </c>
      <c r="AH92" s="52" t="e">
        <f>HLOOKUP(I92,GasAvoidedCostsWOCC!$A$5:$Q$50,T92+1,FALSE)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HLOOKUP(I92,GasAvoidedCostsWOCC!$A$5:$Q$50,G92+1,FALSE)*J92*L92</f>
        <v>#N/A</v>
      </c>
      <c r="AL92" s="44" t="e">
        <f t="shared" si="53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3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HLOOKUP(I93,GasAvoidedCostsWOCC!$A$5:$G$50,G93+1,FALSE)</f>
        <v>#N/A</v>
      </c>
      <c r="AG93" s="44" t="e">
        <f t="shared" si="50"/>
        <v>#N/A</v>
      </c>
      <c r="AH93" s="52" t="e">
        <f>HLOOKUP(I93,GasAvoidedCostsWOCC!$A$5:$Q$50,T93+1,FALSE)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HLOOKUP(I93,GasAvoidedCostsWOCC!$A$5:$Q$50,G93+1,FALSE)*J93*L93</f>
        <v>#N/A</v>
      </c>
      <c r="AL93" s="44" t="e">
        <f t="shared" si="53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</sheetData>
  <conditionalFormatting sqref="J5:L93">
    <cfRule type="expression" dxfId="79" priority="4">
      <formula>ISTEXT(J5)</formula>
    </cfRule>
    <cfRule type="notContainsBlanks" dxfId="78" priority="5">
      <formula>LEN(TRIM(J5))&gt;0</formula>
    </cfRule>
  </conditionalFormatting>
  <conditionalFormatting sqref="M5:N93 R5:S93">
    <cfRule type="expression" dxfId="77" priority="2">
      <formula>ISTEXT(M5)</formula>
    </cfRule>
  </conditionalFormatting>
  <conditionalFormatting sqref="M5:N93 R5:S93">
    <cfRule type="notContainsBlanks" dxfId="76" priority="3">
      <formula>LEN(TRIM(M5))&gt;0</formula>
    </cfRule>
  </conditionalFormatting>
  <conditionalFormatting sqref="R5:S93">
    <cfRule type="expression" dxfId="7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D28" sqref="D2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18230673</v>
      </c>
      <c r="D2" s="20" t="s">
        <v>103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102</v>
      </c>
      <c r="C5" s="98">
        <v>18230673</v>
      </c>
      <c r="D5" s="61" t="s">
        <v>103</v>
      </c>
      <c r="E5" s="38" t="s">
        <v>974</v>
      </c>
      <c r="F5" s="39" t="s">
        <v>975</v>
      </c>
      <c r="G5" s="39">
        <v>15</v>
      </c>
      <c r="H5" s="39"/>
      <c r="I5" s="40" t="s">
        <v>256</v>
      </c>
      <c r="J5" s="41">
        <v>1</v>
      </c>
      <c r="K5" s="41">
        <v>3322</v>
      </c>
      <c r="L5" s="41"/>
      <c r="M5" s="42">
        <v>13286</v>
      </c>
      <c r="N5" s="42">
        <v>13286</v>
      </c>
      <c r="O5" s="43">
        <v>3322</v>
      </c>
      <c r="P5" s="44">
        <v>13286</v>
      </c>
      <c r="Q5" s="44">
        <v>13286</v>
      </c>
      <c r="R5" s="45"/>
      <c r="S5" s="46"/>
      <c r="T5" s="39">
        <f t="shared" ref="T5:T24" si="0">G5+H5</f>
        <v>15</v>
      </c>
      <c r="U5" s="47">
        <f t="shared" ref="U5:U24" si="1">(O5/$A$10)*T5</f>
        <v>0.62953230411602701</v>
      </c>
      <c r="V5" s="48">
        <f t="shared" ref="V5:V24" si="2">N5-M5</f>
        <v>0</v>
      </c>
      <c r="W5" s="49">
        <f t="shared" ref="W5:W24" si="3">(O5/A$10)</f>
        <v>4.1968820274401797E-2</v>
      </c>
      <c r="X5" s="44">
        <f t="shared" ref="X5:X24" si="4">W5*A$8</f>
        <v>11858.428665639132</v>
      </c>
      <c r="Y5" s="44">
        <f t="shared" ref="Y5:Y24" si="5">Q5-P5</f>
        <v>0</v>
      </c>
      <c r="Z5" s="44">
        <f t="shared" ref="Z5:Z24" si="6">X5+(A$6*W5)</f>
        <v>26734.180063926015</v>
      </c>
      <c r="AA5" s="50">
        <f t="shared" ref="AA5:AA24" si="7">Q5+X5</f>
        <v>25144.428665639134</v>
      </c>
      <c r="AB5" s="51">
        <f t="shared" ref="AB5:AB24" si="8">Z5/(1+GasDiscountRate)^1</f>
        <v>24992.222178111631</v>
      </c>
      <c r="AC5" s="44">
        <f t="shared" ref="AC5:AC24" si="9">AA5/(1+GasDiscountRate)^1</f>
        <v>23506.056525791468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32044.058482808567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32044.058482808567</v>
      </c>
      <c r="AK5" s="44">
        <f>HLOOKUP(I5,GasAvoidedCostsWOCC!$A$5:$Q$50,G5+1,FALSE)*J5*L5</f>
        <v>0</v>
      </c>
      <c r="AL5" s="44">
        <f>AG5+AI5-AK5</f>
        <v>32044.058482808567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32044.058482808567</v>
      </c>
      <c r="AN5" s="48">
        <f>AM5*1.1+AD5+AE5</f>
        <v>35248.464331089424</v>
      </c>
      <c r="AO5" s="47">
        <f>IFERROR(AM5/AB5,0)</f>
        <v>1.2821612361814303</v>
      </c>
      <c r="AP5" s="47">
        <f>AN5/AC5</f>
        <v>1.4995481820786858</v>
      </c>
      <c r="AQ5">
        <v>2021</v>
      </c>
    </row>
    <row r="6" spans="1:43" ht="13.5" customHeight="1">
      <c r="A6" s="53">
        <f>SUMIF('Program Costs'!D:D,C2,'Program Costs'!L:L)</f>
        <v>354447.69</v>
      </c>
      <c r="B6" s="97" t="s">
        <v>102</v>
      </c>
      <c r="C6" s="98">
        <v>18230673</v>
      </c>
      <c r="D6" s="61" t="s">
        <v>103</v>
      </c>
      <c r="E6" s="38" t="s">
        <v>974</v>
      </c>
      <c r="F6" s="39" t="s">
        <v>975</v>
      </c>
      <c r="G6" s="39">
        <v>15</v>
      </c>
      <c r="H6" s="39"/>
      <c r="I6" s="40" t="s">
        <v>256</v>
      </c>
      <c r="J6" s="41">
        <v>1</v>
      </c>
      <c r="K6" s="41">
        <v>3809</v>
      </c>
      <c r="L6" s="41"/>
      <c r="M6" s="42">
        <v>10352</v>
      </c>
      <c r="N6" s="42">
        <v>10352</v>
      </c>
      <c r="O6" s="43">
        <v>3809</v>
      </c>
      <c r="P6" s="44">
        <v>10352</v>
      </c>
      <c r="Q6" s="44">
        <v>10352</v>
      </c>
      <c r="R6" s="45"/>
      <c r="S6" s="46"/>
      <c r="T6" s="39">
        <f t="shared" si="0"/>
        <v>15</v>
      </c>
      <c r="U6" s="47">
        <f t="shared" si="1"/>
        <v>0.72182075447861127</v>
      </c>
      <c r="V6" s="48">
        <f t="shared" si="2"/>
        <v>0</v>
      </c>
      <c r="W6" s="49">
        <f t="shared" si="3"/>
        <v>4.8121383631907419E-2</v>
      </c>
      <c r="X6" s="44">
        <f t="shared" si="4"/>
        <v>13596.855745761426</v>
      </c>
      <c r="Y6" s="44">
        <f t="shared" si="5"/>
        <v>0</v>
      </c>
      <c r="Z6" s="44">
        <f t="shared" si="6"/>
        <v>30653.369013694821</v>
      </c>
      <c r="AA6" s="50">
        <f t="shared" si="7"/>
        <v>23948.855745761426</v>
      </c>
      <c r="AB6" s="51">
        <f t="shared" si="8"/>
        <v>28656.042828545218</v>
      </c>
      <c r="AC6" s="44">
        <f t="shared" si="9"/>
        <v>22388.38529098011</v>
      </c>
      <c r="AD6" s="44">
        <f t="shared" si="10"/>
        <v>0</v>
      </c>
      <c r="AE6" s="44">
        <v>0</v>
      </c>
      <c r="AF6" s="52">
        <f>HLOOKUP(I6,GasAvoidedCostsWOCC!$A$5:$G$50,G6+1,FALSE)</f>
        <v>9.6460139924167869</v>
      </c>
      <c r="AG6" s="44">
        <f t="shared" si="11"/>
        <v>36741.667297115542</v>
      </c>
      <c r="AH6" s="52">
        <f>HLOOKUP(I6,GasAvoidedCostsWOCC!$A$5:$Q$50,T6+1,FALSE)</f>
        <v>9.6460139924167869</v>
      </c>
      <c r="AI6" s="44">
        <f t="shared" si="12"/>
        <v>0</v>
      </c>
      <c r="AJ6" s="44">
        <f t="shared" ref="AJ6:AJ24" si="13">AG6+AI6</f>
        <v>36741.667297115542</v>
      </c>
      <c r="AK6" s="44">
        <f>HLOOKUP(I6,GasAvoidedCostsWOCC!$A$5:$Q$50,G6+1,FALSE)*J6*L6</f>
        <v>0</v>
      </c>
      <c r="AL6" s="44">
        <f t="shared" ref="AL6:AL24" si="14">AG6+AI6-AK6</f>
        <v>36741.667297115542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36741.667297115542</v>
      </c>
      <c r="AN6" s="48">
        <f t="shared" ref="AN6:AN24" si="15">AM6*1.1+AD6+AE6</f>
        <v>40415.834026827099</v>
      </c>
      <c r="AO6" s="47">
        <f t="shared" ref="AO6:AO24" si="16">IFERROR(AM6/AB6,0)</f>
        <v>1.2821612361814301</v>
      </c>
      <c r="AP6" s="47">
        <f t="shared" ref="AP6:AP24" si="17">AN6/AC6</f>
        <v>1.8052143333047754</v>
      </c>
      <c r="AQ6">
        <v>2021</v>
      </c>
    </row>
    <row r="7" spans="1:43" ht="13.5" customHeight="1">
      <c r="A7" s="36" t="s">
        <v>249</v>
      </c>
      <c r="B7" s="97" t="s">
        <v>102</v>
      </c>
      <c r="C7" s="98">
        <v>18230673</v>
      </c>
      <c r="D7" s="61" t="s">
        <v>103</v>
      </c>
      <c r="E7" s="38" t="s">
        <v>974</v>
      </c>
      <c r="F7" s="39" t="s">
        <v>975</v>
      </c>
      <c r="G7" s="39">
        <v>15</v>
      </c>
      <c r="H7" s="39"/>
      <c r="I7" s="40" t="s">
        <v>256</v>
      </c>
      <c r="J7" s="41">
        <v>1</v>
      </c>
      <c r="K7" s="41">
        <v>580</v>
      </c>
      <c r="L7" s="41"/>
      <c r="M7" s="42">
        <v>2320.69</v>
      </c>
      <c r="N7" s="42">
        <v>2320.69</v>
      </c>
      <c r="O7" s="43">
        <v>580</v>
      </c>
      <c r="P7" s="44">
        <v>2320.69</v>
      </c>
      <c r="Q7" s="44">
        <v>2320.69</v>
      </c>
      <c r="R7" s="45"/>
      <c r="S7" s="46"/>
      <c r="T7" s="39">
        <f t="shared" si="0"/>
        <v>15</v>
      </c>
      <c r="U7" s="47">
        <f t="shared" si="1"/>
        <v>0.10991232281375547</v>
      </c>
      <c r="V7" s="48">
        <f t="shared" si="2"/>
        <v>0</v>
      </c>
      <c r="W7" s="49">
        <f t="shared" si="3"/>
        <v>7.3274881875836978E-3</v>
      </c>
      <c r="X7" s="44">
        <f t="shared" si="4"/>
        <v>2070.4059681127928</v>
      </c>
      <c r="Y7" s="44">
        <f t="shared" si="5"/>
        <v>0</v>
      </c>
      <c r="Z7" s="44">
        <f t="shared" si="6"/>
        <v>4667.6172297041212</v>
      </c>
      <c r="AA7" s="50">
        <f t="shared" si="7"/>
        <v>4391.0959681127933</v>
      </c>
      <c r="AB7" s="51">
        <f t="shared" si="8"/>
        <v>4363.4824994896899</v>
      </c>
      <c r="AC7" s="44">
        <f t="shared" si="9"/>
        <v>4104.9789362557658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5594.6881156017362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5594.6881156017362</v>
      </c>
      <c r="AK7" s="44">
        <f>HLOOKUP(I7,GasAvoidedCostsWOCC!$A$5:$Q$50,G7+1,FALSE)*J7*L7</f>
        <v>0</v>
      </c>
      <c r="AL7" s="44">
        <f t="shared" si="14"/>
        <v>5594.6881156017362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5594.6881156017362</v>
      </c>
      <c r="AN7" s="48">
        <f t="shared" si="15"/>
        <v>6154.1569271619101</v>
      </c>
      <c r="AO7" s="47">
        <f t="shared" si="16"/>
        <v>1.2821612361814299</v>
      </c>
      <c r="AP7" s="47">
        <f t="shared" si="17"/>
        <v>1.4991933022621649</v>
      </c>
      <c r="AQ7">
        <v>2021</v>
      </c>
    </row>
    <row r="8" spans="1:43" ht="13.5" customHeight="1">
      <c r="A8" s="53">
        <f>SUMIF('Program Costs'!D:D,C2,'Program Costs'!O:O)</f>
        <v>282553.3</v>
      </c>
      <c r="B8" s="97" t="s">
        <v>102</v>
      </c>
      <c r="C8" s="98">
        <v>18230673</v>
      </c>
      <c r="D8" s="61" t="s">
        <v>103</v>
      </c>
      <c r="E8" s="38" t="s">
        <v>974</v>
      </c>
      <c r="F8" s="39" t="s">
        <v>975</v>
      </c>
      <c r="G8" s="39">
        <v>15</v>
      </c>
      <c r="H8" s="39"/>
      <c r="I8" s="40" t="s">
        <v>256</v>
      </c>
      <c r="J8" s="41">
        <v>1</v>
      </c>
      <c r="K8" s="41">
        <v>8005</v>
      </c>
      <c r="L8" s="41"/>
      <c r="M8" s="42">
        <v>42244</v>
      </c>
      <c r="N8" s="42">
        <v>42244</v>
      </c>
      <c r="O8" s="43">
        <v>8005</v>
      </c>
      <c r="P8" s="44">
        <v>42244</v>
      </c>
      <c r="Q8" s="44">
        <v>42244</v>
      </c>
      <c r="R8" s="45"/>
      <c r="S8" s="46"/>
      <c r="T8" s="39">
        <f t="shared" si="0"/>
        <v>15</v>
      </c>
      <c r="U8" s="47">
        <f t="shared" si="1"/>
        <v>1.5169795588346768</v>
      </c>
      <c r="V8" s="48">
        <f t="shared" si="2"/>
        <v>0</v>
      </c>
      <c r="W8" s="49">
        <f t="shared" si="3"/>
        <v>0.10113197058897845</v>
      </c>
      <c r="X8" s="44">
        <f t="shared" si="4"/>
        <v>28575.172025418804</v>
      </c>
      <c r="Y8" s="44">
        <f t="shared" si="5"/>
        <v>0</v>
      </c>
      <c r="Z8" s="44">
        <f t="shared" si="6"/>
        <v>64421.165385830158</v>
      </c>
      <c r="AA8" s="50">
        <f t="shared" si="7"/>
        <v>70819.172025418811</v>
      </c>
      <c r="AB8" s="51">
        <f t="shared" si="8"/>
        <v>60223.581738646491</v>
      </c>
      <c r="AC8" s="44">
        <f t="shared" si="9"/>
        <v>66204.704146413758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77216.342009296379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77216.342009296379</v>
      </c>
      <c r="AK8" s="44">
        <f>HLOOKUP(I8,GasAvoidedCostsWOCC!$A$5:$Q$50,G8+1,FALSE)*J8*L8</f>
        <v>0</v>
      </c>
      <c r="AL8" s="44">
        <f t="shared" si="14"/>
        <v>77216.342009296379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77216.342009296379</v>
      </c>
      <c r="AN8" s="48">
        <f t="shared" si="15"/>
        <v>84937.976210226028</v>
      </c>
      <c r="AO8" s="47">
        <f t="shared" si="16"/>
        <v>1.2821612361814301</v>
      </c>
      <c r="AP8" s="47">
        <f t="shared" si="17"/>
        <v>1.2829598335245642</v>
      </c>
      <c r="AQ8">
        <v>2021</v>
      </c>
    </row>
    <row r="9" spans="1:43" ht="13.5" customHeight="1">
      <c r="A9" s="36" t="s">
        <v>303</v>
      </c>
      <c r="B9" s="97" t="s">
        <v>102</v>
      </c>
      <c r="C9" s="100">
        <v>18230673</v>
      </c>
      <c r="D9" s="100" t="s">
        <v>103</v>
      </c>
      <c r="E9" s="38" t="s">
        <v>974</v>
      </c>
      <c r="F9" s="39" t="s">
        <v>975</v>
      </c>
      <c r="G9" s="39">
        <v>15</v>
      </c>
      <c r="H9" s="39"/>
      <c r="I9" s="40" t="s">
        <v>269</v>
      </c>
      <c r="J9" s="41">
        <v>1</v>
      </c>
      <c r="K9" s="41">
        <v>16994</v>
      </c>
      <c r="L9" s="41"/>
      <c r="M9" s="42">
        <v>41231</v>
      </c>
      <c r="N9" s="42">
        <v>41231</v>
      </c>
      <c r="O9" s="43">
        <v>16994</v>
      </c>
      <c r="P9" s="44">
        <v>41231</v>
      </c>
      <c r="Q9" s="44">
        <v>41231</v>
      </c>
      <c r="R9" s="45"/>
      <c r="S9" s="46"/>
      <c r="T9" s="39">
        <f t="shared" si="0"/>
        <v>15</v>
      </c>
      <c r="U9" s="47">
        <f t="shared" si="1"/>
        <v>3.2204310584430349</v>
      </c>
      <c r="V9" s="48">
        <f t="shared" si="2"/>
        <v>0</v>
      </c>
      <c r="W9" s="49">
        <f t="shared" si="3"/>
        <v>0.21469540389620234</v>
      </c>
      <c r="X9" s="44">
        <f t="shared" si="4"/>
        <v>60662.894865704824</v>
      </c>
      <c r="Y9" s="44">
        <f t="shared" si="5"/>
        <v>0</v>
      </c>
      <c r="Z9" s="44">
        <f t="shared" si="6"/>
        <v>136761.18483033075</v>
      </c>
      <c r="AA9" s="50">
        <f t="shared" si="7"/>
        <v>101893.89486570482</v>
      </c>
      <c r="AB9" s="51">
        <f t="shared" si="8"/>
        <v>127850.0372350479</v>
      </c>
      <c r="AC9" s="44">
        <f t="shared" si="9"/>
        <v>95254.646036930731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10.768151117636117</v>
      </c>
      <c r="AG9" s="44">
        <f t="shared" si="11"/>
        <v>182993.96009310818</v>
      </c>
      <c r="AH9" s="52">
        <f>HLOOKUP(I9,GasAvoidedCostsWOCC!$A$5:$Q$50,T9+1,FALSE)</f>
        <v>10.768151117636117</v>
      </c>
      <c r="AI9" s="44">
        <f t="shared" si="12"/>
        <v>0</v>
      </c>
      <c r="AJ9" s="44">
        <f t="shared" si="13"/>
        <v>182993.96009310818</v>
      </c>
      <c r="AK9" s="44">
        <f>HLOOKUP(I9,GasAvoidedCostsWOCC!$A$5:$Q$50,G9+1,FALSE)*J9*L9</f>
        <v>0</v>
      </c>
      <c r="AL9" s="44">
        <f t="shared" si="14"/>
        <v>182993.96009310818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182993.96009310818</v>
      </c>
      <c r="AN9" s="48">
        <f t="shared" si="15"/>
        <v>201293.35610241903</v>
      </c>
      <c r="AO9" s="47">
        <f t="shared" si="16"/>
        <v>1.4313172217281414</v>
      </c>
      <c r="AP9" s="47">
        <f t="shared" si="17"/>
        <v>2.1132129977615635</v>
      </c>
      <c r="AQ9">
        <v>2020</v>
      </c>
    </row>
    <row r="10" spans="1:43" ht="13.5" customHeight="1">
      <c r="A10" s="54">
        <f>SUM(O5:O999)</f>
        <v>79154</v>
      </c>
      <c r="B10" s="97" t="s">
        <v>102</v>
      </c>
      <c r="C10" s="100">
        <v>18230673</v>
      </c>
      <c r="D10" s="100" t="s">
        <v>103</v>
      </c>
      <c r="E10" s="38" t="s">
        <v>974</v>
      </c>
      <c r="F10" s="39" t="s">
        <v>975</v>
      </c>
      <c r="G10" s="39">
        <v>15</v>
      </c>
      <c r="H10" s="39"/>
      <c r="I10" s="40" t="s">
        <v>269</v>
      </c>
      <c r="J10" s="41">
        <v>1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0</v>
      </c>
      <c r="Q10" s="44">
        <v>0</v>
      </c>
      <c r="R10" s="45"/>
      <c r="S10" s="46"/>
      <c r="T10" s="39">
        <f t="shared" si="0"/>
        <v>15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10.768151117636117</v>
      </c>
      <c r="AG10" s="44">
        <f t="shared" si="11"/>
        <v>0</v>
      </c>
      <c r="AH10" s="52">
        <f>HLOOKUP(I10,GasAvoidedCostsWOCC!$A$5:$Q$50,T10+1,FALSE)</f>
        <v>10.768151117636117</v>
      </c>
      <c r="AI10" s="44">
        <f t="shared" si="12"/>
        <v>0</v>
      </c>
      <c r="AJ10" s="44">
        <f t="shared" si="13"/>
        <v>0</v>
      </c>
      <c r="AK10" s="44">
        <f>HLOOKUP(I10,GasAvoidedCostsWOCC!$A$5:$Q$50,G10+1,FALSE)*J10*L10</f>
        <v>0</v>
      </c>
      <c r="AL10" s="44">
        <f t="shared" si="14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  <c r="AQ10">
        <v>2020</v>
      </c>
    </row>
    <row r="11" spans="1:43" ht="13.5" customHeight="1">
      <c r="A11" s="36" t="s">
        <v>251</v>
      </c>
      <c r="B11" s="97" t="s">
        <v>102</v>
      </c>
      <c r="C11" s="100">
        <v>18230673</v>
      </c>
      <c r="D11" s="100" t="s">
        <v>103</v>
      </c>
      <c r="E11" s="38" t="s">
        <v>974</v>
      </c>
      <c r="F11" s="39" t="s">
        <v>975</v>
      </c>
      <c r="G11" s="39">
        <v>15</v>
      </c>
      <c r="H11" s="39"/>
      <c r="I11" s="40" t="s">
        <v>269</v>
      </c>
      <c r="J11" s="41">
        <v>1</v>
      </c>
      <c r="K11" s="41">
        <v>7016</v>
      </c>
      <c r="L11" s="41"/>
      <c r="M11" s="42">
        <v>27504</v>
      </c>
      <c r="N11" s="42">
        <v>27504</v>
      </c>
      <c r="O11" s="43">
        <v>7016</v>
      </c>
      <c r="P11" s="44">
        <v>27504</v>
      </c>
      <c r="Q11" s="44">
        <v>27504</v>
      </c>
      <c r="R11" s="45"/>
      <c r="S11" s="46"/>
      <c r="T11" s="39">
        <f t="shared" si="0"/>
        <v>15</v>
      </c>
      <c r="U11" s="47">
        <f t="shared" si="1"/>
        <v>1.3295600980367386</v>
      </c>
      <c r="V11" s="48">
        <f t="shared" si="2"/>
        <v>0</v>
      </c>
      <c r="W11" s="49">
        <f t="shared" si="3"/>
        <v>8.86373398691159E-2</v>
      </c>
      <c r="X11" s="44">
        <f t="shared" si="4"/>
        <v>25044.772883240264</v>
      </c>
      <c r="Y11" s="44">
        <f t="shared" si="5"/>
        <v>0</v>
      </c>
      <c r="Z11" s="44">
        <f t="shared" si="6"/>
        <v>56462.073247593296</v>
      </c>
      <c r="AA11" s="50">
        <f t="shared" si="7"/>
        <v>52548.772883240264</v>
      </c>
      <c r="AB11" s="51">
        <f t="shared" si="8"/>
        <v>52783.09175244769</v>
      </c>
      <c r="AC11" s="44">
        <f t="shared" si="9"/>
        <v>49124.775996298267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10.768151117636117</v>
      </c>
      <c r="AG11" s="44">
        <f t="shared" si="11"/>
        <v>75549.348241334999</v>
      </c>
      <c r="AH11" s="52">
        <f>HLOOKUP(I11,GasAvoidedCostsWOCC!$A$5:$Q$50,T11+1,FALSE)</f>
        <v>10.768151117636117</v>
      </c>
      <c r="AI11" s="44">
        <f t="shared" si="12"/>
        <v>0</v>
      </c>
      <c r="AJ11" s="44">
        <f t="shared" si="13"/>
        <v>75549.348241334999</v>
      </c>
      <c r="AK11" s="44">
        <f>HLOOKUP(I11,GasAvoidedCostsWOCC!$A$5:$Q$50,G11+1,FALSE)*J11*L11</f>
        <v>0</v>
      </c>
      <c r="AL11" s="44">
        <f t="shared" si="14"/>
        <v>75549.348241334999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75549.348241334999</v>
      </c>
      <c r="AN11" s="48">
        <f t="shared" si="15"/>
        <v>83104.283065468509</v>
      </c>
      <c r="AO11" s="47">
        <f t="shared" si="16"/>
        <v>1.4313172217281414</v>
      </c>
      <c r="AP11" s="47">
        <f t="shared" si="17"/>
        <v>1.6916979544442243</v>
      </c>
      <c r="AQ11">
        <v>2020</v>
      </c>
    </row>
    <row r="12" spans="1:43" ht="13.5" customHeight="1">
      <c r="A12" s="55">
        <f>SUM(P5:P1000)</f>
        <v>354447.69</v>
      </c>
      <c r="B12" s="97" t="s">
        <v>102</v>
      </c>
      <c r="C12" s="100">
        <v>18230673</v>
      </c>
      <c r="D12" s="100" t="s">
        <v>103</v>
      </c>
      <c r="E12" s="38" t="s">
        <v>974</v>
      </c>
      <c r="F12" s="39" t="s">
        <v>975</v>
      </c>
      <c r="G12" s="39">
        <v>15</v>
      </c>
      <c r="H12" s="39"/>
      <c r="I12" s="40" t="s">
        <v>269</v>
      </c>
      <c r="J12" s="41">
        <v>1</v>
      </c>
      <c r="K12" s="41">
        <v>0</v>
      </c>
      <c r="L12" s="41"/>
      <c r="M12" s="42">
        <v>0</v>
      </c>
      <c r="N12" s="42">
        <v>0</v>
      </c>
      <c r="O12" s="43">
        <v>0</v>
      </c>
      <c r="P12" s="44">
        <v>0</v>
      </c>
      <c r="Q12" s="44">
        <v>0</v>
      </c>
      <c r="R12" s="45"/>
      <c r="S12" s="46"/>
      <c r="T12" s="39">
        <f t="shared" si="0"/>
        <v>15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10.768151117636117</v>
      </c>
      <c r="AG12" s="44">
        <f t="shared" si="11"/>
        <v>0</v>
      </c>
      <c r="AH12" s="52">
        <f>HLOOKUP(I12,GasAvoidedCostsWOCC!$A$5:$Q$50,T12+1,FALSE)</f>
        <v>10.768151117636117</v>
      </c>
      <c r="AI12" s="44">
        <f t="shared" si="12"/>
        <v>0</v>
      </c>
      <c r="AJ12" s="44">
        <f t="shared" si="13"/>
        <v>0</v>
      </c>
      <c r="AK12" s="44">
        <f>HLOOKUP(I12,GasAvoidedCostsWOCC!$A$5:$Q$50,G12+1,FALSE)*J12*L12</f>
        <v>0</v>
      </c>
      <c r="AL12" s="44">
        <f t="shared" si="14"/>
        <v>0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  <c r="AQ12">
        <v>2020</v>
      </c>
    </row>
    <row r="13" spans="1:43" ht="13.5" customHeight="1">
      <c r="A13" s="56" t="s">
        <v>252</v>
      </c>
      <c r="B13" s="97" t="s">
        <v>102</v>
      </c>
      <c r="C13" s="100">
        <v>18230673</v>
      </c>
      <c r="D13" s="100" t="s">
        <v>103</v>
      </c>
      <c r="E13" s="38" t="s">
        <v>974</v>
      </c>
      <c r="F13" s="39" t="s">
        <v>975</v>
      </c>
      <c r="G13" s="39">
        <v>15</v>
      </c>
      <c r="H13" s="39"/>
      <c r="I13" s="40" t="s">
        <v>269</v>
      </c>
      <c r="J13" s="41">
        <v>1</v>
      </c>
      <c r="K13" s="41">
        <v>14824</v>
      </c>
      <c r="L13" s="41"/>
      <c r="M13" s="42">
        <v>87839</v>
      </c>
      <c r="N13" s="42">
        <v>87839</v>
      </c>
      <c r="O13" s="43">
        <v>14824</v>
      </c>
      <c r="P13" s="44">
        <v>87839</v>
      </c>
      <c r="Q13" s="44">
        <v>87839</v>
      </c>
      <c r="R13" s="45"/>
      <c r="S13" s="46"/>
      <c r="T13" s="39">
        <f t="shared" si="0"/>
        <v>15</v>
      </c>
      <c r="U13" s="47">
        <f t="shared" si="1"/>
        <v>2.8092073679157088</v>
      </c>
      <c r="V13" s="48">
        <f t="shared" si="2"/>
        <v>0</v>
      </c>
      <c r="W13" s="49">
        <f t="shared" si="3"/>
        <v>0.18728049119438059</v>
      </c>
      <c r="X13" s="44">
        <f t="shared" si="4"/>
        <v>52916.720812593172</v>
      </c>
      <c r="Y13" s="44">
        <f t="shared" si="5"/>
        <v>0</v>
      </c>
      <c r="Z13" s="44">
        <f t="shared" si="6"/>
        <v>119297.8582985067</v>
      </c>
      <c r="AA13" s="50">
        <f t="shared" si="7"/>
        <v>140755.72081259318</v>
      </c>
      <c r="AB13" s="51">
        <f t="shared" si="8"/>
        <v>111524.59409040543</v>
      </c>
      <c r="AC13" s="44">
        <f t="shared" si="9"/>
        <v>131584.29542170063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10.768151117636117</v>
      </c>
      <c r="AG13" s="44">
        <f t="shared" si="11"/>
        <v>159627.07216783782</v>
      </c>
      <c r="AH13" s="52">
        <f>HLOOKUP(I13,GasAvoidedCostsWOCC!$A$5:$Q$50,T13+1,FALSE)</f>
        <v>10.768151117636117</v>
      </c>
      <c r="AI13" s="44">
        <f t="shared" si="12"/>
        <v>0</v>
      </c>
      <c r="AJ13" s="44">
        <f t="shared" si="13"/>
        <v>159627.07216783782</v>
      </c>
      <c r="AK13" s="44">
        <f>HLOOKUP(I13,GasAvoidedCostsWOCC!$A$5:$Q$50,G13+1,FALSE)*J13*L13</f>
        <v>0</v>
      </c>
      <c r="AL13" s="44">
        <f t="shared" si="14"/>
        <v>159627.07216783782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159627.07216783782</v>
      </c>
      <c r="AN13" s="48">
        <f t="shared" si="15"/>
        <v>175589.77938462162</v>
      </c>
      <c r="AO13" s="47">
        <f t="shared" si="16"/>
        <v>1.4313172217281416</v>
      </c>
      <c r="AP13" s="47">
        <f t="shared" si="17"/>
        <v>1.3344280852201431</v>
      </c>
      <c r="AQ13">
        <v>2020</v>
      </c>
    </row>
    <row r="14" spans="1:43" ht="13.5" customHeight="1">
      <c r="A14" s="55">
        <f>SUM(Y5:Y1000)</f>
        <v>0</v>
      </c>
      <c r="B14" s="97" t="s">
        <v>102</v>
      </c>
      <c r="C14" s="100">
        <v>18230673</v>
      </c>
      <c r="D14" s="100" t="s">
        <v>103</v>
      </c>
      <c r="E14" s="38" t="s">
        <v>974</v>
      </c>
      <c r="F14" s="39" t="s">
        <v>975</v>
      </c>
      <c r="G14" s="39">
        <v>15</v>
      </c>
      <c r="H14" s="39"/>
      <c r="I14" s="40" t="s">
        <v>269</v>
      </c>
      <c r="J14" s="41">
        <v>1</v>
      </c>
      <c r="K14" s="41">
        <v>3163</v>
      </c>
      <c r="L14" s="41"/>
      <c r="M14" s="42">
        <v>15816</v>
      </c>
      <c r="N14" s="42">
        <v>15816</v>
      </c>
      <c r="O14" s="43">
        <v>3163</v>
      </c>
      <c r="P14" s="44">
        <v>15816</v>
      </c>
      <c r="Q14" s="44">
        <v>15816</v>
      </c>
      <c r="R14" s="45"/>
      <c r="S14" s="46"/>
      <c r="T14" s="39">
        <f t="shared" si="0"/>
        <v>15</v>
      </c>
      <c r="U14" s="47">
        <f t="shared" si="1"/>
        <v>0.59940116734466997</v>
      </c>
      <c r="V14" s="48">
        <f t="shared" si="2"/>
        <v>0</v>
      </c>
      <c r="W14" s="49">
        <f t="shared" si="3"/>
        <v>3.9960077822977995E-2</v>
      </c>
      <c r="X14" s="44">
        <f t="shared" si="4"/>
        <v>11290.851857139247</v>
      </c>
      <c r="Y14" s="44">
        <f t="shared" si="5"/>
        <v>0</v>
      </c>
      <c r="Z14" s="44">
        <f t="shared" si="6"/>
        <v>25454.609133714024</v>
      </c>
      <c r="AA14" s="50">
        <f t="shared" si="7"/>
        <v>27106.851857139249</v>
      </c>
      <c r="AB14" s="51">
        <f t="shared" si="8"/>
        <v>23796.026113596356</v>
      </c>
      <c r="AC14" s="44">
        <f t="shared" si="9"/>
        <v>25340.611252817842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10.768151117636117</v>
      </c>
      <c r="AG14" s="44">
        <f t="shared" si="11"/>
        <v>34059.661985083039</v>
      </c>
      <c r="AH14" s="52">
        <f>HLOOKUP(I14,GasAvoidedCostsWOCC!$A$5:$Q$50,T14+1,FALSE)</f>
        <v>10.768151117636117</v>
      </c>
      <c r="AI14" s="44">
        <f t="shared" si="12"/>
        <v>0</v>
      </c>
      <c r="AJ14" s="44">
        <f t="shared" si="13"/>
        <v>34059.661985083039</v>
      </c>
      <c r="AK14" s="44">
        <f>HLOOKUP(I14,GasAvoidedCostsWOCC!$A$5:$Q$50,G14+1,FALSE)*J14*L14</f>
        <v>0</v>
      </c>
      <c r="AL14" s="44">
        <f t="shared" si="14"/>
        <v>34059.661985083039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34059.661985083039</v>
      </c>
      <c r="AN14" s="48">
        <f t="shared" si="15"/>
        <v>37465.628183591347</v>
      </c>
      <c r="AO14" s="47">
        <f t="shared" si="16"/>
        <v>1.4313172217281416</v>
      </c>
      <c r="AP14" s="47">
        <f t="shared" si="17"/>
        <v>1.4784816281582482</v>
      </c>
      <c r="AQ14">
        <v>2020</v>
      </c>
    </row>
    <row r="15" spans="1:43" ht="13.5" customHeight="1">
      <c r="A15" s="57" t="s">
        <v>253</v>
      </c>
      <c r="B15" s="97" t="s">
        <v>102</v>
      </c>
      <c r="C15" s="100">
        <v>18230673</v>
      </c>
      <c r="D15" s="100" t="s">
        <v>103</v>
      </c>
      <c r="E15" s="38" t="s">
        <v>974</v>
      </c>
      <c r="F15" s="39" t="s">
        <v>975</v>
      </c>
      <c r="G15" s="39">
        <v>15</v>
      </c>
      <c r="H15" s="39"/>
      <c r="I15" s="40" t="s">
        <v>269</v>
      </c>
      <c r="J15" s="41">
        <v>1</v>
      </c>
      <c r="K15" s="41">
        <v>0</v>
      </c>
      <c r="L15" s="41"/>
      <c r="M15" s="42">
        <v>0</v>
      </c>
      <c r="N15" s="42">
        <v>0</v>
      </c>
      <c r="O15" s="43">
        <v>0</v>
      </c>
      <c r="P15" s="44">
        <v>0</v>
      </c>
      <c r="Q15" s="44">
        <v>0</v>
      </c>
      <c r="R15" s="45"/>
      <c r="S15" s="46"/>
      <c r="T15" s="39">
        <f t="shared" si="0"/>
        <v>15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10.768151117636117</v>
      </c>
      <c r="AG15" s="44">
        <f t="shared" si="11"/>
        <v>0</v>
      </c>
      <c r="AH15" s="52">
        <f>HLOOKUP(I15,GasAvoidedCostsWOCC!$A$5:$Q$50,T15+1,FALSE)</f>
        <v>10.768151117636117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  <c r="AQ15">
        <v>2020</v>
      </c>
    </row>
    <row r="16" spans="1:43" ht="13.5" customHeight="1">
      <c r="A16" s="54">
        <f>SUM(U5:U999)</f>
        <v>15.000000000000002</v>
      </c>
      <c r="B16" s="97" t="s">
        <v>102</v>
      </c>
      <c r="C16" s="100">
        <v>18230673</v>
      </c>
      <c r="D16" s="100" t="s">
        <v>103</v>
      </c>
      <c r="E16" s="38" t="s">
        <v>974</v>
      </c>
      <c r="F16" s="39" t="s">
        <v>975</v>
      </c>
      <c r="G16" s="39">
        <v>15</v>
      </c>
      <c r="H16" s="39"/>
      <c r="I16" s="40" t="s">
        <v>269</v>
      </c>
      <c r="J16" s="41">
        <v>1</v>
      </c>
      <c r="K16" s="41">
        <v>5123</v>
      </c>
      <c r="L16" s="41"/>
      <c r="M16" s="42">
        <v>20491</v>
      </c>
      <c r="N16" s="42">
        <v>20491</v>
      </c>
      <c r="O16" s="43">
        <v>5123</v>
      </c>
      <c r="P16" s="44">
        <v>20491</v>
      </c>
      <c r="Q16" s="44">
        <v>20491</v>
      </c>
      <c r="R16" s="45"/>
      <c r="S16" s="46"/>
      <c r="T16" s="39">
        <f t="shared" si="0"/>
        <v>15</v>
      </c>
      <c r="U16" s="47">
        <f t="shared" si="1"/>
        <v>0.97082901685322287</v>
      </c>
      <c r="V16" s="48">
        <f t="shared" si="2"/>
        <v>0</v>
      </c>
      <c r="W16" s="49">
        <f t="shared" si="3"/>
        <v>6.4721934456881527E-2</v>
      </c>
      <c r="X16" s="44">
        <f t="shared" si="4"/>
        <v>18287.396163175581</v>
      </c>
      <c r="Y16" s="44">
        <f t="shared" si="5"/>
        <v>0</v>
      </c>
      <c r="Z16" s="44">
        <f t="shared" si="6"/>
        <v>41227.93632374864</v>
      </c>
      <c r="AA16" s="50">
        <f t="shared" si="7"/>
        <v>38778.396163175581</v>
      </c>
      <c r="AB16" s="51">
        <f t="shared" si="8"/>
        <v>38541.587663595994</v>
      </c>
      <c r="AC16" s="44">
        <f t="shared" si="9"/>
        <v>36251.655756918364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10.768151117636117</v>
      </c>
      <c r="AG16" s="44">
        <f t="shared" si="11"/>
        <v>55165.238175649829</v>
      </c>
      <c r="AH16" s="52">
        <f>HLOOKUP(I16,GasAvoidedCostsWOCC!$A$5:$Q$50,T16+1,FALSE)</f>
        <v>10.768151117636117</v>
      </c>
      <c r="AI16" s="44">
        <f t="shared" si="12"/>
        <v>0</v>
      </c>
      <c r="AJ16" s="44">
        <f t="shared" si="13"/>
        <v>55165.238175649829</v>
      </c>
      <c r="AK16" s="44">
        <f>HLOOKUP(I16,GasAvoidedCostsWOCC!$A$5:$Q$50,G16+1,FALSE)*J16*L16</f>
        <v>0</v>
      </c>
      <c r="AL16" s="44">
        <f t="shared" si="14"/>
        <v>55165.238175649829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55165.238175649829</v>
      </c>
      <c r="AN16" s="48">
        <f t="shared" si="15"/>
        <v>60681.761993214815</v>
      </c>
      <c r="AO16" s="47">
        <f t="shared" si="16"/>
        <v>1.4313172217281414</v>
      </c>
      <c r="AP16" s="47">
        <f t="shared" si="17"/>
        <v>1.6739031839017213</v>
      </c>
      <c r="AQ16">
        <v>2020</v>
      </c>
    </row>
    <row r="17" spans="1:43" ht="13.5" customHeight="1">
      <c r="A17" s="58" t="s">
        <v>254</v>
      </c>
      <c r="B17" s="97" t="s">
        <v>102</v>
      </c>
      <c r="C17" s="100">
        <v>18230673</v>
      </c>
      <c r="D17" s="100" t="s">
        <v>103</v>
      </c>
      <c r="E17" s="38" t="s">
        <v>974</v>
      </c>
      <c r="F17" s="39" t="s">
        <v>975</v>
      </c>
      <c r="G17" s="39">
        <v>15</v>
      </c>
      <c r="H17" s="39"/>
      <c r="I17" s="40" t="s">
        <v>269</v>
      </c>
      <c r="J17" s="41">
        <v>1</v>
      </c>
      <c r="K17" s="41">
        <v>16318</v>
      </c>
      <c r="L17" s="41"/>
      <c r="M17" s="42">
        <v>93364</v>
      </c>
      <c r="N17" s="42">
        <v>93364</v>
      </c>
      <c r="O17" s="43">
        <v>16318</v>
      </c>
      <c r="P17" s="44">
        <v>93364</v>
      </c>
      <c r="Q17" s="44">
        <v>93364</v>
      </c>
      <c r="R17" s="45"/>
      <c r="S17" s="46"/>
      <c r="T17" s="39">
        <f t="shared" si="0"/>
        <v>15</v>
      </c>
      <c r="U17" s="47">
        <f t="shared" si="1"/>
        <v>3.0923263511635546</v>
      </c>
      <c r="V17" s="48">
        <f t="shared" si="2"/>
        <v>0</v>
      </c>
      <c r="W17" s="49">
        <f t="shared" si="3"/>
        <v>0.2061550900775703</v>
      </c>
      <c r="X17" s="44">
        <f t="shared" si="4"/>
        <v>58249.801013214739</v>
      </c>
      <c r="Y17" s="44">
        <f t="shared" si="5"/>
        <v>0</v>
      </c>
      <c r="Z17" s="44">
        <f t="shared" si="6"/>
        <v>131320.99647295146</v>
      </c>
      <c r="AA17" s="50">
        <f t="shared" si="7"/>
        <v>151613.80101321475</v>
      </c>
      <c r="AB17" s="51">
        <f t="shared" si="8"/>
        <v>122764.32314943578</v>
      </c>
      <c r="AC17" s="44">
        <f t="shared" si="9"/>
        <v>141734.87988521522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10.768151117636117</v>
      </c>
      <c r="AG17" s="44">
        <f t="shared" si="11"/>
        <v>175714.68993758617</v>
      </c>
      <c r="AH17" s="52">
        <f>HLOOKUP(I17,GasAvoidedCostsWOCC!$A$5:$Q$50,T17+1,FALSE)</f>
        <v>10.768151117636117</v>
      </c>
      <c r="AI17" s="44">
        <f t="shared" si="12"/>
        <v>0</v>
      </c>
      <c r="AJ17" s="44">
        <f t="shared" si="13"/>
        <v>175714.68993758617</v>
      </c>
      <c r="AK17" s="44">
        <f>HLOOKUP(I17,GasAvoidedCostsWOCC!$A$5:$Q$50,G17+1,FALSE)*J17*L17</f>
        <v>0</v>
      </c>
      <c r="AL17" s="44">
        <f t="shared" si="14"/>
        <v>175714.68993758617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175714.68993758617</v>
      </c>
      <c r="AN17" s="48">
        <f t="shared" si="15"/>
        <v>193286.15893134481</v>
      </c>
      <c r="AO17" s="47">
        <f t="shared" si="16"/>
        <v>1.4313172217281414</v>
      </c>
      <c r="AP17" s="47">
        <f t="shared" si="17"/>
        <v>1.363716250282772</v>
      </c>
      <c r="AQ17">
        <v>2020</v>
      </c>
    </row>
    <row r="18" spans="1:43" ht="13.5" customHeight="1">
      <c r="A18" s="59">
        <f>A6+A8</f>
        <v>637000.99</v>
      </c>
      <c r="B18" s="97" t="s">
        <v>102</v>
      </c>
      <c r="C18" s="100">
        <v>18230673</v>
      </c>
      <c r="D18" s="100" t="s">
        <v>103</v>
      </c>
      <c r="E18" s="38" t="s">
        <v>974</v>
      </c>
      <c r="F18" s="39" t="s">
        <v>975</v>
      </c>
      <c r="G18" s="39">
        <v>15</v>
      </c>
      <c r="H18" s="39"/>
      <c r="I18" s="40" t="s">
        <v>269</v>
      </c>
      <c r="J18" s="41">
        <v>1</v>
      </c>
      <c r="K18" s="41">
        <v>0</v>
      </c>
      <c r="L18" s="41"/>
      <c r="M18" s="42">
        <v>0</v>
      </c>
      <c r="N18" s="42">
        <v>0</v>
      </c>
      <c r="O18" s="43">
        <v>0</v>
      </c>
      <c r="P18" s="44">
        <v>0</v>
      </c>
      <c r="Q18" s="44">
        <v>0</v>
      </c>
      <c r="R18" s="45"/>
      <c r="S18" s="46"/>
      <c r="T18" s="39">
        <f t="shared" si="0"/>
        <v>15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10.768151117636117</v>
      </c>
      <c r="AG18" s="44">
        <f t="shared" si="11"/>
        <v>0</v>
      </c>
      <c r="AH18" s="52">
        <f>HLOOKUP(I18,GasAvoidedCostsWOCC!$A$5:$Q$50,T18+1,FALSE)</f>
        <v>10.768151117636117</v>
      </c>
      <c r="AI18" s="44">
        <f t="shared" si="12"/>
        <v>0</v>
      </c>
      <c r="AJ18" s="44">
        <f t="shared" si="13"/>
        <v>0</v>
      </c>
      <c r="AK18" s="44">
        <f>HLOOKUP(I18,GasAvoidedCostsWOCC!$A$5:$Q$50,G18+1,FALSE)*J18*L18</f>
        <v>0</v>
      </c>
      <c r="AL18" s="44">
        <f t="shared" si="14"/>
        <v>0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3" ht="13.5" customHeight="1">
      <c r="A19" s="58" t="s">
        <v>231</v>
      </c>
      <c r="B19" s="97" t="s">
        <v>102</v>
      </c>
      <c r="C19" s="100">
        <v>18230673</v>
      </c>
      <c r="D19" s="100" t="s">
        <v>103</v>
      </c>
      <c r="E19" s="38" t="s">
        <v>976</v>
      </c>
      <c r="F19" s="39" t="s">
        <v>977</v>
      </c>
      <c r="G19" s="39">
        <v>15</v>
      </c>
      <c r="H19" s="39"/>
      <c r="I19" s="40" t="s">
        <v>248</v>
      </c>
      <c r="J19" s="41">
        <v>1</v>
      </c>
      <c r="K19" s="41">
        <v>0</v>
      </c>
      <c r="L19" s="41"/>
      <c r="M19" s="42">
        <v>0</v>
      </c>
      <c r="N19" s="42">
        <v>0</v>
      </c>
      <c r="O19" s="43">
        <v>0</v>
      </c>
      <c r="P19" s="44">
        <v>0</v>
      </c>
      <c r="Q19" s="44">
        <v>0</v>
      </c>
      <c r="R19" s="45"/>
      <c r="S19" s="46"/>
      <c r="T19" s="39">
        <f t="shared" si="0"/>
        <v>15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3" ht="13.5" customHeight="1">
      <c r="A20" s="59">
        <f>A8+SUM(Q5:Q906)</f>
        <v>637000.99</v>
      </c>
      <c r="B20" s="97" t="s">
        <v>102</v>
      </c>
      <c r="C20" s="100">
        <v>18230673</v>
      </c>
      <c r="D20" s="100" t="s">
        <v>103</v>
      </c>
      <c r="E20" s="38" t="s">
        <v>976</v>
      </c>
      <c r="F20" s="39" t="s">
        <v>977</v>
      </c>
      <c r="G20" s="39">
        <v>15</v>
      </c>
      <c r="H20" s="39"/>
      <c r="I20" s="40" t="s">
        <v>248</v>
      </c>
      <c r="J20" s="41">
        <v>1</v>
      </c>
      <c r="K20" s="41">
        <v>0</v>
      </c>
      <c r="L20" s="41"/>
      <c r="M20" s="42">
        <v>0</v>
      </c>
      <c r="N20" s="42">
        <v>0</v>
      </c>
      <c r="O20" s="43">
        <v>0</v>
      </c>
      <c r="P20" s="44">
        <v>0</v>
      </c>
      <c r="Q20" s="44">
        <v>0</v>
      </c>
      <c r="R20" s="45"/>
      <c r="S20" s="46"/>
      <c r="T20" s="39">
        <f t="shared" si="0"/>
        <v>15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3" ht="13.5" customHeight="1">
      <c r="A21" s="58" t="s">
        <v>245</v>
      </c>
      <c r="B21" s="3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3" ht="13.5" customHeight="1">
      <c r="A22" s="60">
        <f>(SUM(AM5:AM1000)/(SUM(AB5:AB1000)))</f>
        <v>1.4017023511107103</v>
      </c>
      <c r="B22" s="3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3" ht="13.5" customHeight="1">
      <c r="A23" s="58" t="s">
        <v>246</v>
      </c>
      <c r="B23" s="3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3" ht="13.5" customHeight="1">
      <c r="A24" s="60">
        <f>(SUM(AN5:AN1000)/SUM(AC5:AC1000))</f>
        <v>1.5418725862217819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3" ht="13.5" customHeight="1"/>
    <row r="26" spans="1:43" ht="13.5" customHeight="1"/>
    <row r="27" spans="1:43" ht="13.5" customHeight="1"/>
    <row r="28" spans="1:43" ht="13.5" customHeight="1"/>
  </sheetData>
  <conditionalFormatting sqref="J5:L24">
    <cfRule type="expression" dxfId="74" priority="4">
      <formula>ISTEXT(J5)</formula>
    </cfRule>
    <cfRule type="notContainsBlanks" dxfId="73" priority="5">
      <formula>LEN(TRIM(J5))&gt;0</formula>
    </cfRule>
  </conditionalFormatting>
  <conditionalFormatting sqref="M5:N24 R5:S24">
    <cfRule type="expression" dxfId="72" priority="2">
      <formula>ISTEXT(M5)</formula>
    </cfRule>
  </conditionalFormatting>
  <conditionalFormatting sqref="M5:N24 R5:S24">
    <cfRule type="notContainsBlanks" dxfId="71" priority="3">
      <formula>LEN(TRIM(M5))&gt;0</formula>
    </cfRule>
  </conditionalFormatting>
  <conditionalFormatting sqref="R5:S24">
    <cfRule type="expression" dxfId="7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93"/>
  <sheetViews>
    <sheetView zoomScale="85" zoomScaleNormal="85" workbookViewId="0">
      <selection activeCell="A25" sqref="A2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18230731</v>
      </c>
      <c r="D2" s="20" t="s">
        <v>142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141</v>
      </c>
      <c r="C5" s="98">
        <v>18230731</v>
      </c>
      <c r="D5" s="61" t="s">
        <v>142</v>
      </c>
      <c r="E5" s="38" t="s">
        <v>978</v>
      </c>
      <c r="F5" s="39" t="s">
        <v>979</v>
      </c>
      <c r="G5" s="39">
        <v>24</v>
      </c>
      <c r="H5" s="39"/>
      <c r="I5" s="40" t="s">
        <v>261</v>
      </c>
      <c r="J5" s="41">
        <v>1</v>
      </c>
      <c r="K5" s="41">
        <v>258</v>
      </c>
      <c r="L5" s="41"/>
      <c r="M5" s="42">
        <v>1806</v>
      </c>
      <c r="N5" s="42">
        <v>3372.55</v>
      </c>
      <c r="O5" s="43">
        <v>258</v>
      </c>
      <c r="P5" s="44">
        <v>1806</v>
      </c>
      <c r="Q5" s="44">
        <v>3372.55</v>
      </c>
      <c r="R5" s="45"/>
      <c r="S5" s="46"/>
      <c r="T5" s="39">
        <f t="shared" ref="T5:T24" si="0">G5+H5</f>
        <v>24</v>
      </c>
      <c r="U5" s="47">
        <f t="shared" ref="U5:U24" si="1">(O5/$A$10)*T5</f>
        <v>8.2751575413854764E-3</v>
      </c>
      <c r="V5" s="48">
        <f t="shared" ref="V5:V24" si="2">N5-M5</f>
        <v>1566.5500000000002</v>
      </c>
      <c r="W5" s="49">
        <f t="shared" ref="W5:W24" si="3">(O5/A$10)</f>
        <v>3.4479823089106153E-4</v>
      </c>
      <c r="X5" s="44">
        <f t="shared" ref="X5:X24" si="4">W5*A$8</f>
        <v>285.15265380373262</v>
      </c>
      <c r="Y5" s="44">
        <f t="shared" ref="Y5:Y24" si="5">Q5-P5</f>
        <v>1566.5500000000002</v>
      </c>
      <c r="Z5" s="44">
        <f t="shared" ref="Z5:Z24" si="6">X5+(A$6*W5)</f>
        <v>1173.0420437340474</v>
      </c>
      <c r="AA5" s="50">
        <f t="shared" ref="AA5:AA24" si="7">Q5+X5</f>
        <v>3657.7026538037326</v>
      </c>
      <c r="AB5" s="51">
        <f t="shared" ref="AB5:AB24" si="8">Z5/(1+GasDiscountRate)^1</f>
        <v>1096.6084357614727</v>
      </c>
      <c r="AC5" s="44">
        <f t="shared" ref="AC5:AC24" si="9">AA5/(1+GasDiscountRate)^1</f>
        <v>3419.372397685082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16.785698132496019</v>
      </c>
      <c r="AG5" s="44">
        <f t="shared" ref="AG5:AG24" si="11">AF5*J5*K5</f>
        <v>4330.7101181839735</v>
      </c>
      <c r="AH5" s="52">
        <f>HLOOKUP(I5,GasAvoidedCostsWOCC!$A$5:$Q$50,T5+1,FALSE)</f>
        <v>16.785698132496019</v>
      </c>
      <c r="AI5" s="44">
        <f t="shared" ref="AI5:AI24" si="12">AH5*J5*L5</f>
        <v>0</v>
      </c>
      <c r="AJ5" s="44">
        <f>AG5+AI5</f>
        <v>4330.7101181839735</v>
      </c>
      <c r="AK5" s="44">
        <f>HLOOKUP(I5,GasAvoidedCostsWOCC!$A$5:$Q$50,G5+1,FALSE)*J5*L5</f>
        <v>0</v>
      </c>
      <c r="AL5" s="44">
        <f>AG5+AI5-AK5</f>
        <v>4330.7101181839735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4330.7101181839735</v>
      </c>
      <c r="AN5" s="48">
        <f>AM5*1.1+AD5+AE5</f>
        <v>4763.7811300023714</v>
      </c>
      <c r="AO5" s="47">
        <f>IFERROR(AM5/AB5,0)</f>
        <v>3.9491854858628517</v>
      </c>
      <c r="AP5" s="47">
        <f>AN5/AC5</f>
        <v>1.3931741196798146</v>
      </c>
      <c r="AQ5">
        <v>2021</v>
      </c>
    </row>
    <row r="6" spans="1:43" ht="13.5" customHeight="1">
      <c r="A6" s="53">
        <f>SUMIF('Program Costs'!D:D,C2,'Program Costs'!L:L)</f>
        <v>2575098.4500000002</v>
      </c>
      <c r="B6" s="97" t="s">
        <v>141</v>
      </c>
      <c r="C6" s="98">
        <v>18230731</v>
      </c>
      <c r="D6" s="61" t="s">
        <v>142</v>
      </c>
      <c r="E6" s="38" t="s">
        <v>980</v>
      </c>
      <c r="F6" s="39" t="s">
        <v>981</v>
      </c>
      <c r="G6" s="39">
        <v>15</v>
      </c>
      <c r="H6" s="39"/>
      <c r="I6" s="40" t="s">
        <v>261</v>
      </c>
      <c r="J6" s="41">
        <v>1</v>
      </c>
      <c r="K6" s="41">
        <v>5393</v>
      </c>
      <c r="L6" s="41"/>
      <c r="M6" s="42">
        <v>26965</v>
      </c>
      <c r="N6" s="42">
        <v>41662</v>
      </c>
      <c r="O6" s="43">
        <v>5393</v>
      </c>
      <c r="P6" s="44">
        <v>26965</v>
      </c>
      <c r="Q6" s="44">
        <v>41662</v>
      </c>
      <c r="R6" s="45"/>
      <c r="S6" s="46"/>
      <c r="T6" s="39">
        <f t="shared" si="0"/>
        <v>15</v>
      </c>
      <c r="U6" s="47">
        <f t="shared" si="1"/>
        <v>0.10811028251136599</v>
      </c>
      <c r="V6" s="48">
        <f t="shared" si="2"/>
        <v>14697</v>
      </c>
      <c r="W6" s="49">
        <f t="shared" si="3"/>
        <v>7.2073521674243992E-3</v>
      </c>
      <c r="X6" s="44">
        <f t="shared" si="4"/>
        <v>5960.574658773372</v>
      </c>
      <c r="Y6" s="44">
        <f t="shared" si="5"/>
        <v>14697</v>
      </c>
      <c r="Z6" s="44">
        <f t="shared" si="6"/>
        <v>24520.216053712087</v>
      </c>
      <c r="AA6" s="50">
        <f t="shared" si="7"/>
        <v>47622.574658773374</v>
      </c>
      <c r="AB6" s="51">
        <f t="shared" si="8"/>
        <v>22922.516643649702</v>
      </c>
      <c r="AC6" s="44">
        <f t="shared" si="9"/>
        <v>44519.561240322866</v>
      </c>
      <c r="AD6" s="44">
        <f t="shared" si="10"/>
        <v>0</v>
      </c>
      <c r="AE6" s="44">
        <v>0</v>
      </c>
      <c r="AF6" s="52">
        <f>HLOOKUP(I6,GasAvoidedCostsWOCC!$A$5:$G$50,G6+1,FALSE)</f>
        <v>11.391867070276401</v>
      </c>
      <c r="AG6" s="44">
        <f t="shared" si="11"/>
        <v>61436.339110000634</v>
      </c>
      <c r="AH6" s="52">
        <f>HLOOKUP(I6,GasAvoidedCostsWOCC!$A$5:$Q$50,T6+1,FALSE)</f>
        <v>11.391867070276401</v>
      </c>
      <c r="AI6" s="44">
        <f t="shared" si="12"/>
        <v>0</v>
      </c>
      <c r="AJ6" s="44">
        <f t="shared" ref="AJ6:AJ24" si="13">AG6+AI6</f>
        <v>61436.339110000634</v>
      </c>
      <c r="AK6" s="44">
        <f>HLOOKUP(I6,GasAvoidedCostsWOCC!$A$5:$Q$50,G6+1,FALSE)*J6*L6</f>
        <v>0</v>
      </c>
      <c r="AL6" s="44">
        <f t="shared" ref="AL6:AL24" si="14">AG6+AI6-AK6</f>
        <v>61436.339110000634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61436.339110000634</v>
      </c>
      <c r="AN6" s="48">
        <f t="shared" ref="AN6:AN24" si="15">AM6*1.1+AD6+AE6</f>
        <v>67579.973021000696</v>
      </c>
      <c r="AO6" s="47">
        <f t="shared" ref="AO6:AO24" si="16">IFERROR(AM6/AB6,0)</f>
        <v>2.6801742611896211</v>
      </c>
      <c r="AP6" s="47">
        <f t="shared" ref="AP6:AP24" si="17">AN6/AC6</f>
        <v>1.517983806178917</v>
      </c>
      <c r="AQ6">
        <v>2021</v>
      </c>
    </row>
    <row r="7" spans="1:43" ht="13.5" customHeight="1">
      <c r="A7" s="36" t="s">
        <v>249</v>
      </c>
      <c r="B7" s="97" t="s">
        <v>141</v>
      </c>
      <c r="C7" s="98">
        <v>18230731</v>
      </c>
      <c r="D7" s="61" t="s">
        <v>142</v>
      </c>
      <c r="E7" s="38" t="s">
        <v>982</v>
      </c>
      <c r="F7" s="39" t="s">
        <v>983</v>
      </c>
      <c r="G7" s="39">
        <v>15</v>
      </c>
      <c r="H7" s="39"/>
      <c r="I7" s="40" t="s">
        <v>256</v>
      </c>
      <c r="J7" s="41">
        <v>1</v>
      </c>
      <c r="K7" s="41">
        <v>26707</v>
      </c>
      <c r="L7" s="41"/>
      <c r="M7" s="42">
        <v>73959</v>
      </c>
      <c r="N7" s="42">
        <v>105655</v>
      </c>
      <c r="O7" s="43">
        <v>26707</v>
      </c>
      <c r="P7" s="44">
        <v>73959</v>
      </c>
      <c r="Q7" s="44">
        <v>105655</v>
      </c>
      <c r="R7" s="45"/>
      <c r="S7" s="46"/>
      <c r="T7" s="39">
        <f t="shared" si="0"/>
        <v>15</v>
      </c>
      <c r="U7" s="47">
        <f t="shared" si="1"/>
        <v>0.53537943909346397</v>
      </c>
      <c r="V7" s="48">
        <f t="shared" si="2"/>
        <v>31696</v>
      </c>
      <c r="W7" s="49">
        <f t="shared" si="3"/>
        <v>3.5691962606230934E-2</v>
      </c>
      <c r="X7" s="44">
        <f t="shared" si="4"/>
        <v>29517.720640063126</v>
      </c>
      <c r="Y7" s="44">
        <f t="shared" si="5"/>
        <v>31696</v>
      </c>
      <c r="Z7" s="44">
        <f t="shared" si="6"/>
        <v>121428.03822482638</v>
      </c>
      <c r="AA7" s="50">
        <f t="shared" si="7"/>
        <v>135172.72064006311</v>
      </c>
      <c r="AB7" s="51">
        <f t="shared" si="8"/>
        <v>113515.97478248703</v>
      </c>
      <c r="AC7" s="44">
        <f t="shared" si="9"/>
        <v>126365.07491826035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257616.09569547512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257616.09569547512</v>
      </c>
      <c r="AK7" s="44">
        <f>HLOOKUP(I7,GasAvoidedCostsWOCC!$A$5:$Q$50,G7+1,FALSE)*J7*L7</f>
        <v>0</v>
      </c>
      <c r="AL7" s="44">
        <f t="shared" si="14"/>
        <v>257616.09569547512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257616.09569547512</v>
      </c>
      <c r="AN7" s="48">
        <f t="shared" si="15"/>
        <v>283377.70526502264</v>
      </c>
      <c r="AO7" s="47">
        <f t="shared" si="16"/>
        <v>2.2694259216740611</v>
      </c>
      <c r="AP7" s="47">
        <f t="shared" si="17"/>
        <v>2.2425318502626332</v>
      </c>
      <c r="AQ7">
        <v>2021</v>
      </c>
    </row>
    <row r="8" spans="1:43" ht="13.5" customHeight="1">
      <c r="A8" s="53">
        <f>SUMIF('Program Costs'!D:D,C2,'Program Costs'!O:O)</f>
        <v>827013.10000000009</v>
      </c>
      <c r="B8" s="97" t="s">
        <v>141</v>
      </c>
      <c r="C8" s="98">
        <v>18230731</v>
      </c>
      <c r="D8" s="61" t="s">
        <v>142</v>
      </c>
      <c r="E8" s="38" t="s">
        <v>982</v>
      </c>
      <c r="F8" s="39" t="s">
        <v>983</v>
      </c>
      <c r="G8" s="39">
        <v>15</v>
      </c>
      <c r="H8" s="39"/>
      <c r="I8" s="40" t="s">
        <v>256</v>
      </c>
      <c r="J8" s="41">
        <v>1</v>
      </c>
      <c r="K8" s="41">
        <v>51374</v>
      </c>
      <c r="L8" s="41"/>
      <c r="M8" s="42">
        <v>91486.13</v>
      </c>
      <c r="N8" s="42">
        <v>162333.1</v>
      </c>
      <c r="O8" s="43">
        <v>51374</v>
      </c>
      <c r="P8" s="44">
        <v>91486.13</v>
      </c>
      <c r="Q8" s="44">
        <v>162333.1</v>
      </c>
      <c r="R8" s="45"/>
      <c r="S8" s="46"/>
      <c r="T8" s="39">
        <f t="shared" si="0"/>
        <v>15</v>
      </c>
      <c r="U8" s="47">
        <f t="shared" si="1"/>
        <v>1.0298642042905464</v>
      </c>
      <c r="V8" s="48">
        <f t="shared" si="2"/>
        <v>70846.97</v>
      </c>
      <c r="W8" s="49">
        <f t="shared" si="3"/>
        <v>6.8657613619369756E-2</v>
      </c>
      <c r="X8" s="44">
        <f t="shared" si="4"/>
        <v>56780.745877957212</v>
      </c>
      <c r="Y8" s="44">
        <f t="shared" si="5"/>
        <v>70846.97</v>
      </c>
      <c r="Z8" s="44">
        <f t="shared" si="6"/>
        <v>233580.86028989518</v>
      </c>
      <c r="AA8" s="50">
        <f t="shared" si="7"/>
        <v>219113.84587795721</v>
      </c>
      <c r="AB8" s="51">
        <f t="shared" si="8"/>
        <v>218361.09216592985</v>
      </c>
      <c r="AC8" s="44">
        <f t="shared" si="9"/>
        <v>204836.72607082097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495554.32284641999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495554.32284641999</v>
      </c>
      <c r="AK8" s="44">
        <f>HLOOKUP(I8,GasAvoidedCostsWOCC!$A$5:$Q$50,G8+1,FALSE)*J8*L8</f>
        <v>0</v>
      </c>
      <c r="AL8" s="44">
        <f t="shared" si="14"/>
        <v>495554.32284641999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495554.32284641999</v>
      </c>
      <c r="AN8" s="48">
        <f t="shared" si="15"/>
        <v>545109.755131062</v>
      </c>
      <c r="AO8" s="47">
        <f t="shared" si="16"/>
        <v>2.2694259216740611</v>
      </c>
      <c r="AP8" s="47">
        <f t="shared" si="17"/>
        <v>2.6611915040205916</v>
      </c>
      <c r="AQ8">
        <v>2021</v>
      </c>
    </row>
    <row r="9" spans="1:43" ht="13.5" customHeight="1">
      <c r="A9" s="36" t="s">
        <v>303</v>
      </c>
      <c r="B9" s="97" t="s">
        <v>141</v>
      </c>
      <c r="C9" s="98">
        <v>18230731</v>
      </c>
      <c r="D9" s="61" t="s">
        <v>142</v>
      </c>
      <c r="E9" s="38" t="s">
        <v>982</v>
      </c>
      <c r="F9" s="39" t="s">
        <v>983</v>
      </c>
      <c r="G9" s="39">
        <v>15</v>
      </c>
      <c r="H9" s="39"/>
      <c r="I9" s="40" t="s">
        <v>256</v>
      </c>
      <c r="J9" s="41">
        <v>1</v>
      </c>
      <c r="K9" s="41">
        <v>53104</v>
      </c>
      <c r="L9" s="41"/>
      <c r="M9" s="42">
        <v>256676</v>
      </c>
      <c r="N9" s="42">
        <v>604895</v>
      </c>
      <c r="O9" s="43">
        <v>53104</v>
      </c>
      <c r="P9" s="44">
        <v>256676</v>
      </c>
      <c r="Q9" s="44">
        <v>604895</v>
      </c>
      <c r="R9" s="45"/>
      <c r="S9" s="46"/>
      <c r="T9" s="39">
        <f t="shared" si="0"/>
        <v>15</v>
      </c>
      <c r="U9" s="47">
        <f t="shared" si="1"/>
        <v>1.0645444914673798</v>
      </c>
      <c r="V9" s="48">
        <f t="shared" si="2"/>
        <v>348219</v>
      </c>
      <c r="W9" s="49">
        <f t="shared" si="3"/>
        <v>7.0969632764491988E-2</v>
      </c>
      <c r="X9" s="44">
        <f t="shared" si="4"/>
        <v>58692.815998424099</v>
      </c>
      <c r="Y9" s="44">
        <f t="shared" si="5"/>
        <v>348219</v>
      </c>
      <c r="Z9" s="44">
        <f t="shared" si="6"/>
        <v>241446.60732733665</v>
      </c>
      <c r="AA9" s="50">
        <f t="shared" si="7"/>
        <v>663587.81599842408</v>
      </c>
      <c r="AB9" s="51">
        <f t="shared" si="8"/>
        <v>225714.31927394282</v>
      </c>
      <c r="AC9" s="44">
        <f t="shared" si="9"/>
        <v>620349.45872527256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9.6460139924167869</v>
      </c>
      <c r="AG9" s="44">
        <f t="shared" si="11"/>
        <v>512241.92705330107</v>
      </c>
      <c r="AH9" s="52">
        <f>HLOOKUP(I9,GasAvoidedCostsWOCC!$A$5:$Q$50,T9+1,FALSE)</f>
        <v>9.6460139924167869</v>
      </c>
      <c r="AI9" s="44">
        <f t="shared" si="12"/>
        <v>0</v>
      </c>
      <c r="AJ9" s="44">
        <f t="shared" si="13"/>
        <v>512241.92705330107</v>
      </c>
      <c r="AK9" s="44">
        <f>HLOOKUP(I9,GasAvoidedCostsWOCC!$A$5:$Q$50,G9+1,FALSE)*J9*L9</f>
        <v>0</v>
      </c>
      <c r="AL9" s="44">
        <f t="shared" si="14"/>
        <v>512241.92705330107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512241.92705330107</v>
      </c>
      <c r="AN9" s="48">
        <f t="shared" si="15"/>
        <v>563466.11975863122</v>
      </c>
      <c r="AO9" s="47">
        <f t="shared" si="16"/>
        <v>2.2694259216740615</v>
      </c>
      <c r="AP9" s="47">
        <f t="shared" si="17"/>
        <v>0.90830436269981074</v>
      </c>
      <c r="AQ9">
        <v>2021</v>
      </c>
    </row>
    <row r="10" spans="1:43" ht="13.5" customHeight="1">
      <c r="A10" s="54">
        <f>SUM(O5:O999)</f>
        <v>748263.7</v>
      </c>
      <c r="B10" s="97" t="s">
        <v>141</v>
      </c>
      <c r="C10" s="98">
        <v>18230731</v>
      </c>
      <c r="D10" s="61" t="s">
        <v>142</v>
      </c>
      <c r="E10" s="38" t="s">
        <v>984</v>
      </c>
      <c r="F10" s="39" t="s">
        <v>985</v>
      </c>
      <c r="G10" s="39">
        <v>30</v>
      </c>
      <c r="H10" s="39"/>
      <c r="I10" s="40" t="s">
        <v>261</v>
      </c>
      <c r="J10" s="41">
        <v>1</v>
      </c>
      <c r="K10" s="41">
        <v>1831</v>
      </c>
      <c r="L10" s="41"/>
      <c r="M10" s="42">
        <v>8993</v>
      </c>
      <c r="N10" s="42">
        <v>57060</v>
      </c>
      <c r="O10" s="43">
        <v>1831</v>
      </c>
      <c r="P10" s="44">
        <v>8993</v>
      </c>
      <c r="Q10" s="44">
        <v>57060</v>
      </c>
      <c r="R10" s="45"/>
      <c r="S10" s="46"/>
      <c r="T10" s="39">
        <f t="shared" si="0"/>
        <v>30</v>
      </c>
      <c r="U10" s="47">
        <f t="shared" si="1"/>
        <v>7.3409948925759735E-2</v>
      </c>
      <c r="V10" s="48">
        <f t="shared" si="2"/>
        <v>48067</v>
      </c>
      <c r="W10" s="49">
        <f t="shared" si="3"/>
        <v>2.4469982975253244E-3</v>
      </c>
      <c r="X10" s="44">
        <f t="shared" si="4"/>
        <v>2023.6996477311411</v>
      </c>
      <c r="Y10" s="44">
        <f t="shared" si="5"/>
        <v>48067</v>
      </c>
      <c r="Z10" s="44">
        <f t="shared" si="6"/>
        <v>8324.9611708412431</v>
      </c>
      <c r="AA10" s="50">
        <f t="shared" si="7"/>
        <v>59083.69964773114</v>
      </c>
      <c r="AB10" s="51">
        <f t="shared" si="8"/>
        <v>7782.5195576715359</v>
      </c>
      <c r="AC10" s="44">
        <f t="shared" si="9"/>
        <v>55233.897025082857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19.891581658424165</v>
      </c>
      <c r="AG10" s="44">
        <f t="shared" si="11"/>
        <v>36421.48601657465</v>
      </c>
      <c r="AH10" s="52">
        <f>HLOOKUP(I10,GasAvoidedCostsWOCC!$A$5:$Q$50,T10+1,FALSE)</f>
        <v>19.891581658424165</v>
      </c>
      <c r="AI10" s="44">
        <f t="shared" si="12"/>
        <v>0</v>
      </c>
      <c r="AJ10" s="44">
        <f t="shared" si="13"/>
        <v>36421.48601657465</v>
      </c>
      <c r="AK10" s="44">
        <f>HLOOKUP(I10,GasAvoidedCostsWOCC!$A$5:$Q$50,G10+1,FALSE)*J10*L10</f>
        <v>0</v>
      </c>
      <c r="AL10" s="44">
        <f t="shared" si="14"/>
        <v>36421.48601657465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36421.48601657465</v>
      </c>
      <c r="AN10" s="48">
        <f t="shared" si="15"/>
        <v>40063.634618232121</v>
      </c>
      <c r="AO10" s="47">
        <f t="shared" si="16"/>
        <v>4.6799093464111579</v>
      </c>
      <c r="AP10" s="47">
        <f t="shared" si="17"/>
        <v>0.7253450648256522</v>
      </c>
      <c r="AQ10">
        <v>2021</v>
      </c>
    </row>
    <row r="11" spans="1:43" ht="13.5" customHeight="1">
      <c r="A11" s="36" t="s">
        <v>251</v>
      </c>
      <c r="B11" s="97" t="s">
        <v>141</v>
      </c>
      <c r="C11" s="98">
        <v>18230731</v>
      </c>
      <c r="D11" s="61" t="s">
        <v>142</v>
      </c>
      <c r="E11" s="38" t="s">
        <v>986</v>
      </c>
      <c r="F11" s="39" t="s">
        <v>987</v>
      </c>
      <c r="G11" s="39">
        <v>15</v>
      </c>
      <c r="H11" s="39"/>
      <c r="I11" s="40" t="s">
        <v>256</v>
      </c>
      <c r="J11" s="41">
        <v>1</v>
      </c>
      <c r="K11" s="41">
        <v>1919</v>
      </c>
      <c r="L11" s="41"/>
      <c r="M11" s="42">
        <v>9595</v>
      </c>
      <c r="N11" s="42">
        <v>16350</v>
      </c>
      <c r="O11" s="43">
        <v>1919</v>
      </c>
      <c r="P11" s="44">
        <v>9595</v>
      </c>
      <c r="Q11" s="44">
        <v>16350</v>
      </c>
      <c r="R11" s="45"/>
      <c r="S11" s="46"/>
      <c r="T11" s="39">
        <f t="shared" si="0"/>
        <v>15</v>
      </c>
      <c r="U11" s="47">
        <f t="shared" si="1"/>
        <v>3.8469058434880646E-2</v>
      </c>
      <c r="V11" s="48">
        <f t="shared" si="2"/>
        <v>6755</v>
      </c>
      <c r="W11" s="49">
        <f t="shared" si="3"/>
        <v>2.5646038956587099E-3</v>
      </c>
      <c r="X11" s="44">
        <f t="shared" si="4"/>
        <v>2120.9610180207865</v>
      </c>
      <c r="Y11" s="44">
        <f t="shared" si="5"/>
        <v>6755</v>
      </c>
      <c r="Z11" s="44">
        <f t="shared" si="6"/>
        <v>8725.0685345954917</v>
      </c>
      <c r="AA11" s="50">
        <f t="shared" si="7"/>
        <v>18470.961018020786</v>
      </c>
      <c r="AB11" s="51">
        <f t="shared" si="8"/>
        <v>8156.5565435126582</v>
      </c>
      <c r="AC11" s="44">
        <f t="shared" si="9"/>
        <v>17267.421723867239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9.6460139924167869</v>
      </c>
      <c r="AG11" s="44">
        <f t="shared" si="11"/>
        <v>18510.700851447815</v>
      </c>
      <c r="AH11" s="52">
        <f>HLOOKUP(I11,GasAvoidedCostsWOCC!$A$5:$Q$50,T11+1,FALSE)</f>
        <v>9.6460139924167869</v>
      </c>
      <c r="AI11" s="44">
        <f t="shared" si="12"/>
        <v>0</v>
      </c>
      <c r="AJ11" s="44">
        <f t="shared" si="13"/>
        <v>18510.700851447815</v>
      </c>
      <c r="AK11" s="44">
        <f>HLOOKUP(I11,GasAvoidedCostsWOCC!$A$5:$Q$50,G11+1,FALSE)*J11*L11</f>
        <v>0</v>
      </c>
      <c r="AL11" s="44">
        <f t="shared" si="14"/>
        <v>18510.700851447815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18510.700851447815</v>
      </c>
      <c r="AN11" s="48">
        <f t="shared" si="15"/>
        <v>20361.770936592598</v>
      </c>
      <c r="AO11" s="47">
        <f t="shared" si="16"/>
        <v>2.269425921674062</v>
      </c>
      <c r="AP11" s="47">
        <f t="shared" si="17"/>
        <v>1.1792015775260942</v>
      </c>
      <c r="AQ11">
        <v>2021</v>
      </c>
    </row>
    <row r="12" spans="1:43" ht="13.5" customHeight="1">
      <c r="A12" s="55">
        <f>SUM(P5:P1000)</f>
        <v>2571738.13</v>
      </c>
      <c r="B12" s="97" t="s">
        <v>141</v>
      </c>
      <c r="C12" s="98">
        <v>18230731</v>
      </c>
      <c r="D12" s="61" t="s">
        <v>142</v>
      </c>
      <c r="E12" s="38" t="s">
        <v>988</v>
      </c>
      <c r="F12" s="39" t="s">
        <v>989</v>
      </c>
      <c r="G12" s="39">
        <v>10</v>
      </c>
      <c r="H12" s="39"/>
      <c r="I12" s="40" t="s">
        <v>256</v>
      </c>
      <c r="J12" s="41">
        <v>1</v>
      </c>
      <c r="K12" s="41">
        <v>5491</v>
      </c>
      <c r="L12" s="41"/>
      <c r="M12" s="42">
        <v>25804</v>
      </c>
      <c r="N12" s="42">
        <v>25804</v>
      </c>
      <c r="O12" s="43">
        <v>5491</v>
      </c>
      <c r="P12" s="44">
        <v>25804</v>
      </c>
      <c r="Q12" s="44">
        <v>25804</v>
      </c>
      <c r="R12" s="45"/>
      <c r="S12" s="46"/>
      <c r="T12" s="39">
        <f t="shared" si="0"/>
        <v>10</v>
      </c>
      <c r="U12" s="47">
        <f t="shared" si="1"/>
        <v>7.3383220380729419E-2</v>
      </c>
      <c r="V12" s="48">
        <f t="shared" si="2"/>
        <v>0</v>
      </c>
      <c r="W12" s="49">
        <f t="shared" si="3"/>
        <v>7.3383220380729419E-3</v>
      </c>
      <c r="X12" s="44">
        <f t="shared" si="4"/>
        <v>6068.8884575050224</v>
      </c>
      <c r="Y12" s="44">
        <f t="shared" si="5"/>
        <v>0</v>
      </c>
      <c r="Z12" s="44">
        <f t="shared" si="6"/>
        <v>24965.790163347498</v>
      </c>
      <c r="AA12" s="50">
        <f t="shared" si="7"/>
        <v>31872.888457505022</v>
      </c>
      <c r="AB12" s="51">
        <f t="shared" si="8"/>
        <v>23339.057832427312</v>
      </c>
      <c r="AC12" s="44">
        <f t="shared" si="9"/>
        <v>29796.100268771635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6.7137963033615717</v>
      </c>
      <c r="AG12" s="44">
        <f t="shared" si="11"/>
        <v>36865.455501758392</v>
      </c>
      <c r="AH12" s="52">
        <f>HLOOKUP(I12,GasAvoidedCostsWOCC!$A$5:$Q$50,T12+1,FALSE)</f>
        <v>6.7137963033615717</v>
      </c>
      <c r="AI12" s="44">
        <f t="shared" si="12"/>
        <v>0</v>
      </c>
      <c r="AJ12" s="44">
        <f t="shared" si="13"/>
        <v>36865.455501758392</v>
      </c>
      <c r="AK12" s="44">
        <f>HLOOKUP(I12,GasAvoidedCostsWOCC!$A$5:$Q$50,G12+1,FALSE)*J12*L12</f>
        <v>0</v>
      </c>
      <c r="AL12" s="44">
        <f t="shared" si="14"/>
        <v>36865.455501758392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36865.455501758392</v>
      </c>
      <c r="AN12" s="48">
        <f t="shared" si="15"/>
        <v>40552.001051934232</v>
      </c>
      <c r="AO12" s="47">
        <f t="shared" si="16"/>
        <v>1.579560570373046</v>
      </c>
      <c r="AP12" s="47">
        <f t="shared" si="17"/>
        <v>1.3609835074436074</v>
      </c>
      <c r="AQ12">
        <v>2021</v>
      </c>
    </row>
    <row r="13" spans="1:43" ht="13.5" customHeight="1">
      <c r="A13" s="56" t="s">
        <v>252</v>
      </c>
      <c r="B13" s="97" t="s">
        <v>141</v>
      </c>
      <c r="C13" s="98">
        <v>18230731</v>
      </c>
      <c r="D13" s="61" t="s">
        <v>142</v>
      </c>
      <c r="E13" s="38" t="s">
        <v>988</v>
      </c>
      <c r="F13" s="39" t="s">
        <v>989</v>
      </c>
      <c r="G13" s="39">
        <v>10</v>
      </c>
      <c r="H13" s="39"/>
      <c r="I13" s="40" t="s">
        <v>256</v>
      </c>
      <c r="J13" s="41">
        <v>1</v>
      </c>
      <c r="K13" s="41">
        <v>2992</v>
      </c>
      <c r="L13" s="41"/>
      <c r="M13" s="42">
        <v>5578</v>
      </c>
      <c r="N13" s="42">
        <v>5578</v>
      </c>
      <c r="O13" s="43">
        <v>2992</v>
      </c>
      <c r="P13" s="44">
        <v>5578</v>
      </c>
      <c r="Q13" s="44">
        <v>5578</v>
      </c>
      <c r="R13" s="45"/>
      <c r="S13" s="46"/>
      <c r="T13" s="39">
        <f t="shared" si="0"/>
        <v>10</v>
      </c>
      <c r="U13" s="47">
        <f t="shared" si="1"/>
        <v>3.9985903365351017E-2</v>
      </c>
      <c r="V13" s="48">
        <f t="shared" si="2"/>
        <v>0</v>
      </c>
      <c r="W13" s="49">
        <f t="shared" si="3"/>
        <v>3.9985903365351017E-3</v>
      </c>
      <c r="X13" s="44">
        <f t="shared" si="4"/>
        <v>3306.886589847938</v>
      </c>
      <c r="Y13" s="44">
        <f t="shared" si="5"/>
        <v>0</v>
      </c>
      <c r="Z13" s="44">
        <f t="shared" si="6"/>
        <v>13603.650367644457</v>
      </c>
      <c r="AA13" s="50">
        <f t="shared" si="7"/>
        <v>8884.886589847938</v>
      </c>
      <c r="AB13" s="51">
        <f t="shared" si="8"/>
        <v>12717.257518598164</v>
      </c>
      <c r="AC13" s="44">
        <f t="shared" si="9"/>
        <v>8305.9611011011839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6.7137963033615717</v>
      </c>
      <c r="AG13" s="44">
        <f t="shared" si="11"/>
        <v>20087.678539657823</v>
      </c>
      <c r="AH13" s="52">
        <f>HLOOKUP(I13,GasAvoidedCostsWOCC!$A$5:$Q$50,T13+1,FALSE)</f>
        <v>6.7137963033615717</v>
      </c>
      <c r="AI13" s="44">
        <f t="shared" si="12"/>
        <v>0</v>
      </c>
      <c r="AJ13" s="44">
        <f t="shared" si="13"/>
        <v>20087.678539657823</v>
      </c>
      <c r="AK13" s="44">
        <f>HLOOKUP(I13,GasAvoidedCostsWOCC!$A$5:$Q$50,G13+1,FALSE)*J13*L13</f>
        <v>0</v>
      </c>
      <c r="AL13" s="44">
        <f t="shared" si="14"/>
        <v>20087.678539657823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20087.678539657823</v>
      </c>
      <c r="AN13" s="48">
        <f t="shared" si="15"/>
        <v>22096.446393623606</v>
      </c>
      <c r="AO13" s="47">
        <f t="shared" si="16"/>
        <v>1.579560570373046</v>
      </c>
      <c r="AP13" s="47">
        <f t="shared" si="17"/>
        <v>2.6603118079488857</v>
      </c>
      <c r="AQ13">
        <v>2021</v>
      </c>
    </row>
    <row r="14" spans="1:43" ht="13.5" customHeight="1">
      <c r="A14" s="55">
        <f>SUM(Y5:Y1000)</f>
        <v>3695424.94</v>
      </c>
      <c r="B14" s="97" t="s">
        <v>141</v>
      </c>
      <c r="C14" s="98">
        <v>18230731</v>
      </c>
      <c r="D14" s="61" t="s">
        <v>142</v>
      </c>
      <c r="E14" s="38" t="s">
        <v>990</v>
      </c>
      <c r="F14" s="39" t="s">
        <v>991</v>
      </c>
      <c r="G14" s="39">
        <v>15</v>
      </c>
      <c r="H14" s="39"/>
      <c r="I14" s="40" t="s">
        <v>261</v>
      </c>
      <c r="J14" s="41">
        <v>1</v>
      </c>
      <c r="K14" s="41">
        <v>4246</v>
      </c>
      <c r="L14" s="41"/>
      <c r="M14" s="42">
        <v>25890</v>
      </c>
      <c r="N14" s="42">
        <v>94542</v>
      </c>
      <c r="O14" s="43">
        <v>4246</v>
      </c>
      <c r="P14" s="44">
        <v>25890</v>
      </c>
      <c r="Q14" s="44">
        <v>94542</v>
      </c>
      <c r="R14" s="45"/>
      <c r="S14" s="46"/>
      <c r="T14" s="39">
        <f t="shared" si="0"/>
        <v>15</v>
      </c>
      <c r="U14" s="47">
        <f t="shared" si="1"/>
        <v>8.5117051649037642E-2</v>
      </c>
      <c r="V14" s="48">
        <f t="shared" si="2"/>
        <v>68652</v>
      </c>
      <c r="W14" s="49">
        <f t="shared" si="3"/>
        <v>5.6744701099358426E-3</v>
      </c>
      <c r="X14" s="44">
        <f t="shared" si="4"/>
        <v>4692.8611164753829</v>
      </c>
      <c r="Y14" s="44">
        <f t="shared" si="5"/>
        <v>68652</v>
      </c>
      <c r="Z14" s="44">
        <f t="shared" si="6"/>
        <v>19305.180301142504</v>
      </c>
      <c r="AA14" s="50">
        <f t="shared" si="7"/>
        <v>99234.861116475382</v>
      </c>
      <c r="AB14" s="51">
        <f t="shared" si="8"/>
        <v>18047.284566834162</v>
      </c>
      <c r="AC14" s="44">
        <f t="shared" si="9"/>
        <v>92768.870820300435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11.391867070276401</v>
      </c>
      <c r="AG14" s="44">
        <f t="shared" si="11"/>
        <v>48369.867580393598</v>
      </c>
      <c r="AH14" s="52">
        <f>HLOOKUP(I14,GasAvoidedCostsWOCC!$A$5:$Q$50,T14+1,FALSE)</f>
        <v>11.391867070276401</v>
      </c>
      <c r="AI14" s="44">
        <f t="shared" si="12"/>
        <v>0</v>
      </c>
      <c r="AJ14" s="44">
        <f t="shared" si="13"/>
        <v>48369.867580393598</v>
      </c>
      <c r="AK14" s="44">
        <f>HLOOKUP(I14,GasAvoidedCostsWOCC!$A$5:$Q$50,G14+1,FALSE)*J14*L14</f>
        <v>0</v>
      </c>
      <c r="AL14" s="44">
        <f t="shared" si="14"/>
        <v>48369.867580393598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48369.867580393598</v>
      </c>
      <c r="AN14" s="48">
        <f t="shared" si="15"/>
        <v>53206.854338432961</v>
      </c>
      <c r="AO14" s="47">
        <f t="shared" si="16"/>
        <v>2.6801742611896211</v>
      </c>
      <c r="AP14" s="47">
        <f t="shared" si="17"/>
        <v>0.57354211459033744</v>
      </c>
      <c r="AQ14">
        <v>2021</v>
      </c>
    </row>
    <row r="15" spans="1:43" ht="13.5" customHeight="1">
      <c r="A15" s="57" t="s">
        <v>253</v>
      </c>
      <c r="B15" s="97" t="s">
        <v>141</v>
      </c>
      <c r="C15" s="98">
        <v>18230731</v>
      </c>
      <c r="D15" s="61" t="s">
        <v>142</v>
      </c>
      <c r="E15" s="38" t="s">
        <v>992</v>
      </c>
      <c r="F15" s="39" t="s">
        <v>993</v>
      </c>
      <c r="G15" s="39">
        <v>10</v>
      </c>
      <c r="H15" s="39"/>
      <c r="I15" s="40" t="s">
        <v>256</v>
      </c>
      <c r="J15" s="41">
        <v>1</v>
      </c>
      <c r="K15" s="41">
        <v>10745</v>
      </c>
      <c r="L15" s="41"/>
      <c r="M15" s="42">
        <v>42379</v>
      </c>
      <c r="N15" s="42">
        <v>96614</v>
      </c>
      <c r="O15" s="43">
        <v>10745</v>
      </c>
      <c r="P15" s="44">
        <v>42379</v>
      </c>
      <c r="Q15" s="44">
        <v>96614</v>
      </c>
      <c r="R15" s="45"/>
      <c r="S15" s="46"/>
      <c r="T15" s="39">
        <f t="shared" si="0"/>
        <v>10</v>
      </c>
      <c r="U15" s="47">
        <f t="shared" si="1"/>
        <v>0.14359910817536653</v>
      </c>
      <c r="V15" s="48">
        <f t="shared" si="2"/>
        <v>54235</v>
      </c>
      <c r="W15" s="49">
        <f t="shared" si="3"/>
        <v>1.4359910817536653E-2</v>
      </c>
      <c r="X15" s="44">
        <f t="shared" si="4"/>
        <v>11875.834360934523</v>
      </c>
      <c r="Y15" s="44">
        <f t="shared" si="5"/>
        <v>54235</v>
      </c>
      <c r="Z15" s="44">
        <f t="shared" si="6"/>
        <v>48854.018449311392</v>
      </c>
      <c r="AA15" s="50">
        <f t="shared" si="7"/>
        <v>108489.83436093452</v>
      </c>
      <c r="AB15" s="51">
        <f t="shared" si="8"/>
        <v>45670.766055259781</v>
      </c>
      <c r="AC15" s="44">
        <f t="shared" si="9"/>
        <v>101420.80430114472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6.7137963033615717</v>
      </c>
      <c r="AG15" s="44">
        <f t="shared" si="11"/>
        <v>72139.741279620095</v>
      </c>
      <c r="AH15" s="52">
        <f>HLOOKUP(I15,GasAvoidedCostsWOCC!$A$5:$Q$50,T15+1,FALSE)</f>
        <v>6.7137963033615717</v>
      </c>
      <c r="AI15" s="44">
        <f t="shared" si="12"/>
        <v>0</v>
      </c>
      <c r="AJ15" s="44">
        <f t="shared" si="13"/>
        <v>72139.741279620095</v>
      </c>
      <c r="AK15" s="44">
        <f>HLOOKUP(I15,GasAvoidedCostsWOCC!$A$5:$Q$50,G15+1,FALSE)*J15*L15</f>
        <v>0</v>
      </c>
      <c r="AL15" s="44">
        <f t="shared" si="14"/>
        <v>72139.741279620095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72139.741279620095</v>
      </c>
      <c r="AN15" s="48">
        <f t="shared" si="15"/>
        <v>79353.715407582116</v>
      </c>
      <c r="AO15" s="47">
        <f t="shared" si="16"/>
        <v>1.5795605703730462</v>
      </c>
      <c r="AP15" s="47">
        <f t="shared" si="17"/>
        <v>0.78242049009945058</v>
      </c>
      <c r="AQ15">
        <v>2021</v>
      </c>
    </row>
    <row r="16" spans="1:43" ht="13.5" customHeight="1">
      <c r="A16" s="54">
        <f>SUM(U5:U999)</f>
        <v>16.150254916816092</v>
      </c>
      <c r="B16" s="97" t="s">
        <v>141</v>
      </c>
      <c r="C16" s="98">
        <v>18230731</v>
      </c>
      <c r="D16" s="61" t="s">
        <v>142</v>
      </c>
      <c r="E16" s="38" t="s">
        <v>998</v>
      </c>
      <c r="F16" s="39" t="s">
        <v>999</v>
      </c>
      <c r="G16" s="39">
        <v>15</v>
      </c>
      <c r="H16" s="39"/>
      <c r="I16" s="40" t="s">
        <v>256</v>
      </c>
      <c r="J16" s="41">
        <v>1</v>
      </c>
      <c r="K16" s="41">
        <v>4236</v>
      </c>
      <c r="L16" s="41"/>
      <c r="M16" s="42">
        <v>29652</v>
      </c>
      <c r="N16" s="42">
        <v>74559</v>
      </c>
      <c r="O16" s="43">
        <v>4236</v>
      </c>
      <c r="P16" s="44">
        <v>29652</v>
      </c>
      <c r="Q16" s="44">
        <v>74559</v>
      </c>
      <c r="R16" s="45"/>
      <c r="S16" s="46"/>
      <c r="T16" s="39">
        <f t="shared" si="0"/>
        <v>15</v>
      </c>
      <c r="U16" s="47">
        <f t="shared" si="1"/>
        <v>8.4916587561310278E-2</v>
      </c>
      <c r="V16" s="48">
        <f t="shared" si="2"/>
        <v>44907</v>
      </c>
      <c r="W16" s="49">
        <f t="shared" si="3"/>
        <v>5.6611058374206854E-3</v>
      </c>
      <c r="X16" s="44">
        <f t="shared" si="4"/>
        <v>4681.8086880333776</v>
      </c>
      <c r="Y16" s="44">
        <f t="shared" si="5"/>
        <v>44907</v>
      </c>
      <c r="Z16" s="44">
        <f t="shared" si="6"/>
        <v>19259.71355526134</v>
      </c>
      <c r="AA16" s="50">
        <f t="shared" si="7"/>
        <v>79240.808688033372</v>
      </c>
      <c r="AB16" s="51">
        <f t="shared" si="8"/>
        <v>18004.780363897669</v>
      </c>
      <c r="AC16" s="44">
        <f t="shared" si="9"/>
        <v>74077.599970116265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9.6460139924167869</v>
      </c>
      <c r="AG16" s="44">
        <f t="shared" si="11"/>
        <v>40860.515271877506</v>
      </c>
      <c r="AH16" s="52">
        <f>HLOOKUP(I16,GasAvoidedCostsWOCC!$A$5:$Q$50,T16+1,FALSE)</f>
        <v>9.6460139924167869</v>
      </c>
      <c r="AI16" s="44">
        <f t="shared" si="12"/>
        <v>0</v>
      </c>
      <c r="AJ16" s="44">
        <f t="shared" si="13"/>
        <v>40860.515271877506</v>
      </c>
      <c r="AK16" s="44">
        <f>HLOOKUP(I16,GasAvoidedCostsWOCC!$A$5:$Q$50,G16+1,FALSE)*J16*L16</f>
        <v>0</v>
      </c>
      <c r="AL16" s="44">
        <f t="shared" si="14"/>
        <v>40860.515271877506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40860.515271877506</v>
      </c>
      <c r="AN16" s="48">
        <f t="shared" si="15"/>
        <v>44946.566799065258</v>
      </c>
      <c r="AO16" s="47">
        <f t="shared" si="16"/>
        <v>2.2694259216740611</v>
      </c>
      <c r="AP16" s="47">
        <f t="shared" si="17"/>
        <v>0.6067497707430749</v>
      </c>
      <c r="AQ16">
        <v>2021</v>
      </c>
    </row>
    <row r="17" spans="1:43" ht="13.5" customHeight="1">
      <c r="A17" s="58" t="s">
        <v>254</v>
      </c>
      <c r="B17" s="97" t="s">
        <v>141</v>
      </c>
      <c r="C17" s="98">
        <v>18230731</v>
      </c>
      <c r="D17" s="61" t="s">
        <v>142</v>
      </c>
      <c r="E17" s="38" t="s">
        <v>1006</v>
      </c>
      <c r="F17" s="39" t="s">
        <v>1007</v>
      </c>
      <c r="G17" s="39">
        <v>24</v>
      </c>
      <c r="H17" s="39"/>
      <c r="I17" s="40" t="s">
        <v>255</v>
      </c>
      <c r="J17" s="41">
        <v>1</v>
      </c>
      <c r="K17" s="41">
        <v>2485</v>
      </c>
      <c r="L17" s="41"/>
      <c r="M17" s="42">
        <v>12425</v>
      </c>
      <c r="N17" s="42">
        <v>53964</v>
      </c>
      <c r="O17" s="43">
        <v>2485</v>
      </c>
      <c r="P17" s="44">
        <v>12425</v>
      </c>
      <c r="Q17" s="44">
        <v>53964</v>
      </c>
      <c r="R17" s="45"/>
      <c r="S17" s="46"/>
      <c r="T17" s="39">
        <f t="shared" si="0"/>
        <v>24</v>
      </c>
      <c r="U17" s="47">
        <f t="shared" si="1"/>
        <v>7.9704521280398885E-2</v>
      </c>
      <c r="V17" s="48">
        <f t="shared" si="2"/>
        <v>41539</v>
      </c>
      <c r="W17" s="49">
        <f t="shared" si="3"/>
        <v>3.3210217200166201E-3</v>
      </c>
      <c r="X17" s="44">
        <f t="shared" si="4"/>
        <v>2746.5284678382773</v>
      </c>
      <c r="Y17" s="44">
        <f t="shared" si="5"/>
        <v>41539</v>
      </c>
      <c r="Z17" s="44">
        <f t="shared" si="6"/>
        <v>11298.48635146941</v>
      </c>
      <c r="AA17" s="50">
        <f t="shared" si="7"/>
        <v>56710.528467838274</v>
      </c>
      <c r="AB17" s="51">
        <f t="shared" si="8"/>
        <v>10562.29442971806</v>
      </c>
      <c r="AC17" s="44">
        <f t="shared" si="9"/>
        <v>53015.358014245365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15.156272556848696</v>
      </c>
      <c r="AG17" s="44">
        <f t="shared" si="11"/>
        <v>37663.337303769011</v>
      </c>
      <c r="AH17" s="52">
        <f>HLOOKUP(I17,GasAvoidedCostsWOCC!$A$5:$Q$50,T17+1,FALSE)</f>
        <v>15.156272556848696</v>
      </c>
      <c r="AI17" s="44">
        <f t="shared" si="12"/>
        <v>0</v>
      </c>
      <c r="AJ17" s="44">
        <f t="shared" si="13"/>
        <v>37663.337303769011</v>
      </c>
      <c r="AK17" s="44">
        <f>HLOOKUP(I17,GasAvoidedCostsWOCC!$A$5:$Q$50,G17+1,FALSE)*J17*L17</f>
        <v>0</v>
      </c>
      <c r="AL17" s="44">
        <f t="shared" si="14"/>
        <v>37663.337303769011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37663.337303769011</v>
      </c>
      <c r="AN17" s="48">
        <f t="shared" si="15"/>
        <v>41429.671034145918</v>
      </c>
      <c r="AO17" s="47">
        <f t="shared" si="16"/>
        <v>3.5658291438836893</v>
      </c>
      <c r="AP17" s="47">
        <f t="shared" si="17"/>
        <v>0.78146545804733902</v>
      </c>
      <c r="AQ17">
        <v>2021</v>
      </c>
    </row>
    <row r="18" spans="1:43" ht="13.5" customHeight="1">
      <c r="A18" s="59">
        <f>A6+A8</f>
        <v>3402111.5500000003</v>
      </c>
      <c r="B18" s="97" t="s">
        <v>141</v>
      </c>
      <c r="C18" s="98">
        <v>18230731</v>
      </c>
      <c r="D18" s="61" t="s">
        <v>142</v>
      </c>
      <c r="E18" s="38" t="s">
        <v>1006</v>
      </c>
      <c r="F18" s="39" t="s">
        <v>1007</v>
      </c>
      <c r="G18" s="39">
        <v>24</v>
      </c>
      <c r="H18" s="39"/>
      <c r="I18" s="40" t="s">
        <v>255</v>
      </c>
      <c r="J18" s="41">
        <v>1</v>
      </c>
      <c r="K18" s="41">
        <v>10798</v>
      </c>
      <c r="L18" s="41"/>
      <c r="M18" s="42">
        <v>47791</v>
      </c>
      <c r="N18" s="42">
        <v>187227</v>
      </c>
      <c r="O18" s="43">
        <v>10798</v>
      </c>
      <c r="P18" s="44">
        <v>47791</v>
      </c>
      <c r="Q18" s="44">
        <v>187227</v>
      </c>
      <c r="R18" s="45"/>
      <c r="S18" s="46"/>
      <c r="T18" s="39">
        <f t="shared" si="0"/>
        <v>24</v>
      </c>
      <c r="U18" s="47">
        <f t="shared" si="1"/>
        <v>0.34633779508480772</v>
      </c>
      <c r="V18" s="48">
        <f t="shared" si="2"/>
        <v>139436</v>
      </c>
      <c r="W18" s="49">
        <f t="shared" si="3"/>
        <v>1.4430741461866988E-2</v>
      </c>
      <c r="X18" s="44">
        <f t="shared" si="4"/>
        <v>11934.41223167715</v>
      </c>
      <c r="Y18" s="44">
        <f t="shared" si="5"/>
        <v>139436</v>
      </c>
      <c r="Z18" s="44">
        <f t="shared" si="6"/>
        <v>49094.992202481561</v>
      </c>
      <c r="AA18" s="50">
        <f t="shared" si="7"/>
        <v>199161.41223167715</v>
      </c>
      <c r="AB18" s="51">
        <f t="shared" si="8"/>
        <v>45896.038330823183</v>
      </c>
      <c r="AC18" s="44">
        <f t="shared" si="9"/>
        <v>186184.36218722738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15.156272556848696</v>
      </c>
      <c r="AG18" s="44">
        <f t="shared" si="11"/>
        <v>163657.43106885222</v>
      </c>
      <c r="AH18" s="52">
        <f>HLOOKUP(I18,GasAvoidedCostsWOCC!$A$5:$Q$50,T18+1,FALSE)</f>
        <v>15.156272556848696</v>
      </c>
      <c r="AI18" s="44">
        <f t="shared" si="12"/>
        <v>0</v>
      </c>
      <c r="AJ18" s="44">
        <f t="shared" si="13"/>
        <v>163657.43106885222</v>
      </c>
      <c r="AK18" s="44">
        <f>HLOOKUP(I18,GasAvoidedCostsWOCC!$A$5:$Q$50,G18+1,FALSE)*J18*L18</f>
        <v>0</v>
      </c>
      <c r="AL18" s="44">
        <f t="shared" si="14"/>
        <v>163657.43106885222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163657.43106885222</v>
      </c>
      <c r="AN18" s="48">
        <f t="shared" si="15"/>
        <v>180023.17417573745</v>
      </c>
      <c r="AO18" s="47">
        <f t="shared" si="16"/>
        <v>3.5658291438836893</v>
      </c>
      <c r="AP18" s="47">
        <f t="shared" si="17"/>
        <v>0.9669081337492017</v>
      </c>
      <c r="AQ18">
        <v>2021</v>
      </c>
    </row>
    <row r="19" spans="1:43" ht="13.5" customHeight="1">
      <c r="A19" s="58" t="s">
        <v>231</v>
      </c>
      <c r="B19" s="97" t="s">
        <v>141</v>
      </c>
      <c r="C19" s="98">
        <v>18230731</v>
      </c>
      <c r="D19" s="61" t="s">
        <v>142</v>
      </c>
      <c r="E19" s="38" t="s">
        <v>1006</v>
      </c>
      <c r="F19" s="39" t="s">
        <v>1007</v>
      </c>
      <c r="G19" s="39">
        <v>24</v>
      </c>
      <c r="H19" s="39"/>
      <c r="I19" s="40" t="s">
        <v>255</v>
      </c>
      <c r="J19" s="41">
        <v>1</v>
      </c>
      <c r="K19" s="41">
        <v>5391</v>
      </c>
      <c r="L19" s="41"/>
      <c r="M19" s="42">
        <v>26955</v>
      </c>
      <c r="N19" s="42">
        <v>67726</v>
      </c>
      <c r="O19" s="43">
        <v>5391</v>
      </c>
      <c r="P19" s="44">
        <v>26955</v>
      </c>
      <c r="Q19" s="44">
        <v>67726</v>
      </c>
      <c r="R19" s="45"/>
      <c r="S19" s="46"/>
      <c r="T19" s="39">
        <f t="shared" si="0"/>
        <v>24</v>
      </c>
      <c r="U19" s="47">
        <f t="shared" si="1"/>
        <v>0.17291230351011283</v>
      </c>
      <c r="V19" s="48">
        <f t="shared" si="2"/>
        <v>40771</v>
      </c>
      <c r="W19" s="49">
        <f t="shared" si="3"/>
        <v>7.2046793129213679E-3</v>
      </c>
      <c r="X19" s="44">
        <f t="shared" si="4"/>
        <v>5958.3641730849713</v>
      </c>
      <c r="Y19" s="44">
        <f t="shared" si="5"/>
        <v>40771</v>
      </c>
      <c r="Z19" s="44">
        <f t="shared" si="6"/>
        <v>24511.12270453585</v>
      </c>
      <c r="AA19" s="50">
        <f t="shared" si="7"/>
        <v>73684.364173084978</v>
      </c>
      <c r="AB19" s="51">
        <f t="shared" si="8"/>
        <v>22914.015803062397</v>
      </c>
      <c r="AC19" s="44">
        <f t="shared" si="9"/>
        <v>68883.204798621082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15.156272556848696</v>
      </c>
      <c r="AG19" s="44">
        <f t="shared" si="11"/>
        <v>81707.465353971318</v>
      </c>
      <c r="AH19" s="52">
        <f>HLOOKUP(I19,GasAvoidedCostsWOCC!$A$5:$Q$50,T19+1,FALSE)</f>
        <v>15.156272556848696</v>
      </c>
      <c r="AI19" s="44">
        <f t="shared" si="12"/>
        <v>0</v>
      </c>
      <c r="AJ19" s="44">
        <f t="shared" si="13"/>
        <v>81707.465353971318</v>
      </c>
      <c r="AK19" s="44">
        <f>HLOOKUP(I19,GasAvoidedCostsWOCC!$A$5:$Q$50,G19+1,FALSE)*J19*L19</f>
        <v>0</v>
      </c>
      <c r="AL19" s="44">
        <f t="shared" si="14"/>
        <v>81707.465353971318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81707.465353971318</v>
      </c>
      <c r="AN19" s="48">
        <f t="shared" si="15"/>
        <v>89878.211889368453</v>
      </c>
      <c r="AO19" s="47">
        <f t="shared" si="16"/>
        <v>3.5658291438836893</v>
      </c>
      <c r="AP19" s="47">
        <f t="shared" si="17"/>
        <v>1.3047913806003355</v>
      </c>
      <c r="AQ19">
        <v>2021</v>
      </c>
    </row>
    <row r="20" spans="1:43" ht="13.5" customHeight="1">
      <c r="A20" s="59">
        <f>A8+SUM(Q5:Q906)</f>
        <v>7094176.1699999999</v>
      </c>
      <c r="B20" s="97" t="s">
        <v>141</v>
      </c>
      <c r="C20" s="98">
        <v>18230731</v>
      </c>
      <c r="D20" s="61" t="s">
        <v>142</v>
      </c>
      <c r="E20" s="38" t="s">
        <v>1006</v>
      </c>
      <c r="F20" s="39" t="s">
        <v>1007</v>
      </c>
      <c r="G20" s="39">
        <v>24</v>
      </c>
      <c r="H20" s="39"/>
      <c r="I20" s="40" t="s">
        <v>255</v>
      </c>
      <c r="J20" s="41">
        <v>1</v>
      </c>
      <c r="K20" s="41">
        <v>3919</v>
      </c>
      <c r="L20" s="41"/>
      <c r="M20" s="42">
        <v>19595</v>
      </c>
      <c r="N20" s="42">
        <v>42871</v>
      </c>
      <c r="O20" s="43">
        <v>3919</v>
      </c>
      <c r="P20" s="44">
        <v>19595</v>
      </c>
      <c r="Q20" s="44">
        <v>42871</v>
      </c>
      <c r="R20" s="45"/>
      <c r="S20" s="46"/>
      <c r="T20" s="39">
        <f t="shared" si="0"/>
        <v>24</v>
      </c>
      <c r="U20" s="47">
        <f t="shared" si="1"/>
        <v>0.12569900156856467</v>
      </c>
      <c r="V20" s="48">
        <f t="shared" si="2"/>
        <v>23276</v>
      </c>
      <c r="W20" s="49">
        <f t="shared" si="3"/>
        <v>5.237458398690195E-3</v>
      </c>
      <c r="X20" s="44">
        <f t="shared" si="4"/>
        <v>4331.4467064218143</v>
      </c>
      <c r="Y20" s="44">
        <f t="shared" si="5"/>
        <v>23276</v>
      </c>
      <c r="Z20" s="44">
        <f t="shared" si="6"/>
        <v>17818.417710828417</v>
      </c>
      <c r="AA20" s="50">
        <f t="shared" si="7"/>
        <v>47202.446706421812</v>
      </c>
      <c r="AB20" s="51">
        <f t="shared" si="8"/>
        <v>16657.397130810896</v>
      </c>
      <c r="AC20" s="44">
        <f t="shared" si="9"/>
        <v>44126.808176518469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15.156272556848696</v>
      </c>
      <c r="AG20" s="44">
        <f t="shared" si="11"/>
        <v>59397.432150290042</v>
      </c>
      <c r="AH20" s="52">
        <f>HLOOKUP(I20,GasAvoidedCostsWOCC!$A$5:$Q$50,T20+1,FALSE)</f>
        <v>15.156272556848696</v>
      </c>
      <c r="AI20" s="44">
        <f t="shared" si="12"/>
        <v>0</v>
      </c>
      <c r="AJ20" s="44">
        <f t="shared" si="13"/>
        <v>59397.432150290042</v>
      </c>
      <c r="AK20" s="44">
        <f>HLOOKUP(I20,GasAvoidedCostsWOCC!$A$5:$Q$50,G20+1,FALSE)*J20*L20</f>
        <v>0</v>
      </c>
      <c r="AL20" s="44">
        <f t="shared" si="14"/>
        <v>59397.432150290042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59397.432150290042</v>
      </c>
      <c r="AN20" s="48">
        <f t="shared" si="15"/>
        <v>65337.175365319054</v>
      </c>
      <c r="AO20" s="47">
        <f t="shared" si="16"/>
        <v>3.5658291438836893</v>
      </c>
      <c r="AP20" s="47">
        <f t="shared" si="17"/>
        <v>1.4806685111679438</v>
      </c>
      <c r="AQ20">
        <v>2021</v>
      </c>
    </row>
    <row r="21" spans="1:43" ht="13.5" customHeight="1">
      <c r="A21" s="58" t="s">
        <v>245</v>
      </c>
      <c r="B21" s="97" t="s">
        <v>141</v>
      </c>
      <c r="C21" s="98">
        <v>18230731</v>
      </c>
      <c r="D21" s="61" t="s">
        <v>142</v>
      </c>
      <c r="E21" s="38" t="s">
        <v>1008</v>
      </c>
      <c r="F21" s="39" t="s">
        <v>1009</v>
      </c>
      <c r="G21" s="39">
        <v>30</v>
      </c>
      <c r="H21" s="39"/>
      <c r="I21" s="40" t="s">
        <v>255</v>
      </c>
      <c r="J21" s="41">
        <v>1</v>
      </c>
      <c r="K21" s="41">
        <v>6000</v>
      </c>
      <c r="L21" s="41"/>
      <c r="M21" s="42">
        <v>30000</v>
      </c>
      <c r="N21" s="42">
        <v>95197</v>
      </c>
      <c r="O21" s="43">
        <v>6000</v>
      </c>
      <c r="P21" s="44">
        <v>30000</v>
      </c>
      <c r="Q21" s="44">
        <v>95197</v>
      </c>
      <c r="R21" s="45"/>
      <c r="S21" s="46"/>
      <c r="T21" s="39">
        <f t="shared" si="0"/>
        <v>30</v>
      </c>
      <c r="U21" s="47">
        <f t="shared" si="1"/>
        <v>0.24055690527283366</v>
      </c>
      <c r="V21" s="48">
        <f t="shared" si="2"/>
        <v>65197</v>
      </c>
      <c r="W21" s="49">
        <f t="shared" si="3"/>
        <v>8.0185635090944552E-3</v>
      </c>
      <c r="X21" s="44">
        <f t="shared" si="4"/>
        <v>6631.4570652030843</v>
      </c>
      <c r="Y21" s="44">
        <f t="shared" si="5"/>
        <v>65197</v>
      </c>
      <c r="Z21" s="44">
        <f t="shared" si="6"/>
        <v>27280.047528698778</v>
      </c>
      <c r="AA21" s="50">
        <f t="shared" si="7"/>
        <v>101828.45706520308</v>
      </c>
      <c r="AB21" s="51">
        <f t="shared" si="8"/>
        <v>25502.521761894714</v>
      </c>
      <c r="AC21" s="44">
        <f t="shared" si="9"/>
        <v>95193.472062450281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18.070867952017871</v>
      </c>
      <c r="AG21" s="44">
        <f t="shared" si="11"/>
        <v>108425.20771210722</v>
      </c>
      <c r="AH21" s="52">
        <f>HLOOKUP(I21,GasAvoidedCostsWOCC!$A$5:$Q$50,T21+1,FALSE)</f>
        <v>18.070867952017871</v>
      </c>
      <c r="AI21" s="44">
        <f t="shared" si="12"/>
        <v>0</v>
      </c>
      <c r="AJ21" s="44">
        <f t="shared" si="13"/>
        <v>108425.20771210722</v>
      </c>
      <c r="AK21" s="44">
        <f>HLOOKUP(I21,GasAvoidedCostsWOCC!$A$5:$Q$50,G21+1,FALSE)*J21*L21</f>
        <v>0</v>
      </c>
      <c r="AL21" s="44">
        <f t="shared" si="14"/>
        <v>108425.20771210722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108425.20771210722</v>
      </c>
      <c r="AN21" s="48">
        <f t="shared" si="15"/>
        <v>119267.72848331796</v>
      </c>
      <c r="AO21" s="47">
        <f t="shared" si="16"/>
        <v>4.2515484831038828</v>
      </c>
      <c r="AP21" s="47">
        <f t="shared" si="17"/>
        <v>1.2528981861810242</v>
      </c>
      <c r="AQ21">
        <v>2021</v>
      </c>
    </row>
    <row r="22" spans="1:43" ht="13.5" customHeight="1">
      <c r="A22" s="60">
        <f>(SUM(AM5:AM1000)/(SUM(AB5:AB1000)))</f>
        <v>2.5289044756534165</v>
      </c>
      <c r="B22" s="97" t="s">
        <v>141</v>
      </c>
      <c r="C22" s="98">
        <v>18230731</v>
      </c>
      <c r="D22" s="61" t="s">
        <v>142</v>
      </c>
      <c r="E22" s="38" t="s">
        <v>1010</v>
      </c>
      <c r="F22" s="39" t="s">
        <v>1011</v>
      </c>
      <c r="G22" s="39">
        <v>15</v>
      </c>
      <c r="H22" s="39"/>
      <c r="I22" s="40" t="s">
        <v>256</v>
      </c>
      <c r="J22" s="41">
        <v>1</v>
      </c>
      <c r="K22" s="41">
        <v>7064</v>
      </c>
      <c r="L22" s="41"/>
      <c r="M22" s="42">
        <v>9611</v>
      </c>
      <c r="N22" s="42">
        <v>15199.33</v>
      </c>
      <c r="O22" s="43">
        <v>7064</v>
      </c>
      <c r="P22" s="44">
        <v>9611</v>
      </c>
      <c r="Q22" s="44">
        <v>15199.33</v>
      </c>
      <c r="R22" s="45"/>
      <c r="S22" s="46"/>
      <c r="T22" s="39">
        <f t="shared" si="0"/>
        <v>15</v>
      </c>
      <c r="U22" s="47">
        <f t="shared" si="1"/>
        <v>0.14160783157060808</v>
      </c>
      <c r="V22" s="48">
        <f t="shared" si="2"/>
        <v>5588.33</v>
      </c>
      <c r="W22" s="49">
        <f t="shared" si="3"/>
        <v>9.4405221047072045E-3</v>
      </c>
      <c r="X22" s="44">
        <f t="shared" si="4"/>
        <v>7807.4354514324305</v>
      </c>
      <c r="Y22" s="44">
        <f t="shared" si="5"/>
        <v>5588.33</v>
      </c>
      <c r="Z22" s="44">
        <f t="shared" si="6"/>
        <v>32117.709290454692</v>
      </c>
      <c r="AA22" s="50">
        <f t="shared" si="7"/>
        <v>23006.765451432431</v>
      </c>
      <c r="AB22" s="51">
        <f t="shared" si="8"/>
        <v>30024.968954337375</v>
      </c>
      <c r="AC22" s="44">
        <f t="shared" si="9"/>
        <v>21507.680145304694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9.6460139924167869</v>
      </c>
      <c r="AG22" s="44">
        <f t="shared" si="11"/>
        <v>68139.442842432181</v>
      </c>
      <c r="AH22" s="52">
        <f>HLOOKUP(I22,GasAvoidedCostsWOCC!$A$5:$Q$50,T22+1,FALSE)</f>
        <v>9.6460139924167869</v>
      </c>
      <c r="AI22" s="44">
        <f t="shared" si="12"/>
        <v>0</v>
      </c>
      <c r="AJ22" s="44">
        <f t="shared" si="13"/>
        <v>68139.442842432181</v>
      </c>
      <c r="AK22" s="44">
        <f>HLOOKUP(I22,GasAvoidedCostsWOCC!$A$5:$Q$50,G22+1,FALSE)*J22*L22</f>
        <v>0</v>
      </c>
      <c r="AL22" s="44">
        <f t="shared" si="14"/>
        <v>68139.442842432181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68139.442842432181</v>
      </c>
      <c r="AN22" s="48">
        <f t="shared" si="15"/>
        <v>74953.387126675399</v>
      </c>
      <c r="AO22" s="47">
        <f t="shared" si="16"/>
        <v>2.2694259216740615</v>
      </c>
      <c r="AP22" s="47">
        <f t="shared" si="17"/>
        <v>3.4849591690175079</v>
      </c>
      <c r="AQ22">
        <v>2021</v>
      </c>
    </row>
    <row r="23" spans="1:43" ht="13.5" customHeight="1">
      <c r="A23" s="58" t="s">
        <v>246</v>
      </c>
      <c r="B23" s="97" t="s">
        <v>141</v>
      </c>
      <c r="C23" s="98">
        <v>18230731</v>
      </c>
      <c r="D23" s="61" t="s">
        <v>142</v>
      </c>
      <c r="E23" s="38" t="s">
        <v>1010</v>
      </c>
      <c r="F23" s="39" t="s">
        <v>1011</v>
      </c>
      <c r="G23" s="39">
        <v>15</v>
      </c>
      <c r="H23" s="39"/>
      <c r="I23" s="40" t="s">
        <v>256</v>
      </c>
      <c r="J23" s="41">
        <v>1</v>
      </c>
      <c r="K23" s="41">
        <v>4706</v>
      </c>
      <c r="L23" s="41"/>
      <c r="M23" s="42">
        <v>3499</v>
      </c>
      <c r="N23" s="42">
        <v>5438.5</v>
      </c>
      <c r="O23" s="43">
        <v>4706</v>
      </c>
      <c r="P23" s="44">
        <v>3499</v>
      </c>
      <c r="Q23" s="44">
        <v>5438.5</v>
      </c>
      <c r="R23" s="45"/>
      <c r="S23" s="46"/>
      <c r="T23" s="39">
        <f t="shared" si="0"/>
        <v>15</v>
      </c>
      <c r="U23" s="47">
        <f t="shared" si="1"/>
        <v>9.4338399684496255E-2</v>
      </c>
      <c r="V23" s="48">
        <f t="shared" si="2"/>
        <v>1939.5</v>
      </c>
      <c r="W23" s="49">
        <f t="shared" si="3"/>
        <v>6.2892266456330836E-3</v>
      </c>
      <c r="X23" s="44">
        <f t="shared" si="4"/>
        <v>5201.2728248076182</v>
      </c>
      <c r="Y23" s="44">
        <f t="shared" si="5"/>
        <v>1939.5</v>
      </c>
      <c r="Z23" s="44">
        <f t="shared" si="6"/>
        <v>21396.650611676072</v>
      </c>
      <c r="AA23" s="50">
        <f t="shared" si="7"/>
        <v>10639.772824807618</v>
      </c>
      <c r="AB23" s="51">
        <f t="shared" si="8"/>
        <v>20002.477901912753</v>
      </c>
      <c r="AC23" s="44">
        <f t="shared" si="9"/>
        <v>9946.5016591638941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9.6460139924167869</v>
      </c>
      <c r="AG23" s="44">
        <f t="shared" si="11"/>
        <v>45394.141848313397</v>
      </c>
      <c r="AH23" s="52">
        <f>HLOOKUP(I23,GasAvoidedCostsWOCC!$A$5:$Q$50,T23+1,FALSE)</f>
        <v>9.6460139924167869</v>
      </c>
      <c r="AI23" s="44">
        <f t="shared" si="12"/>
        <v>0</v>
      </c>
      <c r="AJ23" s="44">
        <f t="shared" si="13"/>
        <v>45394.141848313397</v>
      </c>
      <c r="AK23" s="44">
        <f>HLOOKUP(I23,GasAvoidedCostsWOCC!$A$5:$Q$50,G23+1,FALSE)*J23*L23</f>
        <v>0</v>
      </c>
      <c r="AL23" s="44">
        <f t="shared" si="14"/>
        <v>45394.141848313397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45394.141848313397</v>
      </c>
      <c r="AN23" s="48">
        <f t="shared" si="15"/>
        <v>49933.556033144741</v>
      </c>
      <c r="AO23" s="47">
        <f t="shared" si="16"/>
        <v>2.2694259216740615</v>
      </c>
      <c r="AP23" s="47">
        <f t="shared" si="17"/>
        <v>5.0202129094444015</v>
      </c>
      <c r="AQ23">
        <v>2021</v>
      </c>
    </row>
    <row r="24" spans="1:43" ht="13.5" customHeight="1">
      <c r="A24" s="60">
        <f>(SUM(AN5:AN1000)/SUM(AC5:AC1000))</f>
        <v>1.3340487198549371</v>
      </c>
      <c r="B24" s="97" t="s">
        <v>141</v>
      </c>
      <c r="C24" s="98">
        <v>18230731</v>
      </c>
      <c r="D24" s="61" t="s">
        <v>142</v>
      </c>
      <c r="E24" s="38" t="s">
        <v>1012</v>
      </c>
      <c r="F24" s="39" t="s">
        <v>1013</v>
      </c>
      <c r="G24" s="39">
        <v>20</v>
      </c>
      <c r="H24" s="39"/>
      <c r="I24" s="40" t="s">
        <v>256</v>
      </c>
      <c r="J24" s="41">
        <v>1</v>
      </c>
      <c r="K24" s="41">
        <v>28499</v>
      </c>
      <c r="L24" s="41"/>
      <c r="M24" s="42">
        <v>86987</v>
      </c>
      <c r="N24" s="42">
        <v>152804.04</v>
      </c>
      <c r="O24" s="43">
        <v>28499</v>
      </c>
      <c r="P24" s="44">
        <v>86987</v>
      </c>
      <c r="Q24" s="44">
        <v>152804.04</v>
      </c>
      <c r="R24" s="45"/>
      <c r="S24" s="46"/>
      <c r="T24" s="39">
        <f t="shared" si="0"/>
        <v>20</v>
      </c>
      <c r="U24" s="47">
        <f t="shared" si="1"/>
        <v>0.76173680481894279</v>
      </c>
      <c r="V24" s="48">
        <f t="shared" si="2"/>
        <v>65817.040000000008</v>
      </c>
      <c r="W24" s="49">
        <f t="shared" si="3"/>
        <v>3.8086840240947141E-2</v>
      </c>
      <c r="X24" s="44">
        <f t="shared" si="4"/>
        <v>31498.315816870447</v>
      </c>
      <c r="Y24" s="44">
        <f t="shared" si="5"/>
        <v>65817.040000000008</v>
      </c>
      <c r="Z24" s="44">
        <f t="shared" si="6"/>
        <v>129575.67908673108</v>
      </c>
      <c r="AA24" s="50">
        <f t="shared" si="7"/>
        <v>184302.35581687046</v>
      </c>
      <c r="AB24" s="51">
        <f t="shared" si="8"/>
        <v>121132.72794870625</v>
      </c>
      <c r="AC24" s="44">
        <f t="shared" si="9"/>
        <v>172293.49894070343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12.452380783934862</v>
      </c>
      <c r="AG24" s="44">
        <f t="shared" si="11"/>
        <v>354880.39996135962</v>
      </c>
      <c r="AH24" s="52">
        <f>HLOOKUP(I24,GasAvoidedCostsWOCC!$A$5:$Q$50,T24+1,FALSE)</f>
        <v>12.452380783934862</v>
      </c>
      <c r="AI24" s="44">
        <f t="shared" si="12"/>
        <v>0</v>
      </c>
      <c r="AJ24" s="44">
        <f t="shared" si="13"/>
        <v>354880.39996135962</v>
      </c>
      <c r="AK24" s="44">
        <f>HLOOKUP(I24,GasAvoidedCostsWOCC!$A$5:$Q$50,G24+1,FALSE)*J24*L24</f>
        <v>0</v>
      </c>
      <c r="AL24" s="44">
        <f t="shared" si="14"/>
        <v>354880.39996135962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354880.39996135962</v>
      </c>
      <c r="AN24" s="48">
        <f t="shared" si="15"/>
        <v>390368.4399574956</v>
      </c>
      <c r="AO24" s="47">
        <f t="shared" si="16"/>
        <v>2.9296822252003936</v>
      </c>
      <c r="AP24" s="47">
        <f t="shared" si="17"/>
        <v>2.2657177569528892</v>
      </c>
      <c r="AQ24">
        <v>2021</v>
      </c>
    </row>
    <row r="25" spans="1:43" ht="13.5" customHeight="1">
      <c r="B25" s="97" t="s">
        <v>141</v>
      </c>
      <c r="C25" s="98">
        <v>18230731</v>
      </c>
      <c r="D25" s="61" t="s">
        <v>142</v>
      </c>
      <c r="E25" s="38" t="s">
        <v>1012</v>
      </c>
      <c r="F25" s="39" t="s">
        <v>1013</v>
      </c>
      <c r="G25" s="39">
        <v>20</v>
      </c>
      <c r="H25" s="39"/>
      <c r="I25" s="40" t="s">
        <v>256</v>
      </c>
      <c r="J25" s="41">
        <v>1</v>
      </c>
      <c r="K25" s="41">
        <v>31247</v>
      </c>
      <c r="L25" s="41"/>
      <c r="M25" s="42">
        <v>181887</v>
      </c>
      <c r="N25" s="42">
        <v>203688</v>
      </c>
      <c r="O25" s="43">
        <v>31247</v>
      </c>
      <c r="P25" s="44">
        <v>181887</v>
      </c>
      <c r="Q25" s="44">
        <v>203688</v>
      </c>
      <c r="R25" s="45"/>
      <c r="S25" s="46"/>
      <c r="T25" s="39">
        <f t="shared" ref="T25:T55" si="19">G25+H25</f>
        <v>20</v>
      </c>
      <c r="U25" s="47">
        <f t="shared" ref="U25:U55" si="20">(O25/$A$10)*T25</f>
        <v>0.83518684656224806</v>
      </c>
      <c r="V25" s="48">
        <f t="shared" ref="V25:V55" si="21">N25-M25</f>
        <v>21801</v>
      </c>
      <c r="W25" s="49">
        <f t="shared" ref="W25:W55" si="22">(O25/A$10)</f>
        <v>4.1759342328112403E-2</v>
      </c>
      <c r="X25" s="44">
        <f t="shared" ref="X25:X55" si="23">W25*A$8</f>
        <v>34535.523152733462</v>
      </c>
      <c r="Y25" s="44">
        <f t="shared" ref="Y25:Y55" si="24">Q25-P25</f>
        <v>21801</v>
      </c>
      <c r="Z25" s="44">
        <f t="shared" ref="Z25:Z55" si="25">X25+(A$6*W25)</f>
        <v>142069.94085487511</v>
      </c>
      <c r="AA25" s="50">
        <f t="shared" ref="AA25:AA55" si="26">Q25+X25</f>
        <v>238223.52315273345</v>
      </c>
      <c r="AB25" s="51">
        <f t="shared" ref="AB25:AB55" si="27">Z25/(1+GasDiscountRate)^1</f>
        <v>132812.88291565402</v>
      </c>
      <c r="AC25" s="44">
        <f t="shared" ref="AC25:AC55" si="28">AA25/(1+GasDiscountRate)^1</f>
        <v>222701.2462865602</v>
      </c>
      <c r="AD25" s="44">
        <f t="shared" ref="AD25:AD55" si="29">-PV(GasDiscountRate,T25,R25)*J25</f>
        <v>0</v>
      </c>
      <c r="AE25" s="44">
        <f t="shared" ref="AE25:AE55" si="30">-PV(GasDiscountRate,T25,S25)*J25</f>
        <v>0</v>
      </c>
      <c r="AF25" s="52">
        <f>HLOOKUP(I25,GasAvoidedCostsWOCC!$A$5:$G$50,G25+1,FALSE)</f>
        <v>12.452380783934862</v>
      </c>
      <c r="AG25" s="44">
        <f t="shared" ref="AG25:AG55" si="31">AF25*J25*K25</f>
        <v>389099.54235561262</v>
      </c>
      <c r="AH25" s="52">
        <f>HLOOKUP(I25,GasAvoidedCostsWOCC!$A$5:$Q$50,T25+1,FALSE)</f>
        <v>12.452380783934862</v>
      </c>
      <c r="AI25" s="44">
        <f t="shared" ref="AI25:AI55" si="32">AH25*J25*L25</f>
        <v>0</v>
      </c>
      <c r="AJ25" s="44">
        <f t="shared" ref="AJ25:AJ55" si="33">AG25+AI25</f>
        <v>389099.54235561262</v>
      </c>
      <c r="AK25" s="44">
        <f>HLOOKUP(I25,GasAvoidedCostsWOCC!$A$5:$Q$50,G25+1,FALSE)*J25*L25</f>
        <v>0</v>
      </c>
      <c r="AL25" s="44">
        <f t="shared" ref="AL25:AL55" si="34">AG25+AI25-AK25</f>
        <v>389099.54235561262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389099.54235561262</v>
      </c>
      <c r="AN25" s="48">
        <f t="shared" ref="AN25:AN55" si="35">AM25*1.1+AD25+AE25</f>
        <v>428009.49659117393</v>
      </c>
      <c r="AO25" s="47">
        <f t="shared" ref="AO25:AO55" si="36">IFERROR(AM25/AB25,0)</f>
        <v>2.9296822252003936</v>
      </c>
      <c r="AP25" s="47">
        <f t="shared" ref="AP25:AP55" si="37">AN25/AC25</f>
        <v>1.9218998713659372</v>
      </c>
      <c r="AQ25">
        <v>2021</v>
      </c>
    </row>
    <row r="26" spans="1:43" ht="13.5" customHeight="1">
      <c r="B26" s="97" t="s">
        <v>141</v>
      </c>
      <c r="C26" s="98">
        <v>18230731</v>
      </c>
      <c r="D26" s="61" t="s">
        <v>142</v>
      </c>
      <c r="E26" s="38" t="s">
        <v>1012</v>
      </c>
      <c r="F26" s="39" t="s">
        <v>1013</v>
      </c>
      <c r="G26" s="39">
        <v>20</v>
      </c>
      <c r="H26" s="39"/>
      <c r="I26" s="40" t="s">
        <v>256</v>
      </c>
      <c r="J26" s="41">
        <v>1</v>
      </c>
      <c r="K26" s="41">
        <v>22446</v>
      </c>
      <c r="L26" s="41"/>
      <c r="M26" s="42">
        <v>43885</v>
      </c>
      <c r="N26" s="42">
        <v>98840</v>
      </c>
      <c r="O26" s="43">
        <v>22446</v>
      </c>
      <c r="P26" s="44">
        <v>43885</v>
      </c>
      <c r="Q26" s="44">
        <v>98840</v>
      </c>
      <c r="R26" s="45"/>
      <c r="S26" s="46"/>
      <c r="T26" s="39">
        <f t="shared" si="19"/>
        <v>20</v>
      </c>
      <c r="U26" s="47">
        <f t="shared" si="20"/>
        <v>0.59994892175044712</v>
      </c>
      <c r="V26" s="48">
        <f t="shared" si="21"/>
        <v>54955</v>
      </c>
      <c r="W26" s="49">
        <f t="shared" si="22"/>
        <v>2.9997446087522354E-2</v>
      </c>
      <c r="X26" s="44">
        <f t="shared" si="23"/>
        <v>24808.280880924736</v>
      </c>
      <c r="Y26" s="44">
        <f t="shared" si="24"/>
        <v>54955</v>
      </c>
      <c r="Z26" s="44">
        <f t="shared" si="25"/>
        <v>102054.65780486212</v>
      </c>
      <c r="AA26" s="50">
        <f t="shared" si="26"/>
        <v>123648.28088092474</v>
      </c>
      <c r="AB26" s="51">
        <f t="shared" si="27"/>
        <v>95404.93391124811</v>
      </c>
      <c r="AC26" s="44">
        <f t="shared" si="28"/>
        <v>115591.54985596403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12.452380783934862</v>
      </c>
      <c r="AG26" s="44">
        <f t="shared" si="31"/>
        <v>279506.13907620189</v>
      </c>
      <c r="AH26" s="52">
        <f>HLOOKUP(I26,GasAvoidedCostsWOCC!$A$5:$Q$50,T26+1,FALSE)</f>
        <v>12.452380783934862</v>
      </c>
      <c r="AI26" s="44">
        <f t="shared" si="32"/>
        <v>0</v>
      </c>
      <c r="AJ26" s="44">
        <f t="shared" si="33"/>
        <v>279506.13907620189</v>
      </c>
      <c r="AK26" s="44">
        <f>HLOOKUP(I26,GasAvoidedCostsWOCC!$A$5:$Q$50,G26+1,FALSE)*J26*L26</f>
        <v>0</v>
      </c>
      <c r="AL26" s="44">
        <f t="shared" si="34"/>
        <v>279506.13907620189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279506.13907620189</v>
      </c>
      <c r="AN26" s="48">
        <f t="shared" si="35"/>
        <v>307456.75298382208</v>
      </c>
      <c r="AO26" s="47">
        <f t="shared" si="36"/>
        <v>2.929682225200394</v>
      </c>
      <c r="AP26" s="47">
        <f t="shared" si="37"/>
        <v>2.6598549233653919</v>
      </c>
      <c r="AQ26">
        <v>2021</v>
      </c>
    </row>
    <row r="27" spans="1:43" ht="13.5" customHeight="1">
      <c r="B27" s="97" t="s">
        <v>141</v>
      </c>
      <c r="C27" s="98">
        <v>18230731</v>
      </c>
      <c r="D27" s="61" t="s">
        <v>142</v>
      </c>
      <c r="E27" s="38" t="s">
        <v>1014</v>
      </c>
      <c r="F27" s="39" t="s">
        <v>1015</v>
      </c>
      <c r="G27" s="39">
        <v>10</v>
      </c>
      <c r="H27" s="39"/>
      <c r="I27" s="40" t="s">
        <v>256</v>
      </c>
      <c r="J27" s="41">
        <v>1</v>
      </c>
      <c r="K27" s="41">
        <v>3545</v>
      </c>
      <c r="L27" s="41"/>
      <c r="M27" s="42">
        <v>16596</v>
      </c>
      <c r="N27" s="42">
        <v>29190</v>
      </c>
      <c r="O27" s="43">
        <v>3545</v>
      </c>
      <c r="P27" s="44">
        <v>16596</v>
      </c>
      <c r="Q27" s="44">
        <v>29190</v>
      </c>
      <c r="R27" s="45"/>
      <c r="S27" s="46"/>
      <c r="T27" s="39">
        <f t="shared" si="19"/>
        <v>10</v>
      </c>
      <c r="U27" s="47">
        <f t="shared" si="20"/>
        <v>4.7376346066233074E-2</v>
      </c>
      <c r="V27" s="48">
        <f t="shared" si="21"/>
        <v>12594</v>
      </c>
      <c r="W27" s="49">
        <f t="shared" si="22"/>
        <v>4.7376346066233073E-3</v>
      </c>
      <c r="X27" s="44">
        <f t="shared" si="23"/>
        <v>3918.0858826908225</v>
      </c>
      <c r="Y27" s="44">
        <f t="shared" si="24"/>
        <v>12594</v>
      </c>
      <c r="Z27" s="44">
        <f t="shared" si="25"/>
        <v>16117.961414872861</v>
      </c>
      <c r="AA27" s="50">
        <f t="shared" si="26"/>
        <v>33108.085882690822</v>
      </c>
      <c r="AB27" s="51">
        <f t="shared" si="27"/>
        <v>15067.739940986126</v>
      </c>
      <c r="AC27" s="44">
        <f t="shared" si="28"/>
        <v>30950.814137319641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6.7137963033615717</v>
      </c>
      <c r="AG27" s="44">
        <f t="shared" si="31"/>
        <v>23800.407895416771</v>
      </c>
      <c r="AH27" s="52">
        <f>HLOOKUP(I27,GasAvoidedCostsWOCC!$A$5:$Q$50,T27+1,FALSE)</f>
        <v>6.7137963033615717</v>
      </c>
      <c r="AI27" s="44">
        <f t="shared" si="32"/>
        <v>0</v>
      </c>
      <c r="AJ27" s="44">
        <f t="shared" si="33"/>
        <v>23800.407895416771</v>
      </c>
      <c r="AK27" s="44">
        <f>HLOOKUP(I27,GasAvoidedCostsWOCC!$A$5:$Q$50,G27+1,FALSE)*J27*L27</f>
        <v>0</v>
      </c>
      <c r="AL27" s="44">
        <f t="shared" si="34"/>
        <v>23800.407895416771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23800.407895416771</v>
      </c>
      <c r="AN27" s="48">
        <f t="shared" si="35"/>
        <v>26180.44868495845</v>
      </c>
      <c r="AO27" s="47">
        <f t="shared" si="36"/>
        <v>1.579560570373046</v>
      </c>
      <c r="AP27" s="47">
        <f t="shared" si="37"/>
        <v>0.8458726988183094</v>
      </c>
      <c r="AQ27">
        <v>2021</v>
      </c>
    </row>
    <row r="28" spans="1:43" ht="13.5" customHeight="1">
      <c r="B28" s="97" t="s">
        <v>141</v>
      </c>
      <c r="C28" s="98">
        <v>18230731</v>
      </c>
      <c r="D28" s="61" t="s">
        <v>142</v>
      </c>
      <c r="E28" s="38" t="s">
        <v>1014</v>
      </c>
      <c r="F28" s="39" t="s">
        <v>1015</v>
      </c>
      <c r="G28" s="39">
        <v>10</v>
      </c>
      <c r="H28" s="39"/>
      <c r="I28" s="40" t="s">
        <v>256</v>
      </c>
      <c r="J28" s="41">
        <v>1</v>
      </c>
      <c r="K28" s="41">
        <v>5087</v>
      </c>
      <c r="L28" s="41"/>
      <c r="M28" s="42">
        <v>1326</v>
      </c>
      <c r="N28" s="42">
        <v>1326</v>
      </c>
      <c r="O28" s="43">
        <v>5087</v>
      </c>
      <c r="P28" s="44">
        <v>1326</v>
      </c>
      <c r="Q28" s="44">
        <v>1326</v>
      </c>
      <c r="R28" s="45"/>
      <c r="S28" s="46"/>
      <c r="T28" s="39">
        <f t="shared" si="19"/>
        <v>10</v>
      </c>
      <c r="U28" s="47">
        <f t="shared" si="20"/>
        <v>6.7984054284605813E-2</v>
      </c>
      <c r="V28" s="48">
        <f t="shared" si="21"/>
        <v>0</v>
      </c>
      <c r="W28" s="49">
        <f t="shared" si="22"/>
        <v>6.7984054284605817E-3</v>
      </c>
      <c r="X28" s="44">
        <f t="shared" si="23"/>
        <v>5622.3703484480147</v>
      </c>
      <c r="Y28" s="44">
        <f t="shared" si="24"/>
        <v>0</v>
      </c>
      <c r="Z28" s="44">
        <f t="shared" si="25"/>
        <v>23128.933629748444</v>
      </c>
      <c r="AA28" s="50">
        <f t="shared" si="26"/>
        <v>6948.3703484480147</v>
      </c>
      <c r="AB28" s="51">
        <f t="shared" si="27"/>
        <v>21621.888033793064</v>
      </c>
      <c r="AC28" s="44">
        <f t="shared" si="28"/>
        <v>6495.6252673160834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6.7137963033615717</v>
      </c>
      <c r="AG28" s="44">
        <f t="shared" si="31"/>
        <v>34153.081795200313</v>
      </c>
      <c r="AH28" s="52">
        <f>HLOOKUP(I28,GasAvoidedCostsWOCC!$A$5:$Q$50,T28+1,FALSE)</f>
        <v>6.7137963033615717</v>
      </c>
      <c r="AI28" s="44">
        <f t="shared" si="32"/>
        <v>0</v>
      </c>
      <c r="AJ28" s="44">
        <f t="shared" si="33"/>
        <v>34153.081795200313</v>
      </c>
      <c r="AK28" s="44">
        <f>HLOOKUP(I28,GasAvoidedCostsWOCC!$A$5:$Q$50,G28+1,FALSE)*J28*L28</f>
        <v>0</v>
      </c>
      <c r="AL28" s="44">
        <f t="shared" si="34"/>
        <v>34153.081795200313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34153.081795200313</v>
      </c>
      <c r="AN28" s="48">
        <f t="shared" si="35"/>
        <v>37568.389974720347</v>
      </c>
      <c r="AO28" s="47">
        <f t="shared" si="36"/>
        <v>1.5795605703730462</v>
      </c>
      <c r="AP28" s="47">
        <f t="shared" si="37"/>
        <v>5.7836449038636069</v>
      </c>
      <c r="AQ28">
        <v>2021</v>
      </c>
    </row>
    <row r="29" spans="1:43">
      <c r="B29" s="97" t="s">
        <v>141</v>
      </c>
      <c r="C29" s="98">
        <v>18230731</v>
      </c>
      <c r="D29" s="61" t="s">
        <v>142</v>
      </c>
      <c r="E29" s="38" t="s">
        <v>1026</v>
      </c>
      <c r="F29" s="39" t="s">
        <v>1027</v>
      </c>
      <c r="G29" s="39">
        <v>5</v>
      </c>
      <c r="H29" s="39"/>
      <c r="I29" s="40" t="s">
        <v>256</v>
      </c>
      <c r="J29" s="41">
        <v>1</v>
      </c>
      <c r="K29" s="41">
        <v>7258</v>
      </c>
      <c r="L29" s="41"/>
      <c r="M29" s="42">
        <v>11016</v>
      </c>
      <c r="N29" s="42">
        <v>16131.58</v>
      </c>
      <c r="O29" s="43">
        <v>7258</v>
      </c>
      <c r="P29" s="44">
        <v>11016</v>
      </c>
      <c r="Q29" s="44">
        <v>16131.58</v>
      </c>
      <c r="R29" s="45"/>
      <c r="S29" s="46"/>
      <c r="T29" s="39">
        <f t="shared" si="19"/>
        <v>5</v>
      </c>
      <c r="U29" s="47">
        <f t="shared" si="20"/>
        <v>4.8498944957506292E-2</v>
      </c>
      <c r="V29" s="48">
        <f t="shared" si="21"/>
        <v>5115.58</v>
      </c>
      <c r="W29" s="49">
        <f t="shared" si="22"/>
        <v>9.6997889915012587E-3</v>
      </c>
      <c r="X29" s="44">
        <f t="shared" si="23"/>
        <v>8021.8525632073306</v>
      </c>
      <c r="Y29" s="44">
        <f t="shared" si="24"/>
        <v>5115.58</v>
      </c>
      <c r="Z29" s="44">
        <f t="shared" si="25"/>
        <v>32999.76416054929</v>
      </c>
      <c r="AA29" s="50">
        <f t="shared" si="26"/>
        <v>24153.432563207331</v>
      </c>
      <c r="AB29" s="51">
        <f t="shared" si="27"/>
        <v>30849.550491305308</v>
      </c>
      <c r="AC29" s="44">
        <f t="shared" si="28"/>
        <v>22579.63219894113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3.4931246605117878</v>
      </c>
      <c r="AG29" s="44">
        <f t="shared" si="31"/>
        <v>25353.098785994556</v>
      </c>
      <c r="AH29" s="52">
        <f>HLOOKUP(I29,GasAvoidedCostsWOCC!$A$5:$Q$50,T29+1,FALSE)</f>
        <v>3.4931246605117878</v>
      </c>
      <c r="AI29" s="44">
        <f t="shared" si="32"/>
        <v>0</v>
      </c>
      <c r="AJ29" s="44">
        <f t="shared" si="33"/>
        <v>25353.098785994556</v>
      </c>
      <c r="AK29" s="44">
        <f>HLOOKUP(I29,GasAvoidedCostsWOCC!$A$5:$Q$50,G29+1,FALSE)*J29*L29</f>
        <v>0</v>
      </c>
      <c r="AL29" s="44">
        <f t="shared" si="34"/>
        <v>25353.098785994556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25353.098785994556</v>
      </c>
      <c r="AN29" s="48">
        <f t="shared" si="35"/>
        <v>27888.408664594015</v>
      </c>
      <c r="AO29" s="47">
        <f t="shared" si="36"/>
        <v>0.82183041186094818</v>
      </c>
      <c r="AP29" s="47">
        <f t="shared" si="37"/>
        <v>1.2351135049003075</v>
      </c>
      <c r="AQ29">
        <v>2021</v>
      </c>
    </row>
    <row r="30" spans="1:43">
      <c r="B30" s="97" t="s">
        <v>141</v>
      </c>
      <c r="C30" s="61">
        <v>18230731</v>
      </c>
      <c r="D30" s="61" t="s">
        <v>142</v>
      </c>
      <c r="E30" s="38" t="s">
        <v>980</v>
      </c>
      <c r="F30" s="39" t="s">
        <v>981</v>
      </c>
      <c r="G30" s="39">
        <v>15</v>
      </c>
      <c r="H30" s="39"/>
      <c r="I30" s="40" t="s">
        <v>261</v>
      </c>
      <c r="J30" s="41">
        <v>1</v>
      </c>
      <c r="K30" s="41">
        <v>13402</v>
      </c>
      <c r="L30" s="41"/>
      <c r="M30" s="42">
        <v>13084</v>
      </c>
      <c r="N30" s="42">
        <v>19160.830000000002</v>
      </c>
      <c r="O30" s="43">
        <v>13402</v>
      </c>
      <c r="P30" s="44">
        <v>13084</v>
      </c>
      <c r="Q30" s="44">
        <v>19160.830000000002</v>
      </c>
      <c r="R30" s="45"/>
      <c r="S30" s="46"/>
      <c r="T30" s="39">
        <f t="shared" si="19"/>
        <v>15</v>
      </c>
      <c r="U30" s="47">
        <f t="shared" si="20"/>
        <v>0.26866197037220968</v>
      </c>
      <c r="V30" s="48">
        <f t="shared" si="21"/>
        <v>6076.8300000000017</v>
      </c>
      <c r="W30" s="49">
        <f t="shared" si="22"/>
        <v>1.7910798024813979E-2</v>
      </c>
      <c r="X30" s="44">
        <f t="shared" si="23"/>
        <v>14812.464597975288</v>
      </c>
      <c r="Y30" s="44">
        <f t="shared" si="24"/>
        <v>6076.8300000000017</v>
      </c>
      <c r="Z30" s="44">
        <f t="shared" si="25"/>
        <v>60934.532829936834</v>
      </c>
      <c r="AA30" s="50">
        <f t="shared" si="26"/>
        <v>33973.294597975291</v>
      </c>
      <c r="AB30" s="51">
        <f t="shared" si="27"/>
        <v>56964.132775485486</v>
      </c>
      <c r="AC30" s="44">
        <f t="shared" si="28"/>
        <v>31759.647188908373</v>
      </c>
      <c r="AD30" s="44">
        <f t="shared" si="29"/>
        <v>0</v>
      </c>
      <c r="AE30" s="44">
        <f t="shared" si="30"/>
        <v>0</v>
      </c>
      <c r="AF30" s="52">
        <f>HLOOKUP(I30,GasAvoidedCostsWOCC!$A$5:$G$50,G30+1,FALSE)</f>
        <v>11.391867070276401</v>
      </c>
      <c r="AG30" s="44">
        <f t="shared" si="31"/>
        <v>152673.80247584434</v>
      </c>
      <c r="AH30" s="52">
        <f>HLOOKUP(I30,GasAvoidedCostsWOCC!$A$5:$Q$50,T30+1,FALSE)</f>
        <v>11.391867070276401</v>
      </c>
      <c r="AI30" s="44">
        <f t="shared" si="32"/>
        <v>0</v>
      </c>
      <c r="AJ30" s="44">
        <f t="shared" si="33"/>
        <v>152673.80247584434</v>
      </c>
      <c r="AK30" s="44">
        <f>HLOOKUP(I30,GasAvoidedCostsWOCC!$A$5:$Q$50,G30+1,FALSE)*J30*L30</f>
        <v>0</v>
      </c>
      <c r="AL30" s="44">
        <f t="shared" si="34"/>
        <v>152673.80247584434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152673.80247584434</v>
      </c>
      <c r="AN30" s="48">
        <f t="shared" si="35"/>
        <v>167941.18272342879</v>
      </c>
      <c r="AO30" s="47">
        <f t="shared" si="36"/>
        <v>2.680174261189622</v>
      </c>
      <c r="AP30" s="47">
        <f t="shared" si="37"/>
        <v>5.2878793559797472</v>
      </c>
      <c r="AQ30">
        <v>2020</v>
      </c>
    </row>
    <row r="31" spans="1:43">
      <c r="B31" s="97" t="s">
        <v>141</v>
      </c>
      <c r="C31" s="61">
        <v>18230731</v>
      </c>
      <c r="D31" s="61" t="s">
        <v>142</v>
      </c>
      <c r="E31" s="38" t="s">
        <v>980</v>
      </c>
      <c r="F31" s="39" t="s">
        <v>981</v>
      </c>
      <c r="G31" s="39">
        <v>15</v>
      </c>
      <c r="H31" s="39"/>
      <c r="I31" s="40" t="s">
        <v>261</v>
      </c>
      <c r="J31" s="41">
        <v>1</v>
      </c>
      <c r="K31" s="41">
        <v>2310</v>
      </c>
      <c r="L31" s="41"/>
      <c r="M31" s="42">
        <v>11550</v>
      </c>
      <c r="N31" s="42">
        <v>33644.86</v>
      </c>
      <c r="O31" s="43">
        <v>2310</v>
      </c>
      <c r="P31" s="44">
        <v>11550</v>
      </c>
      <c r="Q31" s="44">
        <v>33644.86</v>
      </c>
      <c r="R31" s="45"/>
      <c r="S31" s="46"/>
      <c r="T31" s="39">
        <f t="shared" si="19"/>
        <v>15</v>
      </c>
      <c r="U31" s="47">
        <f t="shared" si="20"/>
        <v>4.6307204265020475E-2</v>
      </c>
      <c r="V31" s="48">
        <f t="shared" si="21"/>
        <v>22094.86</v>
      </c>
      <c r="W31" s="49">
        <f t="shared" si="22"/>
        <v>3.0871469510013651E-3</v>
      </c>
      <c r="X31" s="44">
        <f t="shared" si="23"/>
        <v>2553.1109701031874</v>
      </c>
      <c r="Y31" s="44">
        <f t="shared" si="24"/>
        <v>22094.86</v>
      </c>
      <c r="Z31" s="44">
        <f t="shared" si="25"/>
        <v>10502.818298549029</v>
      </c>
      <c r="AA31" s="50">
        <f t="shared" si="26"/>
        <v>36197.97097010319</v>
      </c>
      <c r="AB31" s="51">
        <f t="shared" si="27"/>
        <v>9818.4708783294645</v>
      </c>
      <c r="AC31" s="44">
        <f t="shared" si="28"/>
        <v>33839.367084325684</v>
      </c>
      <c r="AD31" s="44">
        <f t="shared" si="29"/>
        <v>0</v>
      </c>
      <c r="AE31" s="44">
        <f t="shared" si="30"/>
        <v>0</v>
      </c>
      <c r="AF31" s="52">
        <f>HLOOKUP(I31,GasAvoidedCostsWOCC!$A$5:$G$50,G31+1,FALSE)</f>
        <v>11.391867070276401</v>
      </c>
      <c r="AG31" s="44">
        <f t="shared" si="31"/>
        <v>26315.212932338487</v>
      </c>
      <c r="AH31" s="52">
        <f>HLOOKUP(I31,GasAvoidedCostsWOCC!$A$5:$Q$50,T31+1,FALSE)</f>
        <v>11.391867070276401</v>
      </c>
      <c r="AI31" s="44">
        <f t="shared" si="32"/>
        <v>0</v>
      </c>
      <c r="AJ31" s="44">
        <f t="shared" si="33"/>
        <v>26315.212932338487</v>
      </c>
      <c r="AK31" s="44">
        <f>HLOOKUP(I31,GasAvoidedCostsWOCC!$A$5:$Q$50,G31+1,FALSE)*J31*L31</f>
        <v>0</v>
      </c>
      <c r="AL31" s="44">
        <f t="shared" si="34"/>
        <v>26315.212932338487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26315.212932338487</v>
      </c>
      <c r="AN31" s="48">
        <f t="shared" si="35"/>
        <v>28946.734225572338</v>
      </c>
      <c r="AO31" s="47">
        <f t="shared" si="36"/>
        <v>2.6801742611896215</v>
      </c>
      <c r="AP31" s="47">
        <f t="shared" si="37"/>
        <v>0.85541594656421327</v>
      </c>
      <c r="AQ31">
        <v>2020</v>
      </c>
    </row>
    <row r="32" spans="1:43">
      <c r="B32" s="97" t="s">
        <v>141</v>
      </c>
      <c r="C32" s="61">
        <v>18230731</v>
      </c>
      <c r="D32" s="61" t="s">
        <v>142</v>
      </c>
      <c r="E32" s="38" t="s">
        <v>982</v>
      </c>
      <c r="F32" s="39" t="s">
        <v>983</v>
      </c>
      <c r="G32" s="39">
        <v>15</v>
      </c>
      <c r="H32" s="39"/>
      <c r="I32" s="40" t="s">
        <v>261</v>
      </c>
      <c r="J32" s="41">
        <v>1</v>
      </c>
      <c r="K32" s="41">
        <v>20563</v>
      </c>
      <c r="L32" s="41"/>
      <c r="M32" s="42">
        <v>92481</v>
      </c>
      <c r="N32" s="42">
        <v>152398.29999999999</v>
      </c>
      <c r="O32" s="43">
        <v>20563</v>
      </c>
      <c r="P32" s="44">
        <v>92481</v>
      </c>
      <c r="Q32" s="44">
        <v>152398.29999999999</v>
      </c>
      <c r="R32" s="45"/>
      <c r="S32" s="46"/>
      <c r="T32" s="39">
        <f t="shared" si="19"/>
        <v>15</v>
      </c>
      <c r="U32" s="47">
        <f t="shared" si="20"/>
        <v>0.4122143035937732</v>
      </c>
      <c r="V32" s="48">
        <f t="shared" si="21"/>
        <v>59917.299999999988</v>
      </c>
      <c r="W32" s="49">
        <f t="shared" si="22"/>
        <v>2.7480953572918212E-2</v>
      </c>
      <c r="X32" s="44">
        <f t="shared" si="23"/>
        <v>22727.108605295169</v>
      </c>
      <c r="Y32" s="44">
        <f t="shared" si="24"/>
        <v>59917.299999999988</v>
      </c>
      <c r="Z32" s="44">
        <f t="shared" si="25"/>
        <v>93493.269555438834</v>
      </c>
      <c r="AA32" s="50">
        <f t="shared" si="26"/>
        <v>175125.40860529515</v>
      </c>
      <c r="AB32" s="51">
        <f t="shared" si="27"/>
        <v>87401.392498306843</v>
      </c>
      <c r="AC32" s="44">
        <f t="shared" si="28"/>
        <v>163714.50743694039</v>
      </c>
      <c r="AD32" s="44">
        <f t="shared" si="29"/>
        <v>0</v>
      </c>
      <c r="AE32" s="44">
        <f t="shared" si="30"/>
        <v>0</v>
      </c>
      <c r="AF32" s="52">
        <f>HLOOKUP(I32,GasAvoidedCostsWOCC!$A$5:$G$50,G32+1,FALSE)</f>
        <v>11.391867070276401</v>
      </c>
      <c r="AG32" s="44">
        <f t="shared" si="31"/>
        <v>234250.96256609363</v>
      </c>
      <c r="AH32" s="52">
        <f>HLOOKUP(I32,GasAvoidedCostsWOCC!$A$5:$Q$50,T32+1,FALSE)</f>
        <v>11.391867070276401</v>
      </c>
      <c r="AI32" s="44">
        <f t="shared" si="32"/>
        <v>0</v>
      </c>
      <c r="AJ32" s="44">
        <f t="shared" si="33"/>
        <v>234250.96256609363</v>
      </c>
      <c r="AK32" s="44">
        <f>HLOOKUP(I32,GasAvoidedCostsWOCC!$A$5:$Q$50,G32+1,FALSE)*J32*L32</f>
        <v>0</v>
      </c>
      <c r="AL32" s="44">
        <f t="shared" si="34"/>
        <v>234250.96256609363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234250.96256609363</v>
      </c>
      <c r="AN32" s="48">
        <f t="shared" si="35"/>
        <v>257676.05882270302</v>
      </c>
      <c r="AO32" s="47">
        <f t="shared" si="36"/>
        <v>2.6801742611896211</v>
      </c>
      <c r="AP32" s="47">
        <f t="shared" si="37"/>
        <v>1.5739354004528572</v>
      </c>
      <c r="AQ32">
        <v>2020</v>
      </c>
    </row>
    <row r="33" spans="2:43">
      <c r="B33" s="97" t="s">
        <v>141</v>
      </c>
      <c r="C33" s="61">
        <v>18230731</v>
      </c>
      <c r="D33" s="61" t="s">
        <v>142</v>
      </c>
      <c r="E33" s="38" t="s">
        <v>982</v>
      </c>
      <c r="F33" s="39" t="s">
        <v>983</v>
      </c>
      <c r="G33" s="39">
        <v>15</v>
      </c>
      <c r="H33" s="39"/>
      <c r="I33" s="40" t="s">
        <v>261</v>
      </c>
      <c r="J33" s="41">
        <v>1</v>
      </c>
      <c r="K33" s="41">
        <v>0</v>
      </c>
      <c r="L33" s="41"/>
      <c r="M33" s="42">
        <v>0</v>
      </c>
      <c r="N33" s="42">
        <v>0</v>
      </c>
      <c r="O33" s="43">
        <v>0</v>
      </c>
      <c r="P33" s="44">
        <v>0</v>
      </c>
      <c r="Q33" s="44">
        <v>0</v>
      </c>
      <c r="R33" s="45"/>
      <c r="S33" s="46"/>
      <c r="T33" s="39">
        <f t="shared" si="19"/>
        <v>15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>
        <f>HLOOKUP(I33,GasAvoidedCostsWOCC!$A$5:$G$50,G33+1,FALSE)</f>
        <v>11.391867070276401</v>
      </c>
      <c r="AG33" s="44">
        <f t="shared" si="31"/>
        <v>0</v>
      </c>
      <c r="AH33" s="52">
        <f>HLOOKUP(I33,GasAvoidedCostsWOCC!$A$5:$Q$50,T33+1,FALSE)</f>
        <v>11.391867070276401</v>
      </c>
      <c r="AI33" s="44">
        <f t="shared" si="32"/>
        <v>0</v>
      </c>
      <c r="AJ33" s="44">
        <f t="shared" si="33"/>
        <v>0</v>
      </c>
      <c r="AK33" s="44">
        <f>HLOOKUP(I33,GasAvoidedCostsWOCC!$A$5:$Q$50,G33+1,FALSE)*J33*L33</f>
        <v>0</v>
      </c>
      <c r="AL33" s="44">
        <f t="shared" si="34"/>
        <v>0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  <c r="AQ33">
        <v>2020</v>
      </c>
    </row>
    <row r="34" spans="2:43">
      <c r="B34" s="97" t="s">
        <v>141</v>
      </c>
      <c r="C34" s="61">
        <v>18230731</v>
      </c>
      <c r="D34" s="61" t="s">
        <v>142</v>
      </c>
      <c r="E34" s="38" t="s">
        <v>982</v>
      </c>
      <c r="F34" s="39" t="s">
        <v>983</v>
      </c>
      <c r="G34" s="39">
        <v>15</v>
      </c>
      <c r="H34" s="39"/>
      <c r="I34" s="40" t="s">
        <v>261</v>
      </c>
      <c r="J34" s="41">
        <v>1</v>
      </c>
      <c r="K34" s="41">
        <v>0</v>
      </c>
      <c r="L34" s="41"/>
      <c r="M34" s="42">
        <v>0</v>
      </c>
      <c r="N34" s="42">
        <v>0</v>
      </c>
      <c r="O34" s="43">
        <v>0</v>
      </c>
      <c r="P34" s="44">
        <v>0</v>
      </c>
      <c r="Q34" s="44">
        <v>0</v>
      </c>
      <c r="R34" s="45"/>
      <c r="S34" s="46"/>
      <c r="T34" s="39">
        <f t="shared" si="19"/>
        <v>15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>
        <f>HLOOKUP(I34,GasAvoidedCostsWOCC!$A$5:$G$50,G34+1,FALSE)</f>
        <v>11.391867070276401</v>
      </c>
      <c r="AG34" s="44">
        <f t="shared" si="31"/>
        <v>0</v>
      </c>
      <c r="AH34" s="52">
        <f>HLOOKUP(I34,GasAvoidedCostsWOCC!$A$5:$Q$50,T34+1,FALSE)</f>
        <v>11.391867070276401</v>
      </c>
      <c r="AI34" s="44">
        <f t="shared" si="32"/>
        <v>0</v>
      </c>
      <c r="AJ34" s="44">
        <f t="shared" si="33"/>
        <v>0</v>
      </c>
      <c r="AK34" s="44">
        <f>HLOOKUP(I34,GasAvoidedCostsWOCC!$A$5:$Q$50,G34+1,FALSE)*J34*L34</f>
        <v>0</v>
      </c>
      <c r="AL34" s="44">
        <f t="shared" si="34"/>
        <v>0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  <c r="AQ34">
        <v>2020</v>
      </c>
    </row>
    <row r="35" spans="2:43">
      <c r="B35" s="97" t="s">
        <v>141</v>
      </c>
      <c r="C35" s="61">
        <v>18230731</v>
      </c>
      <c r="D35" s="61" t="s">
        <v>142</v>
      </c>
      <c r="E35" s="38" t="s">
        <v>982</v>
      </c>
      <c r="F35" s="39" t="s">
        <v>983</v>
      </c>
      <c r="G35" s="39">
        <v>15</v>
      </c>
      <c r="H35" s="39"/>
      <c r="I35" s="40" t="s">
        <v>261</v>
      </c>
      <c r="J35" s="41">
        <v>1</v>
      </c>
      <c r="K35" s="41">
        <v>0</v>
      </c>
      <c r="L35" s="41"/>
      <c r="M35" s="42">
        <v>0</v>
      </c>
      <c r="N35" s="42">
        <v>0</v>
      </c>
      <c r="O35" s="43">
        <v>0</v>
      </c>
      <c r="P35" s="44">
        <v>0</v>
      </c>
      <c r="Q35" s="44">
        <v>0</v>
      </c>
      <c r="R35" s="45"/>
      <c r="S35" s="46"/>
      <c r="T35" s="39">
        <f t="shared" si="19"/>
        <v>15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>
        <f>HLOOKUP(I35,GasAvoidedCostsWOCC!$A$5:$G$50,G35+1,FALSE)</f>
        <v>11.391867070276401</v>
      </c>
      <c r="AG35" s="44">
        <f t="shared" si="31"/>
        <v>0</v>
      </c>
      <c r="AH35" s="52">
        <f>HLOOKUP(I35,GasAvoidedCostsWOCC!$A$5:$Q$50,T35+1,FALSE)</f>
        <v>11.391867070276401</v>
      </c>
      <c r="AI35" s="44">
        <f t="shared" si="32"/>
        <v>0</v>
      </c>
      <c r="AJ35" s="44">
        <f t="shared" si="33"/>
        <v>0</v>
      </c>
      <c r="AK35" s="44">
        <f>HLOOKUP(I35,GasAvoidedCostsWOCC!$A$5:$Q$50,G35+1,FALSE)*J35*L35</f>
        <v>0</v>
      </c>
      <c r="AL35" s="44">
        <f t="shared" si="34"/>
        <v>0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  <c r="AQ35">
        <v>2020</v>
      </c>
    </row>
    <row r="36" spans="2:43">
      <c r="B36" s="97" t="s">
        <v>141</v>
      </c>
      <c r="C36" s="61">
        <v>18230731</v>
      </c>
      <c r="D36" s="61" t="s">
        <v>142</v>
      </c>
      <c r="E36" s="38" t="s">
        <v>2088</v>
      </c>
      <c r="F36" s="39" t="s">
        <v>2089</v>
      </c>
      <c r="G36" s="39">
        <v>15</v>
      </c>
      <c r="H36" s="39"/>
      <c r="I36" s="40" t="s">
        <v>261</v>
      </c>
      <c r="J36" s="41">
        <v>1</v>
      </c>
      <c r="K36" s="41">
        <v>0</v>
      </c>
      <c r="L36" s="41"/>
      <c r="M36" s="42">
        <v>0</v>
      </c>
      <c r="N36" s="42">
        <v>0</v>
      </c>
      <c r="O36" s="43">
        <v>0</v>
      </c>
      <c r="P36" s="44">
        <v>0</v>
      </c>
      <c r="Q36" s="44">
        <v>0</v>
      </c>
      <c r="R36" s="45"/>
      <c r="S36" s="46"/>
      <c r="T36" s="39">
        <f t="shared" si="19"/>
        <v>15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>
        <f>HLOOKUP(I36,GasAvoidedCostsWOCC!$A$5:$G$50,G36+1,FALSE)</f>
        <v>11.391867070276401</v>
      </c>
      <c r="AG36" s="44">
        <f t="shared" si="31"/>
        <v>0</v>
      </c>
      <c r="AH36" s="52">
        <f>HLOOKUP(I36,GasAvoidedCostsWOCC!$A$5:$Q$50,T36+1,FALSE)</f>
        <v>11.391867070276401</v>
      </c>
      <c r="AI36" s="44">
        <f t="shared" si="32"/>
        <v>0</v>
      </c>
      <c r="AJ36" s="44">
        <f t="shared" si="33"/>
        <v>0</v>
      </c>
      <c r="AK36" s="44">
        <f>HLOOKUP(I36,GasAvoidedCostsWOCC!$A$5:$Q$50,G36+1,FALSE)*J36*L36</f>
        <v>0</v>
      </c>
      <c r="AL36" s="44">
        <f t="shared" si="34"/>
        <v>0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  <c r="AQ36">
        <v>2020</v>
      </c>
    </row>
    <row r="37" spans="2:43">
      <c r="B37" s="97" t="s">
        <v>141</v>
      </c>
      <c r="C37" s="61">
        <v>18230731</v>
      </c>
      <c r="D37" s="61" t="s">
        <v>142</v>
      </c>
      <c r="E37" s="38" t="s">
        <v>1054</v>
      </c>
      <c r="F37" s="39" t="s">
        <v>1055</v>
      </c>
      <c r="G37" s="39">
        <v>15</v>
      </c>
      <c r="H37" s="39"/>
      <c r="I37" s="40" t="s">
        <v>255</v>
      </c>
      <c r="J37" s="41">
        <v>1</v>
      </c>
      <c r="K37" s="41">
        <v>5451</v>
      </c>
      <c r="L37" s="41"/>
      <c r="M37" s="42">
        <v>12985</v>
      </c>
      <c r="N37" s="42">
        <v>23871</v>
      </c>
      <c r="O37" s="43">
        <v>5451</v>
      </c>
      <c r="P37" s="44">
        <v>12985</v>
      </c>
      <c r="Q37" s="44">
        <v>23871</v>
      </c>
      <c r="R37" s="45"/>
      <c r="S37" s="46"/>
      <c r="T37" s="39">
        <f t="shared" si="19"/>
        <v>15</v>
      </c>
      <c r="U37" s="47">
        <f t="shared" si="20"/>
        <v>0.10927297422018468</v>
      </c>
      <c r="V37" s="48">
        <f t="shared" si="21"/>
        <v>10886</v>
      </c>
      <c r="W37" s="49">
        <f t="shared" si="22"/>
        <v>7.2848649480123122E-3</v>
      </c>
      <c r="X37" s="44">
        <f t="shared" si="23"/>
        <v>6024.6787437370022</v>
      </c>
      <c r="Y37" s="44">
        <f t="shared" si="24"/>
        <v>10886</v>
      </c>
      <c r="Z37" s="44">
        <f t="shared" si="25"/>
        <v>24783.923179822836</v>
      </c>
      <c r="AA37" s="50">
        <f t="shared" si="26"/>
        <v>29895.678743737</v>
      </c>
      <c r="AB37" s="51">
        <f t="shared" si="27"/>
        <v>23169.041020681343</v>
      </c>
      <c r="AC37" s="44">
        <f t="shared" si="28"/>
        <v>27947.722486432642</v>
      </c>
      <c r="AD37" s="44">
        <f t="shared" si="29"/>
        <v>0</v>
      </c>
      <c r="AE37" s="44">
        <f t="shared" si="30"/>
        <v>0</v>
      </c>
      <c r="AF37" s="52">
        <f>HLOOKUP(I37,GasAvoidedCostsWOCC!$A$5:$G$50,G37+1,FALSE)</f>
        <v>10.143887193159781</v>
      </c>
      <c r="AG37" s="44">
        <f t="shared" si="31"/>
        <v>55294.329089913968</v>
      </c>
      <c r="AH37" s="52">
        <f>HLOOKUP(I37,GasAvoidedCostsWOCC!$A$5:$Q$50,T37+1,FALSE)</f>
        <v>10.143887193159781</v>
      </c>
      <c r="AI37" s="44">
        <f t="shared" si="32"/>
        <v>0</v>
      </c>
      <c r="AJ37" s="44">
        <f t="shared" si="33"/>
        <v>55294.329089913968</v>
      </c>
      <c r="AK37" s="44">
        <f>HLOOKUP(I37,GasAvoidedCostsWOCC!$A$5:$Q$50,G37+1,FALSE)*J37*L37</f>
        <v>0</v>
      </c>
      <c r="AL37" s="44">
        <f t="shared" si="34"/>
        <v>55294.329089913968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55294.329089913968</v>
      </c>
      <c r="AN37" s="48">
        <f t="shared" si="35"/>
        <v>60823.761998905371</v>
      </c>
      <c r="AO37" s="47">
        <f t="shared" si="36"/>
        <v>2.3865609733504587</v>
      </c>
      <c r="AP37" s="47">
        <f t="shared" si="37"/>
        <v>2.1763405597158254</v>
      </c>
      <c r="AQ37">
        <v>2020</v>
      </c>
    </row>
    <row r="38" spans="2:43">
      <c r="B38" s="97" t="s">
        <v>141</v>
      </c>
      <c r="C38" s="61">
        <v>18230731</v>
      </c>
      <c r="D38" s="61" t="s">
        <v>142</v>
      </c>
      <c r="E38" s="38" t="s">
        <v>988</v>
      </c>
      <c r="F38" s="39" t="s">
        <v>989</v>
      </c>
      <c r="G38" s="39">
        <v>10</v>
      </c>
      <c r="H38" s="39"/>
      <c r="I38" s="40" t="s">
        <v>261</v>
      </c>
      <c r="J38" s="41">
        <v>1</v>
      </c>
      <c r="K38" s="41">
        <v>0</v>
      </c>
      <c r="L38" s="41"/>
      <c r="M38" s="42">
        <v>0</v>
      </c>
      <c r="N38" s="42">
        <v>0</v>
      </c>
      <c r="O38" s="43">
        <v>0</v>
      </c>
      <c r="P38" s="44">
        <v>0</v>
      </c>
      <c r="Q38" s="44">
        <v>0</v>
      </c>
      <c r="R38" s="45"/>
      <c r="S38" s="46"/>
      <c r="T38" s="39">
        <f t="shared" si="19"/>
        <v>10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>
        <f>HLOOKUP(I38,GasAvoidedCostsWOCC!$A$5:$G$50,G38+1,FALSE)</f>
        <v>8.0513997654936151</v>
      </c>
      <c r="AG38" s="44">
        <f t="shared" si="31"/>
        <v>0</v>
      </c>
      <c r="AH38" s="52">
        <f>HLOOKUP(I38,GasAvoidedCostsWOCC!$A$5:$Q$50,T38+1,FALSE)</f>
        <v>8.0513997654936151</v>
      </c>
      <c r="AI38" s="44">
        <f t="shared" si="32"/>
        <v>0</v>
      </c>
      <c r="AJ38" s="44">
        <f t="shared" si="33"/>
        <v>0</v>
      </c>
      <c r="AK38" s="44">
        <f>HLOOKUP(I38,GasAvoidedCostsWOCC!$A$5:$Q$50,G38+1,FALSE)*J38*L38</f>
        <v>0</v>
      </c>
      <c r="AL38" s="44">
        <f t="shared" si="34"/>
        <v>0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  <c r="AQ38">
        <v>2020</v>
      </c>
    </row>
    <row r="39" spans="2:43">
      <c r="B39" s="97" t="s">
        <v>141</v>
      </c>
      <c r="C39" s="61">
        <v>18230731</v>
      </c>
      <c r="D39" s="61" t="s">
        <v>142</v>
      </c>
      <c r="E39" s="38" t="s">
        <v>988</v>
      </c>
      <c r="F39" s="39" t="s">
        <v>989</v>
      </c>
      <c r="G39" s="39">
        <v>10</v>
      </c>
      <c r="H39" s="39"/>
      <c r="I39" s="40" t="s">
        <v>261</v>
      </c>
      <c r="J39" s="41">
        <v>1</v>
      </c>
      <c r="K39" s="41">
        <v>2268</v>
      </c>
      <c r="L39" s="41"/>
      <c r="M39" s="42">
        <v>10659</v>
      </c>
      <c r="N39" s="42">
        <v>10659</v>
      </c>
      <c r="O39" s="43">
        <v>2268</v>
      </c>
      <c r="P39" s="44">
        <v>10659</v>
      </c>
      <c r="Q39" s="44">
        <v>10659</v>
      </c>
      <c r="R39" s="45"/>
      <c r="S39" s="46"/>
      <c r="T39" s="39">
        <f t="shared" si="19"/>
        <v>10</v>
      </c>
      <c r="U39" s="47">
        <f t="shared" si="20"/>
        <v>3.0310170064377043E-2</v>
      </c>
      <c r="V39" s="48">
        <f t="shared" si="21"/>
        <v>0</v>
      </c>
      <c r="W39" s="49">
        <f t="shared" si="22"/>
        <v>3.0310170064377041E-3</v>
      </c>
      <c r="X39" s="44">
        <f t="shared" si="23"/>
        <v>2506.6907706467659</v>
      </c>
      <c r="Y39" s="44">
        <f t="shared" si="24"/>
        <v>0</v>
      </c>
      <c r="Z39" s="44">
        <f t="shared" si="25"/>
        <v>10311.857965848138</v>
      </c>
      <c r="AA39" s="50">
        <f t="shared" si="26"/>
        <v>13165.690770646766</v>
      </c>
      <c r="AB39" s="51">
        <f t="shared" si="27"/>
        <v>9639.9532259962016</v>
      </c>
      <c r="AC39" s="44">
        <f t="shared" si="28"/>
        <v>12307.834692574334</v>
      </c>
      <c r="AD39" s="44">
        <f t="shared" si="29"/>
        <v>0</v>
      </c>
      <c r="AE39" s="44">
        <f t="shared" si="30"/>
        <v>0</v>
      </c>
      <c r="AF39" s="52">
        <f>HLOOKUP(I39,GasAvoidedCostsWOCC!$A$5:$G$50,G39+1,FALSE)</f>
        <v>8.0513997654936151</v>
      </c>
      <c r="AG39" s="44">
        <f t="shared" si="31"/>
        <v>18260.574668139518</v>
      </c>
      <c r="AH39" s="52">
        <f>HLOOKUP(I39,GasAvoidedCostsWOCC!$A$5:$Q$50,T39+1,FALSE)</f>
        <v>8.0513997654936151</v>
      </c>
      <c r="AI39" s="44">
        <f t="shared" si="32"/>
        <v>0</v>
      </c>
      <c r="AJ39" s="44">
        <f t="shared" si="33"/>
        <v>18260.574668139518</v>
      </c>
      <c r="AK39" s="44">
        <f>HLOOKUP(I39,GasAvoidedCostsWOCC!$A$5:$Q$50,G39+1,FALSE)*J39*L39</f>
        <v>0</v>
      </c>
      <c r="AL39" s="44">
        <f t="shared" si="34"/>
        <v>18260.574668139518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18260.574668139518</v>
      </c>
      <c r="AN39" s="48">
        <f t="shared" si="35"/>
        <v>20086.63213495347</v>
      </c>
      <c r="AO39" s="47">
        <f t="shared" si="36"/>
        <v>1.8942596753370091</v>
      </c>
      <c r="AP39" s="47">
        <f t="shared" si="37"/>
        <v>1.632019980498463</v>
      </c>
      <c r="AQ39">
        <v>2020</v>
      </c>
    </row>
    <row r="40" spans="2:43">
      <c r="B40" s="97" t="s">
        <v>141</v>
      </c>
      <c r="C40" s="61">
        <v>18230731</v>
      </c>
      <c r="D40" s="61" t="s">
        <v>142</v>
      </c>
      <c r="E40" s="38" t="s">
        <v>988</v>
      </c>
      <c r="F40" s="39" t="s">
        <v>989</v>
      </c>
      <c r="G40" s="39">
        <v>10</v>
      </c>
      <c r="H40" s="39"/>
      <c r="I40" s="40" t="s">
        <v>261</v>
      </c>
      <c r="J40" s="41">
        <v>1</v>
      </c>
      <c r="K40" s="41">
        <v>55</v>
      </c>
      <c r="L40" s="41"/>
      <c r="M40" s="42">
        <v>259</v>
      </c>
      <c r="N40" s="42">
        <v>259</v>
      </c>
      <c r="O40" s="43">
        <v>55</v>
      </c>
      <c r="P40" s="44">
        <v>259</v>
      </c>
      <c r="Q40" s="44">
        <v>259</v>
      </c>
      <c r="R40" s="45"/>
      <c r="S40" s="46"/>
      <c r="T40" s="39">
        <f t="shared" si="19"/>
        <v>10</v>
      </c>
      <c r="U40" s="47">
        <f t="shared" si="20"/>
        <v>7.3503498833365837E-4</v>
      </c>
      <c r="V40" s="48">
        <f t="shared" si="21"/>
        <v>0</v>
      </c>
      <c r="W40" s="49">
        <f t="shared" si="22"/>
        <v>7.350349883336584E-5</v>
      </c>
      <c r="X40" s="44">
        <f t="shared" si="23"/>
        <v>60.788356431028276</v>
      </c>
      <c r="Y40" s="44">
        <f t="shared" si="24"/>
        <v>0</v>
      </c>
      <c r="Z40" s="44">
        <f t="shared" si="25"/>
        <v>250.06710234640548</v>
      </c>
      <c r="AA40" s="50">
        <f t="shared" si="26"/>
        <v>319.78835643102826</v>
      </c>
      <c r="AB40" s="51">
        <f t="shared" si="27"/>
        <v>233.77311615070155</v>
      </c>
      <c r="AC40" s="44">
        <f t="shared" si="28"/>
        <v>298.95144099376296</v>
      </c>
      <c r="AD40" s="44">
        <f t="shared" si="29"/>
        <v>0</v>
      </c>
      <c r="AE40" s="44">
        <f t="shared" si="30"/>
        <v>0</v>
      </c>
      <c r="AF40" s="52">
        <f>HLOOKUP(I40,GasAvoidedCostsWOCC!$A$5:$G$50,G40+1,FALSE)</f>
        <v>8.0513997654936151</v>
      </c>
      <c r="AG40" s="44">
        <f t="shared" si="31"/>
        <v>442.82698710214885</v>
      </c>
      <c r="AH40" s="52">
        <f>HLOOKUP(I40,GasAvoidedCostsWOCC!$A$5:$Q$50,T40+1,FALSE)</f>
        <v>8.0513997654936151</v>
      </c>
      <c r="AI40" s="44">
        <f t="shared" si="32"/>
        <v>0</v>
      </c>
      <c r="AJ40" s="44">
        <f t="shared" si="33"/>
        <v>442.82698710214885</v>
      </c>
      <c r="AK40" s="44">
        <f>HLOOKUP(I40,GasAvoidedCostsWOCC!$A$5:$Q$50,G40+1,FALSE)*J40*L40</f>
        <v>0</v>
      </c>
      <c r="AL40" s="44">
        <f t="shared" si="34"/>
        <v>442.82698710214885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442.82698710214885</v>
      </c>
      <c r="AN40" s="48">
        <f t="shared" si="35"/>
        <v>487.10968581236375</v>
      </c>
      <c r="AO40" s="47">
        <f t="shared" si="36"/>
        <v>1.8942596753370091</v>
      </c>
      <c r="AP40" s="47">
        <f t="shared" si="37"/>
        <v>1.6293940052375475</v>
      </c>
      <c r="AQ40">
        <v>2020</v>
      </c>
    </row>
    <row r="41" spans="2:43">
      <c r="B41" s="97" t="s">
        <v>141</v>
      </c>
      <c r="C41" s="61">
        <v>18230731</v>
      </c>
      <c r="D41" s="61" t="s">
        <v>142</v>
      </c>
      <c r="E41" s="38" t="s">
        <v>2090</v>
      </c>
      <c r="F41" s="39" t="s">
        <v>2091</v>
      </c>
      <c r="G41" s="39">
        <v>15</v>
      </c>
      <c r="H41" s="39"/>
      <c r="I41" s="40" t="s">
        <v>261</v>
      </c>
      <c r="J41" s="41">
        <v>1</v>
      </c>
      <c r="K41" s="41">
        <v>557</v>
      </c>
      <c r="L41" s="41"/>
      <c r="M41" s="42">
        <v>673</v>
      </c>
      <c r="N41" s="42">
        <v>962</v>
      </c>
      <c r="O41" s="43">
        <v>557</v>
      </c>
      <c r="P41" s="44">
        <v>673</v>
      </c>
      <c r="Q41" s="44">
        <v>962</v>
      </c>
      <c r="R41" s="45"/>
      <c r="S41" s="46"/>
      <c r="T41" s="39">
        <f t="shared" si="19"/>
        <v>15</v>
      </c>
      <c r="U41" s="47">
        <f t="shared" si="20"/>
        <v>1.1165849686414028E-2</v>
      </c>
      <c r="V41" s="48">
        <f t="shared" si="21"/>
        <v>289</v>
      </c>
      <c r="W41" s="49">
        <f t="shared" si="22"/>
        <v>7.4438997909426858E-4</v>
      </c>
      <c r="X41" s="44">
        <f t="shared" si="23"/>
        <v>615.62026421968631</v>
      </c>
      <c r="Y41" s="44">
        <f t="shared" si="24"/>
        <v>289</v>
      </c>
      <c r="Z41" s="44">
        <f t="shared" si="25"/>
        <v>2532.4977455808698</v>
      </c>
      <c r="AA41" s="50">
        <f t="shared" si="26"/>
        <v>1577.6202642196863</v>
      </c>
      <c r="AB41" s="51">
        <f t="shared" si="27"/>
        <v>2367.4841035625591</v>
      </c>
      <c r="AC41" s="44">
        <f t="shared" si="28"/>
        <v>1474.8249642139724</v>
      </c>
      <c r="AD41" s="44">
        <f t="shared" si="29"/>
        <v>0</v>
      </c>
      <c r="AE41" s="44">
        <f t="shared" si="30"/>
        <v>0</v>
      </c>
      <c r="AF41" s="52">
        <f>HLOOKUP(I41,GasAvoidedCostsWOCC!$A$5:$G$50,G41+1,FALSE)</f>
        <v>11.391867070276401</v>
      </c>
      <c r="AG41" s="44">
        <f t="shared" si="31"/>
        <v>6345.2699581439556</v>
      </c>
      <c r="AH41" s="52">
        <f>HLOOKUP(I41,GasAvoidedCostsWOCC!$A$5:$Q$50,T41+1,FALSE)</f>
        <v>11.391867070276401</v>
      </c>
      <c r="AI41" s="44">
        <f t="shared" si="32"/>
        <v>0</v>
      </c>
      <c r="AJ41" s="44">
        <f t="shared" si="33"/>
        <v>6345.2699581439556</v>
      </c>
      <c r="AK41" s="44">
        <f>HLOOKUP(I41,GasAvoidedCostsWOCC!$A$5:$Q$50,G41+1,FALSE)*J41*L41</f>
        <v>0</v>
      </c>
      <c r="AL41" s="44">
        <f t="shared" si="34"/>
        <v>6345.2699581439556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6345.2699581439556</v>
      </c>
      <c r="AN41" s="48">
        <f t="shared" si="35"/>
        <v>6979.7969539583519</v>
      </c>
      <c r="AO41" s="47">
        <f t="shared" si="36"/>
        <v>2.6801742611896215</v>
      </c>
      <c r="AP41" s="47">
        <f t="shared" si="37"/>
        <v>4.7326273444783515</v>
      </c>
      <c r="AQ41">
        <v>2020</v>
      </c>
    </row>
    <row r="42" spans="2:43">
      <c r="B42" s="97" t="s">
        <v>141</v>
      </c>
      <c r="C42" s="61">
        <v>18230731</v>
      </c>
      <c r="D42" s="61" t="s">
        <v>142</v>
      </c>
      <c r="E42" s="38" t="s">
        <v>2090</v>
      </c>
      <c r="F42" s="39" t="s">
        <v>2091</v>
      </c>
      <c r="G42" s="39">
        <v>15</v>
      </c>
      <c r="H42" s="39"/>
      <c r="I42" s="40" t="s">
        <v>261</v>
      </c>
      <c r="J42" s="41">
        <v>1</v>
      </c>
      <c r="K42" s="41">
        <v>1990</v>
      </c>
      <c r="L42" s="41"/>
      <c r="M42" s="42">
        <v>9950</v>
      </c>
      <c r="N42" s="42">
        <v>23395.96</v>
      </c>
      <c r="O42" s="43">
        <v>1990</v>
      </c>
      <c r="P42" s="44">
        <v>9950</v>
      </c>
      <c r="Q42" s="44">
        <v>23395.96</v>
      </c>
      <c r="R42" s="45"/>
      <c r="S42" s="46"/>
      <c r="T42" s="39">
        <f t="shared" si="19"/>
        <v>15</v>
      </c>
      <c r="U42" s="47">
        <f t="shared" si="20"/>
        <v>3.989235345774491E-2</v>
      </c>
      <c r="V42" s="48">
        <f t="shared" si="21"/>
        <v>13445.96</v>
      </c>
      <c r="W42" s="49">
        <f t="shared" si="22"/>
        <v>2.6594902305163274E-3</v>
      </c>
      <c r="X42" s="44">
        <f t="shared" si="23"/>
        <v>2199.433259959023</v>
      </c>
      <c r="Y42" s="44">
        <f t="shared" si="24"/>
        <v>13445.96</v>
      </c>
      <c r="Z42" s="44">
        <f t="shared" si="25"/>
        <v>9047.8824303517613</v>
      </c>
      <c r="AA42" s="50">
        <f t="shared" si="26"/>
        <v>25595.393259959023</v>
      </c>
      <c r="AB42" s="51">
        <f t="shared" si="27"/>
        <v>8458.3363843617462</v>
      </c>
      <c r="AC42" s="44">
        <f t="shared" si="28"/>
        <v>23927.636963596353</v>
      </c>
      <c r="AD42" s="44">
        <f t="shared" si="29"/>
        <v>0</v>
      </c>
      <c r="AE42" s="44">
        <f t="shared" si="30"/>
        <v>0</v>
      </c>
      <c r="AF42" s="52">
        <f>HLOOKUP(I42,GasAvoidedCostsWOCC!$A$5:$G$50,G42+1,FALSE)</f>
        <v>11.391867070276401</v>
      </c>
      <c r="AG42" s="44">
        <f t="shared" si="31"/>
        <v>22669.815469850037</v>
      </c>
      <c r="AH42" s="52">
        <f>HLOOKUP(I42,GasAvoidedCostsWOCC!$A$5:$Q$50,T42+1,FALSE)</f>
        <v>11.391867070276401</v>
      </c>
      <c r="AI42" s="44">
        <f t="shared" si="32"/>
        <v>0</v>
      </c>
      <c r="AJ42" s="44">
        <f t="shared" si="33"/>
        <v>22669.815469850037</v>
      </c>
      <c r="AK42" s="44">
        <f>HLOOKUP(I42,GasAvoidedCostsWOCC!$A$5:$Q$50,G42+1,FALSE)*J42*L42</f>
        <v>0</v>
      </c>
      <c r="AL42" s="44">
        <f t="shared" si="34"/>
        <v>22669.815469850037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22669.815469850037</v>
      </c>
      <c r="AN42" s="48">
        <f t="shared" si="35"/>
        <v>24936.797016835044</v>
      </c>
      <c r="AO42" s="47">
        <f t="shared" si="36"/>
        <v>2.6801742611896215</v>
      </c>
      <c r="AP42" s="47">
        <f t="shared" si="37"/>
        <v>1.0421755000200827</v>
      </c>
      <c r="AQ42">
        <v>2020</v>
      </c>
    </row>
    <row r="43" spans="2:43">
      <c r="B43" s="97" t="s">
        <v>141</v>
      </c>
      <c r="C43" s="61">
        <v>18230731</v>
      </c>
      <c r="D43" s="61" t="s">
        <v>142</v>
      </c>
      <c r="E43" s="38" t="s">
        <v>990</v>
      </c>
      <c r="F43" s="39" t="s">
        <v>991</v>
      </c>
      <c r="G43" s="39">
        <v>15</v>
      </c>
      <c r="H43" s="39"/>
      <c r="I43" s="40" t="s">
        <v>261</v>
      </c>
      <c r="J43" s="41">
        <v>1</v>
      </c>
      <c r="K43" s="41">
        <v>35971.699999999997</v>
      </c>
      <c r="L43" s="41"/>
      <c r="M43" s="42">
        <v>179859</v>
      </c>
      <c r="N43" s="42">
        <v>1867094</v>
      </c>
      <c r="O43" s="43">
        <v>35971.699999999997</v>
      </c>
      <c r="P43" s="44">
        <v>179859</v>
      </c>
      <c r="Q43" s="44">
        <v>1867094</v>
      </c>
      <c r="R43" s="45"/>
      <c r="S43" s="46"/>
      <c r="T43" s="39">
        <f t="shared" si="19"/>
        <v>15</v>
      </c>
      <c r="U43" s="47">
        <f t="shared" si="20"/>
        <v>0.72110340245023241</v>
      </c>
      <c r="V43" s="48">
        <f t="shared" si="21"/>
        <v>1687235</v>
      </c>
      <c r="W43" s="49">
        <f t="shared" si="22"/>
        <v>4.8073560163348829E-2</v>
      </c>
      <c r="X43" s="44">
        <f t="shared" si="23"/>
        <v>39757.464018727624</v>
      </c>
      <c r="Y43" s="44">
        <f t="shared" si="24"/>
        <v>1687235</v>
      </c>
      <c r="Z43" s="44">
        <f t="shared" si="25"/>
        <v>163551.61428134894</v>
      </c>
      <c r="AA43" s="50">
        <f t="shared" si="26"/>
        <v>1906851.4640187277</v>
      </c>
      <c r="AB43" s="51">
        <f t="shared" si="27"/>
        <v>152894.84367705797</v>
      </c>
      <c r="AC43" s="44">
        <f t="shared" si="28"/>
        <v>1782603.9674850216</v>
      </c>
      <c r="AD43" s="44">
        <f t="shared" si="29"/>
        <v>0</v>
      </c>
      <c r="AE43" s="44">
        <f t="shared" si="30"/>
        <v>0</v>
      </c>
      <c r="AF43" s="52">
        <f>HLOOKUP(I43,GasAvoidedCostsWOCC!$A$5:$G$50,G43+1,FALSE)</f>
        <v>11.391867070276401</v>
      </c>
      <c r="AG43" s="44">
        <f t="shared" si="31"/>
        <v>409784.82469186158</v>
      </c>
      <c r="AH43" s="52">
        <f>HLOOKUP(I43,GasAvoidedCostsWOCC!$A$5:$Q$50,T43+1,FALSE)</f>
        <v>11.391867070276401</v>
      </c>
      <c r="AI43" s="44">
        <f t="shared" si="32"/>
        <v>0</v>
      </c>
      <c r="AJ43" s="44">
        <f t="shared" si="33"/>
        <v>409784.82469186158</v>
      </c>
      <c r="AK43" s="44">
        <f>HLOOKUP(I43,GasAvoidedCostsWOCC!$A$5:$Q$50,G43+1,FALSE)*J43*L43</f>
        <v>0</v>
      </c>
      <c r="AL43" s="44">
        <f t="shared" si="34"/>
        <v>409784.82469186158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409784.82469186158</v>
      </c>
      <c r="AN43" s="48">
        <f t="shared" si="35"/>
        <v>450763.30716104776</v>
      </c>
      <c r="AO43" s="47">
        <f t="shared" si="36"/>
        <v>2.680174261189622</v>
      </c>
      <c r="AP43" s="47">
        <f t="shared" si="37"/>
        <v>0.25286789179371405</v>
      </c>
      <c r="AQ43">
        <v>2020</v>
      </c>
    </row>
    <row r="44" spans="2:43">
      <c r="B44" s="97" t="s">
        <v>141</v>
      </c>
      <c r="C44" s="61">
        <v>18230731</v>
      </c>
      <c r="D44" s="61" t="s">
        <v>142</v>
      </c>
      <c r="E44" s="38" t="s">
        <v>990</v>
      </c>
      <c r="F44" s="39" t="s">
        <v>991</v>
      </c>
      <c r="G44" s="39">
        <v>15</v>
      </c>
      <c r="H44" s="39"/>
      <c r="I44" s="40" t="s">
        <v>261</v>
      </c>
      <c r="J44" s="41">
        <v>1</v>
      </c>
      <c r="K44" s="41">
        <v>4975</v>
      </c>
      <c r="L44" s="41"/>
      <c r="M44" s="42">
        <v>24875</v>
      </c>
      <c r="N44" s="42">
        <v>73788</v>
      </c>
      <c r="O44" s="43">
        <v>4975</v>
      </c>
      <c r="P44" s="44">
        <v>24875</v>
      </c>
      <c r="Q44" s="44">
        <v>73788</v>
      </c>
      <c r="R44" s="45"/>
      <c r="S44" s="46"/>
      <c r="T44" s="39">
        <f t="shared" si="19"/>
        <v>15</v>
      </c>
      <c r="U44" s="47">
        <f t="shared" si="20"/>
        <v>9.9730883644362278E-2</v>
      </c>
      <c r="V44" s="48">
        <f t="shared" si="21"/>
        <v>48913</v>
      </c>
      <c r="W44" s="49">
        <f t="shared" si="22"/>
        <v>6.6487255762908183E-3</v>
      </c>
      <c r="X44" s="44">
        <f t="shared" si="23"/>
        <v>5498.5831498975567</v>
      </c>
      <c r="Y44" s="44">
        <f t="shared" si="24"/>
        <v>48913</v>
      </c>
      <c r="Z44" s="44">
        <f t="shared" si="25"/>
        <v>22619.7060758794</v>
      </c>
      <c r="AA44" s="50">
        <f t="shared" si="26"/>
        <v>79286.58314989756</v>
      </c>
      <c r="AB44" s="51">
        <f t="shared" si="27"/>
        <v>21145.840960904363</v>
      </c>
      <c r="AC44" s="44">
        <f t="shared" si="28"/>
        <v>74120.391838737545</v>
      </c>
      <c r="AD44" s="44">
        <f t="shared" si="29"/>
        <v>0</v>
      </c>
      <c r="AE44" s="44">
        <f t="shared" si="30"/>
        <v>0</v>
      </c>
      <c r="AF44" s="52">
        <f>HLOOKUP(I44,GasAvoidedCostsWOCC!$A$5:$G$50,G44+1,FALSE)</f>
        <v>11.391867070276401</v>
      </c>
      <c r="AG44" s="44">
        <f t="shared" si="31"/>
        <v>56674.538674625095</v>
      </c>
      <c r="AH44" s="52">
        <f>HLOOKUP(I44,GasAvoidedCostsWOCC!$A$5:$Q$50,T44+1,FALSE)</f>
        <v>11.391867070276401</v>
      </c>
      <c r="AI44" s="44">
        <f t="shared" si="32"/>
        <v>0</v>
      </c>
      <c r="AJ44" s="44">
        <f t="shared" si="33"/>
        <v>56674.538674625095</v>
      </c>
      <c r="AK44" s="44">
        <f>HLOOKUP(I44,GasAvoidedCostsWOCC!$A$5:$Q$50,G44+1,FALSE)*J44*L44</f>
        <v>0</v>
      </c>
      <c r="AL44" s="44">
        <f t="shared" si="34"/>
        <v>56674.538674625095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56674.538674625095</v>
      </c>
      <c r="AN44" s="48">
        <f t="shared" si="35"/>
        <v>62341.99254208761</v>
      </c>
      <c r="AO44" s="47">
        <f t="shared" si="36"/>
        <v>2.680174261189622</v>
      </c>
      <c r="AP44" s="47">
        <f t="shared" si="37"/>
        <v>0.84109097369215213</v>
      </c>
      <c r="AQ44">
        <v>2020</v>
      </c>
    </row>
    <row r="45" spans="2:43">
      <c r="B45" s="97" t="s">
        <v>141</v>
      </c>
      <c r="C45" s="61">
        <v>18230731</v>
      </c>
      <c r="D45" s="61" t="s">
        <v>142</v>
      </c>
      <c r="E45" s="38" t="s">
        <v>990</v>
      </c>
      <c r="F45" s="39" t="s">
        <v>991</v>
      </c>
      <c r="G45" s="39">
        <v>15</v>
      </c>
      <c r="H45" s="39"/>
      <c r="I45" s="40" t="s">
        <v>261</v>
      </c>
      <c r="J45" s="41">
        <v>1</v>
      </c>
      <c r="K45" s="41">
        <v>0</v>
      </c>
      <c r="L45" s="41"/>
      <c r="M45" s="42">
        <v>0</v>
      </c>
      <c r="N45" s="42">
        <v>0</v>
      </c>
      <c r="O45" s="43">
        <v>0</v>
      </c>
      <c r="P45" s="44">
        <v>0</v>
      </c>
      <c r="Q45" s="44">
        <v>0</v>
      </c>
      <c r="R45" s="45"/>
      <c r="S45" s="46"/>
      <c r="T45" s="39">
        <f t="shared" si="19"/>
        <v>15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>
        <f>HLOOKUP(I45,GasAvoidedCostsWOCC!$A$5:$G$50,G45+1,FALSE)</f>
        <v>11.391867070276401</v>
      </c>
      <c r="AG45" s="44">
        <f t="shared" si="31"/>
        <v>0</v>
      </c>
      <c r="AH45" s="52">
        <f>HLOOKUP(I45,GasAvoidedCostsWOCC!$A$5:$Q$50,T45+1,FALSE)</f>
        <v>11.391867070276401</v>
      </c>
      <c r="AI45" s="44">
        <f t="shared" si="32"/>
        <v>0</v>
      </c>
      <c r="AJ45" s="44">
        <f t="shared" si="33"/>
        <v>0</v>
      </c>
      <c r="AK45" s="44">
        <f>HLOOKUP(I45,GasAvoidedCostsWOCC!$A$5:$Q$50,G45+1,FALSE)*J45*L45</f>
        <v>0</v>
      </c>
      <c r="AL45" s="44">
        <f t="shared" si="34"/>
        <v>0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  <c r="AQ45">
        <v>2020</v>
      </c>
    </row>
    <row r="46" spans="2:43">
      <c r="B46" s="97" t="s">
        <v>141</v>
      </c>
      <c r="C46" s="61">
        <v>18230731</v>
      </c>
      <c r="D46" s="61" t="s">
        <v>142</v>
      </c>
      <c r="E46" s="38" t="s">
        <v>990</v>
      </c>
      <c r="F46" s="39" t="s">
        <v>991</v>
      </c>
      <c r="G46" s="39">
        <v>15</v>
      </c>
      <c r="H46" s="39"/>
      <c r="I46" s="40" t="s">
        <v>261</v>
      </c>
      <c r="J46" s="41">
        <v>1</v>
      </c>
      <c r="K46" s="41">
        <v>0</v>
      </c>
      <c r="L46" s="41"/>
      <c r="M46" s="42">
        <v>0</v>
      </c>
      <c r="N46" s="42">
        <v>0</v>
      </c>
      <c r="O46" s="43">
        <v>0</v>
      </c>
      <c r="P46" s="44">
        <v>0</v>
      </c>
      <c r="Q46" s="44">
        <v>0</v>
      </c>
      <c r="R46" s="45"/>
      <c r="S46" s="46"/>
      <c r="T46" s="39">
        <f t="shared" si="19"/>
        <v>15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>
        <f>HLOOKUP(I46,GasAvoidedCostsWOCC!$A$5:$G$50,G46+1,FALSE)</f>
        <v>11.391867070276401</v>
      </c>
      <c r="AG46" s="44">
        <f t="shared" si="31"/>
        <v>0</v>
      </c>
      <c r="AH46" s="52">
        <f>HLOOKUP(I46,GasAvoidedCostsWOCC!$A$5:$Q$50,T46+1,FALSE)</f>
        <v>11.391867070276401</v>
      </c>
      <c r="AI46" s="44">
        <f t="shared" si="32"/>
        <v>0</v>
      </c>
      <c r="AJ46" s="44">
        <f t="shared" si="33"/>
        <v>0</v>
      </c>
      <c r="AK46" s="44">
        <f>HLOOKUP(I46,GasAvoidedCostsWOCC!$A$5:$Q$50,G46+1,FALSE)*J46*L46</f>
        <v>0</v>
      </c>
      <c r="AL46" s="44">
        <f t="shared" si="34"/>
        <v>0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  <c r="AQ46">
        <v>2020</v>
      </c>
    </row>
    <row r="47" spans="2:43">
      <c r="B47" s="97" t="s">
        <v>141</v>
      </c>
      <c r="C47" s="61">
        <v>18230731</v>
      </c>
      <c r="D47" s="61" t="s">
        <v>142</v>
      </c>
      <c r="E47" s="38" t="s">
        <v>990</v>
      </c>
      <c r="F47" s="39" t="s">
        <v>991</v>
      </c>
      <c r="G47" s="39">
        <v>15</v>
      </c>
      <c r="H47" s="39"/>
      <c r="I47" s="40" t="s">
        <v>261</v>
      </c>
      <c r="J47" s="41">
        <v>1</v>
      </c>
      <c r="K47" s="41">
        <v>0</v>
      </c>
      <c r="L47" s="41"/>
      <c r="M47" s="42">
        <v>0</v>
      </c>
      <c r="N47" s="42">
        <v>0</v>
      </c>
      <c r="O47" s="43">
        <v>0</v>
      </c>
      <c r="P47" s="44">
        <v>0</v>
      </c>
      <c r="Q47" s="44">
        <v>0</v>
      </c>
      <c r="R47" s="45"/>
      <c r="S47" s="46"/>
      <c r="T47" s="39">
        <f t="shared" si="19"/>
        <v>15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>
        <f>HLOOKUP(I47,GasAvoidedCostsWOCC!$A$5:$G$50,G47+1,FALSE)</f>
        <v>11.391867070276401</v>
      </c>
      <c r="AG47" s="44">
        <f t="shared" si="31"/>
        <v>0</v>
      </c>
      <c r="AH47" s="52">
        <f>HLOOKUP(I47,GasAvoidedCostsWOCC!$A$5:$Q$50,T47+1,FALSE)</f>
        <v>11.391867070276401</v>
      </c>
      <c r="AI47" s="44">
        <f t="shared" si="32"/>
        <v>0</v>
      </c>
      <c r="AJ47" s="44">
        <f t="shared" si="33"/>
        <v>0</v>
      </c>
      <c r="AK47" s="44">
        <f>HLOOKUP(I47,GasAvoidedCostsWOCC!$A$5:$Q$50,G47+1,FALSE)*J47*L47</f>
        <v>0</v>
      </c>
      <c r="AL47" s="44">
        <f t="shared" si="34"/>
        <v>0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  <c r="AQ47">
        <v>2020</v>
      </c>
    </row>
    <row r="48" spans="2:43">
      <c r="B48" s="97" t="s">
        <v>141</v>
      </c>
      <c r="C48" s="61">
        <v>18230731</v>
      </c>
      <c r="D48" s="61" t="s">
        <v>142</v>
      </c>
      <c r="E48" s="38" t="s">
        <v>990</v>
      </c>
      <c r="F48" s="39" t="s">
        <v>991</v>
      </c>
      <c r="G48" s="39">
        <v>15</v>
      </c>
      <c r="H48" s="39"/>
      <c r="I48" s="40" t="s">
        <v>261</v>
      </c>
      <c r="J48" s="41">
        <v>1</v>
      </c>
      <c r="K48" s="41">
        <v>0</v>
      </c>
      <c r="L48" s="41"/>
      <c r="M48" s="42">
        <v>0</v>
      </c>
      <c r="N48" s="42">
        <v>0</v>
      </c>
      <c r="O48" s="43">
        <v>0</v>
      </c>
      <c r="P48" s="44">
        <v>0</v>
      </c>
      <c r="Q48" s="44">
        <v>0</v>
      </c>
      <c r="R48" s="45"/>
      <c r="S48" s="46"/>
      <c r="T48" s="39">
        <f t="shared" si="19"/>
        <v>15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>
        <f>HLOOKUP(I48,GasAvoidedCostsWOCC!$A$5:$G$50,G48+1,FALSE)</f>
        <v>11.391867070276401</v>
      </c>
      <c r="AG48" s="44">
        <f t="shared" si="31"/>
        <v>0</v>
      </c>
      <c r="AH48" s="52">
        <f>HLOOKUP(I48,GasAvoidedCostsWOCC!$A$5:$Q$50,T48+1,FALSE)</f>
        <v>11.391867070276401</v>
      </c>
      <c r="AI48" s="44">
        <f t="shared" si="32"/>
        <v>0</v>
      </c>
      <c r="AJ48" s="44">
        <f t="shared" si="33"/>
        <v>0</v>
      </c>
      <c r="AK48" s="44">
        <f>HLOOKUP(I48,GasAvoidedCostsWOCC!$A$5:$Q$50,G48+1,FALSE)*J48*L48</f>
        <v>0</v>
      </c>
      <c r="AL48" s="44">
        <f t="shared" si="34"/>
        <v>0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  <c r="AQ48">
        <v>2020</v>
      </c>
    </row>
    <row r="49" spans="2:43">
      <c r="B49" s="97" t="s">
        <v>141</v>
      </c>
      <c r="C49" s="61">
        <v>18230731</v>
      </c>
      <c r="D49" s="61" t="s">
        <v>142</v>
      </c>
      <c r="E49" s="38" t="s">
        <v>992</v>
      </c>
      <c r="F49" s="39" t="s">
        <v>993</v>
      </c>
      <c r="G49" s="39">
        <v>10</v>
      </c>
      <c r="H49" s="39"/>
      <c r="I49" s="40" t="s">
        <v>261</v>
      </c>
      <c r="J49" s="41">
        <v>1</v>
      </c>
      <c r="K49" s="41">
        <v>89539</v>
      </c>
      <c r="L49" s="41"/>
      <c r="M49" s="42">
        <v>170625</v>
      </c>
      <c r="N49" s="42">
        <v>275780.02</v>
      </c>
      <c r="O49" s="43">
        <v>89539</v>
      </c>
      <c r="P49" s="44">
        <v>170625</v>
      </c>
      <c r="Q49" s="44">
        <v>275780.02</v>
      </c>
      <c r="R49" s="45"/>
      <c r="S49" s="46"/>
      <c r="T49" s="39">
        <f t="shared" si="19"/>
        <v>10</v>
      </c>
      <c r="U49" s="47">
        <f t="shared" si="20"/>
        <v>1.1966235967346808</v>
      </c>
      <c r="V49" s="48">
        <f t="shared" si="21"/>
        <v>105155.02000000002</v>
      </c>
      <c r="W49" s="49">
        <f t="shared" si="22"/>
        <v>0.11966235967346807</v>
      </c>
      <c r="X49" s="44">
        <f t="shared" si="23"/>
        <v>98962.339026869828</v>
      </c>
      <c r="Y49" s="44">
        <f t="shared" si="24"/>
        <v>105155.02000000002</v>
      </c>
      <c r="Z49" s="44">
        <f t="shared" si="25"/>
        <v>407104.69594536</v>
      </c>
      <c r="AA49" s="50">
        <f t="shared" si="26"/>
        <v>374742.35902686988</v>
      </c>
      <c r="AB49" s="51">
        <f t="shared" si="27"/>
        <v>380578.38267304847</v>
      </c>
      <c r="AC49" s="44">
        <f t="shared" si="28"/>
        <v>350324.72564912576</v>
      </c>
      <c r="AD49" s="44">
        <f t="shared" si="29"/>
        <v>0</v>
      </c>
      <c r="AE49" s="44">
        <f t="shared" si="30"/>
        <v>0</v>
      </c>
      <c r="AF49" s="52">
        <f>HLOOKUP(I49,GasAvoidedCostsWOCC!$A$5:$G$50,G49+1,FALSE)</f>
        <v>8.0513997654936151</v>
      </c>
      <c r="AG49" s="44">
        <f t="shared" si="31"/>
        <v>720914.28360253281</v>
      </c>
      <c r="AH49" s="52">
        <f>HLOOKUP(I49,GasAvoidedCostsWOCC!$A$5:$Q$50,T49+1,FALSE)</f>
        <v>8.0513997654936151</v>
      </c>
      <c r="AI49" s="44">
        <f t="shared" si="32"/>
        <v>0</v>
      </c>
      <c r="AJ49" s="44">
        <f t="shared" si="33"/>
        <v>720914.28360253281</v>
      </c>
      <c r="AK49" s="44">
        <f>HLOOKUP(I49,GasAvoidedCostsWOCC!$A$5:$Q$50,G49+1,FALSE)*J49*L49</f>
        <v>0</v>
      </c>
      <c r="AL49" s="44">
        <f t="shared" si="34"/>
        <v>720914.28360253281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720914.28360253281</v>
      </c>
      <c r="AN49" s="48">
        <f t="shared" si="35"/>
        <v>793005.71196278615</v>
      </c>
      <c r="AO49" s="47">
        <f t="shared" si="36"/>
        <v>1.8942596753370091</v>
      </c>
      <c r="AP49" s="47">
        <f t="shared" si="37"/>
        <v>2.2636304374274618</v>
      </c>
      <c r="AQ49">
        <v>2020</v>
      </c>
    </row>
    <row r="50" spans="2:43">
      <c r="B50" s="97" t="s">
        <v>141</v>
      </c>
      <c r="C50" s="61">
        <v>18230731</v>
      </c>
      <c r="D50" s="61" t="s">
        <v>142</v>
      </c>
      <c r="E50" s="38" t="s">
        <v>992</v>
      </c>
      <c r="F50" s="39" t="s">
        <v>993</v>
      </c>
      <c r="G50" s="39">
        <v>10</v>
      </c>
      <c r="H50" s="39"/>
      <c r="I50" s="40" t="s">
        <v>261</v>
      </c>
      <c r="J50" s="41">
        <v>1</v>
      </c>
      <c r="K50" s="41">
        <v>11970</v>
      </c>
      <c r="L50" s="41"/>
      <c r="M50" s="42">
        <v>43847</v>
      </c>
      <c r="N50" s="42">
        <v>68902</v>
      </c>
      <c r="O50" s="43">
        <v>11970</v>
      </c>
      <c r="P50" s="44">
        <v>43847</v>
      </c>
      <c r="Q50" s="44">
        <v>68902</v>
      </c>
      <c r="R50" s="45"/>
      <c r="S50" s="46"/>
      <c r="T50" s="39">
        <f t="shared" si="19"/>
        <v>10</v>
      </c>
      <c r="U50" s="47">
        <f t="shared" si="20"/>
        <v>0.15997034200643437</v>
      </c>
      <c r="V50" s="48">
        <f t="shared" si="21"/>
        <v>25055</v>
      </c>
      <c r="W50" s="49">
        <f t="shared" si="22"/>
        <v>1.5997034200643436E-2</v>
      </c>
      <c r="X50" s="44">
        <f t="shared" si="23"/>
        <v>13229.756845080152</v>
      </c>
      <c r="Y50" s="44">
        <f t="shared" si="24"/>
        <v>25055</v>
      </c>
      <c r="Z50" s="44">
        <f t="shared" si="25"/>
        <v>54423.694819754062</v>
      </c>
      <c r="AA50" s="50">
        <f t="shared" si="26"/>
        <v>82131.756845080148</v>
      </c>
      <c r="AB50" s="51">
        <f t="shared" si="27"/>
        <v>50877.530914979958</v>
      </c>
      <c r="AC50" s="44">
        <f t="shared" si="28"/>
        <v>76780.178409909451</v>
      </c>
      <c r="AD50" s="44">
        <f t="shared" si="29"/>
        <v>0</v>
      </c>
      <c r="AE50" s="44">
        <f t="shared" si="30"/>
        <v>0</v>
      </c>
      <c r="AF50" s="52">
        <f>HLOOKUP(I50,GasAvoidedCostsWOCC!$A$5:$G$50,G50+1,FALSE)</f>
        <v>8.0513997654936151</v>
      </c>
      <c r="AG50" s="44">
        <f t="shared" si="31"/>
        <v>96375.255192958575</v>
      </c>
      <c r="AH50" s="52">
        <f>HLOOKUP(I50,GasAvoidedCostsWOCC!$A$5:$Q$50,T50+1,FALSE)</f>
        <v>8.0513997654936151</v>
      </c>
      <c r="AI50" s="44">
        <f t="shared" si="32"/>
        <v>0</v>
      </c>
      <c r="AJ50" s="44">
        <f t="shared" si="33"/>
        <v>96375.255192958575</v>
      </c>
      <c r="AK50" s="44">
        <f>HLOOKUP(I50,GasAvoidedCostsWOCC!$A$5:$Q$50,G50+1,FALSE)*J50*L50</f>
        <v>0</v>
      </c>
      <c r="AL50" s="44">
        <f t="shared" si="34"/>
        <v>96375.255192958575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96375.255192958575</v>
      </c>
      <c r="AN50" s="48">
        <f t="shared" si="35"/>
        <v>106012.78071225445</v>
      </c>
      <c r="AO50" s="47">
        <f t="shared" si="36"/>
        <v>1.8942596753370091</v>
      </c>
      <c r="AP50" s="47">
        <f t="shared" si="37"/>
        <v>1.3807311067484074</v>
      </c>
      <c r="AQ50">
        <v>2020</v>
      </c>
    </row>
    <row r="51" spans="2:43">
      <c r="B51" s="97" t="s">
        <v>141</v>
      </c>
      <c r="C51" s="61">
        <v>18230731</v>
      </c>
      <c r="D51" s="61" t="s">
        <v>142</v>
      </c>
      <c r="E51" s="38" t="s">
        <v>1006</v>
      </c>
      <c r="F51" s="39" t="s">
        <v>1007</v>
      </c>
      <c r="G51" s="39">
        <v>24</v>
      </c>
      <c r="H51" s="39"/>
      <c r="I51" s="40" t="s">
        <v>255</v>
      </c>
      <c r="J51" s="41">
        <v>1</v>
      </c>
      <c r="K51" s="41">
        <v>6707</v>
      </c>
      <c r="L51" s="41"/>
      <c r="M51" s="42">
        <v>33535</v>
      </c>
      <c r="N51" s="42">
        <v>119250</v>
      </c>
      <c r="O51" s="43">
        <v>6707</v>
      </c>
      <c r="P51" s="44">
        <v>33535</v>
      </c>
      <c r="Q51" s="44">
        <v>119250</v>
      </c>
      <c r="R51" s="45"/>
      <c r="S51" s="46"/>
      <c r="T51" s="39">
        <f t="shared" si="19"/>
        <v>24</v>
      </c>
      <c r="U51" s="47">
        <f t="shared" si="20"/>
        <v>0.21512202182198603</v>
      </c>
      <c r="V51" s="48">
        <f t="shared" si="21"/>
        <v>85715</v>
      </c>
      <c r="W51" s="49">
        <f t="shared" si="22"/>
        <v>8.9634175759160852E-3</v>
      </c>
      <c r="X51" s="44">
        <f t="shared" si="23"/>
        <v>7412.8637560528477</v>
      </c>
      <c r="Y51" s="44">
        <f t="shared" si="24"/>
        <v>85715</v>
      </c>
      <c r="Z51" s="44">
        <f t="shared" si="25"/>
        <v>30494.546462497117</v>
      </c>
      <c r="AA51" s="50">
        <f t="shared" si="26"/>
        <v>126662.86375605284</v>
      </c>
      <c r="AB51" s="51">
        <f t="shared" si="27"/>
        <v>28507.56890950464</v>
      </c>
      <c r="AC51" s="44">
        <f t="shared" si="28"/>
        <v>118409.70716654467</v>
      </c>
      <c r="AD51" s="44">
        <f t="shared" si="29"/>
        <v>0</v>
      </c>
      <c r="AE51" s="44">
        <f t="shared" si="30"/>
        <v>0</v>
      </c>
      <c r="AF51" s="52">
        <f>HLOOKUP(I51,GasAvoidedCostsWOCC!$A$5:$G$50,G51+1,FALSE)</f>
        <v>15.156272556848696</v>
      </c>
      <c r="AG51" s="44">
        <f t="shared" si="31"/>
        <v>101653.12003878421</v>
      </c>
      <c r="AH51" s="52">
        <f>HLOOKUP(I51,GasAvoidedCostsWOCC!$A$5:$Q$50,T51+1,FALSE)</f>
        <v>15.156272556848696</v>
      </c>
      <c r="AI51" s="44">
        <f t="shared" si="32"/>
        <v>0</v>
      </c>
      <c r="AJ51" s="44">
        <f t="shared" si="33"/>
        <v>101653.12003878421</v>
      </c>
      <c r="AK51" s="44">
        <f>HLOOKUP(I51,GasAvoidedCostsWOCC!$A$5:$Q$50,G51+1,FALSE)*J51*L51</f>
        <v>0</v>
      </c>
      <c r="AL51" s="44">
        <f t="shared" si="34"/>
        <v>101653.12003878421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101653.12003878421</v>
      </c>
      <c r="AN51" s="48">
        <f t="shared" si="35"/>
        <v>111818.43204266264</v>
      </c>
      <c r="AO51" s="47">
        <f t="shared" si="36"/>
        <v>3.5658291438836893</v>
      </c>
      <c r="AP51" s="47">
        <f t="shared" si="37"/>
        <v>0.94433501035002709</v>
      </c>
      <c r="AQ51">
        <v>2020</v>
      </c>
    </row>
    <row r="52" spans="2:43">
      <c r="B52" s="97" t="s">
        <v>141</v>
      </c>
      <c r="C52" s="61">
        <v>18230731</v>
      </c>
      <c r="D52" s="61" t="s">
        <v>142</v>
      </c>
      <c r="E52" s="38" t="s">
        <v>1006</v>
      </c>
      <c r="F52" s="39" t="s">
        <v>1007</v>
      </c>
      <c r="G52" s="39">
        <v>24</v>
      </c>
      <c r="H52" s="39"/>
      <c r="I52" s="40" t="s">
        <v>255</v>
      </c>
      <c r="J52" s="41">
        <v>1</v>
      </c>
      <c r="K52" s="41">
        <v>8143</v>
      </c>
      <c r="L52" s="41"/>
      <c r="M52" s="42">
        <v>40715</v>
      </c>
      <c r="N52" s="42">
        <v>68745</v>
      </c>
      <c r="O52" s="43">
        <v>8143</v>
      </c>
      <c r="P52" s="44">
        <v>40715</v>
      </c>
      <c r="Q52" s="44">
        <v>68745</v>
      </c>
      <c r="R52" s="45"/>
      <c r="S52" s="46"/>
      <c r="T52" s="39">
        <f t="shared" si="19"/>
        <v>24</v>
      </c>
      <c r="U52" s="47">
        <f t="shared" si="20"/>
        <v>0.2611806506182246</v>
      </c>
      <c r="V52" s="48">
        <f t="shared" si="21"/>
        <v>28030</v>
      </c>
      <c r="W52" s="49">
        <f t="shared" si="22"/>
        <v>1.0882527109092691E-2</v>
      </c>
      <c r="X52" s="44">
        <f t="shared" si="23"/>
        <v>8999.992480324785</v>
      </c>
      <c r="Y52" s="44">
        <f t="shared" si="24"/>
        <v>28030</v>
      </c>
      <c r="Z52" s="44">
        <f t="shared" si="25"/>
        <v>37023.571171032352</v>
      </c>
      <c r="AA52" s="50">
        <f t="shared" si="26"/>
        <v>77744.992480324785</v>
      </c>
      <c r="AB52" s="51">
        <f t="shared" si="27"/>
        <v>34611.172451184771</v>
      </c>
      <c r="AC52" s="44">
        <f t="shared" si="28"/>
        <v>72679.24883642589</v>
      </c>
      <c r="AD52" s="44">
        <f t="shared" si="29"/>
        <v>0</v>
      </c>
      <c r="AE52" s="44">
        <f t="shared" si="30"/>
        <v>0</v>
      </c>
      <c r="AF52" s="52">
        <f>HLOOKUP(I52,GasAvoidedCostsWOCC!$A$5:$G$50,G52+1,FALSE)</f>
        <v>15.156272556848696</v>
      </c>
      <c r="AG52" s="44">
        <f t="shared" si="31"/>
        <v>123417.52743041894</v>
      </c>
      <c r="AH52" s="52">
        <f>HLOOKUP(I52,GasAvoidedCostsWOCC!$A$5:$Q$50,T52+1,FALSE)</f>
        <v>15.156272556848696</v>
      </c>
      <c r="AI52" s="44">
        <f t="shared" si="32"/>
        <v>0</v>
      </c>
      <c r="AJ52" s="44">
        <f t="shared" si="33"/>
        <v>123417.52743041894</v>
      </c>
      <c r="AK52" s="44">
        <f>HLOOKUP(I52,GasAvoidedCostsWOCC!$A$5:$Q$50,G52+1,FALSE)*J52*L52</f>
        <v>0</v>
      </c>
      <c r="AL52" s="44">
        <f t="shared" si="34"/>
        <v>123417.52743041894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123417.52743041894</v>
      </c>
      <c r="AN52" s="48">
        <f t="shared" si="35"/>
        <v>135759.28017346084</v>
      </c>
      <c r="AO52" s="47">
        <f t="shared" si="36"/>
        <v>3.5658291438836898</v>
      </c>
      <c r="AP52" s="47">
        <f t="shared" si="37"/>
        <v>1.8679235455364263</v>
      </c>
      <c r="AQ52">
        <v>2020</v>
      </c>
    </row>
    <row r="53" spans="2:43">
      <c r="B53" s="97" t="s">
        <v>141</v>
      </c>
      <c r="C53" s="61">
        <v>18230731</v>
      </c>
      <c r="D53" s="61" t="s">
        <v>142</v>
      </c>
      <c r="E53" s="38" t="s">
        <v>1010</v>
      </c>
      <c r="F53" s="39" t="s">
        <v>1011</v>
      </c>
      <c r="G53" s="39">
        <v>15</v>
      </c>
      <c r="H53" s="39"/>
      <c r="I53" s="40" t="s">
        <v>256</v>
      </c>
      <c r="J53" s="41">
        <v>1</v>
      </c>
      <c r="K53" s="41">
        <v>0</v>
      </c>
      <c r="L53" s="41"/>
      <c r="M53" s="42">
        <v>0</v>
      </c>
      <c r="N53" s="42">
        <v>0</v>
      </c>
      <c r="O53" s="43">
        <v>0</v>
      </c>
      <c r="P53" s="44">
        <v>0</v>
      </c>
      <c r="Q53" s="44">
        <v>0</v>
      </c>
      <c r="R53" s="45"/>
      <c r="S53" s="46"/>
      <c r="T53" s="39">
        <f t="shared" si="19"/>
        <v>15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>
        <f>HLOOKUP(I53,GasAvoidedCostsWOCC!$A$5:$G$50,G53+1,FALSE)</f>
        <v>9.6460139924167869</v>
      </c>
      <c r="AG53" s="44">
        <f t="shared" si="31"/>
        <v>0</v>
      </c>
      <c r="AH53" s="52">
        <f>HLOOKUP(I53,GasAvoidedCostsWOCC!$A$5:$Q$50,T53+1,FALSE)</f>
        <v>9.6460139924167869</v>
      </c>
      <c r="AI53" s="44">
        <f t="shared" si="32"/>
        <v>0</v>
      </c>
      <c r="AJ53" s="44">
        <f t="shared" si="33"/>
        <v>0</v>
      </c>
      <c r="AK53" s="44">
        <f>HLOOKUP(I53,GasAvoidedCostsWOCC!$A$5:$Q$50,G53+1,FALSE)*J53*L53</f>
        <v>0</v>
      </c>
      <c r="AL53" s="44">
        <f t="shared" si="34"/>
        <v>0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  <c r="AQ53">
        <v>2020</v>
      </c>
    </row>
    <row r="54" spans="2:43">
      <c r="B54" s="97" t="s">
        <v>141</v>
      </c>
      <c r="C54" s="61">
        <v>18230731</v>
      </c>
      <c r="D54" s="61" t="s">
        <v>142</v>
      </c>
      <c r="E54" s="38" t="s">
        <v>1012</v>
      </c>
      <c r="F54" s="39" t="s">
        <v>1013</v>
      </c>
      <c r="G54" s="39">
        <v>20</v>
      </c>
      <c r="H54" s="39"/>
      <c r="I54" s="40" t="s">
        <v>256</v>
      </c>
      <c r="J54" s="41">
        <v>1</v>
      </c>
      <c r="K54" s="41">
        <v>89557</v>
      </c>
      <c r="L54" s="41"/>
      <c r="M54" s="42">
        <v>361118</v>
      </c>
      <c r="N54" s="42">
        <v>546292</v>
      </c>
      <c r="O54" s="43">
        <v>89557</v>
      </c>
      <c r="P54" s="44">
        <v>361118</v>
      </c>
      <c r="Q54" s="44">
        <v>546292</v>
      </c>
      <c r="R54" s="45"/>
      <c r="S54" s="46"/>
      <c r="T54" s="39">
        <f t="shared" si="19"/>
        <v>20</v>
      </c>
      <c r="U54" s="47">
        <f t="shared" si="20"/>
        <v>2.3937283072799072</v>
      </c>
      <c r="V54" s="48">
        <f t="shared" si="21"/>
        <v>185174</v>
      </c>
      <c r="W54" s="49">
        <f t="shared" si="22"/>
        <v>0.11968641536399535</v>
      </c>
      <c r="X54" s="44">
        <f t="shared" si="23"/>
        <v>98982.233398065437</v>
      </c>
      <c r="Y54" s="44">
        <f t="shared" si="24"/>
        <v>185174</v>
      </c>
      <c r="Z54" s="44">
        <f t="shared" si="25"/>
        <v>407186.53608794609</v>
      </c>
      <c r="AA54" s="50">
        <f t="shared" si="26"/>
        <v>645274.23339806544</v>
      </c>
      <c r="AB54" s="51">
        <f t="shared" si="27"/>
        <v>380654.89023833419</v>
      </c>
      <c r="AC54" s="44">
        <f t="shared" si="28"/>
        <v>603229.1608844212</v>
      </c>
      <c r="AD54" s="44">
        <f t="shared" si="29"/>
        <v>0</v>
      </c>
      <c r="AE54" s="44">
        <f t="shared" si="30"/>
        <v>0</v>
      </c>
      <c r="AF54" s="52">
        <f>HLOOKUP(I54,GasAvoidedCostsWOCC!$A$5:$G$50,G54+1,FALSE)</f>
        <v>12.452380783934862</v>
      </c>
      <c r="AG54" s="44">
        <f t="shared" si="31"/>
        <v>1115197.8658668543</v>
      </c>
      <c r="AH54" s="52">
        <f>HLOOKUP(I54,GasAvoidedCostsWOCC!$A$5:$Q$50,T54+1,FALSE)</f>
        <v>12.452380783934862</v>
      </c>
      <c r="AI54" s="44">
        <f t="shared" si="32"/>
        <v>0</v>
      </c>
      <c r="AJ54" s="44">
        <f t="shared" si="33"/>
        <v>1115197.8658668543</v>
      </c>
      <c r="AK54" s="44">
        <f>HLOOKUP(I54,GasAvoidedCostsWOCC!$A$5:$Q$50,G54+1,FALSE)*J54*L54</f>
        <v>0</v>
      </c>
      <c r="AL54" s="44">
        <f t="shared" si="34"/>
        <v>1115197.8658668543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1115197.8658668543</v>
      </c>
      <c r="AN54" s="48">
        <f t="shared" si="35"/>
        <v>1226717.6524535399</v>
      </c>
      <c r="AO54" s="47">
        <f t="shared" si="36"/>
        <v>2.9296822252003931</v>
      </c>
      <c r="AP54" s="47">
        <f t="shared" si="37"/>
        <v>2.0335847999373811</v>
      </c>
      <c r="AQ54">
        <v>2020</v>
      </c>
    </row>
    <row r="55" spans="2:43">
      <c r="B55" s="97" t="s">
        <v>141</v>
      </c>
      <c r="C55" s="61">
        <v>18230731</v>
      </c>
      <c r="D55" s="61" t="s">
        <v>142</v>
      </c>
      <c r="E55" s="38" t="s">
        <v>1012</v>
      </c>
      <c r="F55" s="39" t="s">
        <v>1013</v>
      </c>
      <c r="G55" s="39">
        <v>20</v>
      </c>
      <c r="H55" s="39"/>
      <c r="I55" s="40" t="s">
        <v>256</v>
      </c>
      <c r="J55" s="41">
        <v>1</v>
      </c>
      <c r="K55" s="41">
        <v>0</v>
      </c>
      <c r="L55" s="41"/>
      <c r="M55" s="42">
        <v>0</v>
      </c>
      <c r="N55" s="42">
        <v>0</v>
      </c>
      <c r="O55" s="43">
        <v>0</v>
      </c>
      <c r="P55" s="44">
        <v>0</v>
      </c>
      <c r="Q55" s="44">
        <v>0</v>
      </c>
      <c r="R55" s="45"/>
      <c r="S55" s="46"/>
      <c r="T55" s="39">
        <f t="shared" si="19"/>
        <v>20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>
        <f>HLOOKUP(I55,GasAvoidedCostsWOCC!$A$5:$G$50,G55+1,FALSE)</f>
        <v>12.452380783934862</v>
      </c>
      <c r="AG55" s="44">
        <f t="shared" si="31"/>
        <v>0</v>
      </c>
      <c r="AH55" s="52">
        <f>HLOOKUP(I55,GasAvoidedCostsWOCC!$A$5:$Q$50,T55+1,FALSE)</f>
        <v>12.452380783934862</v>
      </c>
      <c r="AI55" s="44">
        <f t="shared" si="32"/>
        <v>0</v>
      </c>
      <c r="AJ55" s="44">
        <f t="shared" si="33"/>
        <v>0</v>
      </c>
      <c r="AK55" s="44">
        <f>HLOOKUP(I55,GasAvoidedCostsWOCC!$A$5:$Q$50,G55+1,FALSE)*J55*L55</f>
        <v>0</v>
      </c>
      <c r="AL55" s="44">
        <f t="shared" si="34"/>
        <v>0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  <c r="AQ55">
        <v>2020</v>
      </c>
    </row>
    <row r="56" spans="2:43">
      <c r="B56" s="97" t="s">
        <v>141</v>
      </c>
      <c r="C56" s="61">
        <v>18230731</v>
      </c>
      <c r="D56" s="61" t="s">
        <v>142</v>
      </c>
      <c r="E56" s="38" t="s">
        <v>1012</v>
      </c>
      <c r="F56" s="39" t="s">
        <v>1013</v>
      </c>
      <c r="G56" s="39">
        <v>20</v>
      </c>
      <c r="H56" s="39"/>
      <c r="I56" s="40" t="s">
        <v>256</v>
      </c>
      <c r="J56" s="41">
        <v>1</v>
      </c>
      <c r="K56" s="41">
        <v>0</v>
      </c>
      <c r="L56" s="41"/>
      <c r="M56" s="42">
        <v>0</v>
      </c>
      <c r="N56" s="42">
        <v>0</v>
      </c>
      <c r="O56" s="43">
        <v>0</v>
      </c>
      <c r="P56" s="44">
        <v>0</v>
      </c>
      <c r="Q56" s="44">
        <v>0</v>
      </c>
      <c r="R56" s="45"/>
      <c r="S56" s="46"/>
      <c r="T56" s="39">
        <f t="shared" ref="T56:T93" si="38">G56+H56</f>
        <v>20</v>
      </c>
      <c r="U56" s="47">
        <f t="shared" ref="U56:U93" si="39">(O56/$A$10)*T56</f>
        <v>0</v>
      </c>
      <c r="V56" s="48">
        <f t="shared" ref="V56:V93" si="40">N56-M56</f>
        <v>0</v>
      </c>
      <c r="W56" s="49">
        <f t="shared" ref="W56:W93" si="41">(O56/A$10)</f>
        <v>0</v>
      </c>
      <c r="X56" s="44">
        <f t="shared" ref="X56:X93" si="42">W56*A$8</f>
        <v>0</v>
      </c>
      <c r="Y56" s="44">
        <f t="shared" ref="Y56:Y93" si="43">Q56-P56</f>
        <v>0</v>
      </c>
      <c r="Z56" s="44">
        <f t="shared" ref="Z56:Z93" si="44">X56+(A$6*W56)</f>
        <v>0</v>
      </c>
      <c r="AA56" s="50">
        <f t="shared" ref="AA56:AA93" si="45">Q56+X56</f>
        <v>0</v>
      </c>
      <c r="AB56" s="51">
        <f t="shared" ref="AB56:AB93" si="46">Z56/(1+GasDiscountRate)^1</f>
        <v>0</v>
      </c>
      <c r="AC56" s="44">
        <f t="shared" ref="AC56:AC93" si="47">AA56/(1+GasDiscountRate)^1</f>
        <v>0</v>
      </c>
      <c r="AD56" s="44">
        <f t="shared" ref="AD56:AD93" si="48">-PV(GasDiscountRate,T56,R56)*J56</f>
        <v>0</v>
      </c>
      <c r="AE56" s="44">
        <f t="shared" ref="AE56:AE93" si="49">-PV(GasDiscountRate,T56,S56)*J56</f>
        <v>0</v>
      </c>
      <c r="AF56" s="52">
        <f>HLOOKUP(I56,GasAvoidedCostsWOCC!$A$5:$G$50,G56+1,FALSE)</f>
        <v>12.452380783934862</v>
      </c>
      <c r="AG56" s="44">
        <f t="shared" ref="AG56:AG93" si="50">AF56*J56*K56</f>
        <v>0</v>
      </c>
      <c r="AH56" s="52">
        <f>HLOOKUP(I56,GasAvoidedCostsWOCC!$A$5:$Q$50,T56+1,FALSE)</f>
        <v>12.452380783934862</v>
      </c>
      <c r="AI56" s="44">
        <f t="shared" ref="AI56:AI93" si="51">AH56*J56*L56</f>
        <v>0</v>
      </c>
      <c r="AJ56" s="44">
        <f t="shared" ref="AJ56:AJ93" si="52">AG56+AI56</f>
        <v>0</v>
      </c>
      <c r="AK56" s="44">
        <f>HLOOKUP(I56,GasAvoidedCostsWOCC!$A$5:$Q$50,G56+1,FALSE)*J56*L56</f>
        <v>0</v>
      </c>
      <c r="AL56" s="44">
        <f t="shared" ref="AL56:AL93" si="53">AG56+AI56-AK56</f>
        <v>0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ref="AN56:AN93" si="54">AM56*1.1+AD56+AE56</f>
        <v>0</v>
      </c>
      <c r="AO56" s="47">
        <f t="shared" ref="AO56:AO93" si="55">IFERROR(AM56/AB56,0)</f>
        <v>0</v>
      </c>
      <c r="AP56" s="47" t="e">
        <f t="shared" ref="AP56:AP93" si="56">AN56/AC56</f>
        <v>#DIV/0!</v>
      </c>
      <c r="AQ56">
        <v>2020</v>
      </c>
    </row>
    <row r="57" spans="2:43">
      <c r="B57" s="97" t="s">
        <v>141</v>
      </c>
      <c r="C57" s="61">
        <v>18230731</v>
      </c>
      <c r="D57" s="61" t="s">
        <v>142</v>
      </c>
      <c r="E57" s="38" t="s">
        <v>1012</v>
      </c>
      <c r="F57" s="39" t="s">
        <v>1013</v>
      </c>
      <c r="G57" s="39">
        <v>20</v>
      </c>
      <c r="H57" s="39"/>
      <c r="I57" s="40" t="s">
        <v>256</v>
      </c>
      <c r="J57" s="41">
        <v>1</v>
      </c>
      <c r="K57" s="41">
        <v>0</v>
      </c>
      <c r="L57" s="41"/>
      <c r="M57" s="42">
        <v>0</v>
      </c>
      <c r="N57" s="42">
        <v>0</v>
      </c>
      <c r="O57" s="43">
        <v>0</v>
      </c>
      <c r="P57" s="44">
        <v>0</v>
      </c>
      <c r="Q57" s="44">
        <v>0</v>
      </c>
      <c r="R57" s="45"/>
      <c r="S57" s="46"/>
      <c r="T57" s="39">
        <f t="shared" si="38"/>
        <v>20</v>
      </c>
      <c r="U57" s="47">
        <f t="shared" si="39"/>
        <v>0</v>
      </c>
      <c r="V57" s="48">
        <f t="shared" si="40"/>
        <v>0</v>
      </c>
      <c r="W57" s="49">
        <f t="shared" si="41"/>
        <v>0</v>
      </c>
      <c r="X57" s="44">
        <f t="shared" si="42"/>
        <v>0</v>
      </c>
      <c r="Y57" s="44">
        <f t="shared" si="43"/>
        <v>0</v>
      </c>
      <c r="Z57" s="44">
        <f t="shared" si="44"/>
        <v>0</v>
      </c>
      <c r="AA57" s="50">
        <f t="shared" si="45"/>
        <v>0</v>
      </c>
      <c r="AB57" s="51">
        <f t="shared" si="46"/>
        <v>0</v>
      </c>
      <c r="AC57" s="44">
        <f t="shared" si="47"/>
        <v>0</v>
      </c>
      <c r="AD57" s="44">
        <f t="shared" si="48"/>
        <v>0</v>
      </c>
      <c r="AE57" s="44">
        <f t="shared" si="49"/>
        <v>0</v>
      </c>
      <c r="AF57" s="52">
        <f>HLOOKUP(I57,GasAvoidedCostsWOCC!$A$5:$G$50,G57+1,FALSE)</f>
        <v>12.452380783934862</v>
      </c>
      <c r="AG57" s="44">
        <f t="shared" si="50"/>
        <v>0</v>
      </c>
      <c r="AH57" s="52">
        <f>HLOOKUP(I57,GasAvoidedCostsWOCC!$A$5:$Q$50,T57+1,FALSE)</f>
        <v>12.452380783934862</v>
      </c>
      <c r="AI57" s="44">
        <f t="shared" si="51"/>
        <v>0</v>
      </c>
      <c r="AJ57" s="44">
        <f t="shared" si="52"/>
        <v>0</v>
      </c>
      <c r="AK57" s="44">
        <f>HLOOKUP(I57,GasAvoidedCostsWOCC!$A$5:$Q$50,G57+1,FALSE)*J57*L57</f>
        <v>0</v>
      </c>
      <c r="AL57" s="44">
        <f t="shared" si="53"/>
        <v>0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54"/>
        <v>0</v>
      </c>
      <c r="AO57" s="47">
        <f t="shared" si="55"/>
        <v>0</v>
      </c>
      <c r="AP57" s="47" t="e">
        <f t="shared" si="56"/>
        <v>#DIV/0!</v>
      </c>
      <c r="AQ57">
        <v>2020</v>
      </c>
    </row>
    <row r="58" spans="2:43">
      <c r="B58" s="97" t="s">
        <v>141</v>
      </c>
      <c r="C58" s="61">
        <v>18230731</v>
      </c>
      <c r="D58" s="61" t="s">
        <v>142</v>
      </c>
      <c r="E58" s="38" t="s">
        <v>1012</v>
      </c>
      <c r="F58" s="39" t="s">
        <v>1013</v>
      </c>
      <c r="G58" s="39">
        <v>20</v>
      </c>
      <c r="H58" s="39"/>
      <c r="I58" s="40" t="s">
        <v>256</v>
      </c>
      <c r="J58" s="41">
        <v>1</v>
      </c>
      <c r="K58" s="41">
        <v>91451</v>
      </c>
      <c r="L58" s="41"/>
      <c r="M58" s="42">
        <v>237081</v>
      </c>
      <c r="N58" s="42">
        <v>369546</v>
      </c>
      <c r="O58" s="43">
        <v>91451</v>
      </c>
      <c r="P58" s="44">
        <v>237081</v>
      </c>
      <c r="Q58" s="44">
        <v>369546</v>
      </c>
      <c r="R58" s="45"/>
      <c r="S58" s="46"/>
      <c r="T58" s="39">
        <f t="shared" si="38"/>
        <v>20</v>
      </c>
      <c r="U58" s="47">
        <f t="shared" si="39"/>
        <v>2.4443521715673233</v>
      </c>
      <c r="V58" s="48">
        <f t="shared" si="40"/>
        <v>132465</v>
      </c>
      <c r="W58" s="49">
        <f t="shared" si="41"/>
        <v>0.12221760857836617</v>
      </c>
      <c r="X58" s="44">
        <f t="shared" si="42"/>
        <v>101075.5633449812</v>
      </c>
      <c r="Y58" s="44">
        <f t="shared" si="43"/>
        <v>132465</v>
      </c>
      <c r="Z58" s="44">
        <f t="shared" si="44"/>
        <v>415797.93775783863</v>
      </c>
      <c r="AA58" s="50">
        <f t="shared" si="45"/>
        <v>470621.56334498117</v>
      </c>
      <c r="AB58" s="51">
        <f t="shared" si="46"/>
        <v>388705.18627450557</v>
      </c>
      <c r="AC58" s="44">
        <f t="shared" si="47"/>
        <v>439956.58908570732</v>
      </c>
      <c r="AD58" s="44">
        <f t="shared" si="48"/>
        <v>0</v>
      </c>
      <c r="AE58" s="44">
        <f t="shared" si="49"/>
        <v>0</v>
      </c>
      <c r="AF58" s="52">
        <f>HLOOKUP(I58,GasAvoidedCostsWOCC!$A$5:$G$50,G58+1,FALSE)</f>
        <v>12.452380783934862</v>
      </c>
      <c r="AG58" s="44">
        <f t="shared" si="50"/>
        <v>1138782.6750716271</v>
      </c>
      <c r="AH58" s="52">
        <f>HLOOKUP(I58,GasAvoidedCostsWOCC!$A$5:$Q$50,T58+1,FALSE)</f>
        <v>12.452380783934862</v>
      </c>
      <c r="AI58" s="44">
        <f t="shared" si="51"/>
        <v>0</v>
      </c>
      <c r="AJ58" s="44">
        <f t="shared" si="52"/>
        <v>1138782.6750716271</v>
      </c>
      <c r="AK58" s="44">
        <f>HLOOKUP(I58,GasAvoidedCostsWOCC!$A$5:$Q$50,G58+1,FALSE)*J58*L58</f>
        <v>0</v>
      </c>
      <c r="AL58" s="44">
        <f t="shared" si="53"/>
        <v>1138782.6750716271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1138782.6750716271</v>
      </c>
      <c r="AN58" s="48">
        <f t="shared" si="54"/>
        <v>1252660.94257879</v>
      </c>
      <c r="AO58" s="47">
        <f t="shared" si="55"/>
        <v>2.929682225200394</v>
      </c>
      <c r="AP58" s="47">
        <f t="shared" si="56"/>
        <v>2.8472375994686168</v>
      </c>
      <c r="AQ58">
        <v>2020</v>
      </c>
    </row>
    <row r="59" spans="2:43">
      <c r="B59" s="97" t="s">
        <v>141</v>
      </c>
      <c r="C59" s="61">
        <v>18230731</v>
      </c>
      <c r="D59" s="61" t="s">
        <v>142</v>
      </c>
      <c r="E59" s="38" t="s">
        <v>2094</v>
      </c>
      <c r="F59" s="39" t="s">
        <v>2095</v>
      </c>
      <c r="G59" s="39">
        <v>10</v>
      </c>
      <c r="H59" s="39"/>
      <c r="I59" s="40" t="s">
        <v>256</v>
      </c>
      <c r="J59" s="41">
        <v>1</v>
      </c>
      <c r="K59" s="41">
        <v>0</v>
      </c>
      <c r="L59" s="41"/>
      <c r="M59" s="42">
        <v>0</v>
      </c>
      <c r="N59" s="42">
        <v>0</v>
      </c>
      <c r="O59" s="43">
        <v>0</v>
      </c>
      <c r="P59" s="44">
        <v>0</v>
      </c>
      <c r="Q59" s="44">
        <v>0</v>
      </c>
      <c r="R59" s="45"/>
      <c r="S59" s="46"/>
      <c r="T59" s="39">
        <f t="shared" si="38"/>
        <v>10</v>
      </c>
      <c r="U59" s="47">
        <f t="shared" si="39"/>
        <v>0</v>
      </c>
      <c r="V59" s="48">
        <f t="shared" si="40"/>
        <v>0</v>
      </c>
      <c r="W59" s="49">
        <f t="shared" si="41"/>
        <v>0</v>
      </c>
      <c r="X59" s="44">
        <f t="shared" si="42"/>
        <v>0</v>
      </c>
      <c r="Y59" s="44">
        <f t="shared" si="43"/>
        <v>0</v>
      </c>
      <c r="Z59" s="44">
        <f t="shared" si="44"/>
        <v>0</v>
      </c>
      <c r="AA59" s="50">
        <f t="shared" si="45"/>
        <v>0</v>
      </c>
      <c r="AB59" s="51">
        <f t="shared" si="46"/>
        <v>0</v>
      </c>
      <c r="AC59" s="44">
        <f t="shared" si="47"/>
        <v>0</v>
      </c>
      <c r="AD59" s="44">
        <f t="shared" si="48"/>
        <v>0</v>
      </c>
      <c r="AE59" s="44">
        <f t="shared" si="49"/>
        <v>0</v>
      </c>
      <c r="AF59" s="52">
        <f>HLOOKUP(I59,GasAvoidedCostsWOCC!$A$5:$G$50,G59+1,FALSE)</f>
        <v>6.7137963033615717</v>
      </c>
      <c r="AG59" s="44">
        <f t="shared" si="50"/>
        <v>0</v>
      </c>
      <c r="AH59" s="52">
        <f>HLOOKUP(I59,GasAvoidedCostsWOCC!$A$5:$Q$50,T59+1,FALSE)</f>
        <v>6.7137963033615717</v>
      </c>
      <c r="AI59" s="44">
        <f t="shared" si="51"/>
        <v>0</v>
      </c>
      <c r="AJ59" s="44">
        <f t="shared" si="52"/>
        <v>0</v>
      </c>
      <c r="AK59" s="44">
        <f>HLOOKUP(I59,GasAvoidedCostsWOCC!$A$5:$Q$50,G59+1,FALSE)*J59*L59</f>
        <v>0</v>
      </c>
      <c r="AL59" s="44">
        <f t="shared" si="53"/>
        <v>0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54"/>
        <v>0</v>
      </c>
      <c r="AO59" s="47">
        <f t="shared" si="55"/>
        <v>0</v>
      </c>
      <c r="AP59" s="47" t="e">
        <f t="shared" si="56"/>
        <v>#DIV/0!</v>
      </c>
      <c r="AQ59">
        <v>2020</v>
      </c>
    </row>
    <row r="60" spans="2:43">
      <c r="B60" s="97" t="s">
        <v>141</v>
      </c>
      <c r="C60" s="61">
        <v>18230731</v>
      </c>
      <c r="D60" s="61" t="s">
        <v>142</v>
      </c>
      <c r="E60" s="38" t="s">
        <v>1014</v>
      </c>
      <c r="F60" s="39" t="s">
        <v>1015</v>
      </c>
      <c r="G60" s="39">
        <v>10</v>
      </c>
      <c r="H60" s="39"/>
      <c r="I60" s="40" t="s">
        <v>261</v>
      </c>
      <c r="J60" s="41">
        <v>1</v>
      </c>
      <c r="K60" s="41">
        <v>0</v>
      </c>
      <c r="L60" s="41"/>
      <c r="M60" s="42">
        <v>0</v>
      </c>
      <c r="N60" s="42">
        <v>0</v>
      </c>
      <c r="O60" s="43">
        <v>0</v>
      </c>
      <c r="P60" s="44">
        <v>0</v>
      </c>
      <c r="Q60" s="44">
        <v>0</v>
      </c>
      <c r="R60" s="45"/>
      <c r="S60" s="46"/>
      <c r="T60" s="39">
        <f t="shared" si="38"/>
        <v>10</v>
      </c>
      <c r="U60" s="47">
        <f t="shared" si="39"/>
        <v>0</v>
      </c>
      <c r="V60" s="48">
        <f t="shared" si="40"/>
        <v>0</v>
      </c>
      <c r="W60" s="49">
        <f t="shared" si="41"/>
        <v>0</v>
      </c>
      <c r="X60" s="44">
        <f t="shared" si="42"/>
        <v>0</v>
      </c>
      <c r="Y60" s="44">
        <f t="shared" si="43"/>
        <v>0</v>
      </c>
      <c r="Z60" s="44">
        <f t="shared" si="44"/>
        <v>0</v>
      </c>
      <c r="AA60" s="50">
        <f t="shared" si="45"/>
        <v>0</v>
      </c>
      <c r="AB60" s="51">
        <f t="shared" si="46"/>
        <v>0</v>
      </c>
      <c r="AC60" s="44">
        <f t="shared" si="47"/>
        <v>0</v>
      </c>
      <c r="AD60" s="44">
        <f t="shared" si="48"/>
        <v>0</v>
      </c>
      <c r="AE60" s="44">
        <f t="shared" si="49"/>
        <v>0</v>
      </c>
      <c r="AF60" s="52">
        <f>HLOOKUP(I60,GasAvoidedCostsWOCC!$A$5:$G$50,G60+1,FALSE)</f>
        <v>8.0513997654936151</v>
      </c>
      <c r="AG60" s="44">
        <f t="shared" si="50"/>
        <v>0</v>
      </c>
      <c r="AH60" s="52">
        <f>HLOOKUP(I60,GasAvoidedCostsWOCC!$A$5:$Q$50,T60+1,FALSE)</f>
        <v>8.0513997654936151</v>
      </c>
      <c r="AI60" s="44">
        <f t="shared" si="51"/>
        <v>0</v>
      </c>
      <c r="AJ60" s="44">
        <f t="shared" si="52"/>
        <v>0</v>
      </c>
      <c r="AK60" s="44">
        <f>HLOOKUP(I60,GasAvoidedCostsWOCC!$A$5:$Q$50,G60+1,FALSE)*J60*L60</f>
        <v>0</v>
      </c>
      <c r="AL60" s="44">
        <f t="shared" si="53"/>
        <v>0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54"/>
        <v>0</v>
      </c>
      <c r="AO60" s="47">
        <f t="shared" si="55"/>
        <v>0</v>
      </c>
      <c r="AP60" s="47" t="e">
        <f t="shared" si="56"/>
        <v>#DIV/0!</v>
      </c>
      <c r="AQ60">
        <v>2020</v>
      </c>
    </row>
    <row r="61" spans="2:43">
      <c r="B61" s="97" t="s">
        <v>141</v>
      </c>
      <c r="C61" s="61">
        <v>18230731</v>
      </c>
      <c r="D61" s="61" t="s">
        <v>142</v>
      </c>
      <c r="E61" s="38" t="s">
        <v>1014</v>
      </c>
      <c r="F61" s="39" t="s">
        <v>1015</v>
      </c>
      <c r="G61" s="39">
        <v>10</v>
      </c>
      <c r="H61" s="39"/>
      <c r="I61" s="40" t="s">
        <v>261</v>
      </c>
      <c r="J61" s="41">
        <v>1</v>
      </c>
      <c r="K61" s="41">
        <v>0</v>
      </c>
      <c r="L61" s="41"/>
      <c r="M61" s="42">
        <v>0</v>
      </c>
      <c r="N61" s="42">
        <v>0</v>
      </c>
      <c r="O61" s="43">
        <v>0</v>
      </c>
      <c r="P61" s="44">
        <v>0</v>
      </c>
      <c r="Q61" s="44">
        <v>0</v>
      </c>
      <c r="R61" s="45"/>
      <c r="S61" s="46"/>
      <c r="T61" s="39">
        <f t="shared" si="38"/>
        <v>10</v>
      </c>
      <c r="U61" s="47">
        <f t="shared" si="39"/>
        <v>0</v>
      </c>
      <c r="V61" s="48">
        <f t="shared" si="40"/>
        <v>0</v>
      </c>
      <c r="W61" s="49">
        <f t="shared" si="41"/>
        <v>0</v>
      </c>
      <c r="X61" s="44">
        <f t="shared" si="42"/>
        <v>0</v>
      </c>
      <c r="Y61" s="44">
        <f t="shared" si="43"/>
        <v>0</v>
      </c>
      <c r="Z61" s="44">
        <f t="shared" si="44"/>
        <v>0</v>
      </c>
      <c r="AA61" s="50">
        <f t="shared" si="45"/>
        <v>0</v>
      </c>
      <c r="AB61" s="51">
        <f t="shared" si="46"/>
        <v>0</v>
      </c>
      <c r="AC61" s="44">
        <f t="shared" si="47"/>
        <v>0</v>
      </c>
      <c r="AD61" s="44">
        <f t="shared" si="48"/>
        <v>0</v>
      </c>
      <c r="AE61" s="44">
        <f t="shared" si="49"/>
        <v>0</v>
      </c>
      <c r="AF61" s="52">
        <f>HLOOKUP(I61,GasAvoidedCostsWOCC!$A$5:$G$50,G61+1,FALSE)</f>
        <v>8.0513997654936151</v>
      </c>
      <c r="AG61" s="44">
        <f t="shared" si="50"/>
        <v>0</v>
      </c>
      <c r="AH61" s="52">
        <f>HLOOKUP(I61,GasAvoidedCostsWOCC!$A$5:$Q$50,T61+1,FALSE)</f>
        <v>8.0513997654936151</v>
      </c>
      <c r="AI61" s="44">
        <f t="shared" si="51"/>
        <v>0</v>
      </c>
      <c r="AJ61" s="44">
        <f t="shared" si="52"/>
        <v>0</v>
      </c>
      <c r="AK61" s="44">
        <f>HLOOKUP(I61,GasAvoidedCostsWOCC!$A$5:$Q$50,G61+1,FALSE)*J61*L61</f>
        <v>0</v>
      </c>
      <c r="AL61" s="44">
        <f t="shared" si="53"/>
        <v>0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54"/>
        <v>0</v>
      </c>
      <c r="AO61" s="47">
        <f t="shared" si="55"/>
        <v>0</v>
      </c>
      <c r="AP61" s="47" t="e">
        <f t="shared" si="56"/>
        <v>#DIV/0!</v>
      </c>
      <c r="AQ61">
        <v>2020</v>
      </c>
    </row>
    <row r="62" spans="2:43">
      <c r="B62" s="97" t="s">
        <v>141</v>
      </c>
      <c r="C62" s="61">
        <v>18230731</v>
      </c>
      <c r="D62" s="61" t="s">
        <v>142</v>
      </c>
      <c r="E62" s="38" t="s">
        <v>1014</v>
      </c>
      <c r="F62" s="39" t="s">
        <v>1015</v>
      </c>
      <c r="G62" s="39">
        <v>10</v>
      </c>
      <c r="H62" s="39"/>
      <c r="I62" s="40" t="s">
        <v>261</v>
      </c>
      <c r="J62" s="41">
        <v>1</v>
      </c>
      <c r="K62" s="41">
        <v>36633</v>
      </c>
      <c r="L62" s="41"/>
      <c r="M62" s="42">
        <v>174284</v>
      </c>
      <c r="N62" s="42">
        <v>253927</v>
      </c>
      <c r="O62" s="43">
        <v>36633</v>
      </c>
      <c r="P62" s="44">
        <v>174284</v>
      </c>
      <c r="Q62" s="44">
        <v>253927</v>
      </c>
      <c r="R62" s="45"/>
      <c r="S62" s="46"/>
      <c r="T62" s="39">
        <f t="shared" si="38"/>
        <v>10</v>
      </c>
      <c r="U62" s="47">
        <f t="shared" si="39"/>
        <v>0.48957339504776198</v>
      </c>
      <c r="V62" s="48">
        <f t="shared" si="40"/>
        <v>79643</v>
      </c>
      <c r="W62" s="49">
        <f t="shared" si="41"/>
        <v>4.8957339504776196E-2</v>
      </c>
      <c r="X62" s="44">
        <f t="shared" si="42"/>
        <v>40488.361111597427</v>
      </c>
      <c r="Y62" s="44">
        <f t="shared" si="43"/>
        <v>79643</v>
      </c>
      <c r="Z62" s="44">
        <f t="shared" si="44"/>
        <v>166558.33018647038</v>
      </c>
      <c r="AA62" s="50">
        <f t="shared" si="45"/>
        <v>294415.36111159745</v>
      </c>
      <c r="AB62" s="51">
        <f t="shared" si="46"/>
        <v>155705.64661724816</v>
      </c>
      <c r="AC62" s="44">
        <f t="shared" si="47"/>
        <v>275231.71086435206</v>
      </c>
      <c r="AD62" s="44">
        <f t="shared" si="48"/>
        <v>0</v>
      </c>
      <c r="AE62" s="44">
        <f t="shared" si="49"/>
        <v>0</v>
      </c>
      <c r="AF62" s="52">
        <f>HLOOKUP(I62,GasAvoidedCostsWOCC!$A$5:$G$50,G62+1,FALSE)</f>
        <v>8.0513997654936151</v>
      </c>
      <c r="AG62" s="44">
        <f t="shared" si="50"/>
        <v>294946.9276093276</v>
      </c>
      <c r="AH62" s="52">
        <f>HLOOKUP(I62,GasAvoidedCostsWOCC!$A$5:$Q$50,T62+1,FALSE)</f>
        <v>8.0513997654936151</v>
      </c>
      <c r="AI62" s="44">
        <f t="shared" si="51"/>
        <v>0</v>
      </c>
      <c r="AJ62" s="44">
        <f t="shared" si="52"/>
        <v>294946.9276093276</v>
      </c>
      <c r="AK62" s="44">
        <f>HLOOKUP(I62,GasAvoidedCostsWOCC!$A$5:$Q$50,G62+1,FALSE)*J62*L62</f>
        <v>0</v>
      </c>
      <c r="AL62" s="44">
        <f t="shared" si="53"/>
        <v>294946.9276093276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294946.9276093276</v>
      </c>
      <c r="AN62" s="48">
        <f t="shared" si="54"/>
        <v>324441.62037026038</v>
      </c>
      <c r="AO62" s="47">
        <f t="shared" si="55"/>
        <v>1.8942596753370093</v>
      </c>
      <c r="AP62" s="47">
        <f t="shared" si="56"/>
        <v>1.1787944759394438</v>
      </c>
      <c r="AQ62">
        <v>2020</v>
      </c>
    </row>
    <row r="63" spans="2:43">
      <c r="B63" s="97" t="s">
        <v>141</v>
      </c>
      <c r="C63" s="61">
        <v>18230731</v>
      </c>
      <c r="D63" s="61" t="s">
        <v>142</v>
      </c>
      <c r="E63" s="38" t="s">
        <v>1014</v>
      </c>
      <c r="F63" s="39" t="s">
        <v>1015</v>
      </c>
      <c r="G63" s="39">
        <v>10</v>
      </c>
      <c r="H63" s="39"/>
      <c r="I63" s="40" t="s">
        <v>261</v>
      </c>
      <c r="J63" s="41">
        <v>1</v>
      </c>
      <c r="K63" s="41">
        <v>-425</v>
      </c>
      <c r="L63" s="41"/>
      <c r="M63" s="42">
        <v>0</v>
      </c>
      <c r="N63" s="42">
        <v>0</v>
      </c>
      <c r="O63" s="43">
        <v>-425</v>
      </c>
      <c r="P63" s="44">
        <v>0</v>
      </c>
      <c r="Q63" s="44">
        <v>0</v>
      </c>
      <c r="R63" s="45"/>
      <c r="S63" s="46"/>
      <c r="T63" s="39">
        <f t="shared" si="38"/>
        <v>10</v>
      </c>
      <c r="U63" s="47">
        <f t="shared" si="39"/>
        <v>-5.6798158189419051E-3</v>
      </c>
      <c r="V63" s="48">
        <f t="shared" si="40"/>
        <v>0</v>
      </c>
      <c r="W63" s="49">
        <f t="shared" si="41"/>
        <v>-5.6798158189419056E-4</v>
      </c>
      <c r="X63" s="44">
        <f t="shared" si="42"/>
        <v>-469.72820878521844</v>
      </c>
      <c r="Y63" s="44">
        <f t="shared" si="43"/>
        <v>0</v>
      </c>
      <c r="Z63" s="44">
        <f t="shared" si="44"/>
        <v>-1932.3366999494967</v>
      </c>
      <c r="AA63" s="50">
        <f t="shared" si="45"/>
        <v>-469.72820878521844</v>
      </c>
      <c r="AB63" s="51">
        <f t="shared" si="46"/>
        <v>-1806.4286248008755</v>
      </c>
      <c r="AC63" s="44">
        <f t="shared" si="47"/>
        <v>-439.12144412939926</v>
      </c>
      <c r="AD63" s="44">
        <f t="shared" si="48"/>
        <v>0</v>
      </c>
      <c r="AE63" s="44">
        <f t="shared" si="49"/>
        <v>0</v>
      </c>
      <c r="AF63" s="52">
        <f>HLOOKUP(I63,GasAvoidedCostsWOCC!$A$5:$G$50,G63+1,FALSE)</f>
        <v>8.0513997654936151</v>
      </c>
      <c r="AG63" s="44">
        <f t="shared" si="50"/>
        <v>-3421.8449003347864</v>
      </c>
      <c r="AH63" s="52">
        <f>HLOOKUP(I63,GasAvoidedCostsWOCC!$A$5:$Q$50,T63+1,FALSE)</f>
        <v>8.0513997654936151</v>
      </c>
      <c r="AI63" s="44">
        <f t="shared" si="51"/>
        <v>0</v>
      </c>
      <c r="AJ63" s="44">
        <f t="shared" si="52"/>
        <v>-3421.8449003347864</v>
      </c>
      <c r="AK63" s="44">
        <f>HLOOKUP(I63,GasAvoidedCostsWOCC!$A$5:$Q$50,G63+1,FALSE)*J63*L63</f>
        <v>0</v>
      </c>
      <c r="AL63" s="44">
        <f t="shared" si="53"/>
        <v>-3421.8449003347864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-3421.8449003347864</v>
      </c>
      <c r="AN63" s="48">
        <f t="shared" si="54"/>
        <v>-3764.0293903682655</v>
      </c>
      <c r="AO63" s="47">
        <f t="shared" si="55"/>
        <v>1.8942596753370091</v>
      </c>
      <c r="AP63" s="47">
        <f t="shared" si="56"/>
        <v>8.5717275726099373</v>
      </c>
      <c r="AQ63">
        <v>2020</v>
      </c>
    </row>
    <row r="64" spans="2:43">
      <c r="B64" s="97" t="s">
        <v>141</v>
      </c>
      <c r="C64" s="61">
        <v>18230731</v>
      </c>
      <c r="D64" s="61" t="s">
        <v>142</v>
      </c>
      <c r="E64" s="38" t="s">
        <v>1014</v>
      </c>
      <c r="F64" s="39" t="s">
        <v>1015</v>
      </c>
      <c r="G64" s="39">
        <v>10</v>
      </c>
      <c r="H64" s="39"/>
      <c r="I64" s="40" t="s">
        <v>261</v>
      </c>
      <c r="J64" s="41">
        <v>1</v>
      </c>
      <c r="K64" s="41">
        <v>0</v>
      </c>
      <c r="L64" s="41"/>
      <c r="M64" s="42">
        <v>0</v>
      </c>
      <c r="N64" s="42">
        <v>0</v>
      </c>
      <c r="O64" s="43">
        <v>0</v>
      </c>
      <c r="P64" s="44">
        <v>0</v>
      </c>
      <c r="Q64" s="44">
        <v>0</v>
      </c>
      <c r="R64" s="45"/>
      <c r="S64" s="46"/>
      <c r="T64" s="39">
        <f t="shared" si="38"/>
        <v>10</v>
      </c>
      <c r="U64" s="47">
        <f t="shared" si="39"/>
        <v>0</v>
      </c>
      <c r="V64" s="48">
        <f t="shared" si="40"/>
        <v>0</v>
      </c>
      <c r="W64" s="49">
        <f t="shared" si="41"/>
        <v>0</v>
      </c>
      <c r="X64" s="44">
        <f t="shared" si="42"/>
        <v>0</v>
      </c>
      <c r="Y64" s="44">
        <f t="shared" si="43"/>
        <v>0</v>
      </c>
      <c r="Z64" s="44">
        <f t="shared" si="44"/>
        <v>0</v>
      </c>
      <c r="AA64" s="50">
        <f t="shared" si="45"/>
        <v>0</v>
      </c>
      <c r="AB64" s="51">
        <f t="shared" si="46"/>
        <v>0</v>
      </c>
      <c r="AC64" s="44">
        <f t="shared" si="47"/>
        <v>0</v>
      </c>
      <c r="AD64" s="44">
        <f t="shared" si="48"/>
        <v>0</v>
      </c>
      <c r="AE64" s="44">
        <f t="shared" si="49"/>
        <v>0</v>
      </c>
      <c r="AF64" s="52">
        <f>HLOOKUP(I64,GasAvoidedCostsWOCC!$A$5:$G$50,G64+1,FALSE)</f>
        <v>8.0513997654936151</v>
      </c>
      <c r="AG64" s="44">
        <f t="shared" si="50"/>
        <v>0</v>
      </c>
      <c r="AH64" s="52">
        <f>HLOOKUP(I64,GasAvoidedCostsWOCC!$A$5:$Q$50,T64+1,FALSE)</f>
        <v>8.0513997654936151</v>
      </c>
      <c r="AI64" s="44">
        <f t="shared" si="51"/>
        <v>0</v>
      </c>
      <c r="AJ64" s="44">
        <f t="shared" si="52"/>
        <v>0</v>
      </c>
      <c r="AK64" s="44">
        <f>HLOOKUP(I64,GasAvoidedCostsWOCC!$A$5:$Q$50,G64+1,FALSE)*J64*L64</f>
        <v>0</v>
      </c>
      <c r="AL64" s="44">
        <f t="shared" si="53"/>
        <v>0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54"/>
        <v>0</v>
      </c>
      <c r="AO64" s="47">
        <f t="shared" si="55"/>
        <v>0</v>
      </c>
      <c r="AP64" s="47" t="e">
        <f t="shared" si="56"/>
        <v>#DIV/0!</v>
      </c>
      <c r="AQ64">
        <v>2020</v>
      </c>
    </row>
    <row r="65" spans="2:43">
      <c r="B65" s="97" t="s">
        <v>141</v>
      </c>
      <c r="C65" s="61">
        <v>18230731</v>
      </c>
      <c r="D65" s="61" t="s">
        <v>142</v>
      </c>
      <c r="E65" s="38" t="s">
        <v>1042</v>
      </c>
      <c r="F65" s="39" t="s">
        <v>1043</v>
      </c>
      <c r="G65" s="39">
        <v>15</v>
      </c>
      <c r="H65" s="39"/>
      <c r="I65" s="40" t="s">
        <v>256</v>
      </c>
      <c r="J65" s="41">
        <v>1</v>
      </c>
      <c r="K65" s="41">
        <v>0</v>
      </c>
      <c r="L65" s="41"/>
      <c r="M65" s="42">
        <v>0</v>
      </c>
      <c r="N65" s="42">
        <v>0</v>
      </c>
      <c r="O65" s="43">
        <v>0</v>
      </c>
      <c r="P65" s="44">
        <v>0</v>
      </c>
      <c r="Q65" s="44">
        <v>0</v>
      </c>
      <c r="R65" s="45"/>
      <c r="S65" s="46"/>
      <c r="T65" s="39">
        <f t="shared" si="38"/>
        <v>15</v>
      </c>
      <c r="U65" s="47">
        <f t="shared" si="39"/>
        <v>0</v>
      </c>
      <c r="V65" s="48">
        <f t="shared" si="40"/>
        <v>0</v>
      </c>
      <c r="W65" s="49">
        <f t="shared" si="41"/>
        <v>0</v>
      </c>
      <c r="X65" s="44">
        <f t="shared" si="42"/>
        <v>0</v>
      </c>
      <c r="Y65" s="44">
        <f t="shared" si="43"/>
        <v>0</v>
      </c>
      <c r="Z65" s="44">
        <f t="shared" si="44"/>
        <v>0</v>
      </c>
      <c r="AA65" s="50">
        <f t="shared" si="45"/>
        <v>0</v>
      </c>
      <c r="AB65" s="51">
        <f t="shared" si="46"/>
        <v>0</v>
      </c>
      <c r="AC65" s="44">
        <f t="shared" si="47"/>
        <v>0</v>
      </c>
      <c r="AD65" s="44">
        <f t="shared" si="48"/>
        <v>0</v>
      </c>
      <c r="AE65" s="44">
        <f t="shared" si="49"/>
        <v>0</v>
      </c>
      <c r="AF65" s="52">
        <f>HLOOKUP(I65,GasAvoidedCostsWOCC!$A$5:$G$50,G65+1,FALSE)</f>
        <v>9.6460139924167869</v>
      </c>
      <c r="AG65" s="44">
        <f t="shared" si="50"/>
        <v>0</v>
      </c>
      <c r="AH65" s="52">
        <f>HLOOKUP(I65,GasAvoidedCostsWOCC!$A$5:$Q$50,T65+1,FALSE)</f>
        <v>9.6460139924167869</v>
      </c>
      <c r="AI65" s="44">
        <f t="shared" si="51"/>
        <v>0</v>
      </c>
      <c r="AJ65" s="44">
        <f t="shared" si="52"/>
        <v>0</v>
      </c>
      <c r="AK65" s="44">
        <f>HLOOKUP(I65,GasAvoidedCostsWOCC!$A$5:$Q$50,G65+1,FALSE)*J65*L65</f>
        <v>0</v>
      </c>
      <c r="AL65" s="44">
        <f t="shared" si="53"/>
        <v>0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54"/>
        <v>0</v>
      </c>
      <c r="AO65" s="47">
        <f t="shared" si="55"/>
        <v>0</v>
      </c>
      <c r="AP65" s="47" t="e">
        <f t="shared" si="56"/>
        <v>#DIV/0!</v>
      </c>
      <c r="AQ65">
        <v>2020</v>
      </c>
    </row>
    <row r="66" spans="2:43">
      <c r="B66" s="97" t="s">
        <v>141</v>
      </c>
      <c r="C66" s="61">
        <v>18230731</v>
      </c>
      <c r="D66" s="61" t="s">
        <v>142</v>
      </c>
      <c r="E66" s="38" t="s">
        <v>1042</v>
      </c>
      <c r="F66" s="39" t="s">
        <v>1043</v>
      </c>
      <c r="G66" s="39">
        <v>15</v>
      </c>
      <c r="H66" s="39"/>
      <c r="I66" s="40" t="s">
        <v>256</v>
      </c>
      <c r="J66" s="41">
        <v>1</v>
      </c>
      <c r="K66" s="41">
        <v>20405</v>
      </c>
      <c r="L66" s="41"/>
      <c r="M66" s="42">
        <v>60456</v>
      </c>
      <c r="N66" s="42">
        <v>98115</v>
      </c>
      <c r="O66" s="43">
        <v>20405</v>
      </c>
      <c r="P66" s="44">
        <v>60456</v>
      </c>
      <c r="Q66" s="44">
        <v>98115</v>
      </c>
      <c r="R66" s="45"/>
      <c r="S66" s="46"/>
      <c r="T66" s="39">
        <f t="shared" si="38"/>
        <v>15</v>
      </c>
      <c r="U66" s="47">
        <f t="shared" si="39"/>
        <v>0.40904697100768089</v>
      </c>
      <c r="V66" s="48">
        <f t="shared" si="40"/>
        <v>37659</v>
      </c>
      <c r="W66" s="49">
        <f t="shared" si="41"/>
        <v>2.7269798067178726E-2</v>
      </c>
      <c r="X66" s="44">
        <f t="shared" si="42"/>
        <v>22552.480235911487</v>
      </c>
      <c r="Y66" s="44">
        <f t="shared" si="43"/>
        <v>37659</v>
      </c>
      <c r="Z66" s="44">
        <f t="shared" si="44"/>
        <v>92774.894970516427</v>
      </c>
      <c r="AA66" s="50">
        <f t="shared" si="45"/>
        <v>120667.48023591148</v>
      </c>
      <c r="AB66" s="51">
        <f t="shared" si="46"/>
        <v>86729.826091910276</v>
      </c>
      <c r="AC66" s="44">
        <f t="shared" si="47"/>
        <v>112804.97357755584</v>
      </c>
      <c r="AD66" s="44">
        <f t="shared" si="48"/>
        <v>0</v>
      </c>
      <c r="AE66" s="44">
        <f t="shared" si="49"/>
        <v>0</v>
      </c>
      <c r="AF66" s="52">
        <f>HLOOKUP(I66,GasAvoidedCostsWOCC!$A$5:$G$50,G66+1,FALSE)</f>
        <v>9.6460139924167869</v>
      </c>
      <c r="AG66" s="44">
        <f t="shared" si="50"/>
        <v>196826.91551526453</v>
      </c>
      <c r="AH66" s="52">
        <f>HLOOKUP(I66,GasAvoidedCostsWOCC!$A$5:$Q$50,T66+1,FALSE)</f>
        <v>9.6460139924167869</v>
      </c>
      <c r="AI66" s="44">
        <f t="shared" si="51"/>
        <v>0</v>
      </c>
      <c r="AJ66" s="44">
        <f t="shared" si="52"/>
        <v>196826.91551526453</v>
      </c>
      <c r="AK66" s="44">
        <f>HLOOKUP(I66,GasAvoidedCostsWOCC!$A$5:$Q$50,G66+1,FALSE)*J66*L66</f>
        <v>0</v>
      </c>
      <c r="AL66" s="44">
        <f t="shared" si="53"/>
        <v>196826.91551526453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196826.91551526453</v>
      </c>
      <c r="AN66" s="48">
        <f t="shared" si="54"/>
        <v>216509.60706679101</v>
      </c>
      <c r="AO66" s="47">
        <f t="shared" si="55"/>
        <v>2.2694259216740611</v>
      </c>
      <c r="AP66" s="47">
        <f t="shared" si="56"/>
        <v>1.9193267832108132</v>
      </c>
      <c r="AQ66">
        <v>2020</v>
      </c>
    </row>
    <row r="67" spans="2:43">
      <c r="B67" s="97" t="s">
        <v>141</v>
      </c>
      <c r="C67" s="61">
        <v>18230731</v>
      </c>
      <c r="D67" s="61" t="s">
        <v>142</v>
      </c>
      <c r="E67" s="38" t="s">
        <v>1020</v>
      </c>
      <c r="F67" s="39" t="s">
        <v>1021</v>
      </c>
      <c r="G67" s="39">
        <v>7</v>
      </c>
      <c r="H67" s="39"/>
      <c r="I67" s="40" t="s">
        <v>261</v>
      </c>
      <c r="J67" s="41">
        <v>1</v>
      </c>
      <c r="K67" s="41">
        <v>0</v>
      </c>
      <c r="L67" s="41"/>
      <c r="M67" s="42">
        <v>3346</v>
      </c>
      <c r="N67" s="42">
        <v>3346</v>
      </c>
      <c r="O67" s="43">
        <v>0</v>
      </c>
      <c r="P67" s="44">
        <v>3346</v>
      </c>
      <c r="Q67" s="44">
        <v>3346</v>
      </c>
      <c r="R67" s="45"/>
      <c r="S67" s="46"/>
      <c r="T67" s="39">
        <f t="shared" si="38"/>
        <v>7</v>
      </c>
      <c r="U67" s="47">
        <f t="shared" si="39"/>
        <v>0</v>
      </c>
      <c r="V67" s="48">
        <f t="shared" si="40"/>
        <v>0</v>
      </c>
      <c r="W67" s="49">
        <f t="shared" si="41"/>
        <v>0</v>
      </c>
      <c r="X67" s="44">
        <f t="shared" si="42"/>
        <v>0</v>
      </c>
      <c r="Y67" s="44">
        <f t="shared" si="43"/>
        <v>0</v>
      </c>
      <c r="Z67" s="44">
        <f t="shared" si="44"/>
        <v>0</v>
      </c>
      <c r="AA67" s="50">
        <f t="shared" si="45"/>
        <v>3346</v>
      </c>
      <c r="AB67" s="51">
        <f t="shared" si="46"/>
        <v>0</v>
      </c>
      <c r="AC67" s="44">
        <f t="shared" si="47"/>
        <v>3127.9798074226414</v>
      </c>
      <c r="AD67" s="44">
        <f t="shared" si="48"/>
        <v>0</v>
      </c>
      <c r="AE67" s="44">
        <f t="shared" si="49"/>
        <v>0</v>
      </c>
      <c r="AF67" s="52">
        <f>HLOOKUP(I67,GasAvoidedCostsWOCC!$A$5:$G$50,G67+1,FALSE)</f>
        <v>5.8580628482175126</v>
      </c>
      <c r="AG67" s="44">
        <f t="shared" si="50"/>
        <v>0</v>
      </c>
      <c r="AH67" s="52">
        <f>HLOOKUP(I67,GasAvoidedCostsWOCC!$A$5:$Q$50,T67+1,FALSE)</f>
        <v>5.8580628482175126</v>
      </c>
      <c r="AI67" s="44">
        <f t="shared" si="51"/>
        <v>0</v>
      </c>
      <c r="AJ67" s="44">
        <f t="shared" si="52"/>
        <v>0</v>
      </c>
      <c r="AK67" s="44">
        <f>HLOOKUP(I67,GasAvoidedCostsWOCC!$A$5:$Q$50,G67+1,FALSE)*J67*L67</f>
        <v>0</v>
      </c>
      <c r="AL67" s="44">
        <f t="shared" si="53"/>
        <v>0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54"/>
        <v>0</v>
      </c>
      <c r="AO67" s="47">
        <f t="shared" si="55"/>
        <v>0</v>
      </c>
      <c r="AP67" s="47">
        <f t="shared" si="56"/>
        <v>0</v>
      </c>
      <c r="AQ67">
        <v>2020</v>
      </c>
    </row>
    <row r="68" spans="2:43">
      <c r="B68" s="9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8"/>
        <v>0</v>
      </c>
      <c r="U68" s="47">
        <f t="shared" si="39"/>
        <v>0</v>
      </c>
      <c r="V68" s="48">
        <f t="shared" si="40"/>
        <v>0</v>
      </c>
      <c r="W68" s="49">
        <f t="shared" si="41"/>
        <v>0</v>
      </c>
      <c r="X68" s="44">
        <f t="shared" si="42"/>
        <v>0</v>
      </c>
      <c r="Y68" s="44">
        <f t="shared" si="43"/>
        <v>0</v>
      </c>
      <c r="Z68" s="44">
        <f t="shared" si="44"/>
        <v>0</v>
      </c>
      <c r="AA68" s="50">
        <f t="shared" si="45"/>
        <v>0</v>
      </c>
      <c r="AB68" s="51">
        <f t="shared" si="46"/>
        <v>0</v>
      </c>
      <c r="AC68" s="44">
        <f t="shared" si="47"/>
        <v>0</v>
      </c>
      <c r="AD68" s="44">
        <f t="shared" si="48"/>
        <v>0</v>
      </c>
      <c r="AE68" s="44">
        <f t="shared" si="49"/>
        <v>0</v>
      </c>
      <c r="AF68" s="52" t="e">
        <f>HLOOKUP(I68,GasAvoidedCostsWOCC!$A$5:$G$50,G68+1,FALSE)</f>
        <v>#N/A</v>
      </c>
      <c r="AG68" s="44" t="e">
        <f t="shared" si="50"/>
        <v>#N/A</v>
      </c>
      <c r="AH68" s="52" t="e">
        <f>HLOOKUP(I68,GasAvoidedCostsWOCC!$A$5:$Q$50,T68+1,FALSE)</f>
        <v>#N/A</v>
      </c>
      <c r="AI68" s="44" t="e">
        <f t="shared" si="51"/>
        <v>#N/A</v>
      </c>
      <c r="AJ68" s="44" t="e">
        <f t="shared" si="52"/>
        <v>#N/A</v>
      </c>
      <c r="AK68" s="44" t="e">
        <f>HLOOKUP(I68,GasAvoidedCostsWOCC!$A$5:$Q$50,G68+1,FALSE)*J68*L68</f>
        <v>#N/A</v>
      </c>
      <c r="AL68" s="44" t="e">
        <f t="shared" si="53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54"/>
        <v>0</v>
      </c>
      <c r="AO68" s="47">
        <f t="shared" si="55"/>
        <v>0</v>
      </c>
      <c r="AP68" s="47" t="e">
        <f t="shared" si="56"/>
        <v>#DIV/0!</v>
      </c>
    </row>
    <row r="69" spans="2:43">
      <c r="B69" s="9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8"/>
        <v>0</v>
      </c>
      <c r="U69" s="47">
        <f t="shared" si="39"/>
        <v>0</v>
      </c>
      <c r="V69" s="48">
        <f t="shared" si="40"/>
        <v>0</v>
      </c>
      <c r="W69" s="49">
        <f t="shared" si="41"/>
        <v>0</v>
      </c>
      <c r="X69" s="44">
        <f t="shared" si="42"/>
        <v>0</v>
      </c>
      <c r="Y69" s="44">
        <f t="shared" si="43"/>
        <v>0</v>
      </c>
      <c r="Z69" s="44">
        <f t="shared" si="44"/>
        <v>0</v>
      </c>
      <c r="AA69" s="50">
        <f t="shared" si="45"/>
        <v>0</v>
      </c>
      <c r="AB69" s="51">
        <f t="shared" si="46"/>
        <v>0</v>
      </c>
      <c r="AC69" s="44">
        <f t="shared" si="47"/>
        <v>0</v>
      </c>
      <c r="AD69" s="44">
        <f t="shared" si="48"/>
        <v>0</v>
      </c>
      <c r="AE69" s="44">
        <f t="shared" si="49"/>
        <v>0</v>
      </c>
      <c r="AF69" s="52" t="e">
        <f>HLOOKUP(I69,GasAvoidedCostsWOCC!$A$5:$G$50,G69+1,FALSE)</f>
        <v>#N/A</v>
      </c>
      <c r="AG69" s="44" t="e">
        <f t="shared" si="50"/>
        <v>#N/A</v>
      </c>
      <c r="AH69" s="52" t="e">
        <f>HLOOKUP(I69,GasAvoidedCostsWOCC!$A$5:$Q$50,T69+1,FALSE)</f>
        <v>#N/A</v>
      </c>
      <c r="AI69" s="44" t="e">
        <f t="shared" si="51"/>
        <v>#N/A</v>
      </c>
      <c r="AJ69" s="44" t="e">
        <f t="shared" si="52"/>
        <v>#N/A</v>
      </c>
      <c r="AK69" s="44" t="e">
        <f>HLOOKUP(I69,GasAvoidedCostsWOCC!$A$5:$Q$50,G69+1,FALSE)*J69*L69</f>
        <v>#N/A</v>
      </c>
      <c r="AL69" s="44" t="e">
        <f t="shared" si="53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54"/>
        <v>0</v>
      </c>
      <c r="AO69" s="47">
        <f t="shared" si="55"/>
        <v>0</v>
      </c>
      <c r="AP69" s="47" t="e">
        <f t="shared" si="56"/>
        <v>#DIV/0!</v>
      </c>
    </row>
    <row r="70" spans="2:43">
      <c r="B70" s="9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8"/>
        <v>0</v>
      </c>
      <c r="U70" s="47">
        <f t="shared" si="39"/>
        <v>0</v>
      </c>
      <c r="V70" s="48">
        <f t="shared" si="40"/>
        <v>0</v>
      </c>
      <c r="W70" s="49">
        <f t="shared" si="41"/>
        <v>0</v>
      </c>
      <c r="X70" s="44">
        <f t="shared" si="42"/>
        <v>0</v>
      </c>
      <c r="Y70" s="44">
        <f t="shared" si="43"/>
        <v>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HLOOKUP(I70,GasAvoidedCostsWOCC!$A$5:$G$50,G70+1,FALSE)</f>
        <v>#N/A</v>
      </c>
      <c r="AG70" s="44" t="e">
        <f t="shared" si="50"/>
        <v>#N/A</v>
      </c>
      <c r="AH70" s="52" t="e">
        <f>HLOOKUP(I70,GasAvoidedCostsWOCC!$A$5:$Q$50,T70+1,FALSE)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HLOOKUP(I70,GasAvoidedCostsWOCC!$A$5:$Q$50,G70+1,FALSE)*J70*L70</f>
        <v>#N/A</v>
      </c>
      <c r="AL70" s="44" t="e">
        <f t="shared" si="53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3">
      <c r="B71" s="9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8"/>
        <v>0</v>
      </c>
      <c r="U71" s="47">
        <f t="shared" si="39"/>
        <v>0</v>
      </c>
      <c r="V71" s="48">
        <f t="shared" si="40"/>
        <v>0</v>
      </c>
      <c r="W71" s="49">
        <f t="shared" si="41"/>
        <v>0</v>
      </c>
      <c r="X71" s="44">
        <f t="shared" si="42"/>
        <v>0</v>
      </c>
      <c r="Y71" s="44">
        <f t="shared" si="43"/>
        <v>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e">
        <f>HLOOKUP(I71,GasAvoidedCostsWOCC!$A$5:$G$50,G71+1,FALSE)</f>
        <v>#N/A</v>
      </c>
      <c r="AG71" s="44" t="e">
        <f t="shared" si="50"/>
        <v>#N/A</v>
      </c>
      <c r="AH71" s="52" t="e">
        <f>HLOOKUP(I71,GasAvoidedCostsWOCC!$A$5:$Q$50,T71+1,FALSE)</f>
        <v>#N/A</v>
      </c>
      <c r="AI71" s="44" t="e">
        <f t="shared" si="51"/>
        <v>#N/A</v>
      </c>
      <c r="AJ71" s="44" t="e">
        <f t="shared" si="52"/>
        <v>#N/A</v>
      </c>
      <c r="AK71" s="44" t="e">
        <f>HLOOKUP(I71,GasAvoidedCostsWOCC!$A$5:$Q$50,G71+1,FALSE)*J71*L71</f>
        <v>#N/A</v>
      </c>
      <c r="AL71" s="44" t="e">
        <f t="shared" si="53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3">
      <c r="B72" s="9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HLOOKUP(I72,GasAvoidedCostsWOCC!$A$5:$G$50,G72+1,FALSE)</f>
        <v>#N/A</v>
      </c>
      <c r="AG72" s="44" t="e">
        <f t="shared" si="50"/>
        <v>#N/A</v>
      </c>
      <c r="AH72" s="52" t="e">
        <f>HLOOKUP(I72,GasAvoidedCostsWOCC!$A$5:$Q$50,T72+1,FALSE)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HLOOKUP(I72,GasAvoidedCostsWOCC!$A$5:$Q$50,G72+1,FALSE)*J72*L72</f>
        <v>#N/A</v>
      </c>
      <c r="AL72" s="44" t="e">
        <f t="shared" si="53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3">
      <c r="B73" s="9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e">
        <f>HLOOKUP(I73,GasAvoidedCostsWOCC!$A$5:$G$50,G73+1,FALSE)</f>
        <v>#N/A</v>
      </c>
      <c r="AG73" s="44" t="e">
        <f t="shared" si="50"/>
        <v>#N/A</v>
      </c>
      <c r="AH73" s="52" t="e">
        <f>HLOOKUP(I73,GasAvoidedCostsWOCC!$A$5:$Q$50,T73+1,FALSE)</f>
        <v>#N/A</v>
      </c>
      <c r="AI73" s="44" t="e">
        <f t="shared" si="51"/>
        <v>#N/A</v>
      </c>
      <c r="AJ73" s="44" t="e">
        <f t="shared" si="52"/>
        <v>#N/A</v>
      </c>
      <c r="AK73" s="44" t="e">
        <f>HLOOKUP(I73,GasAvoidedCostsWOCC!$A$5:$Q$50,G73+1,FALSE)*J73*L73</f>
        <v>#N/A</v>
      </c>
      <c r="AL73" s="44" t="e">
        <f t="shared" si="53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3">
      <c r="B74" s="9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8"/>
        <v>0</v>
      </c>
      <c r="U74" s="47">
        <f t="shared" si="39"/>
        <v>0</v>
      </c>
      <c r="V74" s="48">
        <f t="shared" si="40"/>
        <v>0</v>
      </c>
      <c r="W74" s="49">
        <f t="shared" si="41"/>
        <v>0</v>
      </c>
      <c r="X74" s="44">
        <f t="shared" si="42"/>
        <v>0</v>
      </c>
      <c r="Y74" s="44">
        <f t="shared" si="43"/>
        <v>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HLOOKUP(I74,GasAvoidedCostsWOCC!$A$5:$G$50,G74+1,FALSE)</f>
        <v>#N/A</v>
      </c>
      <c r="AG74" s="44" t="e">
        <f t="shared" si="50"/>
        <v>#N/A</v>
      </c>
      <c r="AH74" s="52" t="e">
        <f>HLOOKUP(I74,GasAvoidedCostsWOCC!$A$5:$Q$50,T74+1,FALSE)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HLOOKUP(I74,GasAvoidedCostsWOCC!$A$5:$Q$50,G74+1,FALSE)*J74*L74</f>
        <v>#N/A</v>
      </c>
      <c r="AL74" s="44" t="e">
        <f t="shared" si="53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3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8"/>
        <v>0</v>
      </c>
      <c r="U75" s="47">
        <f t="shared" si="39"/>
        <v>0</v>
      </c>
      <c r="V75" s="48">
        <f t="shared" si="40"/>
        <v>0</v>
      </c>
      <c r="W75" s="49">
        <f t="shared" si="41"/>
        <v>0</v>
      </c>
      <c r="X75" s="44">
        <f t="shared" si="42"/>
        <v>0</v>
      </c>
      <c r="Y75" s="44">
        <f t="shared" si="43"/>
        <v>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e">
        <f>HLOOKUP(I75,GasAvoidedCostsWOCC!$A$5:$G$50,G75+1,FALSE)</f>
        <v>#N/A</v>
      </c>
      <c r="AG75" s="44" t="e">
        <f t="shared" si="50"/>
        <v>#N/A</v>
      </c>
      <c r="AH75" s="52" t="e">
        <f>HLOOKUP(I75,GasAvoidedCostsWOCC!$A$5:$Q$50,T75+1,FALSE)</f>
        <v>#N/A</v>
      </c>
      <c r="AI75" s="44" t="e">
        <f t="shared" si="51"/>
        <v>#N/A</v>
      </c>
      <c r="AJ75" s="44" t="e">
        <f t="shared" si="52"/>
        <v>#N/A</v>
      </c>
      <c r="AK75" s="44" t="e">
        <f>HLOOKUP(I75,GasAvoidedCostsWOCC!$A$5:$Q$50,G75+1,FALSE)*J75*L75</f>
        <v>#N/A</v>
      </c>
      <c r="AL75" s="44" t="e">
        <f t="shared" si="53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3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HLOOKUP(I76,GasAvoidedCostsWOCC!$A$5:$G$50,G76+1,FALSE)</f>
        <v>#N/A</v>
      </c>
      <c r="AG76" s="44" t="e">
        <f t="shared" si="50"/>
        <v>#N/A</v>
      </c>
      <c r="AH76" s="52" t="e">
        <f>HLOOKUP(I76,GasAvoidedCostsWOCC!$A$5:$Q$50,T76+1,FALSE)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HLOOKUP(I76,GasAvoidedCostsWOCC!$A$5:$Q$50,G76+1,FALSE)*J76*L76</f>
        <v>#N/A</v>
      </c>
      <c r="AL76" s="44" t="e">
        <f t="shared" si="53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3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e">
        <f>HLOOKUP(I77,GasAvoidedCostsWOCC!$A$5:$G$50,G77+1,FALSE)</f>
        <v>#N/A</v>
      </c>
      <c r="AG77" s="44" t="e">
        <f t="shared" si="50"/>
        <v>#N/A</v>
      </c>
      <c r="AH77" s="52" t="e">
        <f>HLOOKUP(I77,GasAvoidedCostsWOCC!$A$5:$Q$50,T77+1,FALSE)</f>
        <v>#N/A</v>
      </c>
      <c r="AI77" s="44" t="e">
        <f t="shared" si="51"/>
        <v>#N/A</v>
      </c>
      <c r="AJ77" s="44" t="e">
        <f t="shared" si="52"/>
        <v>#N/A</v>
      </c>
      <c r="AK77" s="44" t="e">
        <f>HLOOKUP(I77,GasAvoidedCostsWOCC!$A$5:$Q$50,G77+1,FALSE)*J77*L77</f>
        <v>#N/A</v>
      </c>
      <c r="AL77" s="44" t="e">
        <f t="shared" si="53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3">
      <c r="B78" s="9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8"/>
        <v>0</v>
      </c>
      <c r="U78" s="47">
        <f t="shared" si="39"/>
        <v>0</v>
      </c>
      <c r="V78" s="48">
        <f t="shared" si="40"/>
        <v>0</v>
      </c>
      <c r="W78" s="49">
        <f t="shared" si="41"/>
        <v>0</v>
      </c>
      <c r="X78" s="44">
        <f t="shared" si="42"/>
        <v>0</v>
      </c>
      <c r="Y78" s="44">
        <f t="shared" si="43"/>
        <v>0</v>
      </c>
      <c r="Z78" s="44">
        <f t="shared" si="44"/>
        <v>0</v>
      </c>
      <c r="AA78" s="50">
        <f t="shared" si="45"/>
        <v>0</v>
      </c>
      <c r="AB78" s="51">
        <f t="shared" si="46"/>
        <v>0</v>
      </c>
      <c r="AC78" s="44">
        <f t="shared" si="47"/>
        <v>0</v>
      </c>
      <c r="AD78" s="44">
        <f t="shared" si="48"/>
        <v>0</v>
      </c>
      <c r="AE78" s="44">
        <f t="shared" si="49"/>
        <v>0</v>
      </c>
      <c r="AF78" s="52" t="e">
        <f>HLOOKUP(I78,GasAvoidedCostsWOCC!$A$5:$G$50,G78+1,FALSE)</f>
        <v>#N/A</v>
      </c>
      <c r="AG78" s="44" t="e">
        <f t="shared" si="50"/>
        <v>#N/A</v>
      </c>
      <c r="AH78" s="52" t="e">
        <f>HLOOKUP(I78,GasAvoidedCostsWOCC!$A$5:$Q$50,T78+1,FALSE)</f>
        <v>#N/A</v>
      </c>
      <c r="AI78" s="44" t="e">
        <f t="shared" si="51"/>
        <v>#N/A</v>
      </c>
      <c r="AJ78" s="44" t="e">
        <f t="shared" si="52"/>
        <v>#N/A</v>
      </c>
      <c r="AK78" s="44" t="e">
        <f>HLOOKUP(I78,GasAvoidedCostsWOCC!$A$5:$Q$50,G78+1,FALSE)*J78*L78</f>
        <v>#N/A</v>
      </c>
      <c r="AL78" s="44" t="e">
        <f t="shared" si="53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54"/>
        <v>0</v>
      </c>
      <c r="AO78" s="47">
        <f t="shared" si="55"/>
        <v>0</v>
      </c>
      <c r="AP78" s="47" t="e">
        <f t="shared" si="56"/>
        <v>#DIV/0!</v>
      </c>
    </row>
    <row r="79" spans="2:43">
      <c r="B79" s="9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8"/>
        <v>0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 t="e">
        <f>HLOOKUP(I79,GasAvoidedCostsWOCC!$A$5:$G$50,G79+1,FALSE)</f>
        <v>#N/A</v>
      </c>
      <c r="AG79" s="44" t="e">
        <f t="shared" si="50"/>
        <v>#N/A</v>
      </c>
      <c r="AH79" s="52" t="e">
        <f>HLOOKUP(I79,GasAvoidedCostsWOCC!$A$5:$Q$50,T79+1,FALSE)</f>
        <v>#N/A</v>
      </c>
      <c r="AI79" s="44" t="e">
        <f t="shared" si="51"/>
        <v>#N/A</v>
      </c>
      <c r="AJ79" s="44" t="e">
        <f t="shared" si="52"/>
        <v>#N/A</v>
      </c>
      <c r="AK79" s="44" t="e">
        <f>HLOOKUP(I79,GasAvoidedCostsWOCC!$A$5:$Q$50,G79+1,FALSE)*J79*L79</f>
        <v>#N/A</v>
      </c>
      <c r="AL79" s="44" t="e">
        <f t="shared" si="53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3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8"/>
        <v>0</v>
      </c>
      <c r="U80" s="47">
        <f t="shared" si="39"/>
        <v>0</v>
      </c>
      <c r="V80" s="48">
        <f t="shared" si="40"/>
        <v>0</v>
      </c>
      <c r="W80" s="49">
        <f t="shared" si="41"/>
        <v>0</v>
      </c>
      <c r="X80" s="44">
        <f t="shared" si="42"/>
        <v>0</v>
      </c>
      <c r="Y80" s="44">
        <f t="shared" si="43"/>
        <v>0</v>
      </c>
      <c r="Z80" s="44">
        <f t="shared" si="44"/>
        <v>0</v>
      </c>
      <c r="AA80" s="50">
        <f t="shared" si="45"/>
        <v>0</v>
      </c>
      <c r="AB80" s="51">
        <f t="shared" si="46"/>
        <v>0</v>
      </c>
      <c r="AC80" s="44">
        <f t="shared" si="47"/>
        <v>0</v>
      </c>
      <c r="AD80" s="44">
        <f t="shared" si="48"/>
        <v>0</v>
      </c>
      <c r="AE80" s="44">
        <f t="shared" si="49"/>
        <v>0</v>
      </c>
      <c r="AF80" s="52" t="e">
        <f>HLOOKUP(I80,GasAvoidedCostsWOCC!$A$5:$G$50,G80+1,FALSE)</f>
        <v>#N/A</v>
      </c>
      <c r="AG80" s="44" t="e">
        <f t="shared" si="50"/>
        <v>#N/A</v>
      </c>
      <c r="AH80" s="52" t="e">
        <f>HLOOKUP(I80,GasAvoidedCostsWOCC!$A$5:$Q$50,T80+1,FALSE)</f>
        <v>#N/A</v>
      </c>
      <c r="AI80" s="44" t="e">
        <f t="shared" si="51"/>
        <v>#N/A</v>
      </c>
      <c r="AJ80" s="44" t="e">
        <f t="shared" si="52"/>
        <v>#N/A</v>
      </c>
      <c r="AK80" s="44" t="e">
        <f>HLOOKUP(I80,GasAvoidedCostsWOCC!$A$5:$Q$50,G80+1,FALSE)*J80*L80</f>
        <v>#N/A</v>
      </c>
      <c r="AL80" s="44" t="e">
        <f t="shared" si="53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54"/>
        <v>0</v>
      </c>
      <c r="AO80" s="47">
        <f t="shared" si="55"/>
        <v>0</v>
      </c>
      <c r="AP80" s="47" t="e">
        <f t="shared" si="56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8"/>
        <v>0</v>
      </c>
      <c r="U81" s="47">
        <f t="shared" si="39"/>
        <v>0</v>
      </c>
      <c r="V81" s="48">
        <f t="shared" si="40"/>
        <v>0</v>
      </c>
      <c r="W81" s="49">
        <f t="shared" si="41"/>
        <v>0</v>
      </c>
      <c r="X81" s="44">
        <f t="shared" si="42"/>
        <v>0</v>
      </c>
      <c r="Y81" s="44">
        <f t="shared" si="43"/>
        <v>0</v>
      </c>
      <c r="Z81" s="44">
        <f t="shared" si="44"/>
        <v>0</v>
      </c>
      <c r="AA81" s="50">
        <f t="shared" si="45"/>
        <v>0</v>
      </c>
      <c r="AB81" s="51">
        <f t="shared" si="46"/>
        <v>0</v>
      </c>
      <c r="AC81" s="44">
        <f t="shared" si="47"/>
        <v>0</v>
      </c>
      <c r="AD81" s="44">
        <f t="shared" si="48"/>
        <v>0</v>
      </c>
      <c r="AE81" s="44">
        <f t="shared" si="49"/>
        <v>0</v>
      </c>
      <c r="AF81" s="52" t="e">
        <f>HLOOKUP(I81,GasAvoidedCostsWOCC!$A$5:$G$50,G81+1,FALSE)</f>
        <v>#N/A</v>
      </c>
      <c r="AG81" s="44" t="e">
        <f t="shared" si="50"/>
        <v>#N/A</v>
      </c>
      <c r="AH81" s="52" t="e">
        <f>HLOOKUP(I81,GasAvoidedCostsWOCC!$A$5:$Q$50,T81+1,FALSE)</f>
        <v>#N/A</v>
      </c>
      <c r="AI81" s="44" t="e">
        <f t="shared" si="51"/>
        <v>#N/A</v>
      </c>
      <c r="AJ81" s="44" t="e">
        <f t="shared" si="52"/>
        <v>#N/A</v>
      </c>
      <c r="AK81" s="44" t="e">
        <f>HLOOKUP(I81,GasAvoidedCostsWOCC!$A$5:$Q$50,G81+1,FALSE)*J81*L81</f>
        <v>#N/A</v>
      </c>
      <c r="AL81" s="44" t="e">
        <f t="shared" si="53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54"/>
        <v>0</v>
      </c>
      <c r="AO81" s="47">
        <f t="shared" si="55"/>
        <v>0</v>
      </c>
      <c r="AP81" s="47" t="e">
        <f t="shared" si="56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8"/>
        <v>0</v>
      </c>
      <c r="U82" s="47">
        <f t="shared" si="39"/>
        <v>0</v>
      </c>
      <c r="V82" s="48">
        <f t="shared" si="40"/>
        <v>0</v>
      </c>
      <c r="W82" s="49">
        <f t="shared" si="41"/>
        <v>0</v>
      </c>
      <c r="X82" s="44">
        <f t="shared" si="42"/>
        <v>0</v>
      </c>
      <c r="Y82" s="44">
        <f t="shared" si="43"/>
        <v>0</v>
      </c>
      <c r="Z82" s="44">
        <f t="shared" si="44"/>
        <v>0</v>
      </c>
      <c r="AA82" s="50">
        <f t="shared" si="45"/>
        <v>0</v>
      </c>
      <c r="AB82" s="51">
        <f t="shared" si="46"/>
        <v>0</v>
      </c>
      <c r="AC82" s="44">
        <f t="shared" si="47"/>
        <v>0</v>
      </c>
      <c r="AD82" s="44">
        <f t="shared" si="48"/>
        <v>0</v>
      </c>
      <c r="AE82" s="44">
        <f t="shared" si="49"/>
        <v>0</v>
      </c>
      <c r="AF82" s="52" t="e">
        <f>HLOOKUP(I82,GasAvoidedCostsWOCC!$A$5:$G$50,G82+1,FALSE)</f>
        <v>#N/A</v>
      </c>
      <c r="AG82" s="44" t="e">
        <f t="shared" si="50"/>
        <v>#N/A</v>
      </c>
      <c r="AH82" s="52" t="e">
        <f>HLOOKUP(I82,GasAvoidedCostsWOCC!$A$5:$Q$50,T82+1,FALSE)</f>
        <v>#N/A</v>
      </c>
      <c r="AI82" s="44" t="e">
        <f t="shared" si="51"/>
        <v>#N/A</v>
      </c>
      <c r="AJ82" s="44" t="e">
        <f t="shared" si="52"/>
        <v>#N/A</v>
      </c>
      <c r="AK82" s="44" t="e">
        <f>HLOOKUP(I82,GasAvoidedCostsWOCC!$A$5:$Q$50,G82+1,FALSE)*J82*L82</f>
        <v>#N/A</v>
      </c>
      <c r="AL82" s="44" t="e">
        <f t="shared" si="53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54"/>
        <v>0</v>
      </c>
      <c r="AO82" s="47">
        <f t="shared" si="55"/>
        <v>0</v>
      </c>
      <c r="AP82" s="47" t="e">
        <f t="shared" si="56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8"/>
        <v>0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 t="e">
        <f>HLOOKUP(I83,GasAvoidedCostsWOCC!$A$5:$G$50,G83+1,FALSE)</f>
        <v>#N/A</v>
      </c>
      <c r="AG83" s="44" t="e">
        <f t="shared" si="50"/>
        <v>#N/A</v>
      </c>
      <c r="AH83" s="52" t="e">
        <f>HLOOKUP(I83,GasAvoidedCostsWOCC!$A$5:$Q$50,T83+1,FALSE)</f>
        <v>#N/A</v>
      </c>
      <c r="AI83" s="44" t="e">
        <f t="shared" si="51"/>
        <v>#N/A</v>
      </c>
      <c r="AJ83" s="44" t="e">
        <f t="shared" si="52"/>
        <v>#N/A</v>
      </c>
      <c r="AK83" s="44" t="e">
        <f>HLOOKUP(I83,GasAvoidedCostsWOCC!$A$5:$Q$50,G83+1,FALSE)*J83*L83</f>
        <v>#N/A</v>
      </c>
      <c r="AL83" s="44" t="e">
        <f t="shared" si="53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38"/>
        <v>0</v>
      </c>
      <c r="U84" s="47">
        <f t="shared" si="39"/>
        <v>0</v>
      </c>
      <c r="V84" s="48">
        <f t="shared" si="40"/>
        <v>0</v>
      </c>
      <c r="W84" s="49">
        <f t="shared" si="41"/>
        <v>0</v>
      </c>
      <c r="X84" s="44">
        <f t="shared" si="42"/>
        <v>0</v>
      </c>
      <c r="Y84" s="44">
        <f t="shared" si="43"/>
        <v>0</v>
      </c>
      <c r="Z84" s="44">
        <f t="shared" si="44"/>
        <v>0</v>
      </c>
      <c r="AA84" s="50">
        <f t="shared" si="45"/>
        <v>0</v>
      </c>
      <c r="AB84" s="51">
        <f t="shared" si="46"/>
        <v>0</v>
      </c>
      <c r="AC84" s="44">
        <f t="shared" si="47"/>
        <v>0</v>
      </c>
      <c r="AD84" s="44">
        <f t="shared" si="48"/>
        <v>0</v>
      </c>
      <c r="AE84" s="44">
        <f t="shared" si="49"/>
        <v>0</v>
      </c>
      <c r="AF84" s="52" t="e">
        <f>HLOOKUP(I84,GasAvoidedCostsWOCC!$A$5:$G$50,G84+1,FALSE)</f>
        <v>#N/A</v>
      </c>
      <c r="AG84" s="44" t="e">
        <f t="shared" si="50"/>
        <v>#N/A</v>
      </c>
      <c r="AH84" s="52" t="e">
        <f>HLOOKUP(I84,GasAvoidedCostsWOCC!$A$5:$Q$50,T84+1,FALSE)</f>
        <v>#N/A</v>
      </c>
      <c r="AI84" s="44" t="e">
        <f t="shared" si="51"/>
        <v>#N/A</v>
      </c>
      <c r="AJ84" s="44" t="e">
        <f t="shared" si="52"/>
        <v>#N/A</v>
      </c>
      <c r="AK84" s="44" t="e">
        <f>HLOOKUP(I84,GasAvoidedCostsWOCC!$A$5:$Q$50,G84+1,FALSE)*J84*L84</f>
        <v>#N/A</v>
      </c>
      <c r="AL84" s="44" t="e">
        <f t="shared" si="53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54"/>
        <v>0</v>
      </c>
      <c r="AO84" s="47">
        <f t="shared" si="55"/>
        <v>0</v>
      </c>
      <c r="AP84" s="47" t="e">
        <f t="shared" si="56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38"/>
        <v>0</v>
      </c>
      <c r="U85" s="47">
        <f t="shared" si="39"/>
        <v>0</v>
      </c>
      <c r="V85" s="48">
        <f t="shared" si="40"/>
        <v>0</v>
      </c>
      <c r="W85" s="49">
        <f t="shared" si="41"/>
        <v>0</v>
      </c>
      <c r="X85" s="44">
        <f t="shared" si="42"/>
        <v>0</v>
      </c>
      <c r="Y85" s="44">
        <f t="shared" si="43"/>
        <v>0</v>
      </c>
      <c r="Z85" s="44">
        <f t="shared" si="44"/>
        <v>0</v>
      </c>
      <c r="AA85" s="50">
        <f t="shared" si="45"/>
        <v>0</v>
      </c>
      <c r="AB85" s="51">
        <f t="shared" si="46"/>
        <v>0</v>
      </c>
      <c r="AC85" s="44">
        <f t="shared" si="47"/>
        <v>0</v>
      </c>
      <c r="AD85" s="44">
        <f t="shared" si="48"/>
        <v>0</v>
      </c>
      <c r="AE85" s="44">
        <f t="shared" si="49"/>
        <v>0</v>
      </c>
      <c r="AF85" s="52" t="e">
        <f>HLOOKUP(I85,GasAvoidedCostsWOCC!$A$5:$G$50,G85+1,FALSE)</f>
        <v>#N/A</v>
      </c>
      <c r="AG85" s="44" t="e">
        <f t="shared" si="50"/>
        <v>#N/A</v>
      </c>
      <c r="AH85" s="52" t="e">
        <f>HLOOKUP(I85,GasAvoidedCostsWOCC!$A$5:$Q$50,T85+1,FALSE)</f>
        <v>#N/A</v>
      </c>
      <c r="AI85" s="44" t="e">
        <f t="shared" si="51"/>
        <v>#N/A</v>
      </c>
      <c r="AJ85" s="44" t="e">
        <f t="shared" si="52"/>
        <v>#N/A</v>
      </c>
      <c r="AK85" s="44" t="e">
        <f>HLOOKUP(I85,GasAvoidedCostsWOCC!$A$5:$Q$50,G85+1,FALSE)*J85*L85</f>
        <v>#N/A</v>
      </c>
      <c r="AL85" s="44" t="e">
        <f t="shared" si="53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54"/>
        <v>0</v>
      </c>
      <c r="AO85" s="47">
        <f t="shared" si="55"/>
        <v>0</v>
      </c>
      <c r="AP85" s="47" t="e">
        <f t="shared" si="56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38"/>
        <v>0</v>
      </c>
      <c r="U86" s="47">
        <f t="shared" si="39"/>
        <v>0</v>
      </c>
      <c r="V86" s="48">
        <f t="shared" si="40"/>
        <v>0</v>
      </c>
      <c r="W86" s="49">
        <f t="shared" si="41"/>
        <v>0</v>
      </c>
      <c r="X86" s="44">
        <f t="shared" si="42"/>
        <v>0</v>
      </c>
      <c r="Y86" s="44">
        <f t="shared" si="43"/>
        <v>0</v>
      </c>
      <c r="Z86" s="44">
        <f t="shared" si="44"/>
        <v>0</v>
      </c>
      <c r="AA86" s="50">
        <f t="shared" si="45"/>
        <v>0</v>
      </c>
      <c r="AB86" s="51">
        <f t="shared" si="46"/>
        <v>0</v>
      </c>
      <c r="AC86" s="44">
        <f t="shared" si="47"/>
        <v>0</v>
      </c>
      <c r="AD86" s="44">
        <f t="shared" si="48"/>
        <v>0</v>
      </c>
      <c r="AE86" s="44">
        <f t="shared" si="49"/>
        <v>0</v>
      </c>
      <c r="AF86" s="52" t="e">
        <f>HLOOKUP(I86,GasAvoidedCostsWOCC!$A$5:$G$50,G86+1,FALSE)</f>
        <v>#N/A</v>
      </c>
      <c r="AG86" s="44" t="e">
        <f t="shared" si="50"/>
        <v>#N/A</v>
      </c>
      <c r="AH86" s="52" t="e">
        <f>HLOOKUP(I86,GasAvoidedCostsWOCC!$A$5:$Q$50,T86+1,FALSE)</f>
        <v>#N/A</v>
      </c>
      <c r="AI86" s="44" t="e">
        <f t="shared" si="51"/>
        <v>#N/A</v>
      </c>
      <c r="AJ86" s="44" t="e">
        <f t="shared" si="52"/>
        <v>#N/A</v>
      </c>
      <c r="AK86" s="44" t="e">
        <f>HLOOKUP(I86,GasAvoidedCostsWOCC!$A$5:$Q$50,G86+1,FALSE)*J86*L86</f>
        <v>#N/A</v>
      </c>
      <c r="AL86" s="44" t="e">
        <f t="shared" si="53"/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si="54"/>
        <v>0</v>
      </c>
      <c r="AO86" s="47">
        <f t="shared" si="55"/>
        <v>0</v>
      </c>
      <c r="AP86" s="47" t="e">
        <f t="shared" si="56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8"/>
        <v>0</v>
      </c>
      <c r="U87" s="47">
        <f t="shared" si="39"/>
        <v>0</v>
      </c>
      <c r="V87" s="48">
        <f t="shared" si="40"/>
        <v>0</v>
      </c>
      <c r="W87" s="49">
        <f t="shared" si="41"/>
        <v>0</v>
      </c>
      <c r="X87" s="44">
        <f t="shared" si="42"/>
        <v>0</v>
      </c>
      <c r="Y87" s="44">
        <f t="shared" si="43"/>
        <v>0</v>
      </c>
      <c r="Z87" s="44">
        <f t="shared" si="44"/>
        <v>0</v>
      </c>
      <c r="AA87" s="50">
        <f t="shared" si="45"/>
        <v>0</v>
      </c>
      <c r="AB87" s="51">
        <f t="shared" si="46"/>
        <v>0</v>
      </c>
      <c r="AC87" s="44">
        <f t="shared" si="47"/>
        <v>0</v>
      </c>
      <c r="AD87" s="44">
        <f t="shared" si="48"/>
        <v>0</v>
      </c>
      <c r="AE87" s="44">
        <f t="shared" si="49"/>
        <v>0</v>
      </c>
      <c r="AF87" s="52" t="e">
        <f>HLOOKUP(I87,GasAvoidedCostsWOCC!$A$5:$G$50,G87+1,FALSE)</f>
        <v>#N/A</v>
      </c>
      <c r="AG87" s="44" t="e">
        <f t="shared" si="50"/>
        <v>#N/A</v>
      </c>
      <c r="AH87" s="52" t="e">
        <f>HLOOKUP(I87,GasAvoidedCostsWOCC!$A$5:$Q$50,T87+1,FALSE)</f>
        <v>#N/A</v>
      </c>
      <c r="AI87" s="44" t="e">
        <f t="shared" si="51"/>
        <v>#N/A</v>
      </c>
      <c r="AJ87" s="44" t="e">
        <f t="shared" si="52"/>
        <v>#N/A</v>
      </c>
      <c r="AK87" s="44" t="e">
        <f>HLOOKUP(I87,GasAvoidedCostsWOCC!$A$5:$Q$50,G87+1,FALSE)*J87*L87</f>
        <v>#N/A</v>
      </c>
      <c r="AL87" s="44" t="e">
        <f t="shared" si="53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4"/>
        <v>0</v>
      </c>
      <c r="AO87" s="47">
        <f t="shared" si="55"/>
        <v>0</v>
      </c>
      <c r="AP87" s="47" t="e">
        <f t="shared" si="56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HLOOKUP(I88,GasAvoidedCostsWOCC!$A$5:$G$50,G88+1,FALSE)</f>
        <v>#N/A</v>
      </c>
      <c r="AG88" s="44" t="e">
        <f t="shared" si="50"/>
        <v>#N/A</v>
      </c>
      <c r="AH88" s="52" t="e">
        <f>HLOOKUP(I88,GasAvoidedCostsWOCC!$A$5:$Q$50,T88+1,FALSE)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HLOOKUP(I88,GasAvoidedCostsWOCC!$A$5:$Q$50,G88+1,FALSE)*J88*L88</f>
        <v>#N/A</v>
      </c>
      <c r="AL88" s="44" t="e">
        <f t="shared" si="53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 t="e">
        <f>HLOOKUP(I89,GasAvoidedCostsWOCC!$A$5:$G$50,G89+1,FALSE)</f>
        <v>#N/A</v>
      </c>
      <c r="AG89" s="44" t="e">
        <f t="shared" si="50"/>
        <v>#N/A</v>
      </c>
      <c r="AH89" s="52" t="e">
        <f>HLOOKUP(I89,GasAvoidedCostsWOCC!$A$5:$Q$50,T89+1,FALSE)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HLOOKUP(I89,GasAvoidedCostsWOCC!$A$5:$Q$50,G89+1,FALSE)*J89*L89</f>
        <v>#N/A</v>
      </c>
      <c r="AL89" s="44" t="e">
        <f t="shared" si="53"/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HLOOKUP(I90,GasAvoidedCostsWOCC!$A$5:$G$50,G90+1,FALSE)</f>
        <v>#N/A</v>
      </c>
      <c r="AG90" s="44" t="e">
        <f t="shared" si="50"/>
        <v>#N/A</v>
      </c>
      <c r="AH90" s="52" t="e">
        <f>HLOOKUP(I90,GasAvoidedCostsWOCC!$A$5:$Q$50,T90+1,FALSE)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HLOOKUP(I90,GasAvoidedCostsWOCC!$A$5:$Q$50,G90+1,FALSE)*J90*L90</f>
        <v>#N/A</v>
      </c>
      <c r="AL90" s="44" t="e">
        <f t="shared" si="53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HLOOKUP(I91,GasAvoidedCostsWOCC!$A$5:$G$50,G91+1,FALSE)</f>
        <v>#N/A</v>
      </c>
      <c r="AG91" s="44" t="e">
        <f t="shared" si="50"/>
        <v>#N/A</v>
      </c>
      <c r="AH91" s="52" t="e">
        <f>HLOOKUP(I91,GasAvoidedCostsWOCC!$A$5:$Q$50,T91+1,FALSE)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HLOOKUP(I91,GasAvoidedCostsWOCC!$A$5:$Q$50,G91+1,FALSE)*J91*L91</f>
        <v>#N/A</v>
      </c>
      <c r="AL91" s="44" t="e">
        <f t="shared" si="53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3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HLOOKUP(I92,GasAvoidedCostsWOCC!$A$5:$G$50,G92+1,FALSE)</f>
        <v>#N/A</v>
      </c>
      <c r="AG92" s="44" t="e">
        <f t="shared" si="50"/>
        <v>#N/A</v>
      </c>
      <c r="AH92" s="52" t="e">
        <f>HLOOKUP(I92,GasAvoidedCostsWOCC!$A$5:$Q$50,T92+1,FALSE)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HLOOKUP(I92,GasAvoidedCostsWOCC!$A$5:$Q$50,G92+1,FALSE)*J92*L92</f>
        <v>#N/A</v>
      </c>
      <c r="AL92" s="44" t="e">
        <f t="shared" si="53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3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HLOOKUP(I93,GasAvoidedCostsWOCC!$A$5:$G$50,G93+1,FALSE)</f>
        <v>#N/A</v>
      </c>
      <c r="AG93" s="44" t="e">
        <f t="shared" si="50"/>
        <v>#N/A</v>
      </c>
      <c r="AH93" s="52" t="e">
        <f>HLOOKUP(I93,GasAvoidedCostsWOCC!$A$5:$Q$50,T93+1,FALSE)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HLOOKUP(I93,GasAvoidedCostsWOCC!$A$5:$Q$50,G93+1,FALSE)*J93*L93</f>
        <v>#N/A</v>
      </c>
      <c r="AL93" s="44" t="e">
        <f t="shared" si="53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</sheetData>
  <conditionalFormatting sqref="J5:L93">
    <cfRule type="expression" dxfId="69" priority="4">
      <formula>ISTEXT(J5)</formula>
    </cfRule>
    <cfRule type="notContainsBlanks" dxfId="68" priority="5">
      <formula>LEN(TRIM(J5))&gt;0</formula>
    </cfRule>
  </conditionalFormatting>
  <conditionalFormatting sqref="M5:N93 R5:S93">
    <cfRule type="expression" dxfId="67" priority="2">
      <formula>ISTEXT(M5)</formula>
    </cfRule>
  </conditionalFormatting>
  <conditionalFormatting sqref="M5:N93 R5:S93">
    <cfRule type="notContainsBlanks" dxfId="66" priority="3">
      <formula>LEN(TRIM(M5))&gt;0</formula>
    </cfRule>
  </conditionalFormatting>
  <conditionalFormatting sqref="R5:S93">
    <cfRule type="expression" dxfId="6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D9" sqref="D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18230220</v>
      </c>
      <c r="D2" s="20" t="s">
        <v>320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141</v>
      </c>
      <c r="C5" s="99">
        <v>18230220</v>
      </c>
      <c r="D5" s="100" t="s">
        <v>320</v>
      </c>
      <c r="E5" s="38" t="s">
        <v>1711</v>
      </c>
      <c r="F5" s="39" t="s">
        <v>1712</v>
      </c>
      <c r="G5" s="39">
        <v>5</v>
      </c>
      <c r="H5" s="39"/>
      <c r="I5" s="40" t="s">
        <v>256</v>
      </c>
      <c r="J5" s="41">
        <v>1</v>
      </c>
      <c r="K5" s="41">
        <v>2845</v>
      </c>
      <c r="L5" s="41"/>
      <c r="M5" s="42"/>
      <c r="N5" s="42"/>
      <c r="O5" s="43">
        <v>2845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42645</v>
      </c>
      <c r="Y5" s="44">
        <f t="shared" ref="Y5:Y24" si="5">Q5-P5</f>
        <v>0</v>
      </c>
      <c r="Z5" s="44">
        <f t="shared" ref="Z5:Z24" si="6">X5+(A$6*W5)</f>
        <v>42645</v>
      </c>
      <c r="AA5" s="50">
        <f t="shared" ref="AA5:AA24" si="7">Q5+X5</f>
        <v>42645</v>
      </c>
      <c r="AB5" s="51">
        <f t="shared" ref="AB5:AC24" si="8">Z5/(1+GasDiscountRate)^1</f>
        <v>39866.317659156768</v>
      </c>
      <c r="AC5" s="44">
        <f t="shared" si="8"/>
        <v>39866.317659156768</v>
      </c>
      <c r="AD5" s="44">
        <f t="shared" ref="AD5:AD24" si="9">-PV(GasDiscountRate,T5,R5)*J5</f>
        <v>0</v>
      </c>
      <c r="AE5" s="44">
        <v>0</v>
      </c>
      <c r="AF5" s="52">
        <f>HLOOKUP(I5,GasAvoidedCostsWOCC!$A$5:$G$50,G5+1,FALSE)</f>
        <v>3.4931246605117878</v>
      </c>
      <c r="AG5" s="44">
        <f t="shared" ref="AG5:AG24" si="10">AF5*J5*K5</f>
        <v>9937.9396591560362</v>
      </c>
      <c r="AH5" s="52">
        <f>HLOOKUP(I5,GasAvoidedCostsWOCC!$A$5:$Q$50,T5+1,FALSE)</f>
        <v>3.4931246605117878</v>
      </c>
      <c r="AI5" s="44">
        <f t="shared" ref="AI5:AI24" si="11">AH5*J5*L5</f>
        <v>0</v>
      </c>
      <c r="AJ5" s="44">
        <f>AG5+AI5</f>
        <v>9937.9396591560362</v>
      </c>
      <c r="AK5" s="44">
        <f>HLOOKUP(I5,GasAvoidedCostsWOCC!$A$5:$Q$50,G5+1,FALSE)*J5*L5</f>
        <v>0</v>
      </c>
      <c r="AL5" s="44">
        <f>AG5+AI5-AK5</f>
        <v>9937.9396591560362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9937.9396591560362</v>
      </c>
      <c r="AN5" s="48">
        <f>AM5*1.1+AD5+AE5</f>
        <v>10931.73362507164</v>
      </c>
      <c r="AO5" s="47">
        <f>IFERROR(AM5/AB5,0)</f>
        <v>0.24928160519168047</v>
      </c>
      <c r="AP5" s="47">
        <f>AN5/AC5</f>
        <v>0.27420976571084849</v>
      </c>
      <c r="AQ5">
        <v>2021</v>
      </c>
    </row>
    <row r="6" spans="1:43" ht="13.5" customHeight="1">
      <c r="A6" s="53">
        <f>SUMIF('Program Costs'!D:D,C2,'Program Costs'!L:L)</f>
        <v>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42645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2845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42645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42645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8"/>
        <v>0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0.24928160519168047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8"/>
        <v>0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8"/>
        <v>0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0.27420976571084849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8"/>
        <v>0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64" priority="4">
      <formula>ISTEXT(J5)</formula>
    </cfRule>
    <cfRule type="notContainsBlanks" dxfId="63" priority="5">
      <formula>LEN(TRIM(J5))&gt;0</formula>
    </cfRule>
  </conditionalFormatting>
  <conditionalFormatting sqref="M5:N24 R5:S24">
    <cfRule type="expression" dxfId="62" priority="2">
      <formula>ISTEXT(M5)</formula>
    </cfRule>
  </conditionalFormatting>
  <conditionalFormatting sqref="M5:N24 R5:S24">
    <cfRule type="notContainsBlanks" dxfId="61" priority="3">
      <formula>LEN(TRIM(M5))&gt;0</formula>
    </cfRule>
  </conditionalFormatting>
  <conditionalFormatting sqref="R5:S24">
    <cfRule type="expression" dxfId="6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A18" sqref="A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18231037</v>
      </c>
      <c r="D2" s="20" t="s">
        <v>168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141</v>
      </c>
      <c r="C5" s="99">
        <v>18231037</v>
      </c>
      <c r="D5" s="100" t="s">
        <v>168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24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0">AF5*J5*K5</f>
        <v>#N/A</v>
      </c>
      <c r="AH5" s="52" t="e">
        <f>HLOOKUP(I5,GasAvoidedCostsWOCC!$A$5:$Q$50,T5+1,FALSE)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100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581.18999999999994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303</v>
      </c>
      <c r="B9" s="97"/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581.18999999999994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581.18999999999994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59" priority="4">
      <formula>ISTEXT(J5)</formula>
    </cfRule>
    <cfRule type="notContainsBlanks" dxfId="58" priority="5">
      <formula>LEN(TRIM(J5))&gt;0</formula>
    </cfRule>
  </conditionalFormatting>
  <conditionalFormatting sqref="M5:N24 R5:S24">
    <cfRule type="expression" dxfId="57" priority="2">
      <formula>ISTEXT(M5)</formula>
    </cfRule>
  </conditionalFormatting>
  <conditionalFormatting sqref="M5:N24 R5:S24">
    <cfRule type="notContainsBlanks" dxfId="56" priority="3">
      <formula>LEN(TRIM(M5))&gt;0</formula>
    </cfRule>
  </conditionalFormatting>
  <conditionalFormatting sqref="R5:S24">
    <cfRule type="expression" dxfId="5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24"/>
  <sheetViews>
    <sheetView workbookViewId="0">
      <selection activeCell="D128" sqref="D128"/>
    </sheetView>
  </sheetViews>
  <sheetFormatPr defaultRowHeight="15"/>
  <cols>
    <col min="2" max="2" width="8.85546875" bestFit="1" customWidth="1"/>
    <col min="3" max="3" width="45.42578125" bestFit="1" customWidth="1"/>
    <col min="4" max="4" width="11.42578125" bestFit="1" customWidth="1"/>
    <col min="5" max="7" width="13.5703125" bestFit="1" customWidth="1"/>
    <col min="8" max="8" width="18" bestFit="1" customWidth="1"/>
    <col min="9" max="9" width="15.85546875" bestFit="1" customWidth="1"/>
    <col min="10" max="10" width="10.85546875" bestFit="1" customWidth="1"/>
    <col min="11" max="11" width="13.85546875" bestFit="1" customWidth="1"/>
    <col min="12" max="12" width="14.5703125" bestFit="1" customWidth="1"/>
    <col min="13" max="13" width="12.5703125" bestFit="1" customWidth="1"/>
    <col min="14" max="14" width="19.42578125" style="514" customWidth="1"/>
    <col min="15" max="15" width="13.5703125" bestFit="1" customWidth="1"/>
    <col min="16" max="16" width="40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s="514" t="s">
        <v>1822</v>
      </c>
      <c r="O1" t="s">
        <v>1823</v>
      </c>
      <c r="P1" t="s">
        <v>1824</v>
      </c>
    </row>
    <row r="2" spans="1:16" hidden="1">
      <c r="B2" t="s">
        <v>19</v>
      </c>
      <c r="C2" s="396" t="s">
        <v>20</v>
      </c>
      <c r="D2">
        <v>18230411</v>
      </c>
      <c r="E2" s="4">
        <v>239727.13</v>
      </c>
      <c r="F2" s="4">
        <v>214827.2</v>
      </c>
      <c r="G2" s="4">
        <v>0</v>
      </c>
      <c r="H2" s="4">
        <v>0</v>
      </c>
      <c r="I2" s="4">
        <v>1135217.27</v>
      </c>
      <c r="J2" s="4">
        <v>3202.26</v>
      </c>
      <c r="K2" s="4">
        <v>634.6</v>
      </c>
      <c r="L2" s="4">
        <v>0</v>
      </c>
      <c r="M2" s="4">
        <v>0</v>
      </c>
      <c r="N2" s="515">
        <f t="shared" ref="N2:N33" si="0">SUM(E2:M2)</f>
        <v>1593608.4600000002</v>
      </c>
      <c r="O2" s="4">
        <f t="shared" ref="O2:O33" si="1">N2-L2</f>
        <v>1593608.4600000002</v>
      </c>
      <c r="P2" t="s">
        <v>524</v>
      </c>
    </row>
    <row r="3" spans="1:16" hidden="1">
      <c r="B3" t="s">
        <v>23</v>
      </c>
      <c r="C3" s="396" t="s">
        <v>24</v>
      </c>
      <c r="D3">
        <v>18230667</v>
      </c>
      <c r="E3" s="4">
        <v>82748.83</v>
      </c>
      <c r="F3" s="4">
        <v>74944.259999999995</v>
      </c>
      <c r="G3" s="4">
        <v>0</v>
      </c>
      <c r="H3" s="4">
        <v>0</v>
      </c>
      <c r="I3" s="4">
        <v>271062.09000000003</v>
      </c>
      <c r="J3" s="4">
        <v>800.56</v>
      </c>
      <c r="K3" s="4">
        <v>158.65</v>
      </c>
      <c r="L3" s="4">
        <v>0</v>
      </c>
      <c r="M3" s="4">
        <v>0</v>
      </c>
      <c r="N3" s="515">
        <f t="shared" si="0"/>
        <v>429714.39000000007</v>
      </c>
      <c r="O3" s="4">
        <f t="shared" si="1"/>
        <v>429714.39000000007</v>
      </c>
      <c r="P3" t="s">
        <v>524</v>
      </c>
    </row>
    <row r="4" spans="1:16" hidden="1">
      <c r="B4" t="s">
        <v>29</v>
      </c>
      <c r="C4" s="396" t="s">
        <v>30</v>
      </c>
      <c r="D4">
        <v>18230624</v>
      </c>
      <c r="E4" s="4">
        <v>0</v>
      </c>
      <c r="F4" s="4">
        <v>0</v>
      </c>
      <c r="G4" s="4">
        <v>0</v>
      </c>
      <c r="H4" s="4">
        <v>0</v>
      </c>
      <c r="I4" s="4">
        <v>121941</v>
      </c>
      <c r="J4" s="4">
        <v>0</v>
      </c>
      <c r="K4" s="4">
        <v>0</v>
      </c>
      <c r="L4" s="4">
        <v>0</v>
      </c>
      <c r="M4" s="4">
        <v>0</v>
      </c>
      <c r="N4" s="515">
        <f t="shared" si="0"/>
        <v>121941</v>
      </c>
      <c r="O4" s="4">
        <f t="shared" si="1"/>
        <v>121941</v>
      </c>
      <c r="P4" t="s">
        <v>525</v>
      </c>
    </row>
    <row r="5" spans="1:16" hidden="1">
      <c r="B5" t="s">
        <v>1825</v>
      </c>
      <c r="C5" s="396" t="s">
        <v>1826</v>
      </c>
      <c r="D5">
        <v>18230482</v>
      </c>
      <c r="E5" s="4">
        <v>0</v>
      </c>
      <c r="F5" s="4">
        <v>0</v>
      </c>
      <c r="G5" s="4">
        <v>47.25</v>
      </c>
      <c r="H5" s="4">
        <v>0</v>
      </c>
      <c r="I5" s="4">
        <v>0</v>
      </c>
      <c r="J5" s="4">
        <v>424.98</v>
      </c>
      <c r="K5" s="4">
        <v>0</v>
      </c>
      <c r="L5" s="4">
        <v>0</v>
      </c>
      <c r="M5" s="4">
        <v>0</v>
      </c>
      <c r="N5" s="515">
        <f t="shared" si="0"/>
        <v>472.23</v>
      </c>
      <c r="O5" s="4">
        <f t="shared" si="1"/>
        <v>472.23</v>
      </c>
      <c r="P5" t="s">
        <v>524</v>
      </c>
    </row>
    <row r="6" spans="1:16" hidden="1">
      <c r="B6" t="s">
        <v>1827</v>
      </c>
      <c r="C6" s="396" t="s">
        <v>1828</v>
      </c>
      <c r="D6">
        <v>18230685</v>
      </c>
      <c r="E6" s="4">
        <v>0</v>
      </c>
      <c r="F6" s="4">
        <v>0</v>
      </c>
      <c r="G6" s="4">
        <v>9</v>
      </c>
      <c r="H6" s="4">
        <v>0</v>
      </c>
      <c r="I6" s="4">
        <v>0</v>
      </c>
      <c r="J6" s="4">
        <v>0.42</v>
      </c>
      <c r="K6" s="4">
        <v>0</v>
      </c>
      <c r="L6" s="4">
        <v>0</v>
      </c>
      <c r="M6" s="4">
        <v>0</v>
      </c>
      <c r="N6" s="515">
        <f t="shared" si="0"/>
        <v>9.42</v>
      </c>
      <c r="O6" s="4">
        <f t="shared" si="1"/>
        <v>9.42</v>
      </c>
      <c r="P6" t="s">
        <v>524</v>
      </c>
    </row>
    <row r="7" spans="1:16" hidden="1">
      <c r="B7" t="s">
        <v>65</v>
      </c>
      <c r="C7" s="396" t="s">
        <v>138</v>
      </c>
      <c r="D7">
        <v>18230724</v>
      </c>
      <c r="E7" s="4">
        <v>2488110.37</v>
      </c>
      <c r="F7" s="4">
        <v>2166216.63</v>
      </c>
      <c r="G7" s="4">
        <v>20262.900000000001</v>
      </c>
      <c r="H7" s="4">
        <v>18735.54</v>
      </c>
      <c r="I7" s="4">
        <v>43607.92</v>
      </c>
      <c r="J7" s="4">
        <v>17083</v>
      </c>
      <c r="K7" s="4">
        <v>9550</v>
      </c>
      <c r="L7" s="4">
        <v>19739300.93</v>
      </c>
      <c r="M7" s="4">
        <v>0</v>
      </c>
      <c r="N7" s="515">
        <f t="shared" si="0"/>
        <v>24502867.289999999</v>
      </c>
      <c r="O7" s="4">
        <f t="shared" si="1"/>
        <v>4763566.3599999994</v>
      </c>
      <c r="P7" t="s">
        <v>523</v>
      </c>
    </row>
    <row r="8" spans="1:16" hidden="1">
      <c r="B8" t="s">
        <v>41</v>
      </c>
      <c r="C8" t="s">
        <v>42</v>
      </c>
      <c r="D8">
        <v>80500012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515">
        <f t="shared" si="0"/>
        <v>0</v>
      </c>
      <c r="O8" s="4">
        <f t="shared" si="1"/>
        <v>0</v>
      </c>
      <c r="P8" t="s">
        <v>526</v>
      </c>
    </row>
    <row r="9" spans="1:16" hidden="1">
      <c r="B9" t="s">
        <v>65</v>
      </c>
      <c r="C9" t="s">
        <v>507</v>
      </c>
      <c r="D9">
        <v>18230013</v>
      </c>
      <c r="E9" s="4">
        <v>0</v>
      </c>
      <c r="F9" s="4">
        <v>0</v>
      </c>
      <c r="G9" s="4">
        <v>0</v>
      </c>
      <c r="H9" s="4">
        <v>0</v>
      </c>
      <c r="I9" s="4">
        <v>42645</v>
      </c>
      <c r="J9" s="4">
        <v>0</v>
      </c>
      <c r="K9" s="4">
        <v>0</v>
      </c>
      <c r="L9" s="4">
        <v>0</v>
      </c>
      <c r="M9" s="4">
        <v>0</v>
      </c>
      <c r="N9" s="515">
        <f t="shared" si="0"/>
        <v>42645</v>
      </c>
      <c r="O9" s="4">
        <f t="shared" si="1"/>
        <v>42645</v>
      </c>
      <c r="P9" t="s">
        <v>523</v>
      </c>
    </row>
    <row r="10" spans="1:16" hidden="1">
      <c r="B10" t="s">
        <v>141</v>
      </c>
      <c r="C10" t="s">
        <v>512</v>
      </c>
      <c r="D10">
        <v>18230220</v>
      </c>
      <c r="E10" s="4">
        <v>0</v>
      </c>
      <c r="F10" s="4">
        <v>0</v>
      </c>
      <c r="G10" s="4">
        <v>0</v>
      </c>
      <c r="H10" s="4">
        <v>0</v>
      </c>
      <c r="I10" s="4">
        <v>42645</v>
      </c>
      <c r="J10" s="4">
        <v>0</v>
      </c>
      <c r="K10" s="4">
        <v>0</v>
      </c>
      <c r="L10" s="4">
        <v>0</v>
      </c>
      <c r="M10" s="4">
        <v>0</v>
      </c>
      <c r="N10" s="515">
        <f t="shared" si="0"/>
        <v>42645</v>
      </c>
      <c r="O10" s="4">
        <f t="shared" si="1"/>
        <v>42645</v>
      </c>
      <c r="P10" t="s">
        <v>523</v>
      </c>
    </row>
    <row r="11" spans="1:16" hidden="1">
      <c r="B11" t="s">
        <v>70</v>
      </c>
      <c r="C11" s="396" t="s">
        <v>1829</v>
      </c>
      <c r="D11">
        <v>18230716</v>
      </c>
      <c r="E11" s="4">
        <v>29612.79</v>
      </c>
      <c r="F11" s="4">
        <v>25453</v>
      </c>
      <c r="G11" s="4">
        <v>2101.79</v>
      </c>
      <c r="H11" s="4">
        <v>15</v>
      </c>
      <c r="I11" s="4">
        <v>57817.54</v>
      </c>
      <c r="J11" s="4">
        <v>129.16999999999999</v>
      </c>
      <c r="K11" s="4">
        <v>0</v>
      </c>
      <c r="L11" s="4">
        <v>173366.19</v>
      </c>
      <c r="M11" s="4">
        <v>0</v>
      </c>
      <c r="N11" s="515">
        <f t="shared" si="0"/>
        <v>288495.48</v>
      </c>
      <c r="O11" s="4">
        <f t="shared" si="1"/>
        <v>115129.28999999998</v>
      </c>
      <c r="P11" t="s">
        <v>523</v>
      </c>
    </row>
    <row r="12" spans="1:16" hidden="1">
      <c r="B12" t="s">
        <v>31</v>
      </c>
      <c r="C12" s="396" t="s">
        <v>1830</v>
      </c>
      <c r="D12">
        <v>18231027</v>
      </c>
      <c r="E12" s="4">
        <v>175527.05</v>
      </c>
      <c r="F12" s="4">
        <v>152021.34</v>
      </c>
      <c r="G12" s="4">
        <v>13109.24</v>
      </c>
      <c r="H12" s="4">
        <v>203.38</v>
      </c>
      <c r="I12" s="4">
        <v>425939.82</v>
      </c>
      <c r="J12" s="4">
        <v>465.45</v>
      </c>
      <c r="K12" s="4">
        <v>7455.81</v>
      </c>
      <c r="L12" s="4">
        <v>774806.11</v>
      </c>
      <c r="M12" s="4">
        <v>0</v>
      </c>
      <c r="N12" s="515">
        <f t="shared" si="0"/>
        <v>1549528.2000000002</v>
      </c>
      <c r="O12" s="4">
        <f t="shared" si="1"/>
        <v>774722.0900000002</v>
      </c>
      <c r="P12" t="s">
        <v>523</v>
      </c>
    </row>
    <row r="13" spans="1:16" hidden="1">
      <c r="B13" t="s">
        <v>70</v>
      </c>
      <c r="C13" s="396" t="s">
        <v>511</v>
      </c>
      <c r="D13">
        <v>18230718</v>
      </c>
      <c r="E13" s="4">
        <v>51009.73</v>
      </c>
      <c r="F13" s="4">
        <v>43650.29</v>
      </c>
      <c r="G13" s="4">
        <v>3267.06</v>
      </c>
      <c r="H13" s="4">
        <v>200</v>
      </c>
      <c r="I13" s="4">
        <v>4965.18</v>
      </c>
      <c r="J13" s="4">
        <v>692.61</v>
      </c>
      <c r="K13" s="4">
        <v>0</v>
      </c>
      <c r="L13" s="4">
        <v>290697.87</v>
      </c>
      <c r="M13" s="4">
        <v>0</v>
      </c>
      <c r="N13" s="515">
        <f t="shared" si="0"/>
        <v>394482.74</v>
      </c>
      <c r="O13" s="4">
        <f t="shared" si="1"/>
        <v>103784.87</v>
      </c>
      <c r="P13" t="s">
        <v>523</v>
      </c>
    </row>
    <row r="14" spans="1:16" hidden="1">
      <c r="B14" t="s">
        <v>31</v>
      </c>
      <c r="C14" s="396" t="s">
        <v>515</v>
      </c>
      <c r="D14">
        <v>18231029</v>
      </c>
      <c r="E14" s="4">
        <v>25781.16</v>
      </c>
      <c r="F14" s="4">
        <v>23184.16</v>
      </c>
      <c r="G14" s="4">
        <v>77.45</v>
      </c>
      <c r="H14" s="4">
        <v>0</v>
      </c>
      <c r="I14" s="4">
        <v>0</v>
      </c>
      <c r="J14" s="4">
        <v>0</v>
      </c>
      <c r="K14" s="4">
        <v>0</v>
      </c>
      <c r="L14" s="4">
        <v>2250</v>
      </c>
      <c r="M14" s="4">
        <v>0</v>
      </c>
      <c r="N14" s="515">
        <f t="shared" si="0"/>
        <v>51292.77</v>
      </c>
      <c r="O14" s="4">
        <f t="shared" si="1"/>
        <v>49042.77</v>
      </c>
      <c r="P14" t="s">
        <v>523</v>
      </c>
    </row>
    <row r="15" spans="1:16" hidden="1">
      <c r="B15" t="s">
        <v>129</v>
      </c>
      <c r="C15" s="396" t="s">
        <v>130</v>
      </c>
      <c r="D15">
        <v>18230715</v>
      </c>
      <c r="E15" s="4">
        <v>239038.56</v>
      </c>
      <c r="F15" s="4">
        <v>207483.51</v>
      </c>
      <c r="G15" s="4">
        <v>1083.52</v>
      </c>
      <c r="H15" s="4">
        <v>29526.5</v>
      </c>
      <c r="I15" s="4">
        <v>92844.7</v>
      </c>
      <c r="J15" s="4">
        <v>26.4</v>
      </c>
      <c r="K15" s="4">
        <v>366.3</v>
      </c>
      <c r="L15" s="4">
        <v>4722671.5999999996</v>
      </c>
      <c r="M15" s="4">
        <v>0</v>
      </c>
      <c r="N15" s="515">
        <f t="shared" si="0"/>
        <v>5293041.09</v>
      </c>
      <c r="O15" s="4">
        <f t="shared" si="1"/>
        <v>570369.49000000022</v>
      </c>
      <c r="P15" t="s">
        <v>523</v>
      </c>
    </row>
    <row r="16" spans="1:16" hidden="1">
      <c r="B16" t="s">
        <v>123</v>
      </c>
      <c r="C16" s="396" t="s">
        <v>124</v>
      </c>
      <c r="D16">
        <v>18230706</v>
      </c>
      <c r="E16" s="4">
        <v>34998.89</v>
      </c>
      <c r="F16" s="4">
        <v>30587.27</v>
      </c>
      <c r="G16" s="4">
        <v>1277.31</v>
      </c>
      <c r="H16" s="4">
        <v>12287.02</v>
      </c>
      <c r="I16" s="4">
        <v>40094.86</v>
      </c>
      <c r="J16" s="4">
        <v>0</v>
      </c>
      <c r="K16" s="4">
        <v>0</v>
      </c>
      <c r="L16" s="4">
        <v>429718</v>
      </c>
      <c r="M16" s="4">
        <v>0</v>
      </c>
      <c r="N16" s="515">
        <f t="shared" si="0"/>
        <v>548963.35</v>
      </c>
      <c r="O16" s="4">
        <f t="shared" si="1"/>
        <v>119245.34999999998</v>
      </c>
      <c r="P16" t="s">
        <v>523</v>
      </c>
    </row>
    <row r="17" spans="2:16" hidden="1">
      <c r="B17" t="s">
        <v>65</v>
      </c>
      <c r="C17" s="396" t="s">
        <v>125</v>
      </c>
      <c r="D17">
        <v>18230711</v>
      </c>
      <c r="E17" s="4">
        <v>601405.06000000006</v>
      </c>
      <c r="F17" s="4">
        <v>1298010.77</v>
      </c>
      <c r="G17" s="4">
        <v>6114.28</v>
      </c>
      <c r="H17" s="4">
        <v>31069.439999999999</v>
      </c>
      <c r="I17" s="4">
        <v>243706.31</v>
      </c>
      <c r="J17" s="4">
        <v>7386.53</v>
      </c>
      <c r="K17" s="4">
        <v>18380.7</v>
      </c>
      <c r="L17" s="4">
        <v>4087198.45</v>
      </c>
      <c r="M17" s="4">
        <v>0</v>
      </c>
      <c r="N17" s="515">
        <f t="shared" si="0"/>
        <v>6293271.54</v>
      </c>
      <c r="O17" s="4">
        <f t="shared" si="1"/>
        <v>2206073.09</v>
      </c>
      <c r="P17" t="s">
        <v>523</v>
      </c>
    </row>
    <row r="18" spans="2:16" hidden="1">
      <c r="B18" t="s">
        <v>141</v>
      </c>
      <c r="C18" s="396" t="s">
        <v>142</v>
      </c>
      <c r="D18">
        <v>18230731</v>
      </c>
      <c r="E18" s="4">
        <v>407118.12</v>
      </c>
      <c r="F18" s="4">
        <v>353493.74</v>
      </c>
      <c r="G18" s="4">
        <v>432.88</v>
      </c>
      <c r="H18" s="4">
        <v>5580.03</v>
      </c>
      <c r="I18" s="4">
        <v>53902.46</v>
      </c>
      <c r="J18" s="4">
        <v>538.37</v>
      </c>
      <c r="K18" s="4">
        <v>5947.5</v>
      </c>
      <c r="L18" s="4">
        <v>2575098.4500000002</v>
      </c>
      <c r="M18" s="4">
        <v>0</v>
      </c>
      <c r="N18" s="515">
        <f t="shared" si="0"/>
        <v>3402111.5500000003</v>
      </c>
      <c r="O18" s="4">
        <f t="shared" si="1"/>
        <v>827013.10000000009</v>
      </c>
      <c r="P18" t="s">
        <v>523</v>
      </c>
    </row>
    <row r="19" spans="2:16" hidden="1">
      <c r="B19" t="s">
        <v>70</v>
      </c>
      <c r="C19" s="396" t="s">
        <v>510</v>
      </c>
      <c r="D19">
        <v>18230524</v>
      </c>
      <c r="E19" s="4">
        <v>55150.28</v>
      </c>
      <c r="F19" s="4">
        <v>47611.97</v>
      </c>
      <c r="G19" s="4">
        <v>36.5</v>
      </c>
      <c r="H19" s="4">
        <v>0</v>
      </c>
      <c r="I19" s="4">
        <v>82361.710000000006</v>
      </c>
      <c r="J19" s="4">
        <v>299.32</v>
      </c>
      <c r="K19" s="4">
        <v>2485.27</v>
      </c>
      <c r="L19" s="4">
        <v>649907.18000000005</v>
      </c>
      <c r="M19" s="4">
        <v>0</v>
      </c>
      <c r="N19" s="515">
        <f t="shared" si="0"/>
        <v>837852.2300000001</v>
      </c>
      <c r="O19" s="4">
        <f t="shared" si="1"/>
        <v>187945.05000000005</v>
      </c>
      <c r="P19" t="s">
        <v>523</v>
      </c>
    </row>
    <row r="20" spans="2:16" hidden="1">
      <c r="B20" t="s">
        <v>31</v>
      </c>
      <c r="C20" t="s">
        <v>514</v>
      </c>
      <c r="D20">
        <v>18230248</v>
      </c>
      <c r="E20" s="4">
        <v>45456.5</v>
      </c>
      <c r="F20" s="4">
        <v>39367.18</v>
      </c>
      <c r="G20" s="4">
        <v>36.5</v>
      </c>
      <c r="H20" s="4">
        <v>351.29</v>
      </c>
      <c r="I20" s="4">
        <v>636643.68999999994</v>
      </c>
      <c r="J20" s="4">
        <v>463.86</v>
      </c>
      <c r="K20" s="4">
        <v>0</v>
      </c>
      <c r="L20" s="4">
        <v>2953994.22</v>
      </c>
      <c r="M20" s="4">
        <v>0</v>
      </c>
      <c r="N20" s="515">
        <f t="shared" si="0"/>
        <v>3676313.24</v>
      </c>
      <c r="O20" s="4">
        <f t="shared" si="1"/>
        <v>722319.02</v>
      </c>
      <c r="P20" t="s">
        <v>523</v>
      </c>
    </row>
    <row r="21" spans="2:16" hidden="1">
      <c r="B21" t="s">
        <v>25</v>
      </c>
      <c r="C21" t="s">
        <v>26</v>
      </c>
      <c r="D21">
        <v>18230140</v>
      </c>
      <c r="E21" s="4">
        <v>17775.36</v>
      </c>
      <c r="F21" s="4">
        <v>15614.15</v>
      </c>
      <c r="G21" s="4">
        <v>0</v>
      </c>
      <c r="H21" s="4">
        <v>115.96</v>
      </c>
      <c r="I21" s="4">
        <v>10.99</v>
      </c>
      <c r="J21" s="4">
        <v>0</v>
      </c>
      <c r="K21" s="4">
        <v>0</v>
      </c>
      <c r="L21" s="4">
        <v>194915</v>
      </c>
      <c r="M21" s="4">
        <v>0</v>
      </c>
      <c r="N21" s="515">
        <f t="shared" si="0"/>
        <v>228431.46</v>
      </c>
      <c r="O21" s="4">
        <f t="shared" si="1"/>
        <v>33516.459999999992</v>
      </c>
      <c r="P21" t="s">
        <v>522</v>
      </c>
    </row>
    <row r="22" spans="2:16" hidden="1">
      <c r="B22" t="s">
        <v>84</v>
      </c>
      <c r="C22" s="396" t="s">
        <v>85</v>
      </c>
      <c r="D22">
        <v>18230640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515">
        <f t="shared" si="0"/>
        <v>0</v>
      </c>
      <c r="O22" s="4">
        <f t="shared" si="1"/>
        <v>0</v>
      </c>
      <c r="P22" t="s">
        <v>522</v>
      </c>
    </row>
    <row r="23" spans="2:16" hidden="1">
      <c r="B23" t="s">
        <v>136</v>
      </c>
      <c r="C23" s="396" t="s">
        <v>137</v>
      </c>
      <c r="D23">
        <v>18230723</v>
      </c>
      <c r="E23" s="4">
        <v>624237.43999999994</v>
      </c>
      <c r="F23" s="4">
        <v>533884.96</v>
      </c>
      <c r="G23" s="4">
        <v>507.18</v>
      </c>
      <c r="H23" s="4">
        <v>9537.0499999999993</v>
      </c>
      <c r="I23" s="4">
        <v>380402.82</v>
      </c>
      <c r="J23" s="4">
        <v>2683.45</v>
      </c>
      <c r="K23" s="4">
        <v>1375.41</v>
      </c>
      <c r="L23" s="4">
        <v>983596</v>
      </c>
      <c r="M23" s="4">
        <v>0</v>
      </c>
      <c r="N23" s="515">
        <f t="shared" si="0"/>
        <v>2536224.3099999996</v>
      </c>
      <c r="O23" s="4">
        <f t="shared" si="1"/>
        <v>1552628.3099999996</v>
      </c>
      <c r="P23" t="s">
        <v>523</v>
      </c>
    </row>
    <row r="24" spans="2:16" hidden="1">
      <c r="B24" t="s">
        <v>112</v>
      </c>
      <c r="C24" s="396" t="s">
        <v>113</v>
      </c>
      <c r="D24">
        <v>18230691</v>
      </c>
      <c r="E24" s="4">
        <v>350461.14</v>
      </c>
      <c r="F24" s="4">
        <v>303792.28000000003</v>
      </c>
      <c r="G24" s="4">
        <v>0</v>
      </c>
      <c r="H24" s="4">
        <v>5962.42</v>
      </c>
      <c r="I24" s="4">
        <v>104412.9</v>
      </c>
      <c r="J24" s="4">
        <v>1181.6600000000001</v>
      </c>
      <c r="K24" s="4">
        <v>575.17999999999995</v>
      </c>
      <c r="L24" s="4">
        <v>259993</v>
      </c>
      <c r="M24" s="4">
        <v>0</v>
      </c>
      <c r="N24" s="515">
        <f t="shared" si="0"/>
        <v>1026378.5800000002</v>
      </c>
      <c r="O24" s="4">
        <f t="shared" si="1"/>
        <v>766385.58000000019</v>
      </c>
      <c r="P24" t="s">
        <v>523</v>
      </c>
    </row>
    <row r="25" spans="2:16" hidden="1">
      <c r="B25" t="s">
        <v>43</v>
      </c>
      <c r="C25" s="396" t="s">
        <v>44</v>
      </c>
      <c r="D25">
        <v>18230809</v>
      </c>
      <c r="E25" s="4">
        <v>146436.85</v>
      </c>
      <c r="F25" s="4">
        <v>128289.7</v>
      </c>
      <c r="G25" s="4">
        <v>0</v>
      </c>
      <c r="H25" s="4">
        <v>220.64</v>
      </c>
      <c r="I25" s="4">
        <v>283222.34999999998</v>
      </c>
      <c r="J25" s="4">
        <v>0</v>
      </c>
      <c r="K25" s="4">
        <v>0</v>
      </c>
      <c r="L25" s="4">
        <v>0</v>
      </c>
      <c r="M25" s="4">
        <v>0</v>
      </c>
      <c r="N25" s="515">
        <f t="shared" si="0"/>
        <v>558169.54</v>
      </c>
      <c r="O25" s="4">
        <f t="shared" si="1"/>
        <v>558169.54</v>
      </c>
      <c r="P25" t="s">
        <v>525</v>
      </c>
    </row>
    <row r="26" spans="2:16" hidden="1">
      <c r="B26" t="s">
        <v>45</v>
      </c>
      <c r="C26" s="396" t="s">
        <v>46</v>
      </c>
      <c r="D26">
        <v>18230703</v>
      </c>
      <c r="E26" s="4">
        <v>20919.550000000003</v>
      </c>
      <c r="F26" s="4">
        <v>18327.129999999997</v>
      </c>
      <c r="G26" s="4">
        <v>0</v>
      </c>
      <c r="H26" s="4">
        <v>0</v>
      </c>
      <c r="I26" s="4">
        <v>42320.600000000006</v>
      </c>
      <c r="J26" s="4">
        <v>0</v>
      </c>
      <c r="K26" s="4">
        <v>0</v>
      </c>
      <c r="L26" s="4">
        <v>0</v>
      </c>
      <c r="M26" s="4">
        <v>0</v>
      </c>
      <c r="N26" s="515">
        <f t="shared" si="0"/>
        <v>81567.28</v>
      </c>
      <c r="O26" s="4">
        <f t="shared" si="1"/>
        <v>81567.28</v>
      </c>
      <c r="P26" t="s">
        <v>525</v>
      </c>
    </row>
    <row r="27" spans="2:16" hidden="1">
      <c r="B27" t="s">
        <v>47</v>
      </c>
      <c r="C27" s="396" t="s">
        <v>48</v>
      </c>
      <c r="D27">
        <v>18230508</v>
      </c>
      <c r="E27" s="4">
        <v>58171.94</v>
      </c>
      <c r="F27" s="4">
        <v>49315.08</v>
      </c>
      <c r="G27" s="4">
        <v>0</v>
      </c>
      <c r="H27" s="4">
        <v>0</v>
      </c>
      <c r="I27" s="4">
        <v>995680.28</v>
      </c>
      <c r="J27" s="4">
        <v>0</v>
      </c>
      <c r="K27" s="4">
        <v>0</v>
      </c>
      <c r="L27" s="4">
        <v>0</v>
      </c>
      <c r="M27" s="4">
        <v>0</v>
      </c>
      <c r="N27" s="515">
        <f t="shared" si="0"/>
        <v>1103167.3</v>
      </c>
      <c r="O27" s="4">
        <f t="shared" si="1"/>
        <v>1103167.3</v>
      </c>
      <c r="P27" t="s">
        <v>524</v>
      </c>
    </row>
    <row r="28" spans="2:16" hidden="1">
      <c r="B28" t="s">
        <v>55</v>
      </c>
      <c r="C28" s="396" t="s">
        <v>56</v>
      </c>
      <c r="D28">
        <v>18230690</v>
      </c>
      <c r="E28" s="4">
        <v>3815.57</v>
      </c>
      <c r="F28" s="4">
        <v>3089.69</v>
      </c>
      <c r="G28" s="4">
        <v>0</v>
      </c>
      <c r="H28" s="4">
        <v>0</v>
      </c>
      <c r="I28" s="4">
        <v>148779.79</v>
      </c>
      <c r="J28" s="4">
        <v>0</v>
      </c>
      <c r="K28" s="4">
        <v>0</v>
      </c>
      <c r="L28" s="4">
        <v>0</v>
      </c>
      <c r="M28" s="4">
        <v>0</v>
      </c>
      <c r="N28" s="515">
        <f t="shared" si="0"/>
        <v>155685.05000000002</v>
      </c>
      <c r="O28" s="4">
        <f t="shared" si="1"/>
        <v>155685.05000000002</v>
      </c>
      <c r="P28" t="s">
        <v>524</v>
      </c>
    </row>
    <row r="29" spans="2:16" hidden="1">
      <c r="B29" t="s">
        <v>47</v>
      </c>
      <c r="C29" s="396" t="s">
        <v>57</v>
      </c>
      <c r="D29">
        <v>18230408</v>
      </c>
      <c r="E29" s="4">
        <v>79026.16</v>
      </c>
      <c r="F29" s="4">
        <v>67302.58</v>
      </c>
      <c r="G29" s="4">
        <v>0</v>
      </c>
      <c r="H29" s="4">
        <v>0</v>
      </c>
      <c r="I29" s="4">
        <v>806475.45</v>
      </c>
      <c r="J29" s="4">
        <v>407.63</v>
      </c>
      <c r="K29" s="4">
        <v>376.41</v>
      </c>
      <c r="L29" s="4">
        <v>0</v>
      </c>
      <c r="M29" s="4">
        <v>0</v>
      </c>
      <c r="N29" s="515">
        <f t="shared" si="0"/>
        <v>953588.23</v>
      </c>
      <c r="O29" s="4">
        <f t="shared" si="1"/>
        <v>953588.23</v>
      </c>
      <c r="P29" t="s">
        <v>524</v>
      </c>
    </row>
    <row r="30" spans="2:16" hidden="1">
      <c r="B30" t="s">
        <v>55</v>
      </c>
      <c r="C30" s="396" t="s">
        <v>58</v>
      </c>
      <c r="D30">
        <v>18230737</v>
      </c>
      <c r="E30" s="4">
        <v>18710.23</v>
      </c>
      <c r="F30" s="4">
        <v>16502.310000000001</v>
      </c>
      <c r="G30" s="4">
        <v>0</v>
      </c>
      <c r="H30" s="4">
        <v>0</v>
      </c>
      <c r="I30" s="4">
        <v>134304.71</v>
      </c>
      <c r="J30" s="4">
        <v>60.91</v>
      </c>
      <c r="K30" s="4">
        <v>0</v>
      </c>
      <c r="L30" s="4">
        <v>0</v>
      </c>
      <c r="M30" s="4">
        <v>0</v>
      </c>
      <c r="N30" s="515">
        <f t="shared" si="0"/>
        <v>169578.16</v>
      </c>
      <c r="O30" s="4">
        <f t="shared" si="1"/>
        <v>169578.16</v>
      </c>
      <c r="P30" t="s">
        <v>524</v>
      </c>
    </row>
    <row r="31" spans="2:16" hidden="1">
      <c r="B31" t="s">
        <v>61</v>
      </c>
      <c r="C31" s="396" t="s">
        <v>62</v>
      </c>
      <c r="D31">
        <v>18230745</v>
      </c>
      <c r="E31" s="4">
        <v>824861.39</v>
      </c>
      <c r="F31" s="4">
        <v>721919.24</v>
      </c>
      <c r="G31" s="4">
        <v>0</v>
      </c>
      <c r="H31" s="4">
        <v>73.209999999999994</v>
      </c>
      <c r="I31" s="4">
        <v>443700</v>
      </c>
      <c r="J31" s="4">
        <v>763.69</v>
      </c>
      <c r="K31" s="4">
        <v>0</v>
      </c>
      <c r="L31" s="4">
        <v>0</v>
      </c>
      <c r="M31" s="4">
        <v>0</v>
      </c>
      <c r="N31" s="515">
        <f t="shared" si="0"/>
        <v>1991317.5299999998</v>
      </c>
      <c r="O31" s="4">
        <f t="shared" si="1"/>
        <v>1991317.5299999998</v>
      </c>
      <c r="P31" t="s">
        <v>524</v>
      </c>
    </row>
    <row r="32" spans="2:16" hidden="1">
      <c r="B32" t="s">
        <v>63</v>
      </c>
      <c r="C32" s="396" t="s">
        <v>64</v>
      </c>
      <c r="D32">
        <v>18231005</v>
      </c>
      <c r="E32" s="4">
        <v>123225.98</v>
      </c>
      <c r="F32" s="4">
        <v>107845.16</v>
      </c>
      <c r="G32" s="4">
        <v>0</v>
      </c>
      <c r="H32" s="4">
        <v>10.94</v>
      </c>
      <c r="I32" s="4">
        <v>66300</v>
      </c>
      <c r="J32" s="4">
        <v>114.11</v>
      </c>
      <c r="K32" s="4">
        <v>0</v>
      </c>
      <c r="L32" s="4">
        <v>0</v>
      </c>
      <c r="M32" s="4">
        <v>0</v>
      </c>
      <c r="N32" s="515">
        <f t="shared" si="0"/>
        <v>297496.19</v>
      </c>
      <c r="O32" s="4">
        <f t="shared" si="1"/>
        <v>297496.19</v>
      </c>
      <c r="P32" t="s">
        <v>524</v>
      </c>
    </row>
    <row r="33" spans="2:16" hidden="1">
      <c r="B33" t="s">
        <v>65</v>
      </c>
      <c r="C33" t="s">
        <v>1831</v>
      </c>
      <c r="D33">
        <v>18231132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-28.67</v>
      </c>
      <c r="K33" s="4">
        <v>0</v>
      </c>
      <c r="L33" s="4">
        <v>0</v>
      </c>
      <c r="M33" s="4">
        <v>0</v>
      </c>
      <c r="N33" s="515">
        <f t="shared" si="0"/>
        <v>-28.67</v>
      </c>
      <c r="O33" s="4">
        <f t="shared" si="1"/>
        <v>-28.67</v>
      </c>
      <c r="P33" t="s">
        <v>523</v>
      </c>
    </row>
    <row r="34" spans="2:16" hidden="1">
      <c r="B34" t="s">
        <v>47</v>
      </c>
      <c r="C34" t="s">
        <v>66</v>
      </c>
      <c r="D34">
        <v>18230400</v>
      </c>
      <c r="E34" s="4">
        <v>74781.83</v>
      </c>
      <c r="F34" s="4">
        <v>66631.539999999994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515">
        <f t="shared" ref="N34:N65" si="2">SUM(E34:M34)</f>
        <v>141413.37</v>
      </c>
      <c r="O34" s="4">
        <f t="shared" ref="O34:O65" si="3">N34-L34</f>
        <v>141413.37</v>
      </c>
      <c r="P34" t="s">
        <v>524</v>
      </c>
    </row>
    <row r="35" spans="2:16" hidden="1">
      <c r="B35" t="s">
        <v>55</v>
      </c>
      <c r="C35" s="396" t="s">
        <v>67</v>
      </c>
      <c r="D35">
        <v>18230665</v>
      </c>
      <c r="E35" s="4">
        <v>33910.58</v>
      </c>
      <c r="F35" s="4">
        <v>28855.09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515">
        <f t="shared" si="2"/>
        <v>62765.67</v>
      </c>
      <c r="O35" s="4">
        <f t="shared" si="3"/>
        <v>62765.67</v>
      </c>
      <c r="P35" t="s">
        <v>524</v>
      </c>
    </row>
    <row r="36" spans="2:16" hidden="1">
      <c r="B36" t="s">
        <v>68</v>
      </c>
      <c r="C36" s="396" t="s">
        <v>69</v>
      </c>
      <c r="D36">
        <v>18230418</v>
      </c>
      <c r="E36" s="4">
        <v>589952.06999999995</v>
      </c>
      <c r="F36" s="4">
        <v>515179.58</v>
      </c>
      <c r="G36" s="4">
        <v>0</v>
      </c>
      <c r="H36" s="4">
        <v>1031.6199999999999</v>
      </c>
      <c r="I36" s="4">
        <v>0</v>
      </c>
      <c r="J36" s="4">
        <v>735.91</v>
      </c>
      <c r="K36" s="4">
        <v>0</v>
      </c>
      <c r="L36" s="4">
        <v>0</v>
      </c>
      <c r="M36" s="4">
        <v>0</v>
      </c>
      <c r="N36" s="515">
        <f t="shared" si="2"/>
        <v>1106899.18</v>
      </c>
      <c r="O36" s="4">
        <f t="shared" si="3"/>
        <v>1106899.18</v>
      </c>
      <c r="P36" t="s">
        <v>524</v>
      </c>
    </row>
    <row r="37" spans="2:16" hidden="1">
      <c r="B37" t="s">
        <v>72</v>
      </c>
      <c r="C37" s="396" t="s">
        <v>73</v>
      </c>
      <c r="D37">
        <v>18230668</v>
      </c>
      <c r="E37" s="4">
        <v>71124.44</v>
      </c>
      <c r="F37" s="4">
        <v>62415.58</v>
      </c>
      <c r="G37" s="4">
        <v>0</v>
      </c>
      <c r="H37" s="4">
        <v>53.21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515">
        <f t="shared" si="2"/>
        <v>133593.23000000001</v>
      </c>
      <c r="O37" s="4">
        <f t="shared" si="3"/>
        <v>133593.23000000001</v>
      </c>
      <c r="P37" t="s">
        <v>524</v>
      </c>
    </row>
    <row r="38" spans="2:16" hidden="1">
      <c r="B38" t="s">
        <v>15</v>
      </c>
      <c r="C38" s="396" t="s">
        <v>1820</v>
      </c>
      <c r="D38">
        <v>18230751</v>
      </c>
      <c r="E38" s="4">
        <v>16653.63</v>
      </c>
      <c r="F38" s="4">
        <v>13850.18</v>
      </c>
      <c r="G38" s="4">
        <v>41695.1</v>
      </c>
      <c r="H38" s="4">
        <v>0</v>
      </c>
      <c r="I38" s="4">
        <v>278</v>
      </c>
      <c r="J38" s="4">
        <v>31.04</v>
      </c>
      <c r="K38" s="4">
        <v>0</v>
      </c>
      <c r="L38" s="4">
        <v>0</v>
      </c>
      <c r="M38" s="4">
        <v>0</v>
      </c>
      <c r="N38" s="515">
        <f t="shared" si="2"/>
        <v>72507.95</v>
      </c>
      <c r="O38" s="4">
        <f t="shared" si="3"/>
        <v>72507.95</v>
      </c>
      <c r="P38" t="s">
        <v>520</v>
      </c>
    </row>
    <row r="39" spans="2:16" hidden="1">
      <c r="B39" t="s">
        <v>33</v>
      </c>
      <c r="C39" t="s">
        <v>1821</v>
      </c>
      <c r="D39">
        <v>18230254</v>
      </c>
      <c r="E39" s="4">
        <v>15795.46</v>
      </c>
      <c r="F39" s="4">
        <v>13113.63</v>
      </c>
      <c r="G39" s="4">
        <v>41414.68</v>
      </c>
      <c r="H39" s="4">
        <v>0</v>
      </c>
      <c r="I39" s="4">
        <v>69.5</v>
      </c>
      <c r="J39" s="4">
        <v>31.04</v>
      </c>
      <c r="K39" s="4">
        <v>0</v>
      </c>
      <c r="L39" s="4">
        <v>0</v>
      </c>
      <c r="M39" s="4">
        <v>0</v>
      </c>
      <c r="N39" s="515">
        <f t="shared" si="2"/>
        <v>70424.309999999983</v>
      </c>
      <c r="O39" s="4">
        <f t="shared" si="3"/>
        <v>70424.309999999983</v>
      </c>
      <c r="P39" t="s">
        <v>520</v>
      </c>
    </row>
    <row r="40" spans="2:16" hidden="1">
      <c r="B40" t="s">
        <v>76</v>
      </c>
      <c r="C40" s="396" t="s">
        <v>77</v>
      </c>
      <c r="D40">
        <v>18230610</v>
      </c>
      <c r="E40" s="4">
        <v>1070675.8500000001</v>
      </c>
      <c r="F40" s="4">
        <v>931362.41</v>
      </c>
      <c r="G40" s="4">
        <v>0</v>
      </c>
      <c r="H40" s="4">
        <v>6031.25</v>
      </c>
      <c r="I40" s="4">
        <v>1406.93</v>
      </c>
      <c r="J40" s="4">
        <v>3560.14</v>
      </c>
      <c r="K40" s="4">
        <v>273.27</v>
      </c>
      <c r="L40" s="4">
        <v>0</v>
      </c>
      <c r="M40" s="4">
        <v>0</v>
      </c>
      <c r="N40" s="515">
        <f t="shared" si="2"/>
        <v>2013309.85</v>
      </c>
      <c r="O40" s="4">
        <f t="shared" si="3"/>
        <v>2013309.85</v>
      </c>
      <c r="P40" t="s">
        <v>524</v>
      </c>
    </row>
    <row r="41" spans="2:16" hidden="1">
      <c r="B41" t="s">
        <v>86</v>
      </c>
      <c r="C41" s="396" t="s">
        <v>87</v>
      </c>
      <c r="D41">
        <v>18230704</v>
      </c>
      <c r="E41" s="4">
        <v>151103.64000000001</v>
      </c>
      <c r="F41" s="4">
        <v>135014.45000000001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515">
        <f t="shared" si="2"/>
        <v>286118.09000000003</v>
      </c>
      <c r="O41" s="4">
        <f t="shared" si="3"/>
        <v>286118.09000000003</v>
      </c>
      <c r="P41" t="s">
        <v>524</v>
      </c>
    </row>
    <row r="42" spans="2:16" hidden="1">
      <c r="B42" t="s">
        <v>88</v>
      </c>
      <c r="C42" s="396" t="s">
        <v>89</v>
      </c>
      <c r="D42">
        <v>18230811</v>
      </c>
      <c r="E42" s="4">
        <v>821666.19</v>
      </c>
      <c r="F42" s="4">
        <v>714595.22</v>
      </c>
      <c r="G42" s="4">
        <v>15910.62</v>
      </c>
      <c r="H42" s="4">
        <v>1642.25</v>
      </c>
      <c r="I42" s="4">
        <v>136214.22</v>
      </c>
      <c r="J42" s="4">
        <v>2404.09</v>
      </c>
      <c r="K42" s="4">
        <v>7873.94</v>
      </c>
      <c r="L42" s="4">
        <v>16231.5</v>
      </c>
      <c r="M42" s="4">
        <v>0</v>
      </c>
      <c r="N42" s="515">
        <f t="shared" si="2"/>
        <v>1716538.03</v>
      </c>
      <c r="O42" s="4">
        <f t="shared" si="3"/>
        <v>1700306.53</v>
      </c>
      <c r="P42" t="s">
        <v>524</v>
      </c>
    </row>
    <row r="43" spans="2:16" hidden="1">
      <c r="B43" t="s">
        <v>90</v>
      </c>
      <c r="C43" s="396" t="s">
        <v>91</v>
      </c>
      <c r="D43">
        <v>18230657</v>
      </c>
      <c r="E43" s="4">
        <v>196288.93</v>
      </c>
      <c r="F43" s="4">
        <v>170890.79</v>
      </c>
      <c r="G43" s="4">
        <v>2792.21</v>
      </c>
      <c r="H43" s="4">
        <v>75.31</v>
      </c>
      <c r="I43" s="4">
        <v>20435.32</v>
      </c>
      <c r="J43" s="4">
        <v>143.81</v>
      </c>
      <c r="K43" s="4">
        <v>510.94</v>
      </c>
      <c r="L43" s="4">
        <v>0</v>
      </c>
      <c r="M43" s="4">
        <v>0</v>
      </c>
      <c r="N43" s="515">
        <f t="shared" si="2"/>
        <v>391137.31</v>
      </c>
      <c r="O43" s="4">
        <f t="shared" si="3"/>
        <v>391137.31</v>
      </c>
      <c r="P43" t="s">
        <v>524</v>
      </c>
    </row>
    <row r="44" spans="2:16" hidden="1">
      <c r="B44" t="s">
        <v>129</v>
      </c>
      <c r="C44" t="s">
        <v>508</v>
      </c>
      <c r="D44">
        <v>18231136</v>
      </c>
      <c r="E44" s="4">
        <v>0</v>
      </c>
      <c r="F44" s="4">
        <v>0</v>
      </c>
      <c r="G44" s="4">
        <v>0</v>
      </c>
      <c r="H44" s="4">
        <v>10.029999999999999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515">
        <f t="shared" si="2"/>
        <v>10.029999999999999</v>
      </c>
      <c r="O44" s="4">
        <f t="shared" si="3"/>
        <v>10.029999999999999</v>
      </c>
      <c r="P44" t="s">
        <v>523</v>
      </c>
    </row>
    <row r="45" spans="2:16" hidden="1">
      <c r="B45" t="s">
        <v>92</v>
      </c>
      <c r="C45" s="396" t="s">
        <v>93</v>
      </c>
      <c r="D45">
        <v>18230487</v>
      </c>
      <c r="E45" s="4">
        <v>212799.32</v>
      </c>
      <c r="F45" s="4">
        <v>186125.14</v>
      </c>
      <c r="G45" s="4">
        <v>5647.38</v>
      </c>
      <c r="H45" s="4">
        <v>1480</v>
      </c>
      <c r="I45" s="4">
        <v>45930.83</v>
      </c>
      <c r="J45" s="4">
        <v>4975.1000000000004</v>
      </c>
      <c r="K45" s="4">
        <v>30450</v>
      </c>
      <c r="L45" s="4">
        <v>0</v>
      </c>
      <c r="M45" s="4">
        <v>0</v>
      </c>
      <c r="N45" s="515">
        <f t="shared" si="2"/>
        <v>487407.77</v>
      </c>
      <c r="O45" s="4">
        <f t="shared" si="3"/>
        <v>487407.77</v>
      </c>
      <c r="P45" t="s">
        <v>524</v>
      </c>
    </row>
    <row r="46" spans="2:16" hidden="1">
      <c r="B46" t="s">
        <v>94</v>
      </c>
      <c r="C46" s="396" t="s">
        <v>95</v>
      </c>
      <c r="D46">
        <v>18230675</v>
      </c>
      <c r="E46" s="4">
        <v>30949.39</v>
      </c>
      <c r="F46" s="4">
        <v>27152.62</v>
      </c>
      <c r="G46" s="4">
        <v>959.51</v>
      </c>
      <c r="H46" s="4">
        <v>360</v>
      </c>
      <c r="I46" s="4">
        <v>9736.08</v>
      </c>
      <c r="J46" s="4">
        <v>3619.65</v>
      </c>
      <c r="K46" s="4">
        <v>4550</v>
      </c>
      <c r="L46" s="4">
        <v>0</v>
      </c>
      <c r="M46" s="4">
        <v>0</v>
      </c>
      <c r="N46" s="515">
        <f t="shared" si="2"/>
        <v>77327.249999999985</v>
      </c>
      <c r="O46" s="4">
        <f t="shared" si="3"/>
        <v>77327.249999999985</v>
      </c>
      <c r="P46" t="s">
        <v>524</v>
      </c>
    </row>
    <row r="47" spans="2:16" hidden="1">
      <c r="B47" t="s">
        <v>96</v>
      </c>
      <c r="C47" s="396" t="s">
        <v>97</v>
      </c>
      <c r="D47">
        <v>18230713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515">
        <f t="shared" si="2"/>
        <v>0</v>
      </c>
      <c r="O47" s="4">
        <f t="shared" si="3"/>
        <v>0</v>
      </c>
      <c r="P47" t="s">
        <v>521</v>
      </c>
    </row>
    <row r="48" spans="2:16" hidden="1">
      <c r="B48" t="s">
        <v>41</v>
      </c>
      <c r="C48" t="s">
        <v>98</v>
      </c>
      <c r="D48">
        <v>55700200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515">
        <f t="shared" si="2"/>
        <v>0</v>
      </c>
      <c r="O48" s="4">
        <f t="shared" si="3"/>
        <v>0</v>
      </c>
      <c r="P48" t="s">
        <v>526</v>
      </c>
    </row>
    <row r="49" spans="2:16" hidden="1">
      <c r="B49" t="s">
        <v>156</v>
      </c>
      <c r="C49" s="396" t="s">
        <v>1832</v>
      </c>
      <c r="D49">
        <v>18230748</v>
      </c>
      <c r="E49" s="4">
        <v>0</v>
      </c>
      <c r="F49" s="4">
        <v>0</v>
      </c>
      <c r="G49" s="4">
        <v>0</v>
      </c>
      <c r="H49" s="4">
        <v>0</v>
      </c>
      <c r="I49" s="4">
        <v>127330.8</v>
      </c>
      <c r="J49" s="4">
        <v>0</v>
      </c>
      <c r="K49" s="4">
        <v>0</v>
      </c>
      <c r="L49" s="4">
        <v>95382.5</v>
      </c>
      <c r="M49" s="4">
        <v>0</v>
      </c>
      <c r="N49" s="515">
        <f t="shared" si="2"/>
        <v>222713.3</v>
      </c>
      <c r="O49" s="4">
        <f t="shared" si="3"/>
        <v>127330.79999999999</v>
      </c>
      <c r="P49" t="s">
        <v>522</v>
      </c>
    </row>
    <row r="50" spans="2:16" hidden="1">
      <c r="B50" t="s">
        <v>36</v>
      </c>
      <c r="C50" t="s">
        <v>1833</v>
      </c>
      <c r="D50">
        <v>18230255</v>
      </c>
      <c r="E50" s="4">
        <v>0</v>
      </c>
      <c r="F50" s="4">
        <v>0</v>
      </c>
      <c r="G50" s="4">
        <v>0</v>
      </c>
      <c r="H50" s="4">
        <v>0</v>
      </c>
      <c r="I50" s="4">
        <v>54570.32</v>
      </c>
      <c r="J50" s="4">
        <v>0</v>
      </c>
      <c r="K50" s="4">
        <v>0</v>
      </c>
      <c r="L50" s="4">
        <v>19830</v>
      </c>
      <c r="M50" s="4">
        <v>0</v>
      </c>
      <c r="N50" s="515">
        <f t="shared" si="2"/>
        <v>74400.320000000007</v>
      </c>
      <c r="O50" s="4">
        <f t="shared" si="3"/>
        <v>54570.320000000007</v>
      </c>
      <c r="P50" t="s">
        <v>522</v>
      </c>
    </row>
    <row r="51" spans="2:16" hidden="1">
      <c r="B51" t="s">
        <v>133</v>
      </c>
      <c r="C51" s="396" t="s">
        <v>135</v>
      </c>
      <c r="D51">
        <v>18230721</v>
      </c>
      <c r="E51" s="4">
        <v>436096.57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2155537.52</v>
      </c>
      <c r="M51" s="4">
        <v>0</v>
      </c>
      <c r="N51" s="515">
        <f t="shared" si="2"/>
        <v>2591634.09</v>
      </c>
      <c r="O51" s="4">
        <f t="shared" si="3"/>
        <v>436096.56999999983</v>
      </c>
      <c r="P51" t="s">
        <v>523</v>
      </c>
    </row>
    <row r="52" spans="2:16" hidden="1">
      <c r="B52" t="s">
        <v>133</v>
      </c>
      <c r="C52" s="396" t="s">
        <v>134</v>
      </c>
      <c r="D52">
        <v>18230720</v>
      </c>
      <c r="E52" s="4">
        <v>468989.23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4554051.43</v>
      </c>
      <c r="M52" s="4">
        <v>0</v>
      </c>
      <c r="N52" s="515">
        <f t="shared" si="2"/>
        <v>5023040.66</v>
      </c>
      <c r="O52" s="4">
        <f t="shared" si="3"/>
        <v>468989.23000000045</v>
      </c>
      <c r="P52" t="s">
        <v>523</v>
      </c>
    </row>
    <row r="53" spans="2:16" hidden="1">
      <c r="B53" t="s">
        <v>15</v>
      </c>
      <c r="C53" s="396" t="s">
        <v>51</v>
      </c>
      <c r="D53">
        <v>18230434</v>
      </c>
      <c r="E53" s="4">
        <v>141609.94</v>
      </c>
      <c r="F53" s="4">
        <v>122945.41</v>
      </c>
      <c r="G53" s="4">
        <v>97009.53</v>
      </c>
      <c r="H53" s="4">
        <v>0</v>
      </c>
      <c r="I53" s="4">
        <v>202674.92</v>
      </c>
      <c r="J53" s="4">
        <v>96.93</v>
      </c>
      <c r="K53" s="4">
        <v>-14083.2</v>
      </c>
      <c r="L53" s="4">
        <v>1571298.72</v>
      </c>
      <c r="M53" s="4">
        <v>0</v>
      </c>
      <c r="N53" s="515">
        <f t="shared" si="2"/>
        <v>2121552.25</v>
      </c>
      <c r="O53" s="4">
        <f t="shared" si="3"/>
        <v>550253.53</v>
      </c>
      <c r="P53" t="s">
        <v>520</v>
      </c>
    </row>
    <row r="54" spans="2:16" hidden="1">
      <c r="B54" t="s">
        <v>15</v>
      </c>
      <c r="C54" s="396" t="s">
        <v>78</v>
      </c>
      <c r="D54">
        <v>18230625</v>
      </c>
      <c r="E54" s="4">
        <v>62217.55</v>
      </c>
      <c r="F54" s="4">
        <v>59100.04</v>
      </c>
      <c r="G54" s="4">
        <v>8757.8799999999992</v>
      </c>
      <c r="H54" s="4">
        <v>433.98</v>
      </c>
      <c r="I54" s="4">
        <v>138280.4</v>
      </c>
      <c r="J54" s="4">
        <v>0</v>
      </c>
      <c r="K54" s="4">
        <v>0</v>
      </c>
      <c r="L54" s="4">
        <v>330871.53999999998</v>
      </c>
      <c r="M54" s="4">
        <v>0</v>
      </c>
      <c r="N54" s="515">
        <f t="shared" si="2"/>
        <v>599661.3899999999</v>
      </c>
      <c r="O54" s="4">
        <f t="shared" si="3"/>
        <v>268789.84999999992</v>
      </c>
      <c r="P54" t="s">
        <v>520</v>
      </c>
    </row>
    <row r="55" spans="2:16" hidden="1">
      <c r="B55" t="s">
        <v>15</v>
      </c>
      <c r="C55" s="396" t="s">
        <v>54</v>
      </c>
      <c r="D55">
        <v>18230461</v>
      </c>
      <c r="E55" s="4">
        <v>139361.42000000001</v>
      </c>
      <c r="F55" s="4">
        <v>122095.8</v>
      </c>
      <c r="G55" s="4">
        <v>0</v>
      </c>
      <c r="H55" s="4">
        <v>426.09</v>
      </c>
      <c r="I55" s="4">
        <v>1309088.43</v>
      </c>
      <c r="J55" s="4">
        <v>0</v>
      </c>
      <c r="K55" s="4">
        <v>0</v>
      </c>
      <c r="L55" s="4">
        <v>1309088.33</v>
      </c>
      <c r="M55" s="4">
        <v>0</v>
      </c>
      <c r="N55" s="515">
        <f t="shared" si="2"/>
        <v>2880060.0700000003</v>
      </c>
      <c r="O55" s="4">
        <f t="shared" si="3"/>
        <v>1570971.7400000002</v>
      </c>
      <c r="P55" t="s">
        <v>520</v>
      </c>
    </row>
    <row r="56" spans="2:16" hidden="1">
      <c r="B56" t="s">
        <v>33</v>
      </c>
      <c r="C56" s="396" t="s">
        <v>149</v>
      </c>
      <c r="D56">
        <v>18230738</v>
      </c>
      <c r="E56" s="4">
        <v>27085.46</v>
      </c>
      <c r="F56" s="4">
        <v>23361.18</v>
      </c>
      <c r="G56" s="4">
        <v>0</v>
      </c>
      <c r="H56" s="4">
        <v>9.08</v>
      </c>
      <c r="I56" s="4">
        <v>895667.97</v>
      </c>
      <c r="J56" s="4">
        <v>0</v>
      </c>
      <c r="K56" s="4">
        <v>0</v>
      </c>
      <c r="L56" s="4">
        <v>895668.07</v>
      </c>
      <c r="M56" s="4">
        <v>0</v>
      </c>
      <c r="N56" s="515">
        <f t="shared" si="2"/>
        <v>1841791.7599999998</v>
      </c>
      <c r="O56" s="4">
        <f t="shared" si="3"/>
        <v>946123.68999999983</v>
      </c>
      <c r="P56" t="s">
        <v>520</v>
      </c>
    </row>
    <row r="57" spans="2:16" hidden="1">
      <c r="B57" t="s">
        <v>65</v>
      </c>
      <c r="C57" t="s">
        <v>99</v>
      </c>
      <c r="D57">
        <v>18231137</v>
      </c>
      <c r="E57" s="4">
        <v>178219.26</v>
      </c>
      <c r="F57" s="4">
        <v>152324.04999999999</v>
      </c>
      <c r="G57" s="4">
        <v>2993.75</v>
      </c>
      <c r="H57" s="4">
        <v>531.52</v>
      </c>
      <c r="I57" s="4">
        <v>95784.01</v>
      </c>
      <c r="J57" s="4">
        <v>189.66</v>
      </c>
      <c r="K57" s="4">
        <v>0</v>
      </c>
      <c r="L57" s="4">
        <v>818468.98</v>
      </c>
      <c r="M57" s="4">
        <v>0</v>
      </c>
      <c r="N57" s="515">
        <f t="shared" si="2"/>
        <v>1248511.23</v>
      </c>
      <c r="O57" s="4">
        <f t="shared" si="3"/>
        <v>430042.25</v>
      </c>
      <c r="P57" t="s">
        <v>523</v>
      </c>
    </row>
    <row r="58" spans="2:16">
      <c r="B58" t="s">
        <v>141</v>
      </c>
      <c r="C58" s="396" t="s">
        <v>168</v>
      </c>
      <c r="D58">
        <v>18231037</v>
      </c>
      <c r="E58" s="4">
        <v>275.69</v>
      </c>
      <c r="F58" s="4">
        <v>234.32</v>
      </c>
      <c r="G58" s="4">
        <v>0</v>
      </c>
      <c r="H58" s="4">
        <v>51.31</v>
      </c>
      <c r="I58" s="4">
        <v>0</v>
      </c>
      <c r="J58" s="4">
        <v>19.87</v>
      </c>
      <c r="K58" s="4">
        <v>0</v>
      </c>
      <c r="L58" s="4">
        <v>0</v>
      </c>
      <c r="M58" s="4">
        <v>0</v>
      </c>
      <c r="N58" s="515">
        <f t="shared" si="2"/>
        <v>581.18999999999994</v>
      </c>
      <c r="O58" s="4">
        <f t="shared" si="3"/>
        <v>581.18999999999994</v>
      </c>
      <c r="P58" t="s">
        <v>523</v>
      </c>
    </row>
    <row r="59" spans="2:16" hidden="1">
      <c r="B59" t="s">
        <v>65</v>
      </c>
      <c r="C59" t="s">
        <v>175</v>
      </c>
      <c r="D59">
        <v>18231133</v>
      </c>
      <c r="E59" s="4">
        <v>35982.57</v>
      </c>
      <c r="F59" s="4">
        <v>33189.440000000002</v>
      </c>
      <c r="G59" s="4">
        <v>0</v>
      </c>
      <c r="H59" s="4">
        <v>0</v>
      </c>
      <c r="I59" s="4">
        <v>3265.18</v>
      </c>
      <c r="J59" s="4">
        <v>0</v>
      </c>
      <c r="K59" s="4">
        <v>0</v>
      </c>
      <c r="L59" s="4">
        <v>78362.559999999998</v>
      </c>
      <c r="M59" s="4">
        <v>0</v>
      </c>
      <c r="N59" s="515">
        <f t="shared" si="2"/>
        <v>150799.75</v>
      </c>
      <c r="O59" s="4">
        <f t="shared" si="3"/>
        <v>72437.19</v>
      </c>
      <c r="P59" t="s">
        <v>523</v>
      </c>
    </row>
    <row r="60" spans="2:16" hidden="1">
      <c r="B60" t="s">
        <v>70</v>
      </c>
      <c r="C60" s="396" t="s">
        <v>128</v>
      </c>
      <c r="D60">
        <v>18230714</v>
      </c>
      <c r="E60" s="4">
        <v>165286.39000000001</v>
      </c>
      <c r="F60" s="4">
        <v>142318.32</v>
      </c>
      <c r="G60" s="4">
        <v>1466.45</v>
      </c>
      <c r="H60" s="4">
        <v>68.38</v>
      </c>
      <c r="I60" s="4">
        <v>368937.2</v>
      </c>
      <c r="J60" s="4">
        <v>40.99</v>
      </c>
      <c r="K60" s="4">
        <v>11597.93</v>
      </c>
      <c r="L60" s="4">
        <v>2341019.7799999998</v>
      </c>
      <c r="M60" s="4">
        <v>0</v>
      </c>
      <c r="N60" s="515">
        <f t="shared" si="2"/>
        <v>3030735.44</v>
      </c>
      <c r="O60" s="4">
        <f t="shared" si="3"/>
        <v>689715.66000000015</v>
      </c>
      <c r="P60" t="s">
        <v>523</v>
      </c>
    </row>
    <row r="61" spans="2:16" hidden="1">
      <c r="B61" t="s">
        <v>100</v>
      </c>
      <c r="C61" t="s">
        <v>101</v>
      </c>
      <c r="D61">
        <v>42650207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178511.5</v>
      </c>
      <c r="M61" s="4">
        <v>0</v>
      </c>
      <c r="N61" s="515">
        <f t="shared" si="2"/>
        <v>178511.5</v>
      </c>
      <c r="O61" s="4">
        <f t="shared" si="3"/>
        <v>0</v>
      </c>
      <c r="P61" t="s">
        <v>519</v>
      </c>
    </row>
    <row r="62" spans="2:16" hidden="1">
      <c r="B62" t="s">
        <v>41</v>
      </c>
      <c r="C62" t="s">
        <v>104</v>
      </c>
      <c r="D62">
        <v>90800154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515">
        <f t="shared" si="2"/>
        <v>0</v>
      </c>
      <c r="O62" s="4">
        <f t="shared" si="3"/>
        <v>0</v>
      </c>
      <c r="P62" t="s">
        <v>526</v>
      </c>
    </row>
    <row r="63" spans="2:16" hidden="1">
      <c r="B63" t="s">
        <v>70</v>
      </c>
      <c r="C63" s="396" t="s">
        <v>1834</v>
      </c>
      <c r="D63">
        <v>18230520</v>
      </c>
      <c r="E63" s="4">
        <v>0</v>
      </c>
      <c r="F63" s="4">
        <v>0</v>
      </c>
      <c r="G63" s="4">
        <v>0</v>
      </c>
      <c r="H63" s="4">
        <v>0</v>
      </c>
      <c r="I63" s="4">
        <v>18.75</v>
      </c>
      <c r="J63" s="4">
        <v>0</v>
      </c>
      <c r="K63" s="4">
        <v>0</v>
      </c>
      <c r="L63" s="4">
        <v>0</v>
      </c>
      <c r="M63" s="4">
        <v>0</v>
      </c>
      <c r="N63" s="515">
        <f t="shared" si="2"/>
        <v>18.75</v>
      </c>
      <c r="O63" s="4">
        <f t="shared" si="3"/>
        <v>18.75</v>
      </c>
      <c r="P63" t="s">
        <v>523</v>
      </c>
    </row>
    <row r="64" spans="2:16" hidden="1">
      <c r="B64" t="s">
        <v>31</v>
      </c>
      <c r="C64" t="s">
        <v>1835</v>
      </c>
      <c r="D64">
        <v>18230250</v>
      </c>
      <c r="E64" s="4">
        <v>0</v>
      </c>
      <c r="F64" s="4">
        <v>0</v>
      </c>
      <c r="G64" s="4">
        <v>0</v>
      </c>
      <c r="H64" s="4">
        <v>0</v>
      </c>
      <c r="I64" s="4">
        <v>18.75</v>
      </c>
      <c r="J64" s="4">
        <v>0</v>
      </c>
      <c r="K64" s="4">
        <v>0</v>
      </c>
      <c r="L64" s="4">
        <v>0</v>
      </c>
      <c r="M64" s="4">
        <v>0</v>
      </c>
      <c r="N64" s="515">
        <f t="shared" si="2"/>
        <v>18.75</v>
      </c>
      <c r="O64" s="4">
        <f t="shared" si="3"/>
        <v>18.75</v>
      </c>
      <c r="P64" t="s">
        <v>523</v>
      </c>
    </row>
    <row r="65" spans="2:16" hidden="1">
      <c r="B65" t="s">
        <v>70</v>
      </c>
      <c r="C65" t="s">
        <v>299</v>
      </c>
      <c r="D65">
        <v>18230014</v>
      </c>
      <c r="E65" s="4">
        <v>264.36</v>
      </c>
      <c r="F65" s="4">
        <v>209.1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600902.76</v>
      </c>
      <c r="M65" s="4">
        <v>0</v>
      </c>
      <c r="N65" s="515">
        <f t="shared" si="2"/>
        <v>601376.22</v>
      </c>
      <c r="O65" s="4">
        <f t="shared" si="3"/>
        <v>473.45999999996275</v>
      </c>
      <c r="P65" t="s">
        <v>523</v>
      </c>
    </row>
    <row r="66" spans="2:16" hidden="1">
      <c r="B66" t="s">
        <v>31</v>
      </c>
      <c r="C66" t="s">
        <v>513</v>
      </c>
      <c r="D66">
        <v>18230221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515">
        <f t="shared" ref="N66:N97" si="4">SUM(E66:M66)</f>
        <v>0</v>
      </c>
      <c r="O66" s="4">
        <f t="shared" ref="O66:O97" si="5">N66-L66</f>
        <v>0</v>
      </c>
      <c r="P66" t="s">
        <v>523</v>
      </c>
    </row>
    <row r="67" spans="2:16" hidden="1">
      <c r="B67" t="s">
        <v>74</v>
      </c>
      <c r="C67" s="396" t="s">
        <v>75</v>
      </c>
      <c r="D67">
        <v>18230611</v>
      </c>
      <c r="E67" s="4">
        <v>258880.19</v>
      </c>
      <c r="F67" s="4">
        <v>226034.39</v>
      </c>
      <c r="G67" s="4">
        <v>8225.7800000000007</v>
      </c>
      <c r="H67" s="4">
        <v>2127.66</v>
      </c>
      <c r="I67" s="4">
        <v>153339.87</v>
      </c>
      <c r="J67" s="4">
        <v>2482.83</v>
      </c>
      <c r="K67" s="4">
        <v>-25596.31</v>
      </c>
      <c r="L67" s="4">
        <v>6859396.4100000001</v>
      </c>
      <c r="M67" s="4">
        <v>-359686</v>
      </c>
      <c r="N67" s="515">
        <f t="shared" si="4"/>
        <v>7125204.8200000003</v>
      </c>
      <c r="O67" s="4">
        <f t="shared" si="5"/>
        <v>265808.41000000015</v>
      </c>
      <c r="P67" t="s">
        <v>520</v>
      </c>
    </row>
    <row r="68" spans="2:16" hidden="1">
      <c r="B68" t="s">
        <v>108</v>
      </c>
      <c r="C68" s="396" t="s">
        <v>109</v>
      </c>
      <c r="D68">
        <v>18230661</v>
      </c>
      <c r="E68" s="4">
        <v>47802.22</v>
      </c>
      <c r="F68" s="4">
        <v>41793.54</v>
      </c>
      <c r="G68" s="4">
        <v>3521.73</v>
      </c>
      <c r="H68" s="4">
        <v>17.61</v>
      </c>
      <c r="I68" s="4">
        <v>28846.2</v>
      </c>
      <c r="J68" s="4">
        <v>470.87</v>
      </c>
      <c r="K68" s="4">
        <v>25596.31</v>
      </c>
      <c r="L68" s="4">
        <v>1106133.79</v>
      </c>
      <c r="M68" s="4">
        <v>0</v>
      </c>
      <c r="N68" s="515">
        <f t="shared" si="4"/>
        <v>1254182.27</v>
      </c>
      <c r="O68" s="4">
        <f t="shared" si="5"/>
        <v>148048.47999999998</v>
      </c>
      <c r="P68" t="s">
        <v>520</v>
      </c>
    </row>
    <row r="69" spans="2:16" hidden="1">
      <c r="B69" t="s">
        <v>100</v>
      </c>
      <c r="C69" t="s">
        <v>179</v>
      </c>
      <c r="D69">
        <v>42650195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653250.1</v>
      </c>
      <c r="M69" s="4">
        <v>0</v>
      </c>
      <c r="N69" s="515">
        <f t="shared" si="4"/>
        <v>653250.1</v>
      </c>
      <c r="O69" s="4">
        <f t="shared" si="5"/>
        <v>0</v>
      </c>
      <c r="P69" t="s">
        <v>519</v>
      </c>
    </row>
    <row r="70" spans="2:16" hidden="1">
      <c r="B70" t="s">
        <v>17</v>
      </c>
      <c r="C70" t="s">
        <v>18</v>
      </c>
      <c r="D70">
        <v>18230071</v>
      </c>
      <c r="E70" s="4">
        <v>25075.25</v>
      </c>
      <c r="F70" s="4">
        <v>21567.52</v>
      </c>
      <c r="G70" s="4">
        <v>6040.95</v>
      </c>
      <c r="H70" s="4">
        <v>39.25</v>
      </c>
      <c r="I70" s="4">
        <v>56086.23</v>
      </c>
      <c r="J70" s="4">
        <v>1219.24</v>
      </c>
      <c r="K70" s="4">
        <v>3313.69</v>
      </c>
      <c r="L70" s="4">
        <v>193055.45</v>
      </c>
      <c r="M70" s="4">
        <v>0</v>
      </c>
      <c r="N70" s="515">
        <f t="shared" si="4"/>
        <v>306397.58</v>
      </c>
      <c r="O70" s="4">
        <f t="shared" si="5"/>
        <v>113342.13</v>
      </c>
      <c r="P70" t="s">
        <v>520</v>
      </c>
    </row>
    <row r="71" spans="2:16" hidden="1">
      <c r="B71" t="s">
        <v>110</v>
      </c>
      <c r="C71" s="396" t="s">
        <v>111</v>
      </c>
      <c r="D71">
        <v>18230466</v>
      </c>
      <c r="E71" s="4">
        <v>291554.71000000002</v>
      </c>
      <c r="F71" s="4">
        <v>253730.39</v>
      </c>
      <c r="G71" s="4">
        <v>1502785.19</v>
      </c>
      <c r="H71" s="4">
        <v>0</v>
      </c>
      <c r="I71" s="4">
        <v>26310.53</v>
      </c>
      <c r="J71" s="4">
        <v>10688</v>
      </c>
      <c r="K71" s="4">
        <v>0</v>
      </c>
      <c r="L71" s="4">
        <v>112417.87</v>
      </c>
      <c r="M71" s="4">
        <v>0</v>
      </c>
      <c r="N71" s="515">
        <f t="shared" si="4"/>
        <v>2197486.69</v>
      </c>
      <c r="O71" s="4">
        <f t="shared" si="5"/>
        <v>2085068.8199999998</v>
      </c>
      <c r="P71" t="s">
        <v>524</v>
      </c>
    </row>
    <row r="72" spans="2:16" hidden="1">
      <c r="B72" t="s">
        <v>114</v>
      </c>
      <c r="C72" s="396" t="s">
        <v>115</v>
      </c>
      <c r="D72">
        <v>18230732</v>
      </c>
      <c r="E72" s="4">
        <v>46607.839999999997</v>
      </c>
      <c r="F72" s="4">
        <v>40573.81</v>
      </c>
      <c r="G72" s="4">
        <v>224639.77</v>
      </c>
      <c r="H72" s="4">
        <v>0</v>
      </c>
      <c r="I72" s="4">
        <v>4045.32</v>
      </c>
      <c r="J72" s="4">
        <v>0</v>
      </c>
      <c r="K72" s="4">
        <v>0</v>
      </c>
      <c r="L72" s="4">
        <v>16798.07</v>
      </c>
      <c r="M72" s="4">
        <v>0</v>
      </c>
      <c r="N72" s="515">
        <f t="shared" si="4"/>
        <v>332664.81</v>
      </c>
      <c r="O72" s="4">
        <f t="shared" si="5"/>
        <v>315866.74</v>
      </c>
      <c r="P72" t="s">
        <v>524</v>
      </c>
    </row>
    <row r="73" spans="2:16" hidden="1">
      <c r="B73" t="s">
        <v>116</v>
      </c>
      <c r="C73" s="396" t="s">
        <v>117</v>
      </c>
      <c r="D73">
        <v>18230413</v>
      </c>
      <c r="E73" s="4">
        <v>170661.49</v>
      </c>
      <c r="F73" s="4">
        <v>149130.27000000002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515">
        <f t="shared" si="4"/>
        <v>319791.76</v>
      </c>
      <c r="O73" s="4">
        <f t="shared" si="5"/>
        <v>319791.76</v>
      </c>
      <c r="P73" t="s">
        <v>525</v>
      </c>
    </row>
    <row r="74" spans="2:16" hidden="1">
      <c r="B74" t="s">
        <v>119</v>
      </c>
      <c r="C74" s="396" t="s">
        <v>120</v>
      </c>
      <c r="D74">
        <v>18230669</v>
      </c>
      <c r="E74" s="4">
        <v>25827.14</v>
      </c>
      <c r="F74" s="4">
        <v>22566.22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515">
        <f t="shared" si="4"/>
        <v>48393.36</v>
      </c>
      <c r="O74" s="4">
        <f t="shared" si="5"/>
        <v>48393.36</v>
      </c>
      <c r="P74" t="s">
        <v>525</v>
      </c>
    </row>
    <row r="75" spans="2:16" hidden="1">
      <c r="B75" t="s">
        <v>59</v>
      </c>
      <c r="C75" s="396" t="s">
        <v>60</v>
      </c>
      <c r="D75">
        <v>18230486</v>
      </c>
      <c r="E75" s="4">
        <v>172659.35</v>
      </c>
      <c r="F75" s="4">
        <v>150833.59</v>
      </c>
      <c r="G75" s="4">
        <v>3093.53</v>
      </c>
      <c r="H75" s="4">
        <v>351.7</v>
      </c>
      <c r="I75" s="4">
        <v>539744.66</v>
      </c>
      <c r="J75" s="4">
        <v>163.44999999999999</v>
      </c>
      <c r="K75" s="4">
        <v>2800</v>
      </c>
      <c r="L75" s="4">
        <v>1227245</v>
      </c>
      <c r="M75" s="4">
        <v>0</v>
      </c>
      <c r="N75" s="515">
        <f t="shared" si="4"/>
        <v>2096891.28</v>
      </c>
      <c r="O75" s="4">
        <f t="shared" si="5"/>
        <v>869646.28</v>
      </c>
      <c r="P75" t="s">
        <v>520</v>
      </c>
    </row>
    <row r="76" spans="2:16" hidden="1">
      <c r="B76" t="s">
        <v>102</v>
      </c>
      <c r="C76" s="396" t="s">
        <v>103</v>
      </c>
      <c r="D76">
        <v>18230673</v>
      </c>
      <c r="E76" s="4">
        <v>76998.22</v>
      </c>
      <c r="F76" s="4">
        <v>67389.279999999999</v>
      </c>
      <c r="G76" s="4">
        <v>656.27</v>
      </c>
      <c r="H76" s="4">
        <v>89.26</v>
      </c>
      <c r="I76" s="4">
        <v>135187.59</v>
      </c>
      <c r="J76" s="4">
        <v>32.68</v>
      </c>
      <c r="K76" s="4">
        <v>2200</v>
      </c>
      <c r="L76" s="4">
        <v>354447.69</v>
      </c>
      <c r="M76" s="4">
        <v>0</v>
      </c>
      <c r="N76" s="515">
        <f t="shared" si="4"/>
        <v>637000.99</v>
      </c>
      <c r="O76" s="4">
        <f t="shared" si="5"/>
        <v>282553.3</v>
      </c>
      <c r="P76" t="s">
        <v>520</v>
      </c>
    </row>
    <row r="77" spans="2:16" hidden="1">
      <c r="B77" t="s">
        <v>39</v>
      </c>
      <c r="C77" t="s">
        <v>40</v>
      </c>
      <c r="D77">
        <v>18230407</v>
      </c>
      <c r="E77" s="4">
        <v>263681.27</v>
      </c>
      <c r="F77" s="4">
        <v>231175.15</v>
      </c>
      <c r="G77" s="4">
        <v>37444.1</v>
      </c>
      <c r="H77" s="4">
        <v>847.73</v>
      </c>
      <c r="I77" s="4">
        <v>2281196.33</v>
      </c>
      <c r="J77" s="4">
        <v>3768.35</v>
      </c>
      <c r="K77" s="4">
        <v>6815.82</v>
      </c>
      <c r="L77" s="4">
        <v>7929569.4299999997</v>
      </c>
      <c r="M77" s="4">
        <v>0</v>
      </c>
      <c r="N77" s="515">
        <f t="shared" si="4"/>
        <v>10754498.18</v>
      </c>
      <c r="O77" s="4">
        <f t="shared" si="5"/>
        <v>2824928.75</v>
      </c>
      <c r="P77" t="s">
        <v>520</v>
      </c>
    </row>
    <row r="78" spans="2:16" hidden="1">
      <c r="B78" t="s">
        <v>145</v>
      </c>
      <c r="C78" s="396" t="s">
        <v>146</v>
      </c>
      <c r="D78">
        <v>18230736</v>
      </c>
      <c r="E78" s="4">
        <v>72559.31</v>
      </c>
      <c r="F78" s="4">
        <v>63324.76</v>
      </c>
      <c r="G78" s="4">
        <v>7924.78</v>
      </c>
      <c r="H78" s="4">
        <v>195.16</v>
      </c>
      <c r="I78" s="4">
        <v>79544.179999999993</v>
      </c>
      <c r="J78" s="4">
        <v>298.33999999999997</v>
      </c>
      <c r="K78" s="4">
        <v>79.47</v>
      </c>
      <c r="L78" s="4">
        <v>385441.57</v>
      </c>
      <c r="M78" s="4">
        <v>0</v>
      </c>
      <c r="N78" s="515">
        <f t="shared" si="4"/>
        <v>609367.57000000007</v>
      </c>
      <c r="O78" s="4">
        <f t="shared" si="5"/>
        <v>223926.00000000006</v>
      </c>
      <c r="P78" t="s">
        <v>520</v>
      </c>
    </row>
    <row r="79" spans="2:16" hidden="1">
      <c r="B79" t="s">
        <v>121</v>
      </c>
      <c r="C79" s="396" t="s">
        <v>122</v>
      </c>
      <c r="D79">
        <v>18230660</v>
      </c>
      <c r="E79" s="4">
        <v>3759.27</v>
      </c>
      <c r="F79" s="4">
        <v>3531.68</v>
      </c>
      <c r="G79" s="4">
        <v>0</v>
      </c>
      <c r="H79" s="4">
        <v>0</v>
      </c>
      <c r="I79" s="4">
        <v>466869.09</v>
      </c>
      <c r="J79" s="4">
        <v>0</v>
      </c>
      <c r="K79" s="4">
        <v>257642.88</v>
      </c>
      <c r="L79" s="4">
        <v>831718.27</v>
      </c>
      <c r="M79" s="4">
        <v>0</v>
      </c>
      <c r="N79" s="515">
        <f t="shared" si="4"/>
        <v>1563521.19</v>
      </c>
      <c r="O79" s="4">
        <f t="shared" si="5"/>
        <v>731802.91999999993</v>
      </c>
      <c r="P79" t="s">
        <v>521</v>
      </c>
    </row>
    <row r="80" spans="2:16" hidden="1">
      <c r="B80" t="s">
        <v>126</v>
      </c>
      <c r="C80" t="s">
        <v>127</v>
      </c>
      <c r="D80">
        <v>18230128</v>
      </c>
      <c r="E80" s="4">
        <v>668415.96</v>
      </c>
      <c r="F80" s="4">
        <v>580517.94999999995</v>
      </c>
      <c r="G80" s="4">
        <v>0</v>
      </c>
      <c r="H80" s="4">
        <v>462.67</v>
      </c>
      <c r="I80" s="4">
        <v>130911.38</v>
      </c>
      <c r="J80" s="4">
        <v>13305.6</v>
      </c>
      <c r="K80" s="4">
        <v>4127611.23</v>
      </c>
      <c r="L80" s="4">
        <v>0</v>
      </c>
      <c r="M80" s="4">
        <v>0</v>
      </c>
      <c r="N80" s="515">
        <f t="shared" si="4"/>
        <v>5521224.79</v>
      </c>
      <c r="O80" s="4">
        <f t="shared" si="5"/>
        <v>5521224.79</v>
      </c>
      <c r="P80" t="s">
        <v>429</v>
      </c>
    </row>
    <row r="81" spans="2:16" hidden="1">
      <c r="B81" t="s">
        <v>49</v>
      </c>
      <c r="C81" s="396" t="s">
        <v>50</v>
      </c>
      <c r="D81">
        <v>18230421</v>
      </c>
      <c r="E81" s="4">
        <v>2736.08</v>
      </c>
      <c r="F81" s="4">
        <v>2507.06</v>
      </c>
      <c r="G81" s="4">
        <v>0</v>
      </c>
      <c r="H81" s="4">
        <v>548.77</v>
      </c>
      <c r="I81" s="4">
        <v>2757575.35</v>
      </c>
      <c r="J81" s="4">
        <v>0</v>
      </c>
      <c r="K81" s="4">
        <v>-257642.88</v>
      </c>
      <c r="L81" s="4">
        <v>5435240.2300000004</v>
      </c>
      <c r="M81" s="4">
        <v>0</v>
      </c>
      <c r="N81" s="515">
        <f t="shared" si="4"/>
        <v>7940964.6100000013</v>
      </c>
      <c r="O81" s="4">
        <f t="shared" si="5"/>
        <v>2505724.3800000008</v>
      </c>
      <c r="P81" t="s">
        <v>521</v>
      </c>
    </row>
    <row r="82" spans="2:16" hidden="1">
      <c r="B82" t="s">
        <v>136</v>
      </c>
      <c r="C82" t="s">
        <v>509</v>
      </c>
      <c r="D82">
        <v>18236102</v>
      </c>
      <c r="E82" s="4">
        <v>5272.45</v>
      </c>
      <c r="F82" s="4">
        <v>4296.34</v>
      </c>
      <c r="G82" s="4">
        <v>0</v>
      </c>
      <c r="H82" s="4">
        <v>6.49</v>
      </c>
      <c r="I82" s="4">
        <v>0</v>
      </c>
      <c r="J82" s="4">
        <v>0</v>
      </c>
      <c r="K82" s="4">
        <v>0</v>
      </c>
      <c r="L82" s="4">
        <v>28048</v>
      </c>
      <c r="M82" s="4">
        <v>0</v>
      </c>
      <c r="N82" s="515">
        <f t="shared" si="4"/>
        <v>37623.279999999999</v>
      </c>
      <c r="O82" s="4">
        <f t="shared" si="5"/>
        <v>9575.2799999999988</v>
      </c>
      <c r="P82" t="s">
        <v>523</v>
      </c>
    </row>
    <row r="83" spans="2:16" hidden="1">
      <c r="B83" t="s">
        <v>112</v>
      </c>
      <c r="C83" t="s">
        <v>321</v>
      </c>
      <c r="D83">
        <v>18231039</v>
      </c>
      <c r="E83" s="4">
        <v>1575.36</v>
      </c>
      <c r="F83" s="4">
        <v>1279.47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515">
        <f t="shared" si="4"/>
        <v>2854.83</v>
      </c>
      <c r="O83" s="4">
        <f t="shared" si="5"/>
        <v>2854.83</v>
      </c>
      <c r="P83" t="s">
        <v>523</v>
      </c>
    </row>
    <row r="84" spans="2:16" hidden="1">
      <c r="B84" t="s">
        <v>139</v>
      </c>
      <c r="C84" s="396" t="s">
        <v>140</v>
      </c>
      <c r="D84">
        <v>18230802</v>
      </c>
      <c r="E84" s="4">
        <v>303909.15000000002</v>
      </c>
      <c r="F84" s="4">
        <v>265868.69</v>
      </c>
      <c r="G84" s="4">
        <v>0</v>
      </c>
      <c r="H84" s="4">
        <v>1475.1599999999999</v>
      </c>
      <c r="I84" s="4">
        <v>2378398.77</v>
      </c>
      <c r="J84" s="4">
        <v>328.12</v>
      </c>
      <c r="K84" s="4">
        <v>210800</v>
      </c>
      <c r="L84" s="4">
        <v>49999.99</v>
      </c>
      <c r="M84" s="4">
        <v>0</v>
      </c>
      <c r="N84" s="515">
        <f t="shared" si="4"/>
        <v>3210779.8800000004</v>
      </c>
      <c r="O84" s="4">
        <f t="shared" si="5"/>
        <v>3160779.89</v>
      </c>
      <c r="P84" t="s">
        <v>525</v>
      </c>
    </row>
    <row r="85" spans="2:16" hidden="1">
      <c r="B85" t="s">
        <v>143</v>
      </c>
      <c r="C85" s="396" t="s">
        <v>144</v>
      </c>
      <c r="D85">
        <v>18230699</v>
      </c>
      <c r="E85" s="4">
        <v>44637.56</v>
      </c>
      <c r="F85" s="4">
        <v>39045.5</v>
      </c>
      <c r="G85" s="4">
        <v>0</v>
      </c>
      <c r="H85" s="4">
        <v>77.739999999999995</v>
      </c>
      <c r="I85" s="4">
        <v>449313.45999999996</v>
      </c>
      <c r="J85" s="4">
        <v>49.03</v>
      </c>
      <c r="K85" s="4">
        <v>139500</v>
      </c>
      <c r="L85" s="4">
        <v>0</v>
      </c>
      <c r="M85" s="4">
        <v>0</v>
      </c>
      <c r="N85" s="515">
        <f t="shared" si="4"/>
        <v>672623.29</v>
      </c>
      <c r="O85" s="4">
        <f t="shared" si="5"/>
        <v>672623.29</v>
      </c>
      <c r="P85" t="s">
        <v>525</v>
      </c>
    </row>
    <row r="86" spans="2:16" hidden="1">
      <c r="B86" t="s">
        <v>147</v>
      </c>
      <c r="C86" s="396" t="s">
        <v>148</v>
      </c>
      <c r="D86">
        <v>18230810</v>
      </c>
      <c r="E86" s="4">
        <v>601002.54</v>
      </c>
      <c r="F86" s="4">
        <v>509010.1</v>
      </c>
      <c r="G86" s="4">
        <v>0</v>
      </c>
      <c r="H86" s="4">
        <v>1126.51</v>
      </c>
      <c r="I86" s="4">
        <v>47049.599999999999</v>
      </c>
      <c r="J86" s="4">
        <v>363.93</v>
      </c>
      <c r="K86" s="4">
        <v>59.06</v>
      </c>
      <c r="L86" s="4">
        <v>0</v>
      </c>
      <c r="M86" s="4">
        <v>0</v>
      </c>
      <c r="N86" s="515">
        <f t="shared" si="4"/>
        <v>1158611.7400000002</v>
      </c>
      <c r="O86" s="4">
        <f t="shared" si="5"/>
        <v>1158611.7400000002</v>
      </c>
      <c r="P86" t="s">
        <v>524</v>
      </c>
    </row>
    <row r="87" spans="2:16" hidden="1">
      <c r="B87" t="s">
        <v>150</v>
      </c>
      <c r="C87" s="396" t="s">
        <v>151</v>
      </c>
      <c r="D87">
        <v>18230688</v>
      </c>
      <c r="E87" s="4">
        <v>90751.45</v>
      </c>
      <c r="F87" s="4">
        <v>76851.42</v>
      </c>
      <c r="G87" s="4">
        <v>0</v>
      </c>
      <c r="H87" s="4">
        <v>193.79</v>
      </c>
      <c r="I87" s="4">
        <v>7030.4</v>
      </c>
      <c r="J87" s="4">
        <v>62.73</v>
      </c>
      <c r="K87" s="4">
        <v>8.82</v>
      </c>
      <c r="L87" s="4">
        <v>0</v>
      </c>
      <c r="M87" s="4">
        <v>0</v>
      </c>
      <c r="N87" s="515">
        <f t="shared" si="4"/>
        <v>174898.61000000002</v>
      </c>
      <c r="O87" s="4">
        <f t="shared" si="5"/>
        <v>174898.61000000002</v>
      </c>
      <c r="P87" t="s">
        <v>524</v>
      </c>
    </row>
    <row r="88" spans="2:16" hidden="1">
      <c r="B88" t="s">
        <v>47</v>
      </c>
      <c r="C88" s="396" t="s">
        <v>516</v>
      </c>
      <c r="D88">
        <v>18230509</v>
      </c>
      <c r="E88" s="4">
        <v>38755.43</v>
      </c>
      <c r="F88" s="4">
        <v>32291.3</v>
      </c>
      <c r="G88" s="4">
        <v>150244.45000000001</v>
      </c>
      <c r="H88" s="4">
        <v>0</v>
      </c>
      <c r="I88" s="4">
        <v>18147.77</v>
      </c>
      <c r="J88" s="4">
        <v>7.15</v>
      </c>
      <c r="K88" s="4">
        <v>0</v>
      </c>
      <c r="L88" s="4">
        <v>-245.46</v>
      </c>
      <c r="M88" s="4">
        <v>0</v>
      </c>
      <c r="N88" s="515">
        <f t="shared" si="4"/>
        <v>239200.63999999998</v>
      </c>
      <c r="O88" s="4">
        <f t="shared" si="5"/>
        <v>239446.09999999998</v>
      </c>
      <c r="P88" t="s">
        <v>524</v>
      </c>
    </row>
    <row r="89" spans="2:16" hidden="1">
      <c r="B89" t="s">
        <v>55</v>
      </c>
      <c r="C89" s="396" t="s">
        <v>517</v>
      </c>
      <c r="D89">
        <v>18230662</v>
      </c>
      <c r="E89" s="4">
        <v>20566.36</v>
      </c>
      <c r="F89" s="4">
        <v>17235.259999999998</v>
      </c>
      <c r="G89" s="4">
        <v>57362.27</v>
      </c>
      <c r="H89" s="4">
        <v>0</v>
      </c>
      <c r="I89" s="4">
        <v>18147.75</v>
      </c>
      <c r="J89" s="4">
        <v>7.15</v>
      </c>
      <c r="K89" s="4">
        <v>0</v>
      </c>
      <c r="L89" s="4">
        <v>-119.65</v>
      </c>
      <c r="M89" s="4">
        <v>0</v>
      </c>
      <c r="N89" s="515">
        <f t="shared" si="4"/>
        <v>113199.13999999998</v>
      </c>
      <c r="O89" s="4">
        <f t="shared" si="5"/>
        <v>113318.78999999998</v>
      </c>
      <c r="P89" t="s">
        <v>524</v>
      </c>
    </row>
    <row r="90" spans="2:16" hidden="1">
      <c r="B90" t="s">
        <v>152</v>
      </c>
      <c r="C90" s="396" t="s">
        <v>153</v>
      </c>
      <c r="D90">
        <v>18230507</v>
      </c>
      <c r="E90" s="4">
        <v>574793.73</v>
      </c>
      <c r="F90" s="4">
        <v>499356.44</v>
      </c>
      <c r="G90" s="4">
        <v>0</v>
      </c>
      <c r="H90" s="4">
        <v>288.24</v>
      </c>
      <c r="I90" s="4">
        <v>81917.41</v>
      </c>
      <c r="J90" s="4">
        <v>338.1</v>
      </c>
      <c r="K90" s="4">
        <v>0</v>
      </c>
      <c r="L90" s="4">
        <v>0</v>
      </c>
      <c r="M90" s="4">
        <v>0</v>
      </c>
      <c r="N90" s="515">
        <f t="shared" si="4"/>
        <v>1156693.92</v>
      </c>
      <c r="O90" s="4">
        <f t="shared" si="5"/>
        <v>1156693.92</v>
      </c>
      <c r="P90" t="s">
        <v>524</v>
      </c>
    </row>
    <row r="91" spans="2:16" hidden="1">
      <c r="B91" t="s">
        <v>154</v>
      </c>
      <c r="C91" s="396" t="s">
        <v>155</v>
      </c>
      <c r="D91">
        <v>18230659</v>
      </c>
      <c r="E91" s="4">
        <v>48301.32</v>
      </c>
      <c r="F91" s="4">
        <v>42700.87</v>
      </c>
      <c r="G91" s="4">
        <v>0</v>
      </c>
      <c r="H91" s="4">
        <v>0</v>
      </c>
      <c r="I91" s="4">
        <v>21948.49</v>
      </c>
      <c r="J91" s="4">
        <v>0</v>
      </c>
      <c r="K91" s="4">
        <v>0</v>
      </c>
      <c r="L91" s="4">
        <v>0</v>
      </c>
      <c r="M91" s="4">
        <v>0</v>
      </c>
      <c r="N91" s="515">
        <f t="shared" si="4"/>
        <v>112950.68000000001</v>
      </c>
      <c r="O91" s="4">
        <f t="shared" si="5"/>
        <v>112950.68000000001</v>
      </c>
      <c r="P91" t="s">
        <v>524</v>
      </c>
    </row>
    <row r="92" spans="2:16" hidden="1">
      <c r="B92" t="s">
        <v>15</v>
      </c>
      <c r="C92" s="396" t="s">
        <v>53</v>
      </c>
      <c r="D92">
        <v>18230440</v>
      </c>
      <c r="E92" s="4">
        <v>197044.6</v>
      </c>
      <c r="F92" s="4">
        <v>176106.03</v>
      </c>
      <c r="G92" s="4">
        <v>463396.63</v>
      </c>
      <c r="H92" s="4">
        <v>82.52</v>
      </c>
      <c r="I92" s="4">
        <v>482167.25</v>
      </c>
      <c r="J92" s="4">
        <v>500.64</v>
      </c>
      <c r="K92" s="4">
        <v>-12512.66</v>
      </c>
      <c r="L92" s="4">
        <v>3625352.21</v>
      </c>
      <c r="M92" s="4">
        <v>0</v>
      </c>
      <c r="N92" s="515">
        <f t="shared" si="4"/>
        <v>4932137.22</v>
      </c>
      <c r="O92" s="4">
        <f t="shared" si="5"/>
        <v>1306785.0099999998</v>
      </c>
      <c r="P92" t="s">
        <v>520</v>
      </c>
    </row>
    <row r="93" spans="2:16" hidden="1">
      <c r="B93" t="s">
        <v>15</v>
      </c>
      <c r="C93" s="396" t="s">
        <v>52</v>
      </c>
      <c r="D93">
        <v>18230435</v>
      </c>
      <c r="E93" s="4">
        <v>56162.75</v>
      </c>
      <c r="F93" s="4">
        <v>48979.06</v>
      </c>
      <c r="G93" s="4">
        <v>22365.93</v>
      </c>
      <c r="H93" s="4">
        <v>433.97</v>
      </c>
      <c r="I93" s="4">
        <v>68084.39</v>
      </c>
      <c r="J93" s="4">
        <v>16</v>
      </c>
      <c r="K93" s="4">
        <v>4142.12</v>
      </c>
      <c r="L93" s="4">
        <v>179369.13</v>
      </c>
      <c r="M93" s="4">
        <v>0</v>
      </c>
      <c r="N93" s="515">
        <f t="shared" si="4"/>
        <v>379553.35</v>
      </c>
      <c r="O93" s="4">
        <f t="shared" si="5"/>
        <v>200184.21999999997</v>
      </c>
      <c r="P93" t="s">
        <v>520</v>
      </c>
    </row>
    <row r="94" spans="2:16" hidden="1">
      <c r="B94" t="s">
        <v>33</v>
      </c>
      <c r="C94" s="396" t="s">
        <v>118</v>
      </c>
      <c r="D94">
        <v>18230700</v>
      </c>
      <c r="E94" s="4">
        <v>21754.58</v>
      </c>
      <c r="F94" s="4">
        <v>19041.95</v>
      </c>
      <c r="G94" s="4">
        <v>42534.99</v>
      </c>
      <c r="H94" s="4">
        <v>0</v>
      </c>
      <c r="I94" s="4">
        <v>36234.68</v>
      </c>
      <c r="J94" s="4">
        <v>16</v>
      </c>
      <c r="K94" s="4">
        <v>1656.85</v>
      </c>
      <c r="L94" s="4">
        <v>63902.87</v>
      </c>
      <c r="M94" s="4">
        <v>0</v>
      </c>
      <c r="N94" s="515">
        <f t="shared" si="4"/>
        <v>185141.91999999998</v>
      </c>
      <c r="O94" s="4">
        <f t="shared" si="5"/>
        <v>121239.04999999999</v>
      </c>
      <c r="P94" t="s">
        <v>520</v>
      </c>
    </row>
    <row r="95" spans="2:16" hidden="1">
      <c r="B95" t="s">
        <v>136</v>
      </c>
      <c r="C95" s="396" t="s">
        <v>160</v>
      </c>
      <c r="D95">
        <v>18230502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515">
        <f t="shared" si="4"/>
        <v>0</v>
      </c>
      <c r="O95" s="4">
        <f t="shared" si="5"/>
        <v>0</v>
      </c>
      <c r="P95" t="s">
        <v>523</v>
      </c>
    </row>
    <row r="96" spans="2:16" hidden="1">
      <c r="B96" t="s">
        <v>112</v>
      </c>
      <c r="C96" s="396" t="s">
        <v>161</v>
      </c>
      <c r="D96">
        <v>18231033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515">
        <f t="shared" si="4"/>
        <v>0</v>
      </c>
      <c r="O96" s="4">
        <f t="shared" si="5"/>
        <v>0</v>
      </c>
      <c r="P96" t="s">
        <v>523</v>
      </c>
    </row>
    <row r="97" spans="2:16" hidden="1">
      <c r="B97" t="s">
        <v>156</v>
      </c>
      <c r="C97" s="396" t="s">
        <v>158</v>
      </c>
      <c r="D97">
        <v>18230750</v>
      </c>
      <c r="E97" s="4">
        <v>19263.400000000001</v>
      </c>
      <c r="F97" s="4">
        <v>16000.84</v>
      </c>
      <c r="G97" s="4">
        <v>0</v>
      </c>
      <c r="H97" s="4">
        <v>0</v>
      </c>
      <c r="I97" s="4">
        <v>236250</v>
      </c>
      <c r="J97" s="4">
        <v>0</v>
      </c>
      <c r="K97" s="4">
        <v>0</v>
      </c>
      <c r="L97" s="4">
        <v>0</v>
      </c>
      <c r="M97" s="4">
        <v>0</v>
      </c>
      <c r="N97" s="515">
        <f t="shared" si="4"/>
        <v>271514.23999999999</v>
      </c>
      <c r="O97" s="4">
        <f t="shared" si="5"/>
        <v>271514.23999999999</v>
      </c>
      <c r="P97" t="s">
        <v>522</v>
      </c>
    </row>
    <row r="98" spans="2:16" hidden="1">
      <c r="B98" t="s">
        <v>36</v>
      </c>
      <c r="C98" t="s">
        <v>37</v>
      </c>
      <c r="D98">
        <v>18230256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515">
        <f t="shared" ref="N98:N124" si="6">SUM(E98:M98)</f>
        <v>0</v>
      </c>
      <c r="O98" s="4">
        <f t="shared" ref="O98:O124" si="7">N98-L98</f>
        <v>0</v>
      </c>
      <c r="P98" t="s">
        <v>522</v>
      </c>
    </row>
    <row r="99" spans="2:16" hidden="1">
      <c r="B99" t="s">
        <v>15</v>
      </c>
      <c r="C99" s="396" t="s">
        <v>81</v>
      </c>
      <c r="D99">
        <v>18230628</v>
      </c>
      <c r="E99" s="4">
        <v>80055.33</v>
      </c>
      <c r="F99" s="4">
        <v>69169.429999999993</v>
      </c>
      <c r="G99" s="4">
        <v>202730.15</v>
      </c>
      <c r="H99" s="4">
        <v>164.66</v>
      </c>
      <c r="I99" s="4">
        <v>893659.84</v>
      </c>
      <c r="J99" s="4">
        <v>3564.81</v>
      </c>
      <c r="K99" s="4">
        <v>10769.5</v>
      </c>
      <c r="L99" s="4">
        <v>11639192.189999999</v>
      </c>
      <c r="M99" s="4">
        <v>0</v>
      </c>
      <c r="N99" s="515">
        <f t="shared" si="6"/>
        <v>12899305.91</v>
      </c>
      <c r="O99" s="4">
        <f t="shared" si="7"/>
        <v>1260113.7200000007</v>
      </c>
      <c r="P99" t="s">
        <v>520</v>
      </c>
    </row>
    <row r="100" spans="2:16" hidden="1">
      <c r="B100" t="s">
        <v>33</v>
      </c>
      <c r="C100" s="396" t="s">
        <v>83</v>
      </c>
      <c r="D100">
        <v>18230638</v>
      </c>
      <c r="E100" s="4">
        <v>55451.74</v>
      </c>
      <c r="F100" s="4">
        <v>48384.94</v>
      </c>
      <c r="G100" s="4">
        <v>148990.29</v>
      </c>
      <c r="H100" s="4">
        <v>14.66</v>
      </c>
      <c r="I100" s="4">
        <v>2543.4</v>
      </c>
      <c r="J100" s="4">
        <v>3564.81</v>
      </c>
      <c r="K100" s="4">
        <v>0</v>
      </c>
      <c r="L100" s="4">
        <v>3382939.49</v>
      </c>
      <c r="M100" s="4">
        <v>0</v>
      </c>
      <c r="N100" s="515">
        <f t="shared" si="6"/>
        <v>3641889.33</v>
      </c>
      <c r="O100" s="4">
        <f t="shared" si="7"/>
        <v>258949.83999999985</v>
      </c>
      <c r="P100" t="s">
        <v>520</v>
      </c>
    </row>
    <row r="101" spans="2:16" hidden="1">
      <c r="B101" t="s">
        <v>15</v>
      </c>
      <c r="C101" s="396" t="s">
        <v>79</v>
      </c>
      <c r="D101">
        <v>18230626</v>
      </c>
      <c r="E101" s="4">
        <v>81643.87</v>
      </c>
      <c r="F101" s="4">
        <v>69072.509999999995</v>
      </c>
      <c r="G101" s="4">
        <v>117058.3</v>
      </c>
      <c r="H101" s="4">
        <v>219.81</v>
      </c>
      <c r="I101" s="4">
        <v>189706.16</v>
      </c>
      <c r="J101" s="4">
        <v>16</v>
      </c>
      <c r="K101" s="4">
        <v>-1656.85</v>
      </c>
      <c r="L101" s="4">
        <v>1792056.05</v>
      </c>
      <c r="M101" s="4">
        <v>0</v>
      </c>
      <c r="N101" s="515">
        <f t="shared" si="6"/>
        <v>2248115.85</v>
      </c>
      <c r="O101" s="4">
        <f t="shared" si="7"/>
        <v>456059.80000000005</v>
      </c>
      <c r="P101" t="s">
        <v>520</v>
      </c>
    </row>
    <row r="102" spans="2:16" hidden="1">
      <c r="B102" t="s">
        <v>33</v>
      </c>
      <c r="C102" t="s">
        <v>34</v>
      </c>
      <c r="D102">
        <v>18230249</v>
      </c>
      <c r="E102" s="4">
        <v>50275.76</v>
      </c>
      <c r="F102" s="4">
        <v>42972.89</v>
      </c>
      <c r="G102" s="4">
        <v>32936.07</v>
      </c>
      <c r="H102" s="4">
        <v>0</v>
      </c>
      <c r="I102" s="4">
        <v>62.7</v>
      </c>
      <c r="J102" s="4">
        <v>16</v>
      </c>
      <c r="K102" s="4">
        <v>0</v>
      </c>
      <c r="L102" s="4">
        <v>642829.56000000006</v>
      </c>
      <c r="M102" s="4">
        <v>0</v>
      </c>
      <c r="N102" s="515">
        <f t="shared" si="6"/>
        <v>769092.9800000001</v>
      </c>
      <c r="O102" s="4">
        <f t="shared" si="7"/>
        <v>126263.42000000004</v>
      </c>
      <c r="P102" t="s">
        <v>520</v>
      </c>
    </row>
    <row r="103" spans="2:16" hidden="1">
      <c r="B103" t="s">
        <v>15</v>
      </c>
      <c r="C103" s="396" t="s">
        <v>80</v>
      </c>
      <c r="D103">
        <v>18230627</v>
      </c>
      <c r="E103" s="4">
        <v>69479.06</v>
      </c>
      <c r="F103" s="4">
        <v>59877.56</v>
      </c>
      <c r="G103" s="4">
        <v>174258.46</v>
      </c>
      <c r="H103" s="4">
        <v>15.92</v>
      </c>
      <c r="I103" s="4">
        <v>3120.13</v>
      </c>
      <c r="J103" s="4">
        <v>3562.81</v>
      </c>
      <c r="K103" s="4">
        <v>0</v>
      </c>
      <c r="L103" s="4">
        <v>1610249.64</v>
      </c>
      <c r="M103" s="4">
        <v>0</v>
      </c>
      <c r="N103" s="515">
        <f t="shared" si="6"/>
        <v>1920563.5799999998</v>
      </c>
      <c r="O103" s="4">
        <f t="shared" si="7"/>
        <v>310313.93999999994</v>
      </c>
      <c r="P103" t="s">
        <v>520</v>
      </c>
    </row>
    <row r="104" spans="2:16" hidden="1">
      <c r="B104" t="s">
        <v>33</v>
      </c>
      <c r="C104" s="396" t="s">
        <v>82</v>
      </c>
      <c r="D104">
        <v>18230637</v>
      </c>
      <c r="E104" s="4">
        <v>116256</v>
      </c>
      <c r="F104" s="4">
        <v>100735.8</v>
      </c>
      <c r="G104" s="4">
        <v>69273.850000000006</v>
      </c>
      <c r="H104" s="4">
        <v>15.92</v>
      </c>
      <c r="I104" s="4">
        <v>61156.9</v>
      </c>
      <c r="J104" s="4">
        <v>1676.16</v>
      </c>
      <c r="K104" s="4">
        <v>260</v>
      </c>
      <c r="L104" s="4">
        <v>4004039.06</v>
      </c>
      <c r="M104" s="4">
        <v>0</v>
      </c>
      <c r="N104" s="515">
        <f t="shared" si="6"/>
        <v>4353413.6900000004</v>
      </c>
      <c r="O104" s="4">
        <f t="shared" si="7"/>
        <v>349374.63000000035</v>
      </c>
      <c r="P104" t="s">
        <v>520</v>
      </c>
    </row>
    <row r="105" spans="2:16" hidden="1">
      <c r="B105" t="s">
        <v>156</v>
      </c>
      <c r="C105" s="396" t="s">
        <v>157</v>
      </c>
      <c r="D105">
        <v>18230749</v>
      </c>
      <c r="E105" s="4">
        <v>9780.7000000000007</v>
      </c>
      <c r="F105" s="4">
        <v>7976.35</v>
      </c>
      <c r="G105" s="4">
        <v>248.7</v>
      </c>
      <c r="H105" s="4">
        <v>0</v>
      </c>
      <c r="I105" s="4">
        <v>159446.21</v>
      </c>
      <c r="J105" s="4">
        <v>0</v>
      </c>
      <c r="K105" s="4">
        <v>0</v>
      </c>
      <c r="L105" s="4">
        <v>0</v>
      </c>
      <c r="M105" s="4">
        <v>0</v>
      </c>
      <c r="N105" s="515">
        <f t="shared" si="6"/>
        <v>177451.96</v>
      </c>
      <c r="O105" s="4">
        <f t="shared" si="7"/>
        <v>177451.96</v>
      </c>
      <c r="P105" t="s">
        <v>522</v>
      </c>
    </row>
    <row r="106" spans="2:16" hidden="1">
      <c r="B106" t="s">
        <v>17</v>
      </c>
      <c r="C106" t="s">
        <v>38</v>
      </c>
      <c r="D106">
        <v>18230405</v>
      </c>
      <c r="E106" s="4">
        <v>29198.86</v>
      </c>
      <c r="F106" s="4">
        <v>25223.58</v>
      </c>
      <c r="G106" s="4">
        <v>142.28</v>
      </c>
      <c r="H106" s="4">
        <v>115.26</v>
      </c>
      <c r="I106" s="4">
        <v>0.85</v>
      </c>
      <c r="J106" s="4">
        <v>0</v>
      </c>
      <c r="K106" s="4">
        <v>2000</v>
      </c>
      <c r="L106" s="4">
        <v>62250</v>
      </c>
      <c r="M106" s="4">
        <v>0</v>
      </c>
      <c r="N106" s="515">
        <f t="shared" si="6"/>
        <v>118930.83</v>
      </c>
      <c r="O106" s="4">
        <f t="shared" si="7"/>
        <v>56680.83</v>
      </c>
      <c r="P106" t="s">
        <v>520</v>
      </c>
    </row>
    <row r="107" spans="2:16" hidden="1">
      <c r="B107" t="s">
        <v>105</v>
      </c>
      <c r="C107" s="396" t="s">
        <v>106</v>
      </c>
      <c r="D107">
        <v>18230684</v>
      </c>
      <c r="E107" s="4">
        <v>15269.4</v>
      </c>
      <c r="F107" s="4">
        <v>13061.75</v>
      </c>
      <c r="G107" s="4">
        <v>1134.53</v>
      </c>
      <c r="H107" s="4">
        <v>50.01</v>
      </c>
      <c r="I107" s="4">
        <v>131</v>
      </c>
      <c r="J107" s="4">
        <v>0</v>
      </c>
      <c r="K107" s="4">
        <v>4000</v>
      </c>
      <c r="L107" s="4">
        <v>29500</v>
      </c>
      <c r="M107" s="4">
        <v>0</v>
      </c>
      <c r="N107" s="515">
        <f t="shared" si="6"/>
        <v>63146.69</v>
      </c>
      <c r="O107" s="4">
        <f t="shared" si="7"/>
        <v>33646.69</v>
      </c>
      <c r="P107" t="s">
        <v>520</v>
      </c>
    </row>
    <row r="108" spans="2:16" hidden="1">
      <c r="B108" t="s">
        <v>70</v>
      </c>
      <c r="C108" t="s">
        <v>176</v>
      </c>
      <c r="D108">
        <v>18231134</v>
      </c>
      <c r="E108" s="4">
        <v>232957.78</v>
      </c>
      <c r="F108" s="4">
        <v>201650.88</v>
      </c>
      <c r="G108" s="4">
        <v>21325.26</v>
      </c>
      <c r="H108" s="4">
        <v>1569.28</v>
      </c>
      <c r="I108" s="4">
        <v>2003229</v>
      </c>
      <c r="J108" s="4">
        <v>2286.86</v>
      </c>
      <c r="K108" s="4">
        <v>0</v>
      </c>
      <c r="L108" s="4">
        <v>10208546.039999999</v>
      </c>
      <c r="M108" s="4">
        <v>0</v>
      </c>
      <c r="N108" s="515">
        <f t="shared" si="6"/>
        <v>12671565.1</v>
      </c>
      <c r="O108" s="4">
        <f t="shared" si="7"/>
        <v>2463019.0600000005</v>
      </c>
      <c r="P108" t="s">
        <v>523</v>
      </c>
    </row>
    <row r="109" spans="2:16" hidden="1">
      <c r="B109" t="s">
        <v>31</v>
      </c>
      <c r="C109" s="396" t="s">
        <v>163</v>
      </c>
      <c r="D109">
        <v>18231022</v>
      </c>
      <c r="E109" s="4">
        <v>3136.13</v>
      </c>
      <c r="F109" s="4">
        <v>3042.05</v>
      </c>
      <c r="G109" s="4">
        <v>0</v>
      </c>
      <c r="H109" s="4">
        <v>0</v>
      </c>
      <c r="I109" s="4">
        <v>5260.14</v>
      </c>
      <c r="J109" s="4">
        <v>0</v>
      </c>
      <c r="K109" s="4">
        <v>0</v>
      </c>
      <c r="L109" s="4">
        <v>23153.5</v>
      </c>
      <c r="M109" s="4">
        <v>0</v>
      </c>
      <c r="N109" s="515">
        <f t="shared" si="6"/>
        <v>34591.82</v>
      </c>
      <c r="O109" s="4">
        <f t="shared" si="7"/>
        <v>11438.32</v>
      </c>
      <c r="P109" t="s">
        <v>523</v>
      </c>
    </row>
    <row r="110" spans="2:16" hidden="1">
      <c r="B110" t="s">
        <v>15</v>
      </c>
      <c r="C110" t="s">
        <v>16</v>
      </c>
      <c r="D110">
        <v>18230023</v>
      </c>
      <c r="E110" s="4">
        <v>89934.03</v>
      </c>
      <c r="F110" s="4">
        <v>77119.12</v>
      </c>
      <c r="G110" s="4">
        <v>40861.620000000003</v>
      </c>
      <c r="H110" s="4">
        <v>0</v>
      </c>
      <c r="I110" s="4">
        <v>72131.75</v>
      </c>
      <c r="J110" s="4">
        <v>18</v>
      </c>
      <c r="K110" s="4">
        <v>-11164.25</v>
      </c>
      <c r="L110" s="4">
        <v>622767.15</v>
      </c>
      <c r="M110" s="4">
        <v>0</v>
      </c>
      <c r="N110" s="515">
        <f t="shared" si="6"/>
        <v>891667.42</v>
      </c>
      <c r="O110" s="4">
        <f t="shared" si="7"/>
        <v>268900.27</v>
      </c>
      <c r="P110" t="s">
        <v>520</v>
      </c>
    </row>
    <row r="111" spans="2:16" hidden="1">
      <c r="B111" t="s">
        <v>33</v>
      </c>
      <c r="C111" s="396" t="s">
        <v>107</v>
      </c>
      <c r="D111">
        <v>18230687</v>
      </c>
      <c r="E111" s="4">
        <v>80292.77</v>
      </c>
      <c r="F111" s="4">
        <v>69423.23</v>
      </c>
      <c r="G111" s="4">
        <v>64555.78</v>
      </c>
      <c r="H111" s="4">
        <v>707.45</v>
      </c>
      <c r="I111" s="4">
        <v>237454.56</v>
      </c>
      <c r="J111" s="4">
        <v>112.33</v>
      </c>
      <c r="K111" s="4">
        <v>-5404.21</v>
      </c>
      <c r="L111" s="4">
        <v>1528508.64</v>
      </c>
      <c r="M111" s="4">
        <v>0</v>
      </c>
      <c r="N111" s="515">
        <f t="shared" si="6"/>
        <v>1975650.5499999998</v>
      </c>
      <c r="O111" s="4">
        <f t="shared" si="7"/>
        <v>447141.90999999992</v>
      </c>
      <c r="P111" t="s">
        <v>520</v>
      </c>
    </row>
    <row r="112" spans="2:16" hidden="1">
      <c r="B112" t="s">
        <v>25</v>
      </c>
      <c r="C112" t="s">
        <v>162</v>
      </c>
      <c r="D112">
        <v>18231128</v>
      </c>
      <c r="E112" s="4">
        <v>2616.7600000000002</v>
      </c>
      <c r="F112" s="4">
        <v>2249.38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515">
        <f t="shared" si="6"/>
        <v>4866.1400000000003</v>
      </c>
      <c r="O112" s="4">
        <f t="shared" si="7"/>
        <v>4866.1400000000003</v>
      </c>
      <c r="P112" t="s">
        <v>522</v>
      </c>
    </row>
    <row r="113" spans="2:16" hidden="1">
      <c r="B113" t="s">
        <v>84</v>
      </c>
      <c r="C113" s="396" t="s">
        <v>166</v>
      </c>
      <c r="D113">
        <v>18231038</v>
      </c>
      <c r="E113" s="4">
        <v>446.24</v>
      </c>
      <c r="F113" s="4">
        <v>382.39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515">
        <f t="shared" si="6"/>
        <v>828.63</v>
      </c>
      <c r="O113" s="4">
        <f t="shared" si="7"/>
        <v>828.63</v>
      </c>
      <c r="P113" t="s">
        <v>522</v>
      </c>
    </row>
    <row r="114" spans="2:16" hidden="1">
      <c r="B114" t="s">
        <v>39</v>
      </c>
      <c r="C114" s="396" t="s">
        <v>167</v>
      </c>
      <c r="D114">
        <v>18230747</v>
      </c>
      <c r="E114" s="4">
        <v>0</v>
      </c>
      <c r="F114" s="4">
        <v>0</v>
      </c>
      <c r="G114" s="4">
        <v>0</v>
      </c>
      <c r="H114" s="4">
        <v>0</v>
      </c>
      <c r="I114" s="4">
        <v>4621</v>
      </c>
      <c r="J114" s="4">
        <v>0</v>
      </c>
      <c r="K114" s="4">
        <v>0</v>
      </c>
      <c r="L114" s="4">
        <v>0</v>
      </c>
      <c r="M114" s="4">
        <v>0</v>
      </c>
      <c r="N114" s="515">
        <f t="shared" si="6"/>
        <v>4621</v>
      </c>
      <c r="O114" s="4">
        <f t="shared" si="7"/>
        <v>4621</v>
      </c>
      <c r="P114" t="s">
        <v>520</v>
      </c>
    </row>
    <row r="115" spans="2:16" hidden="1">
      <c r="B115" t="s">
        <v>169</v>
      </c>
      <c r="C115" s="396" t="s">
        <v>170</v>
      </c>
      <c r="D115">
        <v>18230469</v>
      </c>
      <c r="E115" s="4">
        <v>265765.99</v>
      </c>
      <c r="F115" s="4">
        <v>228222.45</v>
      </c>
      <c r="G115" s="4">
        <v>0</v>
      </c>
      <c r="H115" s="4">
        <v>365.1</v>
      </c>
      <c r="I115" s="4">
        <v>0</v>
      </c>
      <c r="J115" s="4">
        <v>129.71</v>
      </c>
      <c r="K115" s="4">
        <v>0</v>
      </c>
      <c r="L115" s="4">
        <v>0</v>
      </c>
      <c r="M115" s="4">
        <v>0</v>
      </c>
      <c r="N115" s="515">
        <f t="shared" si="6"/>
        <v>494483.25</v>
      </c>
      <c r="O115" s="4">
        <f t="shared" si="7"/>
        <v>494483.25</v>
      </c>
      <c r="P115" t="s">
        <v>525</v>
      </c>
    </row>
    <row r="116" spans="2:16" hidden="1">
      <c r="B116" t="s">
        <v>171</v>
      </c>
      <c r="C116" s="396" t="s">
        <v>172</v>
      </c>
      <c r="D116">
        <v>18230679</v>
      </c>
      <c r="E116" s="4">
        <v>40267.61</v>
      </c>
      <c r="F116" s="4">
        <v>34576.44</v>
      </c>
      <c r="G116" s="4">
        <v>12.75</v>
      </c>
      <c r="H116" s="4">
        <v>29.9</v>
      </c>
      <c r="I116" s="4">
        <v>0</v>
      </c>
      <c r="J116" s="4">
        <v>11.16</v>
      </c>
      <c r="K116" s="4">
        <v>0</v>
      </c>
      <c r="L116" s="4">
        <v>0</v>
      </c>
      <c r="M116" s="4">
        <v>0</v>
      </c>
      <c r="N116" s="515">
        <f t="shared" si="6"/>
        <v>74897.86</v>
      </c>
      <c r="O116" s="4">
        <f t="shared" si="7"/>
        <v>74897.86</v>
      </c>
      <c r="P116" t="s">
        <v>525</v>
      </c>
    </row>
    <row r="117" spans="2:16" hidden="1">
      <c r="B117" t="s">
        <v>21</v>
      </c>
      <c r="C117" t="s">
        <v>22</v>
      </c>
      <c r="D117">
        <v>18230133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515">
        <f t="shared" si="6"/>
        <v>0</v>
      </c>
      <c r="O117" s="4">
        <f t="shared" si="7"/>
        <v>0</v>
      </c>
      <c r="P117" t="s">
        <v>429</v>
      </c>
    </row>
    <row r="118" spans="2:16" hidden="1">
      <c r="B118" t="s">
        <v>27</v>
      </c>
      <c r="C118" t="s">
        <v>28</v>
      </c>
      <c r="D118">
        <v>18230217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515">
        <f t="shared" si="6"/>
        <v>0</v>
      </c>
      <c r="O118" s="4">
        <f t="shared" si="7"/>
        <v>0</v>
      </c>
      <c r="P118" t="s">
        <v>429</v>
      </c>
    </row>
    <row r="119" spans="2:16" hidden="1">
      <c r="B119" t="s">
        <v>173</v>
      </c>
      <c r="C119" t="s">
        <v>174</v>
      </c>
      <c r="D119">
        <v>18230134</v>
      </c>
      <c r="E119" s="4">
        <v>14185.94</v>
      </c>
      <c r="F119" s="4">
        <v>11429.24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515">
        <f t="shared" si="6"/>
        <v>25615.18</v>
      </c>
      <c r="O119" s="4">
        <f t="shared" si="7"/>
        <v>25615.18</v>
      </c>
      <c r="P119" t="s">
        <v>521</v>
      </c>
    </row>
    <row r="120" spans="2:16" hidden="1">
      <c r="B120" t="s">
        <v>177</v>
      </c>
      <c r="C120" t="s">
        <v>178</v>
      </c>
      <c r="D120">
        <v>18230218</v>
      </c>
      <c r="E120" s="4">
        <v>6079.82</v>
      </c>
      <c r="F120" s="4">
        <v>4898.34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515">
        <f t="shared" si="6"/>
        <v>10978.16</v>
      </c>
      <c r="O120" s="4">
        <f t="shared" si="7"/>
        <v>10978.16</v>
      </c>
      <c r="P120" t="s">
        <v>521</v>
      </c>
    </row>
    <row r="121" spans="2:16" hidden="1">
      <c r="B121" t="s">
        <v>180</v>
      </c>
      <c r="C121" s="396" t="s">
        <v>181</v>
      </c>
      <c r="D121">
        <v>18230730</v>
      </c>
      <c r="E121" s="4">
        <v>0</v>
      </c>
      <c r="F121" s="4">
        <v>0</v>
      </c>
      <c r="G121" s="4">
        <v>0</v>
      </c>
      <c r="H121" s="4">
        <v>0</v>
      </c>
      <c r="I121" s="4">
        <v>163829.39000000001</v>
      </c>
      <c r="J121" s="4">
        <v>0</v>
      </c>
      <c r="K121" s="4">
        <v>158296.95000000001</v>
      </c>
      <c r="L121" s="4">
        <v>0</v>
      </c>
      <c r="M121" s="4">
        <v>0</v>
      </c>
      <c r="N121" s="515">
        <f t="shared" si="6"/>
        <v>322126.34000000003</v>
      </c>
      <c r="O121" s="4">
        <f t="shared" si="7"/>
        <v>322126.34000000003</v>
      </c>
      <c r="P121" t="s">
        <v>524</v>
      </c>
    </row>
    <row r="122" spans="2:16" hidden="1">
      <c r="B122" t="s">
        <v>182</v>
      </c>
      <c r="C122" s="396" t="s">
        <v>183</v>
      </c>
      <c r="D122">
        <v>18230698</v>
      </c>
      <c r="E122" s="4">
        <v>0</v>
      </c>
      <c r="F122" s="4">
        <v>0</v>
      </c>
      <c r="G122" s="4">
        <v>0</v>
      </c>
      <c r="H122" s="4">
        <v>0</v>
      </c>
      <c r="I122" s="4">
        <v>24480.26</v>
      </c>
      <c r="J122" s="4">
        <v>0</v>
      </c>
      <c r="K122" s="4">
        <v>15079</v>
      </c>
      <c r="L122" s="4">
        <v>0</v>
      </c>
      <c r="M122" s="4">
        <v>0</v>
      </c>
      <c r="N122" s="515">
        <f t="shared" si="6"/>
        <v>39559.259999999995</v>
      </c>
      <c r="O122" s="4">
        <f t="shared" si="7"/>
        <v>39559.259999999995</v>
      </c>
      <c r="P122" t="s">
        <v>524</v>
      </c>
    </row>
    <row r="123" spans="2:16" hidden="1">
      <c r="B123" t="s">
        <v>184</v>
      </c>
      <c r="C123" s="396" t="s">
        <v>185</v>
      </c>
      <c r="D123">
        <v>18230746</v>
      </c>
      <c r="E123" s="4">
        <v>77073.27</v>
      </c>
      <c r="F123" s="4">
        <v>69050.720000000001</v>
      </c>
      <c r="G123" s="4">
        <v>19329.32</v>
      </c>
      <c r="H123" s="4">
        <v>0</v>
      </c>
      <c r="I123" s="4">
        <v>128644.77</v>
      </c>
      <c r="J123" s="4">
        <v>211.98</v>
      </c>
      <c r="K123" s="4">
        <v>0</v>
      </c>
      <c r="L123" s="4">
        <v>0</v>
      </c>
      <c r="M123" s="4">
        <v>-272976.02</v>
      </c>
      <c r="N123" s="515">
        <f t="shared" si="6"/>
        <v>21334.039999999979</v>
      </c>
      <c r="O123" s="4">
        <f t="shared" si="7"/>
        <v>21334.039999999979</v>
      </c>
      <c r="P123" t="s">
        <v>524</v>
      </c>
    </row>
    <row r="124" spans="2:16" hidden="1">
      <c r="B124" t="s">
        <v>186</v>
      </c>
      <c r="C124" s="396" t="s">
        <v>187</v>
      </c>
      <c r="D124">
        <v>18231031</v>
      </c>
      <c r="E124" s="4">
        <v>73569.52</v>
      </c>
      <c r="F124" s="4">
        <v>65737.11</v>
      </c>
      <c r="G124" s="4">
        <v>19903.259999999998</v>
      </c>
      <c r="H124" s="4">
        <v>0</v>
      </c>
      <c r="I124" s="4">
        <v>128644.76</v>
      </c>
      <c r="J124" s="4">
        <v>211.96</v>
      </c>
      <c r="K124" s="4">
        <v>0</v>
      </c>
      <c r="L124" s="4">
        <v>0</v>
      </c>
      <c r="M124" s="4">
        <v>-402530.74</v>
      </c>
      <c r="N124" s="515">
        <f t="shared" si="6"/>
        <v>-114464.12999999995</v>
      </c>
      <c r="O124" s="4">
        <f t="shared" si="7"/>
        <v>-114464.12999999995</v>
      </c>
      <c r="P124" t="s">
        <v>524</v>
      </c>
    </row>
  </sheetData>
  <autoFilter ref="A1:P124">
    <filterColumn colId="2">
      <filters>
        <filter val="Industrial Energy Management {G}"/>
      </filters>
    </filterColumn>
  </autoFilter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44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18230706</v>
      </c>
      <c r="D2" s="20" t="s">
        <v>124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123</v>
      </c>
      <c r="C5" s="98">
        <v>18230706</v>
      </c>
      <c r="D5" s="61" t="s">
        <v>124</v>
      </c>
      <c r="E5" s="38" t="s">
        <v>1054</v>
      </c>
      <c r="F5" s="39" t="s">
        <v>1055</v>
      </c>
      <c r="G5" s="39">
        <v>15</v>
      </c>
      <c r="H5" s="39"/>
      <c r="I5" s="40" t="s">
        <v>255</v>
      </c>
      <c r="J5" s="41">
        <v>1</v>
      </c>
      <c r="K5" s="41">
        <v>5597</v>
      </c>
      <c r="L5" s="41"/>
      <c r="M5" s="42">
        <v>4179</v>
      </c>
      <c r="N5" s="42">
        <v>4778</v>
      </c>
      <c r="O5" s="43">
        <v>5597</v>
      </c>
      <c r="P5" s="44">
        <v>4179</v>
      </c>
      <c r="Q5" s="44">
        <v>4778</v>
      </c>
      <c r="R5" s="45"/>
      <c r="S5" s="46"/>
      <c r="T5" s="39">
        <f t="shared" ref="T5:T24" si="0">G5+H5</f>
        <v>15</v>
      </c>
      <c r="U5" s="47">
        <f t="shared" ref="U5:U24" si="1">(O5/$A$10)*T5</f>
        <v>0.98445140183628244</v>
      </c>
      <c r="V5" s="48">
        <f t="shared" ref="V5:V24" si="2">N5-M5</f>
        <v>599</v>
      </c>
      <c r="W5" s="49">
        <f t="shared" ref="W5:W24" si="3">(O5/A$10)</f>
        <v>6.5630093455752159E-2</v>
      </c>
      <c r="X5" s="44">
        <f t="shared" ref="X5:X24" si="4">W5*A$8</f>
        <v>7826.0834646638741</v>
      </c>
      <c r="Y5" s="44">
        <f t="shared" ref="Y5:Y24" si="5">Q5-P5</f>
        <v>599</v>
      </c>
      <c r="Z5" s="44">
        <f t="shared" ref="Z5:Z24" si="6">X5+(A$6*W5)</f>
        <v>36028.515964282778</v>
      </c>
      <c r="AA5" s="50">
        <f t="shared" ref="AA5:AA24" si="7">Q5+X5</f>
        <v>12604.083464663874</v>
      </c>
      <c r="AB5" s="51">
        <f t="shared" ref="AB5:AB24" si="8">Z5/(1+GasDiscountRate)^1</f>
        <v>33680.9535049853</v>
      </c>
      <c r="AC5" s="44">
        <f t="shared" ref="AC5:AC24" si="9">AA5/(1+GasDiscountRate)^1</f>
        <v>11782.820851326422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56775.336620115297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56775.336620115297</v>
      </c>
      <c r="AK5" s="44">
        <f>HLOOKUP(I5,GasAvoidedCostsWOCC!$A$5:$Q$50,G5+1,FALSE)*J5*L5</f>
        <v>0</v>
      </c>
      <c r="AL5" s="44">
        <f>AG5+AI5-AK5</f>
        <v>56775.336620115297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56775.336620115297</v>
      </c>
      <c r="AN5" s="48">
        <f>AM5*1.1+AD5+AE5</f>
        <v>62452.870282126831</v>
      </c>
      <c r="AO5" s="47">
        <f>IFERROR(AM5/AB5,0)</f>
        <v>1.6856807991410241</v>
      </c>
      <c r="AP5" s="47">
        <f>AN5/AC5</f>
        <v>5.3003326682248888</v>
      </c>
      <c r="AQ5">
        <v>2021</v>
      </c>
    </row>
    <row r="6" spans="1:43" ht="13.5" customHeight="1">
      <c r="A6" s="53">
        <f>SUMIF('Program Costs'!D:D,C2,'Program Costs'!L:L)</f>
        <v>429718</v>
      </c>
      <c r="B6" s="97" t="s">
        <v>123</v>
      </c>
      <c r="C6" s="98">
        <v>18230706</v>
      </c>
      <c r="D6" s="61" t="s">
        <v>124</v>
      </c>
      <c r="E6" s="38" t="s">
        <v>974</v>
      </c>
      <c r="F6" s="39" t="s">
        <v>975</v>
      </c>
      <c r="G6" s="39">
        <v>15</v>
      </c>
      <c r="H6" s="39"/>
      <c r="I6" s="40" t="s">
        <v>256</v>
      </c>
      <c r="J6" s="41">
        <v>1</v>
      </c>
      <c r="K6" s="41">
        <v>3730</v>
      </c>
      <c r="L6" s="41"/>
      <c r="M6" s="42">
        <v>18649</v>
      </c>
      <c r="N6" s="42">
        <v>18649</v>
      </c>
      <c r="O6" s="43">
        <v>3730</v>
      </c>
      <c r="P6" s="44">
        <v>18649</v>
      </c>
      <c r="Q6" s="44">
        <v>18649</v>
      </c>
      <c r="R6" s="45"/>
      <c r="S6" s="46"/>
      <c r="T6" s="39">
        <f t="shared" si="0"/>
        <v>15</v>
      </c>
      <c r="U6" s="47">
        <f t="shared" si="1"/>
        <v>0.65606641573152291</v>
      </c>
      <c r="V6" s="48">
        <f t="shared" si="2"/>
        <v>0</v>
      </c>
      <c r="W6" s="49">
        <f t="shared" si="3"/>
        <v>4.3737761048768191E-2</v>
      </c>
      <c r="X6" s="44">
        <f t="shared" si="4"/>
        <v>5215.5246244767286</v>
      </c>
      <c r="Y6" s="44">
        <f t="shared" si="5"/>
        <v>0</v>
      </c>
      <c r="Z6" s="44">
        <f t="shared" si="6"/>
        <v>24010.427826831299</v>
      </c>
      <c r="AA6" s="50">
        <f t="shared" si="7"/>
        <v>23864.52462447673</v>
      </c>
      <c r="AB6" s="51">
        <f t="shared" si="8"/>
        <v>22445.945430336822</v>
      </c>
      <c r="AC6" s="44">
        <f t="shared" si="9"/>
        <v>22309.549055320862</v>
      </c>
      <c r="AD6" s="44">
        <f t="shared" si="10"/>
        <v>0</v>
      </c>
      <c r="AE6" s="44">
        <v>0</v>
      </c>
      <c r="AF6" s="52">
        <f>HLOOKUP(I6,GasAvoidedCostsWOCC!$A$5:$G$50,G6+1,FALSE)</f>
        <v>9.6460139924167869</v>
      </c>
      <c r="AG6" s="44">
        <f t="shared" si="11"/>
        <v>35979.632191714612</v>
      </c>
      <c r="AH6" s="52">
        <f>HLOOKUP(I6,GasAvoidedCostsWOCC!$A$5:$Q$50,T6+1,FALSE)</f>
        <v>9.6460139924167869</v>
      </c>
      <c r="AI6" s="44">
        <f t="shared" si="12"/>
        <v>0</v>
      </c>
      <c r="AJ6" s="44">
        <f t="shared" ref="AJ6:AJ24" si="13">AG6+AI6</f>
        <v>35979.632191714612</v>
      </c>
      <c r="AK6" s="44">
        <f>HLOOKUP(I6,GasAvoidedCostsWOCC!$A$5:$Q$50,G6+1,FALSE)*J6*L6</f>
        <v>0</v>
      </c>
      <c r="AL6" s="44">
        <f t="shared" ref="AL6:AL24" si="14">AG6+AI6-AK6</f>
        <v>35979.632191714612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35979.632191714612</v>
      </c>
      <c r="AN6" s="48">
        <f t="shared" ref="AN6:AN24" si="15">AM6*1.1+AD6+AE6</f>
        <v>39577.595410886075</v>
      </c>
      <c r="AO6" s="47">
        <f t="shared" ref="AO6:AO24" si="16">IFERROR(AM6/AB6,0)</f>
        <v>1.6029457214614062</v>
      </c>
      <c r="AP6" s="47">
        <f t="shared" ref="AP6:AP24" si="17">AN6/AC6</f>
        <v>1.7740204121896743</v>
      </c>
      <c r="AQ6">
        <v>2021</v>
      </c>
    </row>
    <row r="7" spans="1:43" ht="13.5" customHeight="1">
      <c r="A7" s="36" t="s">
        <v>249</v>
      </c>
      <c r="B7" s="97" t="s">
        <v>123</v>
      </c>
      <c r="C7" s="98">
        <v>18230706</v>
      </c>
      <c r="D7" s="61" t="s">
        <v>124</v>
      </c>
      <c r="E7" s="38" t="s">
        <v>974</v>
      </c>
      <c r="F7" s="39" t="s">
        <v>975</v>
      </c>
      <c r="G7" s="39">
        <v>15</v>
      </c>
      <c r="H7" s="39"/>
      <c r="I7" s="40" t="s">
        <v>256</v>
      </c>
      <c r="J7" s="41">
        <v>1</v>
      </c>
      <c r="K7" s="41">
        <v>42997</v>
      </c>
      <c r="L7" s="41"/>
      <c r="M7" s="42">
        <v>237295</v>
      </c>
      <c r="N7" s="42">
        <v>237295</v>
      </c>
      <c r="O7" s="43">
        <v>42997</v>
      </c>
      <c r="P7" s="44">
        <v>237295</v>
      </c>
      <c r="Q7" s="44">
        <v>237295</v>
      </c>
      <c r="R7" s="45"/>
      <c r="S7" s="46"/>
      <c r="T7" s="39">
        <f t="shared" si="0"/>
        <v>15</v>
      </c>
      <c r="U7" s="47">
        <f t="shared" si="1"/>
        <v>7.5627044711014166</v>
      </c>
      <c r="V7" s="48">
        <f t="shared" si="2"/>
        <v>0</v>
      </c>
      <c r="W7" s="49">
        <f t="shared" si="3"/>
        <v>0.50418029807342779</v>
      </c>
      <c r="X7" s="44">
        <f t="shared" si="4"/>
        <v>60121.156106870214</v>
      </c>
      <c r="Y7" s="44">
        <f t="shared" si="5"/>
        <v>0</v>
      </c>
      <c r="Z7" s="44">
        <f t="shared" si="6"/>
        <v>276776.50543438748</v>
      </c>
      <c r="AA7" s="50">
        <f t="shared" si="7"/>
        <v>297416.15610687021</v>
      </c>
      <c r="AB7" s="51">
        <f t="shared" si="8"/>
        <v>258742.17578235717</v>
      </c>
      <c r="AC7" s="44">
        <f t="shared" si="9"/>
        <v>278036.97869203531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414749.66363194457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414749.66363194457</v>
      </c>
      <c r="AK7" s="44">
        <f>HLOOKUP(I7,GasAvoidedCostsWOCC!$A$5:$Q$50,G7+1,FALSE)*J7*L7</f>
        <v>0</v>
      </c>
      <c r="AL7" s="44">
        <f t="shared" si="14"/>
        <v>414749.66363194457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414749.66363194457</v>
      </c>
      <c r="AN7" s="48">
        <f t="shared" si="15"/>
        <v>456224.62999513908</v>
      </c>
      <c r="AO7" s="47">
        <f t="shared" si="16"/>
        <v>1.6029457214614065</v>
      </c>
      <c r="AP7" s="47">
        <f t="shared" si="17"/>
        <v>1.6408775269438942</v>
      </c>
      <c r="AQ7">
        <v>2021</v>
      </c>
    </row>
    <row r="8" spans="1:43" ht="13.5" customHeight="1">
      <c r="A8" s="53">
        <f>SUMIF('Program Costs'!D:D,C2,'Program Costs'!O:O)</f>
        <v>119245.34999999998</v>
      </c>
      <c r="B8" s="97" t="s">
        <v>123</v>
      </c>
      <c r="C8" s="100">
        <v>18230706</v>
      </c>
      <c r="D8" s="100" t="s">
        <v>124</v>
      </c>
      <c r="E8" s="38" t="s">
        <v>1054</v>
      </c>
      <c r="F8" s="39" t="s">
        <v>1055</v>
      </c>
      <c r="G8" s="39">
        <v>15</v>
      </c>
      <c r="H8" s="39"/>
      <c r="I8" s="40" t="s">
        <v>255</v>
      </c>
      <c r="J8" s="41">
        <v>1</v>
      </c>
      <c r="K8" s="41">
        <v>2182</v>
      </c>
      <c r="L8" s="41">
        <v>15720</v>
      </c>
      <c r="M8" s="42">
        <v>24233</v>
      </c>
      <c r="N8" s="42"/>
      <c r="O8" s="43">
        <v>2182</v>
      </c>
      <c r="P8" s="44">
        <v>15720</v>
      </c>
      <c r="Q8" s="44">
        <v>24233</v>
      </c>
      <c r="R8" s="45"/>
      <c r="S8" s="46"/>
      <c r="T8" s="39">
        <f t="shared" si="0"/>
        <v>15</v>
      </c>
      <c r="U8" s="47">
        <f t="shared" si="1"/>
        <v>0.38379005874696592</v>
      </c>
      <c r="V8" s="48">
        <f t="shared" si="2"/>
        <v>-24233</v>
      </c>
      <c r="W8" s="49">
        <f t="shared" si="3"/>
        <v>2.5586003916464393E-2</v>
      </c>
      <c r="X8" s="44">
        <f t="shared" si="4"/>
        <v>3051.0119921201667</v>
      </c>
      <c r="Y8" s="44">
        <f t="shared" si="5"/>
        <v>8513</v>
      </c>
      <c r="Z8" s="44">
        <f t="shared" si="6"/>
        <v>14045.778423095413</v>
      </c>
      <c r="AA8" s="50">
        <f t="shared" si="7"/>
        <v>27284.011992120166</v>
      </c>
      <c r="AB8" s="51">
        <f t="shared" si="8"/>
        <v>13130.577192760036</v>
      </c>
      <c r="AC8" s="44">
        <f t="shared" si="9"/>
        <v>25506.227907002118</v>
      </c>
      <c r="AD8" s="44">
        <f t="shared" si="10"/>
        <v>0</v>
      </c>
      <c r="AE8" s="44">
        <v>0</v>
      </c>
      <c r="AF8" s="52">
        <f>HLOOKUP(I8,GasAvoidedCostsWOCC!$A$5:$G$50,G8+1,FALSE)</f>
        <v>10.143887193159781</v>
      </c>
      <c r="AG8" s="44">
        <f t="shared" si="11"/>
        <v>22133.961855474641</v>
      </c>
      <c r="AH8" s="52">
        <f>HLOOKUP(I8,GasAvoidedCostsWOCC!$A$5:$Q$50,T8+1,FALSE)</f>
        <v>10.143887193159781</v>
      </c>
      <c r="AI8" s="44">
        <f t="shared" si="12"/>
        <v>159461.90667647176</v>
      </c>
      <c r="AJ8" s="44">
        <f t="shared" si="13"/>
        <v>181595.86853194638</v>
      </c>
      <c r="AK8" s="44">
        <f>HLOOKUP(I8,GasAvoidedCostsWOCC!$A$5:$Q$50,G8+1,FALSE)*J8*L8</f>
        <v>159461.90667647176</v>
      </c>
      <c r="AL8" s="44">
        <f t="shared" si="14"/>
        <v>22133.961855474627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22133.961855474641</v>
      </c>
      <c r="AN8" s="48">
        <f t="shared" si="15"/>
        <v>24347.358041022107</v>
      </c>
      <c r="AO8" s="47">
        <f t="shared" si="16"/>
        <v>1.6856807991410241</v>
      </c>
      <c r="AP8" s="47">
        <f t="shared" si="17"/>
        <v>0.95456521951402029</v>
      </c>
      <c r="AQ8">
        <v>2020</v>
      </c>
    </row>
    <row r="9" spans="1:43" ht="13.5" customHeight="1">
      <c r="A9" s="36" t="s">
        <v>303</v>
      </c>
      <c r="B9" s="97" t="s">
        <v>123</v>
      </c>
      <c r="C9" s="100">
        <v>18230706</v>
      </c>
      <c r="D9" s="100" t="s">
        <v>124</v>
      </c>
      <c r="E9" s="38" t="s">
        <v>974</v>
      </c>
      <c r="F9" s="39" t="s">
        <v>975</v>
      </c>
      <c r="G9" s="39">
        <v>15</v>
      </c>
      <c r="H9" s="39"/>
      <c r="I9" s="40" t="s">
        <v>261</v>
      </c>
      <c r="J9" s="41">
        <v>1</v>
      </c>
      <c r="K9" s="41">
        <v>17142</v>
      </c>
      <c r="L9" s="41">
        <v>85710</v>
      </c>
      <c r="M9" s="42">
        <v>85710</v>
      </c>
      <c r="N9" s="42"/>
      <c r="O9" s="43">
        <v>17142</v>
      </c>
      <c r="P9" s="44">
        <v>85710</v>
      </c>
      <c r="Q9" s="44">
        <v>85710</v>
      </c>
      <c r="R9" s="45"/>
      <c r="S9" s="46"/>
      <c r="T9" s="39">
        <f t="shared" si="0"/>
        <v>15</v>
      </c>
      <c r="U9" s="47">
        <f t="shared" si="1"/>
        <v>3.0150912864530204</v>
      </c>
      <c r="V9" s="48">
        <f t="shared" si="2"/>
        <v>-85710</v>
      </c>
      <c r="W9" s="49">
        <f t="shared" si="3"/>
        <v>0.20100608576353468</v>
      </c>
      <c r="X9" s="44">
        <f t="shared" si="4"/>
        <v>23969.041049002706</v>
      </c>
      <c r="Y9" s="44">
        <f t="shared" si="5"/>
        <v>0</v>
      </c>
      <c r="Z9" s="44">
        <f t="shared" si="6"/>
        <v>110344.97421113731</v>
      </c>
      <c r="AA9" s="50">
        <f t="shared" si="7"/>
        <v>109679.0410490027</v>
      </c>
      <c r="AB9" s="51">
        <f t="shared" si="8"/>
        <v>103155.0661037088</v>
      </c>
      <c r="AC9" s="44">
        <f t="shared" si="9"/>
        <v>102532.52411797951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11.391867070276401</v>
      </c>
      <c r="AG9" s="44">
        <f t="shared" si="11"/>
        <v>195279.38531867808</v>
      </c>
      <c r="AH9" s="52">
        <f>HLOOKUP(I9,GasAvoidedCostsWOCC!$A$5:$Q$50,T9+1,FALSE)</f>
        <v>11.391867070276401</v>
      </c>
      <c r="AI9" s="44">
        <f t="shared" si="12"/>
        <v>976396.92659339029</v>
      </c>
      <c r="AJ9" s="44">
        <f t="shared" si="13"/>
        <v>1171676.3119120684</v>
      </c>
      <c r="AK9" s="44">
        <f>HLOOKUP(I9,GasAvoidedCostsWOCC!$A$5:$Q$50,G9+1,FALSE)*J9*L9</f>
        <v>976396.92659339029</v>
      </c>
      <c r="AL9" s="44">
        <f t="shared" si="14"/>
        <v>195279.38531867811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195279.38531867808</v>
      </c>
      <c r="AN9" s="48">
        <f t="shared" si="15"/>
        <v>214807.32385054589</v>
      </c>
      <c r="AO9" s="47">
        <f t="shared" si="16"/>
        <v>1.8930663581985439</v>
      </c>
      <c r="AP9" s="47">
        <f t="shared" si="17"/>
        <v>2.0950164418402193</v>
      </c>
      <c r="AQ9">
        <v>2020</v>
      </c>
    </row>
    <row r="10" spans="1:43" ht="13.5" customHeight="1">
      <c r="A10" s="54">
        <f>SUM(O5:O999)</f>
        <v>85281</v>
      </c>
      <c r="B10" s="97" t="s">
        <v>123</v>
      </c>
      <c r="C10" s="100">
        <v>18230706</v>
      </c>
      <c r="D10" s="100" t="s">
        <v>124</v>
      </c>
      <c r="E10" s="38" t="s">
        <v>974</v>
      </c>
      <c r="F10" s="39" t="s">
        <v>975</v>
      </c>
      <c r="G10" s="39">
        <v>15</v>
      </c>
      <c r="H10" s="39"/>
      <c r="I10" s="40" t="s">
        <v>261</v>
      </c>
      <c r="J10" s="41">
        <v>1</v>
      </c>
      <c r="K10" s="41">
        <v>6073</v>
      </c>
      <c r="L10" s="41">
        <v>30365</v>
      </c>
      <c r="M10" s="42">
        <v>30365</v>
      </c>
      <c r="N10" s="42"/>
      <c r="O10" s="43">
        <v>6073</v>
      </c>
      <c r="P10" s="44">
        <v>30365</v>
      </c>
      <c r="Q10" s="44">
        <v>30365</v>
      </c>
      <c r="R10" s="45"/>
      <c r="S10" s="46"/>
      <c r="T10" s="39">
        <f t="shared" si="0"/>
        <v>15</v>
      </c>
      <c r="U10" s="47">
        <f t="shared" si="1"/>
        <v>1.0681746227178388</v>
      </c>
      <c r="V10" s="48">
        <f t="shared" si="2"/>
        <v>-30365</v>
      </c>
      <c r="W10" s="49">
        <f t="shared" si="3"/>
        <v>7.1211641514522583E-2</v>
      </c>
      <c r="X10" s="44">
        <f t="shared" si="4"/>
        <v>8491.6571164737743</v>
      </c>
      <c r="Y10" s="44">
        <f t="shared" si="5"/>
        <v>0</v>
      </c>
      <c r="Z10" s="44">
        <f t="shared" si="6"/>
        <v>39092.581284811393</v>
      </c>
      <c r="AA10" s="50">
        <f t="shared" si="7"/>
        <v>38856.657116473776</v>
      </c>
      <c r="AB10" s="51">
        <f t="shared" si="8"/>
        <v>36545.369061242767</v>
      </c>
      <c r="AC10" s="44">
        <f t="shared" si="9"/>
        <v>36324.817347362601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11.391867070276401</v>
      </c>
      <c r="AG10" s="44">
        <f t="shared" si="11"/>
        <v>69182.80871778859</v>
      </c>
      <c r="AH10" s="52">
        <f>HLOOKUP(I10,GasAvoidedCostsWOCC!$A$5:$Q$50,T10+1,FALSE)</f>
        <v>11.391867070276401</v>
      </c>
      <c r="AI10" s="44">
        <f t="shared" si="12"/>
        <v>345914.04358894291</v>
      </c>
      <c r="AJ10" s="44">
        <f t="shared" si="13"/>
        <v>415096.85230673151</v>
      </c>
      <c r="AK10" s="44">
        <f>HLOOKUP(I10,GasAvoidedCostsWOCC!$A$5:$Q$50,G10+1,FALSE)*J10*L10</f>
        <v>345914.04358894291</v>
      </c>
      <c r="AL10" s="44">
        <f t="shared" si="14"/>
        <v>69182.808717788605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69182.80871778859</v>
      </c>
      <c r="AN10" s="48">
        <f t="shared" si="15"/>
        <v>76101.089589567462</v>
      </c>
      <c r="AO10" s="47">
        <f t="shared" si="16"/>
        <v>1.8930663581985441</v>
      </c>
      <c r="AP10" s="47">
        <f t="shared" si="17"/>
        <v>2.0950164418402193</v>
      </c>
      <c r="AQ10">
        <v>2020</v>
      </c>
    </row>
    <row r="11" spans="1:43" ht="13.5" customHeight="1">
      <c r="A11" s="36" t="s">
        <v>251</v>
      </c>
      <c r="B11" s="97" t="s">
        <v>123</v>
      </c>
      <c r="C11" s="100">
        <v>18230706</v>
      </c>
      <c r="D11" s="100" t="s">
        <v>124</v>
      </c>
      <c r="E11" s="38" t="s">
        <v>1006</v>
      </c>
      <c r="F11" s="39" t="s">
        <v>1007</v>
      </c>
      <c r="G11" s="39">
        <v>24</v>
      </c>
      <c r="H11" s="39"/>
      <c r="I11" s="40" t="s">
        <v>255</v>
      </c>
      <c r="J11" s="41">
        <v>1</v>
      </c>
      <c r="K11" s="41">
        <v>7560</v>
      </c>
      <c r="L11" s="41">
        <v>37800</v>
      </c>
      <c r="M11" s="42">
        <v>91262</v>
      </c>
      <c r="N11" s="42"/>
      <c r="O11" s="43">
        <v>7560</v>
      </c>
      <c r="P11" s="44">
        <v>37800</v>
      </c>
      <c r="Q11" s="44">
        <v>91262</v>
      </c>
      <c r="R11" s="45"/>
      <c r="S11" s="46"/>
      <c r="T11" s="39">
        <f t="shared" si="0"/>
        <v>24</v>
      </c>
      <c r="U11" s="47">
        <f t="shared" si="1"/>
        <v>2.1275547894607238</v>
      </c>
      <c r="V11" s="48">
        <f t="shared" si="2"/>
        <v>-91262</v>
      </c>
      <c r="W11" s="49">
        <f t="shared" si="3"/>
        <v>8.864811622753016E-2</v>
      </c>
      <c r="X11" s="44">
        <f t="shared" si="4"/>
        <v>10570.875646392511</v>
      </c>
      <c r="Y11" s="44">
        <f t="shared" si="5"/>
        <v>53462</v>
      </c>
      <c r="Z11" s="44">
        <f t="shared" si="6"/>
        <v>48664.566855454315</v>
      </c>
      <c r="AA11" s="50">
        <f t="shared" si="7"/>
        <v>101832.87564639251</v>
      </c>
      <c r="AB11" s="51">
        <f t="shared" si="8"/>
        <v>45493.658834677306</v>
      </c>
      <c r="AC11" s="44">
        <f t="shared" si="9"/>
        <v>95197.602735713284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15.156272556848696</v>
      </c>
      <c r="AG11" s="44">
        <f t="shared" si="11"/>
        <v>114581.42052977615</v>
      </c>
      <c r="AH11" s="52">
        <f>HLOOKUP(I11,GasAvoidedCostsWOCC!$A$5:$Q$50,T11+1,FALSE)</f>
        <v>15.156272556848696</v>
      </c>
      <c r="AI11" s="44">
        <f t="shared" si="12"/>
        <v>572907.10264888068</v>
      </c>
      <c r="AJ11" s="44">
        <f t="shared" si="13"/>
        <v>687488.52317865682</v>
      </c>
      <c r="AK11" s="44">
        <f>HLOOKUP(I11,GasAvoidedCostsWOCC!$A$5:$Q$50,G11+1,FALSE)*J11*L11</f>
        <v>572907.10264888068</v>
      </c>
      <c r="AL11" s="44">
        <f t="shared" si="14"/>
        <v>114581.42052977614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114581.42052977615</v>
      </c>
      <c r="AN11" s="48">
        <f t="shared" si="15"/>
        <v>126039.56258275377</v>
      </c>
      <c r="AO11" s="47">
        <f t="shared" si="16"/>
        <v>2.5186239899094915</v>
      </c>
      <c r="AP11" s="47">
        <f t="shared" si="17"/>
        <v>1.3239783246713015</v>
      </c>
      <c r="AQ11">
        <v>2020</v>
      </c>
    </row>
    <row r="12" spans="1:43" ht="13.5" customHeight="1">
      <c r="A12" s="55">
        <f>SUM(P5:P1000)</f>
        <v>429718</v>
      </c>
      <c r="B12" s="97"/>
      <c r="C12" s="100"/>
      <c r="D12" s="100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97"/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62574</v>
      </c>
      <c r="B14" s="97"/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97"/>
      <c r="C15" s="100"/>
      <c r="D15" s="100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15.797833046047772</v>
      </c>
      <c r="B16" s="97"/>
      <c r="C16" s="100"/>
      <c r="D16" s="100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97"/>
      <c r="C17" s="100"/>
      <c r="D17" s="100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548963.35</v>
      </c>
      <c r="B18" s="97"/>
      <c r="C18" s="100"/>
      <c r="D18" s="100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97"/>
      <c r="C19" s="100"/>
      <c r="D19" s="100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611537.35</v>
      </c>
      <c r="B20" s="97"/>
      <c r="C20" s="100"/>
      <c r="D20" s="100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9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1.770641626300584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1.7484117604685288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44" si="19">G25+H25</f>
        <v>0</v>
      </c>
      <c r="U25" s="47">
        <f t="shared" ref="U25:U44" si="20">(O25/$A$10)*T25</f>
        <v>0</v>
      </c>
      <c r="V25" s="48">
        <f t="shared" ref="V25:V44" si="21">N25-M25</f>
        <v>0</v>
      </c>
      <c r="W25" s="49">
        <f t="shared" ref="W25:W44" si="22">(O25/A$10)</f>
        <v>0</v>
      </c>
      <c r="X25" s="44">
        <f t="shared" ref="X25:X44" si="23">W25*A$8</f>
        <v>0</v>
      </c>
      <c r="Y25" s="44">
        <f t="shared" ref="Y25:Y44" si="24">Q25-P25</f>
        <v>0</v>
      </c>
      <c r="Z25" s="44">
        <f t="shared" ref="Z25:Z44" si="25">X25+(A$6*W25)</f>
        <v>0</v>
      </c>
      <c r="AA25" s="50">
        <f t="shared" ref="AA25:AA44" si="26">Q25+X25</f>
        <v>0</v>
      </c>
      <c r="AB25" s="51">
        <f t="shared" ref="AB25:AB44" si="27">Z25/(1+GasDiscountRate)^1</f>
        <v>0</v>
      </c>
      <c r="AC25" s="44">
        <f t="shared" ref="AC25:AC44" si="28">AA25/(1+GasDiscountRate)^1</f>
        <v>0</v>
      </c>
      <c r="AD25" s="44">
        <f t="shared" ref="AD25:AD44" si="29">-PV(GasDiscountRate,T25,R25)*J25</f>
        <v>0</v>
      </c>
      <c r="AE25" s="44">
        <f t="shared" ref="AE25:AE44" si="30">-PV(GasDiscountRate,T25,S25)*J25</f>
        <v>0</v>
      </c>
      <c r="AF25" s="52" t="e">
        <f>HLOOKUP(I25,GasAvoidedCostsWOCC!$A$5:$G$50,G25+1,FALSE)</f>
        <v>#N/A</v>
      </c>
      <c r="AG25" s="44" t="e">
        <f t="shared" ref="AG25:AG44" si="31">AF25*J25*K25</f>
        <v>#N/A</v>
      </c>
      <c r="AH25" s="52" t="e">
        <f>HLOOKUP(I25,GasAvoidedCostsWOCC!$A$5:$Q$50,T25+1,FALSE)</f>
        <v>#N/A</v>
      </c>
      <c r="AI25" s="44" t="e">
        <f t="shared" ref="AI25:AI44" si="32">AH25*J25*L25</f>
        <v>#N/A</v>
      </c>
      <c r="AJ25" s="44" t="e">
        <f t="shared" ref="AJ25:AJ44" si="33">AG25+AI25</f>
        <v>#N/A</v>
      </c>
      <c r="AK25" s="44" t="e">
        <f>HLOOKUP(I25,GasAvoidedCostsWOCC!$A$5:$Q$50,G25+1,FALSE)*J25*L25</f>
        <v>#N/A</v>
      </c>
      <c r="AL25" s="44" t="e">
        <f t="shared" ref="AL25:AL44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44" si="35">AM25*1.1+AD25+AE25</f>
        <v>0</v>
      </c>
      <c r="AO25" s="47">
        <f t="shared" ref="AO25:AO44" si="36">IFERROR(AM25/AB25,0)</f>
        <v>0</v>
      </c>
      <c r="AP25" s="47" t="e">
        <f t="shared" ref="AP25:AP44" si="37">AN25/AC25</f>
        <v>#DIV/0!</v>
      </c>
    </row>
    <row r="26" spans="1:42" ht="13.5" customHeight="1">
      <c r="B26" s="9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</sheetData>
  <conditionalFormatting sqref="J5:L44">
    <cfRule type="expression" dxfId="54" priority="4">
      <formula>ISTEXT(J5)</formula>
    </cfRule>
    <cfRule type="notContainsBlanks" dxfId="53" priority="5">
      <formula>LEN(TRIM(J5))&gt;0</formula>
    </cfRule>
  </conditionalFormatting>
  <conditionalFormatting sqref="M5:N44 R5:S44">
    <cfRule type="expression" dxfId="52" priority="2">
      <formula>ISTEXT(M5)</formula>
    </cfRule>
  </conditionalFormatting>
  <conditionalFormatting sqref="M5:N44 R5:S44">
    <cfRule type="notContainsBlanks" dxfId="51" priority="3">
      <formula>LEN(TRIM(M5))&gt;0</formula>
    </cfRule>
  </conditionalFormatting>
  <conditionalFormatting sqref="R5:S44">
    <cfRule type="expression" dxfId="5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52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18230691</v>
      </c>
      <c r="D2" s="20" t="s">
        <v>113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112</v>
      </c>
      <c r="C5" s="98">
        <v>18230691</v>
      </c>
      <c r="D5" s="61" t="s">
        <v>113</v>
      </c>
      <c r="E5" s="38" t="s">
        <v>1056</v>
      </c>
      <c r="F5" s="39" t="s">
        <v>1057</v>
      </c>
      <c r="G5" s="39">
        <v>3</v>
      </c>
      <c r="H5" s="39"/>
      <c r="I5" s="40" t="s">
        <v>256</v>
      </c>
      <c r="J5" s="41">
        <v>1</v>
      </c>
      <c r="K5" s="41">
        <v>100390</v>
      </c>
      <c r="L5" s="41"/>
      <c r="M5" s="42">
        <v>18309</v>
      </c>
      <c r="N5" s="42">
        <v>29113</v>
      </c>
      <c r="O5" s="43">
        <v>100390</v>
      </c>
      <c r="P5" s="44">
        <v>18309</v>
      </c>
      <c r="Q5" s="44">
        <v>29113</v>
      </c>
      <c r="R5" s="45"/>
      <c r="S5" s="46"/>
      <c r="T5" s="39">
        <f t="shared" ref="T5:T24" si="0">G5+H5</f>
        <v>3</v>
      </c>
      <c r="U5" s="47">
        <f t="shared" ref="U5:U24" si="1">(O5/$A$10)*T5</f>
        <v>0.36243883536272764</v>
      </c>
      <c r="V5" s="48">
        <f t="shared" ref="V5:V24" si="2">N5-M5</f>
        <v>10804</v>
      </c>
      <c r="W5" s="49">
        <f t="shared" ref="W5:W24" si="3">(O5/A$10)</f>
        <v>0.12081294512090922</v>
      </c>
      <c r="X5" s="44">
        <f t="shared" ref="X5:X24" si="4">W5*A$8</f>
        <v>92589.299017996207</v>
      </c>
      <c r="Y5" s="44">
        <f t="shared" ref="Y5:Y24" si="5">Q5-P5</f>
        <v>10804</v>
      </c>
      <c r="Z5" s="44">
        <f t="shared" ref="Z5:Z24" si="6">X5+(A$6*W5)</f>
        <v>123999.81905881676</v>
      </c>
      <c r="AA5" s="50">
        <f t="shared" ref="AA5:AA24" si="7">Q5+X5</f>
        <v>121702.29901799621</v>
      </c>
      <c r="AB5" s="51">
        <f t="shared" ref="AB5:AB24" si="8">Z5/(1+GasDiscountRate)^1</f>
        <v>115920.18234908549</v>
      </c>
      <c r="AC5" s="44">
        <f t="shared" ref="AC5:AC24" si="9">AA5/(1+GasDiscountRate)^1</f>
        <v>113772.36516593082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2.1538280272303849</v>
      </c>
      <c r="AG5" s="44">
        <f t="shared" ref="AG5:AG24" si="11">AF5*J5*K5</f>
        <v>216222.79565365834</v>
      </c>
      <c r="AH5" s="52">
        <f>HLOOKUP(I5,GasAvoidedCostsWOCC!$A$5:$Q$50,T5+1,FALSE)</f>
        <v>2.1538280272303849</v>
      </c>
      <c r="AI5" s="44">
        <f t="shared" ref="AI5:AI24" si="12">AH5*J5*L5</f>
        <v>0</v>
      </c>
      <c r="AJ5" s="44">
        <f>AG5+AI5</f>
        <v>216222.79565365834</v>
      </c>
      <c r="AK5" s="44">
        <f>HLOOKUP(I5,GasAvoidedCostsWOCC!$A$5:$Q$50,G5+1,FALSE)*J5*L5</f>
        <v>0</v>
      </c>
      <c r="AL5" s="44">
        <f>AG5+AI5-AK5</f>
        <v>216222.79565365834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216222.79565365834</v>
      </c>
      <c r="AN5" s="48">
        <f>AM5*1.1+AD5+AE5</f>
        <v>237845.07521902418</v>
      </c>
      <c r="AO5" s="47">
        <f>IFERROR(AM5/AB5,0)</f>
        <v>1.8652730807696505</v>
      </c>
      <c r="AP5" s="47">
        <f>AN5/AC5</f>
        <v>2.0905346818811408</v>
      </c>
      <c r="AQ5">
        <v>2021</v>
      </c>
    </row>
    <row r="6" spans="1:43" ht="13.5" customHeight="1">
      <c r="A6" s="53">
        <f>SUMIF('Program Costs'!D:D,C2,'Program Costs'!L:L)</f>
        <v>259993</v>
      </c>
      <c r="B6" s="97" t="s">
        <v>112</v>
      </c>
      <c r="C6" s="98">
        <v>18230691</v>
      </c>
      <c r="D6" s="61" t="s">
        <v>113</v>
      </c>
      <c r="E6" s="38" t="s">
        <v>1058</v>
      </c>
      <c r="F6" s="39" t="s">
        <v>1059</v>
      </c>
      <c r="G6" s="39">
        <v>3</v>
      </c>
      <c r="H6" s="39"/>
      <c r="I6" s="40" t="s">
        <v>256</v>
      </c>
      <c r="J6" s="41">
        <v>1</v>
      </c>
      <c r="K6" s="41">
        <v>58113</v>
      </c>
      <c r="L6" s="41"/>
      <c r="M6" s="42">
        <v>9997</v>
      </c>
      <c r="N6" s="42">
        <v>16853</v>
      </c>
      <c r="O6" s="43">
        <v>58113</v>
      </c>
      <c r="P6" s="44">
        <v>9997</v>
      </c>
      <c r="Q6" s="44">
        <v>16853</v>
      </c>
      <c r="R6" s="45"/>
      <c r="S6" s="46"/>
      <c r="T6" s="39">
        <f t="shared" si="0"/>
        <v>3</v>
      </c>
      <c r="U6" s="47">
        <f t="shared" si="1"/>
        <v>0.2098058376275943</v>
      </c>
      <c r="V6" s="48">
        <f t="shared" si="2"/>
        <v>6856</v>
      </c>
      <c r="W6" s="49">
        <f t="shared" si="3"/>
        <v>6.9935279209198106E-2</v>
      </c>
      <c r="X6" s="44">
        <f t="shared" si="4"/>
        <v>53597.389519203243</v>
      </c>
      <c r="Y6" s="44">
        <f t="shared" si="5"/>
        <v>6856</v>
      </c>
      <c r="Z6" s="44">
        <f t="shared" si="6"/>
        <v>71780.072566640287</v>
      </c>
      <c r="AA6" s="50">
        <f t="shared" si="7"/>
        <v>70450.389519203251</v>
      </c>
      <c r="AB6" s="51">
        <f t="shared" si="8"/>
        <v>67102.993892343904</v>
      </c>
      <c r="AC6" s="44">
        <f t="shared" si="9"/>
        <v>65859.950938770911</v>
      </c>
      <c r="AD6" s="44">
        <f t="shared" si="10"/>
        <v>0</v>
      </c>
      <c r="AE6" s="44">
        <v>0</v>
      </c>
      <c r="AF6" s="52">
        <f>HLOOKUP(I6,GasAvoidedCostsWOCC!$A$5:$G$50,G6+1,FALSE)</f>
        <v>2.1538280272303849</v>
      </c>
      <c r="AG6" s="44">
        <f t="shared" si="11"/>
        <v>125165.40814643935</v>
      </c>
      <c r="AH6" s="52">
        <f>HLOOKUP(I6,GasAvoidedCostsWOCC!$A$5:$Q$50,T6+1,FALSE)</f>
        <v>2.1538280272303849</v>
      </c>
      <c r="AI6" s="44">
        <f t="shared" si="12"/>
        <v>0</v>
      </c>
      <c r="AJ6" s="44">
        <f t="shared" ref="AJ6:AJ24" si="13">AG6+AI6</f>
        <v>125165.40814643935</v>
      </c>
      <c r="AK6" s="44">
        <f>HLOOKUP(I6,GasAvoidedCostsWOCC!$A$5:$Q$50,G6+1,FALSE)*J6*L6</f>
        <v>0</v>
      </c>
      <c r="AL6" s="44">
        <f t="shared" ref="AL6:AL24" si="14">AG6+AI6-AK6</f>
        <v>125165.40814643935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125165.40814643935</v>
      </c>
      <c r="AN6" s="48">
        <f t="shared" ref="AN6:AN24" si="15">AM6*1.1+AD6+AE6</f>
        <v>137681.94896108331</v>
      </c>
      <c r="AO6" s="47">
        <f t="shared" ref="AO6:AO24" si="16">IFERROR(AM6/AB6,0)</f>
        <v>1.8652730807696505</v>
      </c>
      <c r="AP6" s="47">
        <f t="shared" ref="AP6:AP24" si="17">AN6/AC6</f>
        <v>2.0905261391567742</v>
      </c>
      <c r="AQ6">
        <v>2021</v>
      </c>
    </row>
    <row r="7" spans="1:43" ht="13.5" customHeight="1">
      <c r="A7" s="36" t="s">
        <v>249</v>
      </c>
      <c r="B7" s="97" t="s">
        <v>112</v>
      </c>
      <c r="C7" s="98">
        <v>18230691</v>
      </c>
      <c r="D7" s="61" t="s">
        <v>113</v>
      </c>
      <c r="E7" s="38" t="s">
        <v>1060</v>
      </c>
      <c r="F7" s="39" t="s">
        <v>1061</v>
      </c>
      <c r="G7" s="39">
        <v>3</v>
      </c>
      <c r="H7" s="39"/>
      <c r="I7" s="40" t="s">
        <v>256</v>
      </c>
      <c r="J7" s="41">
        <v>1</v>
      </c>
      <c r="K7" s="41">
        <v>2214</v>
      </c>
      <c r="L7" s="41"/>
      <c r="M7" s="42">
        <v>403</v>
      </c>
      <c r="N7" s="42">
        <v>642</v>
      </c>
      <c r="O7" s="43">
        <v>2214</v>
      </c>
      <c r="P7" s="44">
        <v>403</v>
      </c>
      <c r="Q7" s="44">
        <v>642</v>
      </c>
      <c r="R7" s="45"/>
      <c r="S7" s="46"/>
      <c r="T7" s="39">
        <f t="shared" si="0"/>
        <v>3</v>
      </c>
      <c r="U7" s="47">
        <f t="shared" si="1"/>
        <v>7.9932222481629549E-3</v>
      </c>
      <c r="V7" s="48">
        <f t="shared" si="2"/>
        <v>239</v>
      </c>
      <c r="W7" s="49">
        <f t="shared" si="3"/>
        <v>2.6644074160543183E-3</v>
      </c>
      <c r="X7" s="44">
        <f t="shared" si="4"/>
        <v>2041.9634229090905</v>
      </c>
      <c r="Y7" s="44">
        <f t="shared" si="5"/>
        <v>239</v>
      </c>
      <c r="Z7" s="44">
        <f t="shared" si="6"/>
        <v>2734.690700231301</v>
      </c>
      <c r="AA7" s="50">
        <f t="shared" si="7"/>
        <v>2683.9634229090907</v>
      </c>
      <c r="AB7" s="51">
        <f t="shared" si="8"/>
        <v>2556.5024775463221</v>
      </c>
      <c r="AC7" s="44">
        <f t="shared" si="9"/>
        <v>2509.0805112733387</v>
      </c>
      <c r="AD7" s="44">
        <f t="shared" si="10"/>
        <v>0</v>
      </c>
      <c r="AE7" s="44">
        <v>0</v>
      </c>
      <c r="AF7" s="52">
        <f>HLOOKUP(I7,GasAvoidedCostsWOCC!$A$5:$G$50,G7+1,FALSE)</f>
        <v>2.1538280272303849</v>
      </c>
      <c r="AG7" s="44">
        <f t="shared" si="11"/>
        <v>4768.5752522880721</v>
      </c>
      <c r="AH7" s="52">
        <f>HLOOKUP(I7,GasAvoidedCostsWOCC!$A$5:$Q$50,T7+1,FALSE)</f>
        <v>2.1538280272303849</v>
      </c>
      <c r="AI7" s="44">
        <f t="shared" si="12"/>
        <v>0</v>
      </c>
      <c r="AJ7" s="44">
        <f t="shared" si="13"/>
        <v>4768.5752522880721</v>
      </c>
      <c r="AK7" s="44">
        <f>HLOOKUP(I7,GasAvoidedCostsWOCC!$A$5:$Q$50,G7+1,FALSE)*J7*L7</f>
        <v>0</v>
      </c>
      <c r="AL7" s="44">
        <f t="shared" si="14"/>
        <v>4768.5752522880721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4768.5752522880721</v>
      </c>
      <c r="AN7" s="48">
        <f t="shared" si="15"/>
        <v>5245.4327775168795</v>
      </c>
      <c r="AO7" s="47">
        <f t="shared" si="16"/>
        <v>1.8652730807696503</v>
      </c>
      <c r="AP7" s="47">
        <f t="shared" si="17"/>
        <v>2.0905796980005489</v>
      </c>
      <c r="AQ7">
        <v>2021</v>
      </c>
    </row>
    <row r="8" spans="1:43" ht="13.5" customHeight="1">
      <c r="A8" s="53">
        <f>SUMIF('Program Costs'!D:D,C2,'Program Costs'!O:O)</f>
        <v>766385.58000000019</v>
      </c>
      <c r="B8" s="97" t="s">
        <v>112</v>
      </c>
      <c r="C8" s="98">
        <v>18230691</v>
      </c>
      <c r="D8" s="61" t="s">
        <v>113</v>
      </c>
      <c r="E8" s="38" t="s">
        <v>1060</v>
      </c>
      <c r="F8" s="39" t="s">
        <v>1061</v>
      </c>
      <c r="G8" s="39">
        <v>3</v>
      </c>
      <c r="H8" s="39"/>
      <c r="I8" s="40" t="s">
        <v>256</v>
      </c>
      <c r="J8" s="41">
        <v>1</v>
      </c>
      <c r="K8" s="41">
        <v>194716</v>
      </c>
      <c r="L8" s="41"/>
      <c r="M8" s="42">
        <v>31569</v>
      </c>
      <c r="N8" s="42">
        <v>53231</v>
      </c>
      <c r="O8" s="43">
        <v>194716</v>
      </c>
      <c r="P8" s="44">
        <v>31569</v>
      </c>
      <c r="Q8" s="44">
        <v>53231</v>
      </c>
      <c r="R8" s="45"/>
      <c r="S8" s="46"/>
      <c r="T8" s="39">
        <f t="shared" si="0"/>
        <v>3</v>
      </c>
      <c r="U8" s="47">
        <f t="shared" si="1"/>
        <v>0.70298476209272709</v>
      </c>
      <c r="V8" s="48">
        <f t="shared" si="2"/>
        <v>21662</v>
      </c>
      <c r="W8" s="49">
        <f t="shared" si="3"/>
        <v>0.23432825403090904</v>
      </c>
      <c r="X8" s="44">
        <f t="shared" si="4"/>
        <v>179585.7948758656</v>
      </c>
      <c r="Y8" s="44">
        <f t="shared" si="5"/>
        <v>21662</v>
      </c>
      <c r="Z8" s="44">
        <f t="shared" si="6"/>
        <v>240509.50062612374</v>
      </c>
      <c r="AA8" s="50">
        <f t="shared" si="7"/>
        <v>232816.7948758656</v>
      </c>
      <c r="AB8" s="51">
        <f t="shared" si="8"/>
        <v>224838.2729981525</v>
      </c>
      <c r="AC8" s="44">
        <f t="shared" si="9"/>
        <v>217646.81207428774</v>
      </c>
      <c r="AD8" s="44">
        <f t="shared" si="10"/>
        <v>0</v>
      </c>
      <c r="AE8" s="44">
        <v>0</v>
      </c>
      <c r="AF8" s="52">
        <f>HLOOKUP(I8,GasAvoidedCostsWOCC!$A$5:$G$50,G8+1,FALSE)</f>
        <v>2.1538280272303849</v>
      </c>
      <c r="AG8" s="44">
        <f t="shared" si="11"/>
        <v>419384.77815019165</v>
      </c>
      <c r="AH8" s="52">
        <f>HLOOKUP(I8,GasAvoidedCostsWOCC!$A$5:$Q$50,T8+1,FALSE)</f>
        <v>2.1538280272303849</v>
      </c>
      <c r="AI8" s="44">
        <f t="shared" si="12"/>
        <v>0</v>
      </c>
      <c r="AJ8" s="44">
        <f t="shared" si="13"/>
        <v>419384.77815019165</v>
      </c>
      <c r="AK8" s="44">
        <f>HLOOKUP(I8,GasAvoidedCostsWOCC!$A$5:$Q$50,G8+1,FALSE)*J8*L8</f>
        <v>0</v>
      </c>
      <c r="AL8" s="44">
        <f t="shared" si="14"/>
        <v>419384.77815019165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419384.77815019165</v>
      </c>
      <c r="AN8" s="48">
        <f t="shared" si="15"/>
        <v>461323.25596521085</v>
      </c>
      <c r="AO8" s="47">
        <f t="shared" si="16"/>
        <v>1.8652730807696505</v>
      </c>
      <c r="AP8" s="47">
        <f t="shared" si="17"/>
        <v>2.119595741231215</v>
      </c>
      <c r="AQ8">
        <v>2021</v>
      </c>
    </row>
    <row r="9" spans="1:43" ht="13.5" customHeight="1">
      <c r="A9" s="36" t="s">
        <v>303</v>
      </c>
      <c r="B9" s="97" t="s">
        <v>112</v>
      </c>
      <c r="C9" s="100">
        <v>18230691</v>
      </c>
      <c r="D9" s="100" t="s">
        <v>113</v>
      </c>
      <c r="E9" s="38" t="s">
        <v>2108</v>
      </c>
      <c r="F9" s="39" t="s">
        <v>2109</v>
      </c>
      <c r="G9" s="39">
        <v>3</v>
      </c>
      <c r="H9" s="39"/>
      <c r="I9" s="40" t="s">
        <v>261</v>
      </c>
      <c r="J9" s="41">
        <v>1</v>
      </c>
      <c r="K9" s="41">
        <v>29486</v>
      </c>
      <c r="L9" s="41">
        <v>4815</v>
      </c>
      <c r="M9" s="42">
        <v>8551</v>
      </c>
      <c r="N9" s="42"/>
      <c r="O9" s="43">
        <v>29486</v>
      </c>
      <c r="P9" s="44">
        <v>4815</v>
      </c>
      <c r="Q9" s="44">
        <v>8551</v>
      </c>
      <c r="R9" s="45"/>
      <c r="S9" s="46"/>
      <c r="T9" s="39">
        <f t="shared" si="0"/>
        <v>3</v>
      </c>
      <c r="U9" s="47">
        <f t="shared" si="1"/>
        <v>0.10645354616501035</v>
      </c>
      <c r="V9" s="48">
        <f t="shared" si="2"/>
        <v>-8551</v>
      </c>
      <c r="W9" s="49">
        <f t="shared" si="3"/>
        <v>3.5484515388336781E-2</v>
      </c>
      <c r="X9" s="44">
        <f t="shared" si="4"/>
        <v>27194.820906909415</v>
      </c>
      <c r="Y9" s="44">
        <f t="shared" si="5"/>
        <v>3736</v>
      </c>
      <c r="Z9" s="44">
        <f t="shared" si="6"/>
        <v>36420.546516269256</v>
      </c>
      <c r="AA9" s="50">
        <f t="shared" si="7"/>
        <v>35745.820906909415</v>
      </c>
      <c r="AB9" s="51">
        <f t="shared" si="8"/>
        <v>34047.43995163995</v>
      </c>
      <c r="AC9" s="44">
        <f t="shared" si="9"/>
        <v>33416.678420967946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2.6658883639788167</v>
      </c>
      <c r="AG9" s="44">
        <f t="shared" si="11"/>
        <v>78606.384300279387</v>
      </c>
      <c r="AH9" s="52">
        <f>HLOOKUP(I9,GasAvoidedCostsWOCC!$A$5:$Q$50,T9+1,FALSE)</f>
        <v>2.6658883639788167</v>
      </c>
      <c r="AI9" s="44">
        <f t="shared" si="12"/>
        <v>12836.252472558002</v>
      </c>
      <c r="AJ9" s="44">
        <f t="shared" si="13"/>
        <v>91442.636772837388</v>
      </c>
      <c r="AK9" s="44">
        <f>HLOOKUP(I9,GasAvoidedCostsWOCC!$A$5:$Q$50,G9+1,FALSE)*J9*L9</f>
        <v>12836.252472558002</v>
      </c>
      <c r="AL9" s="44">
        <f t="shared" si="14"/>
        <v>78606.384300279387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78606.384300279387</v>
      </c>
      <c r="AN9" s="48">
        <f t="shared" si="15"/>
        <v>86467.022730307333</v>
      </c>
      <c r="AO9" s="47">
        <f t="shared" si="16"/>
        <v>2.3087311237476222</v>
      </c>
      <c r="AP9" s="47">
        <f t="shared" si="17"/>
        <v>2.587540917174219</v>
      </c>
      <c r="AQ9">
        <v>2020</v>
      </c>
    </row>
    <row r="10" spans="1:43" ht="13.5" customHeight="1">
      <c r="A10" s="54">
        <f>SUM(O5:O999)</f>
        <v>830954</v>
      </c>
      <c r="B10" s="97" t="s">
        <v>112</v>
      </c>
      <c r="C10" s="100">
        <v>18230691</v>
      </c>
      <c r="D10" s="100" t="s">
        <v>113</v>
      </c>
      <c r="E10" s="38" t="s">
        <v>1056</v>
      </c>
      <c r="F10" s="39" t="s">
        <v>1057</v>
      </c>
      <c r="G10" s="39">
        <v>3</v>
      </c>
      <c r="H10" s="39"/>
      <c r="I10" s="40" t="s">
        <v>261</v>
      </c>
      <c r="J10" s="41">
        <v>1</v>
      </c>
      <c r="K10" s="41">
        <v>129999</v>
      </c>
      <c r="L10" s="41">
        <v>23320</v>
      </c>
      <c r="M10" s="42">
        <v>37699</v>
      </c>
      <c r="N10" s="42"/>
      <c r="O10" s="43">
        <v>129999</v>
      </c>
      <c r="P10" s="44">
        <v>23320</v>
      </c>
      <c r="Q10" s="44">
        <v>37699</v>
      </c>
      <c r="R10" s="45"/>
      <c r="S10" s="46"/>
      <c r="T10" s="39">
        <f t="shared" si="0"/>
        <v>3</v>
      </c>
      <c r="U10" s="47">
        <f t="shared" si="1"/>
        <v>0.46933644943041369</v>
      </c>
      <c r="V10" s="48">
        <f t="shared" si="2"/>
        <v>-37699</v>
      </c>
      <c r="W10" s="49">
        <f t="shared" si="3"/>
        <v>0.15644548314347123</v>
      </c>
      <c r="X10" s="44">
        <f t="shared" si="4"/>
        <v>119897.56233728945</v>
      </c>
      <c r="Y10" s="44">
        <f t="shared" si="5"/>
        <v>14379</v>
      </c>
      <c r="Z10" s="44">
        <f t="shared" si="6"/>
        <v>160572.29283620996</v>
      </c>
      <c r="AA10" s="50">
        <f t="shared" si="7"/>
        <v>157596.56233728945</v>
      </c>
      <c r="AB10" s="51">
        <f t="shared" si="8"/>
        <v>150109.65021614466</v>
      </c>
      <c r="AC10" s="44">
        <f t="shared" si="9"/>
        <v>147327.81372093991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2.6658883639788167</v>
      </c>
      <c r="AG10" s="44">
        <f t="shared" si="11"/>
        <v>346562.82142888219</v>
      </c>
      <c r="AH10" s="52">
        <f>HLOOKUP(I10,GasAvoidedCostsWOCC!$A$5:$Q$50,T10+1,FALSE)</f>
        <v>2.6658883639788167</v>
      </c>
      <c r="AI10" s="44">
        <f t="shared" si="12"/>
        <v>62168.516647986005</v>
      </c>
      <c r="AJ10" s="44">
        <f t="shared" si="13"/>
        <v>408731.33807686821</v>
      </c>
      <c r="AK10" s="44">
        <f>HLOOKUP(I10,GasAvoidedCostsWOCC!$A$5:$Q$50,G10+1,FALSE)*J10*L10</f>
        <v>62168.516647986005</v>
      </c>
      <c r="AL10" s="44">
        <f t="shared" si="14"/>
        <v>346562.82142888219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346562.82142888219</v>
      </c>
      <c r="AN10" s="48">
        <f t="shared" si="15"/>
        <v>381219.10357177042</v>
      </c>
      <c r="AO10" s="47">
        <f t="shared" si="16"/>
        <v>2.3087311237476227</v>
      </c>
      <c r="AP10" s="47">
        <f t="shared" si="17"/>
        <v>2.5875569177579347</v>
      </c>
      <c r="AQ10">
        <v>2020</v>
      </c>
    </row>
    <row r="11" spans="1:43" ht="13.5" customHeight="1">
      <c r="A11" s="36" t="s">
        <v>251</v>
      </c>
      <c r="B11" s="97" t="s">
        <v>112</v>
      </c>
      <c r="C11" s="100">
        <v>18230691</v>
      </c>
      <c r="D11" s="100" t="s">
        <v>113</v>
      </c>
      <c r="E11" s="38" t="s">
        <v>1058</v>
      </c>
      <c r="F11" s="39" t="s">
        <v>1059</v>
      </c>
      <c r="G11" s="39">
        <v>3</v>
      </c>
      <c r="H11" s="39"/>
      <c r="I11" s="40" t="s">
        <v>261</v>
      </c>
      <c r="J11" s="41">
        <v>1</v>
      </c>
      <c r="K11" s="41">
        <v>8184</v>
      </c>
      <c r="L11" s="41">
        <v>1228</v>
      </c>
      <c r="M11" s="42">
        <v>2373</v>
      </c>
      <c r="N11" s="42"/>
      <c r="O11" s="43">
        <v>8184</v>
      </c>
      <c r="P11" s="44">
        <v>1228</v>
      </c>
      <c r="Q11" s="44">
        <v>2373</v>
      </c>
      <c r="R11" s="45"/>
      <c r="S11" s="46"/>
      <c r="T11" s="39">
        <f t="shared" si="0"/>
        <v>3</v>
      </c>
      <c r="U11" s="47">
        <f t="shared" si="1"/>
        <v>2.9546761914618622E-2</v>
      </c>
      <c r="V11" s="48">
        <f t="shared" si="2"/>
        <v>-2373</v>
      </c>
      <c r="W11" s="49">
        <f t="shared" si="3"/>
        <v>9.8489206382062072E-3</v>
      </c>
      <c r="X11" s="44">
        <f t="shared" si="4"/>
        <v>7548.070755685636</v>
      </c>
      <c r="Y11" s="44">
        <f t="shared" si="5"/>
        <v>1145</v>
      </c>
      <c r="Z11" s="44">
        <f t="shared" si="6"/>
        <v>10108.721179174783</v>
      </c>
      <c r="AA11" s="50">
        <f t="shared" si="7"/>
        <v>9921.070755685636</v>
      </c>
      <c r="AB11" s="51">
        <f t="shared" si="8"/>
        <v>9450.0525186265149</v>
      </c>
      <c r="AC11" s="44">
        <f t="shared" si="9"/>
        <v>9274.6291069324434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2.6658883639788167</v>
      </c>
      <c r="AG11" s="44">
        <f t="shared" si="11"/>
        <v>21817.630370802635</v>
      </c>
      <c r="AH11" s="52">
        <f>HLOOKUP(I11,GasAvoidedCostsWOCC!$A$5:$Q$50,T11+1,FALSE)</f>
        <v>2.6658883639788167</v>
      </c>
      <c r="AI11" s="44">
        <f t="shared" si="12"/>
        <v>3273.7109109659868</v>
      </c>
      <c r="AJ11" s="44">
        <f t="shared" si="13"/>
        <v>25091.341281768622</v>
      </c>
      <c r="AK11" s="44">
        <f>HLOOKUP(I11,GasAvoidedCostsWOCC!$A$5:$Q$50,G11+1,FALSE)*J11*L11</f>
        <v>3273.7109109659868</v>
      </c>
      <c r="AL11" s="44">
        <f t="shared" si="14"/>
        <v>21817.630370802635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21817.630370802635</v>
      </c>
      <c r="AN11" s="48">
        <f t="shared" si="15"/>
        <v>23999.393407882901</v>
      </c>
      <c r="AO11" s="47">
        <f t="shared" si="16"/>
        <v>2.3087311237476213</v>
      </c>
      <c r="AP11" s="47">
        <f t="shared" si="17"/>
        <v>2.587639153132737</v>
      </c>
      <c r="AQ11">
        <v>2020</v>
      </c>
    </row>
    <row r="12" spans="1:43" ht="13.5" customHeight="1">
      <c r="A12" s="55">
        <f>SUM(P5:P1000)</f>
        <v>143240</v>
      </c>
      <c r="B12" s="97" t="s">
        <v>112</v>
      </c>
      <c r="C12" s="100">
        <v>18230691</v>
      </c>
      <c r="D12" s="100" t="s">
        <v>113</v>
      </c>
      <c r="E12" s="38" t="s">
        <v>1058</v>
      </c>
      <c r="F12" s="39" t="s">
        <v>1059</v>
      </c>
      <c r="G12" s="39">
        <v>3</v>
      </c>
      <c r="H12" s="39"/>
      <c r="I12" s="40" t="s">
        <v>261</v>
      </c>
      <c r="J12" s="41">
        <v>1</v>
      </c>
      <c r="K12" s="41">
        <v>124981</v>
      </c>
      <c r="L12" s="41">
        <v>21392</v>
      </c>
      <c r="M12" s="42">
        <v>37373</v>
      </c>
      <c r="N12" s="42"/>
      <c r="O12" s="43">
        <v>124981</v>
      </c>
      <c r="P12" s="44">
        <v>21392</v>
      </c>
      <c r="Q12" s="44">
        <v>37373</v>
      </c>
      <c r="R12" s="45"/>
      <c r="S12" s="46"/>
      <c r="T12" s="39">
        <f t="shared" si="0"/>
        <v>3</v>
      </c>
      <c r="U12" s="47">
        <f t="shared" si="1"/>
        <v>0.4512199231245051</v>
      </c>
      <c r="V12" s="48">
        <f t="shared" si="2"/>
        <v>-37373</v>
      </c>
      <c r="W12" s="49">
        <f t="shared" si="3"/>
        <v>0.1504066410415017</v>
      </c>
      <c r="X12" s="44">
        <f t="shared" si="4"/>
        <v>115269.48083044311</v>
      </c>
      <c r="Y12" s="44">
        <f t="shared" si="5"/>
        <v>15981</v>
      </c>
      <c r="Z12" s="44">
        <f t="shared" si="6"/>
        <v>154374.15465474626</v>
      </c>
      <c r="AA12" s="50">
        <f t="shared" si="7"/>
        <v>152642.48083044309</v>
      </c>
      <c r="AB12" s="51">
        <f t="shared" si="8"/>
        <v>144315.37314643944</v>
      </c>
      <c r="AC12" s="44">
        <f t="shared" si="9"/>
        <v>142696.53251420311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2.6658883639788167</v>
      </c>
      <c r="AG12" s="44">
        <f t="shared" si="11"/>
        <v>333185.39361843647</v>
      </c>
      <c r="AH12" s="52">
        <f>HLOOKUP(I12,GasAvoidedCostsWOCC!$A$5:$Q$50,T12+1,FALSE)</f>
        <v>2.6658883639788167</v>
      </c>
      <c r="AI12" s="44">
        <f t="shared" si="12"/>
        <v>57028.683882234844</v>
      </c>
      <c r="AJ12" s="44">
        <f t="shared" si="13"/>
        <v>390214.07750067132</v>
      </c>
      <c r="AK12" s="44">
        <f>HLOOKUP(I12,GasAvoidedCostsWOCC!$A$5:$Q$50,G12+1,FALSE)*J12*L12</f>
        <v>57028.683882234844</v>
      </c>
      <c r="AL12" s="44">
        <f t="shared" si="14"/>
        <v>333185.39361843647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333185.39361843647</v>
      </c>
      <c r="AN12" s="48">
        <f t="shared" si="15"/>
        <v>366503.93298028014</v>
      </c>
      <c r="AO12" s="47">
        <f t="shared" si="16"/>
        <v>2.3087311237476218</v>
      </c>
      <c r="AP12" s="47">
        <f t="shared" si="17"/>
        <v>2.5684151291048414</v>
      </c>
      <c r="AQ12">
        <v>2020</v>
      </c>
    </row>
    <row r="13" spans="1:43" ht="13.5" customHeight="1">
      <c r="A13" s="56" t="s">
        <v>252</v>
      </c>
      <c r="B13" s="97" t="s">
        <v>112</v>
      </c>
      <c r="C13" s="100">
        <v>18230691</v>
      </c>
      <c r="D13" s="100" t="s">
        <v>113</v>
      </c>
      <c r="E13" s="38" t="s">
        <v>1058</v>
      </c>
      <c r="F13" s="39" t="s">
        <v>1059</v>
      </c>
      <c r="G13" s="39">
        <v>3</v>
      </c>
      <c r="H13" s="39"/>
      <c r="I13" s="40" t="s">
        <v>261</v>
      </c>
      <c r="J13" s="41">
        <v>1</v>
      </c>
      <c r="K13" s="41">
        <v>4812</v>
      </c>
      <c r="L13" s="41">
        <v>842</v>
      </c>
      <c r="M13" s="42">
        <v>1395</v>
      </c>
      <c r="N13" s="42"/>
      <c r="O13" s="43">
        <v>4812</v>
      </c>
      <c r="P13" s="44">
        <v>842</v>
      </c>
      <c r="Q13" s="44">
        <v>1395</v>
      </c>
      <c r="R13" s="45"/>
      <c r="S13" s="46"/>
      <c r="T13" s="39">
        <f t="shared" si="0"/>
        <v>3</v>
      </c>
      <c r="U13" s="47">
        <f t="shared" si="1"/>
        <v>1.7372802826630597E-2</v>
      </c>
      <c r="V13" s="48">
        <f t="shared" si="2"/>
        <v>-1395</v>
      </c>
      <c r="W13" s="49">
        <f t="shared" si="3"/>
        <v>5.7909342755435318E-3</v>
      </c>
      <c r="X13" s="44">
        <f t="shared" si="4"/>
        <v>4438.0885235043106</v>
      </c>
      <c r="Y13" s="44">
        <f t="shared" si="5"/>
        <v>553</v>
      </c>
      <c r="Z13" s="44">
        <f t="shared" si="6"/>
        <v>5943.6908986057006</v>
      </c>
      <c r="AA13" s="50">
        <f t="shared" si="7"/>
        <v>5833.0885235043106</v>
      </c>
      <c r="AB13" s="51">
        <f t="shared" si="8"/>
        <v>5556.4091788405158</v>
      </c>
      <c r="AC13" s="44">
        <f t="shared" si="9"/>
        <v>5453.0134836910447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2.6658883639788167</v>
      </c>
      <c r="AG13" s="44">
        <f t="shared" si="11"/>
        <v>12828.254807466066</v>
      </c>
      <c r="AH13" s="52">
        <f>HLOOKUP(I13,GasAvoidedCostsWOCC!$A$5:$Q$50,T13+1,FALSE)</f>
        <v>2.6658883639788167</v>
      </c>
      <c r="AI13" s="44">
        <f t="shared" si="12"/>
        <v>2244.6780024701638</v>
      </c>
      <c r="AJ13" s="44">
        <f t="shared" si="13"/>
        <v>15072.93280993623</v>
      </c>
      <c r="AK13" s="44">
        <f>HLOOKUP(I13,GasAvoidedCostsWOCC!$A$5:$Q$50,G13+1,FALSE)*J13*L13</f>
        <v>2244.6780024701638</v>
      </c>
      <c r="AL13" s="44">
        <f t="shared" si="14"/>
        <v>12828.254807466066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12828.254807466066</v>
      </c>
      <c r="AN13" s="48">
        <f t="shared" si="15"/>
        <v>14111.080288212674</v>
      </c>
      <c r="AO13" s="47">
        <f t="shared" si="16"/>
        <v>2.3087311237476222</v>
      </c>
      <c r="AP13" s="47">
        <f t="shared" si="17"/>
        <v>2.5877581873612283</v>
      </c>
      <c r="AQ13">
        <v>2020</v>
      </c>
    </row>
    <row r="14" spans="1:43" ht="13.5" customHeight="1">
      <c r="A14" s="55">
        <f>SUM(Y5:Y1000)</f>
        <v>94939</v>
      </c>
      <c r="B14" s="97" t="s">
        <v>112</v>
      </c>
      <c r="C14" s="100">
        <v>18230691</v>
      </c>
      <c r="D14" s="100" t="s">
        <v>113</v>
      </c>
      <c r="E14" s="38" t="s">
        <v>1060</v>
      </c>
      <c r="F14" s="39" t="s">
        <v>1061</v>
      </c>
      <c r="G14" s="39">
        <v>3</v>
      </c>
      <c r="H14" s="39"/>
      <c r="I14" s="40" t="s">
        <v>261</v>
      </c>
      <c r="J14" s="41">
        <v>1</v>
      </c>
      <c r="K14" s="41">
        <v>23031</v>
      </c>
      <c r="L14" s="41">
        <v>3771</v>
      </c>
      <c r="M14" s="42">
        <v>6679</v>
      </c>
      <c r="N14" s="42"/>
      <c r="O14" s="43">
        <v>23031</v>
      </c>
      <c r="P14" s="44">
        <v>3771</v>
      </c>
      <c r="Q14" s="44">
        <v>6679</v>
      </c>
      <c r="R14" s="45"/>
      <c r="S14" s="46"/>
      <c r="T14" s="39">
        <f t="shared" si="0"/>
        <v>3</v>
      </c>
      <c r="U14" s="47">
        <f t="shared" si="1"/>
        <v>8.3149007044914638E-2</v>
      </c>
      <c r="V14" s="48">
        <f t="shared" si="2"/>
        <v>-6679</v>
      </c>
      <c r="W14" s="49">
        <f t="shared" si="3"/>
        <v>2.7716335681638213E-2</v>
      </c>
      <c r="X14" s="44">
        <f t="shared" si="4"/>
        <v>21241.399996847002</v>
      </c>
      <c r="Y14" s="44">
        <f t="shared" si="5"/>
        <v>2908</v>
      </c>
      <c r="Z14" s="44">
        <f t="shared" si="6"/>
        <v>28447.453259723166</v>
      </c>
      <c r="AA14" s="50">
        <f t="shared" si="7"/>
        <v>27920.399996847002</v>
      </c>
      <c r="AB14" s="51">
        <f t="shared" si="8"/>
        <v>26593.861138378204</v>
      </c>
      <c r="AC14" s="44">
        <f t="shared" si="9"/>
        <v>26101.149852152004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2.6658883639788167</v>
      </c>
      <c r="AG14" s="44">
        <f t="shared" si="11"/>
        <v>61398.074910796124</v>
      </c>
      <c r="AH14" s="52">
        <f>HLOOKUP(I14,GasAvoidedCostsWOCC!$A$5:$Q$50,T14+1,FALSE)</f>
        <v>2.6658883639788167</v>
      </c>
      <c r="AI14" s="44">
        <f t="shared" si="12"/>
        <v>10053.065020564118</v>
      </c>
      <c r="AJ14" s="44">
        <f t="shared" si="13"/>
        <v>71451.139931360245</v>
      </c>
      <c r="AK14" s="44">
        <f>HLOOKUP(I14,GasAvoidedCostsWOCC!$A$5:$Q$50,G14+1,FALSE)*J14*L14</f>
        <v>10053.065020564118</v>
      </c>
      <c r="AL14" s="44">
        <f t="shared" si="14"/>
        <v>61398.074910796131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61398.074910796124</v>
      </c>
      <c r="AN14" s="48">
        <f t="shared" si="15"/>
        <v>67537.882401875744</v>
      </c>
      <c r="AO14" s="47">
        <f t="shared" si="16"/>
        <v>2.3087311237476218</v>
      </c>
      <c r="AP14" s="47">
        <f t="shared" si="17"/>
        <v>2.5875443336572905</v>
      </c>
      <c r="AQ14">
        <v>2020</v>
      </c>
    </row>
    <row r="15" spans="1:43" ht="13.5" customHeight="1">
      <c r="A15" s="57" t="s">
        <v>253</v>
      </c>
      <c r="B15" s="97" t="s">
        <v>112</v>
      </c>
      <c r="C15" s="100">
        <v>18230691</v>
      </c>
      <c r="D15" s="100" t="s">
        <v>113</v>
      </c>
      <c r="E15" s="38" t="s">
        <v>1060</v>
      </c>
      <c r="F15" s="39" t="s">
        <v>1061</v>
      </c>
      <c r="G15" s="39">
        <v>3</v>
      </c>
      <c r="H15" s="39"/>
      <c r="I15" s="40" t="s">
        <v>261</v>
      </c>
      <c r="J15" s="41">
        <v>1</v>
      </c>
      <c r="K15" s="41">
        <v>135765</v>
      </c>
      <c r="L15" s="41">
        <v>24394</v>
      </c>
      <c r="M15" s="42">
        <v>38684</v>
      </c>
      <c r="N15" s="42"/>
      <c r="O15" s="43">
        <v>135765</v>
      </c>
      <c r="P15" s="44">
        <v>24394</v>
      </c>
      <c r="Q15" s="44">
        <v>38684</v>
      </c>
      <c r="R15" s="45"/>
      <c r="S15" s="46"/>
      <c r="T15" s="39">
        <f t="shared" si="0"/>
        <v>3</v>
      </c>
      <c r="U15" s="47">
        <f t="shared" si="1"/>
        <v>0.49015348623389504</v>
      </c>
      <c r="V15" s="48">
        <f t="shared" si="2"/>
        <v>-38684</v>
      </c>
      <c r="W15" s="49">
        <f t="shared" si="3"/>
        <v>0.16338449541129835</v>
      </c>
      <c r="X15" s="44">
        <f t="shared" si="4"/>
        <v>125215.52127879525</v>
      </c>
      <c r="Y15" s="44">
        <f t="shared" si="5"/>
        <v>14290</v>
      </c>
      <c r="Z15" s="44">
        <f t="shared" si="6"/>
        <v>167694.34639426495</v>
      </c>
      <c r="AA15" s="50">
        <f t="shared" si="7"/>
        <v>163899.52127879526</v>
      </c>
      <c r="AB15" s="51">
        <f t="shared" si="8"/>
        <v>156767.64176335884</v>
      </c>
      <c r="AC15" s="44">
        <f t="shared" si="9"/>
        <v>153220.08159184374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2.6658883639788167</v>
      </c>
      <c r="AG15" s="44">
        <f t="shared" si="11"/>
        <v>361934.33373558405</v>
      </c>
      <c r="AH15" s="52">
        <f>HLOOKUP(I15,GasAvoidedCostsWOCC!$A$5:$Q$50,T15+1,FALSE)</f>
        <v>2.6658883639788167</v>
      </c>
      <c r="AI15" s="44">
        <f t="shared" si="12"/>
        <v>65031.680750899257</v>
      </c>
      <c r="AJ15" s="44">
        <f t="shared" si="13"/>
        <v>426966.0144864833</v>
      </c>
      <c r="AK15" s="44">
        <f>HLOOKUP(I15,GasAvoidedCostsWOCC!$A$5:$Q$50,G15+1,FALSE)*J15*L15</f>
        <v>65031.680750899257</v>
      </c>
      <c r="AL15" s="44">
        <f t="shared" si="14"/>
        <v>361934.33373558405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361934.33373558405</v>
      </c>
      <c r="AN15" s="48">
        <f t="shared" si="15"/>
        <v>398127.7671091425</v>
      </c>
      <c r="AO15" s="47">
        <f t="shared" si="16"/>
        <v>2.3087311237476218</v>
      </c>
      <c r="AP15" s="47">
        <f t="shared" si="17"/>
        <v>2.598404614936165</v>
      </c>
      <c r="AQ15">
        <v>2020</v>
      </c>
    </row>
    <row r="16" spans="1:43" ht="13.5" customHeight="1">
      <c r="A16" s="54">
        <f>SUM(U5:U999)</f>
        <v>2.9999999999999996</v>
      </c>
      <c r="B16" s="97" t="s">
        <v>112</v>
      </c>
      <c r="C16" s="100">
        <v>18230691</v>
      </c>
      <c r="D16" s="100" t="s">
        <v>113</v>
      </c>
      <c r="E16" s="38" t="s">
        <v>1066</v>
      </c>
      <c r="F16" s="39" t="s">
        <v>1067</v>
      </c>
      <c r="G16" s="39">
        <v>3</v>
      </c>
      <c r="H16" s="39"/>
      <c r="I16" s="40" t="s">
        <v>261</v>
      </c>
      <c r="J16" s="41">
        <v>1</v>
      </c>
      <c r="K16" s="41">
        <v>19263</v>
      </c>
      <c r="L16" s="41">
        <v>3200</v>
      </c>
      <c r="M16" s="42">
        <v>5586</v>
      </c>
      <c r="N16" s="42"/>
      <c r="O16" s="43">
        <v>19263</v>
      </c>
      <c r="P16" s="44">
        <v>3200</v>
      </c>
      <c r="Q16" s="44">
        <v>5586</v>
      </c>
      <c r="R16" s="45"/>
      <c r="S16" s="46"/>
      <c r="T16" s="39">
        <f t="shared" si="0"/>
        <v>3</v>
      </c>
      <c r="U16" s="47">
        <f t="shared" si="1"/>
        <v>6.954536592879991E-2</v>
      </c>
      <c r="V16" s="48">
        <f t="shared" si="2"/>
        <v>-5586</v>
      </c>
      <c r="W16" s="49">
        <f t="shared" si="3"/>
        <v>2.3181788642933302E-2</v>
      </c>
      <c r="X16" s="44">
        <f t="shared" si="4"/>
        <v>17766.188534551857</v>
      </c>
      <c r="Y16" s="44">
        <f t="shared" si="5"/>
        <v>2386</v>
      </c>
      <c r="Z16" s="44">
        <f t="shared" si="6"/>
        <v>23793.291309194014</v>
      </c>
      <c r="AA16" s="50">
        <f t="shared" si="7"/>
        <v>23352.188534551857</v>
      </c>
      <c r="AB16" s="51">
        <f t="shared" si="8"/>
        <v>22242.957192852213</v>
      </c>
      <c r="AC16" s="44">
        <f t="shared" si="9"/>
        <v>21830.595993785038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2.6658883639788167</v>
      </c>
      <c r="AG16" s="44">
        <f t="shared" si="11"/>
        <v>51353.007555323944</v>
      </c>
      <c r="AH16" s="52">
        <f>HLOOKUP(I16,GasAvoidedCostsWOCC!$A$5:$Q$50,T16+1,FALSE)</f>
        <v>2.6658883639788167</v>
      </c>
      <c r="AI16" s="44">
        <f t="shared" si="12"/>
        <v>8530.8427647322133</v>
      </c>
      <c r="AJ16" s="44">
        <f t="shared" si="13"/>
        <v>59883.850320056154</v>
      </c>
      <c r="AK16" s="44">
        <f>HLOOKUP(I16,GasAvoidedCostsWOCC!$A$5:$Q$50,G16+1,FALSE)*J16*L16</f>
        <v>8530.8427647322133</v>
      </c>
      <c r="AL16" s="44">
        <f t="shared" si="14"/>
        <v>51353.007555323944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51353.007555323944</v>
      </c>
      <c r="AN16" s="48">
        <f t="shared" si="15"/>
        <v>56488.308310856344</v>
      </c>
      <c r="AO16" s="47">
        <f t="shared" si="16"/>
        <v>2.3087311237476222</v>
      </c>
      <c r="AP16" s="47">
        <f t="shared" si="17"/>
        <v>2.5875751778347245</v>
      </c>
      <c r="AQ16">
        <v>2020</v>
      </c>
    </row>
    <row r="17" spans="1:43" ht="13.5" customHeight="1">
      <c r="A17" s="58" t="s">
        <v>254</v>
      </c>
      <c r="B17" s="97" t="s">
        <v>112</v>
      </c>
      <c r="C17" s="100">
        <v>18230691</v>
      </c>
      <c r="D17" s="100" t="s">
        <v>113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  <c r="AQ17">
        <v>2020</v>
      </c>
    </row>
    <row r="18" spans="1:43" ht="13.5" customHeight="1">
      <c r="A18" s="59">
        <f>A6+A8</f>
        <v>1026378.5800000002</v>
      </c>
      <c r="B18" s="97" t="s">
        <v>112</v>
      </c>
      <c r="C18" s="100">
        <v>18230691</v>
      </c>
      <c r="D18" s="100" t="s">
        <v>113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  <c r="AQ18">
        <v>2020</v>
      </c>
    </row>
    <row r="19" spans="1:43" ht="13.5" customHeight="1">
      <c r="A19" s="58" t="s">
        <v>231</v>
      </c>
      <c r="B19" s="97" t="s">
        <v>112</v>
      </c>
      <c r="C19" s="100">
        <v>18230691</v>
      </c>
      <c r="D19" s="100" t="s">
        <v>113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  <c r="AQ19">
        <v>2020</v>
      </c>
    </row>
    <row r="20" spans="1:43" ht="13.5" customHeight="1">
      <c r="A20" s="59">
        <f>A8+SUM(Q5:Q906)</f>
        <v>1004564.5800000002</v>
      </c>
      <c r="B20" s="97" t="s">
        <v>112</v>
      </c>
      <c r="C20" s="100">
        <v>18230691</v>
      </c>
      <c r="D20" s="100" t="s">
        <v>113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  <c r="AQ20">
        <v>2020</v>
      </c>
    </row>
    <row r="21" spans="1:43" ht="13.5" customHeight="1">
      <c r="A21" s="58" t="s">
        <v>245</v>
      </c>
      <c r="B21" s="9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3" ht="13.5" customHeight="1">
      <c r="A22" s="60">
        <f>(SUM(AM5:AM110)/(SUM(AB5:AB110)))</f>
        <v>2.1190459876392582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3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3" ht="13.5" customHeight="1">
      <c r="A24" s="60">
        <f>(SUM(AN5:AN110)/SUM(AC5:AC110))</f>
        <v>2.3815669002809829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3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2" si="19">G25+H25</f>
        <v>0</v>
      </c>
      <c r="U25" s="47">
        <f t="shared" ref="U25:U52" si="20">(O25/$A$10)*T25</f>
        <v>0</v>
      </c>
      <c r="V25" s="48">
        <f t="shared" ref="V25:V52" si="21">N25-M25</f>
        <v>0</v>
      </c>
      <c r="W25" s="49">
        <f t="shared" ref="W25:W52" si="22">(O25/A$10)</f>
        <v>0</v>
      </c>
      <c r="X25" s="44">
        <f t="shared" ref="X25:X52" si="23">W25*A$8</f>
        <v>0</v>
      </c>
      <c r="Y25" s="44">
        <f t="shared" ref="Y25:Y52" si="24">Q25-P25</f>
        <v>0</v>
      </c>
      <c r="Z25" s="44">
        <f t="shared" ref="Z25:Z52" si="25">X25+(A$6*W25)</f>
        <v>0</v>
      </c>
      <c r="AA25" s="50">
        <f t="shared" ref="AA25:AA52" si="26">Q25+X25</f>
        <v>0</v>
      </c>
      <c r="AB25" s="51">
        <f t="shared" ref="AB25:AB52" si="27">Z25/(1+GasDiscountRate)^1</f>
        <v>0</v>
      </c>
      <c r="AC25" s="44">
        <f t="shared" ref="AC25:AC52" si="28">AA25/(1+GasDiscountRate)^1</f>
        <v>0</v>
      </c>
      <c r="AD25" s="44">
        <f t="shared" ref="AD25:AD52" si="29">-PV(GasDiscountRate,T25,R25)*J25</f>
        <v>0</v>
      </c>
      <c r="AE25" s="44">
        <f t="shared" ref="AE25:AE52" si="30">-PV(GasDiscountRate,T25,S25)*J25</f>
        <v>0</v>
      </c>
      <c r="AF25" s="52" t="e">
        <f>HLOOKUP(I25,GasAvoidedCostsWOCC!$A$5:$G$50,G25+1,FALSE)</f>
        <v>#N/A</v>
      </c>
      <c r="AG25" s="44" t="e">
        <f t="shared" ref="AG25:AG52" si="31">AF25*J25*K25</f>
        <v>#N/A</v>
      </c>
      <c r="AH25" s="52" t="e">
        <f>HLOOKUP(I25,GasAvoidedCostsWOCC!$A$5:$Q$50,T25+1,FALSE)</f>
        <v>#N/A</v>
      </c>
      <c r="AI25" s="44" t="e">
        <f t="shared" ref="AI25:AI52" si="32">AH25*J25*L25</f>
        <v>#N/A</v>
      </c>
      <c r="AJ25" s="44" t="e">
        <f t="shared" ref="AJ25:AJ52" si="33">AG25+AI25</f>
        <v>#N/A</v>
      </c>
      <c r="AK25" s="44" t="e">
        <f>HLOOKUP(I25,GasAvoidedCostsWOCC!$A$5:$Q$50,G25+1,FALSE)*J25*L25</f>
        <v>#N/A</v>
      </c>
      <c r="AL25" s="44" t="e">
        <f t="shared" ref="AL25:AL52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52" si="35">AM25*1.1+AD25+AE25</f>
        <v>0</v>
      </c>
      <c r="AO25" s="47">
        <f t="shared" ref="AO25:AO52" si="36">IFERROR(AM25/AB25,0)</f>
        <v>0</v>
      </c>
      <c r="AP25" s="47" t="e">
        <f t="shared" ref="AP25:AP52" si="37">AN25/AC25</f>
        <v>#DIV/0!</v>
      </c>
    </row>
    <row r="26" spans="1:43" ht="13.5" customHeight="1">
      <c r="B26" s="9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9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9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3">
      <c r="B29" s="9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9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9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9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</sheetData>
  <conditionalFormatting sqref="J5:L52">
    <cfRule type="expression" dxfId="49" priority="4">
      <formula>ISTEXT(J5)</formula>
    </cfRule>
    <cfRule type="notContainsBlanks" dxfId="48" priority="5">
      <formula>LEN(TRIM(J5))&gt;0</formula>
    </cfRule>
  </conditionalFormatting>
  <conditionalFormatting sqref="M5:N52 R5:S52">
    <cfRule type="expression" dxfId="47" priority="2">
      <formula>ISTEXT(M5)</formula>
    </cfRule>
  </conditionalFormatting>
  <conditionalFormatting sqref="M5:N52 R5:S52">
    <cfRule type="notContainsBlanks" dxfId="46" priority="3">
      <formula>LEN(TRIM(M5))&gt;0</formula>
    </cfRule>
  </conditionalFormatting>
  <conditionalFormatting sqref="R5:S52">
    <cfRule type="expression" dxfId="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C6" sqref="C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18231039</v>
      </c>
      <c r="D2" s="20" t="s">
        <v>321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112</v>
      </c>
      <c r="C5" s="98">
        <v>18231039</v>
      </c>
      <c r="D5" s="61" t="s">
        <v>321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2854.83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2854.83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2854.83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4" priority="4">
      <formula>ISTEXT(J5)</formula>
    </cfRule>
    <cfRule type="notContainsBlanks" dxfId="43" priority="5">
      <formula>LEN(TRIM(J5))&gt;0</formula>
    </cfRule>
  </conditionalFormatting>
  <conditionalFormatting sqref="M5:N24 R5:S24">
    <cfRule type="expression" dxfId="42" priority="2">
      <formula>ISTEXT(M5)</formula>
    </cfRule>
  </conditionalFormatting>
  <conditionalFormatting sqref="M5:N24 R5:S24">
    <cfRule type="notContainsBlanks" dxfId="41" priority="3">
      <formula>LEN(TRIM(M5))&gt;0</formula>
    </cfRule>
  </conditionalFormatting>
  <conditionalFormatting sqref="R5:S24">
    <cfRule type="expression" dxfId="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98"/>
  <sheetViews>
    <sheetView zoomScale="85" zoomScaleNormal="85" workbookViewId="0">
      <selection activeCell="F16" sqref="F1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18231027</v>
      </c>
      <c r="D2" s="20" t="s">
        <v>164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31</v>
      </c>
      <c r="C5" s="98">
        <v>18231027</v>
      </c>
      <c r="D5" s="61" t="s">
        <v>164</v>
      </c>
      <c r="E5" s="38" t="s">
        <v>1713</v>
      </c>
      <c r="F5" s="39" t="s">
        <v>1714</v>
      </c>
      <c r="G5" s="39">
        <v>0</v>
      </c>
      <c r="H5" s="39"/>
      <c r="I5" s="40"/>
      <c r="J5" s="41">
        <v>2</v>
      </c>
      <c r="K5" s="41">
        <v>0</v>
      </c>
      <c r="L5" s="41"/>
      <c r="M5" s="42">
        <v>50</v>
      </c>
      <c r="N5" s="42">
        <v>50</v>
      </c>
      <c r="O5" s="43">
        <v>0</v>
      </c>
      <c r="P5" s="44">
        <v>100</v>
      </c>
      <c r="Q5" s="44">
        <v>100</v>
      </c>
      <c r="R5" s="45">
        <v>0</v>
      </c>
      <c r="S5" s="46"/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100</v>
      </c>
      <c r="AB5" s="51">
        <f t="shared" ref="AB5:AB24" si="8">Z5/(1+GasDiscountRate)^1</f>
        <v>0</v>
      </c>
      <c r="AC5" s="44">
        <f t="shared" ref="AC5:AC24" si="9">AA5/(1+GasDiscountRate)^1</f>
        <v>93.484154435823115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>
        <f>AN5/AC5</f>
        <v>0</v>
      </c>
      <c r="AQ5">
        <v>2021</v>
      </c>
    </row>
    <row r="6" spans="1:43" ht="13.5" customHeight="1">
      <c r="A6" s="53">
        <f>SUMIF('Program Costs'!D:D,C2,'Program Costs'!L:L)</f>
        <v>774806.11</v>
      </c>
      <c r="B6" s="97" t="s">
        <v>31</v>
      </c>
      <c r="C6" s="98">
        <v>18231027</v>
      </c>
      <c r="D6" s="61" t="s">
        <v>164</v>
      </c>
      <c r="E6" s="38" t="s">
        <v>1715</v>
      </c>
      <c r="F6" s="39" t="s">
        <v>1716</v>
      </c>
      <c r="G6" s="39">
        <v>12</v>
      </c>
      <c r="H6" s="39"/>
      <c r="I6" s="40" t="s">
        <v>258</v>
      </c>
      <c r="J6" s="41">
        <v>13</v>
      </c>
      <c r="K6" s="41">
        <v>798</v>
      </c>
      <c r="L6" s="41"/>
      <c r="M6" s="42">
        <v>2500</v>
      </c>
      <c r="N6" s="42">
        <v>3588</v>
      </c>
      <c r="O6" s="43">
        <v>10374</v>
      </c>
      <c r="P6" s="44">
        <v>32500</v>
      </c>
      <c r="Q6" s="44">
        <v>46644</v>
      </c>
      <c r="R6" s="45">
        <v>5171.0200000000004</v>
      </c>
      <c r="S6" s="46">
        <v>0</v>
      </c>
      <c r="T6" s="39">
        <f t="shared" si="0"/>
        <v>12</v>
      </c>
      <c r="U6" s="47">
        <f t="shared" si="1"/>
        <v>0.53646263550327034</v>
      </c>
      <c r="V6" s="48">
        <f t="shared" si="2"/>
        <v>1088</v>
      </c>
      <c r="W6" s="49">
        <f t="shared" si="3"/>
        <v>4.4705219625272526E-2</v>
      </c>
      <c r="X6" s="44">
        <f t="shared" si="4"/>
        <v>34634.121182000155</v>
      </c>
      <c r="Y6" s="44">
        <f t="shared" si="5"/>
        <v>14144</v>
      </c>
      <c r="Z6" s="44">
        <f t="shared" si="6"/>
        <v>69271.99849655322</v>
      </c>
      <c r="AA6" s="50">
        <f t="shared" si="7"/>
        <v>81278.121182000148</v>
      </c>
      <c r="AB6" s="51">
        <f t="shared" si="8"/>
        <v>64758.342055298883</v>
      </c>
      <c r="AC6" s="44">
        <f t="shared" si="9"/>
        <v>75982.164328316489</v>
      </c>
      <c r="AD6" s="44">
        <f t="shared" si="10"/>
        <v>534787.9830798253</v>
      </c>
      <c r="AE6" s="44">
        <v>0</v>
      </c>
      <c r="AF6" s="52">
        <f>HLOOKUP(I6,GasAvoidedCostsWOCC!$A$5:$G$50,G6+1,FALSE)</f>
        <v>8.327477491955495</v>
      </c>
      <c r="AG6" s="44">
        <f t="shared" si="11"/>
        <v>86389.2515015463</v>
      </c>
      <c r="AH6" s="52">
        <f>HLOOKUP(I6,GasAvoidedCostsWOCC!$A$5:$Q$50,T6+1,FALSE)</f>
        <v>8.327477491955495</v>
      </c>
      <c r="AI6" s="44">
        <f t="shared" si="12"/>
        <v>0</v>
      </c>
      <c r="AJ6" s="44">
        <f t="shared" ref="AJ6:AJ24" si="13">AG6+AI6</f>
        <v>86389.2515015463</v>
      </c>
      <c r="AK6" s="44">
        <f>HLOOKUP(I6,GasAvoidedCostsWOCC!$A$5:$Q$50,G6+1,FALSE)*J6*L6</f>
        <v>0</v>
      </c>
      <c r="AL6" s="44">
        <f t="shared" ref="AL6:AL24" si="14">AG6+AI6-AK6</f>
        <v>86389.2515015463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86389.251501546314</v>
      </c>
      <c r="AN6" s="48">
        <f t="shared" ref="AN6:AN24" si="15">AM6*1.1+AD6+AE6</f>
        <v>629816.15973152628</v>
      </c>
      <c r="AO6" s="47">
        <f t="shared" ref="AO6:AO24" si="16">IFERROR(AM6/AB6,0)</f>
        <v>1.3340250654931254</v>
      </c>
      <c r="AP6" s="47">
        <f t="shared" ref="AP6:AP24" si="17">AN6/AC6</f>
        <v>8.2889999949213209</v>
      </c>
      <c r="AQ6">
        <v>2021</v>
      </c>
    </row>
    <row r="7" spans="1:43" ht="13.5" customHeight="1">
      <c r="A7" s="36" t="s">
        <v>249</v>
      </c>
      <c r="B7" s="97" t="s">
        <v>31</v>
      </c>
      <c r="C7" s="98">
        <v>18231027</v>
      </c>
      <c r="D7" s="61" t="s">
        <v>164</v>
      </c>
      <c r="E7" s="38" t="s">
        <v>1717</v>
      </c>
      <c r="F7" s="39" t="s">
        <v>1716</v>
      </c>
      <c r="G7" s="39">
        <v>12</v>
      </c>
      <c r="H7" s="39"/>
      <c r="I7" s="40" t="s">
        <v>258</v>
      </c>
      <c r="J7" s="41">
        <v>6</v>
      </c>
      <c r="K7" s="41">
        <v>1021</v>
      </c>
      <c r="L7" s="41"/>
      <c r="M7" s="42">
        <v>2500</v>
      </c>
      <c r="N7" s="42">
        <v>2531</v>
      </c>
      <c r="O7" s="43">
        <v>6126</v>
      </c>
      <c r="P7" s="44">
        <v>15000</v>
      </c>
      <c r="Q7" s="44">
        <v>15186</v>
      </c>
      <c r="R7" s="45">
        <v>1183.3900000000001</v>
      </c>
      <c r="S7" s="46">
        <v>0</v>
      </c>
      <c r="T7" s="39">
        <f t="shared" si="0"/>
        <v>12</v>
      </c>
      <c r="U7" s="47">
        <f t="shared" si="1"/>
        <v>0.31678909823530299</v>
      </c>
      <c r="V7" s="48">
        <f t="shared" si="2"/>
        <v>31</v>
      </c>
      <c r="W7" s="49">
        <f t="shared" si="3"/>
        <v>2.6399091519608585E-2</v>
      </c>
      <c r="X7" s="44">
        <f t="shared" si="4"/>
        <v>20451.959356172443</v>
      </c>
      <c r="Y7" s="44">
        <f t="shared" si="5"/>
        <v>186</v>
      </c>
      <c r="Z7" s="44">
        <f t="shared" si="6"/>
        <v>40906.136764014358</v>
      </c>
      <c r="AA7" s="50">
        <f t="shared" si="7"/>
        <v>35637.959356172447</v>
      </c>
      <c r="AB7" s="51">
        <f t="shared" si="8"/>
        <v>38240.7560662002</v>
      </c>
      <c r="AC7" s="44">
        <f t="shared" si="9"/>
        <v>33315.844962300122</v>
      </c>
      <c r="AD7" s="44">
        <f t="shared" si="10"/>
        <v>56486.051223653936</v>
      </c>
      <c r="AE7" s="44">
        <v>0</v>
      </c>
      <c r="AF7" s="52">
        <f>HLOOKUP(I7,GasAvoidedCostsWOCC!$A$5:$G$50,G7+1,FALSE)</f>
        <v>8.327477491955495</v>
      </c>
      <c r="AG7" s="44">
        <f t="shared" si="11"/>
        <v>51014.127115719362</v>
      </c>
      <c r="AH7" s="52">
        <f>HLOOKUP(I7,GasAvoidedCostsWOCC!$A$5:$Q$50,T7+1,FALSE)</f>
        <v>8.327477491955495</v>
      </c>
      <c r="AI7" s="44">
        <f t="shared" si="12"/>
        <v>0</v>
      </c>
      <c r="AJ7" s="44">
        <f t="shared" si="13"/>
        <v>51014.127115719362</v>
      </c>
      <c r="AK7" s="44">
        <f>HLOOKUP(I7,GasAvoidedCostsWOCC!$A$5:$Q$50,G7+1,FALSE)*J7*L7</f>
        <v>0</v>
      </c>
      <c r="AL7" s="44">
        <f t="shared" si="14"/>
        <v>51014.127115719362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51014.127115719362</v>
      </c>
      <c r="AN7" s="48">
        <f t="shared" si="15"/>
        <v>112601.59105094524</v>
      </c>
      <c r="AO7" s="47">
        <f t="shared" si="16"/>
        <v>1.3340250654931256</v>
      </c>
      <c r="AP7" s="47">
        <f t="shared" si="17"/>
        <v>3.3798209584167558</v>
      </c>
      <c r="AQ7">
        <v>2021</v>
      </c>
    </row>
    <row r="8" spans="1:43" ht="13.5" customHeight="1">
      <c r="A8" s="53">
        <f>SUMIF('Program Costs'!D:D,C2,'Program Costs'!O:O)</f>
        <v>774722.0900000002</v>
      </c>
      <c r="B8" s="97" t="s">
        <v>31</v>
      </c>
      <c r="C8" s="98">
        <v>18231027</v>
      </c>
      <c r="D8" s="61" t="s">
        <v>164</v>
      </c>
      <c r="E8" s="38" t="s">
        <v>1718</v>
      </c>
      <c r="F8" s="39" t="s">
        <v>1719</v>
      </c>
      <c r="G8" s="39">
        <v>12</v>
      </c>
      <c r="H8" s="39"/>
      <c r="I8" s="40" t="s">
        <v>258</v>
      </c>
      <c r="J8" s="41">
        <v>2</v>
      </c>
      <c r="K8" s="41">
        <v>1971</v>
      </c>
      <c r="L8" s="41"/>
      <c r="M8" s="42">
        <v>7000</v>
      </c>
      <c r="N8" s="42">
        <v>7890</v>
      </c>
      <c r="O8" s="43">
        <v>3942</v>
      </c>
      <c r="P8" s="44">
        <v>14000</v>
      </c>
      <c r="Q8" s="44">
        <v>15780</v>
      </c>
      <c r="R8" s="45">
        <v>3944.64</v>
      </c>
      <c r="S8" s="46">
        <v>0</v>
      </c>
      <c r="T8" s="39">
        <f t="shared" si="0"/>
        <v>12</v>
      </c>
      <c r="U8" s="47">
        <f t="shared" si="1"/>
        <v>0.20384959602408823</v>
      </c>
      <c r="V8" s="48">
        <f t="shared" si="2"/>
        <v>890</v>
      </c>
      <c r="W8" s="49">
        <f t="shared" si="3"/>
        <v>1.6987466335340685E-2</v>
      </c>
      <c r="X8" s="44">
        <f t="shared" si="4"/>
        <v>13160.56542311978</v>
      </c>
      <c r="Y8" s="44">
        <f t="shared" si="5"/>
        <v>1780</v>
      </c>
      <c r="Z8" s="44">
        <f t="shared" si="6"/>
        <v>26322.558133161052</v>
      </c>
      <c r="AA8" s="50">
        <f t="shared" si="7"/>
        <v>28940.56542311978</v>
      </c>
      <c r="AB8" s="51">
        <f t="shared" si="8"/>
        <v>24607.420896663596</v>
      </c>
      <c r="AC8" s="44">
        <f t="shared" si="9"/>
        <v>27054.842874749724</v>
      </c>
      <c r="AD8" s="44">
        <f t="shared" si="10"/>
        <v>62762.385209405249</v>
      </c>
      <c r="AE8" s="44">
        <v>0</v>
      </c>
      <c r="AF8" s="52">
        <f>HLOOKUP(I8,GasAvoidedCostsWOCC!$A$5:$G$50,G8+1,FALSE)</f>
        <v>8.327477491955495</v>
      </c>
      <c r="AG8" s="44">
        <f t="shared" si="11"/>
        <v>32826.91627328856</v>
      </c>
      <c r="AH8" s="52">
        <f>HLOOKUP(I8,GasAvoidedCostsWOCC!$A$5:$Q$50,T8+1,FALSE)</f>
        <v>8.327477491955495</v>
      </c>
      <c r="AI8" s="44">
        <f t="shared" si="12"/>
        <v>0</v>
      </c>
      <c r="AJ8" s="44">
        <f t="shared" si="13"/>
        <v>32826.91627328856</v>
      </c>
      <c r="AK8" s="44">
        <f>HLOOKUP(I8,GasAvoidedCostsWOCC!$A$5:$Q$50,G8+1,FALSE)*J8*L8</f>
        <v>0</v>
      </c>
      <c r="AL8" s="44">
        <f t="shared" si="14"/>
        <v>32826.91627328856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32826.91627328856</v>
      </c>
      <c r="AN8" s="48">
        <f t="shared" si="15"/>
        <v>98871.993110022668</v>
      </c>
      <c r="AO8" s="47">
        <f t="shared" si="16"/>
        <v>1.3340250654931256</v>
      </c>
      <c r="AP8" s="47">
        <f t="shared" si="17"/>
        <v>3.654502580841076</v>
      </c>
      <c r="AQ8">
        <v>2021</v>
      </c>
    </row>
    <row r="9" spans="1:43" ht="13.5" customHeight="1">
      <c r="A9" s="36" t="s">
        <v>303</v>
      </c>
      <c r="B9" s="97" t="s">
        <v>31</v>
      </c>
      <c r="C9" s="98">
        <v>18231027</v>
      </c>
      <c r="D9" s="61" t="s">
        <v>164</v>
      </c>
      <c r="E9" s="38" t="s">
        <v>1720</v>
      </c>
      <c r="F9" s="39" t="s">
        <v>1721</v>
      </c>
      <c r="G9" s="39">
        <v>12</v>
      </c>
      <c r="H9" s="39"/>
      <c r="I9" s="40" t="s">
        <v>258</v>
      </c>
      <c r="J9" s="41">
        <v>1</v>
      </c>
      <c r="K9" s="41">
        <v>1434</v>
      </c>
      <c r="L9" s="41"/>
      <c r="M9" s="42">
        <v>3000</v>
      </c>
      <c r="N9" s="42">
        <v>3361</v>
      </c>
      <c r="O9" s="43">
        <v>1434</v>
      </c>
      <c r="P9" s="44">
        <v>3000</v>
      </c>
      <c r="Q9" s="44">
        <v>3361</v>
      </c>
      <c r="R9" s="45">
        <v>1972.32</v>
      </c>
      <c r="S9" s="46">
        <v>0</v>
      </c>
      <c r="T9" s="39">
        <f t="shared" si="0"/>
        <v>12</v>
      </c>
      <c r="U9" s="47">
        <f t="shared" si="1"/>
        <v>7.4155332495825094E-2</v>
      </c>
      <c r="V9" s="48">
        <f t="shared" si="2"/>
        <v>361</v>
      </c>
      <c r="W9" s="49">
        <f t="shared" si="3"/>
        <v>6.1796110413187581E-3</v>
      </c>
      <c r="X9" s="44">
        <f t="shared" si="4"/>
        <v>4787.4811813175456</v>
      </c>
      <c r="Y9" s="44">
        <f t="shared" si="5"/>
        <v>361</v>
      </c>
      <c r="Z9" s="44">
        <f t="shared" si="6"/>
        <v>9575.4815735547818</v>
      </c>
      <c r="AA9" s="50">
        <f t="shared" si="7"/>
        <v>8148.4811813175456</v>
      </c>
      <c r="AB9" s="51">
        <f t="shared" si="8"/>
        <v>8951.5579821957381</v>
      </c>
      <c r="AC9" s="44">
        <f t="shared" si="9"/>
        <v>7617.5387317168788</v>
      </c>
      <c r="AD9" s="44">
        <f t="shared" si="10"/>
        <v>15690.596302351312</v>
      </c>
      <c r="AE9" s="44">
        <f t="shared" ref="AE9:AE24" si="18">-PV(GasDiscountRate,T9,S9)*J9</f>
        <v>0</v>
      </c>
      <c r="AF9" s="52">
        <f>HLOOKUP(I9,GasAvoidedCostsWOCC!$A$5:$G$50,G9+1,FALSE)</f>
        <v>8.327477491955495</v>
      </c>
      <c r="AG9" s="44">
        <f t="shared" si="11"/>
        <v>11941.602723464181</v>
      </c>
      <c r="AH9" s="52">
        <f>HLOOKUP(I9,GasAvoidedCostsWOCC!$A$5:$Q$50,T9+1,FALSE)</f>
        <v>8.327477491955495</v>
      </c>
      <c r="AI9" s="44">
        <f t="shared" si="12"/>
        <v>0</v>
      </c>
      <c r="AJ9" s="44">
        <f t="shared" si="13"/>
        <v>11941.602723464181</v>
      </c>
      <c r="AK9" s="44">
        <f>HLOOKUP(I9,GasAvoidedCostsWOCC!$A$5:$Q$50,G9+1,FALSE)*J9*L9</f>
        <v>0</v>
      </c>
      <c r="AL9" s="44">
        <f t="shared" si="14"/>
        <v>11941.602723464181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11941.602723464181</v>
      </c>
      <c r="AN9" s="48">
        <f t="shared" si="15"/>
        <v>28826.359298161911</v>
      </c>
      <c r="AO9" s="47">
        <f t="shared" si="16"/>
        <v>1.3340250654931256</v>
      </c>
      <c r="AP9" s="47">
        <f t="shared" si="17"/>
        <v>3.7842090881846926</v>
      </c>
      <c r="AQ9">
        <v>2021</v>
      </c>
    </row>
    <row r="10" spans="1:43" ht="13.5" customHeight="1">
      <c r="A10" s="54">
        <f>SUM(O5:O999)</f>
        <v>232053.44</v>
      </c>
      <c r="B10" s="97" t="s">
        <v>31</v>
      </c>
      <c r="C10" s="98">
        <v>18231027</v>
      </c>
      <c r="D10" s="61" t="s">
        <v>164</v>
      </c>
      <c r="E10" s="38" t="s">
        <v>1722</v>
      </c>
      <c r="F10" s="39" t="s">
        <v>1723</v>
      </c>
      <c r="G10" s="39">
        <v>15</v>
      </c>
      <c r="H10" s="39"/>
      <c r="I10" s="40" t="s">
        <v>255</v>
      </c>
      <c r="J10" s="41">
        <v>1</v>
      </c>
      <c r="K10" s="41">
        <v>599</v>
      </c>
      <c r="L10" s="41"/>
      <c r="M10" s="42">
        <v>750</v>
      </c>
      <c r="N10" s="42">
        <v>2659</v>
      </c>
      <c r="O10" s="43">
        <v>599</v>
      </c>
      <c r="P10" s="44">
        <v>750</v>
      </c>
      <c r="Q10" s="44">
        <v>2659</v>
      </c>
      <c r="R10" s="45">
        <v>9597.84</v>
      </c>
      <c r="S10" s="46"/>
      <c r="T10" s="39">
        <f t="shared" si="0"/>
        <v>15</v>
      </c>
      <c r="U10" s="47">
        <f t="shared" si="1"/>
        <v>3.8719529432530715E-2</v>
      </c>
      <c r="V10" s="48">
        <f t="shared" si="2"/>
        <v>1909</v>
      </c>
      <c r="W10" s="49">
        <f t="shared" si="3"/>
        <v>2.5813019621687143E-3</v>
      </c>
      <c r="X10" s="44">
        <f t="shared" si="4"/>
        <v>1999.7916510524478</v>
      </c>
      <c r="Y10" s="44">
        <f t="shared" si="5"/>
        <v>1909</v>
      </c>
      <c r="Z10" s="44">
        <f t="shared" si="6"/>
        <v>3999.8001830957564</v>
      </c>
      <c r="AA10" s="50">
        <f t="shared" si="7"/>
        <v>4658.7916510524483</v>
      </c>
      <c r="AB10" s="51">
        <f t="shared" si="8"/>
        <v>3739.1793802895727</v>
      </c>
      <c r="AC10" s="44">
        <f t="shared" si="9"/>
        <v>4355.2319819131044</v>
      </c>
      <c r="AD10" s="44">
        <f t="shared" si="10"/>
        <v>87582.183435603903</v>
      </c>
      <c r="AE10" s="44">
        <f t="shared" si="18"/>
        <v>0</v>
      </c>
      <c r="AF10" s="52">
        <f>HLOOKUP(I10,GasAvoidedCostsWOCC!$A$5:$G$50,G10+1,FALSE)</f>
        <v>10.143887193159781</v>
      </c>
      <c r="AG10" s="44">
        <f t="shared" si="11"/>
        <v>6076.1884287027087</v>
      </c>
      <c r="AH10" s="52">
        <f>HLOOKUP(I10,GasAvoidedCostsWOCC!$A$5:$Q$50,T10+1,FALSE)</f>
        <v>10.143887193159781</v>
      </c>
      <c r="AI10" s="44">
        <f t="shared" si="12"/>
        <v>0</v>
      </c>
      <c r="AJ10" s="44">
        <f t="shared" si="13"/>
        <v>6076.1884287027087</v>
      </c>
      <c r="AK10" s="44">
        <f>HLOOKUP(I10,GasAvoidedCostsWOCC!$A$5:$Q$50,G10+1,FALSE)*J10*L10</f>
        <v>0</v>
      </c>
      <c r="AL10" s="44">
        <f t="shared" si="14"/>
        <v>6076.1884287027087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6076.1884287027087</v>
      </c>
      <c r="AN10" s="48">
        <f t="shared" si="15"/>
        <v>94265.990707176883</v>
      </c>
      <c r="AO10" s="47">
        <f t="shared" si="16"/>
        <v>1.6250058664562252</v>
      </c>
      <c r="AP10" s="47">
        <f t="shared" si="17"/>
        <v>21.644309900977781</v>
      </c>
      <c r="AQ10">
        <v>2021</v>
      </c>
    </row>
    <row r="11" spans="1:43" ht="13.5" customHeight="1">
      <c r="A11" s="36" t="s">
        <v>251</v>
      </c>
      <c r="B11" s="97" t="s">
        <v>31</v>
      </c>
      <c r="C11" s="98">
        <v>18231027</v>
      </c>
      <c r="D11" s="61" t="s">
        <v>164</v>
      </c>
      <c r="E11" s="38" t="s">
        <v>1145</v>
      </c>
      <c r="F11" s="39" t="s">
        <v>1146</v>
      </c>
      <c r="G11" s="39">
        <v>10</v>
      </c>
      <c r="H11" s="39"/>
      <c r="I11" s="40" t="s">
        <v>255</v>
      </c>
      <c r="J11" s="41">
        <v>1</v>
      </c>
      <c r="K11" s="41">
        <v>40</v>
      </c>
      <c r="L11" s="41"/>
      <c r="M11" s="42">
        <v>0</v>
      </c>
      <c r="N11" s="42">
        <v>57</v>
      </c>
      <c r="O11" s="43">
        <v>40</v>
      </c>
      <c r="P11" s="44">
        <v>0</v>
      </c>
      <c r="Q11" s="44">
        <v>57</v>
      </c>
      <c r="R11" s="45">
        <v>479.68</v>
      </c>
      <c r="S11" s="46">
        <v>0</v>
      </c>
      <c r="T11" s="39">
        <f t="shared" si="0"/>
        <v>10</v>
      </c>
      <c r="U11" s="47">
        <f t="shared" si="1"/>
        <v>1.7237408762395419E-3</v>
      </c>
      <c r="V11" s="48">
        <f t="shared" si="2"/>
        <v>57</v>
      </c>
      <c r="W11" s="49">
        <f t="shared" si="3"/>
        <v>1.7237408762395419E-4</v>
      </c>
      <c r="X11" s="44">
        <f t="shared" si="4"/>
        <v>133.54201342587297</v>
      </c>
      <c r="Y11" s="44">
        <f t="shared" si="5"/>
        <v>57</v>
      </c>
      <c r="Z11" s="44">
        <f t="shared" si="6"/>
        <v>267.09850972258806</v>
      </c>
      <c r="AA11" s="50">
        <f t="shared" si="7"/>
        <v>190.54201342587297</v>
      </c>
      <c r="AB11" s="51">
        <f t="shared" si="8"/>
        <v>249.69478332484624</v>
      </c>
      <c r="AC11" s="44">
        <f t="shared" si="9"/>
        <v>178.12659009616991</v>
      </c>
      <c r="AD11" s="44">
        <f t="shared" si="10"/>
        <v>3373.748616335276</v>
      </c>
      <c r="AE11" s="44">
        <f t="shared" si="18"/>
        <v>0</v>
      </c>
      <c r="AF11" s="52">
        <f>HLOOKUP(I11,GasAvoidedCostsWOCC!$A$5:$G$50,G11+1,FALSE)</f>
        <v>7.0926897466576637</v>
      </c>
      <c r="AG11" s="44">
        <f t="shared" si="11"/>
        <v>283.70758986630653</v>
      </c>
      <c r="AH11" s="52">
        <f>HLOOKUP(I11,GasAvoidedCostsWOCC!$A$5:$Q$50,T11+1,FALSE)</f>
        <v>7.0926897466576637</v>
      </c>
      <c r="AI11" s="44">
        <f t="shared" si="12"/>
        <v>0</v>
      </c>
      <c r="AJ11" s="44">
        <f t="shared" si="13"/>
        <v>283.70758986630653</v>
      </c>
      <c r="AK11" s="44">
        <f>HLOOKUP(I11,GasAvoidedCostsWOCC!$A$5:$Q$50,G11+1,FALSE)*J11*L11</f>
        <v>0</v>
      </c>
      <c r="AL11" s="44">
        <f t="shared" si="14"/>
        <v>283.70758986630653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283.70758986630653</v>
      </c>
      <c r="AN11" s="48">
        <f t="shared" si="15"/>
        <v>3685.8269651882133</v>
      </c>
      <c r="AO11" s="47">
        <f t="shared" si="16"/>
        <v>1.1362175296117842</v>
      </c>
      <c r="AP11" s="47">
        <f t="shared" si="17"/>
        <v>20.692177193748829</v>
      </c>
      <c r="AQ11">
        <v>2021</v>
      </c>
    </row>
    <row r="12" spans="1:43" ht="13.5" customHeight="1">
      <c r="A12" s="55">
        <f>SUM(P5:P1000)</f>
        <v>515935</v>
      </c>
      <c r="B12" s="97" t="s">
        <v>31</v>
      </c>
      <c r="C12" s="98">
        <v>18231027</v>
      </c>
      <c r="D12" s="61" t="s">
        <v>164</v>
      </c>
      <c r="E12" s="38" t="s">
        <v>1724</v>
      </c>
      <c r="F12" s="39" t="s">
        <v>1725</v>
      </c>
      <c r="G12" s="39">
        <v>10</v>
      </c>
      <c r="H12" s="39"/>
      <c r="I12" s="40" t="s">
        <v>255</v>
      </c>
      <c r="J12" s="41">
        <v>1</v>
      </c>
      <c r="K12" s="41">
        <v>94</v>
      </c>
      <c r="L12" s="41"/>
      <c r="M12" s="42">
        <v>150</v>
      </c>
      <c r="N12" s="42">
        <v>232</v>
      </c>
      <c r="O12" s="43">
        <v>94</v>
      </c>
      <c r="P12" s="44">
        <v>150</v>
      </c>
      <c r="Q12" s="44">
        <v>232</v>
      </c>
      <c r="R12" s="45">
        <v>1126.21</v>
      </c>
      <c r="S12" s="46"/>
      <c r="T12" s="39">
        <f t="shared" si="0"/>
        <v>10</v>
      </c>
      <c r="U12" s="47">
        <f t="shared" si="1"/>
        <v>4.0507910591629235E-3</v>
      </c>
      <c r="V12" s="48">
        <f t="shared" si="2"/>
        <v>82</v>
      </c>
      <c r="W12" s="49">
        <f t="shared" si="3"/>
        <v>4.0507910591629237E-4</v>
      </c>
      <c r="X12" s="44">
        <f t="shared" si="4"/>
        <v>313.82373155080148</v>
      </c>
      <c r="Y12" s="44">
        <f t="shared" si="5"/>
        <v>82</v>
      </c>
      <c r="Z12" s="44">
        <f t="shared" si="6"/>
        <v>627.68149784808202</v>
      </c>
      <c r="AA12" s="50">
        <f t="shared" si="7"/>
        <v>545.82373155080154</v>
      </c>
      <c r="AB12" s="51">
        <f t="shared" si="8"/>
        <v>586.78274081338873</v>
      </c>
      <c r="AC12" s="44">
        <f t="shared" si="9"/>
        <v>510.25870015032393</v>
      </c>
      <c r="AD12" s="44">
        <f t="shared" si="10"/>
        <v>7921.008649939442</v>
      </c>
      <c r="AE12" s="44">
        <f t="shared" si="18"/>
        <v>0</v>
      </c>
      <c r="AF12" s="52">
        <f>HLOOKUP(I12,GasAvoidedCostsWOCC!$A$5:$G$50,G12+1,FALSE)</f>
        <v>7.0926897466576637</v>
      </c>
      <c r="AG12" s="44">
        <f t="shared" si="11"/>
        <v>666.71283618582038</v>
      </c>
      <c r="AH12" s="52">
        <f>HLOOKUP(I12,GasAvoidedCostsWOCC!$A$5:$Q$50,T12+1,FALSE)</f>
        <v>7.0926897466576637</v>
      </c>
      <c r="AI12" s="44">
        <f t="shared" si="12"/>
        <v>0</v>
      </c>
      <c r="AJ12" s="44">
        <f t="shared" si="13"/>
        <v>666.71283618582038</v>
      </c>
      <c r="AK12" s="44">
        <f>HLOOKUP(I12,GasAvoidedCostsWOCC!$A$5:$Q$50,G12+1,FALSE)*J12*L12</f>
        <v>0</v>
      </c>
      <c r="AL12" s="44">
        <f t="shared" si="14"/>
        <v>666.71283618582038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666.71283618582038</v>
      </c>
      <c r="AN12" s="48">
        <f t="shared" si="15"/>
        <v>8654.3927697438448</v>
      </c>
      <c r="AO12" s="47">
        <f t="shared" si="16"/>
        <v>1.1362175296117842</v>
      </c>
      <c r="AP12" s="47">
        <f t="shared" si="17"/>
        <v>16.960794136766765</v>
      </c>
      <c r="AQ12">
        <v>2021</v>
      </c>
    </row>
    <row r="13" spans="1:43" ht="13.5" customHeight="1">
      <c r="A13" s="56" t="s">
        <v>252</v>
      </c>
      <c r="B13" s="97" t="s">
        <v>31</v>
      </c>
      <c r="C13" s="98">
        <v>18231027</v>
      </c>
      <c r="D13" s="61" t="s">
        <v>164</v>
      </c>
      <c r="E13" s="38" t="s">
        <v>1726</v>
      </c>
      <c r="F13" s="39" t="s">
        <v>1727</v>
      </c>
      <c r="G13" s="39">
        <v>12</v>
      </c>
      <c r="H13" s="39"/>
      <c r="I13" s="40" t="s">
        <v>258</v>
      </c>
      <c r="J13" s="41">
        <v>37</v>
      </c>
      <c r="K13" s="41">
        <v>548</v>
      </c>
      <c r="L13" s="41"/>
      <c r="M13" s="42">
        <v>1000</v>
      </c>
      <c r="N13" s="42">
        <v>1017</v>
      </c>
      <c r="O13" s="43">
        <v>20276</v>
      </c>
      <c r="P13" s="44">
        <v>37000</v>
      </c>
      <c r="Q13" s="44">
        <v>37629</v>
      </c>
      <c r="R13" s="45">
        <v>1357</v>
      </c>
      <c r="S13" s="46">
        <v>0</v>
      </c>
      <c r="T13" s="39">
        <f t="shared" si="0"/>
        <v>12</v>
      </c>
      <c r="U13" s="47">
        <f t="shared" si="1"/>
        <v>1.0485171001989886</v>
      </c>
      <c r="V13" s="48">
        <f t="shared" si="2"/>
        <v>17</v>
      </c>
      <c r="W13" s="49">
        <f t="shared" si="3"/>
        <v>8.7376425016582382E-2</v>
      </c>
      <c r="X13" s="44">
        <f t="shared" si="4"/>
        <v>67692.446605575009</v>
      </c>
      <c r="Y13" s="44">
        <f t="shared" si="5"/>
        <v>629</v>
      </c>
      <c r="Z13" s="44">
        <f t="shared" si="6"/>
        <v>135392.2345783799</v>
      </c>
      <c r="AA13" s="50">
        <f t="shared" si="7"/>
        <v>105321.44660557501</v>
      </c>
      <c r="AB13" s="51">
        <f t="shared" si="8"/>
        <v>126570.28566736457</v>
      </c>
      <c r="AC13" s="44">
        <f t="shared" si="9"/>
        <v>98458.863798798731</v>
      </c>
      <c r="AD13" s="44">
        <f t="shared" si="10"/>
        <v>399432.72376934631</v>
      </c>
      <c r="AE13" s="44">
        <f t="shared" si="18"/>
        <v>0</v>
      </c>
      <c r="AF13" s="52">
        <f>HLOOKUP(I13,GasAvoidedCostsWOCC!$A$5:$G$50,G13+1,FALSE)</f>
        <v>8.327477491955495</v>
      </c>
      <c r="AG13" s="44">
        <f t="shared" si="11"/>
        <v>168847.93362688963</v>
      </c>
      <c r="AH13" s="52">
        <f>HLOOKUP(I13,GasAvoidedCostsWOCC!$A$5:$Q$50,T13+1,FALSE)</f>
        <v>8.327477491955495</v>
      </c>
      <c r="AI13" s="44">
        <f t="shared" si="12"/>
        <v>0</v>
      </c>
      <c r="AJ13" s="44">
        <f t="shared" si="13"/>
        <v>168847.93362688963</v>
      </c>
      <c r="AK13" s="44">
        <f>HLOOKUP(I13,GasAvoidedCostsWOCC!$A$5:$Q$50,G13+1,FALSE)*J13*L13</f>
        <v>0</v>
      </c>
      <c r="AL13" s="44">
        <f t="shared" si="14"/>
        <v>168847.93362688963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168847.93362688963</v>
      </c>
      <c r="AN13" s="48">
        <f t="shared" si="15"/>
        <v>585165.45075892494</v>
      </c>
      <c r="AO13" s="47">
        <f t="shared" si="16"/>
        <v>1.3340250654931256</v>
      </c>
      <c r="AP13" s="47">
        <f t="shared" si="17"/>
        <v>5.943248054890355</v>
      </c>
      <c r="AQ13">
        <v>2021</v>
      </c>
    </row>
    <row r="14" spans="1:43" ht="13.5" customHeight="1">
      <c r="A14" s="55">
        <f>SUM(Y5:Y1000)</f>
        <v>37184.379999999997</v>
      </c>
      <c r="B14" s="97" t="s">
        <v>31</v>
      </c>
      <c r="C14" s="98">
        <v>18231027</v>
      </c>
      <c r="D14" s="61" t="s">
        <v>164</v>
      </c>
      <c r="E14" s="38" t="s">
        <v>1728</v>
      </c>
      <c r="F14" s="39" t="s">
        <v>1727</v>
      </c>
      <c r="G14" s="39">
        <v>12</v>
      </c>
      <c r="H14" s="39"/>
      <c r="I14" s="40" t="s">
        <v>258</v>
      </c>
      <c r="J14" s="41">
        <v>139</v>
      </c>
      <c r="K14" s="41">
        <v>519</v>
      </c>
      <c r="L14" s="41"/>
      <c r="M14" s="42">
        <v>1000</v>
      </c>
      <c r="N14" s="42">
        <v>1192</v>
      </c>
      <c r="O14" s="43">
        <v>72141</v>
      </c>
      <c r="P14" s="44">
        <v>139000</v>
      </c>
      <c r="Q14" s="44">
        <v>165688</v>
      </c>
      <c r="R14" s="45">
        <v>1357</v>
      </c>
      <c r="S14" s="46">
        <v>0</v>
      </c>
      <c r="T14" s="39">
        <f t="shared" si="0"/>
        <v>12</v>
      </c>
      <c r="U14" s="47">
        <f t="shared" si="1"/>
        <v>3.7305717165839045</v>
      </c>
      <c r="V14" s="48">
        <f t="shared" si="2"/>
        <v>192</v>
      </c>
      <c r="W14" s="49">
        <f t="shared" si="3"/>
        <v>0.31088097638199202</v>
      </c>
      <c r="X14" s="44">
        <f t="shared" si="4"/>
        <v>240846.35976389755</v>
      </c>
      <c r="Y14" s="44">
        <f t="shared" si="5"/>
        <v>26688</v>
      </c>
      <c r="Z14" s="44">
        <f t="shared" si="6"/>
        <v>481718.83974743064</v>
      </c>
      <c r="AA14" s="50">
        <f t="shared" si="7"/>
        <v>406534.35976389755</v>
      </c>
      <c r="AB14" s="51">
        <f t="shared" si="8"/>
        <v>450330.78409594332</v>
      </c>
      <c r="AC14" s="44">
        <f t="shared" si="9"/>
        <v>380045.20871636673</v>
      </c>
      <c r="AD14" s="44">
        <f t="shared" si="10"/>
        <v>1500571.5838902469</v>
      </c>
      <c r="AE14" s="44">
        <f t="shared" si="18"/>
        <v>0</v>
      </c>
      <c r="AF14" s="52">
        <f>HLOOKUP(I14,GasAvoidedCostsWOCC!$A$5:$G$50,G14+1,FALSE)</f>
        <v>8.327477491955495</v>
      </c>
      <c r="AG14" s="44">
        <f t="shared" si="11"/>
        <v>600752.55374716129</v>
      </c>
      <c r="AH14" s="52">
        <f>HLOOKUP(I14,GasAvoidedCostsWOCC!$A$5:$Q$50,T14+1,FALSE)</f>
        <v>8.327477491955495</v>
      </c>
      <c r="AI14" s="44">
        <f t="shared" si="12"/>
        <v>0</v>
      </c>
      <c r="AJ14" s="44">
        <f t="shared" si="13"/>
        <v>600752.55374716129</v>
      </c>
      <c r="AK14" s="44">
        <f>HLOOKUP(I14,GasAvoidedCostsWOCC!$A$5:$Q$50,G14+1,FALSE)*J14*L14</f>
        <v>0</v>
      </c>
      <c r="AL14" s="44">
        <f t="shared" si="14"/>
        <v>600752.55374716129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600752.55374716141</v>
      </c>
      <c r="AN14" s="48">
        <f t="shared" si="15"/>
        <v>2161399.3930121246</v>
      </c>
      <c r="AO14" s="47">
        <f t="shared" si="16"/>
        <v>1.3340250654931256</v>
      </c>
      <c r="AP14" s="47">
        <f t="shared" si="17"/>
        <v>5.6872165296134769</v>
      </c>
      <c r="AQ14">
        <v>2021</v>
      </c>
    </row>
    <row r="15" spans="1:43" ht="13.5" customHeight="1">
      <c r="A15" s="57" t="s">
        <v>253</v>
      </c>
      <c r="B15" s="97" t="s">
        <v>31</v>
      </c>
      <c r="C15" s="98">
        <v>18231027</v>
      </c>
      <c r="D15" s="61" t="s">
        <v>164</v>
      </c>
      <c r="E15" s="38" t="s">
        <v>1729</v>
      </c>
      <c r="F15" s="39" t="s">
        <v>1730</v>
      </c>
      <c r="G15" s="39">
        <v>12</v>
      </c>
      <c r="H15" s="39"/>
      <c r="I15" s="40" t="s">
        <v>258</v>
      </c>
      <c r="J15" s="41">
        <v>2</v>
      </c>
      <c r="K15" s="41">
        <v>2595</v>
      </c>
      <c r="L15" s="41"/>
      <c r="M15" s="42">
        <v>2000</v>
      </c>
      <c r="N15" s="42">
        <v>2901</v>
      </c>
      <c r="O15" s="43">
        <v>5190</v>
      </c>
      <c r="P15" s="44">
        <v>4000</v>
      </c>
      <c r="Q15" s="44">
        <v>5802</v>
      </c>
      <c r="R15" s="45">
        <v>10342.030000000001</v>
      </c>
      <c r="S15" s="46">
        <v>0</v>
      </c>
      <c r="T15" s="39">
        <f t="shared" si="0"/>
        <v>12</v>
      </c>
      <c r="U15" s="47">
        <f t="shared" si="1"/>
        <v>0.26838645443049669</v>
      </c>
      <c r="V15" s="48">
        <f t="shared" si="2"/>
        <v>901</v>
      </c>
      <c r="W15" s="49">
        <f t="shared" si="3"/>
        <v>2.2365537869208058E-2</v>
      </c>
      <c r="X15" s="44">
        <f t="shared" si="4"/>
        <v>17327.076242007017</v>
      </c>
      <c r="Y15" s="44">
        <f t="shared" si="5"/>
        <v>1802</v>
      </c>
      <c r="Z15" s="44">
        <f t="shared" si="6"/>
        <v>34656.031636505795</v>
      </c>
      <c r="AA15" s="50">
        <f t="shared" si="7"/>
        <v>23129.076242007017</v>
      </c>
      <c r="AB15" s="51">
        <f t="shared" si="8"/>
        <v>32397.898136398795</v>
      </c>
      <c r="AC15" s="44">
        <f t="shared" si="9"/>
        <v>21622.021353657114</v>
      </c>
      <c r="AD15" s="44">
        <f t="shared" si="10"/>
        <v>164549.98953192827</v>
      </c>
      <c r="AE15" s="44">
        <f t="shared" si="18"/>
        <v>0</v>
      </c>
      <c r="AF15" s="52">
        <f>HLOOKUP(I15,GasAvoidedCostsWOCC!$A$5:$G$50,G15+1,FALSE)</f>
        <v>8.327477491955495</v>
      </c>
      <c r="AG15" s="44">
        <f t="shared" si="11"/>
        <v>43219.608183249016</v>
      </c>
      <c r="AH15" s="52">
        <f>HLOOKUP(I15,GasAvoidedCostsWOCC!$A$5:$Q$50,T15+1,FALSE)</f>
        <v>8.327477491955495</v>
      </c>
      <c r="AI15" s="44">
        <f t="shared" si="12"/>
        <v>0</v>
      </c>
      <c r="AJ15" s="44">
        <f t="shared" si="13"/>
        <v>43219.608183249016</v>
      </c>
      <c r="AK15" s="44">
        <f>HLOOKUP(I15,GasAvoidedCostsWOCC!$A$5:$Q$50,G15+1,FALSE)*J15*L15</f>
        <v>0</v>
      </c>
      <c r="AL15" s="44">
        <f t="shared" si="14"/>
        <v>43219.608183249016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43219.608183249016</v>
      </c>
      <c r="AN15" s="48">
        <f t="shared" si="15"/>
        <v>212091.55853350219</v>
      </c>
      <c r="AO15" s="47">
        <f t="shared" si="16"/>
        <v>1.3340250654931256</v>
      </c>
      <c r="AP15" s="47">
        <f t="shared" si="17"/>
        <v>9.8090532362567195</v>
      </c>
      <c r="AQ15">
        <v>2021</v>
      </c>
    </row>
    <row r="16" spans="1:43" ht="13.5" customHeight="1">
      <c r="A16" s="54">
        <f>SUM(U5:U999)</f>
        <v>12.10154126566708</v>
      </c>
      <c r="B16" s="97" t="s">
        <v>31</v>
      </c>
      <c r="C16" s="98">
        <v>18231027</v>
      </c>
      <c r="D16" s="61" t="s">
        <v>164</v>
      </c>
      <c r="E16" s="38" t="s">
        <v>1731</v>
      </c>
      <c r="F16" s="39" t="s">
        <v>1732</v>
      </c>
      <c r="G16" s="39">
        <v>12</v>
      </c>
      <c r="H16" s="39"/>
      <c r="I16" s="40" t="s">
        <v>258</v>
      </c>
      <c r="J16" s="41">
        <v>2</v>
      </c>
      <c r="K16" s="41">
        <v>500</v>
      </c>
      <c r="L16" s="41"/>
      <c r="M16" s="42">
        <v>2000</v>
      </c>
      <c r="N16" s="42">
        <v>0</v>
      </c>
      <c r="O16" s="43">
        <v>1000</v>
      </c>
      <c r="P16" s="44">
        <v>4000</v>
      </c>
      <c r="Q16" s="44">
        <v>0</v>
      </c>
      <c r="R16" s="45">
        <v>0</v>
      </c>
      <c r="S16" s="46">
        <v>0</v>
      </c>
      <c r="T16" s="39">
        <f t="shared" si="0"/>
        <v>12</v>
      </c>
      <c r="U16" s="47">
        <f t="shared" si="1"/>
        <v>5.1712226287186261E-2</v>
      </c>
      <c r="V16" s="48">
        <f t="shared" si="2"/>
        <v>-2000</v>
      </c>
      <c r="W16" s="49">
        <f t="shared" si="3"/>
        <v>4.3093521905988551E-3</v>
      </c>
      <c r="X16" s="44">
        <f t="shared" si="4"/>
        <v>3338.5503356468244</v>
      </c>
      <c r="Y16" s="44">
        <f t="shared" si="5"/>
        <v>-4000</v>
      </c>
      <c r="Z16" s="44">
        <f t="shared" si="6"/>
        <v>6677.4627430647015</v>
      </c>
      <c r="AA16" s="50">
        <f t="shared" si="7"/>
        <v>3338.5503356468244</v>
      </c>
      <c r="AB16" s="51">
        <f t="shared" si="8"/>
        <v>6242.3695831211562</v>
      </c>
      <c r="AC16" s="44">
        <f t="shared" si="9"/>
        <v>3121.0155516937684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8.327477491955495</v>
      </c>
      <c r="AG16" s="44">
        <f t="shared" si="11"/>
        <v>8327.4774919554948</v>
      </c>
      <c r="AH16" s="52">
        <f>HLOOKUP(I16,GasAvoidedCostsWOCC!$A$5:$Q$50,T16+1,FALSE)</f>
        <v>8.327477491955495</v>
      </c>
      <c r="AI16" s="44">
        <f t="shared" si="12"/>
        <v>0</v>
      </c>
      <c r="AJ16" s="44">
        <f t="shared" si="13"/>
        <v>8327.4774919554948</v>
      </c>
      <c r="AK16" s="44">
        <f>HLOOKUP(I16,GasAvoidedCostsWOCC!$A$5:$Q$50,G16+1,FALSE)*J16*L16</f>
        <v>0</v>
      </c>
      <c r="AL16" s="44">
        <f t="shared" si="14"/>
        <v>8327.4774919554948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8327.4774919554948</v>
      </c>
      <c r="AN16" s="48">
        <f t="shared" si="15"/>
        <v>9160.2252411510453</v>
      </c>
      <c r="AO16" s="47">
        <f t="shared" si="16"/>
        <v>1.3340250654931254</v>
      </c>
      <c r="AP16" s="47">
        <f t="shared" si="17"/>
        <v>2.9350142892366593</v>
      </c>
      <c r="AQ16">
        <v>2021</v>
      </c>
    </row>
    <row r="17" spans="1:43" ht="13.5" customHeight="1">
      <c r="A17" s="58" t="s">
        <v>254</v>
      </c>
      <c r="B17" s="97" t="s">
        <v>31</v>
      </c>
      <c r="C17" s="98">
        <v>18231027</v>
      </c>
      <c r="D17" s="61" t="s">
        <v>164</v>
      </c>
      <c r="E17" s="38" t="s">
        <v>1733</v>
      </c>
      <c r="F17" s="39" t="s">
        <v>1734</v>
      </c>
      <c r="G17" s="39">
        <v>12</v>
      </c>
      <c r="H17" s="39"/>
      <c r="I17" s="40" t="s">
        <v>258</v>
      </c>
      <c r="J17" s="41">
        <v>4</v>
      </c>
      <c r="K17" s="41">
        <v>250</v>
      </c>
      <c r="L17" s="41"/>
      <c r="M17" s="42">
        <v>1000</v>
      </c>
      <c r="N17" s="42">
        <v>1286</v>
      </c>
      <c r="O17" s="43">
        <v>1000</v>
      </c>
      <c r="P17" s="44">
        <v>4000</v>
      </c>
      <c r="Q17" s="44">
        <v>5144</v>
      </c>
      <c r="R17" s="45">
        <v>0</v>
      </c>
      <c r="S17" s="46">
        <v>0</v>
      </c>
      <c r="T17" s="39">
        <f t="shared" si="0"/>
        <v>12</v>
      </c>
      <c r="U17" s="47">
        <f t="shared" si="1"/>
        <v>5.1712226287186261E-2</v>
      </c>
      <c r="V17" s="48">
        <f t="shared" si="2"/>
        <v>286</v>
      </c>
      <c r="W17" s="49">
        <f t="shared" si="3"/>
        <v>4.3093521905988551E-3</v>
      </c>
      <c r="X17" s="44">
        <f t="shared" si="4"/>
        <v>3338.5503356468244</v>
      </c>
      <c r="Y17" s="44">
        <f t="shared" si="5"/>
        <v>1144</v>
      </c>
      <c r="Z17" s="44">
        <f t="shared" si="6"/>
        <v>6677.4627430647015</v>
      </c>
      <c r="AA17" s="50">
        <f t="shared" si="7"/>
        <v>8482.5503356468253</v>
      </c>
      <c r="AB17" s="51">
        <f t="shared" si="8"/>
        <v>6242.3695831211562</v>
      </c>
      <c r="AC17" s="44">
        <f t="shared" si="9"/>
        <v>7929.8404558725106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8.327477491955495</v>
      </c>
      <c r="AG17" s="44">
        <f t="shared" si="11"/>
        <v>8327.4774919554948</v>
      </c>
      <c r="AH17" s="52">
        <f>HLOOKUP(I17,GasAvoidedCostsWOCC!$A$5:$Q$50,T17+1,FALSE)</f>
        <v>8.327477491955495</v>
      </c>
      <c r="AI17" s="44">
        <f t="shared" si="12"/>
        <v>0</v>
      </c>
      <c r="AJ17" s="44">
        <f t="shared" si="13"/>
        <v>8327.4774919554948</v>
      </c>
      <c r="AK17" s="44">
        <f>HLOOKUP(I17,GasAvoidedCostsWOCC!$A$5:$Q$50,G17+1,FALSE)*J17*L17</f>
        <v>0</v>
      </c>
      <c r="AL17" s="44">
        <f t="shared" si="14"/>
        <v>8327.4774919554948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8327.4774919554948</v>
      </c>
      <c r="AN17" s="48">
        <f t="shared" si="15"/>
        <v>9160.2252411510453</v>
      </c>
      <c r="AO17" s="47">
        <f t="shared" si="16"/>
        <v>1.3340250654931254</v>
      </c>
      <c r="AP17" s="47">
        <f t="shared" si="17"/>
        <v>1.1551588322773081</v>
      </c>
      <c r="AQ17">
        <v>2021</v>
      </c>
    </row>
    <row r="18" spans="1:43" ht="13.5" customHeight="1">
      <c r="A18" s="59">
        <f>A6+A8</f>
        <v>1549528.2000000002</v>
      </c>
      <c r="B18" s="97" t="s">
        <v>31</v>
      </c>
      <c r="C18" s="98">
        <v>18231027</v>
      </c>
      <c r="D18" s="61" t="s">
        <v>164</v>
      </c>
      <c r="E18" s="38" t="s">
        <v>1170</v>
      </c>
      <c r="F18" s="39" t="s">
        <v>1171</v>
      </c>
      <c r="G18" s="39"/>
      <c r="H18" s="39"/>
      <c r="I18" s="40"/>
      <c r="J18" s="41">
        <v>1</v>
      </c>
      <c r="K18" s="41">
        <v>0</v>
      </c>
      <c r="L18" s="41"/>
      <c r="M18" s="42">
        <v>25</v>
      </c>
      <c r="N18" s="42">
        <v>25</v>
      </c>
      <c r="O18" s="43">
        <v>0</v>
      </c>
      <c r="P18" s="44">
        <v>25</v>
      </c>
      <c r="Q18" s="44">
        <v>25</v>
      </c>
      <c r="R18" s="45">
        <v>0</v>
      </c>
      <c r="S18" s="46">
        <v>0</v>
      </c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25</v>
      </c>
      <c r="AB18" s="51">
        <f t="shared" si="8"/>
        <v>0</v>
      </c>
      <c r="AC18" s="44">
        <f t="shared" si="9"/>
        <v>23.371038608955779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>
        <f t="shared" si="17"/>
        <v>0</v>
      </c>
      <c r="AQ18">
        <v>2021</v>
      </c>
    </row>
    <row r="19" spans="1:43" ht="13.5" customHeight="1">
      <c r="A19" s="58" t="s">
        <v>231</v>
      </c>
      <c r="B19" s="97" t="s">
        <v>31</v>
      </c>
      <c r="C19" s="98">
        <v>18231027</v>
      </c>
      <c r="D19" s="61" t="s">
        <v>164</v>
      </c>
      <c r="E19" s="38" t="s">
        <v>1735</v>
      </c>
      <c r="F19" s="39" t="s">
        <v>1736</v>
      </c>
      <c r="G19" s="39"/>
      <c r="H19" s="39"/>
      <c r="I19" s="40"/>
      <c r="J19" s="41">
        <v>1</v>
      </c>
      <c r="K19" s="41">
        <v>0</v>
      </c>
      <c r="L19" s="41"/>
      <c r="M19" s="42">
        <v>50</v>
      </c>
      <c r="N19" s="42">
        <v>50</v>
      </c>
      <c r="O19" s="43">
        <v>0</v>
      </c>
      <c r="P19" s="44">
        <v>50</v>
      </c>
      <c r="Q19" s="44">
        <v>50</v>
      </c>
      <c r="R19" s="45">
        <v>0</v>
      </c>
      <c r="S19" s="46">
        <v>0</v>
      </c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50</v>
      </c>
      <c r="AB19" s="51">
        <f t="shared" si="8"/>
        <v>0</v>
      </c>
      <c r="AC19" s="44">
        <f t="shared" si="9"/>
        <v>46.742077217911557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>
        <f t="shared" si="17"/>
        <v>0</v>
      </c>
      <c r="AQ19">
        <v>2021</v>
      </c>
    </row>
    <row r="20" spans="1:43" ht="13.5" customHeight="1">
      <c r="A20" s="59">
        <f>A8+SUM(Q5:Q906)</f>
        <v>1327841.4700000002</v>
      </c>
      <c r="B20" s="97" t="s">
        <v>31</v>
      </c>
      <c r="C20" s="98">
        <v>18231027</v>
      </c>
      <c r="D20" s="61" t="s">
        <v>164</v>
      </c>
      <c r="E20" s="38" t="s">
        <v>1737</v>
      </c>
      <c r="F20" s="39" t="s">
        <v>1736</v>
      </c>
      <c r="G20" s="39"/>
      <c r="H20" s="39"/>
      <c r="I20" s="40"/>
      <c r="J20" s="41">
        <v>10</v>
      </c>
      <c r="K20" s="41">
        <v>0</v>
      </c>
      <c r="L20" s="41"/>
      <c r="M20" s="42">
        <v>50</v>
      </c>
      <c r="N20" s="42">
        <v>0</v>
      </c>
      <c r="O20" s="43">
        <v>0</v>
      </c>
      <c r="P20" s="44">
        <v>500</v>
      </c>
      <c r="Q20" s="44">
        <v>0</v>
      </c>
      <c r="R20" s="45">
        <v>0</v>
      </c>
      <c r="S20" s="46">
        <v>0</v>
      </c>
      <c r="T20" s="39">
        <f t="shared" si="0"/>
        <v>0</v>
      </c>
      <c r="U20" s="47">
        <f t="shared" si="1"/>
        <v>0</v>
      </c>
      <c r="V20" s="48">
        <f t="shared" si="2"/>
        <v>-50</v>
      </c>
      <c r="W20" s="49">
        <f t="shared" si="3"/>
        <v>0</v>
      </c>
      <c r="X20" s="44">
        <f t="shared" si="4"/>
        <v>0</v>
      </c>
      <c r="Y20" s="44">
        <f t="shared" si="5"/>
        <v>-500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  <c r="AQ20">
        <v>2021</v>
      </c>
    </row>
    <row r="21" spans="1:43" ht="13.5" customHeight="1">
      <c r="A21" s="58" t="s">
        <v>245</v>
      </c>
      <c r="B21" s="97" t="s">
        <v>31</v>
      </c>
      <c r="C21" s="98">
        <v>18231027</v>
      </c>
      <c r="D21" s="61" t="s">
        <v>164</v>
      </c>
      <c r="E21" s="38" t="s">
        <v>1738</v>
      </c>
      <c r="F21" s="39" t="s">
        <v>1739</v>
      </c>
      <c r="G21" s="39"/>
      <c r="H21" s="39"/>
      <c r="I21" s="40"/>
      <c r="J21" s="41">
        <v>29</v>
      </c>
      <c r="K21" s="41">
        <v>0</v>
      </c>
      <c r="L21" s="41"/>
      <c r="M21" s="42">
        <v>50</v>
      </c>
      <c r="N21" s="42">
        <v>50</v>
      </c>
      <c r="O21" s="43">
        <v>0</v>
      </c>
      <c r="P21" s="44">
        <v>1450</v>
      </c>
      <c r="Q21" s="44">
        <v>1450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1450</v>
      </c>
      <c r="AB21" s="51">
        <f t="shared" si="8"/>
        <v>0</v>
      </c>
      <c r="AC21" s="44">
        <f t="shared" si="9"/>
        <v>1355.5202393194352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>
        <f t="shared" si="17"/>
        <v>0</v>
      </c>
      <c r="AQ21">
        <v>2021</v>
      </c>
    </row>
    <row r="22" spans="1:43" ht="13.5" customHeight="1">
      <c r="A22" s="60">
        <f>(SUM(AM5:AM1000)/(SUM(AB5:AB1000)))</f>
        <v>1.3437420973398011</v>
      </c>
      <c r="B22" s="97" t="s">
        <v>31</v>
      </c>
      <c r="C22" s="98">
        <v>18231027</v>
      </c>
      <c r="D22" s="61" t="s">
        <v>164</v>
      </c>
      <c r="E22" s="38" t="s">
        <v>1740</v>
      </c>
      <c r="F22" s="39" t="s">
        <v>1739</v>
      </c>
      <c r="G22" s="39"/>
      <c r="H22" s="39"/>
      <c r="I22" s="40"/>
      <c r="J22" s="41">
        <v>123</v>
      </c>
      <c r="K22" s="41">
        <v>0</v>
      </c>
      <c r="L22" s="41"/>
      <c r="M22" s="42">
        <v>50</v>
      </c>
      <c r="N22" s="42">
        <v>0</v>
      </c>
      <c r="O22" s="43">
        <v>0</v>
      </c>
      <c r="P22" s="44">
        <v>6150</v>
      </c>
      <c r="Q22" s="44">
        <v>0</v>
      </c>
      <c r="R22" s="45">
        <v>0</v>
      </c>
      <c r="S22" s="46">
        <v>0</v>
      </c>
      <c r="T22" s="39">
        <f t="shared" si="0"/>
        <v>0</v>
      </c>
      <c r="U22" s="47">
        <f t="shared" si="1"/>
        <v>0</v>
      </c>
      <c r="V22" s="48">
        <f t="shared" si="2"/>
        <v>-50</v>
      </c>
      <c r="W22" s="49">
        <f t="shared" si="3"/>
        <v>0</v>
      </c>
      <c r="X22" s="44">
        <f t="shared" si="4"/>
        <v>0</v>
      </c>
      <c r="Y22" s="44">
        <f t="shared" si="5"/>
        <v>-6150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  <c r="AQ22">
        <v>2021</v>
      </c>
    </row>
    <row r="23" spans="1:43" ht="13.5" customHeight="1">
      <c r="A23" s="58" t="s">
        <v>246</v>
      </c>
      <c r="B23" s="97" t="s">
        <v>31</v>
      </c>
      <c r="C23" s="98">
        <v>18231027</v>
      </c>
      <c r="D23" s="61" t="s">
        <v>164</v>
      </c>
      <c r="E23" s="38" t="s">
        <v>1741</v>
      </c>
      <c r="F23" s="39" t="s">
        <v>1742</v>
      </c>
      <c r="G23" s="39"/>
      <c r="H23" s="39"/>
      <c r="I23" s="40"/>
      <c r="J23" s="41">
        <v>16</v>
      </c>
      <c r="K23" s="41">
        <v>0</v>
      </c>
      <c r="L23" s="41"/>
      <c r="M23" s="42">
        <v>50</v>
      </c>
      <c r="N23" s="42">
        <v>50</v>
      </c>
      <c r="O23" s="43">
        <v>0</v>
      </c>
      <c r="P23" s="44">
        <v>800</v>
      </c>
      <c r="Q23" s="44">
        <v>800</v>
      </c>
      <c r="R23" s="45">
        <v>0</v>
      </c>
      <c r="S23" s="46">
        <v>0</v>
      </c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800</v>
      </c>
      <c r="AB23" s="51">
        <f t="shared" si="8"/>
        <v>0</v>
      </c>
      <c r="AC23" s="44">
        <f t="shared" si="9"/>
        <v>747.87323548658492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>
        <f t="shared" si="17"/>
        <v>0</v>
      </c>
      <c r="AQ23">
        <v>2021</v>
      </c>
    </row>
    <row r="24" spans="1:43" ht="13.5" customHeight="1">
      <c r="A24" s="60">
        <f>(SUM(AN5:AN1000)/SUM(AC5:AC1000))</f>
        <v>5.3654009482039928</v>
      </c>
      <c r="B24" s="97" t="s">
        <v>31</v>
      </c>
      <c r="C24" s="98">
        <v>18231027</v>
      </c>
      <c r="D24" s="61" t="s">
        <v>164</v>
      </c>
      <c r="E24" s="38" t="s">
        <v>1743</v>
      </c>
      <c r="F24" s="39" t="s">
        <v>1742</v>
      </c>
      <c r="G24" s="39"/>
      <c r="H24" s="39"/>
      <c r="I24" s="40"/>
      <c r="J24" s="41">
        <v>17</v>
      </c>
      <c r="K24" s="41">
        <v>0</v>
      </c>
      <c r="L24" s="41"/>
      <c r="M24" s="42">
        <v>50</v>
      </c>
      <c r="N24" s="42">
        <v>0</v>
      </c>
      <c r="O24" s="43">
        <v>0</v>
      </c>
      <c r="P24" s="44">
        <v>850</v>
      </c>
      <c r="Q24" s="44">
        <v>0</v>
      </c>
      <c r="R24" s="45">
        <v>0</v>
      </c>
      <c r="S24" s="46">
        <v>0</v>
      </c>
      <c r="T24" s="39">
        <f t="shared" si="0"/>
        <v>0</v>
      </c>
      <c r="U24" s="47">
        <f t="shared" si="1"/>
        <v>0</v>
      </c>
      <c r="V24" s="48">
        <f t="shared" si="2"/>
        <v>-50</v>
      </c>
      <c r="W24" s="49">
        <f t="shared" si="3"/>
        <v>0</v>
      </c>
      <c r="X24" s="44">
        <f t="shared" si="4"/>
        <v>0</v>
      </c>
      <c r="Y24" s="44">
        <f t="shared" si="5"/>
        <v>-850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  <c r="AQ24">
        <v>2021</v>
      </c>
    </row>
    <row r="25" spans="1:43" ht="13.5" customHeight="1">
      <c r="B25" s="97" t="s">
        <v>31</v>
      </c>
      <c r="C25" s="98">
        <v>18231027</v>
      </c>
      <c r="D25" s="61" t="s">
        <v>164</v>
      </c>
      <c r="E25" s="38" t="s">
        <v>1744</v>
      </c>
      <c r="F25" s="39" t="s">
        <v>1745</v>
      </c>
      <c r="G25" s="39"/>
      <c r="H25" s="39"/>
      <c r="I25" s="40"/>
      <c r="J25" s="41">
        <v>3</v>
      </c>
      <c r="K25" s="41">
        <v>0</v>
      </c>
      <c r="L25" s="41"/>
      <c r="M25" s="42">
        <v>300</v>
      </c>
      <c r="N25" s="42">
        <v>0</v>
      </c>
      <c r="O25" s="43">
        <v>0</v>
      </c>
      <c r="P25" s="44">
        <v>900</v>
      </c>
      <c r="Q25" s="44">
        <v>0</v>
      </c>
      <c r="R25" s="45">
        <v>0</v>
      </c>
      <c r="S25" s="46">
        <v>0</v>
      </c>
      <c r="T25" s="39">
        <f t="shared" ref="T25:T48" si="19">G25+H25</f>
        <v>0</v>
      </c>
      <c r="U25" s="47">
        <f t="shared" ref="U25:U48" si="20">(O25/$A$10)*T25</f>
        <v>0</v>
      </c>
      <c r="V25" s="48">
        <f t="shared" ref="V25:V48" si="21">N25-M25</f>
        <v>-300</v>
      </c>
      <c r="W25" s="49">
        <f t="shared" ref="W25:W48" si="22">(O25/A$10)</f>
        <v>0</v>
      </c>
      <c r="X25" s="44">
        <f t="shared" ref="X25:X48" si="23">W25*A$8</f>
        <v>0</v>
      </c>
      <c r="Y25" s="44">
        <f t="shared" ref="Y25:Y48" si="24">Q25-P25</f>
        <v>-900</v>
      </c>
      <c r="Z25" s="44">
        <f t="shared" ref="Z25:Z48" si="25">X25+(A$6*W25)</f>
        <v>0</v>
      </c>
      <c r="AA25" s="50">
        <f t="shared" ref="AA25:AA48" si="26">Q25+X25</f>
        <v>0</v>
      </c>
      <c r="AB25" s="51">
        <f t="shared" ref="AB25:AB48" si="27">Z25/(1+GasDiscountRate)^1</f>
        <v>0</v>
      </c>
      <c r="AC25" s="44">
        <f t="shared" ref="AC25:AC48" si="28">AA25/(1+GasDiscountRate)^1</f>
        <v>0</v>
      </c>
      <c r="AD25" s="44">
        <f t="shared" ref="AD25:AD48" si="29">-PV(GasDiscountRate,T25,R25)*J25</f>
        <v>0</v>
      </c>
      <c r="AE25" s="44">
        <f t="shared" ref="AE25:AE48" si="30">-PV(GasDiscountRate,T25,S25)*J25</f>
        <v>0</v>
      </c>
      <c r="AF25" s="52" t="e">
        <f>HLOOKUP(I25,GasAvoidedCostsWOCC!$A$5:$G$50,G25+1,FALSE)</f>
        <v>#N/A</v>
      </c>
      <c r="AG25" s="44" t="e">
        <f t="shared" ref="AG25:AG48" si="31">AF25*J25*K25</f>
        <v>#N/A</v>
      </c>
      <c r="AH25" s="52" t="e">
        <f>HLOOKUP(I25,GasAvoidedCostsWOCC!$A$5:$Q$50,T25+1,FALSE)</f>
        <v>#N/A</v>
      </c>
      <c r="AI25" s="44" t="e">
        <f t="shared" ref="AI25:AI48" si="32">AH25*J25*L25</f>
        <v>#N/A</v>
      </c>
      <c r="AJ25" s="44" t="e">
        <f t="shared" ref="AJ25:AJ48" si="33">AG25+AI25</f>
        <v>#N/A</v>
      </c>
      <c r="AK25" s="44" t="e">
        <f>HLOOKUP(I25,GasAvoidedCostsWOCC!$A$5:$Q$50,G25+1,FALSE)*J25*L25</f>
        <v>#N/A</v>
      </c>
      <c r="AL25" s="44" t="e">
        <f t="shared" ref="AL25:AL48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48" si="35">AM25*1.1+AD25+AE25</f>
        <v>0</v>
      </c>
      <c r="AO25" s="47">
        <f t="shared" ref="AO25:AO48" si="36">IFERROR(AM25/AB25,0)</f>
        <v>0</v>
      </c>
      <c r="AP25" s="47" t="e">
        <f t="shared" ref="AP25:AP48" si="37">AN25/AC25</f>
        <v>#DIV/0!</v>
      </c>
      <c r="AQ25">
        <v>2021</v>
      </c>
    </row>
    <row r="26" spans="1:43" ht="13.5" customHeight="1">
      <c r="B26" s="97" t="s">
        <v>31</v>
      </c>
      <c r="C26" s="98">
        <v>18231027</v>
      </c>
      <c r="D26" s="61" t="s">
        <v>164</v>
      </c>
      <c r="E26" s="38" t="s">
        <v>1746</v>
      </c>
      <c r="F26" s="39" t="s">
        <v>1747</v>
      </c>
      <c r="G26" s="39">
        <v>12</v>
      </c>
      <c r="H26" s="39"/>
      <c r="I26" s="40" t="s">
        <v>258</v>
      </c>
      <c r="J26" s="41">
        <v>2</v>
      </c>
      <c r="K26" s="41">
        <v>505.72</v>
      </c>
      <c r="L26" s="41"/>
      <c r="M26" s="42">
        <v>1500</v>
      </c>
      <c r="N26" s="42">
        <v>1794.78</v>
      </c>
      <c r="O26" s="43">
        <v>1011.44</v>
      </c>
      <c r="P26" s="44">
        <v>3000</v>
      </c>
      <c r="Q26" s="44">
        <v>3589.56</v>
      </c>
      <c r="R26" s="45">
        <v>0</v>
      </c>
      <c r="S26" s="46">
        <v>0</v>
      </c>
      <c r="T26" s="39">
        <f t="shared" si="19"/>
        <v>12</v>
      </c>
      <c r="U26" s="47">
        <f t="shared" si="20"/>
        <v>5.2303814155911676E-2</v>
      </c>
      <c r="V26" s="48">
        <f t="shared" si="21"/>
        <v>294.77999999999997</v>
      </c>
      <c r="W26" s="49">
        <f t="shared" si="22"/>
        <v>4.3586511796593064E-3</v>
      </c>
      <c r="X26" s="44">
        <f t="shared" si="23"/>
        <v>3376.7433514866243</v>
      </c>
      <c r="Y26" s="44">
        <f t="shared" si="24"/>
        <v>589.55999999999995</v>
      </c>
      <c r="Z26" s="44">
        <f t="shared" si="25"/>
        <v>6753.8529168453624</v>
      </c>
      <c r="AA26" s="50">
        <f t="shared" si="26"/>
        <v>6966.3033514866238</v>
      </c>
      <c r="AB26" s="51">
        <f t="shared" si="27"/>
        <v>6313.7822911520634</v>
      </c>
      <c r="AC26" s="44">
        <f t="shared" si="28"/>
        <v>6512.3897835716771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8.327477491955495</v>
      </c>
      <c r="AG26" s="44">
        <f t="shared" si="31"/>
        <v>8422.7438344634666</v>
      </c>
      <c r="AH26" s="52">
        <f>HLOOKUP(I26,GasAvoidedCostsWOCC!$A$5:$Q$50,T26+1,FALSE)</f>
        <v>8.327477491955495</v>
      </c>
      <c r="AI26" s="44">
        <f t="shared" si="32"/>
        <v>0</v>
      </c>
      <c r="AJ26" s="44">
        <f t="shared" si="33"/>
        <v>8422.7438344634666</v>
      </c>
      <c r="AK26" s="44">
        <f>HLOOKUP(I26,GasAvoidedCostsWOCC!$A$5:$Q$50,G26+1,FALSE)*J26*L26</f>
        <v>0</v>
      </c>
      <c r="AL26" s="44">
        <f t="shared" si="34"/>
        <v>8422.7438344634666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8422.7438344634666</v>
      </c>
      <c r="AN26" s="48">
        <f t="shared" si="35"/>
        <v>9265.0182179098138</v>
      </c>
      <c r="AO26" s="47">
        <f t="shared" si="36"/>
        <v>1.3340250654931254</v>
      </c>
      <c r="AP26" s="47">
        <f t="shared" si="37"/>
        <v>1.4226756268922951</v>
      </c>
      <c r="AQ26">
        <v>2021</v>
      </c>
    </row>
    <row r="27" spans="1:43" ht="13.5" customHeight="1">
      <c r="B27" s="97" t="s">
        <v>31</v>
      </c>
      <c r="C27" s="98">
        <v>18231027</v>
      </c>
      <c r="D27" s="61" t="s">
        <v>164</v>
      </c>
      <c r="E27" s="38" t="s">
        <v>1748</v>
      </c>
      <c r="F27" s="39" t="s">
        <v>1749</v>
      </c>
      <c r="G27" s="39">
        <v>12</v>
      </c>
      <c r="H27" s="39"/>
      <c r="I27" s="40" t="s">
        <v>258</v>
      </c>
      <c r="J27" s="41">
        <v>14</v>
      </c>
      <c r="K27" s="41">
        <v>812</v>
      </c>
      <c r="L27" s="41"/>
      <c r="M27" s="42">
        <v>2000</v>
      </c>
      <c r="N27" s="42">
        <v>2648</v>
      </c>
      <c r="O27" s="43">
        <v>11368</v>
      </c>
      <c r="P27" s="44">
        <v>28000</v>
      </c>
      <c r="Q27" s="44">
        <v>5296</v>
      </c>
      <c r="R27" s="45">
        <v>0</v>
      </c>
      <c r="S27" s="46">
        <v>0</v>
      </c>
      <c r="T27" s="39">
        <f t="shared" si="19"/>
        <v>12</v>
      </c>
      <c r="U27" s="47">
        <f t="shared" si="20"/>
        <v>0.58786458843273348</v>
      </c>
      <c r="V27" s="48">
        <f t="shared" si="21"/>
        <v>648</v>
      </c>
      <c r="W27" s="49">
        <f t="shared" si="22"/>
        <v>4.8988715702727788E-2</v>
      </c>
      <c r="X27" s="44">
        <f t="shared" si="23"/>
        <v>37952.640215633102</v>
      </c>
      <c r="Y27" s="44">
        <f t="shared" si="24"/>
        <v>-22704</v>
      </c>
      <c r="Z27" s="44">
        <f t="shared" si="25"/>
        <v>75909.39646315953</v>
      </c>
      <c r="AA27" s="50">
        <f t="shared" si="26"/>
        <v>43248.640215633102</v>
      </c>
      <c r="AB27" s="51">
        <f t="shared" si="27"/>
        <v>70963.257420921305</v>
      </c>
      <c r="AC27" s="44">
        <f t="shared" si="28"/>
        <v>40430.625610575953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8.327477491955495</v>
      </c>
      <c r="AG27" s="44">
        <f t="shared" si="31"/>
        <v>94666.764128550072</v>
      </c>
      <c r="AH27" s="52">
        <f>HLOOKUP(I27,GasAvoidedCostsWOCC!$A$5:$Q$50,T27+1,FALSE)</f>
        <v>8.327477491955495</v>
      </c>
      <c r="AI27" s="44">
        <f t="shared" si="32"/>
        <v>0</v>
      </c>
      <c r="AJ27" s="44">
        <f t="shared" si="33"/>
        <v>94666.764128550072</v>
      </c>
      <c r="AK27" s="44">
        <f>HLOOKUP(I27,GasAvoidedCostsWOCC!$A$5:$Q$50,G27+1,FALSE)*J27*L27</f>
        <v>0</v>
      </c>
      <c r="AL27" s="44">
        <f t="shared" si="34"/>
        <v>94666.764128550072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94666.764128550058</v>
      </c>
      <c r="AN27" s="48">
        <f t="shared" si="35"/>
        <v>104133.44054140507</v>
      </c>
      <c r="AO27" s="47">
        <f t="shared" si="36"/>
        <v>1.3340250654931254</v>
      </c>
      <c r="AP27" s="47">
        <f t="shared" si="37"/>
        <v>2.5756079449377989</v>
      </c>
      <c r="AQ27">
        <v>2021</v>
      </c>
    </row>
    <row r="28" spans="1:43" ht="13.5" customHeight="1">
      <c r="B28" s="97" t="s">
        <v>31</v>
      </c>
      <c r="C28" s="98">
        <v>18231027</v>
      </c>
      <c r="D28" s="61" t="s">
        <v>164</v>
      </c>
      <c r="E28" s="38" t="s">
        <v>1750</v>
      </c>
      <c r="F28" s="39" t="s">
        <v>1751</v>
      </c>
      <c r="G28" s="39">
        <v>12</v>
      </c>
      <c r="H28" s="39"/>
      <c r="I28" s="40" t="s">
        <v>258</v>
      </c>
      <c r="J28" s="41">
        <v>11</v>
      </c>
      <c r="K28" s="41">
        <v>406</v>
      </c>
      <c r="L28" s="41"/>
      <c r="M28" s="42">
        <v>1000</v>
      </c>
      <c r="N28" s="42">
        <v>1324</v>
      </c>
      <c r="O28" s="43">
        <v>4466</v>
      </c>
      <c r="P28" s="44">
        <v>11000</v>
      </c>
      <c r="Q28" s="44">
        <v>14564</v>
      </c>
      <c r="R28" s="45">
        <v>0</v>
      </c>
      <c r="S28" s="46">
        <v>0</v>
      </c>
      <c r="T28" s="39">
        <f t="shared" si="19"/>
        <v>12</v>
      </c>
      <c r="U28" s="47">
        <f t="shared" si="20"/>
        <v>0.23094680259857384</v>
      </c>
      <c r="V28" s="48">
        <f t="shared" si="21"/>
        <v>324</v>
      </c>
      <c r="W28" s="49">
        <f t="shared" si="22"/>
        <v>1.9245566883214486E-2</v>
      </c>
      <c r="X28" s="44">
        <f t="shared" si="23"/>
        <v>14909.965798998717</v>
      </c>
      <c r="Y28" s="44">
        <f t="shared" si="24"/>
        <v>3564</v>
      </c>
      <c r="Z28" s="44">
        <f t="shared" si="25"/>
        <v>29821.548610526959</v>
      </c>
      <c r="AA28" s="50">
        <f t="shared" si="26"/>
        <v>29473.965798998717</v>
      </c>
      <c r="AB28" s="51">
        <f t="shared" si="27"/>
        <v>27878.422558219085</v>
      </c>
      <c r="AC28" s="44">
        <f t="shared" si="28"/>
        <v>27553.487705897649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8.327477491955495</v>
      </c>
      <c r="AG28" s="44">
        <f t="shared" si="31"/>
        <v>37190.514479073245</v>
      </c>
      <c r="AH28" s="52">
        <f>HLOOKUP(I28,GasAvoidedCostsWOCC!$A$5:$Q$50,T28+1,FALSE)</f>
        <v>8.327477491955495</v>
      </c>
      <c r="AI28" s="44">
        <f t="shared" si="32"/>
        <v>0</v>
      </c>
      <c r="AJ28" s="44">
        <f t="shared" si="33"/>
        <v>37190.514479073245</v>
      </c>
      <c r="AK28" s="44">
        <f>HLOOKUP(I28,GasAvoidedCostsWOCC!$A$5:$Q$50,G28+1,FALSE)*J28*L28</f>
        <v>0</v>
      </c>
      <c r="AL28" s="44">
        <f t="shared" si="34"/>
        <v>37190.514479073245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37190.514479073237</v>
      </c>
      <c r="AN28" s="48">
        <f t="shared" si="35"/>
        <v>40909.565926980562</v>
      </c>
      <c r="AO28" s="47">
        <f t="shared" si="36"/>
        <v>1.3340250654931254</v>
      </c>
      <c r="AP28" s="47">
        <f t="shared" si="37"/>
        <v>1.4847327628227671</v>
      </c>
      <c r="AQ28">
        <v>2021</v>
      </c>
    </row>
    <row r="29" spans="1:43">
      <c r="B29" s="97" t="s">
        <v>31</v>
      </c>
      <c r="C29" s="98">
        <v>18231027</v>
      </c>
      <c r="D29" s="61" t="s">
        <v>164</v>
      </c>
      <c r="E29" s="38" t="s">
        <v>1752</v>
      </c>
      <c r="F29" s="39" t="s">
        <v>1753</v>
      </c>
      <c r="G29" s="39">
        <v>12</v>
      </c>
      <c r="H29" s="39"/>
      <c r="I29" s="40" t="s">
        <v>258</v>
      </c>
      <c r="J29" s="41">
        <v>3</v>
      </c>
      <c r="K29" s="41">
        <v>3271</v>
      </c>
      <c r="L29" s="41"/>
      <c r="M29" s="42">
        <v>2500</v>
      </c>
      <c r="N29" s="42">
        <v>2709</v>
      </c>
      <c r="O29" s="43">
        <v>9813</v>
      </c>
      <c r="P29" s="44">
        <v>7500</v>
      </c>
      <c r="Q29" s="44">
        <v>8127</v>
      </c>
      <c r="R29" s="45">
        <v>1887.14</v>
      </c>
      <c r="S29" s="46">
        <v>0</v>
      </c>
      <c r="T29" s="39">
        <f t="shared" si="19"/>
        <v>12</v>
      </c>
      <c r="U29" s="47">
        <f t="shared" si="20"/>
        <v>0.50745207655615876</v>
      </c>
      <c r="V29" s="48">
        <f t="shared" si="21"/>
        <v>209</v>
      </c>
      <c r="W29" s="49">
        <f t="shared" si="22"/>
        <v>4.2287673046346563E-2</v>
      </c>
      <c r="X29" s="44">
        <f t="shared" si="23"/>
        <v>32761.194443702287</v>
      </c>
      <c r="Y29" s="44">
        <f t="shared" si="24"/>
        <v>627</v>
      </c>
      <c r="Z29" s="44">
        <f t="shared" si="25"/>
        <v>65525.94189769392</v>
      </c>
      <c r="AA29" s="50">
        <f t="shared" si="26"/>
        <v>40888.19444370229</v>
      </c>
      <c r="AB29" s="51">
        <f t="shared" si="27"/>
        <v>61256.372719167914</v>
      </c>
      <c r="AC29" s="44">
        <f t="shared" si="28"/>
        <v>38223.982839770295</v>
      </c>
      <c r="AD29" s="44">
        <f t="shared" si="29"/>
        <v>45038.86576116339</v>
      </c>
      <c r="AE29" s="44">
        <f t="shared" si="30"/>
        <v>0</v>
      </c>
      <c r="AF29" s="52">
        <f>HLOOKUP(I29,GasAvoidedCostsWOCC!$A$5:$G$50,G29+1,FALSE)</f>
        <v>8.327477491955495</v>
      </c>
      <c r="AG29" s="44">
        <f t="shared" si="31"/>
        <v>81717.536628559275</v>
      </c>
      <c r="AH29" s="52">
        <f>HLOOKUP(I29,GasAvoidedCostsWOCC!$A$5:$Q$50,T29+1,FALSE)</f>
        <v>8.327477491955495</v>
      </c>
      <c r="AI29" s="44">
        <f t="shared" si="32"/>
        <v>0</v>
      </c>
      <c r="AJ29" s="44">
        <f t="shared" si="33"/>
        <v>81717.536628559275</v>
      </c>
      <c r="AK29" s="44">
        <f>HLOOKUP(I29,GasAvoidedCostsWOCC!$A$5:$Q$50,G29+1,FALSE)*J29*L29</f>
        <v>0</v>
      </c>
      <c r="AL29" s="44">
        <f t="shared" si="34"/>
        <v>81717.536628559275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81717.536628559261</v>
      </c>
      <c r="AN29" s="48">
        <f t="shared" si="35"/>
        <v>134928.15605257859</v>
      </c>
      <c r="AO29" s="47">
        <f t="shared" si="36"/>
        <v>1.3340250654931252</v>
      </c>
      <c r="AP29" s="47">
        <f t="shared" si="37"/>
        <v>3.5299345078240263</v>
      </c>
      <c r="AQ29">
        <v>2021</v>
      </c>
    </row>
    <row r="30" spans="1:43">
      <c r="B30" s="97" t="s">
        <v>31</v>
      </c>
      <c r="C30" s="98">
        <v>18231027</v>
      </c>
      <c r="D30" s="61" t="s">
        <v>164</v>
      </c>
      <c r="E30" s="38" t="s">
        <v>1754</v>
      </c>
      <c r="F30" s="39" t="s">
        <v>1755</v>
      </c>
      <c r="G30" s="39"/>
      <c r="H30" s="39"/>
      <c r="I30" s="40"/>
      <c r="J30" s="41">
        <v>7</v>
      </c>
      <c r="K30" s="41">
        <v>0</v>
      </c>
      <c r="L30" s="41"/>
      <c r="M30" s="42">
        <v>100</v>
      </c>
      <c r="N30" s="42">
        <v>0</v>
      </c>
      <c r="O30" s="43">
        <v>0</v>
      </c>
      <c r="P30" s="44">
        <v>700</v>
      </c>
      <c r="Q30" s="44">
        <v>0</v>
      </c>
      <c r="R30" s="45">
        <v>0</v>
      </c>
      <c r="S30" s="46">
        <v>0</v>
      </c>
      <c r="T30" s="39">
        <f t="shared" si="19"/>
        <v>0</v>
      </c>
      <c r="U30" s="47">
        <f t="shared" si="20"/>
        <v>0</v>
      </c>
      <c r="V30" s="48">
        <f t="shared" si="21"/>
        <v>-100</v>
      </c>
      <c r="W30" s="49">
        <f t="shared" si="22"/>
        <v>0</v>
      </c>
      <c r="X30" s="44">
        <f t="shared" si="23"/>
        <v>0</v>
      </c>
      <c r="Y30" s="44">
        <f t="shared" si="24"/>
        <v>-700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  <c r="AQ30">
        <v>2021</v>
      </c>
    </row>
    <row r="31" spans="1:43">
      <c r="B31" s="97" t="s">
        <v>31</v>
      </c>
      <c r="C31" s="98">
        <v>18231027</v>
      </c>
      <c r="D31" s="61" t="s">
        <v>164</v>
      </c>
      <c r="E31" s="38" t="s">
        <v>1202</v>
      </c>
      <c r="F31" s="39" t="s">
        <v>1203</v>
      </c>
      <c r="G31" s="39">
        <v>15</v>
      </c>
      <c r="H31" s="39"/>
      <c r="I31" s="40" t="s">
        <v>258</v>
      </c>
      <c r="J31" s="41">
        <v>1</v>
      </c>
      <c r="K31" s="41">
        <v>264</v>
      </c>
      <c r="L31" s="41"/>
      <c r="M31" s="42">
        <v>200</v>
      </c>
      <c r="N31" s="42">
        <v>259.14</v>
      </c>
      <c r="O31" s="43">
        <v>264</v>
      </c>
      <c r="P31" s="44">
        <v>200</v>
      </c>
      <c r="Q31" s="44">
        <v>259.14</v>
      </c>
      <c r="R31" s="45">
        <v>763.14</v>
      </c>
      <c r="S31" s="46">
        <v>0</v>
      </c>
      <c r="T31" s="39">
        <f t="shared" si="19"/>
        <v>15</v>
      </c>
      <c r="U31" s="47">
        <f t="shared" si="20"/>
        <v>1.7065034674771468E-2</v>
      </c>
      <c r="V31" s="48">
        <f t="shared" si="21"/>
        <v>59.139999999999986</v>
      </c>
      <c r="W31" s="49">
        <f t="shared" si="22"/>
        <v>1.1376689783180979E-3</v>
      </c>
      <c r="X31" s="44">
        <f t="shared" si="23"/>
        <v>881.37728861076164</v>
      </c>
      <c r="Y31" s="44">
        <f t="shared" si="24"/>
        <v>59.139999999999986</v>
      </c>
      <c r="Z31" s="44">
        <f t="shared" si="25"/>
        <v>1762.8501641690814</v>
      </c>
      <c r="AA31" s="50">
        <f t="shared" si="26"/>
        <v>1140.5172886107616</v>
      </c>
      <c r="AB31" s="51">
        <f t="shared" si="27"/>
        <v>1647.9855699439854</v>
      </c>
      <c r="AC31" s="44">
        <f t="shared" si="28"/>
        <v>1066.2029434521469</v>
      </c>
      <c r="AD31" s="44">
        <f t="shared" si="29"/>
        <v>6963.8030501703252</v>
      </c>
      <c r="AE31" s="44">
        <f t="shared" si="30"/>
        <v>0</v>
      </c>
      <c r="AF31" s="52">
        <f>HLOOKUP(I31,GasAvoidedCostsWOCC!$A$5:$G$50,G31+1,FALSE)</f>
        <v>10.126781237717944</v>
      </c>
      <c r="AG31" s="44">
        <f t="shared" si="31"/>
        <v>2673.4702467575371</v>
      </c>
      <c r="AH31" s="52">
        <f>HLOOKUP(I31,GasAvoidedCostsWOCC!$A$5:$Q$50,T31+1,FALSE)</f>
        <v>10.126781237717944</v>
      </c>
      <c r="AI31" s="44">
        <f t="shared" si="32"/>
        <v>0</v>
      </c>
      <c r="AJ31" s="44">
        <f t="shared" si="33"/>
        <v>2673.4702467575371</v>
      </c>
      <c r="AK31" s="44">
        <f>HLOOKUP(I31,GasAvoidedCostsWOCC!$A$5:$Q$50,G31+1,FALSE)*J31*L31</f>
        <v>0</v>
      </c>
      <c r="AL31" s="44">
        <f t="shared" si="34"/>
        <v>2673.4702467575371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2673.4702467575371</v>
      </c>
      <c r="AN31" s="48">
        <f t="shared" si="35"/>
        <v>9904.6203216036156</v>
      </c>
      <c r="AO31" s="47">
        <f t="shared" si="36"/>
        <v>1.6222655680464531</v>
      </c>
      <c r="AP31" s="47">
        <f t="shared" si="37"/>
        <v>9.2896201257281117</v>
      </c>
      <c r="AQ31">
        <v>2021</v>
      </c>
    </row>
    <row r="32" spans="1:43">
      <c r="B32" s="97" t="s">
        <v>31</v>
      </c>
      <c r="C32" s="98">
        <v>18231027</v>
      </c>
      <c r="D32" s="61" t="s">
        <v>164</v>
      </c>
      <c r="E32" s="38" t="s">
        <v>1756</v>
      </c>
      <c r="F32" s="39" t="s">
        <v>1757</v>
      </c>
      <c r="G32" s="39">
        <v>15</v>
      </c>
      <c r="H32" s="39"/>
      <c r="I32" s="40" t="s">
        <v>258</v>
      </c>
      <c r="J32" s="41">
        <v>8</v>
      </c>
      <c r="K32" s="41">
        <v>599</v>
      </c>
      <c r="L32" s="41"/>
      <c r="M32" s="42">
        <v>2500</v>
      </c>
      <c r="N32" s="42">
        <v>2659</v>
      </c>
      <c r="O32" s="43">
        <v>4792</v>
      </c>
      <c r="P32" s="44">
        <v>20000</v>
      </c>
      <c r="Q32" s="44">
        <v>21272</v>
      </c>
      <c r="R32" s="45">
        <v>1755.23</v>
      </c>
      <c r="S32" s="46">
        <v>0</v>
      </c>
      <c r="T32" s="39">
        <f t="shared" si="19"/>
        <v>15</v>
      </c>
      <c r="U32" s="47">
        <f t="shared" si="20"/>
        <v>0.30975623546024572</v>
      </c>
      <c r="V32" s="48">
        <f t="shared" si="21"/>
        <v>159</v>
      </c>
      <c r="W32" s="49">
        <f t="shared" si="22"/>
        <v>2.0650415697349715E-2</v>
      </c>
      <c r="X32" s="44">
        <f t="shared" si="23"/>
        <v>15998.333208419583</v>
      </c>
      <c r="Y32" s="44">
        <f t="shared" si="24"/>
        <v>1272</v>
      </c>
      <c r="Z32" s="44">
        <f t="shared" si="25"/>
        <v>31998.401464766052</v>
      </c>
      <c r="AA32" s="50">
        <f t="shared" si="26"/>
        <v>37270.333208419586</v>
      </c>
      <c r="AB32" s="51">
        <f t="shared" si="27"/>
        <v>29913.435042316582</v>
      </c>
      <c r="AC32" s="44">
        <f t="shared" si="28"/>
        <v>34841.855855304835</v>
      </c>
      <c r="AD32" s="44">
        <f t="shared" si="29"/>
        <v>128134.56013575975</v>
      </c>
      <c r="AE32" s="44">
        <f t="shared" si="30"/>
        <v>0</v>
      </c>
      <c r="AF32" s="52">
        <f>HLOOKUP(I32,GasAvoidedCostsWOCC!$A$5:$G$50,G32+1,FALSE)</f>
        <v>10.126781237717944</v>
      </c>
      <c r="AG32" s="44">
        <f t="shared" si="31"/>
        <v>48527.535691144389</v>
      </c>
      <c r="AH32" s="52">
        <f>HLOOKUP(I32,GasAvoidedCostsWOCC!$A$5:$Q$50,T32+1,FALSE)</f>
        <v>10.126781237717944</v>
      </c>
      <c r="AI32" s="44">
        <f t="shared" si="32"/>
        <v>0</v>
      </c>
      <c r="AJ32" s="44">
        <f t="shared" si="33"/>
        <v>48527.535691144389</v>
      </c>
      <c r="AK32" s="44">
        <f>HLOOKUP(I32,GasAvoidedCostsWOCC!$A$5:$Q$50,G32+1,FALSE)*J32*L32</f>
        <v>0</v>
      </c>
      <c r="AL32" s="44">
        <f t="shared" si="34"/>
        <v>48527.535691144389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48527.535691144389</v>
      </c>
      <c r="AN32" s="48">
        <f t="shared" si="35"/>
        <v>181514.84939601857</v>
      </c>
      <c r="AO32" s="47">
        <f t="shared" si="36"/>
        <v>1.6222655680464533</v>
      </c>
      <c r="AP32" s="47">
        <f t="shared" si="37"/>
        <v>5.2096779847156762</v>
      </c>
      <c r="AQ32">
        <v>2021</v>
      </c>
    </row>
    <row r="33" spans="2:43">
      <c r="B33" s="97" t="s">
        <v>31</v>
      </c>
      <c r="C33" s="98">
        <v>18231027</v>
      </c>
      <c r="D33" s="61" t="s">
        <v>164</v>
      </c>
      <c r="E33" s="38" t="s">
        <v>1758</v>
      </c>
      <c r="F33" s="39" t="s">
        <v>1759</v>
      </c>
      <c r="G33" s="39">
        <v>20</v>
      </c>
      <c r="H33" s="39"/>
      <c r="I33" s="40" t="s">
        <v>258</v>
      </c>
      <c r="J33" s="41">
        <v>1</v>
      </c>
      <c r="K33" s="41">
        <v>160</v>
      </c>
      <c r="L33" s="41"/>
      <c r="M33" s="42">
        <v>2300</v>
      </c>
      <c r="N33" s="42">
        <v>2327.69</v>
      </c>
      <c r="O33" s="43">
        <v>160</v>
      </c>
      <c r="P33" s="44">
        <v>2300</v>
      </c>
      <c r="Q33" s="44">
        <v>2327.69</v>
      </c>
      <c r="R33" s="45">
        <v>1853.38</v>
      </c>
      <c r="S33" s="46">
        <v>0</v>
      </c>
      <c r="T33" s="39">
        <f t="shared" si="19"/>
        <v>20</v>
      </c>
      <c r="U33" s="47">
        <f t="shared" si="20"/>
        <v>1.3789927009916336E-2</v>
      </c>
      <c r="V33" s="48">
        <f t="shared" si="21"/>
        <v>27.690000000000055</v>
      </c>
      <c r="W33" s="49">
        <f t="shared" si="22"/>
        <v>6.8949635049581678E-4</v>
      </c>
      <c r="X33" s="44">
        <f t="shared" si="23"/>
        <v>534.16805370349186</v>
      </c>
      <c r="Y33" s="44">
        <f t="shared" si="24"/>
        <v>27.690000000000055</v>
      </c>
      <c r="Z33" s="44">
        <f t="shared" si="25"/>
        <v>1068.3940388903522</v>
      </c>
      <c r="AA33" s="50">
        <f t="shared" si="26"/>
        <v>2861.8580537034918</v>
      </c>
      <c r="AB33" s="51">
        <f t="shared" si="27"/>
        <v>998.77913329938497</v>
      </c>
      <c r="AC33" s="44">
        <f t="shared" si="28"/>
        <v>2675.3838026582139</v>
      </c>
      <c r="AD33" s="44">
        <f t="shared" si="29"/>
        <v>19680.599320720405</v>
      </c>
      <c r="AE33" s="44">
        <f t="shared" si="30"/>
        <v>0</v>
      </c>
      <c r="AF33" s="52">
        <f>HLOOKUP(I33,GasAvoidedCostsWOCC!$A$5:$G$50,G33+1,FALSE)</f>
        <v>13.019808647625348</v>
      </c>
      <c r="AG33" s="44">
        <f t="shared" si="31"/>
        <v>2083.1693836200557</v>
      </c>
      <c r="AH33" s="52">
        <f>HLOOKUP(I33,GasAvoidedCostsWOCC!$A$5:$Q$50,T33+1,FALSE)</f>
        <v>13.019808647625348</v>
      </c>
      <c r="AI33" s="44">
        <f t="shared" si="32"/>
        <v>0</v>
      </c>
      <c r="AJ33" s="44">
        <f t="shared" si="33"/>
        <v>2083.1693836200557</v>
      </c>
      <c r="AK33" s="44">
        <f>HLOOKUP(I33,GasAvoidedCostsWOCC!$A$5:$Q$50,G33+1,FALSE)*J33*L33</f>
        <v>0</v>
      </c>
      <c r="AL33" s="44">
        <f t="shared" si="34"/>
        <v>2083.1693836200557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2083.1693836200557</v>
      </c>
      <c r="AN33" s="48">
        <f t="shared" si="35"/>
        <v>21972.085642702466</v>
      </c>
      <c r="AO33" s="47">
        <f t="shared" si="36"/>
        <v>2.0857157645439353</v>
      </c>
      <c r="AP33" s="47">
        <f t="shared" si="37"/>
        <v>8.2126854550257029</v>
      </c>
      <c r="AQ33">
        <v>2021</v>
      </c>
    </row>
    <row r="34" spans="2:43">
      <c r="B34" s="97" t="s">
        <v>31</v>
      </c>
      <c r="C34" s="98">
        <v>18231027</v>
      </c>
      <c r="D34" s="61" t="s">
        <v>164</v>
      </c>
      <c r="E34" s="38" t="s">
        <v>1760</v>
      </c>
      <c r="F34" s="39" t="s">
        <v>1761</v>
      </c>
      <c r="G34" s="39">
        <v>10</v>
      </c>
      <c r="H34" s="39"/>
      <c r="I34" s="40" t="s">
        <v>258</v>
      </c>
      <c r="J34" s="41">
        <v>3</v>
      </c>
      <c r="K34" s="41">
        <v>41</v>
      </c>
      <c r="L34" s="41"/>
      <c r="M34" s="42">
        <v>25</v>
      </c>
      <c r="N34" s="42">
        <v>42.33</v>
      </c>
      <c r="O34" s="43">
        <v>123</v>
      </c>
      <c r="P34" s="44">
        <v>75</v>
      </c>
      <c r="Q34" s="44">
        <v>126.99</v>
      </c>
      <c r="R34" s="45">
        <v>20.100000000000001</v>
      </c>
      <c r="S34" s="46">
        <v>0</v>
      </c>
      <c r="T34" s="39">
        <f t="shared" si="19"/>
        <v>10</v>
      </c>
      <c r="U34" s="47">
        <f t="shared" si="20"/>
        <v>5.3005031944365916E-3</v>
      </c>
      <c r="V34" s="48">
        <f t="shared" si="21"/>
        <v>17.329999999999998</v>
      </c>
      <c r="W34" s="49">
        <f t="shared" si="22"/>
        <v>5.3005031944365914E-4</v>
      </c>
      <c r="X34" s="44">
        <f t="shared" si="23"/>
        <v>410.64169128455933</v>
      </c>
      <c r="Y34" s="44">
        <f t="shared" si="24"/>
        <v>51.989999999999995</v>
      </c>
      <c r="Z34" s="44">
        <f t="shared" si="25"/>
        <v>821.32791739695824</v>
      </c>
      <c r="AA34" s="50">
        <f t="shared" si="26"/>
        <v>537.63169128455934</v>
      </c>
      <c r="AB34" s="51">
        <f t="shared" si="27"/>
        <v>767.81145872390221</v>
      </c>
      <c r="AC34" s="44">
        <f t="shared" si="28"/>
        <v>502.60044057638521</v>
      </c>
      <c r="AD34" s="44">
        <f t="shared" si="29"/>
        <v>424.10990986703041</v>
      </c>
      <c r="AE34" s="44">
        <f t="shared" si="30"/>
        <v>0</v>
      </c>
      <c r="AF34" s="52">
        <f>HLOOKUP(I34,GasAvoidedCostsWOCC!$A$5:$G$50,G34+1,FALSE)</f>
        <v>7.0792452083475723</v>
      </c>
      <c r="AG34" s="44">
        <f t="shared" si="31"/>
        <v>870.74716062675134</v>
      </c>
      <c r="AH34" s="52">
        <f>HLOOKUP(I34,GasAvoidedCostsWOCC!$A$5:$Q$50,T34+1,FALSE)</f>
        <v>7.0792452083475723</v>
      </c>
      <c r="AI34" s="44">
        <f t="shared" si="32"/>
        <v>0</v>
      </c>
      <c r="AJ34" s="44">
        <f t="shared" si="33"/>
        <v>870.74716062675134</v>
      </c>
      <c r="AK34" s="44">
        <f>HLOOKUP(I34,GasAvoidedCostsWOCC!$A$5:$Q$50,G34+1,FALSE)*J34*L34</f>
        <v>0</v>
      </c>
      <c r="AL34" s="44">
        <f t="shared" si="34"/>
        <v>870.74716062675134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870.74716062675134</v>
      </c>
      <c r="AN34" s="48">
        <f t="shared" si="35"/>
        <v>1381.9317865564569</v>
      </c>
      <c r="AO34" s="47">
        <f t="shared" si="36"/>
        <v>1.134063774033703</v>
      </c>
      <c r="AP34" s="47">
        <f t="shared" si="37"/>
        <v>2.7495634205406767</v>
      </c>
      <c r="AQ34">
        <v>2021</v>
      </c>
    </row>
    <row r="35" spans="2:43">
      <c r="B35" s="97" t="s">
        <v>31</v>
      </c>
      <c r="C35" s="98">
        <v>18231027</v>
      </c>
      <c r="D35" s="61" t="s">
        <v>164</v>
      </c>
      <c r="E35" s="38" t="s">
        <v>1762</v>
      </c>
      <c r="F35" s="39" t="s">
        <v>1763</v>
      </c>
      <c r="G35" s="39">
        <v>10</v>
      </c>
      <c r="H35" s="39"/>
      <c r="I35" s="40" t="s">
        <v>258</v>
      </c>
      <c r="J35" s="41">
        <v>1</v>
      </c>
      <c r="K35" s="41">
        <v>96</v>
      </c>
      <c r="L35" s="41"/>
      <c r="M35" s="42">
        <v>200</v>
      </c>
      <c r="N35" s="42">
        <v>232</v>
      </c>
      <c r="O35" s="43">
        <v>96</v>
      </c>
      <c r="P35" s="44">
        <v>200</v>
      </c>
      <c r="Q35" s="44">
        <v>232</v>
      </c>
      <c r="R35" s="45">
        <v>258.63</v>
      </c>
      <c r="S35" s="46">
        <v>0</v>
      </c>
      <c r="T35" s="39">
        <f t="shared" si="19"/>
        <v>10</v>
      </c>
      <c r="U35" s="47">
        <f t="shared" si="20"/>
        <v>4.1369781029749007E-3</v>
      </c>
      <c r="V35" s="48">
        <f t="shared" si="21"/>
        <v>32</v>
      </c>
      <c r="W35" s="49">
        <f t="shared" si="22"/>
        <v>4.1369781029749011E-4</v>
      </c>
      <c r="X35" s="44">
        <f t="shared" si="23"/>
        <v>320.50083222209514</v>
      </c>
      <c r="Y35" s="44">
        <f t="shared" si="24"/>
        <v>32</v>
      </c>
      <c r="Z35" s="44">
        <f t="shared" si="25"/>
        <v>641.03642333421135</v>
      </c>
      <c r="AA35" s="50">
        <f t="shared" si="26"/>
        <v>552.50083222209514</v>
      </c>
      <c r="AB35" s="51">
        <f t="shared" si="27"/>
        <v>599.26747997963105</v>
      </c>
      <c r="AC35" s="44">
        <f t="shared" si="28"/>
        <v>516.50073125371136</v>
      </c>
      <c r="AD35" s="44">
        <f t="shared" si="29"/>
        <v>1819.0306134147606</v>
      </c>
      <c r="AE35" s="44">
        <f t="shared" si="30"/>
        <v>0</v>
      </c>
      <c r="AF35" s="52">
        <f>HLOOKUP(I35,GasAvoidedCostsWOCC!$A$5:$G$50,G35+1,FALSE)</f>
        <v>7.0792452083475723</v>
      </c>
      <c r="AG35" s="44">
        <f t="shared" si="31"/>
        <v>679.60754000136694</v>
      </c>
      <c r="AH35" s="52">
        <f>HLOOKUP(I35,GasAvoidedCostsWOCC!$A$5:$Q$50,T35+1,FALSE)</f>
        <v>7.0792452083475723</v>
      </c>
      <c r="AI35" s="44">
        <f t="shared" si="32"/>
        <v>0</v>
      </c>
      <c r="AJ35" s="44">
        <f t="shared" si="33"/>
        <v>679.60754000136694</v>
      </c>
      <c r="AK35" s="44">
        <f>HLOOKUP(I35,GasAvoidedCostsWOCC!$A$5:$Q$50,G35+1,FALSE)*J35*L35</f>
        <v>0</v>
      </c>
      <c r="AL35" s="44">
        <f t="shared" si="34"/>
        <v>679.60754000136694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679.60754000136694</v>
      </c>
      <c r="AN35" s="48">
        <f t="shared" si="35"/>
        <v>2566.5989074162644</v>
      </c>
      <c r="AO35" s="47">
        <f t="shared" si="36"/>
        <v>1.134063774033703</v>
      </c>
      <c r="AP35" s="47">
        <f t="shared" si="37"/>
        <v>4.9692067253928442</v>
      </c>
      <c r="AQ35">
        <v>2021</v>
      </c>
    </row>
    <row r="36" spans="2:43">
      <c r="B36" s="97" t="s">
        <v>31</v>
      </c>
      <c r="C36" s="61">
        <v>18231027</v>
      </c>
      <c r="D36" s="61" t="s">
        <v>164</v>
      </c>
      <c r="E36" s="38" t="s">
        <v>2120</v>
      </c>
      <c r="F36" s="39" t="s">
        <v>2121</v>
      </c>
      <c r="G36" s="39">
        <v>12</v>
      </c>
      <c r="H36" s="39"/>
      <c r="I36" s="40" t="s">
        <v>258</v>
      </c>
      <c r="J36" s="41">
        <v>3</v>
      </c>
      <c r="K36" s="41">
        <v>714</v>
      </c>
      <c r="L36" s="41"/>
      <c r="M36" s="42">
        <v>2000</v>
      </c>
      <c r="N36" s="42">
        <v>2354</v>
      </c>
      <c r="O36" s="43">
        <v>2142</v>
      </c>
      <c r="P36" s="44">
        <v>6000</v>
      </c>
      <c r="Q36" s="44">
        <v>7062</v>
      </c>
      <c r="R36" s="45">
        <v>0</v>
      </c>
      <c r="S36" s="46"/>
      <c r="T36" s="39">
        <f t="shared" si="19"/>
        <v>12</v>
      </c>
      <c r="U36" s="47">
        <f t="shared" si="20"/>
        <v>0.11076758870715298</v>
      </c>
      <c r="V36" s="48">
        <f t="shared" si="21"/>
        <v>354</v>
      </c>
      <c r="W36" s="49">
        <f t="shared" si="22"/>
        <v>9.2306323922627474E-3</v>
      </c>
      <c r="X36" s="44">
        <f t="shared" si="23"/>
        <v>7151.1748189554974</v>
      </c>
      <c r="Y36" s="44">
        <f t="shared" si="24"/>
        <v>1062</v>
      </c>
      <c r="Z36" s="44">
        <f t="shared" si="25"/>
        <v>14303.12519564459</v>
      </c>
      <c r="AA36" s="50">
        <f t="shared" si="26"/>
        <v>14213.174818955496</v>
      </c>
      <c r="AB36" s="51">
        <f t="shared" si="27"/>
        <v>13371.155647045516</v>
      </c>
      <c r="AC36" s="44">
        <f t="shared" si="28"/>
        <v>13287.066297985879</v>
      </c>
      <c r="AD36" s="44">
        <f t="shared" si="29"/>
        <v>0</v>
      </c>
      <c r="AE36" s="44">
        <f t="shared" si="30"/>
        <v>0</v>
      </c>
      <c r="AF36" s="52">
        <f>HLOOKUP(I36,GasAvoidedCostsWOCC!$A$5:$G$50,G36+1,FALSE)</f>
        <v>8.327477491955495</v>
      </c>
      <c r="AG36" s="44">
        <f t="shared" si="31"/>
        <v>17837.456787768671</v>
      </c>
      <c r="AH36" s="52">
        <f>HLOOKUP(I36,GasAvoidedCostsWOCC!$A$5:$Q$50,T36+1,FALSE)</f>
        <v>8.327477491955495</v>
      </c>
      <c r="AI36" s="44">
        <f t="shared" si="32"/>
        <v>0</v>
      </c>
      <c r="AJ36" s="44">
        <f t="shared" si="33"/>
        <v>17837.456787768671</v>
      </c>
      <c r="AK36" s="44">
        <f>HLOOKUP(I36,GasAvoidedCostsWOCC!$A$5:$Q$50,G36+1,FALSE)*J36*L36</f>
        <v>0</v>
      </c>
      <c r="AL36" s="44">
        <f t="shared" si="34"/>
        <v>17837.456787768671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17837.456787768671</v>
      </c>
      <c r="AN36" s="48">
        <f t="shared" si="35"/>
        <v>19621.202466545539</v>
      </c>
      <c r="AO36" s="47">
        <f t="shared" si="36"/>
        <v>1.3340250654931256</v>
      </c>
      <c r="AP36" s="47">
        <f t="shared" si="37"/>
        <v>1.4767144248779598</v>
      </c>
      <c r="AQ36">
        <v>2020</v>
      </c>
    </row>
    <row r="37" spans="2:43">
      <c r="B37" s="97" t="s">
        <v>31</v>
      </c>
      <c r="C37" s="61">
        <v>18231027</v>
      </c>
      <c r="D37" s="61" t="s">
        <v>164</v>
      </c>
      <c r="E37" s="38" t="s">
        <v>2124</v>
      </c>
      <c r="F37" s="39" t="s">
        <v>2125</v>
      </c>
      <c r="G37" s="39">
        <v>12</v>
      </c>
      <c r="H37" s="39"/>
      <c r="I37" s="40" t="s">
        <v>258</v>
      </c>
      <c r="J37" s="41">
        <v>2</v>
      </c>
      <c r="K37" s="41">
        <v>357</v>
      </c>
      <c r="L37" s="41"/>
      <c r="M37" s="42">
        <v>1000</v>
      </c>
      <c r="N37" s="42">
        <v>1177</v>
      </c>
      <c r="O37" s="43">
        <v>714</v>
      </c>
      <c r="P37" s="44">
        <v>2000</v>
      </c>
      <c r="Q37" s="44">
        <v>2354</v>
      </c>
      <c r="R37" s="45">
        <v>0</v>
      </c>
      <c r="S37" s="46"/>
      <c r="T37" s="39">
        <f t="shared" si="19"/>
        <v>12</v>
      </c>
      <c r="U37" s="47">
        <f t="shared" si="20"/>
        <v>3.6922529569050989E-2</v>
      </c>
      <c r="V37" s="48">
        <f t="shared" si="21"/>
        <v>177</v>
      </c>
      <c r="W37" s="49">
        <f t="shared" si="22"/>
        <v>3.0768774640875826E-3</v>
      </c>
      <c r="X37" s="44">
        <f t="shared" si="23"/>
        <v>2383.7249396518328</v>
      </c>
      <c r="Y37" s="44">
        <f t="shared" si="24"/>
        <v>354</v>
      </c>
      <c r="Z37" s="44">
        <f t="shared" si="25"/>
        <v>4767.7083985481968</v>
      </c>
      <c r="AA37" s="50">
        <f t="shared" si="26"/>
        <v>4737.7249396518328</v>
      </c>
      <c r="AB37" s="51">
        <f t="shared" si="27"/>
        <v>4457.0518823485054</v>
      </c>
      <c r="AC37" s="44">
        <f t="shared" si="28"/>
        <v>4429.0220993286266</v>
      </c>
      <c r="AD37" s="44">
        <f t="shared" si="29"/>
        <v>0</v>
      </c>
      <c r="AE37" s="44">
        <f t="shared" si="30"/>
        <v>0</v>
      </c>
      <c r="AF37" s="52">
        <f>HLOOKUP(I37,GasAvoidedCostsWOCC!$A$5:$G$50,G37+1,FALSE)</f>
        <v>8.327477491955495</v>
      </c>
      <c r="AG37" s="44">
        <f t="shared" si="31"/>
        <v>5945.8189292562238</v>
      </c>
      <c r="AH37" s="52">
        <f>HLOOKUP(I37,GasAvoidedCostsWOCC!$A$5:$Q$50,T37+1,FALSE)</f>
        <v>8.327477491955495</v>
      </c>
      <c r="AI37" s="44">
        <f t="shared" si="32"/>
        <v>0</v>
      </c>
      <c r="AJ37" s="44">
        <f t="shared" si="33"/>
        <v>5945.8189292562238</v>
      </c>
      <c r="AK37" s="44">
        <f>HLOOKUP(I37,GasAvoidedCostsWOCC!$A$5:$Q$50,G37+1,FALSE)*J37*L37</f>
        <v>0</v>
      </c>
      <c r="AL37" s="44">
        <f t="shared" si="34"/>
        <v>5945.8189292562238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5945.8189292562238</v>
      </c>
      <c r="AN37" s="48">
        <f t="shared" si="35"/>
        <v>6540.4008221818467</v>
      </c>
      <c r="AO37" s="47">
        <f t="shared" si="36"/>
        <v>1.3340250654931256</v>
      </c>
      <c r="AP37" s="47">
        <f t="shared" si="37"/>
        <v>1.4767144248779598</v>
      </c>
      <c r="AQ37">
        <v>2020</v>
      </c>
    </row>
    <row r="38" spans="2:43">
      <c r="B38" s="97" t="s">
        <v>31</v>
      </c>
      <c r="C38" s="61">
        <v>18231027</v>
      </c>
      <c r="D38" s="61" t="s">
        <v>164</v>
      </c>
      <c r="E38" s="38" t="s">
        <v>2130</v>
      </c>
      <c r="F38" s="39" t="s">
        <v>2131</v>
      </c>
      <c r="G38" s="39">
        <v>0</v>
      </c>
      <c r="H38" s="39"/>
      <c r="I38" s="40" t="s">
        <v>258</v>
      </c>
      <c r="J38" s="41">
        <v>11</v>
      </c>
      <c r="K38" s="41">
        <v>0</v>
      </c>
      <c r="L38" s="41"/>
      <c r="M38" s="42">
        <v>50</v>
      </c>
      <c r="N38" s="42">
        <v>50</v>
      </c>
      <c r="O38" s="43">
        <v>0</v>
      </c>
      <c r="P38" s="44">
        <v>550</v>
      </c>
      <c r="Q38" s="44">
        <v>550</v>
      </c>
      <c r="R38" s="45">
        <v>0</v>
      </c>
      <c r="S38" s="46">
        <v>0</v>
      </c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550</v>
      </c>
      <c r="AB38" s="51">
        <f t="shared" si="27"/>
        <v>0</v>
      </c>
      <c r="AC38" s="44">
        <f t="shared" si="28"/>
        <v>514.16284939702712</v>
      </c>
      <c r="AD38" s="44">
        <f t="shared" si="29"/>
        <v>0</v>
      </c>
      <c r="AE38" s="44">
        <f t="shared" si="30"/>
        <v>0</v>
      </c>
      <c r="AF38" s="52" t="str">
        <f>HLOOKUP(I38,GasAvoidedCostsWOCC!$A$5:$G$50,G38+1,FALSE)</f>
        <v>Comm Cooking</v>
      </c>
      <c r="AG38" s="44" t="e">
        <f t="shared" si="31"/>
        <v>#VALUE!</v>
      </c>
      <c r="AH38" s="52" t="str">
        <f>HLOOKUP(I38,GasAvoidedCostsWOCC!$A$5:$Q$50,T38+1,FALSE)</f>
        <v>Comm Cooking</v>
      </c>
      <c r="AI38" s="44" t="e">
        <f t="shared" si="32"/>
        <v>#VALUE!</v>
      </c>
      <c r="AJ38" s="44" t="e">
        <f t="shared" si="33"/>
        <v>#VALUE!</v>
      </c>
      <c r="AK38" s="44" t="e">
        <f>HLOOKUP(I38,GasAvoidedCostsWOCC!$A$5:$Q$50,G38+1,FALSE)*J38*L38</f>
        <v>#VALUE!</v>
      </c>
      <c r="AL38" s="44" t="e">
        <f t="shared" si="34"/>
        <v>#VALUE!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>
        <f t="shared" si="37"/>
        <v>0</v>
      </c>
      <c r="AQ38">
        <v>2020</v>
      </c>
    </row>
    <row r="39" spans="2:43">
      <c r="B39" s="97" t="s">
        <v>31</v>
      </c>
      <c r="C39" s="61">
        <v>18231027</v>
      </c>
      <c r="D39" s="61" t="s">
        <v>164</v>
      </c>
      <c r="E39" s="38" t="s">
        <v>2134</v>
      </c>
      <c r="F39" s="39" t="s">
        <v>2135</v>
      </c>
      <c r="G39" s="39">
        <v>0</v>
      </c>
      <c r="H39" s="39"/>
      <c r="I39" s="40" t="s">
        <v>258</v>
      </c>
      <c r="J39" s="41">
        <v>1</v>
      </c>
      <c r="K39" s="41">
        <v>0</v>
      </c>
      <c r="L39" s="41"/>
      <c r="M39" s="42">
        <v>50</v>
      </c>
      <c r="N39" s="42">
        <v>50</v>
      </c>
      <c r="O39" s="43">
        <v>0</v>
      </c>
      <c r="P39" s="44">
        <v>50</v>
      </c>
      <c r="Q39" s="44">
        <v>50</v>
      </c>
      <c r="R39" s="45">
        <v>0</v>
      </c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50</v>
      </c>
      <c r="AB39" s="51">
        <f t="shared" si="27"/>
        <v>0</v>
      </c>
      <c r="AC39" s="44">
        <f t="shared" si="28"/>
        <v>46.742077217911557</v>
      </c>
      <c r="AD39" s="44">
        <f t="shared" si="29"/>
        <v>0</v>
      </c>
      <c r="AE39" s="44">
        <f t="shared" si="30"/>
        <v>0</v>
      </c>
      <c r="AF39" s="52" t="str">
        <f>HLOOKUP(I39,GasAvoidedCostsWOCC!$A$5:$G$50,G39+1,FALSE)</f>
        <v>Comm Cooking</v>
      </c>
      <c r="AG39" s="44" t="e">
        <f t="shared" si="31"/>
        <v>#VALUE!</v>
      </c>
      <c r="AH39" s="52" t="str">
        <f>HLOOKUP(I39,GasAvoidedCostsWOCC!$A$5:$Q$50,T39+1,FALSE)</f>
        <v>Comm Cooking</v>
      </c>
      <c r="AI39" s="44" t="e">
        <f t="shared" si="32"/>
        <v>#VALUE!</v>
      </c>
      <c r="AJ39" s="44" t="e">
        <f t="shared" si="33"/>
        <v>#VALUE!</v>
      </c>
      <c r="AK39" s="44" t="e">
        <f>HLOOKUP(I39,GasAvoidedCostsWOCC!$A$5:$Q$50,G39+1,FALSE)*J39*L39</f>
        <v>#VALUE!</v>
      </c>
      <c r="AL39" s="44" t="e">
        <f t="shared" si="34"/>
        <v>#VALUE!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>
        <f t="shared" si="37"/>
        <v>0</v>
      </c>
      <c r="AQ39">
        <v>2020</v>
      </c>
    </row>
    <row r="40" spans="2:43">
      <c r="B40" s="97" t="s">
        <v>31</v>
      </c>
      <c r="C40" s="61">
        <v>18231027</v>
      </c>
      <c r="D40" s="61" t="s">
        <v>164</v>
      </c>
      <c r="E40" s="38" t="s">
        <v>2138</v>
      </c>
      <c r="F40" s="39" t="s">
        <v>2139</v>
      </c>
      <c r="G40" s="39">
        <v>0</v>
      </c>
      <c r="H40" s="39"/>
      <c r="I40" s="40" t="s">
        <v>258</v>
      </c>
      <c r="J40" s="41">
        <v>7</v>
      </c>
      <c r="K40" s="41">
        <v>0</v>
      </c>
      <c r="L40" s="41"/>
      <c r="M40" s="42">
        <v>30</v>
      </c>
      <c r="N40" s="42">
        <v>30</v>
      </c>
      <c r="O40" s="43">
        <v>0</v>
      </c>
      <c r="P40" s="44">
        <v>210</v>
      </c>
      <c r="Q40" s="44">
        <v>210</v>
      </c>
      <c r="R40" s="45">
        <v>0</v>
      </c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210</v>
      </c>
      <c r="AB40" s="51">
        <f t="shared" si="27"/>
        <v>0</v>
      </c>
      <c r="AC40" s="44">
        <f t="shared" si="28"/>
        <v>196.31672431522856</v>
      </c>
      <c r="AD40" s="44">
        <f t="shared" si="29"/>
        <v>0</v>
      </c>
      <c r="AE40" s="44">
        <f t="shared" si="30"/>
        <v>0</v>
      </c>
      <c r="AF40" s="52" t="str">
        <f>HLOOKUP(I40,GasAvoidedCostsWOCC!$A$5:$G$50,G40+1,FALSE)</f>
        <v>Comm Cooking</v>
      </c>
      <c r="AG40" s="44" t="e">
        <f t="shared" si="31"/>
        <v>#VALUE!</v>
      </c>
      <c r="AH40" s="52" t="str">
        <f>HLOOKUP(I40,GasAvoidedCostsWOCC!$A$5:$Q$50,T40+1,FALSE)</f>
        <v>Comm Cooking</v>
      </c>
      <c r="AI40" s="44" t="e">
        <f t="shared" si="32"/>
        <v>#VALUE!</v>
      </c>
      <c r="AJ40" s="44" t="e">
        <f t="shared" si="33"/>
        <v>#VALUE!</v>
      </c>
      <c r="AK40" s="44" t="e">
        <f>HLOOKUP(I40,GasAvoidedCostsWOCC!$A$5:$Q$50,G40+1,FALSE)*J40*L40</f>
        <v>#VALUE!</v>
      </c>
      <c r="AL40" s="44" t="e">
        <f t="shared" si="34"/>
        <v>#VALUE!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>
        <f t="shared" si="37"/>
        <v>0</v>
      </c>
      <c r="AQ40">
        <v>2020</v>
      </c>
    </row>
    <row r="41" spans="2:43">
      <c r="B41" s="97" t="s">
        <v>31</v>
      </c>
      <c r="C41" s="61">
        <v>18231027</v>
      </c>
      <c r="D41" s="61" t="s">
        <v>164</v>
      </c>
      <c r="E41" s="38" t="s">
        <v>1713</v>
      </c>
      <c r="F41" s="39" t="s">
        <v>1714</v>
      </c>
      <c r="G41" s="39">
        <v>0</v>
      </c>
      <c r="H41" s="39"/>
      <c r="I41" s="40" t="s">
        <v>258</v>
      </c>
      <c r="J41" s="41">
        <v>6</v>
      </c>
      <c r="K41" s="41">
        <v>0</v>
      </c>
      <c r="L41" s="41"/>
      <c r="M41" s="42">
        <v>50</v>
      </c>
      <c r="N41" s="42">
        <v>50</v>
      </c>
      <c r="O41" s="43">
        <v>0</v>
      </c>
      <c r="P41" s="44">
        <v>300</v>
      </c>
      <c r="Q41" s="44">
        <v>300</v>
      </c>
      <c r="R41" s="45">
        <v>0</v>
      </c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300</v>
      </c>
      <c r="AB41" s="51">
        <f t="shared" si="27"/>
        <v>0</v>
      </c>
      <c r="AC41" s="44">
        <f t="shared" si="28"/>
        <v>280.45246330746937</v>
      </c>
      <c r="AD41" s="44">
        <f t="shared" si="29"/>
        <v>0</v>
      </c>
      <c r="AE41" s="44">
        <f t="shared" si="30"/>
        <v>0</v>
      </c>
      <c r="AF41" s="52" t="str">
        <f>HLOOKUP(I41,GasAvoidedCostsWOCC!$A$5:$G$50,G41+1,FALSE)</f>
        <v>Comm Cooking</v>
      </c>
      <c r="AG41" s="44" t="e">
        <f t="shared" si="31"/>
        <v>#VALUE!</v>
      </c>
      <c r="AH41" s="52" t="str">
        <f>HLOOKUP(I41,GasAvoidedCostsWOCC!$A$5:$Q$50,T41+1,FALSE)</f>
        <v>Comm Cooking</v>
      </c>
      <c r="AI41" s="44" t="e">
        <f t="shared" si="32"/>
        <v>#VALUE!</v>
      </c>
      <c r="AJ41" s="44" t="e">
        <f t="shared" si="33"/>
        <v>#VALUE!</v>
      </c>
      <c r="AK41" s="44" t="e">
        <f>HLOOKUP(I41,GasAvoidedCostsWOCC!$A$5:$Q$50,G41+1,FALSE)*J41*L41</f>
        <v>#VALUE!</v>
      </c>
      <c r="AL41" s="44" t="e">
        <f t="shared" si="34"/>
        <v>#VALUE!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>
        <f t="shared" si="37"/>
        <v>0</v>
      </c>
      <c r="AQ41">
        <v>2020</v>
      </c>
    </row>
    <row r="42" spans="2:43">
      <c r="B42" s="97" t="s">
        <v>31</v>
      </c>
      <c r="C42" s="61">
        <v>18231027</v>
      </c>
      <c r="D42" s="61" t="s">
        <v>164</v>
      </c>
      <c r="E42" s="38" t="s">
        <v>2140</v>
      </c>
      <c r="F42" s="39" t="s">
        <v>1716</v>
      </c>
      <c r="G42" s="39">
        <v>12</v>
      </c>
      <c r="H42" s="39"/>
      <c r="I42" s="40" t="s">
        <v>258</v>
      </c>
      <c r="J42" s="41">
        <v>12</v>
      </c>
      <c r="K42" s="41">
        <v>798</v>
      </c>
      <c r="L42" s="41"/>
      <c r="M42" s="42">
        <v>2500</v>
      </c>
      <c r="N42" s="42">
        <v>2531</v>
      </c>
      <c r="O42" s="43">
        <v>9576</v>
      </c>
      <c r="P42" s="44">
        <v>30000</v>
      </c>
      <c r="Q42" s="44">
        <v>30372</v>
      </c>
      <c r="R42" s="45">
        <v>0</v>
      </c>
      <c r="S42" s="46"/>
      <c r="T42" s="39">
        <f t="shared" si="19"/>
        <v>12</v>
      </c>
      <c r="U42" s="47">
        <f t="shared" si="20"/>
        <v>0.49519627892609563</v>
      </c>
      <c r="V42" s="48">
        <f t="shared" si="21"/>
        <v>31</v>
      </c>
      <c r="W42" s="49">
        <f t="shared" si="22"/>
        <v>4.1266356577174639E-2</v>
      </c>
      <c r="X42" s="44">
        <f t="shared" si="23"/>
        <v>31969.958014153992</v>
      </c>
      <c r="Y42" s="44">
        <f t="shared" si="24"/>
        <v>372</v>
      </c>
      <c r="Z42" s="44">
        <f t="shared" si="25"/>
        <v>63943.38322758759</v>
      </c>
      <c r="AA42" s="50">
        <f t="shared" si="26"/>
        <v>62341.958014153992</v>
      </c>
      <c r="AB42" s="51">
        <f t="shared" si="27"/>
        <v>59776.931127968201</v>
      </c>
      <c r="AC42" s="44">
        <f t="shared" si="28"/>
        <v>58279.852308267727</v>
      </c>
      <c r="AD42" s="44">
        <f t="shared" si="29"/>
        <v>0</v>
      </c>
      <c r="AE42" s="44">
        <f t="shared" si="30"/>
        <v>0</v>
      </c>
      <c r="AF42" s="52">
        <f>HLOOKUP(I42,GasAvoidedCostsWOCC!$A$5:$G$50,G42+1,FALSE)</f>
        <v>8.327477491955495</v>
      </c>
      <c r="AG42" s="44">
        <f t="shared" si="31"/>
        <v>79743.924462965821</v>
      </c>
      <c r="AH42" s="52">
        <f>HLOOKUP(I42,GasAvoidedCostsWOCC!$A$5:$Q$50,T42+1,FALSE)</f>
        <v>8.327477491955495</v>
      </c>
      <c r="AI42" s="44">
        <f t="shared" si="32"/>
        <v>0</v>
      </c>
      <c r="AJ42" s="44">
        <f t="shared" si="33"/>
        <v>79743.924462965821</v>
      </c>
      <c r="AK42" s="44">
        <f>HLOOKUP(I42,GasAvoidedCostsWOCC!$A$5:$Q$50,G42+1,FALSE)*J42*L42</f>
        <v>0</v>
      </c>
      <c r="AL42" s="44">
        <f t="shared" si="34"/>
        <v>79743.924462965821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79743.924462965821</v>
      </c>
      <c r="AN42" s="48">
        <f t="shared" si="35"/>
        <v>87718.316909262416</v>
      </c>
      <c r="AO42" s="47">
        <f t="shared" si="36"/>
        <v>1.3340250654931254</v>
      </c>
      <c r="AP42" s="47">
        <f t="shared" si="37"/>
        <v>1.5051224983426814</v>
      </c>
      <c r="AQ42">
        <v>2020</v>
      </c>
    </row>
    <row r="43" spans="2:43">
      <c r="B43" s="97" t="s">
        <v>31</v>
      </c>
      <c r="C43" s="61">
        <v>18231027</v>
      </c>
      <c r="D43" s="61" t="s">
        <v>164</v>
      </c>
      <c r="E43" s="38" t="s">
        <v>1715</v>
      </c>
      <c r="F43" s="39" t="s">
        <v>1716</v>
      </c>
      <c r="G43" s="39">
        <v>12</v>
      </c>
      <c r="H43" s="39"/>
      <c r="I43" s="40" t="s">
        <v>258</v>
      </c>
      <c r="J43" s="41">
        <v>14</v>
      </c>
      <c r="K43" s="41">
        <v>798</v>
      </c>
      <c r="L43" s="41"/>
      <c r="M43" s="42">
        <v>2500</v>
      </c>
      <c r="N43" s="42">
        <v>3588</v>
      </c>
      <c r="O43" s="43">
        <v>11172</v>
      </c>
      <c r="P43" s="44">
        <v>35000</v>
      </c>
      <c r="Q43" s="44">
        <v>50232</v>
      </c>
      <c r="R43" s="45">
        <v>5171.0200000000004</v>
      </c>
      <c r="S43" s="46">
        <v>0</v>
      </c>
      <c r="T43" s="39">
        <f t="shared" si="19"/>
        <v>12</v>
      </c>
      <c r="U43" s="47">
        <f t="shared" si="20"/>
        <v>0.57772899208044493</v>
      </c>
      <c r="V43" s="48">
        <f t="shared" si="21"/>
        <v>1088</v>
      </c>
      <c r="W43" s="49">
        <f t="shared" si="22"/>
        <v>4.8144082673370413E-2</v>
      </c>
      <c r="X43" s="44">
        <f t="shared" si="23"/>
        <v>37298.284349846326</v>
      </c>
      <c r="Y43" s="44">
        <f t="shared" si="24"/>
        <v>15232</v>
      </c>
      <c r="Z43" s="44">
        <f t="shared" si="25"/>
        <v>74600.61376551885</v>
      </c>
      <c r="AA43" s="50">
        <f t="shared" si="26"/>
        <v>87530.284349846333</v>
      </c>
      <c r="AB43" s="51">
        <f t="shared" si="27"/>
        <v>69739.752982629565</v>
      </c>
      <c r="AC43" s="44">
        <f t="shared" si="28"/>
        <v>81826.946199725455</v>
      </c>
      <c r="AD43" s="44">
        <f t="shared" si="29"/>
        <v>575925.52023981186</v>
      </c>
      <c r="AE43" s="44">
        <f t="shared" si="30"/>
        <v>0</v>
      </c>
      <c r="AF43" s="52">
        <f>HLOOKUP(I43,GasAvoidedCostsWOCC!$A$5:$G$50,G43+1,FALSE)</f>
        <v>8.327477491955495</v>
      </c>
      <c r="AG43" s="44">
        <f t="shared" si="31"/>
        <v>93034.578540126793</v>
      </c>
      <c r="AH43" s="52">
        <f>HLOOKUP(I43,GasAvoidedCostsWOCC!$A$5:$Q$50,T43+1,FALSE)</f>
        <v>8.327477491955495</v>
      </c>
      <c r="AI43" s="44">
        <f t="shared" si="32"/>
        <v>0</v>
      </c>
      <c r="AJ43" s="44">
        <f t="shared" si="33"/>
        <v>93034.578540126793</v>
      </c>
      <c r="AK43" s="44">
        <f>HLOOKUP(I43,GasAvoidedCostsWOCC!$A$5:$Q$50,G43+1,FALSE)*J43*L43</f>
        <v>0</v>
      </c>
      <c r="AL43" s="44">
        <f t="shared" si="34"/>
        <v>93034.578540126793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93034.578540126793</v>
      </c>
      <c r="AN43" s="48">
        <f t="shared" si="35"/>
        <v>678263.55663395138</v>
      </c>
      <c r="AO43" s="47">
        <f t="shared" si="36"/>
        <v>1.3340250654931254</v>
      </c>
      <c r="AP43" s="47">
        <f t="shared" si="37"/>
        <v>8.2889999949213191</v>
      </c>
      <c r="AQ43">
        <v>2020</v>
      </c>
    </row>
    <row r="44" spans="2:43">
      <c r="B44" s="97" t="s">
        <v>31</v>
      </c>
      <c r="C44" s="61">
        <v>18231027</v>
      </c>
      <c r="D44" s="61" t="s">
        <v>164</v>
      </c>
      <c r="E44" s="38" t="s">
        <v>2141</v>
      </c>
      <c r="F44" s="39" t="s">
        <v>2142</v>
      </c>
      <c r="G44" s="39">
        <v>12</v>
      </c>
      <c r="H44" s="39"/>
      <c r="I44" s="40" t="s">
        <v>258</v>
      </c>
      <c r="J44" s="41">
        <v>1</v>
      </c>
      <c r="K44" s="41">
        <v>378</v>
      </c>
      <c r="L44" s="41"/>
      <c r="M44" s="42">
        <v>750</v>
      </c>
      <c r="N44" s="42">
        <v>858</v>
      </c>
      <c r="O44" s="43">
        <v>378</v>
      </c>
      <c r="P44" s="44">
        <v>750</v>
      </c>
      <c r="Q44" s="44">
        <v>858</v>
      </c>
      <c r="R44" s="45">
        <v>0</v>
      </c>
      <c r="S44" s="46">
        <v>0</v>
      </c>
      <c r="T44" s="39">
        <f t="shared" si="19"/>
        <v>12</v>
      </c>
      <c r="U44" s="47">
        <f t="shared" si="20"/>
        <v>1.9547221536556407E-2</v>
      </c>
      <c r="V44" s="48">
        <f t="shared" si="21"/>
        <v>108</v>
      </c>
      <c r="W44" s="49">
        <f t="shared" si="22"/>
        <v>1.6289351280463673E-3</v>
      </c>
      <c r="X44" s="44">
        <f t="shared" si="23"/>
        <v>1261.9720268744995</v>
      </c>
      <c r="Y44" s="44">
        <f t="shared" si="24"/>
        <v>108</v>
      </c>
      <c r="Z44" s="44">
        <f t="shared" si="25"/>
        <v>2524.0809168784572</v>
      </c>
      <c r="AA44" s="50">
        <f t="shared" si="26"/>
        <v>2119.9720268744995</v>
      </c>
      <c r="AB44" s="51">
        <f t="shared" si="27"/>
        <v>2359.6157024197969</v>
      </c>
      <c r="AC44" s="44">
        <f t="shared" si="28"/>
        <v>1981.8379235996067</v>
      </c>
      <c r="AD44" s="44">
        <f t="shared" si="29"/>
        <v>0</v>
      </c>
      <c r="AE44" s="44">
        <f t="shared" si="30"/>
        <v>0</v>
      </c>
      <c r="AF44" s="52">
        <f>HLOOKUP(I44,GasAvoidedCostsWOCC!$A$5:$G$50,G44+1,FALSE)</f>
        <v>8.327477491955495</v>
      </c>
      <c r="AG44" s="44">
        <f t="shared" si="31"/>
        <v>3147.7864919591771</v>
      </c>
      <c r="AH44" s="52">
        <f>HLOOKUP(I44,GasAvoidedCostsWOCC!$A$5:$Q$50,T44+1,FALSE)</f>
        <v>8.327477491955495</v>
      </c>
      <c r="AI44" s="44">
        <f t="shared" si="32"/>
        <v>0</v>
      </c>
      <c r="AJ44" s="44">
        <f t="shared" si="33"/>
        <v>3147.7864919591771</v>
      </c>
      <c r="AK44" s="44">
        <f>HLOOKUP(I44,GasAvoidedCostsWOCC!$A$5:$Q$50,G44+1,FALSE)*J44*L44</f>
        <v>0</v>
      </c>
      <c r="AL44" s="44">
        <f t="shared" si="34"/>
        <v>3147.7864919591771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3147.7864919591771</v>
      </c>
      <c r="AN44" s="48">
        <f t="shared" si="35"/>
        <v>3462.5651411550953</v>
      </c>
      <c r="AO44" s="47">
        <f t="shared" si="36"/>
        <v>1.3340250654931256</v>
      </c>
      <c r="AP44" s="47">
        <f t="shared" si="37"/>
        <v>1.7471484927819163</v>
      </c>
      <c r="AQ44">
        <v>2020</v>
      </c>
    </row>
    <row r="45" spans="2:43">
      <c r="B45" s="97" t="s">
        <v>31</v>
      </c>
      <c r="C45" s="61">
        <v>18231027</v>
      </c>
      <c r="D45" s="61" t="s">
        <v>164</v>
      </c>
      <c r="E45" s="38" t="s">
        <v>2151</v>
      </c>
      <c r="F45" s="39" t="s">
        <v>2152</v>
      </c>
      <c r="G45" s="39">
        <v>0</v>
      </c>
      <c r="H45" s="39"/>
      <c r="I45" s="40" t="s">
        <v>258</v>
      </c>
      <c r="J45" s="41">
        <v>1</v>
      </c>
      <c r="K45" s="41">
        <v>0</v>
      </c>
      <c r="L45" s="41"/>
      <c r="M45" s="42">
        <v>50</v>
      </c>
      <c r="N45" s="42">
        <v>50</v>
      </c>
      <c r="O45" s="43">
        <v>0</v>
      </c>
      <c r="P45" s="44">
        <v>50</v>
      </c>
      <c r="Q45" s="44">
        <v>50</v>
      </c>
      <c r="R45" s="45">
        <v>0</v>
      </c>
      <c r="S45" s="46">
        <v>0</v>
      </c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50</v>
      </c>
      <c r="AB45" s="51">
        <f t="shared" si="27"/>
        <v>0</v>
      </c>
      <c r="AC45" s="44">
        <f t="shared" si="28"/>
        <v>46.742077217911557</v>
      </c>
      <c r="AD45" s="44">
        <f t="shared" si="29"/>
        <v>0</v>
      </c>
      <c r="AE45" s="44">
        <f t="shared" si="30"/>
        <v>0</v>
      </c>
      <c r="AF45" s="52" t="str">
        <f>HLOOKUP(I45,GasAvoidedCostsWOCC!$A$5:$G$50,G45+1,FALSE)</f>
        <v>Comm Cooking</v>
      </c>
      <c r="AG45" s="44" t="e">
        <f t="shared" si="31"/>
        <v>#VALUE!</v>
      </c>
      <c r="AH45" s="52" t="str">
        <f>HLOOKUP(I45,GasAvoidedCostsWOCC!$A$5:$Q$50,T45+1,FALSE)</f>
        <v>Comm Cooking</v>
      </c>
      <c r="AI45" s="44" t="e">
        <f t="shared" si="32"/>
        <v>#VALUE!</v>
      </c>
      <c r="AJ45" s="44" t="e">
        <f t="shared" si="33"/>
        <v>#VALUE!</v>
      </c>
      <c r="AK45" s="44" t="e">
        <f>HLOOKUP(I45,GasAvoidedCostsWOCC!$A$5:$Q$50,G45+1,FALSE)*J45*L45</f>
        <v>#VALUE!</v>
      </c>
      <c r="AL45" s="44" t="e">
        <f t="shared" si="34"/>
        <v>#VALUE!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>
        <f t="shared" si="37"/>
        <v>0</v>
      </c>
      <c r="AQ45">
        <v>2020</v>
      </c>
    </row>
    <row r="46" spans="2:43">
      <c r="B46" s="97" t="s">
        <v>31</v>
      </c>
      <c r="C46" s="61">
        <v>18231027</v>
      </c>
      <c r="D46" s="61" t="s">
        <v>164</v>
      </c>
      <c r="E46" s="38" t="s">
        <v>2153</v>
      </c>
      <c r="F46" s="39" t="s">
        <v>2154</v>
      </c>
      <c r="G46" s="39">
        <v>15</v>
      </c>
      <c r="H46" s="39"/>
      <c r="I46" s="40" t="s">
        <v>255</v>
      </c>
      <c r="J46" s="41">
        <v>1</v>
      </c>
      <c r="K46" s="41">
        <v>261</v>
      </c>
      <c r="L46" s="41"/>
      <c r="M46" s="42">
        <v>250</v>
      </c>
      <c r="N46" s="42">
        <v>1126</v>
      </c>
      <c r="O46" s="43">
        <v>261</v>
      </c>
      <c r="P46" s="44">
        <v>250</v>
      </c>
      <c r="Q46" s="44">
        <v>1126</v>
      </c>
      <c r="R46" s="45"/>
      <c r="S46" s="46">
        <v>0</v>
      </c>
      <c r="T46" s="39">
        <f t="shared" si="19"/>
        <v>15</v>
      </c>
      <c r="U46" s="47">
        <f t="shared" si="20"/>
        <v>1.6871113826194519E-2</v>
      </c>
      <c r="V46" s="48">
        <f t="shared" si="21"/>
        <v>876</v>
      </c>
      <c r="W46" s="49">
        <f t="shared" si="22"/>
        <v>1.1247409217463012E-3</v>
      </c>
      <c r="X46" s="44">
        <f t="shared" si="23"/>
        <v>871.36163760382112</v>
      </c>
      <c r="Y46" s="44">
        <f t="shared" si="24"/>
        <v>876</v>
      </c>
      <c r="Z46" s="44">
        <f t="shared" si="25"/>
        <v>1742.8177759398873</v>
      </c>
      <c r="AA46" s="50">
        <f t="shared" si="26"/>
        <v>1997.3616376038212</v>
      </c>
      <c r="AB46" s="51">
        <f t="shared" si="27"/>
        <v>1629.258461194622</v>
      </c>
      <c r="AC46" s="44">
        <f t="shared" si="28"/>
        <v>1867.2166379394419</v>
      </c>
      <c r="AD46" s="44">
        <f t="shared" si="29"/>
        <v>0</v>
      </c>
      <c r="AE46" s="44">
        <f t="shared" si="30"/>
        <v>0</v>
      </c>
      <c r="AF46" s="52">
        <f>HLOOKUP(I46,GasAvoidedCostsWOCC!$A$5:$G$50,G46+1,FALSE)</f>
        <v>10.143887193159781</v>
      </c>
      <c r="AG46" s="44">
        <f t="shared" si="31"/>
        <v>2647.5545574147027</v>
      </c>
      <c r="AH46" s="52">
        <f>HLOOKUP(I46,GasAvoidedCostsWOCC!$A$5:$Q$50,T46+1,FALSE)</f>
        <v>10.143887193159781</v>
      </c>
      <c r="AI46" s="44">
        <f t="shared" si="32"/>
        <v>0</v>
      </c>
      <c r="AJ46" s="44">
        <f t="shared" si="33"/>
        <v>2647.5545574147027</v>
      </c>
      <c r="AK46" s="44">
        <f>HLOOKUP(I46,GasAvoidedCostsWOCC!$A$5:$Q$50,G46+1,FALSE)*J46*L46</f>
        <v>0</v>
      </c>
      <c r="AL46" s="44">
        <f t="shared" si="34"/>
        <v>2647.5545574147027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2647.5545574147027</v>
      </c>
      <c r="AN46" s="48">
        <f t="shared" si="35"/>
        <v>2912.3100131561732</v>
      </c>
      <c r="AO46" s="47">
        <f t="shared" si="36"/>
        <v>1.625005866456225</v>
      </c>
      <c r="AP46" s="47">
        <f t="shared" si="37"/>
        <v>1.5597065460867141</v>
      </c>
      <c r="AQ46">
        <v>2020</v>
      </c>
    </row>
    <row r="47" spans="2:43">
      <c r="B47" s="97" t="s">
        <v>31</v>
      </c>
      <c r="C47" s="61">
        <v>18231027</v>
      </c>
      <c r="D47" s="61" t="s">
        <v>164</v>
      </c>
      <c r="E47" s="38" t="s">
        <v>1722</v>
      </c>
      <c r="F47" s="39" t="s">
        <v>1723</v>
      </c>
      <c r="G47" s="39">
        <v>15</v>
      </c>
      <c r="H47" s="39"/>
      <c r="I47" s="40" t="s">
        <v>255</v>
      </c>
      <c r="J47" s="41">
        <v>1</v>
      </c>
      <c r="K47" s="41">
        <v>599</v>
      </c>
      <c r="L47" s="41"/>
      <c r="M47" s="42">
        <v>750</v>
      </c>
      <c r="N47" s="42">
        <v>2659</v>
      </c>
      <c r="O47" s="43">
        <v>599</v>
      </c>
      <c r="P47" s="44">
        <v>750</v>
      </c>
      <c r="Q47" s="44">
        <v>2659</v>
      </c>
      <c r="R47" s="45">
        <v>9597.84</v>
      </c>
      <c r="S47" s="46"/>
      <c r="T47" s="39">
        <f t="shared" si="19"/>
        <v>15</v>
      </c>
      <c r="U47" s="47">
        <f t="shared" si="20"/>
        <v>3.8719529432530715E-2</v>
      </c>
      <c r="V47" s="48">
        <f t="shared" si="21"/>
        <v>1909</v>
      </c>
      <c r="W47" s="49">
        <f t="shared" si="22"/>
        <v>2.5813019621687143E-3</v>
      </c>
      <c r="X47" s="44">
        <f t="shared" si="23"/>
        <v>1999.7916510524478</v>
      </c>
      <c r="Y47" s="44">
        <f t="shared" si="24"/>
        <v>1909</v>
      </c>
      <c r="Z47" s="44">
        <f t="shared" si="25"/>
        <v>3999.8001830957564</v>
      </c>
      <c r="AA47" s="50">
        <f t="shared" si="26"/>
        <v>4658.7916510524483</v>
      </c>
      <c r="AB47" s="51">
        <f t="shared" si="27"/>
        <v>3739.1793802895727</v>
      </c>
      <c r="AC47" s="44">
        <f t="shared" si="28"/>
        <v>4355.2319819131044</v>
      </c>
      <c r="AD47" s="44">
        <f t="shared" si="29"/>
        <v>87582.183435603903</v>
      </c>
      <c r="AE47" s="44">
        <f t="shared" si="30"/>
        <v>0</v>
      </c>
      <c r="AF47" s="52">
        <f>HLOOKUP(I47,GasAvoidedCostsWOCC!$A$5:$G$50,G47+1,FALSE)</f>
        <v>10.143887193159781</v>
      </c>
      <c r="AG47" s="44">
        <f t="shared" si="31"/>
        <v>6076.1884287027087</v>
      </c>
      <c r="AH47" s="52">
        <f>HLOOKUP(I47,GasAvoidedCostsWOCC!$A$5:$Q$50,T47+1,FALSE)</f>
        <v>10.143887193159781</v>
      </c>
      <c r="AI47" s="44">
        <f t="shared" si="32"/>
        <v>0</v>
      </c>
      <c r="AJ47" s="44">
        <f t="shared" si="33"/>
        <v>6076.1884287027087</v>
      </c>
      <c r="AK47" s="44">
        <f>HLOOKUP(I47,GasAvoidedCostsWOCC!$A$5:$Q$50,G47+1,FALSE)*J47*L47</f>
        <v>0</v>
      </c>
      <c r="AL47" s="44">
        <f t="shared" si="34"/>
        <v>6076.1884287027087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6076.1884287027087</v>
      </c>
      <c r="AN47" s="48">
        <f t="shared" si="35"/>
        <v>94265.990707176883</v>
      </c>
      <c r="AO47" s="47">
        <f t="shared" si="36"/>
        <v>1.6250058664562252</v>
      </c>
      <c r="AP47" s="47">
        <f t="shared" si="37"/>
        <v>21.644309900977781</v>
      </c>
      <c r="AQ47">
        <v>2020</v>
      </c>
    </row>
    <row r="48" spans="2:43">
      <c r="B48" s="97" t="s">
        <v>31</v>
      </c>
      <c r="C48" s="61">
        <v>18231027</v>
      </c>
      <c r="D48" s="61" t="s">
        <v>164</v>
      </c>
      <c r="E48" s="38" t="s">
        <v>2157</v>
      </c>
      <c r="F48" s="39" t="s">
        <v>2158</v>
      </c>
      <c r="G48" s="39">
        <v>20</v>
      </c>
      <c r="H48" s="39"/>
      <c r="I48" s="40" t="s">
        <v>255</v>
      </c>
      <c r="J48" s="41">
        <v>1</v>
      </c>
      <c r="K48" s="41">
        <v>484</v>
      </c>
      <c r="L48" s="41"/>
      <c r="M48" s="42">
        <v>1000</v>
      </c>
      <c r="N48" s="42">
        <v>5882</v>
      </c>
      <c r="O48" s="43">
        <v>484</v>
      </c>
      <c r="P48" s="44">
        <v>1000</v>
      </c>
      <c r="Q48" s="44">
        <v>5882</v>
      </c>
      <c r="R48" s="45">
        <v>5094.05</v>
      </c>
      <c r="S48" s="46">
        <v>0</v>
      </c>
      <c r="T48" s="39">
        <f t="shared" si="19"/>
        <v>20</v>
      </c>
      <c r="U48" s="47">
        <f t="shared" si="20"/>
        <v>4.1714529204996922E-2</v>
      </c>
      <c r="V48" s="48">
        <f t="shared" si="21"/>
        <v>4882</v>
      </c>
      <c r="W48" s="49">
        <f t="shared" si="22"/>
        <v>2.085726460249846E-3</v>
      </c>
      <c r="X48" s="44">
        <f t="shared" si="23"/>
        <v>1615.8583624530631</v>
      </c>
      <c r="Y48" s="44">
        <f t="shared" si="24"/>
        <v>4882</v>
      </c>
      <c r="Z48" s="44">
        <f t="shared" si="25"/>
        <v>3231.8919676433161</v>
      </c>
      <c r="AA48" s="50">
        <f t="shared" si="26"/>
        <v>7497.8583624530629</v>
      </c>
      <c r="AB48" s="51">
        <f t="shared" si="27"/>
        <v>3021.30687823064</v>
      </c>
      <c r="AC48" s="44">
        <f t="shared" si="28"/>
        <v>7009.3094909349002</v>
      </c>
      <c r="AD48" s="44">
        <f t="shared" si="29"/>
        <v>54092.49963294941</v>
      </c>
      <c r="AE48" s="44">
        <f t="shared" si="30"/>
        <v>0</v>
      </c>
      <c r="AF48" s="52">
        <f>HLOOKUP(I48,GasAvoidedCostsWOCC!$A$5:$G$50,G48+1,FALSE)</f>
        <v>13.039482845378327</v>
      </c>
      <c r="AG48" s="44">
        <f t="shared" si="31"/>
        <v>6311.1096971631105</v>
      </c>
      <c r="AH48" s="52">
        <f>HLOOKUP(I48,GasAvoidedCostsWOCC!$A$5:$Q$50,T48+1,FALSE)</f>
        <v>13.039482845378327</v>
      </c>
      <c r="AI48" s="44">
        <f t="shared" si="32"/>
        <v>0</v>
      </c>
      <c r="AJ48" s="44">
        <f t="shared" si="33"/>
        <v>6311.1096971631105</v>
      </c>
      <c r="AK48" s="44">
        <f>HLOOKUP(I48,GasAvoidedCostsWOCC!$A$5:$Q$50,G48+1,FALSE)*J48*L48</f>
        <v>0</v>
      </c>
      <c r="AL48" s="44">
        <f t="shared" si="34"/>
        <v>6311.1096971631105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6311.1096971631105</v>
      </c>
      <c r="AN48" s="48">
        <f t="shared" si="35"/>
        <v>61034.720299828834</v>
      </c>
      <c r="AO48" s="47">
        <f t="shared" si="36"/>
        <v>2.088867484013762</v>
      </c>
      <c r="AP48" s="47">
        <f t="shared" si="37"/>
        <v>8.7076651956608124</v>
      </c>
      <c r="AQ48">
        <v>2020</v>
      </c>
    </row>
    <row r="49" spans="2:43">
      <c r="B49" s="97" t="s">
        <v>31</v>
      </c>
      <c r="C49" s="61">
        <v>18231027</v>
      </c>
      <c r="D49" s="61" t="s">
        <v>164</v>
      </c>
      <c r="E49" s="38" t="s">
        <v>1145</v>
      </c>
      <c r="F49" s="39" t="s">
        <v>1146</v>
      </c>
      <c r="G49" s="39">
        <v>10</v>
      </c>
      <c r="H49" s="39"/>
      <c r="I49" s="40" t="s">
        <v>255</v>
      </c>
      <c r="J49" s="41">
        <v>3</v>
      </c>
      <c r="K49" s="41">
        <v>40</v>
      </c>
      <c r="L49" s="41"/>
      <c r="M49" s="42">
        <v>0</v>
      </c>
      <c r="N49" s="42">
        <v>57</v>
      </c>
      <c r="O49" s="43">
        <v>120</v>
      </c>
      <c r="P49" s="44">
        <v>0</v>
      </c>
      <c r="Q49" s="44">
        <v>171</v>
      </c>
      <c r="R49" s="45"/>
      <c r="S49" s="46">
        <v>0</v>
      </c>
      <c r="T49" s="39">
        <f t="shared" ref="T49:T98" si="38">G49+H49</f>
        <v>10</v>
      </c>
      <c r="U49" s="47">
        <f t="shared" ref="U49:U98" si="39">(O49/$A$10)*T49</f>
        <v>5.1712226287186254E-3</v>
      </c>
      <c r="V49" s="48">
        <f t="shared" ref="V49:V98" si="40">N49-M49</f>
        <v>57</v>
      </c>
      <c r="W49" s="49">
        <f t="shared" ref="W49:W98" si="41">(O49/A$10)</f>
        <v>5.1712226287186258E-4</v>
      </c>
      <c r="X49" s="44">
        <f t="shared" ref="X49:X98" si="42">W49*A$8</f>
        <v>400.62604027761887</v>
      </c>
      <c r="Y49" s="44">
        <f t="shared" ref="Y49:Y98" si="43">Q49-P49</f>
        <v>171</v>
      </c>
      <c r="Z49" s="44">
        <f t="shared" ref="Z49:Z98" si="44">X49+(A$6*W49)</f>
        <v>801.29552916776413</v>
      </c>
      <c r="AA49" s="50">
        <f t="shared" ref="AA49:AA98" si="45">Q49+X49</f>
        <v>571.62604027761881</v>
      </c>
      <c r="AB49" s="51">
        <f t="shared" ref="AB49:AB98" si="46">Z49/(1+GasDiscountRate)^1</f>
        <v>749.08434997453867</v>
      </c>
      <c r="AC49" s="44">
        <f t="shared" ref="AC49:AC98" si="47">AA49/(1+GasDiscountRate)^1</f>
        <v>534.37977028850969</v>
      </c>
      <c r="AD49" s="44">
        <f t="shared" ref="AD49:AD98" si="48">-PV(GasDiscountRate,T49,R49)*J49</f>
        <v>0</v>
      </c>
      <c r="AE49" s="44">
        <f t="shared" ref="AE49:AE98" si="49">-PV(GasDiscountRate,T49,S49)*J49</f>
        <v>0</v>
      </c>
      <c r="AF49" s="52">
        <f>HLOOKUP(I49,GasAvoidedCostsWOCC!$A$5:$G$50,G49+1,FALSE)</f>
        <v>7.0926897466576637</v>
      </c>
      <c r="AG49" s="44">
        <f t="shared" ref="AG49:AG98" si="50">AF49*J49*K49</f>
        <v>851.12276959891972</v>
      </c>
      <c r="AH49" s="52">
        <f>HLOOKUP(I49,GasAvoidedCostsWOCC!$A$5:$Q$50,T49+1,FALSE)</f>
        <v>7.0926897466576637</v>
      </c>
      <c r="AI49" s="44">
        <f t="shared" ref="AI49:AI98" si="51">AH49*J49*L49</f>
        <v>0</v>
      </c>
      <c r="AJ49" s="44">
        <f t="shared" ref="AJ49:AJ98" si="52">AG49+AI49</f>
        <v>851.12276959891972</v>
      </c>
      <c r="AK49" s="44">
        <f>HLOOKUP(I49,GasAvoidedCostsWOCC!$A$5:$Q$50,G49+1,FALSE)*J49*L49</f>
        <v>0</v>
      </c>
      <c r="AL49" s="44">
        <f t="shared" ref="AL49:AL98" si="53">AG49+AI49-AK49</f>
        <v>851.12276959891972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851.1227695989196</v>
      </c>
      <c r="AN49" s="48">
        <f t="shared" ref="AN49:AN98" si="54">AM49*1.1+AD49+AE49</f>
        <v>936.23504655881163</v>
      </c>
      <c r="AO49" s="47">
        <f t="shared" ref="AO49:AO98" si="55">IFERROR(AM49/AB49,0)</f>
        <v>1.1362175296117842</v>
      </c>
      <c r="AP49" s="47">
        <f t="shared" ref="AP49:AP98" si="56">AN49/AC49</f>
        <v>1.752003160698508</v>
      </c>
      <c r="AQ49">
        <v>2020</v>
      </c>
    </row>
    <row r="50" spans="2:43">
      <c r="B50" s="97" t="s">
        <v>31</v>
      </c>
      <c r="C50" s="61">
        <v>18231027</v>
      </c>
      <c r="D50" s="61" t="s">
        <v>164</v>
      </c>
      <c r="E50" s="38" t="s">
        <v>1724</v>
      </c>
      <c r="F50" s="39" t="s">
        <v>1725</v>
      </c>
      <c r="G50" s="39">
        <v>10</v>
      </c>
      <c r="H50" s="39"/>
      <c r="I50" s="40" t="s">
        <v>255</v>
      </c>
      <c r="J50" s="41">
        <v>1</v>
      </c>
      <c r="K50" s="41">
        <v>94</v>
      </c>
      <c r="L50" s="41"/>
      <c r="M50" s="42">
        <v>150</v>
      </c>
      <c r="N50" s="42">
        <v>232</v>
      </c>
      <c r="O50" s="43">
        <v>94</v>
      </c>
      <c r="P50" s="44">
        <v>150</v>
      </c>
      <c r="Q50" s="44">
        <v>232</v>
      </c>
      <c r="R50" s="45">
        <v>1126.21</v>
      </c>
      <c r="S50" s="46"/>
      <c r="T50" s="39">
        <f t="shared" si="38"/>
        <v>10</v>
      </c>
      <c r="U50" s="47">
        <f t="shared" si="39"/>
        <v>4.0507910591629235E-3</v>
      </c>
      <c r="V50" s="48">
        <f t="shared" si="40"/>
        <v>82</v>
      </c>
      <c r="W50" s="49">
        <f t="shared" si="41"/>
        <v>4.0507910591629237E-4</v>
      </c>
      <c r="X50" s="44">
        <f t="shared" si="42"/>
        <v>313.82373155080148</v>
      </c>
      <c r="Y50" s="44">
        <f t="shared" si="43"/>
        <v>82</v>
      </c>
      <c r="Z50" s="44">
        <f t="shared" si="44"/>
        <v>627.68149784808202</v>
      </c>
      <c r="AA50" s="50">
        <f t="shared" si="45"/>
        <v>545.82373155080154</v>
      </c>
      <c r="AB50" s="51">
        <f t="shared" si="46"/>
        <v>586.78274081338873</v>
      </c>
      <c r="AC50" s="44">
        <f t="shared" si="47"/>
        <v>510.25870015032393</v>
      </c>
      <c r="AD50" s="44">
        <f t="shared" si="48"/>
        <v>7921.008649939442</v>
      </c>
      <c r="AE50" s="44">
        <f t="shared" si="49"/>
        <v>0</v>
      </c>
      <c r="AF50" s="52">
        <f>HLOOKUP(I50,GasAvoidedCostsWOCC!$A$5:$G$50,G50+1,FALSE)</f>
        <v>7.0926897466576637</v>
      </c>
      <c r="AG50" s="44">
        <f t="shared" si="50"/>
        <v>666.71283618582038</v>
      </c>
      <c r="AH50" s="52">
        <f>HLOOKUP(I50,GasAvoidedCostsWOCC!$A$5:$Q$50,T50+1,FALSE)</f>
        <v>7.0926897466576637</v>
      </c>
      <c r="AI50" s="44">
        <f t="shared" si="51"/>
        <v>0</v>
      </c>
      <c r="AJ50" s="44">
        <f t="shared" si="52"/>
        <v>666.71283618582038</v>
      </c>
      <c r="AK50" s="44">
        <f>HLOOKUP(I50,GasAvoidedCostsWOCC!$A$5:$Q$50,G50+1,FALSE)*J50*L50</f>
        <v>0</v>
      </c>
      <c r="AL50" s="44">
        <f t="shared" si="53"/>
        <v>666.71283618582038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666.71283618582038</v>
      </c>
      <c r="AN50" s="48">
        <f t="shared" si="54"/>
        <v>8654.3927697438448</v>
      </c>
      <c r="AO50" s="47">
        <f t="shared" si="55"/>
        <v>1.1362175296117842</v>
      </c>
      <c r="AP50" s="47">
        <f t="shared" si="56"/>
        <v>16.960794136766765</v>
      </c>
      <c r="AQ50">
        <v>2020</v>
      </c>
    </row>
    <row r="51" spans="2:43">
      <c r="B51" s="97" t="s">
        <v>31</v>
      </c>
      <c r="C51" s="61">
        <v>18231027</v>
      </c>
      <c r="D51" s="61" t="s">
        <v>164</v>
      </c>
      <c r="E51" s="38" t="s">
        <v>2163</v>
      </c>
      <c r="F51" s="39" t="s">
        <v>2164</v>
      </c>
      <c r="G51" s="39">
        <v>12</v>
      </c>
      <c r="H51" s="39"/>
      <c r="I51" s="40" t="s">
        <v>258</v>
      </c>
      <c r="J51" s="41">
        <v>6</v>
      </c>
      <c r="K51" s="41">
        <v>2104</v>
      </c>
      <c r="L51" s="41"/>
      <c r="M51" s="42">
        <v>4000</v>
      </c>
      <c r="N51" s="42">
        <v>4128</v>
      </c>
      <c r="O51" s="43">
        <v>12624</v>
      </c>
      <c r="P51" s="44">
        <v>24000</v>
      </c>
      <c r="Q51" s="44">
        <v>24768</v>
      </c>
      <c r="R51" s="45">
        <v>0</v>
      </c>
      <c r="S51" s="46">
        <v>0</v>
      </c>
      <c r="T51" s="39">
        <f t="shared" si="38"/>
        <v>12</v>
      </c>
      <c r="U51" s="47">
        <f t="shared" si="39"/>
        <v>0.65281514464943946</v>
      </c>
      <c r="V51" s="48">
        <f t="shared" si="40"/>
        <v>128</v>
      </c>
      <c r="W51" s="49">
        <f t="shared" si="41"/>
        <v>5.440126205411995E-2</v>
      </c>
      <c r="X51" s="44">
        <f t="shared" si="42"/>
        <v>42145.859437205509</v>
      </c>
      <c r="Y51" s="44">
        <f t="shared" si="43"/>
        <v>768</v>
      </c>
      <c r="Z51" s="44">
        <f t="shared" si="44"/>
        <v>84296.289668448793</v>
      </c>
      <c r="AA51" s="50">
        <f t="shared" si="45"/>
        <v>66913.859437205509</v>
      </c>
      <c r="AB51" s="51">
        <f t="shared" si="46"/>
        <v>78803.673617321474</v>
      </c>
      <c r="AC51" s="44">
        <f t="shared" si="47"/>
        <v>62553.855695246799</v>
      </c>
      <c r="AD51" s="44">
        <f t="shared" si="48"/>
        <v>0</v>
      </c>
      <c r="AE51" s="44">
        <f t="shared" si="49"/>
        <v>0</v>
      </c>
      <c r="AF51" s="52">
        <f>HLOOKUP(I51,GasAvoidedCostsWOCC!$A$5:$G$50,G51+1,FALSE)</f>
        <v>8.327477491955495</v>
      </c>
      <c r="AG51" s="44">
        <f t="shared" si="50"/>
        <v>105126.07585844617</v>
      </c>
      <c r="AH51" s="52">
        <f>HLOOKUP(I51,GasAvoidedCostsWOCC!$A$5:$Q$50,T51+1,FALSE)</f>
        <v>8.327477491955495</v>
      </c>
      <c r="AI51" s="44">
        <f t="shared" si="51"/>
        <v>0</v>
      </c>
      <c r="AJ51" s="44">
        <f t="shared" si="52"/>
        <v>105126.07585844617</v>
      </c>
      <c r="AK51" s="44">
        <f>HLOOKUP(I51,GasAvoidedCostsWOCC!$A$5:$Q$50,G51+1,FALSE)*J51*L51</f>
        <v>0</v>
      </c>
      <c r="AL51" s="44">
        <f t="shared" si="53"/>
        <v>105126.07585844617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105126.07585844617</v>
      </c>
      <c r="AN51" s="48">
        <f t="shared" si="54"/>
        <v>115638.6834442908</v>
      </c>
      <c r="AO51" s="47">
        <f t="shared" si="55"/>
        <v>1.3340250654931256</v>
      </c>
      <c r="AP51" s="47">
        <f t="shared" si="56"/>
        <v>1.8486259905011369</v>
      </c>
      <c r="AQ51">
        <v>2020</v>
      </c>
    </row>
    <row r="52" spans="2:43">
      <c r="B52" s="97" t="s">
        <v>31</v>
      </c>
      <c r="C52" s="61">
        <v>18231027</v>
      </c>
      <c r="D52" s="61" t="s">
        <v>164</v>
      </c>
      <c r="E52" s="38" t="s">
        <v>1726</v>
      </c>
      <c r="F52" s="39" t="s">
        <v>1727</v>
      </c>
      <c r="G52" s="39">
        <v>12</v>
      </c>
      <c r="H52" s="39"/>
      <c r="I52" s="40" t="s">
        <v>258</v>
      </c>
      <c r="J52" s="41">
        <v>55</v>
      </c>
      <c r="K52" s="41">
        <v>548</v>
      </c>
      <c r="L52" s="41"/>
      <c r="M52" s="42">
        <v>1000</v>
      </c>
      <c r="N52" s="42">
        <v>1017</v>
      </c>
      <c r="O52" s="43">
        <v>30140</v>
      </c>
      <c r="P52" s="44">
        <v>55000</v>
      </c>
      <c r="Q52" s="44">
        <v>55935</v>
      </c>
      <c r="R52" s="45">
        <v>1357</v>
      </c>
      <c r="S52" s="46">
        <v>0</v>
      </c>
      <c r="T52" s="39">
        <f t="shared" si="38"/>
        <v>12</v>
      </c>
      <c r="U52" s="47">
        <f t="shared" si="39"/>
        <v>1.5586065002957938</v>
      </c>
      <c r="V52" s="48">
        <f t="shared" si="40"/>
        <v>17</v>
      </c>
      <c r="W52" s="49">
        <f t="shared" si="41"/>
        <v>0.12988387502464949</v>
      </c>
      <c r="X52" s="44">
        <f t="shared" si="42"/>
        <v>100623.90711639528</v>
      </c>
      <c r="Y52" s="44">
        <f t="shared" si="43"/>
        <v>935</v>
      </c>
      <c r="Z52" s="44">
        <f t="shared" si="44"/>
        <v>201258.72707597009</v>
      </c>
      <c r="AA52" s="50">
        <f t="shared" si="45"/>
        <v>156558.90711639528</v>
      </c>
      <c r="AB52" s="51">
        <f t="shared" si="46"/>
        <v>188145.01923527164</v>
      </c>
      <c r="AC52" s="44">
        <f t="shared" si="47"/>
        <v>146357.77051172784</v>
      </c>
      <c r="AD52" s="44">
        <f t="shared" si="48"/>
        <v>593751.34614362288</v>
      </c>
      <c r="AE52" s="44">
        <f t="shared" si="49"/>
        <v>0</v>
      </c>
      <c r="AF52" s="52">
        <f>HLOOKUP(I52,GasAvoidedCostsWOCC!$A$5:$G$50,G52+1,FALSE)</f>
        <v>8.327477491955495</v>
      </c>
      <c r="AG52" s="44">
        <f t="shared" si="50"/>
        <v>250990.17160753862</v>
      </c>
      <c r="AH52" s="52">
        <f>HLOOKUP(I52,GasAvoidedCostsWOCC!$A$5:$Q$50,T52+1,FALSE)</f>
        <v>8.327477491955495</v>
      </c>
      <c r="AI52" s="44">
        <f t="shared" si="51"/>
        <v>0</v>
      </c>
      <c r="AJ52" s="44">
        <f t="shared" si="52"/>
        <v>250990.17160753862</v>
      </c>
      <c r="AK52" s="44">
        <f>HLOOKUP(I52,GasAvoidedCostsWOCC!$A$5:$Q$50,G52+1,FALSE)*J52*L52</f>
        <v>0</v>
      </c>
      <c r="AL52" s="44">
        <f t="shared" si="53"/>
        <v>250990.17160753862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250990.17160753865</v>
      </c>
      <c r="AN52" s="48">
        <f t="shared" si="54"/>
        <v>869840.53491191543</v>
      </c>
      <c r="AO52" s="47">
        <f t="shared" si="55"/>
        <v>1.3340250654931258</v>
      </c>
      <c r="AP52" s="47">
        <f t="shared" si="56"/>
        <v>5.943248054890355</v>
      </c>
      <c r="AQ52">
        <v>2020</v>
      </c>
    </row>
    <row r="53" spans="2:43">
      <c r="B53" s="97" t="s">
        <v>31</v>
      </c>
      <c r="C53" s="61">
        <v>18231027</v>
      </c>
      <c r="D53" s="61" t="s">
        <v>164</v>
      </c>
      <c r="E53" s="38" t="s">
        <v>1729</v>
      </c>
      <c r="F53" s="39" t="s">
        <v>1730</v>
      </c>
      <c r="G53" s="39">
        <v>12</v>
      </c>
      <c r="H53" s="39"/>
      <c r="I53" s="40" t="s">
        <v>258</v>
      </c>
      <c r="J53" s="41">
        <v>2</v>
      </c>
      <c r="K53" s="41">
        <v>2595</v>
      </c>
      <c r="L53" s="41"/>
      <c r="M53" s="42">
        <v>2000</v>
      </c>
      <c r="N53" s="42">
        <v>2901</v>
      </c>
      <c r="O53" s="43">
        <v>5190</v>
      </c>
      <c r="P53" s="44">
        <v>4000</v>
      </c>
      <c r="Q53" s="44">
        <v>5802</v>
      </c>
      <c r="R53" s="45">
        <v>10342.030000000001</v>
      </c>
      <c r="S53" s="46">
        <v>0</v>
      </c>
      <c r="T53" s="39">
        <f t="shared" si="38"/>
        <v>12</v>
      </c>
      <c r="U53" s="47">
        <f t="shared" si="39"/>
        <v>0.26838645443049669</v>
      </c>
      <c r="V53" s="48">
        <f t="shared" si="40"/>
        <v>901</v>
      </c>
      <c r="W53" s="49">
        <f t="shared" si="41"/>
        <v>2.2365537869208058E-2</v>
      </c>
      <c r="X53" s="44">
        <f t="shared" si="42"/>
        <v>17327.076242007017</v>
      </c>
      <c r="Y53" s="44">
        <f t="shared" si="43"/>
        <v>1802</v>
      </c>
      <c r="Z53" s="44">
        <f t="shared" si="44"/>
        <v>34656.031636505795</v>
      </c>
      <c r="AA53" s="50">
        <f t="shared" si="45"/>
        <v>23129.076242007017</v>
      </c>
      <c r="AB53" s="51">
        <f t="shared" si="46"/>
        <v>32397.898136398795</v>
      </c>
      <c r="AC53" s="44">
        <f t="shared" si="47"/>
        <v>21622.021353657114</v>
      </c>
      <c r="AD53" s="44">
        <f t="shared" si="48"/>
        <v>164549.98953192827</v>
      </c>
      <c r="AE53" s="44">
        <f t="shared" si="49"/>
        <v>0</v>
      </c>
      <c r="AF53" s="52">
        <f>HLOOKUP(I53,GasAvoidedCostsWOCC!$A$5:$G$50,G53+1,FALSE)</f>
        <v>8.327477491955495</v>
      </c>
      <c r="AG53" s="44">
        <f t="shared" si="50"/>
        <v>43219.608183249016</v>
      </c>
      <c r="AH53" s="52">
        <f>HLOOKUP(I53,GasAvoidedCostsWOCC!$A$5:$Q$50,T53+1,FALSE)</f>
        <v>8.327477491955495</v>
      </c>
      <c r="AI53" s="44">
        <f t="shared" si="51"/>
        <v>0</v>
      </c>
      <c r="AJ53" s="44">
        <f t="shared" si="52"/>
        <v>43219.608183249016</v>
      </c>
      <c r="AK53" s="44">
        <f>HLOOKUP(I53,GasAvoidedCostsWOCC!$A$5:$Q$50,G53+1,FALSE)*J53*L53</f>
        <v>0</v>
      </c>
      <c r="AL53" s="44">
        <f t="shared" si="53"/>
        <v>43219.608183249016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43219.608183249016</v>
      </c>
      <c r="AN53" s="48">
        <f t="shared" si="54"/>
        <v>212091.55853350219</v>
      </c>
      <c r="AO53" s="47">
        <f t="shared" si="55"/>
        <v>1.3340250654931256</v>
      </c>
      <c r="AP53" s="47">
        <f t="shared" si="56"/>
        <v>9.8090532362567195</v>
      </c>
      <c r="AQ53">
        <v>2020</v>
      </c>
    </row>
    <row r="54" spans="2:43">
      <c r="B54" s="97" t="s">
        <v>31</v>
      </c>
      <c r="C54" s="61">
        <v>18231027</v>
      </c>
      <c r="D54" s="61" t="s">
        <v>164</v>
      </c>
      <c r="E54" s="38" t="s">
        <v>1731</v>
      </c>
      <c r="F54" s="39" t="s">
        <v>1732</v>
      </c>
      <c r="G54" s="39">
        <v>12</v>
      </c>
      <c r="H54" s="39"/>
      <c r="I54" s="40" t="s">
        <v>258</v>
      </c>
      <c r="J54" s="41">
        <v>6</v>
      </c>
      <c r="K54" s="41">
        <v>500</v>
      </c>
      <c r="L54" s="41"/>
      <c r="M54" s="42">
        <v>2000</v>
      </c>
      <c r="N54" s="42">
        <v>0</v>
      </c>
      <c r="O54" s="43">
        <v>3000</v>
      </c>
      <c r="P54" s="44">
        <v>12000</v>
      </c>
      <c r="Q54" s="44">
        <v>0</v>
      </c>
      <c r="R54" s="45">
        <v>0</v>
      </c>
      <c r="S54" s="46">
        <v>0</v>
      </c>
      <c r="T54" s="39">
        <f t="shared" si="38"/>
        <v>12</v>
      </c>
      <c r="U54" s="47">
        <f t="shared" si="39"/>
        <v>0.1551366788615588</v>
      </c>
      <c r="V54" s="48">
        <f t="shared" si="40"/>
        <v>-2000</v>
      </c>
      <c r="W54" s="49">
        <f t="shared" si="41"/>
        <v>1.2928056571796565E-2</v>
      </c>
      <c r="X54" s="44">
        <f t="shared" si="42"/>
        <v>10015.651006940472</v>
      </c>
      <c r="Y54" s="44">
        <f t="shared" si="43"/>
        <v>-12000</v>
      </c>
      <c r="Z54" s="44">
        <f t="shared" si="44"/>
        <v>20032.388229194104</v>
      </c>
      <c r="AA54" s="50">
        <f t="shared" si="45"/>
        <v>10015.651006940472</v>
      </c>
      <c r="AB54" s="51">
        <f t="shared" si="46"/>
        <v>18727.10874936347</v>
      </c>
      <c r="AC54" s="44">
        <f t="shared" si="47"/>
        <v>9363.0466550813035</v>
      </c>
      <c r="AD54" s="44">
        <f t="shared" si="48"/>
        <v>0</v>
      </c>
      <c r="AE54" s="44">
        <f t="shared" si="49"/>
        <v>0</v>
      </c>
      <c r="AF54" s="52">
        <f>HLOOKUP(I54,GasAvoidedCostsWOCC!$A$5:$G$50,G54+1,FALSE)</f>
        <v>8.327477491955495</v>
      </c>
      <c r="AG54" s="44">
        <f t="shared" si="50"/>
        <v>24982.432475866484</v>
      </c>
      <c r="AH54" s="52">
        <f>HLOOKUP(I54,GasAvoidedCostsWOCC!$A$5:$Q$50,T54+1,FALSE)</f>
        <v>8.327477491955495</v>
      </c>
      <c r="AI54" s="44">
        <f t="shared" si="51"/>
        <v>0</v>
      </c>
      <c r="AJ54" s="44">
        <f t="shared" si="52"/>
        <v>24982.432475866484</v>
      </c>
      <c r="AK54" s="44">
        <f>HLOOKUP(I54,GasAvoidedCostsWOCC!$A$5:$Q$50,G54+1,FALSE)*J54*L54</f>
        <v>0</v>
      </c>
      <c r="AL54" s="44">
        <f t="shared" si="53"/>
        <v>24982.432475866484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24982.432475866484</v>
      </c>
      <c r="AN54" s="48">
        <f t="shared" si="54"/>
        <v>27480.675723453136</v>
      </c>
      <c r="AO54" s="47">
        <f t="shared" si="55"/>
        <v>1.3340250654931254</v>
      </c>
      <c r="AP54" s="47">
        <f t="shared" si="56"/>
        <v>2.9350142892366597</v>
      </c>
      <c r="AQ54">
        <v>2020</v>
      </c>
    </row>
    <row r="55" spans="2:43">
      <c r="B55" s="97" t="s">
        <v>31</v>
      </c>
      <c r="C55" s="61">
        <v>18231027</v>
      </c>
      <c r="D55" s="61" t="s">
        <v>164</v>
      </c>
      <c r="E55" s="38" t="s">
        <v>1733</v>
      </c>
      <c r="F55" s="39" t="s">
        <v>1734</v>
      </c>
      <c r="G55" s="39">
        <v>12</v>
      </c>
      <c r="H55" s="39"/>
      <c r="I55" s="40" t="s">
        <v>258</v>
      </c>
      <c r="J55" s="41">
        <v>5</v>
      </c>
      <c r="K55" s="41">
        <v>250</v>
      </c>
      <c r="L55" s="41"/>
      <c r="M55" s="42">
        <v>1000</v>
      </c>
      <c r="N55" s="42">
        <v>1286</v>
      </c>
      <c r="O55" s="43">
        <v>1250</v>
      </c>
      <c r="P55" s="44">
        <v>5000</v>
      </c>
      <c r="Q55" s="44">
        <v>6430</v>
      </c>
      <c r="R55" s="45">
        <v>0</v>
      </c>
      <c r="S55" s="46">
        <v>0</v>
      </c>
      <c r="T55" s="39">
        <f t="shared" si="38"/>
        <v>12</v>
      </c>
      <c r="U55" s="47">
        <f t="shared" si="39"/>
        <v>6.4640282858982823E-2</v>
      </c>
      <c r="V55" s="48">
        <f t="shared" si="40"/>
        <v>286</v>
      </c>
      <c r="W55" s="49">
        <f t="shared" si="41"/>
        <v>5.3866902382485688E-3</v>
      </c>
      <c r="X55" s="44">
        <f t="shared" si="42"/>
        <v>4173.1879195585307</v>
      </c>
      <c r="Y55" s="44">
        <f t="shared" si="43"/>
        <v>1430</v>
      </c>
      <c r="Z55" s="44">
        <f t="shared" si="44"/>
        <v>8346.8284288308787</v>
      </c>
      <c r="AA55" s="50">
        <f t="shared" si="45"/>
        <v>10603.187919558532</v>
      </c>
      <c r="AB55" s="51">
        <f t="shared" si="46"/>
        <v>7802.9619789014469</v>
      </c>
      <c r="AC55" s="44">
        <f t="shared" si="47"/>
        <v>9912.3005698406378</v>
      </c>
      <c r="AD55" s="44">
        <f t="shared" si="48"/>
        <v>0</v>
      </c>
      <c r="AE55" s="44">
        <f t="shared" si="49"/>
        <v>0</v>
      </c>
      <c r="AF55" s="52">
        <f>HLOOKUP(I55,GasAvoidedCostsWOCC!$A$5:$G$50,G55+1,FALSE)</f>
        <v>8.327477491955495</v>
      </c>
      <c r="AG55" s="44">
        <f t="shared" si="50"/>
        <v>10409.346864944368</v>
      </c>
      <c r="AH55" s="52">
        <f>HLOOKUP(I55,GasAvoidedCostsWOCC!$A$5:$Q$50,T55+1,FALSE)</f>
        <v>8.327477491955495</v>
      </c>
      <c r="AI55" s="44">
        <f t="shared" si="51"/>
        <v>0</v>
      </c>
      <c r="AJ55" s="44">
        <f t="shared" si="52"/>
        <v>10409.346864944368</v>
      </c>
      <c r="AK55" s="44">
        <f>HLOOKUP(I55,GasAvoidedCostsWOCC!$A$5:$Q$50,G55+1,FALSE)*J55*L55</f>
        <v>0</v>
      </c>
      <c r="AL55" s="44">
        <f t="shared" si="53"/>
        <v>10409.346864944368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10409.346864944368</v>
      </c>
      <c r="AN55" s="48">
        <f t="shared" si="54"/>
        <v>11450.281551438806</v>
      </c>
      <c r="AO55" s="47">
        <f t="shared" si="55"/>
        <v>1.3340250654931252</v>
      </c>
      <c r="AP55" s="47">
        <f t="shared" si="56"/>
        <v>1.1551588322773081</v>
      </c>
      <c r="AQ55">
        <v>2020</v>
      </c>
    </row>
    <row r="56" spans="2:43">
      <c r="B56" s="97" t="s">
        <v>31</v>
      </c>
      <c r="C56" s="61">
        <v>18231027</v>
      </c>
      <c r="D56" s="61" t="s">
        <v>164</v>
      </c>
      <c r="E56" s="38" t="s">
        <v>1170</v>
      </c>
      <c r="F56" s="39" t="s">
        <v>1171</v>
      </c>
      <c r="G56" s="39"/>
      <c r="H56" s="39"/>
      <c r="I56" s="40" t="s">
        <v>258</v>
      </c>
      <c r="J56" s="41">
        <v>1</v>
      </c>
      <c r="K56" s="41">
        <v>0</v>
      </c>
      <c r="L56" s="41"/>
      <c r="M56" s="42">
        <v>25</v>
      </c>
      <c r="N56" s="42">
        <v>25</v>
      </c>
      <c r="O56" s="43">
        <v>0</v>
      </c>
      <c r="P56" s="44">
        <v>25</v>
      </c>
      <c r="Q56" s="44">
        <v>25</v>
      </c>
      <c r="R56" s="45">
        <v>0</v>
      </c>
      <c r="S56" s="46">
        <v>0</v>
      </c>
      <c r="T56" s="39">
        <f t="shared" si="38"/>
        <v>0</v>
      </c>
      <c r="U56" s="47">
        <f t="shared" si="39"/>
        <v>0</v>
      </c>
      <c r="V56" s="48">
        <f t="shared" si="40"/>
        <v>0</v>
      </c>
      <c r="W56" s="49">
        <f t="shared" si="41"/>
        <v>0</v>
      </c>
      <c r="X56" s="44">
        <f t="shared" si="42"/>
        <v>0</v>
      </c>
      <c r="Y56" s="44">
        <f t="shared" si="43"/>
        <v>0</v>
      </c>
      <c r="Z56" s="44">
        <f t="shared" si="44"/>
        <v>0</v>
      </c>
      <c r="AA56" s="50">
        <f t="shared" si="45"/>
        <v>25</v>
      </c>
      <c r="AB56" s="51">
        <f t="shared" si="46"/>
        <v>0</v>
      </c>
      <c r="AC56" s="44">
        <f t="shared" si="47"/>
        <v>23.371038608955779</v>
      </c>
      <c r="AD56" s="44">
        <f t="shared" si="48"/>
        <v>0</v>
      </c>
      <c r="AE56" s="44">
        <f t="shared" si="49"/>
        <v>0</v>
      </c>
      <c r="AF56" s="52" t="str">
        <f>HLOOKUP(I56,GasAvoidedCostsWOCC!$A$5:$G$50,G56+1,FALSE)</f>
        <v>Comm Cooking</v>
      </c>
      <c r="AG56" s="44" t="e">
        <f t="shared" si="50"/>
        <v>#VALUE!</v>
      </c>
      <c r="AH56" s="52" t="str">
        <f>HLOOKUP(I56,GasAvoidedCostsWOCC!$A$5:$Q$50,T56+1,FALSE)</f>
        <v>Comm Cooking</v>
      </c>
      <c r="AI56" s="44" t="e">
        <f t="shared" si="51"/>
        <v>#VALUE!</v>
      </c>
      <c r="AJ56" s="44" t="e">
        <f t="shared" si="52"/>
        <v>#VALUE!</v>
      </c>
      <c r="AK56" s="44" t="e">
        <f>HLOOKUP(I56,GasAvoidedCostsWOCC!$A$5:$Q$50,G56+1,FALSE)*J56*L56</f>
        <v>#VALUE!</v>
      </c>
      <c r="AL56" s="44" t="e">
        <f t="shared" si="53"/>
        <v>#VALUE!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54"/>
        <v>0</v>
      </c>
      <c r="AO56" s="47">
        <f t="shared" si="55"/>
        <v>0</v>
      </c>
      <c r="AP56" s="47">
        <f t="shared" si="56"/>
        <v>0</v>
      </c>
      <c r="AQ56">
        <v>2020</v>
      </c>
    </row>
    <row r="57" spans="2:43">
      <c r="B57" s="97" t="s">
        <v>31</v>
      </c>
      <c r="C57" s="61">
        <v>18231027</v>
      </c>
      <c r="D57" s="61" t="s">
        <v>164</v>
      </c>
      <c r="E57" s="38" t="s">
        <v>1738</v>
      </c>
      <c r="F57" s="39" t="s">
        <v>1739</v>
      </c>
      <c r="G57" s="39"/>
      <c r="H57" s="39"/>
      <c r="I57" s="40" t="s">
        <v>258</v>
      </c>
      <c r="J57" s="41">
        <v>29</v>
      </c>
      <c r="K57" s="41">
        <v>0</v>
      </c>
      <c r="L57" s="41"/>
      <c r="M57" s="42">
        <v>50</v>
      </c>
      <c r="N57" s="42">
        <v>50</v>
      </c>
      <c r="O57" s="43">
        <v>0</v>
      </c>
      <c r="P57" s="44">
        <v>1450</v>
      </c>
      <c r="Q57" s="44">
        <v>1450</v>
      </c>
      <c r="R57" s="45">
        <v>0</v>
      </c>
      <c r="S57" s="46">
        <v>0</v>
      </c>
      <c r="T57" s="39">
        <f t="shared" si="38"/>
        <v>0</v>
      </c>
      <c r="U57" s="47">
        <f t="shared" si="39"/>
        <v>0</v>
      </c>
      <c r="V57" s="48">
        <f t="shared" si="40"/>
        <v>0</v>
      </c>
      <c r="W57" s="49">
        <f t="shared" si="41"/>
        <v>0</v>
      </c>
      <c r="X57" s="44">
        <f t="shared" si="42"/>
        <v>0</v>
      </c>
      <c r="Y57" s="44">
        <f t="shared" si="43"/>
        <v>0</v>
      </c>
      <c r="Z57" s="44">
        <f t="shared" si="44"/>
        <v>0</v>
      </c>
      <c r="AA57" s="50">
        <f t="shared" si="45"/>
        <v>1450</v>
      </c>
      <c r="AB57" s="51">
        <f t="shared" si="46"/>
        <v>0</v>
      </c>
      <c r="AC57" s="44">
        <f t="shared" si="47"/>
        <v>1355.5202393194352</v>
      </c>
      <c r="AD57" s="44">
        <f t="shared" si="48"/>
        <v>0</v>
      </c>
      <c r="AE57" s="44">
        <f t="shared" si="49"/>
        <v>0</v>
      </c>
      <c r="AF57" s="52" t="str">
        <f>HLOOKUP(I57,GasAvoidedCostsWOCC!$A$5:$G$50,G57+1,FALSE)</f>
        <v>Comm Cooking</v>
      </c>
      <c r="AG57" s="44" t="e">
        <f t="shared" si="50"/>
        <v>#VALUE!</v>
      </c>
      <c r="AH57" s="52" t="str">
        <f>HLOOKUP(I57,GasAvoidedCostsWOCC!$A$5:$Q$50,T57+1,FALSE)</f>
        <v>Comm Cooking</v>
      </c>
      <c r="AI57" s="44" t="e">
        <f t="shared" si="51"/>
        <v>#VALUE!</v>
      </c>
      <c r="AJ57" s="44" t="e">
        <f t="shared" si="52"/>
        <v>#VALUE!</v>
      </c>
      <c r="AK57" s="44" t="e">
        <f>HLOOKUP(I57,GasAvoidedCostsWOCC!$A$5:$Q$50,G57+1,FALSE)*J57*L57</f>
        <v>#VALUE!</v>
      </c>
      <c r="AL57" s="44" t="e">
        <f t="shared" si="53"/>
        <v>#VALUE!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54"/>
        <v>0</v>
      </c>
      <c r="AO57" s="47">
        <f t="shared" si="55"/>
        <v>0</v>
      </c>
      <c r="AP57" s="47">
        <f t="shared" si="56"/>
        <v>0</v>
      </c>
      <c r="AQ57">
        <v>2020</v>
      </c>
    </row>
    <row r="58" spans="2:43">
      <c r="B58" s="97" t="s">
        <v>31</v>
      </c>
      <c r="C58" s="61">
        <v>18231027</v>
      </c>
      <c r="D58" s="61" t="s">
        <v>164</v>
      </c>
      <c r="E58" s="38" t="s">
        <v>1741</v>
      </c>
      <c r="F58" s="39" t="s">
        <v>1742</v>
      </c>
      <c r="G58" s="39"/>
      <c r="H58" s="39"/>
      <c r="I58" s="40" t="s">
        <v>258</v>
      </c>
      <c r="J58" s="41">
        <v>4</v>
      </c>
      <c r="K58" s="41">
        <v>0</v>
      </c>
      <c r="L58" s="41"/>
      <c r="M58" s="42">
        <v>50</v>
      </c>
      <c r="N58" s="42">
        <v>50</v>
      </c>
      <c r="O58" s="43">
        <v>0</v>
      </c>
      <c r="P58" s="44">
        <v>200</v>
      </c>
      <c r="Q58" s="44">
        <v>200</v>
      </c>
      <c r="R58" s="45">
        <v>0</v>
      </c>
      <c r="S58" s="46">
        <v>0</v>
      </c>
      <c r="T58" s="39">
        <f t="shared" si="38"/>
        <v>0</v>
      </c>
      <c r="U58" s="47">
        <f t="shared" si="39"/>
        <v>0</v>
      </c>
      <c r="V58" s="48">
        <f t="shared" si="40"/>
        <v>0</v>
      </c>
      <c r="W58" s="49">
        <f t="shared" si="41"/>
        <v>0</v>
      </c>
      <c r="X58" s="44">
        <f t="shared" si="42"/>
        <v>0</v>
      </c>
      <c r="Y58" s="44">
        <f t="shared" si="43"/>
        <v>0</v>
      </c>
      <c r="Z58" s="44">
        <f t="shared" si="44"/>
        <v>0</v>
      </c>
      <c r="AA58" s="50">
        <f t="shared" si="45"/>
        <v>200</v>
      </c>
      <c r="AB58" s="51">
        <f t="shared" si="46"/>
        <v>0</v>
      </c>
      <c r="AC58" s="44">
        <f t="shared" si="47"/>
        <v>186.96830887164623</v>
      </c>
      <c r="AD58" s="44">
        <f t="shared" si="48"/>
        <v>0</v>
      </c>
      <c r="AE58" s="44">
        <f t="shared" si="49"/>
        <v>0</v>
      </c>
      <c r="AF58" s="52" t="str">
        <f>HLOOKUP(I58,GasAvoidedCostsWOCC!$A$5:$G$50,G58+1,FALSE)</f>
        <v>Comm Cooking</v>
      </c>
      <c r="AG58" s="44" t="e">
        <f t="shared" si="50"/>
        <v>#VALUE!</v>
      </c>
      <c r="AH58" s="52" t="str">
        <f>HLOOKUP(I58,GasAvoidedCostsWOCC!$A$5:$Q$50,T58+1,FALSE)</f>
        <v>Comm Cooking</v>
      </c>
      <c r="AI58" s="44" t="e">
        <f t="shared" si="51"/>
        <v>#VALUE!</v>
      </c>
      <c r="AJ58" s="44" t="e">
        <f t="shared" si="52"/>
        <v>#VALUE!</v>
      </c>
      <c r="AK58" s="44" t="e">
        <f>HLOOKUP(I58,GasAvoidedCostsWOCC!$A$5:$Q$50,G58+1,FALSE)*J58*L58</f>
        <v>#VALUE!</v>
      </c>
      <c r="AL58" s="44" t="e">
        <f t="shared" si="53"/>
        <v>#VALUE!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54"/>
        <v>0</v>
      </c>
      <c r="AO58" s="47">
        <f t="shared" si="55"/>
        <v>0</v>
      </c>
      <c r="AP58" s="47">
        <f t="shared" si="56"/>
        <v>0</v>
      </c>
      <c r="AQ58">
        <v>2020</v>
      </c>
    </row>
    <row r="59" spans="2:43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38"/>
        <v>0</v>
      </c>
      <c r="U59" s="47">
        <f t="shared" si="39"/>
        <v>0</v>
      </c>
      <c r="V59" s="48">
        <f t="shared" si="40"/>
        <v>0</v>
      </c>
      <c r="W59" s="49">
        <f t="shared" si="41"/>
        <v>0</v>
      </c>
      <c r="X59" s="44">
        <f t="shared" si="42"/>
        <v>0</v>
      </c>
      <c r="Y59" s="44">
        <f t="shared" si="43"/>
        <v>0</v>
      </c>
      <c r="Z59" s="44">
        <f t="shared" si="44"/>
        <v>0</v>
      </c>
      <c r="AA59" s="50">
        <f t="shared" si="45"/>
        <v>0</v>
      </c>
      <c r="AB59" s="51">
        <f t="shared" si="46"/>
        <v>0</v>
      </c>
      <c r="AC59" s="44">
        <f t="shared" si="47"/>
        <v>0</v>
      </c>
      <c r="AD59" s="44">
        <f t="shared" si="48"/>
        <v>0</v>
      </c>
      <c r="AE59" s="44">
        <f t="shared" si="49"/>
        <v>0</v>
      </c>
      <c r="AF59" s="52" t="e">
        <f>HLOOKUP(I59,GasAvoidedCostsWOCC!$A$5:$G$50,G59+1,FALSE)</f>
        <v>#N/A</v>
      </c>
      <c r="AG59" s="44" t="e">
        <f t="shared" si="50"/>
        <v>#N/A</v>
      </c>
      <c r="AH59" s="52" t="e">
        <f>HLOOKUP(I59,GasAvoidedCostsWOCC!$A$5:$Q$50,T59+1,FALSE)</f>
        <v>#N/A</v>
      </c>
      <c r="AI59" s="44" t="e">
        <f t="shared" si="51"/>
        <v>#N/A</v>
      </c>
      <c r="AJ59" s="44" t="e">
        <f t="shared" si="52"/>
        <v>#N/A</v>
      </c>
      <c r="AK59" s="44" t="e">
        <f>HLOOKUP(I59,GasAvoidedCostsWOCC!$A$5:$Q$50,G59+1,FALSE)*J59*L59</f>
        <v>#N/A</v>
      </c>
      <c r="AL59" s="44" t="e">
        <f t="shared" si="5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54"/>
        <v>0</v>
      </c>
      <c r="AO59" s="47">
        <f t="shared" si="55"/>
        <v>0</v>
      </c>
      <c r="AP59" s="47" t="e">
        <f t="shared" si="56"/>
        <v>#DIV/0!</v>
      </c>
    </row>
    <row r="60" spans="2:43">
      <c r="B60" s="9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38"/>
        <v>0</v>
      </c>
      <c r="U60" s="47">
        <f t="shared" si="39"/>
        <v>0</v>
      </c>
      <c r="V60" s="48">
        <f t="shared" si="40"/>
        <v>0</v>
      </c>
      <c r="W60" s="49">
        <f t="shared" si="41"/>
        <v>0</v>
      </c>
      <c r="X60" s="44">
        <f t="shared" si="42"/>
        <v>0</v>
      </c>
      <c r="Y60" s="44">
        <f t="shared" si="43"/>
        <v>0</v>
      </c>
      <c r="Z60" s="44">
        <f t="shared" si="44"/>
        <v>0</v>
      </c>
      <c r="AA60" s="50">
        <f t="shared" si="45"/>
        <v>0</v>
      </c>
      <c r="AB60" s="51">
        <f t="shared" si="46"/>
        <v>0</v>
      </c>
      <c r="AC60" s="44">
        <f t="shared" si="47"/>
        <v>0</v>
      </c>
      <c r="AD60" s="44">
        <f t="shared" si="48"/>
        <v>0</v>
      </c>
      <c r="AE60" s="44">
        <f t="shared" si="49"/>
        <v>0</v>
      </c>
      <c r="AF60" s="52" t="e">
        <f>HLOOKUP(I60,GasAvoidedCostsWOCC!$A$5:$G$50,G60+1,FALSE)</f>
        <v>#N/A</v>
      </c>
      <c r="AG60" s="44" t="e">
        <f t="shared" si="50"/>
        <v>#N/A</v>
      </c>
      <c r="AH60" s="52" t="e">
        <f>HLOOKUP(I60,GasAvoidedCostsWOCC!$A$5:$Q$50,T60+1,FALSE)</f>
        <v>#N/A</v>
      </c>
      <c r="AI60" s="44" t="e">
        <f t="shared" si="51"/>
        <v>#N/A</v>
      </c>
      <c r="AJ60" s="44" t="e">
        <f t="shared" si="52"/>
        <v>#N/A</v>
      </c>
      <c r="AK60" s="44" t="e">
        <f>HLOOKUP(I60,GasAvoidedCostsWOCC!$A$5:$Q$50,G60+1,FALSE)*J60*L60</f>
        <v>#N/A</v>
      </c>
      <c r="AL60" s="44" t="e">
        <f t="shared" si="5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54"/>
        <v>0</v>
      </c>
      <c r="AO60" s="47">
        <f t="shared" si="55"/>
        <v>0</v>
      </c>
      <c r="AP60" s="47" t="e">
        <f t="shared" si="56"/>
        <v>#DIV/0!</v>
      </c>
    </row>
    <row r="61" spans="2:43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38"/>
        <v>0</v>
      </c>
      <c r="U61" s="47">
        <f t="shared" si="39"/>
        <v>0</v>
      </c>
      <c r="V61" s="48">
        <f t="shared" si="40"/>
        <v>0</v>
      </c>
      <c r="W61" s="49">
        <f t="shared" si="41"/>
        <v>0</v>
      </c>
      <c r="X61" s="44">
        <f t="shared" si="42"/>
        <v>0</v>
      </c>
      <c r="Y61" s="44">
        <f t="shared" si="43"/>
        <v>0</v>
      </c>
      <c r="Z61" s="44">
        <f t="shared" si="44"/>
        <v>0</v>
      </c>
      <c r="AA61" s="50">
        <f t="shared" si="45"/>
        <v>0</v>
      </c>
      <c r="AB61" s="51">
        <f t="shared" si="46"/>
        <v>0</v>
      </c>
      <c r="AC61" s="44">
        <f t="shared" si="47"/>
        <v>0</v>
      </c>
      <c r="AD61" s="44">
        <f t="shared" si="48"/>
        <v>0</v>
      </c>
      <c r="AE61" s="44">
        <f t="shared" si="49"/>
        <v>0</v>
      </c>
      <c r="AF61" s="52" t="e">
        <f>HLOOKUP(I61,GasAvoidedCostsWOCC!$A$5:$G$50,G61+1,FALSE)</f>
        <v>#N/A</v>
      </c>
      <c r="AG61" s="44" t="e">
        <f t="shared" si="50"/>
        <v>#N/A</v>
      </c>
      <c r="AH61" s="52" t="e">
        <f>HLOOKUP(I61,GasAvoidedCostsWOCC!$A$5:$Q$50,T61+1,FALSE)</f>
        <v>#N/A</v>
      </c>
      <c r="AI61" s="44" t="e">
        <f t="shared" si="51"/>
        <v>#N/A</v>
      </c>
      <c r="AJ61" s="44" t="e">
        <f t="shared" si="52"/>
        <v>#N/A</v>
      </c>
      <c r="AK61" s="44" t="e">
        <f>HLOOKUP(I61,GasAvoidedCostsWOCC!$A$5:$Q$50,G61+1,FALSE)*J61*L61</f>
        <v>#N/A</v>
      </c>
      <c r="AL61" s="44" t="e">
        <f t="shared" si="5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54"/>
        <v>0</v>
      </c>
      <c r="AO61" s="47">
        <f t="shared" si="55"/>
        <v>0</v>
      </c>
      <c r="AP61" s="47" t="e">
        <f t="shared" si="56"/>
        <v>#DIV/0!</v>
      </c>
    </row>
    <row r="62" spans="2:43">
      <c r="B62" s="9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8"/>
        <v>0</v>
      </c>
      <c r="U62" s="47">
        <f t="shared" si="39"/>
        <v>0</v>
      </c>
      <c r="V62" s="48">
        <f t="shared" si="40"/>
        <v>0</v>
      </c>
      <c r="W62" s="49">
        <f t="shared" si="41"/>
        <v>0</v>
      </c>
      <c r="X62" s="44">
        <f t="shared" si="42"/>
        <v>0</v>
      </c>
      <c r="Y62" s="44">
        <f t="shared" si="43"/>
        <v>0</v>
      </c>
      <c r="Z62" s="44">
        <f t="shared" si="44"/>
        <v>0</v>
      </c>
      <c r="AA62" s="50">
        <f t="shared" si="45"/>
        <v>0</v>
      </c>
      <c r="AB62" s="51">
        <f t="shared" si="46"/>
        <v>0</v>
      </c>
      <c r="AC62" s="44">
        <f t="shared" si="47"/>
        <v>0</v>
      </c>
      <c r="AD62" s="44">
        <f t="shared" si="48"/>
        <v>0</v>
      </c>
      <c r="AE62" s="44">
        <f t="shared" si="49"/>
        <v>0</v>
      </c>
      <c r="AF62" s="52" t="e">
        <f>HLOOKUP(I62,GasAvoidedCostsWOCC!$A$5:$G$50,G62+1,FALSE)</f>
        <v>#N/A</v>
      </c>
      <c r="AG62" s="44" t="e">
        <f t="shared" si="50"/>
        <v>#N/A</v>
      </c>
      <c r="AH62" s="52" t="e">
        <f>HLOOKUP(I62,GasAvoidedCostsWOCC!$A$5:$Q$50,T62+1,FALSE)</f>
        <v>#N/A</v>
      </c>
      <c r="AI62" s="44" t="e">
        <f t="shared" si="51"/>
        <v>#N/A</v>
      </c>
      <c r="AJ62" s="44" t="e">
        <f t="shared" si="52"/>
        <v>#N/A</v>
      </c>
      <c r="AK62" s="44" t="e">
        <f>HLOOKUP(I62,GasAvoidedCostsWOCC!$A$5:$Q$50,G62+1,FALSE)*J62*L62</f>
        <v>#N/A</v>
      </c>
      <c r="AL62" s="44" t="e">
        <f t="shared" si="5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54"/>
        <v>0</v>
      </c>
      <c r="AO62" s="47">
        <f t="shared" si="55"/>
        <v>0</v>
      </c>
      <c r="AP62" s="47" t="e">
        <f t="shared" si="56"/>
        <v>#DIV/0!</v>
      </c>
    </row>
    <row r="63" spans="2:43">
      <c r="B63" s="9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8"/>
        <v>0</v>
      </c>
      <c r="U63" s="47">
        <f t="shared" si="39"/>
        <v>0</v>
      </c>
      <c r="V63" s="48">
        <f t="shared" si="40"/>
        <v>0</v>
      </c>
      <c r="W63" s="49">
        <f t="shared" si="41"/>
        <v>0</v>
      </c>
      <c r="X63" s="44">
        <f t="shared" si="42"/>
        <v>0</v>
      </c>
      <c r="Y63" s="44">
        <f t="shared" si="43"/>
        <v>0</v>
      </c>
      <c r="Z63" s="44">
        <f t="shared" si="44"/>
        <v>0</v>
      </c>
      <c r="AA63" s="50">
        <f t="shared" si="45"/>
        <v>0</v>
      </c>
      <c r="AB63" s="51">
        <f t="shared" si="46"/>
        <v>0</v>
      </c>
      <c r="AC63" s="44">
        <f t="shared" si="47"/>
        <v>0</v>
      </c>
      <c r="AD63" s="44">
        <f t="shared" si="48"/>
        <v>0</v>
      </c>
      <c r="AE63" s="44">
        <f t="shared" si="49"/>
        <v>0</v>
      </c>
      <c r="AF63" s="52" t="e">
        <f>HLOOKUP(I63,GasAvoidedCostsWOCC!$A$5:$G$50,G63+1,FALSE)</f>
        <v>#N/A</v>
      </c>
      <c r="AG63" s="44" t="e">
        <f t="shared" si="50"/>
        <v>#N/A</v>
      </c>
      <c r="AH63" s="52" t="e">
        <f>HLOOKUP(I63,GasAvoidedCostsWOCC!$A$5:$Q$50,T63+1,FALSE)</f>
        <v>#N/A</v>
      </c>
      <c r="AI63" s="44" t="e">
        <f t="shared" si="51"/>
        <v>#N/A</v>
      </c>
      <c r="AJ63" s="44" t="e">
        <f t="shared" si="52"/>
        <v>#N/A</v>
      </c>
      <c r="AK63" s="44" t="e">
        <f>HLOOKUP(I63,GasAvoidedCostsWOCC!$A$5:$Q$50,G63+1,FALSE)*J63*L63</f>
        <v>#N/A</v>
      </c>
      <c r="AL63" s="44" t="e">
        <f t="shared" si="5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54"/>
        <v>0</v>
      </c>
      <c r="AO63" s="47">
        <f t="shared" si="55"/>
        <v>0</v>
      </c>
      <c r="AP63" s="47" t="e">
        <f t="shared" si="56"/>
        <v>#DIV/0!</v>
      </c>
    </row>
    <row r="64" spans="2:43">
      <c r="B64" s="9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8"/>
        <v>0</v>
      </c>
      <c r="U64" s="47">
        <f t="shared" si="39"/>
        <v>0</v>
      </c>
      <c r="V64" s="48">
        <f t="shared" si="40"/>
        <v>0</v>
      </c>
      <c r="W64" s="49">
        <f t="shared" si="41"/>
        <v>0</v>
      </c>
      <c r="X64" s="44">
        <f t="shared" si="42"/>
        <v>0</v>
      </c>
      <c r="Y64" s="44">
        <f t="shared" si="43"/>
        <v>0</v>
      </c>
      <c r="Z64" s="44">
        <f t="shared" si="44"/>
        <v>0</v>
      </c>
      <c r="AA64" s="50">
        <f t="shared" si="45"/>
        <v>0</v>
      </c>
      <c r="AB64" s="51">
        <f t="shared" si="46"/>
        <v>0</v>
      </c>
      <c r="AC64" s="44">
        <f t="shared" si="47"/>
        <v>0</v>
      </c>
      <c r="AD64" s="44">
        <f t="shared" si="48"/>
        <v>0</v>
      </c>
      <c r="AE64" s="44">
        <f t="shared" si="49"/>
        <v>0</v>
      </c>
      <c r="AF64" s="52" t="e">
        <f>HLOOKUP(I64,GasAvoidedCostsWOCC!$A$5:$G$50,G64+1,FALSE)</f>
        <v>#N/A</v>
      </c>
      <c r="AG64" s="44" t="e">
        <f t="shared" si="50"/>
        <v>#N/A</v>
      </c>
      <c r="AH64" s="52" t="e">
        <f>HLOOKUP(I64,GasAvoidedCostsWOCC!$A$5:$Q$50,T64+1,FALSE)</f>
        <v>#N/A</v>
      </c>
      <c r="AI64" s="44" t="e">
        <f t="shared" si="51"/>
        <v>#N/A</v>
      </c>
      <c r="AJ64" s="44" t="e">
        <f t="shared" si="52"/>
        <v>#N/A</v>
      </c>
      <c r="AK64" s="44" t="e">
        <f>HLOOKUP(I64,GasAvoidedCostsWOCC!$A$5:$Q$50,G64+1,FALSE)*J64*L64</f>
        <v>#N/A</v>
      </c>
      <c r="AL64" s="44" t="e">
        <f t="shared" si="5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54"/>
        <v>0</v>
      </c>
      <c r="AO64" s="47">
        <f t="shared" si="55"/>
        <v>0</v>
      </c>
      <c r="AP64" s="47" t="e">
        <f t="shared" si="56"/>
        <v>#DIV/0!</v>
      </c>
    </row>
    <row r="65" spans="2:42">
      <c r="B65" s="9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38"/>
        <v>0</v>
      </c>
      <c r="U65" s="47">
        <f t="shared" si="39"/>
        <v>0</v>
      </c>
      <c r="V65" s="48">
        <f t="shared" si="40"/>
        <v>0</v>
      </c>
      <c r="W65" s="49">
        <f t="shared" si="41"/>
        <v>0</v>
      </c>
      <c r="X65" s="44">
        <f t="shared" si="42"/>
        <v>0</v>
      </c>
      <c r="Y65" s="44">
        <f t="shared" si="43"/>
        <v>0</v>
      </c>
      <c r="Z65" s="44">
        <f t="shared" si="44"/>
        <v>0</v>
      </c>
      <c r="AA65" s="50">
        <f t="shared" si="45"/>
        <v>0</v>
      </c>
      <c r="AB65" s="51">
        <f t="shared" si="46"/>
        <v>0</v>
      </c>
      <c r="AC65" s="44">
        <f t="shared" si="47"/>
        <v>0</v>
      </c>
      <c r="AD65" s="44">
        <f t="shared" si="48"/>
        <v>0</v>
      </c>
      <c r="AE65" s="44">
        <f t="shared" si="49"/>
        <v>0</v>
      </c>
      <c r="AF65" s="52" t="e">
        <f>HLOOKUP(I65,GasAvoidedCostsWOCC!$A$5:$G$50,G65+1,FALSE)</f>
        <v>#N/A</v>
      </c>
      <c r="AG65" s="44" t="e">
        <f t="shared" si="50"/>
        <v>#N/A</v>
      </c>
      <c r="AH65" s="52" t="e">
        <f>HLOOKUP(I65,GasAvoidedCostsWOCC!$A$5:$Q$50,T65+1,FALSE)</f>
        <v>#N/A</v>
      </c>
      <c r="AI65" s="44" t="e">
        <f t="shared" si="51"/>
        <v>#N/A</v>
      </c>
      <c r="AJ65" s="44" t="e">
        <f t="shared" si="52"/>
        <v>#N/A</v>
      </c>
      <c r="AK65" s="44" t="e">
        <f>HLOOKUP(I65,GasAvoidedCostsWOCC!$A$5:$Q$50,G65+1,FALSE)*J65*L65</f>
        <v>#N/A</v>
      </c>
      <c r="AL65" s="44" t="e">
        <f t="shared" si="5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54"/>
        <v>0</v>
      </c>
      <c r="AO65" s="47">
        <f t="shared" si="55"/>
        <v>0</v>
      </c>
      <c r="AP65" s="47" t="e">
        <f t="shared" si="56"/>
        <v>#DIV/0!</v>
      </c>
    </row>
    <row r="66" spans="2:42">
      <c r="B66" s="9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38"/>
        <v>0</v>
      </c>
      <c r="U66" s="47">
        <f t="shared" si="39"/>
        <v>0</v>
      </c>
      <c r="V66" s="48">
        <f t="shared" si="40"/>
        <v>0</v>
      </c>
      <c r="W66" s="49">
        <f t="shared" si="41"/>
        <v>0</v>
      </c>
      <c r="X66" s="44">
        <f t="shared" si="42"/>
        <v>0</v>
      </c>
      <c r="Y66" s="44">
        <f t="shared" si="43"/>
        <v>0</v>
      </c>
      <c r="Z66" s="44">
        <f t="shared" si="44"/>
        <v>0</v>
      </c>
      <c r="AA66" s="50">
        <f t="shared" si="45"/>
        <v>0</v>
      </c>
      <c r="AB66" s="51">
        <f t="shared" si="46"/>
        <v>0</v>
      </c>
      <c r="AC66" s="44">
        <f t="shared" si="47"/>
        <v>0</v>
      </c>
      <c r="AD66" s="44">
        <f t="shared" si="48"/>
        <v>0</v>
      </c>
      <c r="AE66" s="44">
        <f t="shared" si="49"/>
        <v>0</v>
      </c>
      <c r="AF66" s="52" t="e">
        <f>HLOOKUP(I66,GasAvoidedCostsWOCC!$A$5:$G$50,G66+1,FALSE)</f>
        <v>#N/A</v>
      </c>
      <c r="AG66" s="44" t="e">
        <f t="shared" si="50"/>
        <v>#N/A</v>
      </c>
      <c r="AH66" s="52" t="e">
        <f>HLOOKUP(I66,GasAvoidedCostsWOCC!$A$5:$Q$50,T66+1,FALSE)</f>
        <v>#N/A</v>
      </c>
      <c r="AI66" s="44" t="e">
        <f t="shared" si="51"/>
        <v>#N/A</v>
      </c>
      <c r="AJ66" s="44" t="e">
        <f t="shared" si="52"/>
        <v>#N/A</v>
      </c>
      <c r="AK66" s="44" t="e">
        <f>HLOOKUP(I66,GasAvoidedCostsWOCC!$A$5:$Q$50,G66+1,FALSE)*J66*L66</f>
        <v>#N/A</v>
      </c>
      <c r="AL66" s="44" t="e">
        <f t="shared" si="5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54"/>
        <v>0</v>
      </c>
      <c r="AO66" s="47">
        <f t="shared" si="55"/>
        <v>0</v>
      </c>
      <c r="AP66" s="47" t="e">
        <f t="shared" si="56"/>
        <v>#DIV/0!</v>
      </c>
    </row>
    <row r="67" spans="2:42">
      <c r="B67" s="9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38"/>
        <v>0</v>
      </c>
      <c r="U67" s="47">
        <f t="shared" si="39"/>
        <v>0</v>
      </c>
      <c r="V67" s="48">
        <f t="shared" si="40"/>
        <v>0</v>
      </c>
      <c r="W67" s="49">
        <f t="shared" si="41"/>
        <v>0</v>
      </c>
      <c r="X67" s="44">
        <f t="shared" si="42"/>
        <v>0</v>
      </c>
      <c r="Y67" s="44">
        <f t="shared" si="43"/>
        <v>0</v>
      </c>
      <c r="Z67" s="44">
        <f t="shared" si="44"/>
        <v>0</v>
      </c>
      <c r="AA67" s="50">
        <f t="shared" si="45"/>
        <v>0</v>
      </c>
      <c r="AB67" s="51">
        <f t="shared" si="46"/>
        <v>0</v>
      </c>
      <c r="AC67" s="44">
        <f t="shared" si="47"/>
        <v>0</v>
      </c>
      <c r="AD67" s="44">
        <f t="shared" si="48"/>
        <v>0</v>
      </c>
      <c r="AE67" s="44">
        <f t="shared" si="49"/>
        <v>0</v>
      </c>
      <c r="AF67" s="52" t="e">
        <f>HLOOKUP(I67,GasAvoidedCostsWOCC!$A$5:$G$50,G67+1,FALSE)</f>
        <v>#N/A</v>
      </c>
      <c r="AG67" s="44" t="e">
        <f t="shared" si="50"/>
        <v>#N/A</v>
      </c>
      <c r="AH67" s="52" t="e">
        <f>HLOOKUP(I67,GasAvoidedCostsWOCC!$A$5:$Q$50,T67+1,FALSE)</f>
        <v>#N/A</v>
      </c>
      <c r="AI67" s="44" t="e">
        <f t="shared" si="51"/>
        <v>#N/A</v>
      </c>
      <c r="AJ67" s="44" t="e">
        <f t="shared" si="52"/>
        <v>#N/A</v>
      </c>
      <c r="AK67" s="44" t="e">
        <f>HLOOKUP(I67,GasAvoidedCostsWOCC!$A$5:$Q$50,G67+1,FALSE)*J67*L67</f>
        <v>#N/A</v>
      </c>
      <c r="AL67" s="44" t="e">
        <f t="shared" si="5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54"/>
        <v>0</v>
      </c>
      <c r="AO67" s="47">
        <f t="shared" si="55"/>
        <v>0</v>
      </c>
      <c r="AP67" s="47" t="e">
        <f t="shared" si="56"/>
        <v>#DIV/0!</v>
      </c>
    </row>
    <row r="68" spans="2:42">
      <c r="B68" s="9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8"/>
        <v>0</v>
      </c>
      <c r="U68" s="47">
        <f t="shared" si="39"/>
        <v>0</v>
      </c>
      <c r="V68" s="48">
        <f t="shared" si="40"/>
        <v>0</v>
      </c>
      <c r="W68" s="49">
        <f t="shared" si="41"/>
        <v>0</v>
      </c>
      <c r="X68" s="44">
        <f t="shared" si="42"/>
        <v>0</v>
      </c>
      <c r="Y68" s="44">
        <f t="shared" si="43"/>
        <v>0</v>
      </c>
      <c r="Z68" s="44">
        <f t="shared" si="44"/>
        <v>0</v>
      </c>
      <c r="AA68" s="50">
        <f t="shared" si="45"/>
        <v>0</v>
      </c>
      <c r="AB68" s="51">
        <f t="shared" si="46"/>
        <v>0</v>
      </c>
      <c r="AC68" s="44">
        <f t="shared" si="47"/>
        <v>0</v>
      </c>
      <c r="AD68" s="44">
        <f t="shared" si="48"/>
        <v>0</v>
      </c>
      <c r="AE68" s="44">
        <f t="shared" si="49"/>
        <v>0</v>
      </c>
      <c r="AF68" s="52" t="e">
        <f>HLOOKUP(I68,GasAvoidedCostsWOCC!$A$5:$G$50,G68+1,FALSE)</f>
        <v>#N/A</v>
      </c>
      <c r="AG68" s="44" t="e">
        <f t="shared" si="50"/>
        <v>#N/A</v>
      </c>
      <c r="AH68" s="52" t="e">
        <f>HLOOKUP(I68,GasAvoidedCostsWOCC!$A$5:$Q$50,T68+1,FALSE)</f>
        <v>#N/A</v>
      </c>
      <c r="AI68" s="44" t="e">
        <f t="shared" si="51"/>
        <v>#N/A</v>
      </c>
      <c r="AJ68" s="44" t="e">
        <f t="shared" si="52"/>
        <v>#N/A</v>
      </c>
      <c r="AK68" s="44" t="e">
        <f>HLOOKUP(I68,GasAvoidedCostsWOCC!$A$5:$Q$50,G68+1,FALSE)*J68*L68</f>
        <v>#N/A</v>
      </c>
      <c r="AL68" s="44" t="e">
        <f t="shared" si="53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54"/>
        <v>0</v>
      </c>
      <c r="AO68" s="47">
        <f t="shared" si="55"/>
        <v>0</v>
      </c>
      <c r="AP68" s="47" t="e">
        <f t="shared" si="56"/>
        <v>#DIV/0!</v>
      </c>
    </row>
    <row r="69" spans="2:42">
      <c r="B69" s="9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8"/>
        <v>0</v>
      </c>
      <c r="U69" s="47">
        <f t="shared" si="39"/>
        <v>0</v>
      </c>
      <c r="V69" s="48">
        <f t="shared" si="40"/>
        <v>0</v>
      </c>
      <c r="W69" s="49">
        <f t="shared" si="41"/>
        <v>0</v>
      </c>
      <c r="X69" s="44">
        <f t="shared" si="42"/>
        <v>0</v>
      </c>
      <c r="Y69" s="44">
        <f t="shared" si="43"/>
        <v>0</v>
      </c>
      <c r="Z69" s="44">
        <f t="shared" si="44"/>
        <v>0</v>
      </c>
      <c r="AA69" s="50">
        <f t="shared" si="45"/>
        <v>0</v>
      </c>
      <c r="AB69" s="51">
        <f t="shared" si="46"/>
        <v>0</v>
      </c>
      <c r="AC69" s="44">
        <f t="shared" si="47"/>
        <v>0</v>
      </c>
      <c r="AD69" s="44">
        <f t="shared" si="48"/>
        <v>0</v>
      </c>
      <c r="AE69" s="44">
        <f t="shared" si="49"/>
        <v>0</v>
      </c>
      <c r="AF69" s="52" t="e">
        <f>HLOOKUP(I69,GasAvoidedCostsWOCC!$A$5:$G$50,G69+1,FALSE)</f>
        <v>#N/A</v>
      </c>
      <c r="AG69" s="44" t="e">
        <f t="shared" si="50"/>
        <v>#N/A</v>
      </c>
      <c r="AH69" s="52" t="e">
        <f>HLOOKUP(I69,GasAvoidedCostsWOCC!$A$5:$Q$50,T69+1,FALSE)</f>
        <v>#N/A</v>
      </c>
      <c r="AI69" s="44" t="e">
        <f t="shared" si="51"/>
        <v>#N/A</v>
      </c>
      <c r="AJ69" s="44" t="e">
        <f t="shared" si="52"/>
        <v>#N/A</v>
      </c>
      <c r="AK69" s="44" t="e">
        <f>HLOOKUP(I69,GasAvoidedCostsWOCC!$A$5:$Q$50,G69+1,FALSE)*J69*L69</f>
        <v>#N/A</v>
      </c>
      <c r="AL69" s="44" t="e">
        <f t="shared" si="53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54"/>
        <v>0</v>
      </c>
      <c r="AO69" s="47">
        <f t="shared" si="55"/>
        <v>0</v>
      </c>
      <c r="AP69" s="47" t="e">
        <f t="shared" si="56"/>
        <v>#DIV/0!</v>
      </c>
    </row>
    <row r="70" spans="2:42">
      <c r="B70" s="9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8"/>
        <v>0</v>
      </c>
      <c r="U70" s="47">
        <f t="shared" si="39"/>
        <v>0</v>
      </c>
      <c r="V70" s="48">
        <f t="shared" si="40"/>
        <v>0</v>
      </c>
      <c r="W70" s="49">
        <f t="shared" si="41"/>
        <v>0</v>
      </c>
      <c r="X70" s="44">
        <f t="shared" si="42"/>
        <v>0</v>
      </c>
      <c r="Y70" s="44">
        <f t="shared" si="43"/>
        <v>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HLOOKUP(I70,GasAvoidedCostsWOCC!$A$5:$G$50,G70+1,FALSE)</f>
        <v>#N/A</v>
      </c>
      <c r="AG70" s="44" t="e">
        <f t="shared" si="50"/>
        <v>#N/A</v>
      </c>
      <c r="AH70" s="52" t="e">
        <f>HLOOKUP(I70,GasAvoidedCostsWOCC!$A$5:$Q$50,T70+1,FALSE)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HLOOKUP(I70,GasAvoidedCostsWOCC!$A$5:$Q$50,G70+1,FALSE)*J70*L70</f>
        <v>#N/A</v>
      </c>
      <c r="AL70" s="44" t="e">
        <f t="shared" si="53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2">
      <c r="B71" s="9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8"/>
        <v>0</v>
      </c>
      <c r="U71" s="47">
        <f t="shared" si="39"/>
        <v>0</v>
      </c>
      <c r="V71" s="48">
        <f t="shared" si="40"/>
        <v>0</v>
      </c>
      <c r="W71" s="49">
        <f t="shared" si="41"/>
        <v>0</v>
      </c>
      <c r="X71" s="44">
        <f t="shared" si="42"/>
        <v>0</v>
      </c>
      <c r="Y71" s="44">
        <f t="shared" si="43"/>
        <v>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e">
        <f>HLOOKUP(I71,GasAvoidedCostsWOCC!$A$5:$G$50,G71+1,FALSE)</f>
        <v>#N/A</v>
      </c>
      <c r="AG71" s="44" t="e">
        <f t="shared" si="50"/>
        <v>#N/A</v>
      </c>
      <c r="AH71" s="52" t="e">
        <f>HLOOKUP(I71,GasAvoidedCostsWOCC!$A$5:$Q$50,T71+1,FALSE)</f>
        <v>#N/A</v>
      </c>
      <c r="AI71" s="44" t="e">
        <f t="shared" si="51"/>
        <v>#N/A</v>
      </c>
      <c r="AJ71" s="44" t="e">
        <f t="shared" si="52"/>
        <v>#N/A</v>
      </c>
      <c r="AK71" s="44" t="e">
        <f>HLOOKUP(I71,GasAvoidedCostsWOCC!$A$5:$Q$50,G71+1,FALSE)*J71*L71</f>
        <v>#N/A</v>
      </c>
      <c r="AL71" s="44" t="e">
        <f t="shared" si="53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2">
      <c r="B72" s="9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HLOOKUP(I72,GasAvoidedCostsWOCC!$A$5:$G$50,G72+1,FALSE)</f>
        <v>#N/A</v>
      </c>
      <c r="AG72" s="44" t="e">
        <f t="shared" si="50"/>
        <v>#N/A</v>
      </c>
      <c r="AH72" s="52" t="e">
        <f>HLOOKUP(I72,GasAvoidedCostsWOCC!$A$5:$Q$50,T72+1,FALSE)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HLOOKUP(I72,GasAvoidedCostsWOCC!$A$5:$Q$50,G72+1,FALSE)*J72*L72</f>
        <v>#N/A</v>
      </c>
      <c r="AL72" s="44" t="e">
        <f t="shared" si="53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2">
      <c r="B73" s="9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e">
        <f>HLOOKUP(I73,GasAvoidedCostsWOCC!$A$5:$G$50,G73+1,FALSE)</f>
        <v>#N/A</v>
      </c>
      <c r="AG73" s="44" t="e">
        <f t="shared" si="50"/>
        <v>#N/A</v>
      </c>
      <c r="AH73" s="52" t="e">
        <f>HLOOKUP(I73,GasAvoidedCostsWOCC!$A$5:$Q$50,T73+1,FALSE)</f>
        <v>#N/A</v>
      </c>
      <c r="AI73" s="44" t="e">
        <f t="shared" si="51"/>
        <v>#N/A</v>
      </c>
      <c r="AJ73" s="44" t="e">
        <f t="shared" si="52"/>
        <v>#N/A</v>
      </c>
      <c r="AK73" s="44" t="e">
        <f>HLOOKUP(I73,GasAvoidedCostsWOCC!$A$5:$Q$50,G73+1,FALSE)*J73*L73</f>
        <v>#N/A</v>
      </c>
      <c r="AL73" s="44" t="e">
        <f t="shared" si="53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2">
      <c r="B74" s="9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8"/>
        <v>0</v>
      </c>
      <c r="U74" s="47">
        <f t="shared" si="39"/>
        <v>0</v>
      </c>
      <c r="V74" s="48">
        <f t="shared" si="40"/>
        <v>0</v>
      </c>
      <c r="W74" s="49">
        <f t="shared" si="41"/>
        <v>0</v>
      </c>
      <c r="X74" s="44">
        <f t="shared" si="42"/>
        <v>0</v>
      </c>
      <c r="Y74" s="44">
        <f t="shared" si="43"/>
        <v>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HLOOKUP(I74,GasAvoidedCostsWOCC!$A$5:$G$50,G74+1,FALSE)</f>
        <v>#N/A</v>
      </c>
      <c r="AG74" s="44" t="e">
        <f t="shared" si="50"/>
        <v>#N/A</v>
      </c>
      <c r="AH74" s="52" t="e">
        <f>HLOOKUP(I74,GasAvoidedCostsWOCC!$A$5:$Q$50,T74+1,FALSE)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HLOOKUP(I74,GasAvoidedCostsWOCC!$A$5:$Q$50,G74+1,FALSE)*J74*L74</f>
        <v>#N/A</v>
      </c>
      <c r="AL74" s="44" t="e">
        <f t="shared" si="53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2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8"/>
        <v>0</v>
      </c>
      <c r="U75" s="47">
        <f t="shared" si="39"/>
        <v>0</v>
      </c>
      <c r="V75" s="48">
        <f t="shared" si="40"/>
        <v>0</v>
      </c>
      <c r="W75" s="49">
        <f t="shared" si="41"/>
        <v>0</v>
      </c>
      <c r="X75" s="44">
        <f t="shared" si="42"/>
        <v>0</v>
      </c>
      <c r="Y75" s="44">
        <f t="shared" si="43"/>
        <v>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e">
        <f>HLOOKUP(I75,GasAvoidedCostsWOCC!$A$5:$G$50,G75+1,FALSE)</f>
        <v>#N/A</v>
      </c>
      <c r="AG75" s="44" t="e">
        <f t="shared" si="50"/>
        <v>#N/A</v>
      </c>
      <c r="AH75" s="52" t="e">
        <f>HLOOKUP(I75,GasAvoidedCostsWOCC!$A$5:$Q$50,T75+1,FALSE)</f>
        <v>#N/A</v>
      </c>
      <c r="AI75" s="44" t="e">
        <f t="shared" si="51"/>
        <v>#N/A</v>
      </c>
      <c r="AJ75" s="44" t="e">
        <f t="shared" si="52"/>
        <v>#N/A</v>
      </c>
      <c r="AK75" s="44" t="e">
        <f>HLOOKUP(I75,GasAvoidedCostsWOCC!$A$5:$Q$50,G75+1,FALSE)*J75*L75</f>
        <v>#N/A</v>
      </c>
      <c r="AL75" s="44" t="e">
        <f t="shared" si="53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2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HLOOKUP(I76,GasAvoidedCostsWOCC!$A$5:$G$50,G76+1,FALSE)</f>
        <v>#N/A</v>
      </c>
      <c r="AG76" s="44" t="e">
        <f t="shared" si="50"/>
        <v>#N/A</v>
      </c>
      <c r="AH76" s="52" t="e">
        <f>HLOOKUP(I76,GasAvoidedCostsWOCC!$A$5:$Q$50,T76+1,FALSE)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HLOOKUP(I76,GasAvoidedCostsWOCC!$A$5:$Q$50,G76+1,FALSE)*J76*L76</f>
        <v>#N/A</v>
      </c>
      <c r="AL76" s="44" t="e">
        <f t="shared" si="53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2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e">
        <f>HLOOKUP(I77,GasAvoidedCostsWOCC!$A$5:$G$50,G77+1,FALSE)</f>
        <v>#N/A</v>
      </c>
      <c r="AG77" s="44" t="e">
        <f t="shared" si="50"/>
        <v>#N/A</v>
      </c>
      <c r="AH77" s="52" t="e">
        <f>HLOOKUP(I77,GasAvoidedCostsWOCC!$A$5:$Q$50,T77+1,FALSE)</f>
        <v>#N/A</v>
      </c>
      <c r="AI77" s="44" t="e">
        <f t="shared" si="51"/>
        <v>#N/A</v>
      </c>
      <c r="AJ77" s="44" t="e">
        <f t="shared" si="52"/>
        <v>#N/A</v>
      </c>
      <c r="AK77" s="44" t="e">
        <f>HLOOKUP(I77,GasAvoidedCostsWOCC!$A$5:$Q$50,G77+1,FALSE)*J77*L77</f>
        <v>#N/A</v>
      </c>
      <c r="AL77" s="44" t="e">
        <f t="shared" si="53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2">
      <c r="B78" s="9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8"/>
        <v>0</v>
      </c>
      <c r="U78" s="47">
        <f t="shared" si="39"/>
        <v>0</v>
      </c>
      <c r="V78" s="48">
        <f t="shared" si="40"/>
        <v>0</v>
      </c>
      <c r="W78" s="49">
        <f t="shared" si="41"/>
        <v>0</v>
      </c>
      <c r="X78" s="44">
        <f t="shared" si="42"/>
        <v>0</v>
      </c>
      <c r="Y78" s="44">
        <f t="shared" si="43"/>
        <v>0</v>
      </c>
      <c r="Z78" s="44">
        <f t="shared" si="44"/>
        <v>0</v>
      </c>
      <c r="AA78" s="50">
        <f t="shared" si="45"/>
        <v>0</v>
      </c>
      <c r="AB78" s="51">
        <f t="shared" si="46"/>
        <v>0</v>
      </c>
      <c r="AC78" s="44">
        <f t="shared" si="47"/>
        <v>0</v>
      </c>
      <c r="AD78" s="44">
        <f t="shared" si="48"/>
        <v>0</v>
      </c>
      <c r="AE78" s="44">
        <f t="shared" si="49"/>
        <v>0</v>
      </c>
      <c r="AF78" s="52" t="e">
        <f>HLOOKUP(I78,GasAvoidedCostsWOCC!$A$5:$G$50,G78+1,FALSE)</f>
        <v>#N/A</v>
      </c>
      <c r="AG78" s="44" t="e">
        <f t="shared" si="50"/>
        <v>#N/A</v>
      </c>
      <c r="AH78" s="52" t="e">
        <f>HLOOKUP(I78,GasAvoidedCostsWOCC!$A$5:$Q$50,T78+1,FALSE)</f>
        <v>#N/A</v>
      </c>
      <c r="AI78" s="44" t="e">
        <f t="shared" si="51"/>
        <v>#N/A</v>
      </c>
      <c r="AJ78" s="44" t="e">
        <f t="shared" si="52"/>
        <v>#N/A</v>
      </c>
      <c r="AK78" s="44" t="e">
        <f>HLOOKUP(I78,GasAvoidedCostsWOCC!$A$5:$Q$50,G78+1,FALSE)*J78*L78</f>
        <v>#N/A</v>
      </c>
      <c r="AL78" s="44" t="e">
        <f t="shared" si="53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54"/>
        <v>0</v>
      </c>
      <c r="AO78" s="47">
        <f t="shared" si="55"/>
        <v>0</v>
      </c>
      <c r="AP78" s="47" t="e">
        <f t="shared" si="56"/>
        <v>#DIV/0!</v>
      </c>
    </row>
    <row r="79" spans="2:42">
      <c r="B79" s="9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8"/>
        <v>0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 t="e">
        <f>HLOOKUP(I79,GasAvoidedCostsWOCC!$A$5:$G$50,G79+1,FALSE)</f>
        <v>#N/A</v>
      </c>
      <c r="AG79" s="44" t="e">
        <f t="shared" si="50"/>
        <v>#N/A</v>
      </c>
      <c r="AH79" s="52" t="e">
        <f>HLOOKUP(I79,GasAvoidedCostsWOCC!$A$5:$Q$50,T79+1,FALSE)</f>
        <v>#N/A</v>
      </c>
      <c r="AI79" s="44" t="e">
        <f t="shared" si="51"/>
        <v>#N/A</v>
      </c>
      <c r="AJ79" s="44" t="e">
        <f t="shared" si="52"/>
        <v>#N/A</v>
      </c>
      <c r="AK79" s="44" t="e">
        <f>HLOOKUP(I79,GasAvoidedCostsWOCC!$A$5:$Q$50,G79+1,FALSE)*J79*L79</f>
        <v>#N/A</v>
      </c>
      <c r="AL79" s="44" t="e">
        <f t="shared" si="53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2">
      <c r="B80" s="9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8"/>
        <v>0</v>
      </c>
      <c r="U80" s="47">
        <f t="shared" si="39"/>
        <v>0</v>
      </c>
      <c r="V80" s="48">
        <f t="shared" si="40"/>
        <v>0</v>
      </c>
      <c r="W80" s="49">
        <f t="shared" si="41"/>
        <v>0</v>
      </c>
      <c r="X80" s="44">
        <f t="shared" si="42"/>
        <v>0</v>
      </c>
      <c r="Y80" s="44">
        <f t="shared" si="43"/>
        <v>0</v>
      </c>
      <c r="Z80" s="44">
        <f t="shared" si="44"/>
        <v>0</v>
      </c>
      <c r="AA80" s="50">
        <f t="shared" si="45"/>
        <v>0</v>
      </c>
      <c r="AB80" s="51">
        <f t="shared" si="46"/>
        <v>0</v>
      </c>
      <c r="AC80" s="44">
        <f t="shared" si="47"/>
        <v>0</v>
      </c>
      <c r="AD80" s="44">
        <f t="shared" si="48"/>
        <v>0</v>
      </c>
      <c r="AE80" s="44">
        <f t="shared" si="49"/>
        <v>0</v>
      </c>
      <c r="AF80" s="52" t="e">
        <f>HLOOKUP(I80,GasAvoidedCostsWOCC!$A$5:$G$50,G80+1,FALSE)</f>
        <v>#N/A</v>
      </c>
      <c r="AG80" s="44" t="e">
        <f t="shared" si="50"/>
        <v>#N/A</v>
      </c>
      <c r="AH80" s="52" t="e">
        <f>HLOOKUP(I80,GasAvoidedCostsWOCC!$A$5:$Q$50,T80+1,FALSE)</f>
        <v>#N/A</v>
      </c>
      <c r="AI80" s="44" t="e">
        <f t="shared" si="51"/>
        <v>#N/A</v>
      </c>
      <c r="AJ80" s="44" t="e">
        <f t="shared" si="52"/>
        <v>#N/A</v>
      </c>
      <c r="AK80" s="44" t="e">
        <f>HLOOKUP(I80,GasAvoidedCostsWOCC!$A$5:$Q$50,G80+1,FALSE)*J80*L80</f>
        <v>#N/A</v>
      </c>
      <c r="AL80" s="44" t="e">
        <f t="shared" si="53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54"/>
        <v>0</v>
      </c>
      <c r="AO80" s="47">
        <f t="shared" si="55"/>
        <v>0</v>
      </c>
      <c r="AP80" s="47" t="e">
        <f t="shared" si="56"/>
        <v>#DIV/0!</v>
      </c>
    </row>
    <row r="81" spans="2:42">
      <c r="B81" s="9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8"/>
        <v>0</v>
      </c>
      <c r="U81" s="47">
        <f t="shared" si="39"/>
        <v>0</v>
      </c>
      <c r="V81" s="48">
        <f t="shared" si="40"/>
        <v>0</v>
      </c>
      <c r="W81" s="49">
        <f t="shared" si="41"/>
        <v>0</v>
      </c>
      <c r="X81" s="44">
        <f t="shared" si="42"/>
        <v>0</v>
      </c>
      <c r="Y81" s="44">
        <f t="shared" si="43"/>
        <v>0</v>
      </c>
      <c r="Z81" s="44">
        <f t="shared" si="44"/>
        <v>0</v>
      </c>
      <c r="AA81" s="50">
        <f t="shared" si="45"/>
        <v>0</v>
      </c>
      <c r="AB81" s="51">
        <f t="shared" si="46"/>
        <v>0</v>
      </c>
      <c r="AC81" s="44">
        <f t="shared" si="47"/>
        <v>0</v>
      </c>
      <c r="AD81" s="44">
        <f t="shared" si="48"/>
        <v>0</v>
      </c>
      <c r="AE81" s="44">
        <f t="shared" si="49"/>
        <v>0</v>
      </c>
      <c r="AF81" s="52" t="e">
        <f>HLOOKUP(I81,GasAvoidedCostsWOCC!$A$5:$G$50,G81+1,FALSE)</f>
        <v>#N/A</v>
      </c>
      <c r="AG81" s="44" t="e">
        <f t="shared" si="50"/>
        <v>#N/A</v>
      </c>
      <c r="AH81" s="52" t="e">
        <f>HLOOKUP(I81,GasAvoidedCostsWOCC!$A$5:$Q$50,T81+1,FALSE)</f>
        <v>#N/A</v>
      </c>
      <c r="AI81" s="44" t="e">
        <f t="shared" si="51"/>
        <v>#N/A</v>
      </c>
      <c r="AJ81" s="44" t="e">
        <f t="shared" si="52"/>
        <v>#N/A</v>
      </c>
      <c r="AK81" s="44" t="e">
        <f>HLOOKUP(I81,GasAvoidedCostsWOCC!$A$5:$Q$50,G81+1,FALSE)*J81*L81</f>
        <v>#N/A</v>
      </c>
      <c r="AL81" s="44" t="e">
        <f t="shared" si="53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54"/>
        <v>0</v>
      </c>
      <c r="AO81" s="47">
        <f t="shared" si="55"/>
        <v>0</v>
      </c>
      <c r="AP81" s="47" t="e">
        <f t="shared" si="56"/>
        <v>#DIV/0!</v>
      </c>
    </row>
    <row r="82" spans="2:42">
      <c r="B82" s="9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8"/>
        <v>0</v>
      </c>
      <c r="U82" s="47">
        <f t="shared" si="39"/>
        <v>0</v>
      </c>
      <c r="V82" s="48">
        <f t="shared" si="40"/>
        <v>0</v>
      </c>
      <c r="W82" s="49">
        <f t="shared" si="41"/>
        <v>0</v>
      </c>
      <c r="X82" s="44">
        <f t="shared" si="42"/>
        <v>0</v>
      </c>
      <c r="Y82" s="44">
        <f t="shared" si="43"/>
        <v>0</v>
      </c>
      <c r="Z82" s="44">
        <f t="shared" si="44"/>
        <v>0</v>
      </c>
      <c r="AA82" s="50">
        <f t="shared" si="45"/>
        <v>0</v>
      </c>
      <c r="AB82" s="51">
        <f t="shared" si="46"/>
        <v>0</v>
      </c>
      <c r="AC82" s="44">
        <f t="shared" si="47"/>
        <v>0</v>
      </c>
      <c r="AD82" s="44">
        <f t="shared" si="48"/>
        <v>0</v>
      </c>
      <c r="AE82" s="44">
        <f t="shared" si="49"/>
        <v>0</v>
      </c>
      <c r="AF82" s="52" t="e">
        <f>HLOOKUP(I82,GasAvoidedCostsWOCC!$A$5:$G$50,G82+1,FALSE)</f>
        <v>#N/A</v>
      </c>
      <c r="AG82" s="44" t="e">
        <f t="shared" si="50"/>
        <v>#N/A</v>
      </c>
      <c r="AH82" s="52" t="e">
        <f>HLOOKUP(I82,GasAvoidedCostsWOCC!$A$5:$Q$50,T82+1,FALSE)</f>
        <v>#N/A</v>
      </c>
      <c r="AI82" s="44" t="e">
        <f t="shared" si="51"/>
        <v>#N/A</v>
      </c>
      <c r="AJ82" s="44" t="e">
        <f t="shared" si="52"/>
        <v>#N/A</v>
      </c>
      <c r="AK82" s="44" t="e">
        <f>HLOOKUP(I82,GasAvoidedCostsWOCC!$A$5:$Q$50,G82+1,FALSE)*J82*L82</f>
        <v>#N/A</v>
      </c>
      <c r="AL82" s="44" t="e">
        <f t="shared" si="53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54"/>
        <v>0</v>
      </c>
      <c r="AO82" s="47">
        <f t="shared" si="55"/>
        <v>0</v>
      </c>
      <c r="AP82" s="47" t="e">
        <f t="shared" si="56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8"/>
        <v>0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 t="e">
        <f>HLOOKUP(I83,GasAvoidedCostsWOCC!$A$5:$G$50,G83+1,FALSE)</f>
        <v>#N/A</v>
      </c>
      <c r="AG83" s="44" t="e">
        <f t="shared" si="50"/>
        <v>#N/A</v>
      </c>
      <c r="AH83" s="52" t="e">
        <f>HLOOKUP(I83,GasAvoidedCostsWOCC!$A$5:$Q$50,T83+1,FALSE)</f>
        <v>#N/A</v>
      </c>
      <c r="AI83" s="44" t="e">
        <f t="shared" si="51"/>
        <v>#N/A</v>
      </c>
      <c r="AJ83" s="44" t="e">
        <f t="shared" si="52"/>
        <v>#N/A</v>
      </c>
      <c r="AK83" s="44" t="e">
        <f>HLOOKUP(I83,GasAvoidedCostsWOCC!$A$5:$Q$50,G83+1,FALSE)*J83*L83</f>
        <v>#N/A</v>
      </c>
      <c r="AL83" s="44" t="e">
        <f t="shared" si="53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38"/>
        <v>0</v>
      </c>
      <c r="U84" s="47">
        <f t="shared" si="39"/>
        <v>0</v>
      </c>
      <c r="V84" s="48">
        <f t="shared" si="40"/>
        <v>0</v>
      </c>
      <c r="W84" s="49">
        <f t="shared" si="41"/>
        <v>0</v>
      </c>
      <c r="X84" s="44">
        <f t="shared" si="42"/>
        <v>0</v>
      </c>
      <c r="Y84" s="44">
        <f t="shared" si="43"/>
        <v>0</v>
      </c>
      <c r="Z84" s="44">
        <f t="shared" si="44"/>
        <v>0</v>
      </c>
      <c r="AA84" s="50">
        <f t="shared" si="45"/>
        <v>0</v>
      </c>
      <c r="AB84" s="51">
        <f t="shared" si="46"/>
        <v>0</v>
      </c>
      <c r="AC84" s="44">
        <f t="shared" si="47"/>
        <v>0</v>
      </c>
      <c r="AD84" s="44">
        <f t="shared" si="48"/>
        <v>0</v>
      </c>
      <c r="AE84" s="44">
        <f t="shared" si="49"/>
        <v>0</v>
      </c>
      <c r="AF84" s="52" t="e">
        <f>HLOOKUP(I84,GasAvoidedCostsWOCC!$A$5:$G$50,G84+1,FALSE)</f>
        <v>#N/A</v>
      </c>
      <c r="AG84" s="44" t="e">
        <f t="shared" si="50"/>
        <v>#N/A</v>
      </c>
      <c r="AH84" s="52" t="e">
        <f>HLOOKUP(I84,GasAvoidedCostsWOCC!$A$5:$Q$50,T84+1,FALSE)</f>
        <v>#N/A</v>
      </c>
      <c r="AI84" s="44" t="e">
        <f t="shared" si="51"/>
        <v>#N/A</v>
      </c>
      <c r="AJ84" s="44" t="e">
        <f t="shared" si="52"/>
        <v>#N/A</v>
      </c>
      <c r="AK84" s="44" t="e">
        <f>HLOOKUP(I84,GasAvoidedCostsWOCC!$A$5:$Q$50,G84+1,FALSE)*J84*L84</f>
        <v>#N/A</v>
      </c>
      <c r="AL84" s="44" t="e">
        <f t="shared" si="53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54"/>
        <v>0</v>
      </c>
      <c r="AO84" s="47">
        <f t="shared" si="55"/>
        <v>0</v>
      </c>
      <c r="AP84" s="47" t="e">
        <f t="shared" si="56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38"/>
        <v>0</v>
      </c>
      <c r="U85" s="47">
        <f t="shared" si="39"/>
        <v>0</v>
      </c>
      <c r="V85" s="48">
        <f t="shared" si="40"/>
        <v>0</v>
      </c>
      <c r="W85" s="49">
        <f t="shared" si="41"/>
        <v>0</v>
      </c>
      <c r="X85" s="44">
        <f t="shared" si="42"/>
        <v>0</v>
      </c>
      <c r="Y85" s="44">
        <f t="shared" si="43"/>
        <v>0</v>
      </c>
      <c r="Z85" s="44">
        <f t="shared" si="44"/>
        <v>0</v>
      </c>
      <c r="AA85" s="50">
        <f t="shared" si="45"/>
        <v>0</v>
      </c>
      <c r="AB85" s="51">
        <f t="shared" si="46"/>
        <v>0</v>
      </c>
      <c r="AC85" s="44">
        <f t="shared" si="47"/>
        <v>0</v>
      </c>
      <c r="AD85" s="44">
        <f t="shared" si="48"/>
        <v>0</v>
      </c>
      <c r="AE85" s="44">
        <f t="shared" si="49"/>
        <v>0</v>
      </c>
      <c r="AF85" s="52" t="e">
        <f>HLOOKUP(I85,GasAvoidedCostsWOCC!$A$5:$G$50,G85+1,FALSE)</f>
        <v>#N/A</v>
      </c>
      <c r="AG85" s="44" t="e">
        <f t="shared" si="50"/>
        <v>#N/A</v>
      </c>
      <c r="AH85" s="52" t="e">
        <f>HLOOKUP(I85,GasAvoidedCostsWOCC!$A$5:$Q$50,T85+1,FALSE)</f>
        <v>#N/A</v>
      </c>
      <c r="AI85" s="44" t="e">
        <f t="shared" si="51"/>
        <v>#N/A</v>
      </c>
      <c r="AJ85" s="44" t="e">
        <f t="shared" si="52"/>
        <v>#N/A</v>
      </c>
      <c r="AK85" s="44" t="e">
        <f>HLOOKUP(I85,GasAvoidedCostsWOCC!$A$5:$Q$50,G85+1,FALSE)*J85*L85</f>
        <v>#N/A</v>
      </c>
      <c r="AL85" s="44" t="e">
        <f t="shared" si="53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54"/>
        <v>0</v>
      </c>
      <c r="AO85" s="47">
        <f t="shared" si="55"/>
        <v>0</v>
      </c>
      <c r="AP85" s="47" t="e">
        <f t="shared" si="56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38"/>
        <v>0</v>
      </c>
      <c r="U86" s="47">
        <f t="shared" si="39"/>
        <v>0</v>
      </c>
      <c r="V86" s="48">
        <f t="shared" si="40"/>
        <v>0</v>
      </c>
      <c r="W86" s="49">
        <f t="shared" si="41"/>
        <v>0</v>
      </c>
      <c r="X86" s="44">
        <f t="shared" si="42"/>
        <v>0</v>
      </c>
      <c r="Y86" s="44">
        <f t="shared" si="43"/>
        <v>0</v>
      </c>
      <c r="Z86" s="44">
        <f t="shared" si="44"/>
        <v>0</v>
      </c>
      <c r="AA86" s="50">
        <f t="shared" si="45"/>
        <v>0</v>
      </c>
      <c r="AB86" s="51">
        <f t="shared" si="46"/>
        <v>0</v>
      </c>
      <c r="AC86" s="44">
        <f t="shared" si="47"/>
        <v>0</v>
      </c>
      <c r="AD86" s="44">
        <f t="shared" si="48"/>
        <v>0</v>
      </c>
      <c r="AE86" s="44">
        <f t="shared" si="49"/>
        <v>0</v>
      </c>
      <c r="AF86" s="52" t="e">
        <f>HLOOKUP(I86,GasAvoidedCostsWOCC!$A$5:$G$50,G86+1,FALSE)</f>
        <v>#N/A</v>
      </c>
      <c r="AG86" s="44" t="e">
        <f t="shared" si="50"/>
        <v>#N/A</v>
      </c>
      <c r="AH86" s="52" t="e">
        <f>HLOOKUP(I86,GasAvoidedCostsWOCC!$A$5:$Q$50,T86+1,FALSE)</f>
        <v>#N/A</v>
      </c>
      <c r="AI86" s="44" t="e">
        <f t="shared" si="51"/>
        <v>#N/A</v>
      </c>
      <c r="AJ86" s="44" t="e">
        <f t="shared" si="52"/>
        <v>#N/A</v>
      </c>
      <c r="AK86" s="44" t="e">
        <f>HLOOKUP(I86,GasAvoidedCostsWOCC!$A$5:$Q$50,G86+1,FALSE)*J86*L86</f>
        <v>#N/A</v>
      </c>
      <c r="AL86" s="44" t="e">
        <f t="shared" si="53"/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si="54"/>
        <v>0</v>
      </c>
      <c r="AO86" s="47">
        <f t="shared" si="55"/>
        <v>0</v>
      </c>
      <c r="AP86" s="47" t="e">
        <f t="shared" si="56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8"/>
        <v>0</v>
      </c>
      <c r="U87" s="47">
        <f t="shared" si="39"/>
        <v>0</v>
      </c>
      <c r="V87" s="48">
        <f t="shared" si="40"/>
        <v>0</v>
      </c>
      <c r="W87" s="49">
        <f t="shared" si="41"/>
        <v>0</v>
      </c>
      <c r="X87" s="44">
        <f t="shared" si="42"/>
        <v>0</v>
      </c>
      <c r="Y87" s="44">
        <f t="shared" si="43"/>
        <v>0</v>
      </c>
      <c r="Z87" s="44">
        <f t="shared" si="44"/>
        <v>0</v>
      </c>
      <c r="AA87" s="50">
        <f t="shared" si="45"/>
        <v>0</v>
      </c>
      <c r="AB87" s="51">
        <f t="shared" si="46"/>
        <v>0</v>
      </c>
      <c r="AC87" s="44">
        <f t="shared" si="47"/>
        <v>0</v>
      </c>
      <c r="AD87" s="44">
        <f t="shared" si="48"/>
        <v>0</v>
      </c>
      <c r="AE87" s="44">
        <f t="shared" si="49"/>
        <v>0</v>
      </c>
      <c r="AF87" s="52" t="e">
        <f>HLOOKUP(I87,GasAvoidedCostsWOCC!$A$5:$G$50,G87+1,FALSE)</f>
        <v>#N/A</v>
      </c>
      <c r="AG87" s="44" t="e">
        <f t="shared" si="50"/>
        <v>#N/A</v>
      </c>
      <c r="AH87" s="52" t="e">
        <f>HLOOKUP(I87,GasAvoidedCostsWOCC!$A$5:$Q$50,T87+1,FALSE)</f>
        <v>#N/A</v>
      </c>
      <c r="AI87" s="44" t="e">
        <f t="shared" si="51"/>
        <v>#N/A</v>
      </c>
      <c r="AJ87" s="44" t="e">
        <f t="shared" si="52"/>
        <v>#N/A</v>
      </c>
      <c r="AK87" s="44" t="e">
        <f>HLOOKUP(I87,GasAvoidedCostsWOCC!$A$5:$Q$50,G87+1,FALSE)*J87*L87</f>
        <v>#N/A</v>
      </c>
      <c r="AL87" s="44" t="e">
        <f t="shared" si="53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4"/>
        <v>0</v>
      </c>
      <c r="AO87" s="47">
        <f t="shared" si="55"/>
        <v>0</v>
      </c>
      <c r="AP87" s="47" t="e">
        <f t="shared" si="56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HLOOKUP(I88,GasAvoidedCostsWOCC!$A$5:$G$50,G88+1,FALSE)</f>
        <v>#N/A</v>
      </c>
      <c r="AG88" s="44" t="e">
        <f t="shared" si="50"/>
        <v>#N/A</v>
      </c>
      <c r="AH88" s="52" t="e">
        <f>HLOOKUP(I88,GasAvoidedCostsWOCC!$A$5:$Q$50,T88+1,FALSE)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HLOOKUP(I88,GasAvoidedCostsWOCC!$A$5:$Q$50,G88+1,FALSE)*J88*L88</f>
        <v>#N/A</v>
      </c>
      <c r="AL88" s="44" t="e">
        <f t="shared" si="53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 t="e">
        <f>HLOOKUP(I89,GasAvoidedCostsWOCC!$A$5:$G$50,G89+1,FALSE)</f>
        <v>#N/A</v>
      </c>
      <c r="AG89" s="44" t="e">
        <f t="shared" si="50"/>
        <v>#N/A</v>
      </c>
      <c r="AH89" s="52" t="e">
        <f>HLOOKUP(I89,GasAvoidedCostsWOCC!$A$5:$Q$50,T89+1,FALSE)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HLOOKUP(I89,GasAvoidedCostsWOCC!$A$5:$Q$50,G89+1,FALSE)*J89*L89</f>
        <v>#N/A</v>
      </c>
      <c r="AL89" s="44" t="e">
        <f t="shared" si="53"/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HLOOKUP(I90,GasAvoidedCostsWOCC!$A$5:$G$50,G90+1,FALSE)</f>
        <v>#N/A</v>
      </c>
      <c r="AG90" s="44" t="e">
        <f t="shared" si="50"/>
        <v>#N/A</v>
      </c>
      <c r="AH90" s="52" t="e">
        <f>HLOOKUP(I90,GasAvoidedCostsWOCC!$A$5:$Q$50,T90+1,FALSE)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HLOOKUP(I90,GasAvoidedCostsWOCC!$A$5:$Q$50,G90+1,FALSE)*J90*L90</f>
        <v>#N/A</v>
      </c>
      <c r="AL90" s="44" t="e">
        <f t="shared" si="53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HLOOKUP(I91,GasAvoidedCostsWOCC!$A$5:$G$50,G91+1,FALSE)</f>
        <v>#N/A</v>
      </c>
      <c r="AG91" s="44" t="e">
        <f t="shared" si="50"/>
        <v>#N/A</v>
      </c>
      <c r="AH91" s="52" t="e">
        <f>HLOOKUP(I91,GasAvoidedCostsWOCC!$A$5:$Q$50,T91+1,FALSE)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HLOOKUP(I91,GasAvoidedCostsWOCC!$A$5:$Q$50,G91+1,FALSE)*J91*L91</f>
        <v>#N/A</v>
      </c>
      <c r="AL91" s="44" t="e">
        <f t="shared" si="53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3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HLOOKUP(I92,GasAvoidedCostsWOCC!$A$5:$G$50,G92+1,FALSE)</f>
        <v>#N/A</v>
      </c>
      <c r="AG92" s="44" t="e">
        <f t="shared" si="50"/>
        <v>#N/A</v>
      </c>
      <c r="AH92" s="52" t="e">
        <f>HLOOKUP(I92,GasAvoidedCostsWOCC!$A$5:$Q$50,T92+1,FALSE)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HLOOKUP(I92,GasAvoidedCostsWOCC!$A$5:$Q$50,G92+1,FALSE)*J92*L92</f>
        <v>#N/A</v>
      </c>
      <c r="AL92" s="44" t="e">
        <f t="shared" si="53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3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HLOOKUP(I93,GasAvoidedCostsWOCC!$A$5:$G$50,G93+1,FALSE)</f>
        <v>#N/A</v>
      </c>
      <c r="AG93" s="44" t="e">
        <f t="shared" si="50"/>
        <v>#N/A</v>
      </c>
      <c r="AH93" s="52" t="e">
        <f>HLOOKUP(I93,GasAvoidedCostsWOCC!$A$5:$Q$50,T93+1,FALSE)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HLOOKUP(I93,GasAvoidedCostsWOCC!$A$5:$Q$50,G93+1,FALSE)*J93*L93</f>
        <v>#N/A</v>
      </c>
      <c r="AL93" s="44" t="e">
        <f t="shared" si="53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>
      <c r="B94" s="37"/>
      <c r="C94" s="61"/>
      <c r="D94" s="61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e">
        <f>HLOOKUP(I94,GasAvoidedCostsWOCC!$A$5:$G$50,G94+1,FALSE)</f>
        <v>#N/A</v>
      </c>
      <c r="AG94" s="44" t="e">
        <f t="shared" si="50"/>
        <v>#N/A</v>
      </c>
      <c r="AH94" s="52" t="e">
        <f>HLOOKUP(I94,GasAvoidedCostsWOCC!$A$5:$Q$50,T94+1,FALSE)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HLOOKUP(I94,GasAvoidedCostsWOCC!$A$5:$Q$50,G94+1,FALSE)*J94*L94</f>
        <v>#N/A</v>
      </c>
      <c r="AL94" s="44" t="e">
        <f t="shared" si="53"/>
        <v>#N/A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37"/>
      <c r="C95" s="61"/>
      <c r="D95" s="61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e">
        <f>HLOOKUP(I95,GasAvoidedCostsWOCC!$A$5:$G$50,G95+1,FALSE)</f>
        <v>#N/A</v>
      </c>
      <c r="AG95" s="44" t="e">
        <f t="shared" si="50"/>
        <v>#N/A</v>
      </c>
      <c r="AH95" s="52" t="e">
        <f>HLOOKUP(I95,GasAvoidedCostsWOCC!$A$5:$Q$50,T95+1,FALSE)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HLOOKUP(I95,GasAvoidedCostsWOCC!$A$5:$Q$50,G95+1,FALSE)*J95*L95</f>
        <v>#N/A</v>
      </c>
      <c r="AL95" s="44" t="e">
        <f t="shared" si="53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>
      <c r="B96" s="3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HLOOKUP(I96,GasAvoidedCostsWOCC!$A$5:$G$50,G96+1,FALSE)</f>
        <v>#N/A</v>
      </c>
      <c r="AG96" s="44" t="e">
        <f t="shared" si="50"/>
        <v>#N/A</v>
      </c>
      <c r="AH96" s="52" t="e">
        <f>HLOOKUP(I96,GasAvoidedCostsWOCC!$A$5:$Q$50,T96+1,FALSE)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HLOOKUP(I96,GasAvoidedCostsWOCC!$A$5:$Q$50,G96+1,FALSE)*J96*L96</f>
        <v>#N/A</v>
      </c>
      <c r="AL96" s="44" t="e">
        <f t="shared" si="53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>
      <c r="B97" s="3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HLOOKUP(I97,GasAvoidedCostsWOCC!$A$5:$G$50,G97+1,FALSE)</f>
        <v>#N/A</v>
      </c>
      <c r="AG97" s="44" t="e">
        <f t="shared" si="50"/>
        <v>#N/A</v>
      </c>
      <c r="AH97" s="52" t="e">
        <f>HLOOKUP(I97,GasAvoidedCostsWOCC!$A$5:$Q$50,T97+1,FALSE)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HLOOKUP(I97,GasAvoidedCostsWOCC!$A$5:$Q$50,G97+1,FALSE)*J97*L97</f>
        <v>#N/A</v>
      </c>
      <c r="AL97" s="44" t="e">
        <f t="shared" si="53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>
      <c r="B98" s="3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HLOOKUP(I98,GasAvoidedCostsWOCC!$A$5:$G$50,G98+1,FALSE)</f>
        <v>#N/A</v>
      </c>
      <c r="AG98" s="44" t="e">
        <f t="shared" si="50"/>
        <v>#N/A</v>
      </c>
      <c r="AH98" s="52" t="e">
        <f>HLOOKUP(I98,GasAvoidedCostsWOCC!$A$5:$Q$50,T98+1,FALSE)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HLOOKUP(I98,GasAvoidedCostsWOCC!$A$5:$Q$50,G98+1,FALSE)*J98*L98</f>
        <v>#N/A</v>
      </c>
      <c r="AL98" s="44" t="e">
        <f t="shared" si="53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</sheetData>
  <conditionalFormatting sqref="J5:L98">
    <cfRule type="expression" dxfId="39" priority="4">
      <formula>ISTEXT(J5)</formula>
    </cfRule>
    <cfRule type="notContainsBlanks" dxfId="38" priority="5">
      <formula>LEN(TRIM(J5))&gt;0</formula>
    </cfRule>
  </conditionalFormatting>
  <conditionalFormatting sqref="M5:N98 R5:S98">
    <cfRule type="expression" dxfId="37" priority="2">
      <formula>ISTEXT(M5)</formula>
    </cfRule>
  </conditionalFormatting>
  <conditionalFormatting sqref="M5:N98 R5:S98">
    <cfRule type="notContainsBlanks" dxfId="36" priority="3">
      <formula>LEN(TRIM(M5))&gt;0</formula>
    </cfRule>
  </conditionalFormatting>
  <conditionalFormatting sqref="R5:S98">
    <cfRule type="expression" dxfId="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A30" sqref="A3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18231029</v>
      </c>
      <c r="D2" s="20" t="s">
        <v>165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31</v>
      </c>
      <c r="C5" s="98">
        <v>18231029</v>
      </c>
      <c r="D5" s="61" t="s">
        <v>165</v>
      </c>
      <c r="E5" s="38" t="s">
        <v>1220</v>
      </c>
      <c r="F5" s="39" t="s">
        <v>1221</v>
      </c>
      <c r="G5" s="39">
        <v>15</v>
      </c>
      <c r="H5" s="39"/>
      <c r="I5" s="40" t="s">
        <v>256</v>
      </c>
      <c r="J5" s="41">
        <v>30</v>
      </c>
      <c r="K5" s="41">
        <v>15.2</v>
      </c>
      <c r="L5" s="41"/>
      <c r="M5" s="42">
        <v>50</v>
      </c>
      <c r="N5" s="42">
        <v>387.91</v>
      </c>
      <c r="O5" s="43">
        <v>456</v>
      </c>
      <c r="P5" s="44">
        <v>1500</v>
      </c>
      <c r="Q5" s="44">
        <v>11637.3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0.44449123299528598</v>
      </c>
      <c r="V5" s="48">
        <f t="shared" ref="V5:V24" si="2">N5-M5</f>
        <v>337.91</v>
      </c>
      <c r="W5" s="49">
        <f t="shared" ref="W5:W24" si="3">(O5/A$10)</f>
        <v>2.96327488663524E-2</v>
      </c>
      <c r="X5" s="44">
        <f t="shared" ref="X5:X24" si="4">W5*A$8</f>
        <v>1453.2720871202814</v>
      </c>
      <c r="Y5" s="44">
        <f t="shared" ref="Y5:Y24" si="5">Q5-P5</f>
        <v>10137.299999999999</v>
      </c>
      <c r="Z5" s="44">
        <f t="shared" ref="Z5:Z24" si="6">X5+(A$6*W5)</f>
        <v>1519.9457720695743</v>
      </c>
      <c r="AA5" s="50">
        <f t="shared" ref="AA5:AA24" si="7">Q5+X5</f>
        <v>13090.572087120281</v>
      </c>
      <c r="AB5" s="51">
        <f t="shared" ref="AB5:AB24" si="8">Z5/(1+GasDiscountRate)^1</f>
        <v>1420.908452902285</v>
      </c>
      <c r="AC5" s="44">
        <f t="shared" ref="AC5:AC24" si="9">AA5/(1+GasDiscountRate)^1</f>
        <v>12237.610626456277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4398.582380542055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4398.582380542055</v>
      </c>
      <c r="AK5" s="44">
        <f>HLOOKUP(I5,GasAvoidedCostsWOCC!$A$5:$Q$50,G5+1,FALSE)*J5*L5</f>
        <v>0</v>
      </c>
      <c r="AL5" s="44">
        <f>AG5+AI5-AK5</f>
        <v>4398.582380542055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4398.582380542055</v>
      </c>
      <c r="AN5" s="48">
        <f>AM5*1.1+AD5+AE5</f>
        <v>4838.4406185962607</v>
      </c>
      <c r="AO5" s="47">
        <f>IFERROR(AM5/AB5,0)</f>
        <v>3.095612790224243</v>
      </c>
      <c r="AP5" s="47">
        <f>AN5/AC5</f>
        <v>0.39537461734042434</v>
      </c>
      <c r="AQ5">
        <v>2021</v>
      </c>
    </row>
    <row r="6" spans="1:43" ht="13.5" customHeight="1">
      <c r="A6" s="53">
        <f>SUMIF('Program Costs'!D:D,C2,'Program Costs'!L:L)</f>
        <v>2250</v>
      </c>
      <c r="B6" s="97" t="s">
        <v>31</v>
      </c>
      <c r="C6" s="98">
        <v>18231029</v>
      </c>
      <c r="D6" s="61" t="s">
        <v>165</v>
      </c>
      <c r="E6" s="38" t="s">
        <v>1226</v>
      </c>
      <c r="F6" s="39" t="s">
        <v>1227</v>
      </c>
      <c r="G6" s="39">
        <v>10</v>
      </c>
      <c r="H6" s="39"/>
      <c r="I6" s="40" t="s">
        <v>261</v>
      </c>
      <c r="J6" s="41">
        <v>466.15</v>
      </c>
      <c r="K6" s="41">
        <v>6</v>
      </c>
      <c r="L6" s="41"/>
      <c r="M6" s="42">
        <v>0</v>
      </c>
      <c r="N6" s="42">
        <v>0</v>
      </c>
      <c r="O6" s="43">
        <v>2796.9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10</v>
      </c>
      <c r="U6" s="47">
        <f t="shared" si="1"/>
        <v>1.8175402479013387</v>
      </c>
      <c r="V6" s="48">
        <f t="shared" si="2"/>
        <v>0</v>
      </c>
      <c r="W6" s="49">
        <f t="shared" si="3"/>
        <v>0.18175402479013386</v>
      </c>
      <c r="X6" s="44">
        <f t="shared" si="4"/>
        <v>8913.7208343568327</v>
      </c>
      <c r="Y6" s="44">
        <f t="shared" si="5"/>
        <v>0</v>
      </c>
      <c r="Z6" s="44">
        <f t="shared" si="6"/>
        <v>9322.667390134633</v>
      </c>
      <c r="AA6" s="50">
        <f t="shared" si="7"/>
        <v>8913.7208343568327</v>
      </c>
      <c r="AB6" s="51">
        <f t="shared" si="8"/>
        <v>8715.2167805315803</v>
      </c>
      <c r="AC6" s="44">
        <f t="shared" si="9"/>
        <v>8332.9165507682828</v>
      </c>
      <c r="AD6" s="44">
        <f t="shared" si="10"/>
        <v>0</v>
      </c>
      <c r="AE6" s="44">
        <v>0</v>
      </c>
      <c r="AF6" s="52">
        <f>HLOOKUP(I6,GasAvoidedCostsWOCC!$A$5:$G$50,G6+1,FALSE)</f>
        <v>8.0513997654936151</v>
      </c>
      <c r="AG6" s="44">
        <f t="shared" si="11"/>
        <v>22518.960004109089</v>
      </c>
      <c r="AH6" s="52">
        <f>HLOOKUP(I6,GasAvoidedCostsWOCC!$A$5:$Q$50,T6+1,FALSE)</f>
        <v>8.0513997654936151</v>
      </c>
      <c r="AI6" s="44">
        <f t="shared" si="12"/>
        <v>0</v>
      </c>
      <c r="AJ6" s="44">
        <f t="shared" ref="AJ6:AJ24" si="13">AG6+AI6</f>
        <v>22518.960004109089</v>
      </c>
      <c r="AK6" s="44">
        <f>HLOOKUP(I6,GasAvoidedCostsWOCC!$A$5:$Q$50,G6+1,FALSE)*J6*L6</f>
        <v>0</v>
      </c>
      <c r="AL6" s="44">
        <f t="shared" ref="AL6:AL24" si="14">AG6+AI6-AK6</f>
        <v>22518.960004109089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22518.960004109093</v>
      </c>
      <c r="AN6" s="48">
        <f t="shared" ref="AN6:AN24" si="15">AM6*1.1+AD6+AE6</f>
        <v>24770.856004520003</v>
      </c>
      <c r="AO6" s="47">
        <f t="shared" ref="AO6:AO24" si="16">IFERROR(AM6/AB6,0)</f>
        <v>2.5838668814771077</v>
      </c>
      <c r="AP6" s="47">
        <f t="shared" ref="AP6:AP24" si="17">AN6/AC6</f>
        <v>2.9726513944551822</v>
      </c>
      <c r="AQ6">
        <v>2021</v>
      </c>
    </row>
    <row r="7" spans="1:43" ht="13.5" customHeight="1">
      <c r="A7" s="36" t="s">
        <v>249</v>
      </c>
      <c r="B7" s="97" t="s">
        <v>31</v>
      </c>
      <c r="C7" s="98">
        <v>18231029</v>
      </c>
      <c r="D7" s="61" t="s">
        <v>165</v>
      </c>
      <c r="E7" s="38" t="s">
        <v>1230</v>
      </c>
      <c r="F7" s="39" t="s">
        <v>1231</v>
      </c>
      <c r="G7" s="39">
        <v>10</v>
      </c>
      <c r="H7" s="39"/>
      <c r="I7" s="40" t="s">
        <v>261</v>
      </c>
      <c r="J7" s="41">
        <v>50.08</v>
      </c>
      <c r="K7" s="41">
        <v>6</v>
      </c>
      <c r="L7" s="41"/>
      <c r="M7" s="42">
        <v>0</v>
      </c>
      <c r="N7" s="42">
        <v>0</v>
      </c>
      <c r="O7" s="43">
        <v>300.48</v>
      </c>
      <c r="P7" s="44">
        <v>0</v>
      </c>
      <c r="Q7" s="44">
        <v>0</v>
      </c>
      <c r="R7" s="45">
        <v>0</v>
      </c>
      <c r="S7" s="46">
        <v>0</v>
      </c>
      <c r="T7" s="39">
        <f t="shared" si="0"/>
        <v>10</v>
      </c>
      <c r="U7" s="47">
        <f t="shared" si="1"/>
        <v>0.19526421884564849</v>
      </c>
      <c r="V7" s="48">
        <f t="shared" si="2"/>
        <v>0</v>
      </c>
      <c r="W7" s="49">
        <f t="shared" si="3"/>
        <v>1.9526421884564847E-2</v>
      </c>
      <c r="X7" s="44">
        <f t="shared" si="4"/>
        <v>957.62981740768032</v>
      </c>
      <c r="Y7" s="44">
        <f t="shared" si="5"/>
        <v>0</v>
      </c>
      <c r="Z7" s="44">
        <f t="shared" si="6"/>
        <v>1001.5642666479512</v>
      </c>
      <c r="AA7" s="50">
        <f t="shared" si="7"/>
        <v>957.62981740768032</v>
      </c>
      <c r="AB7" s="51">
        <f t="shared" si="8"/>
        <v>936.30388580719</v>
      </c>
      <c r="AC7" s="44">
        <f t="shared" si="9"/>
        <v>895.23213742888686</v>
      </c>
      <c r="AD7" s="44">
        <f t="shared" si="10"/>
        <v>0</v>
      </c>
      <c r="AE7" s="44">
        <v>0</v>
      </c>
      <c r="AF7" s="52">
        <f>HLOOKUP(I7,GasAvoidedCostsWOCC!$A$5:$G$50,G7+1,FALSE)</f>
        <v>8.0513997654936151</v>
      </c>
      <c r="AG7" s="44">
        <f t="shared" si="11"/>
        <v>2419.2846015355217</v>
      </c>
      <c r="AH7" s="52">
        <f>HLOOKUP(I7,GasAvoidedCostsWOCC!$A$5:$Q$50,T7+1,FALSE)</f>
        <v>8.0513997654936151</v>
      </c>
      <c r="AI7" s="44">
        <f t="shared" si="12"/>
        <v>0</v>
      </c>
      <c r="AJ7" s="44">
        <f t="shared" si="13"/>
        <v>2419.2846015355217</v>
      </c>
      <c r="AK7" s="44">
        <f>HLOOKUP(I7,GasAvoidedCostsWOCC!$A$5:$Q$50,G7+1,FALSE)*J7*L7</f>
        <v>0</v>
      </c>
      <c r="AL7" s="44">
        <f t="shared" si="14"/>
        <v>2419.2846015355217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2419.2846015355217</v>
      </c>
      <c r="AN7" s="48">
        <f t="shared" si="15"/>
        <v>2661.213061689074</v>
      </c>
      <c r="AO7" s="47">
        <f t="shared" si="16"/>
        <v>2.5838668814771073</v>
      </c>
      <c r="AP7" s="47">
        <f t="shared" si="17"/>
        <v>2.9726513944551822</v>
      </c>
      <c r="AQ7">
        <v>2021</v>
      </c>
    </row>
    <row r="8" spans="1:43" ht="13.5" customHeight="1">
      <c r="A8" s="53">
        <f>SUMIF('Program Costs'!D:D,C2,'Program Costs'!O:O)</f>
        <v>49042.77</v>
      </c>
      <c r="B8" s="97" t="s">
        <v>31</v>
      </c>
      <c r="C8" s="98">
        <v>18231029</v>
      </c>
      <c r="D8" s="61" t="s">
        <v>165</v>
      </c>
      <c r="E8" s="38" t="s">
        <v>1246</v>
      </c>
      <c r="F8" s="39" t="s">
        <v>1247</v>
      </c>
      <c r="G8" s="39">
        <v>15</v>
      </c>
      <c r="H8" s="39"/>
      <c r="I8" s="40" t="s">
        <v>256</v>
      </c>
      <c r="J8" s="41">
        <v>35</v>
      </c>
      <c r="K8" s="41">
        <v>228</v>
      </c>
      <c r="L8" s="41"/>
      <c r="M8" s="42">
        <v>0</v>
      </c>
      <c r="N8" s="42">
        <v>0</v>
      </c>
      <c r="O8" s="43">
        <v>7980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15</v>
      </c>
      <c r="U8" s="47">
        <f t="shared" si="1"/>
        <v>7.7785965774175061</v>
      </c>
      <c r="V8" s="48">
        <f t="shared" si="2"/>
        <v>0</v>
      </c>
      <c r="W8" s="49">
        <f t="shared" si="3"/>
        <v>0.51857310516116706</v>
      </c>
      <c r="X8" s="44">
        <f t="shared" si="4"/>
        <v>25432.261524604928</v>
      </c>
      <c r="Y8" s="44">
        <f t="shared" si="5"/>
        <v>0</v>
      </c>
      <c r="Z8" s="44">
        <f t="shared" si="6"/>
        <v>26599.051011217554</v>
      </c>
      <c r="AA8" s="50">
        <f t="shared" si="7"/>
        <v>25432.261524604928</v>
      </c>
      <c r="AB8" s="51">
        <f t="shared" si="8"/>
        <v>24865.897925789988</v>
      </c>
      <c r="AC8" s="44">
        <f t="shared" si="9"/>
        <v>23775.134640184093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76975.19165948595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76975.19165948595</v>
      </c>
      <c r="AK8" s="44">
        <f>HLOOKUP(I8,GasAvoidedCostsWOCC!$A$5:$Q$50,G8+1,FALSE)*J8*L8</f>
        <v>0</v>
      </c>
      <c r="AL8" s="44">
        <f t="shared" si="14"/>
        <v>76975.19165948595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76975.191659485965</v>
      </c>
      <c r="AN8" s="48">
        <f t="shared" si="15"/>
        <v>84672.710825434566</v>
      </c>
      <c r="AO8" s="47">
        <f t="shared" si="16"/>
        <v>3.095612790224243</v>
      </c>
      <c r="AP8" s="47">
        <f t="shared" si="17"/>
        <v>3.5613977420898819</v>
      </c>
      <c r="AQ8">
        <v>2021</v>
      </c>
    </row>
    <row r="9" spans="1:43" ht="13.5" customHeight="1">
      <c r="A9" s="36" t="s">
        <v>303</v>
      </c>
      <c r="B9" s="97" t="s">
        <v>31</v>
      </c>
      <c r="C9" s="98">
        <v>18231029</v>
      </c>
      <c r="D9" s="61" t="s">
        <v>165</v>
      </c>
      <c r="E9" s="38" t="s">
        <v>1248</v>
      </c>
      <c r="F9" s="39" t="s">
        <v>1249</v>
      </c>
      <c r="G9" s="39">
        <v>15</v>
      </c>
      <c r="H9" s="39"/>
      <c r="I9" s="40" t="s">
        <v>256</v>
      </c>
      <c r="J9" s="41">
        <v>28.5</v>
      </c>
      <c r="K9" s="41">
        <v>114</v>
      </c>
      <c r="L9" s="41"/>
      <c r="M9" s="42">
        <v>0</v>
      </c>
      <c r="N9" s="42">
        <v>0</v>
      </c>
      <c r="O9" s="43">
        <v>3249</v>
      </c>
      <c r="P9" s="44">
        <v>0</v>
      </c>
      <c r="Q9" s="44">
        <v>0</v>
      </c>
      <c r="R9" s="45">
        <v>0</v>
      </c>
      <c r="S9" s="46">
        <v>0</v>
      </c>
      <c r="T9" s="39">
        <f t="shared" si="0"/>
        <v>15</v>
      </c>
      <c r="U9" s="47">
        <f t="shared" si="1"/>
        <v>3.1670000350914127</v>
      </c>
      <c r="V9" s="48">
        <f t="shared" si="2"/>
        <v>0</v>
      </c>
      <c r="W9" s="49">
        <f t="shared" si="3"/>
        <v>0.21113333567276085</v>
      </c>
      <c r="X9" s="44">
        <f t="shared" si="4"/>
        <v>10354.563620732006</v>
      </c>
      <c r="Y9" s="44">
        <f t="shared" si="5"/>
        <v>0</v>
      </c>
      <c r="Z9" s="44">
        <f t="shared" si="6"/>
        <v>10829.613625995718</v>
      </c>
      <c r="AA9" s="50">
        <f t="shared" si="7"/>
        <v>10354.563620732006</v>
      </c>
      <c r="AB9" s="51">
        <f t="shared" si="8"/>
        <v>10123.972726928781</v>
      </c>
      <c r="AC9" s="44">
        <f t="shared" si="9"/>
        <v>9679.8762463606672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9.6460139924167869</v>
      </c>
      <c r="AG9" s="44">
        <f t="shared" si="11"/>
        <v>31339.899461362143</v>
      </c>
      <c r="AH9" s="52">
        <f>HLOOKUP(I9,GasAvoidedCostsWOCC!$A$5:$Q$50,T9+1,FALSE)</f>
        <v>9.6460139924167869</v>
      </c>
      <c r="AI9" s="44">
        <f t="shared" si="12"/>
        <v>0</v>
      </c>
      <c r="AJ9" s="44">
        <f t="shared" si="13"/>
        <v>31339.899461362143</v>
      </c>
      <c r="AK9" s="44">
        <f>HLOOKUP(I9,GasAvoidedCostsWOCC!$A$5:$Q$50,G9+1,FALSE)*J9*L9</f>
        <v>0</v>
      </c>
      <c r="AL9" s="44">
        <f t="shared" si="14"/>
        <v>31339.899461362143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31339.899461362143</v>
      </c>
      <c r="AN9" s="48">
        <f t="shared" si="15"/>
        <v>34473.889407498362</v>
      </c>
      <c r="AO9" s="47">
        <f t="shared" si="16"/>
        <v>3.095612790224243</v>
      </c>
      <c r="AP9" s="47">
        <f t="shared" si="17"/>
        <v>3.5613977420898819</v>
      </c>
      <c r="AQ9">
        <v>2021</v>
      </c>
    </row>
    <row r="10" spans="1:43" ht="13.5" customHeight="1">
      <c r="A10" s="54">
        <f>SUM(O5:O999)</f>
        <v>15388.380000000001</v>
      </c>
      <c r="B10" s="97" t="s">
        <v>70</v>
      </c>
      <c r="C10" s="100">
        <v>18230718</v>
      </c>
      <c r="D10" s="100" t="s">
        <v>132</v>
      </c>
      <c r="E10" s="38" t="s">
        <v>1220</v>
      </c>
      <c r="F10" s="39" t="s">
        <v>1221</v>
      </c>
      <c r="G10" s="39">
        <v>15</v>
      </c>
      <c r="H10" s="39"/>
      <c r="I10" s="40" t="s">
        <v>256</v>
      </c>
      <c r="J10" s="41">
        <v>15</v>
      </c>
      <c r="K10" s="41">
        <v>15.2</v>
      </c>
      <c r="L10" s="41"/>
      <c r="M10" s="42">
        <v>50</v>
      </c>
      <c r="N10" s="42">
        <v>387.91</v>
      </c>
      <c r="O10" s="43">
        <v>228</v>
      </c>
      <c r="P10" s="44">
        <v>750</v>
      </c>
      <c r="Q10" s="44">
        <v>5818.65</v>
      </c>
      <c r="R10" s="45">
        <v>0</v>
      </c>
      <c r="S10" s="46">
        <v>0</v>
      </c>
      <c r="T10" s="39">
        <f t="shared" si="0"/>
        <v>15</v>
      </c>
      <c r="U10" s="47">
        <f t="shared" si="1"/>
        <v>0.22224561649764299</v>
      </c>
      <c r="V10" s="48">
        <f t="shared" si="2"/>
        <v>337.91</v>
      </c>
      <c r="W10" s="49">
        <f t="shared" si="3"/>
        <v>1.48163744331762E-2</v>
      </c>
      <c r="X10" s="44">
        <f t="shared" si="4"/>
        <v>726.63604356014071</v>
      </c>
      <c r="Y10" s="44">
        <f t="shared" si="5"/>
        <v>5068.6499999999996</v>
      </c>
      <c r="Z10" s="44">
        <f t="shared" si="6"/>
        <v>759.97288603478717</v>
      </c>
      <c r="AA10" s="50">
        <f t="shared" si="7"/>
        <v>6545.2860435601406</v>
      </c>
      <c r="AB10" s="51">
        <f t="shared" si="8"/>
        <v>710.45422645114252</v>
      </c>
      <c r="AC10" s="44">
        <f t="shared" si="9"/>
        <v>6118.8053132281384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9.6460139924167869</v>
      </c>
      <c r="AG10" s="44">
        <f t="shared" si="11"/>
        <v>2199.2911902710275</v>
      </c>
      <c r="AH10" s="52">
        <f>HLOOKUP(I10,GasAvoidedCostsWOCC!$A$5:$Q$50,T10+1,FALSE)</f>
        <v>9.6460139924167869</v>
      </c>
      <c r="AI10" s="44">
        <f t="shared" si="12"/>
        <v>0</v>
      </c>
      <c r="AJ10" s="44">
        <f t="shared" si="13"/>
        <v>2199.2911902710275</v>
      </c>
      <c r="AK10" s="44">
        <f>HLOOKUP(I10,GasAvoidedCostsWOCC!$A$5:$Q$50,G10+1,FALSE)*J10*L10</f>
        <v>0</v>
      </c>
      <c r="AL10" s="44">
        <f t="shared" si="14"/>
        <v>2199.2911902710275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2199.2911902710275</v>
      </c>
      <c r="AN10" s="48">
        <f t="shared" si="15"/>
        <v>2419.2203092981304</v>
      </c>
      <c r="AO10" s="47">
        <f t="shared" si="16"/>
        <v>3.095612790224243</v>
      </c>
      <c r="AP10" s="47">
        <f t="shared" si="17"/>
        <v>0.39537461734042434</v>
      </c>
      <c r="AQ10">
        <v>2020</v>
      </c>
    </row>
    <row r="11" spans="1:43" ht="13.5" customHeight="1">
      <c r="A11" s="36" t="s">
        <v>251</v>
      </c>
      <c r="B11" s="97" t="s">
        <v>2575</v>
      </c>
      <c r="C11" s="100">
        <v>18230719</v>
      </c>
      <c r="D11" s="100" t="s">
        <v>132</v>
      </c>
      <c r="E11" s="38" t="s">
        <v>1226</v>
      </c>
      <c r="F11" s="39" t="s">
        <v>1227</v>
      </c>
      <c r="G11" s="39">
        <v>10</v>
      </c>
      <c r="H11" s="39"/>
      <c r="I11" s="40" t="s">
        <v>261</v>
      </c>
      <c r="J11" s="41">
        <v>63</v>
      </c>
      <c r="K11" s="41">
        <v>6</v>
      </c>
      <c r="L11" s="41"/>
      <c r="M11" s="42">
        <v>0</v>
      </c>
      <c r="N11" s="42">
        <v>0</v>
      </c>
      <c r="O11" s="43">
        <v>378</v>
      </c>
      <c r="P11" s="44">
        <v>0</v>
      </c>
      <c r="Q11" s="44">
        <v>0</v>
      </c>
      <c r="R11" s="45">
        <v>0</v>
      </c>
      <c r="S11" s="46">
        <v>0</v>
      </c>
      <c r="T11" s="39">
        <f t="shared" si="0"/>
        <v>10</v>
      </c>
      <c r="U11" s="47">
        <f t="shared" si="1"/>
        <v>0.24563989191844754</v>
      </c>
      <c r="V11" s="48">
        <f t="shared" si="2"/>
        <v>0</v>
      </c>
      <c r="W11" s="49">
        <f t="shared" si="3"/>
        <v>2.4563989191844753E-2</v>
      </c>
      <c r="X11" s="44">
        <f t="shared" si="4"/>
        <v>1204.6860722181279</v>
      </c>
      <c r="Y11" s="44">
        <f t="shared" si="5"/>
        <v>0</v>
      </c>
      <c r="Z11" s="44">
        <f t="shared" si="6"/>
        <v>1259.9550478997787</v>
      </c>
      <c r="AA11" s="50">
        <f t="shared" si="7"/>
        <v>1204.6860722181279</v>
      </c>
      <c r="AB11" s="51">
        <f t="shared" si="8"/>
        <v>1177.8583228005782</v>
      </c>
      <c r="AC11" s="44">
        <f t="shared" si="9"/>
        <v>1126.1905882192464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8.0513997654936151</v>
      </c>
      <c r="AG11" s="44">
        <f t="shared" si="11"/>
        <v>3043.4291113565864</v>
      </c>
      <c r="AH11" s="52">
        <f>HLOOKUP(I11,GasAvoidedCostsWOCC!$A$5:$Q$50,T11+1,FALSE)</f>
        <v>8.0513997654936151</v>
      </c>
      <c r="AI11" s="44">
        <f t="shared" si="12"/>
        <v>0</v>
      </c>
      <c r="AJ11" s="44">
        <f t="shared" si="13"/>
        <v>3043.4291113565864</v>
      </c>
      <c r="AK11" s="44">
        <f>HLOOKUP(I11,GasAvoidedCostsWOCC!$A$5:$Q$50,G11+1,FALSE)*J11*L11</f>
        <v>0</v>
      </c>
      <c r="AL11" s="44">
        <f t="shared" si="14"/>
        <v>3043.4291113565864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3043.4291113565869</v>
      </c>
      <c r="AN11" s="48">
        <f t="shared" si="15"/>
        <v>3347.7720224922459</v>
      </c>
      <c r="AO11" s="47">
        <f t="shared" si="16"/>
        <v>2.5838668814771082</v>
      </c>
      <c r="AP11" s="47">
        <f t="shared" si="17"/>
        <v>2.9726513944551836</v>
      </c>
      <c r="AQ11">
        <v>2020</v>
      </c>
    </row>
    <row r="12" spans="1:43" ht="13.5" customHeight="1">
      <c r="A12" s="55">
        <f>SUM(P5:P1000)</f>
        <v>2250</v>
      </c>
      <c r="B12" s="97" t="s">
        <v>2576</v>
      </c>
      <c r="C12" s="100">
        <v>18230720</v>
      </c>
      <c r="D12" s="100" t="s">
        <v>132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  <c r="AQ12">
        <v>2020</v>
      </c>
    </row>
    <row r="13" spans="1:43" ht="13.5" customHeight="1">
      <c r="A13" s="56" t="s">
        <v>252</v>
      </c>
      <c r="B13" s="97"/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15205.949999999999</v>
      </c>
      <c r="B14" s="97"/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C15" s="100"/>
      <c r="D15" s="100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13.870777820667282</v>
      </c>
      <c r="B16" s="37"/>
      <c r="C16" s="100"/>
      <c r="D16" s="100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C17" s="100"/>
      <c r="D17" s="100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51292.77</v>
      </c>
      <c r="B18" s="37"/>
      <c r="C18" s="100"/>
      <c r="D18" s="100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C19" s="100"/>
      <c r="D19" s="100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66498.720000000001</v>
      </c>
      <c r="B20" s="37"/>
      <c r="C20" s="100"/>
      <c r="D20" s="100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2.9800378241562346</v>
      </c>
      <c r="B22" s="3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2.5284672272837856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4" priority="4">
      <formula>ISTEXT(J5)</formula>
    </cfRule>
    <cfRule type="notContainsBlanks" dxfId="33" priority="5">
      <formula>LEN(TRIM(J5))&gt;0</formula>
    </cfRule>
  </conditionalFormatting>
  <conditionalFormatting sqref="M5:N24 R5:S24">
    <cfRule type="expression" dxfId="32" priority="2">
      <formula>ISTEXT(M5)</formula>
    </cfRule>
  </conditionalFormatting>
  <conditionalFormatting sqref="M5:N24 R5:S24">
    <cfRule type="notContainsBlanks" dxfId="31" priority="3">
      <formula>LEN(TRIM(M5))&gt;0</formula>
    </cfRule>
  </conditionalFormatting>
  <conditionalFormatting sqref="R5:S24">
    <cfRule type="expression" dxfId="30" priority="1">
      <formula>"istext($AB17)"</formula>
    </cfRule>
  </conditionalFormatting>
  <hyperlinks>
    <hyperlink ref="A1" location="'Gas CE'!A1" display="Rtn to Summary"/>
  </hyperlinks>
  <pageMargins left="0.7" right="0.7" top="0.75" bottom="0.75" header="0.3" footer="0.3"/>
  <pageSetup orientation="portrait" horizontalDpi="90" verticalDpi="90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73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18230248</v>
      </c>
      <c r="D2" s="20" t="s">
        <v>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31</v>
      </c>
      <c r="C5" s="98">
        <v>18230248</v>
      </c>
      <c r="D5" s="61" t="s">
        <v>32</v>
      </c>
      <c r="E5" s="38" t="s">
        <v>1764</v>
      </c>
      <c r="F5" s="39" t="s">
        <v>1765</v>
      </c>
      <c r="G5" s="39">
        <v>15</v>
      </c>
      <c r="H5" s="39"/>
      <c r="I5" s="40" t="s">
        <v>255</v>
      </c>
      <c r="J5" s="41">
        <v>-6</v>
      </c>
      <c r="K5" s="41">
        <v>1104.5</v>
      </c>
      <c r="L5" s="41"/>
      <c r="M5" s="42">
        <v>5</v>
      </c>
      <c r="N5" s="42">
        <v>5.68</v>
      </c>
      <c r="O5" s="43">
        <v>-6627</v>
      </c>
      <c r="P5" s="44">
        <v>0</v>
      </c>
      <c r="Q5" s="44">
        <v>-6812.59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-9.4712661954316713E-2</v>
      </c>
      <c r="V5" s="48">
        <f t="shared" ref="V5:V24" si="2">N5-M5</f>
        <v>0.67999999999999972</v>
      </c>
      <c r="W5" s="49">
        <f t="shared" ref="W5:W24" si="3">(O5/A$10)</f>
        <v>-6.3141774636211144E-3</v>
      </c>
      <c r="X5" s="44">
        <f t="shared" ref="X5:X24" si="4">W5*A$8</f>
        <v>-4560.8504776288892</v>
      </c>
      <c r="Y5" s="44">
        <f t="shared" ref="Y5:Y24" si="5">Q5-P5</f>
        <v>-6812.59</v>
      </c>
      <c r="Z5" s="44">
        <f t="shared" ref="Z5:Z24" si="6">X5+(A$6*W5)</f>
        <v>-23212.894209219925</v>
      </c>
      <c r="AA5" s="50">
        <f t="shared" ref="AA5:AA24" si="7">Q5+X5</f>
        <v>-11373.44047762889</v>
      </c>
      <c r="AB5" s="51">
        <f t="shared" ref="AB5:AB24" si="8">Z5/(1+GasDiscountRate)^1</f>
        <v>-21700.377871571396</v>
      </c>
      <c r="AC5" s="44">
        <f t="shared" ref="AC5:AC24" si="9">AA5/(1+GasDiscountRate)^1</f>
        <v>-10632.36466077301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-67223.540429069864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-67223.540429069864</v>
      </c>
      <c r="AK5" s="44">
        <f>HLOOKUP(I5,GasAvoidedCostsWOCC!$A$5:$Q$50,G5+1,FALSE)*J5*L5</f>
        <v>0</v>
      </c>
      <c r="AL5" s="44">
        <f>AG5+AI5-AK5</f>
        <v>-67223.540429069864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-67223.540429069864</v>
      </c>
      <c r="AN5" s="48">
        <f>AM5*1.1+AD5+AE5</f>
        <v>-73945.894471976862</v>
      </c>
      <c r="AO5" s="47">
        <f>IFERROR(AM5/AB5,0)</f>
        <v>3.0978050625162679</v>
      </c>
      <c r="AP5" s="47">
        <f>AN5/AC5</f>
        <v>6.95479292059954</v>
      </c>
      <c r="AQ5">
        <v>2021</v>
      </c>
    </row>
    <row r="6" spans="1:43" ht="13.5" customHeight="1">
      <c r="A6" s="53">
        <f>SUMIF('Program Costs'!D:D,C2,'Program Costs'!L:L)</f>
        <v>2953994.22</v>
      </c>
      <c r="B6" s="97" t="s">
        <v>31</v>
      </c>
      <c r="C6" s="98">
        <v>18230248</v>
      </c>
      <c r="D6" s="61" t="s">
        <v>32</v>
      </c>
      <c r="E6" s="38" t="s">
        <v>1766</v>
      </c>
      <c r="F6" s="39" t="s">
        <v>1765</v>
      </c>
      <c r="G6" s="39">
        <v>11</v>
      </c>
      <c r="H6" s="39"/>
      <c r="I6" s="40" t="s">
        <v>255</v>
      </c>
      <c r="J6" s="41">
        <v>270</v>
      </c>
      <c r="K6" s="41">
        <v>1087.7462222222221</v>
      </c>
      <c r="L6" s="41"/>
      <c r="M6" s="42">
        <v>5</v>
      </c>
      <c r="N6" s="42">
        <v>5.68</v>
      </c>
      <c r="O6" s="43">
        <v>293691.48</v>
      </c>
      <c r="P6" s="44">
        <v>296847.5</v>
      </c>
      <c r="Q6" s="44">
        <v>333810.50999999902</v>
      </c>
      <c r="R6" s="45">
        <v>0</v>
      </c>
      <c r="S6" s="46">
        <v>0</v>
      </c>
      <c r="T6" s="39">
        <f t="shared" si="0"/>
        <v>11</v>
      </c>
      <c r="U6" s="47">
        <f t="shared" si="1"/>
        <v>3.0781079473379873</v>
      </c>
      <c r="V6" s="48">
        <f t="shared" si="2"/>
        <v>0.67999999999999972</v>
      </c>
      <c r="W6" s="49">
        <f t="shared" si="3"/>
        <v>0.27982799521254431</v>
      </c>
      <c r="X6" s="44">
        <f t="shared" si="4"/>
        <v>202125.0832704897</v>
      </c>
      <c r="Y6" s="44">
        <f t="shared" si="5"/>
        <v>36963.00999999902</v>
      </c>
      <c r="Z6" s="44">
        <f t="shared" si="6"/>
        <v>1028735.3637225333</v>
      </c>
      <c r="AA6" s="50">
        <f t="shared" si="7"/>
        <v>535935.59327048878</v>
      </c>
      <c r="AB6" s="51">
        <f t="shared" si="8"/>
        <v>961704.55615829979</v>
      </c>
      <c r="AC6" s="44">
        <f t="shared" si="9"/>
        <v>501014.85768952861</v>
      </c>
      <c r="AD6" s="44">
        <f t="shared" si="10"/>
        <v>0</v>
      </c>
      <c r="AE6" s="44">
        <v>0</v>
      </c>
      <c r="AF6" s="52">
        <f>HLOOKUP(I6,GasAvoidedCostsWOCC!$A$5:$G$50,G6+1,FALSE)</f>
        <v>7.724742887417281</v>
      </c>
      <c r="AG6" s="44">
        <f t="shared" si="11"/>
        <v>2268691.1712250547</v>
      </c>
      <c r="AH6" s="52">
        <f>HLOOKUP(I6,GasAvoidedCostsWOCC!$A$5:$Q$50,T6+1,FALSE)</f>
        <v>7.724742887417281</v>
      </c>
      <c r="AI6" s="44">
        <f t="shared" si="12"/>
        <v>0</v>
      </c>
      <c r="AJ6" s="44">
        <f t="shared" ref="AJ6:AJ24" si="13">AG6+AI6</f>
        <v>2268691.1712250547</v>
      </c>
      <c r="AK6" s="44">
        <f>HLOOKUP(I6,GasAvoidedCostsWOCC!$A$5:$Q$50,G6+1,FALSE)*J6*L6</f>
        <v>0</v>
      </c>
      <c r="AL6" s="44">
        <f t="shared" ref="AL6:AL24" si="14">AG6+AI6-AK6</f>
        <v>2268691.1712250547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2268691.1712250542</v>
      </c>
      <c r="AN6" s="48">
        <f t="shared" ref="AN6:AN24" si="15">AM6*1.1+AD6+AE6</f>
        <v>2495560.28834756</v>
      </c>
      <c r="AO6" s="47">
        <f t="shared" ref="AO6:AO24" si="16">IFERROR(AM6/AB6,0)</f>
        <v>2.3590313227668851</v>
      </c>
      <c r="AP6" s="47">
        <f t="shared" ref="AP6:AP24" si="17">AN6/AC6</f>
        <v>4.9810105429927614</v>
      </c>
      <c r="AQ6">
        <v>2021</v>
      </c>
    </row>
    <row r="7" spans="1:43" ht="13.5" customHeight="1">
      <c r="A7" s="36" t="s">
        <v>249</v>
      </c>
      <c r="B7" s="97" t="s">
        <v>31</v>
      </c>
      <c r="C7" s="98">
        <v>18230248</v>
      </c>
      <c r="D7" s="61" t="s">
        <v>32</v>
      </c>
      <c r="E7" s="38" t="s">
        <v>1767</v>
      </c>
      <c r="F7" s="39" t="s">
        <v>1768</v>
      </c>
      <c r="G7" s="39">
        <v>11</v>
      </c>
      <c r="H7" s="39"/>
      <c r="I7" s="40" t="s">
        <v>255</v>
      </c>
      <c r="J7" s="41">
        <v>57</v>
      </c>
      <c r="K7" s="41">
        <v>2026.9854385964911</v>
      </c>
      <c r="L7" s="41"/>
      <c r="M7" s="42">
        <v>5</v>
      </c>
      <c r="N7" s="42">
        <v>10.24</v>
      </c>
      <c r="O7" s="43">
        <v>115538.17</v>
      </c>
      <c r="P7" s="44">
        <v>262769.45</v>
      </c>
      <c r="Q7" s="44">
        <v>538151.84</v>
      </c>
      <c r="R7" s="45">
        <v>0</v>
      </c>
      <c r="S7" s="46">
        <v>0</v>
      </c>
      <c r="T7" s="39">
        <f t="shared" si="0"/>
        <v>11</v>
      </c>
      <c r="U7" s="47">
        <f t="shared" si="1"/>
        <v>1.2109270561675383</v>
      </c>
      <c r="V7" s="48">
        <f t="shared" si="2"/>
        <v>5.24</v>
      </c>
      <c r="W7" s="49">
        <f t="shared" si="3"/>
        <v>0.11008427783341257</v>
      </c>
      <c r="X7" s="44">
        <f t="shared" si="4"/>
        <v>79515.967682038288</v>
      </c>
      <c r="Y7" s="44">
        <f t="shared" si="5"/>
        <v>275382.38999999996</v>
      </c>
      <c r="Z7" s="44">
        <f t="shared" si="6"/>
        <v>404704.28811481316</v>
      </c>
      <c r="AA7" s="50">
        <f t="shared" si="7"/>
        <v>617667.80768203828</v>
      </c>
      <c r="AB7" s="51">
        <f t="shared" si="8"/>
        <v>378334.38170965051</v>
      </c>
      <c r="AC7" s="44">
        <f t="shared" si="9"/>
        <v>577421.52723383962</v>
      </c>
      <c r="AD7" s="44">
        <f t="shared" si="10"/>
        <v>0</v>
      </c>
      <c r="AE7" s="44">
        <v>0</v>
      </c>
      <c r="AF7" s="52">
        <f>HLOOKUP(I7,GasAvoidedCostsWOCC!$A$5:$G$50,G7+1,FALSE)</f>
        <v>7.724742887417281</v>
      </c>
      <c r="AG7" s="44">
        <f t="shared" si="11"/>
        <v>892502.65693270869</v>
      </c>
      <c r="AH7" s="52">
        <f>HLOOKUP(I7,GasAvoidedCostsWOCC!$A$5:$Q$50,T7+1,FALSE)</f>
        <v>7.724742887417281</v>
      </c>
      <c r="AI7" s="44">
        <f t="shared" si="12"/>
        <v>0</v>
      </c>
      <c r="AJ7" s="44">
        <f t="shared" si="13"/>
        <v>892502.65693270869</v>
      </c>
      <c r="AK7" s="44">
        <f>HLOOKUP(I7,GasAvoidedCostsWOCC!$A$5:$Q$50,G7+1,FALSE)*J7*L7</f>
        <v>0</v>
      </c>
      <c r="AL7" s="44">
        <f t="shared" si="14"/>
        <v>892502.65693270869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892502.65693270857</v>
      </c>
      <c r="AN7" s="48">
        <f t="shared" si="15"/>
        <v>981752.92262597953</v>
      </c>
      <c r="AO7" s="47">
        <f t="shared" si="16"/>
        <v>2.3590313227668855</v>
      </c>
      <c r="AP7" s="47">
        <f t="shared" si="17"/>
        <v>1.7002360949878423</v>
      </c>
      <c r="AQ7">
        <v>2021</v>
      </c>
    </row>
    <row r="8" spans="1:43" ht="13.5" customHeight="1">
      <c r="A8" s="53">
        <f>SUMIF('Program Costs'!D:D,C2,'Program Costs'!O:O)</f>
        <v>722319.02</v>
      </c>
      <c r="B8" s="97" t="s">
        <v>31</v>
      </c>
      <c r="C8" s="98">
        <v>18230248</v>
      </c>
      <c r="D8" s="61" t="s">
        <v>32</v>
      </c>
      <c r="E8" s="38" t="s">
        <v>1769</v>
      </c>
      <c r="F8" s="39" t="s">
        <v>1770</v>
      </c>
      <c r="G8" s="39">
        <v>11</v>
      </c>
      <c r="H8" s="39"/>
      <c r="I8" s="40" t="s">
        <v>255</v>
      </c>
      <c r="J8" s="41">
        <v>102</v>
      </c>
      <c r="K8" s="41">
        <v>880.43245098039222</v>
      </c>
      <c r="L8" s="41"/>
      <c r="M8" s="42">
        <v>3</v>
      </c>
      <c r="N8" s="42">
        <v>3.43</v>
      </c>
      <c r="O8" s="43">
        <v>89804.11</v>
      </c>
      <c r="P8" s="44">
        <v>61127.25</v>
      </c>
      <c r="Q8" s="44">
        <v>69891.92</v>
      </c>
      <c r="R8" s="45">
        <v>0</v>
      </c>
      <c r="S8" s="46">
        <v>0</v>
      </c>
      <c r="T8" s="39">
        <f t="shared" si="0"/>
        <v>11</v>
      </c>
      <c r="U8" s="47">
        <f t="shared" si="1"/>
        <v>0.94121472197496103</v>
      </c>
      <c r="V8" s="48">
        <f t="shared" si="2"/>
        <v>0.43000000000000016</v>
      </c>
      <c r="W8" s="49">
        <f t="shared" si="3"/>
        <v>8.5564974724996454E-2</v>
      </c>
      <c r="X8" s="44">
        <f t="shared" si="4"/>
        <v>61805.208689684208</v>
      </c>
      <c r="Y8" s="44">
        <f t="shared" si="5"/>
        <v>8764.6699999999983</v>
      </c>
      <c r="Z8" s="44">
        <f t="shared" si="6"/>
        <v>314563.64946176985</v>
      </c>
      <c r="AA8" s="50">
        <f t="shared" si="7"/>
        <v>131697.12868968421</v>
      </c>
      <c r="AB8" s="51">
        <f t="shared" si="8"/>
        <v>294067.16786180221</v>
      </c>
      <c r="AC8" s="44">
        <f t="shared" si="9"/>
        <v>123115.94717180909</v>
      </c>
      <c r="AD8" s="44">
        <f t="shared" si="10"/>
        <v>0</v>
      </c>
      <c r="AE8" s="44">
        <v>0</v>
      </c>
      <c r="AF8" s="52">
        <f>HLOOKUP(I8,GasAvoidedCostsWOCC!$A$5:$G$50,G8+1,FALSE)</f>
        <v>7.724742887417281</v>
      </c>
      <c r="AG8" s="44">
        <f t="shared" si="11"/>
        <v>693713.65998333914</v>
      </c>
      <c r="AH8" s="52">
        <f>HLOOKUP(I8,GasAvoidedCostsWOCC!$A$5:$Q$50,T8+1,FALSE)</f>
        <v>7.724742887417281</v>
      </c>
      <c r="AI8" s="44">
        <f t="shared" si="12"/>
        <v>0</v>
      </c>
      <c r="AJ8" s="44">
        <f t="shared" si="13"/>
        <v>693713.65998333914</v>
      </c>
      <c r="AK8" s="44">
        <f>HLOOKUP(I8,GasAvoidedCostsWOCC!$A$5:$Q$50,G8+1,FALSE)*J8*L8</f>
        <v>0</v>
      </c>
      <c r="AL8" s="44">
        <f t="shared" si="14"/>
        <v>693713.65998333914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693713.65998333914</v>
      </c>
      <c r="AN8" s="48">
        <f t="shared" si="15"/>
        <v>763085.02598167316</v>
      </c>
      <c r="AO8" s="47">
        <f t="shared" si="16"/>
        <v>2.359031322766886</v>
      </c>
      <c r="AP8" s="47">
        <f t="shared" si="17"/>
        <v>6.1981005995655716</v>
      </c>
      <c r="AQ8">
        <v>2021</v>
      </c>
    </row>
    <row r="9" spans="1:43" ht="13.5" customHeight="1">
      <c r="A9" s="36" t="s">
        <v>303</v>
      </c>
      <c r="B9" s="97" t="s">
        <v>31</v>
      </c>
      <c r="C9" s="98">
        <v>18230248</v>
      </c>
      <c r="D9" s="61" t="s">
        <v>32</v>
      </c>
      <c r="E9" s="38" t="s">
        <v>1771</v>
      </c>
      <c r="F9" s="39" t="s">
        <v>1772</v>
      </c>
      <c r="G9" s="39">
        <v>11</v>
      </c>
      <c r="H9" s="39"/>
      <c r="I9" s="40" t="s">
        <v>255</v>
      </c>
      <c r="J9" s="41">
        <v>56</v>
      </c>
      <c r="K9" s="41">
        <v>462.03071428571428</v>
      </c>
      <c r="L9" s="41"/>
      <c r="M9" s="42">
        <v>5</v>
      </c>
      <c r="N9" s="42">
        <v>5.68</v>
      </c>
      <c r="O9" s="43">
        <v>25873.72</v>
      </c>
      <c r="P9" s="44">
        <v>68898.5</v>
      </c>
      <c r="Q9" s="44">
        <v>73747.39</v>
      </c>
      <c r="R9" s="45">
        <v>0</v>
      </c>
      <c r="S9" s="46">
        <v>0</v>
      </c>
      <c r="T9" s="39">
        <f t="shared" si="0"/>
        <v>11</v>
      </c>
      <c r="U9" s="47">
        <f t="shared" si="1"/>
        <v>0.27117607619804918</v>
      </c>
      <c r="V9" s="48">
        <f t="shared" si="2"/>
        <v>0.67999999999999972</v>
      </c>
      <c r="W9" s="49">
        <f t="shared" si="3"/>
        <v>2.4652370563459015E-2</v>
      </c>
      <c r="X9" s="44">
        <f t="shared" si="4"/>
        <v>17806.876146074563</v>
      </c>
      <c r="Y9" s="44">
        <f t="shared" si="5"/>
        <v>4848.8899999999994</v>
      </c>
      <c r="Z9" s="44">
        <f t="shared" si="6"/>
        <v>90629.83629983064</v>
      </c>
      <c r="AA9" s="50">
        <f t="shared" si="7"/>
        <v>91554.266146074558</v>
      </c>
      <c r="AB9" s="51">
        <f t="shared" si="8"/>
        <v>84724.53613146735</v>
      </c>
      <c r="AC9" s="44">
        <f t="shared" si="9"/>
        <v>85588.731556580868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7.724742887417281</v>
      </c>
      <c r="AG9" s="44">
        <f t="shared" si="11"/>
        <v>199867.83454102627</v>
      </c>
      <c r="AH9" s="52">
        <f>HLOOKUP(I9,GasAvoidedCostsWOCC!$A$5:$Q$50,T9+1,FALSE)</f>
        <v>7.724742887417281</v>
      </c>
      <c r="AI9" s="44">
        <f t="shared" si="12"/>
        <v>0</v>
      </c>
      <c r="AJ9" s="44">
        <f t="shared" si="13"/>
        <v>199867.83454102627</v>
      </c>
      <c r="AK9" s="44">
        <f>HLOOKUP(I9,GasAvoidedCostsWOCC!$A$5:$Q$50,G9+1,FALSE)*J9*L9</f>
        <v>0</v>
      </c>
      <c r="AL9" s="44">
        <f t="shared" si="14"/>
        <v>199867.83454102627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199867.83454102627</v>
      </c>
      <c r="AN9" s="48">
        <f t="shared" si="15"/>
        <v>219854.61799512891</v>
      </c>
      <c r="AO9" s="47">
        <f t="shared" si="16"/>
        <v>2.3590313227668864</v>
      </c>
      <c r="AP9" s="47">
        <f t="shared" si="17"/>
        <v>2.568733219860698</v>
      </c>
      <c r="AQ9">
        <v>2021</v>
      </c>
    </row>
    <row r="10" spans="1:43" ht="13.5" customHeight="1">
      <c r="A10" s="54">
        <f>SUM(O5:O999)</f>
        <v>1049542.8800000001</v>
      </c>
      <c r="B10" s="97" t="s">
        <v>31</v>
      </c>
      <c r="C10" s="98">
        <v>18230248</v>
      </c>
      <c r="D10" s="61" t="s">
        <v>32</v>
      </c>
      <c r="E10" s="38" t="s">
        <v>1773</v>
      </c>
      <c r="F10" s="39" t="s">
        <v>1774</v>
      </c>
      <c r="G10" s="39">
        <v>11</v>
      </c>
      <c r="H10" s="39"/>
      <c r="I10" s="40" t="s">
        <v>255</v>
      </c>
      <c r="J10" s="41">
        <v>20</v>
      </c>
      <c r="K10" s="41">
        <v>866.68549999999993</v>
      </c>
      <c r="L10" s="41"/>
      <c r="M10" s="42">
        <v>5</v>
      </c>
      <c r="N10" s="42">
        <v>10.24</v>
      </c>
      <c r="O10" s="43">
        <v>17333.71</v>
      </c>
      <c r="P10" s="44">
        <v>75003.5</v>
      </c>
      <c r="Q10" s="44">
        <v>153607.20000000001</v>
      </c>
      <c r="R10" s="45">
        <v>0</v>
      </c>
      <c r="S10" s="46">
        <v>0</v>
      </c>
      <c r="T10" s="39">
        <f t="shared" si="0"/>
        <v>11</v>
      </c>
      <c r="U10" s="47">
        <f t="shared" si="1"/>
        <v>0.18167033823334588</v>
      </c>
      <c r="V10" s="48">
        <f t="shared" si="2"/>
        <v>5.24</v>
      </c>
      <c r="W10" s="49">
        <f t="shared" si="3"/>
        <v>1.6515485293940535E-2</v>
      </c>
      <c r="X10" s="44">
        <f t="shared" si="4"/>
        <v>11929.449152343539</v>
      </c>
      <c r="Y10" s="44">
        <f t="shared" si="5"/>
        <v>78603.700000000012</v>
      </c>
      <c r="Z10" s="44">
        <f t="shared" si="6"/>
        <v>60716.097251138883</v>
      </c>
      <c r="AA10" s="50">
        <f t="shared" si="7"/>
        <v>165536.64915234354</v>
      </c>
      <c r="AB10" s="51">
        <f t="shared" si="8"/>
        <v>56759.930121659228</v>
      </c>
      <c r="AC10" s="44">
        <f t="shared" si="9"/>
        <v>154750.53674146353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7.724742887417281</v>
      </c>
      <c r="AG10" s="44">
        <f t="shared" si="11"/>
        <v>133898.4530350538</v>
      </c>
      <c r="AH10" s="52">
        <f>HLOOKUP(I10,GasAvoidedCostsWOCC!$A$5:$Q$50,T10+1,FALSE)</f>
        <v>7.724742887417281</v>
      </c>
      <c r="AI10" s="44">
        <f t="shared" si="12"/>
        <v>0</v>
      </c>
      <c r="AJ10" s="44">
        <f t="shared" si="13"/>
        <v>133898.4530350538</v>
      </c>
      <c r="AK10" s="44">
        <f>HLOOKUP(I10,GasAvoidedCostsWOCC!$A$5:$Q$50,G10+1,FALSE)*J10*L10</f>
        <v>0</v>
      </c>
      <c r="AL10" s="44">
        <f t="shared" si="14"/>
        <v>133898.4530350538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133898.4530350538</v>
      </c>
      <c r="AN10" s="48">
        <f t="shared" si="15"/>
        <v>147288.29833855919</v>
      </c>
      <c r="AO10" s="47">
        <f t="shared" si="16"/>
        <v>2.359031322766886</v>
      </c>
      <c r="AP10" s="47">
        <f t="shared" si="17"/>
        <v>0.95177891747560628</v>
      </c>
      <c r="AQ10">
        <v>2021</v>
      </c>
    </row>
    <row r="11" spans="1:43" ht="13.5" customHeight="1">
      <c r="A11" s="36" t="s">
        <v>251</v>
      </c>
      <c r="B11" s="97" t="s">
        <v>31</v>
      </c>
      <c r="C11" s="98">
        <v>18230248</v>
      </c>
      <c r="D11" s="61" t="s">
        <v>32</v>
      </c>
      <c r="E11" s="38" t="s">
        <v>1775</v>
      </c>
      <c r="F11" s="39" t="s">
        <v>1776</v>
      </c>
      <c r="G11" s="39">
        <v>11</v>
      </c>
      <c r="H11" s="39"/>
      <c r="I11" s="40" t="s">
        <v>255</v>
      </c>
      <c r="J11" s="41">
        <v>84</v>
      </c>
      <c r="K11" s="41">
        <v>321.97964285714289</v>
      </c>
      <c r="L11" s="41"/>
      <c r="M11" s="42">
        <v>5</v>
      </c>
      <c r="N11" s="42">
        <v>5.68</v>
      </c>
      <c r="O11" s="43">
        <v>27046.29</v>
      </c>
      <c r="P11" s="44">
        <v>98222.5</v>
      </c>
      <c r="Q11" s="44">
        <v>103668.42</v>
      </c>
      <c r="R11" s="45">
        <v>0</v>
      </c>
      <c r="S11" s="46">
        <v>0</v>
      </c>
      <c r="T11" s="39">
        <f t="shared" si="0"/>
        <v>11</v>
      </c>
      <c r="U11" s="47">
        <f t="shared" si="1"/>
        <v>0.28346549309162095</v>
      </c>
      <c r="V11" s="48">
        <f t="shared" si="2"/>
        <v>0.67999999999999972</v>
      </c>
      <c r="W11" s="49">
        <f t="shared" si="3"/>
        <v>2.5769590281056451E-2</v>
      </c>
      <c r="X11" s="44">
        <f t="shared" si="4"/>
        <v>18613.865197614221</v>
      </c>
      <c r="Y11" s="44">
        <f t="shared" si="5"/>
        <v>5445.9199999999983</v>
      </c>
      <c r="Z11" s="44">
        <f t="shared" si="6"/>
        <v>94737.085939623154</v>
      </c>
      <c r="AA11" s="50">
        <f t="shared" si="7"/>
        <v>122282.28519761423</v>
      </c>
      <c r="AB11" s="51">
        <f t="shared" si="8"/>
        <v>88564.163727795778</v>
      </c>
      <c r="AC11" s="44">
        <f t="shared" si="9"/>
        <v>114314.56034179135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7.724742887417281</v>
      </c>
      <c r="AG11" s="44">
        <f t="shared" si="11"/>
        <v>208925.63630852517</v>
      </c>
      <c r="AH11" s="52">
        <f>HLOOKUP(I11,GasAvoidedCostsWOCC!$A$5:$Q$50,T11+1,FALSE)</f>
        <v>7.724742887417281</v>
      </c>
      <c r="AI11" s="44">
        <f t="shared" si="12"/>
        <v>0</v>
      </c>
      <c r="AJ11" s="44">
        <f t="shared" si="13"/>
        <v>208925.63630852517</v>
      </c>
      <c r="AK11" s="44">
        <f>HLOOKUP(I11,GasAvoidedCostsWOCC!$A$5:$Q$50,G11+1,FALSE)*J11*L11</f>
        <v>0</v>
      </c>
      <c r="AL11" s="44">
        <f t="shared" si="14"/>
        <v>208925.63630852517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208925.63630852517</v>
      </c>
      <c r="AN11" s="48">
        <f t="shared" si="15"/>
        <v>229818.19993937769</v>
      </c>
      <c r="AO11" s="47">
        <f t="shared" si="16"/>
        <v>2.3590313227668864</v>
      </c>
      <c r="AP11" s="47">
        <f t="shared" si="17"/>
        <v>2.010401818038225</v>
      </c>
      <c r="AQ11">
        <v>2021</v>
      </c>
    </row>
    <row r="12" spans="1:43" ht="13.5" customHeight="1">
      <c r="A12" s="55">
        <f>SUM(P5:P1000)</f>
        <v>1546791.3499999999</v>
      </c>
      <c r="B12" s="97" t="s">
        <v>31</v>
      </c>
      <c r="C12" s="98">
        <v>18230248</v>
      </c>
      <c r="D12" s="61" t="s">
        <v>32</v>
      </c>
      <c r="E12" s="38" t="s">
        <v>1777</v>
      </c>
      <c r="F12" s="39" t="s">
        <v>1778</v>
      </c>
      <c r="G12" s="39">
        <v>11</v>
      </c>
      <c r="H12" s="39"/>
      <c r="I12" s="40" t="s">
        <v>255</v>
      </c>
      <c r="J12" s="41">
        <v>22</v>
      </c>
      <c r="K12" s="41">
        <v>685.26499999999999</v>
      </c>
      <c r="L12" s="41"/>
      <c r="M12" s="42">
        <v>5</v>
      </c>
      <c r="N12" s="42">
        <v>10.24</v>
      </c>
      <c r="O12" s="43">
        <v>15075.83</v>
      </c>
      <c r="P12" s="44">
        <v>80512.5</v>
      </c>
      <c r="Q12" s="44">
        <v>164889.62</v>
      </c>
      <c r="R12" s="45">
        <v>0</v>
      </c>
      <c r="S12" s="46">
        <v>0</v>
      </c>
      <c r="T12" s="39">
        <f t="shared" si="0"/>
        <v>11</v>
      </c>
      <c r="U12" s="47">
        <f t="shared" si="1"/>
        <v>0.15800605497890663</v>
      </c>
      <c r="V12" s="48">
        <f t="shared" si="2"/>
        <v>5.24</v>
      </c>
      <c r="W12" s="49">
        <f t="shared" si="3"/>
        <v>1.4364186816264238E-2</v>
      </c>
      <c r="X12" s="44">
        <f t="shared" si="4"/>
        <v>10375.525344220905</v>
      </c>
      <c r="Y12" s="44">
        <f t="shared" si="5"/>
        <v>84377.12</v>
      </c>
      <c r="Z12" s="44">
        <f t="shared" si="6"/>
        <v>52807.250174465669</v>
      </c>
      <c r="AA12" s="50">
        <f t="shared" si="7"/>
        <v>175265.14534422089</v>
      </c>
      <c r="AB12" s="51">
        <f t="shared" si="8"/>
        <v>49366.411306408962</v>
      </c>
      <c r="AC12" s="44">
        <f t="shared" si="9"/>
        <v>163845.13914576132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7.724742887417281</v>
      </c>
      <c r="AG12" s="44">
        <f t="shared" si="11"/>
        <v>116456.91056441206</v>
      </c>
      <c r="AH12" s="52">
        <f>HLOOKUP(I12,GasAvoidedCostsWOCC!$A$5:$Q$50,T12+1,FALSE)</f>
        <v>7.724742887417281</v>
      </c>
      <c r="AI12" s="44">
        <f t="shared" si="12"/>
        <v>0</v>
      </c>
      <c r="AJ12" s="44">
        <f t="shared" si="13"/>
        <v>116456.91056441206</v>
      </c>
      <c r="AK12" s="44">
        <f>HLOOKUP(I12,GasAvoidedCostsWOCC!$A$5:$Q$50,G12+1,FALSE)*J12*L12</f>
        <v>0</v>
      </c>
      <c r="AL12" s="44">
        <f t="shared" si="14"/>
        <v>116456.91056441206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116456.91056441206</v>
      </c>
      <c r="AN12" s="48">
        <f t="shared" si="15"/>
        <v>128102.60162085327</v>
      </c>
      <c r="AO12" s="47">
        <f t="shared" si="16"/>
        <v>2.3590313227668855</v>
      </c>
      <c r="AP12" s="47">
        <f t="shared" si="17"/>
        <v>0.78185170636578682</v>
      </c>
      <c r="AQ12">
        <v>2021</v>
      </c>
    </row>
    <row r="13" spans="1:43" ht="13.5" customHeight="1">
      <c r="A13" s="56" t="s">
        <v>252</v>
      </c>
      <c r="B13" s="97" t="s">
        <v>31</v>
      </c>
      <c r="C13" s="98">
        <v>18230248</v>
      </c>
      <c r="D13" s="61" t="s">
        <v>32</v>
      </c>
      <c r="E13" s="38" t="s">
        <v>1779</v>
      </c>
      <c r="F13" s="39" t="s">
        <v>1780</v>
      </c>
      <c r="G13" s="39">
        <v>11</v>
      </c>
      <c r="H13" s="39"/>
      <c r="I13" s="40" t="s">
        <v>255</v>
      </c>
      <c r="J13" s="41">
        <v>3</v>
      </c>
      <c r="K13" s="41">
        <v>199.19000000000003</v>
      </c>
      <c r="L13" s="41"/>
      <c r="M13" s="42">
        <v>3</v>
      </c>
      <c r="N13" s="42">
        <v>3.43</v>
      </c>
      <c r="O13" s="43">
        <v>597.57000000000005</v>
      </c>
      <c r="P13" s="44">
        <v>1791</v>
      </c>
      <c r="Q13" s="44">
        <v>2047.71</v>
      </c>
      <c r="R13" s="45">
        <v>0</v>
      </c>
      <c r="S13" s="46">
        <v>0</v>
      </c>
      <c r="T13" s="39">
        <f t="shared" si="0"/>
        <v>11</v>
      </c>
      <c r="U13" s="47">
        <f t="shared" si="1"/>
        <v>6.262983747743589E-3</v>
      </c>
      <c r="V13" s="48">
        <f t="shared" si="2"/>
        <v>0.43000000000000016</v>
      </c>
      <c r="W13" s="49">
        <f t="shared" si="3"/>
        <v>5.6936215888578085E-4</v>
      </c>
      <c r="X13" s="44">
        <f t="shared" si="4"/>
        <v>411.2611166314615</v>
      </c>
      <c r="Y13" s="44">
        <f t="shared" si="5"/>
        <v>256.71000000000004</v>
      </c>
      <c r="Z13" s="44">
        <f t="shared" si="6"/>
        <v>2093.1536430667798</v>
      </c>
      <c r="AA13" s="50">
        <f t="shared" si="7"/>
        <v>2458.9711166314614</v>
      </c>
      <c r="AB13" s="51">
        <f t="shared" si="8"/>
        <v>1956.7669842636062</v>
      </c>
      <c r="AC13" s="44">
        <f t="shared" si="9"/>
        <v>2298.7483562040397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7.724742887417281</v>
      </c>
      <c r="AG13" s="44">
        <f t="shared" si="11"/>
        <v>4616.0746072339452</v>
      </c>
      <c r="AH13" s="52">
        <f>HLOOKUP(I13,GasAvoidedCostsWOCC!$A$5:$Q$50,T13+1,FALSE)</f>
        <v>7.724742887417281</v>
      </c>
      <c r="AI13" s="44">
        <f t="shared" si="12"/>
        <v>0</v>
      </c>
      <c r="AJ13" s="44">
        <f t="shared" si="13"/>
        <v>4616.0746072339452</v>
      </c>
      <c r="AK13" s="44">
        <f>HLOOKUP(I13,GasAvoidedCostsWOCC!$A$5:$Q$50,G13+1,FALSE)*J13*L13</f>
        <v>0</v>
      </c>
      <c r="AL13" s="44">
        <f t="shared" si="14"/>
        <v>4616.0746072339452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4616.0746072339452</v>
      </c>
      <c r="AN13" s="48">
        <f t="shared" si="15"/>
        <v>5077.6820679573402</v>
      </c>
      <c r="AO13" s="47">
        <f t="shared" si="16"/>
        <v>2.359031322766886</v>
      </c>
      <c r="AP13" s="47">
        <f t="shared" si="17"/>
        <v>2.2088899179648349</v>
      </c>
      <c r="AQ13">
        <v>2021</v>
      </c>
    </row>
    <row r="14" spans="1:43" ht="13.5" customHeight="1">
      <c r="A14" s="55">
        <f>SUM(Y5:Y1000)</f>
        <v>662109.49999999895</v>
      </c>
      <c r="B14" s="97" t="s">
        <v>31</v>
      </c>
      <c r="C14" s="100">
        <v>18230248</v>
      </c>
      <c r="D14" s="100" t="s">
        <v>32</v>
      </c>
      <c r="E14" s="38" t="s">
        <v>1764</v>
      </c>
      <c r="F14" s="39" t="s">
        <v>1765</v>
      </c>
      <c r="G14" s="39">
        <v>15</v>
      </c>
      <c r="H14" s="39"/>
      <c r="I14" s="40" t="s">
        <v>255</v>
      </c>
      <c r="J14" s="41">
        <v>51</v>
      </c>
      <c r="K14" s="41">
        <v>985.87058823529412</v>
      </c>
      <c r="L14" s="41"/>
      <c r="M14" s="42">
        <v>5</v>
      </c>
      <c r="N14" s="42">
        <v>5.68</v>
      </c>
      <c r="O14" s="43">
        <v>50279.4</v>
      </c>
      <c r="P14" s="44">
        <v>28292.5</v>
      </c>
      <c r="Q14" s="44">
        <v>53691.89</v>
      </c>
      <c r="R14" s="45">
        <v>0</v>
      </c>
      <c r="S14" s="46">
        <v>0</v>
      </c>
      <c r="T14" s="39">
        <f t="shared" si="0"/>
        <v>15</v>
      </c>
      <c r="U14" s="47">
        <f t="shared" si="1"/>
        <v>0.71858998271704722</v>
      </c>
      <c r="V14" s="48">
        <f t="shared" si="2"/>
        <v>0.67999999999999972</v>
      </c>
      <c r="W14" s="49">
        <f t="shared" si="3"/>
        <v>4.7905998847803145E-2</v>
      </c>
      <c r="X14" s="44">
        <f t="shared" si="4"/>
        <v>34603.414139866298</v>
      </c>
      <c r="Y14" s="44">
        <f t="shared" si="5"/>
        <v>25399.39</v>
      </c>
      <c r="Z14" s="44">
        <f t="shared" si="6"/>
        <v>176117.45783960348</v>
      </c>
      <c r="AA14" s="50">
        <f t="shared" si="7"/>
        <v>88295.30413986629</v>
      </c>
      <c r="AB14" s="51">
        <f t="shared" si="8"/>
        <v>164641.91627522057</v>
      </c>
      <c r="AC14" s="44">
        <f t="shared" si="9"/>
        <v>82542.11848169232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10.143887193159781</v>
      </c>
      <c r="AG14" s="44">
        <f t="shared" si="11"/>
        <v>510028.56173975789</v>
      </c>
      <c r="AH14" s="52">
        <f>HLOOKUP(I14,GasAvoidedCostsWOCC!$A$5:$Q$50,T14+1,FALSE)</f>
        <v>10.143887193159781</v>
      </c>
      <c r="AI14" s="44">
        <f t="shared" si="12"/>
        <v>0</v>
      </c>
      <c r="AJ14" s="44">
        <f t="shared" si="13"/>
        <v>510028.56173975789</v>
      </c>
      <c r="AK14" s="44">
        <f>HLOOKUP(I14,GasAvoidedCostsWOCC!$A$5:$Q$50,G14+1,FALSE)*J14*L14</f>
        <v>0</v>
      </c>
      <c r="AL14" s="44">
        <f t="shared" si="14"/>
        <v>510028.56173975789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510028.56173975789</v>
      </c>
      <c r="AN14" s="48">
        <f t="shared" si="15"/>
        <v>561031.41791373375</v>
      </c>
      <c r="AO14" s="47">
        <f t="shared" si="16"/>
        <v>3.0978050625162683</v>
      </c>
      <c r="AP14" s="47">
        <f t="shared" si="17"/>
        <v>6.7969108163630354</v>
      </c>
      <c r="AQ14">
        <v>2020</v>
      </c>
    </row>
    <row r="15" spans="1:43" ht="13.5" customHeight="1">
      <c r="A15" s="57" t="s">
        <v>253</v>
      </c>
      <c r="B15" s="97" t="s">
        <v>31</v>
      </c>
      <c r="C15" s="100">
        <v>18230248</v>
      </c>
      <c r="D15" s="100" t="s">
        <v>32</v>
      </c>
      <c r="E15" s="38" t="s">
        <v>1766</v>
      </c>
      <c r="F15" s="39" t="s">
        <v>1765</v>
      </c>
      <c r="G15" s="39">
        <v>11</v>
      </c>
      <c r="H15" s="39"/>
      <c r="I15" s="40" t="s">
        <v>255</v>
      </c>
      <c r="J15" s="41">
        <v>208</v>
      </c>
      <c r="K15" s="41">
        <v>1064.7653846153846</v>
      </c>
      <c r="L15" s="41"/>
      <c r="M15" s="42">
        <v>5</v>
      </c>
      <c r="N15" s="42">
        <v>5.68</v>
      </c>
      <c r="O15" s="43">
        <v>221471.2</v>
      </c>
      <c r="P15" s="44">
        <v>243773.5</v>
      </c>
      <c r="Q15" s="44">
        <v>255374.88</v>
      </c>
      <c r="R15" s="45">
        <v>0</v>
      </c>
      <c r="S15" s="46">
        <v>0</v>
      </c>
      <c r="T15" s="39">
        <f t="shared" si="0"/>
        <v>11</v>
      </c>
      <c r="U15" s="47">
        <f t="shared" si="1"/>
        <v>2.3211850096110411</v>
      </c>
      <c r="V15" s="48">
        <f t="shared" si="2"/>
        <v>0.67999999999999972</v>
      </c>
      <c r="W15" s="49">
        <f t="shared" si="3"/>
        <v>0.2110168190555492</v>
      </c>
      <c r="X15" s="44">
        <f t="shared" si="4"/>
        <v>152421.46194372163</v>
      </c>
      <c r="Y15" s="44">
        <f t="shared" si="5"/>
        <v>11601.380000000005</v>
      </c>
      <c r="Z15" s="44">
        <f t="shared" si="6"/>
        <v>775763.92575659987</v>
      </c>
      <c r="AA15" s="50">
        <f t="shared" si="7"/>
        <v>407796.34194372164</v>
      </c>
      <c r="AB15" s="51">
        <f t="shared" si="8"/>
        <v>725216.34641170409</v>
      </c>
      <c r="AC15" s="44">
        <f t="shared" si="9"/>
        <v>381224.96208630607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7.724742887417281</v>
      </c>
      <c r="AG15" s="44">
        <f t="shared" si="11"/>
        <v>1710808.07696777</v>
      </c>
      <c r="AH15" s="52">
        <f>HLOOKUP(I15,GasAvoidedCostsWOCC!$A$5:$Q$50,T15+1,FALSE)</f>
        <v>7.724742887417281</v>
      </c>
      <c r="AI15" s="44">
        <f t="shared" si="12"/>
        <v>0</v>
      </c>
      <c r="AJ15" s="44">
        <f t="shared" si="13"/>
        <v>1710808.07696777</v>
      </c>
      <c r="AK15" s="44">
        <f>HLOOKUP(I15,GasAvoidedCostsWOCC!$A$5:$Q$50,G15+1,FALSE)*J15*L15</f>
        <v>0</v>
      </c>
      <c r="AL15" s="44">
        <f t="shared" si="14"/>
        <v>1710808.07696777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1710808.07696777</v>
      </c>
      <c r="AN15" s="48">
        <f t="shared" si="15"/>
        <v>1881888.8846645472</v>
      </c>
      <c r="AO15" s="47">
        <f t="shared" si="16"/>
        <v>2.3590313227668851</v>
      </c>
      <c r="AP15" s="47">
        <f t="shared" si="17"/>
        <v>4.9364261835469829</v>
      </c>
      <c r="AQ15">
        <v>2020</v>
      </c>
    </row>
    <row r="16" spans="1:43" ht="13.5" customHeight="1">
      <c r="A16" s="54">
        <f>SUM(U5:U999)</f>
        <v>11.375947288594819</v>
      </c>
      <c r="B16" s="97" t="s">
        <v>31</v>
      </c>
      <c r="C16" s="100">
        <v>18230248</v>
      </c>
      <c r="D16" s="100" t="s">
        <v>32</v>
      </c>
      <c r="E16" s="38" t="s">
        <v>2193</v>
      </c>
      <c r="F16" s="39" t="s">
        <v>1768</v>
      </c>
      <c r="G16" s="39">
        <v>20</v>
      </c>
      <c r="H16" s="39"/>
      <c r="I16" s="40" t="s">
        <v>255</v>
      </c>
      <c r="J16" s="41">
        <v>3</v>
      </c>
      <c r="K16" s="41">
        <v>2335.9333333333334</v>
      </c>
      <c r="L16" s="41"/>
      <c r="M16" s="42">
        <v>5</v>
      </c>
      <c r="N16" s="42">
        <v>10.24</v>
      </c>
      <c r="O16" s="43">
        <v>7007.8</v>
      </c>
      <c r="P16" s="44">
        <v>2499.5</v>
      </c>
      <c r="Q16" s="44">
        <v>15356.93</v>
      </c>
      <c r="R16" s="45">
        <v>0</v>
      </c>
      <c r="S16" s="46">
        <v>0</v>
      </c>
      <c r="T16" s="39">
        <f t="shared" si="0"/>
        <v>20</v>
      </c>
      <c r="U16" s="47">
        <f t="shared" si="1"/>
        <v>0.13354004173702744</v>
      </c>
      <c r="V16" s="48">
        <f t="shared" si="2"/>
        <v>5.24</v>
      </c>
      <c r="W16" s="49">
        <f t="shared" si="3"/>
        <v>6.677002086851372E-3</v>
      </c>
      <c r="X16" s="44">
        <f t="shared" si="4"/>
        <v>4822.9256039124384</v>
      </c>
      <c r="Y16" s="44">
        <f t="shared" si="5"/>
        <v>12857.43</v>
      </c>
      <c r="Z16" s="44">
        <f t="shared" si="6"/>
        <v>24546.751175399331</v>
      </c>
      <c r="AA16" s="50">
        <f t="shared" si="7"/>
        <v>20179.855603912438</v>
      </c>
      <c r="AB16" s="51">
        <f t="shared" si="8"/>
        <v>22947.322777787536</v>
      </c>
      <c r="AC16" s="44">
        <f t="shared" si="9"/>
        <v>18864.967377687608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13.039482845378327</v>
      </c>
      <c r="AG16" s="44">
        <f t="shared" si="11"/>
        <v>91378.087883842236</v>
      </c>
      <c r="AH16" s="52">
        <f>HLOOKUP(I16,GasAvoidedCostsWOCC!$A$5:$Q$50,T16+1,FALSE)</f>
        <v>13.039482845378327</v>
      </c>
      <c r="AI16" s="44">
        <f t="shared" si="12"/>
        <v>0</v>
      </c>
      <c r="AJ16" s="44">
        <f t="shared" si="13"/>
        <v>91378.087883842236</v>
      </c>
      <c r="AK16" s="44">
        <f>HLOOKUP(I16,GasAvoidedCostsWOCC!$A$5:$Q$50,G16+1,FALSE)*J16*L16</f>
        <v>0</v>
      </c>
      <c r="AL16" s="44">
        <f t="shared" si="14"/>
        <v>91378.087883842236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91378.08788384225</v>
      </c>
      <c r="AN16" s="48">
        <f t="shared" si="15"/>
        <v>100515.89667222649</v>
      </c>
      <c r="AO16" s="47">
        <f t="shared" si="16"/>
        <v>3.9820805576628779</v>
      </c>
      <c r="AP16" s="47">
        <f t="shared" si="17"/>
        <v>5.32817760348268</v>
      </c>
      <c r="AQ16">
        <v>2020</v>
      </c>
    </row>
    <row r="17" spans="1:43" ht="13.5" customHeight="1">
      <c r="A17" s="58" t="s">
        <v>254</v>
      </c>
      <c r="B17" s="97" t="s">
        <v>31</v>
      </c>
      <c r="C17" s="100">
        <v>18230248</v>
      </c>
      <c r="D17" s="100" t="s">
        <v>32</v>
      </c>
      <c r="E17" s="38" t="s">
        <v>1767</v>
      </c>
      <c r="F17" s="39" t="s">
        <v>1768</v>
      </c>
      <c r="G17" s="39">
        <v>11</v>
      </c>
      <c r="H17" s="39"/>
      <c r="I17" s="40" t="s">
        <v>255</v>
      </c>
      <c r="J17" s="41">
        <v>12</v>
      </c>
      <c r="K17" s="41">
        <v>2394.6583333333333</v>
      </c>
      <c r="L17" s="41"/>
      <c r="M17" s="42">
        <v>5</v>
      </c>
      <c r="N17" s="42">
        <v>10.24</v>
      </c>
      <c r="O17" s="43">
        <v>28735.9</v>
      </c>
      <c r="P17" s="44">
        <v>53485</v>
      </c>
      <c r="Q17" s="44">
        <v>99299.34</v>
      </c>
      <c r="R17" s="45">
        <v>0</v>
      </c>
      <c r="S17" s="46">
        <v>0</v>
      </c>
      <c r="T17" s="39">
        <f t="shared" si="0"/>
        <v>11</v>
      </c>
      <c r="U17" s="47">
        <f t="shared" si="1"/>
        <v>0.30117387866992151</v>
      </c>
      <c r="V17" s="48">
        <f t="shared" si="2"/>
        <v>5.24</v>
      </c>
      <c r="W17" s="49">
        <f t="shared" si="3"/>
        <v>2.737944351544741E-2</v>
      </c>
      <c r="X17" s="44">
        <f t="shared" si="4"/>
        <v>19776.692808223328</v>
      </c>
      <c r="Y17" s="44">
        <f t="shared" si="5"/>
        <v>45814.34</v>
      </c>
      <c r="Z17" s="44">
        <f t="shared" si="6"/>
        <v>100655.41069967145</v>
      </c>
      <c r="AA17" s="50">
        <f t="shared" si="7"/>
        <v>119076.03280822333</v>
      </c>
      <c r="AB17" s="51">
        <f t="shared" si="8"/>
        <v>94096.859586492894</v>
      </c>
      <c r="AC17" s="44">
        <f t="shared" si="9"/>
        <v>111317.22240649091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7.724742887417281</v>
      </c>
      <c r="AG17" s="44">
        <f t="shared" si="11"/>
        <v>221977.43913853425</v>
      </c>
      <c r="AH17" s="52">
        <f>HLOOKUP(I17,GasAvoidedCostsWOCC!$A$5:$Q$50,T17+1,FALSE)</f>
        <v>7.724742887417281</v>
      </c>
      <c r="AI17" s="44">
        <f t="shared" si="12"/>
        <v>0</v>
      </c>
      <c r="AJ17" s="44">
        <f t="shared" si="13"/>
        <v>221977.43913853425</v>
      </c>
      <c r="AK17" s="44">
        <f>HLOOKUP(I17,GasAvoidedCostsWOCC!$A$5:$Q$50,G17+1,FALSE)*J17*L17</f>
        <v>0</v>
      </c>
      <c r="AL17" s="44">
        <f t="shared" si="14"/>
        <v>221977.43913853425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221977.43913853425</v>
      </c>
      <c r="AN17" s="48">
        <f t="shared" si="15"/>
        <v>244175.1830523877</v>
      </c>
      <c r="AO17" s="47">
        <f t="shared" si="16"/>
        <v>2.3590313227668855</v>
      </c>
      <c r="AP17" s="47">
        <f t="shared" si="17"/>
        <v>2.1935076870742134</v>
      </c>
      <c r="AQ17">
        <v>2020</v>
      </c>
    </row>
    <row r="18" spans="1:43" ht="13.5" customHeight="1">
      <c r="A18" s="59">
        <f>A6+A8</f>
        <v>3676313.24</v>
      </c>
      <c r="B18" s="97" t="s">
        <v>31</v>
      </c>
      <c r="C18" s="100">
        <v>18230248</v>
      </c>
      <c r="D18" s="100" t="s">
        <v>32</v>
      </c>
      <c r="E18" s="38" t="s">
        <v>2194</v>
      </c>
      <c r="F18" s="39" t="s">
        <v>1770</v>
      </c>
      <c r="G18" s="39">
        <v>20</v>
      </c>
      <c r="H18" s="39"/>
      <c r="I18" s="40" t="s">
        <v>255</v>
      </c>
      <c r="J18" s="41">
        <v>17</v>
      </c>
      <c r="K18" s="41">
        <v>813.28823529411761</v>
      </c>
      <c r="L18" s="41"/>
      <c r="M18" s="42">
        <v>3</v>
      </c>
      <c r="N18" s="42">
        <v>3.43</v>
      </c>
      <c r="O18" s="43">
        <v>13825.9</v>
      </c>
      <c r="P18" s="44">
        <v>8224.5</v>
      </c>
      <c r="Q18" s="44">
        <v>11451.07</v>
      </c>
      <c r="R18" s="45">
        <v>0</v>
      </c>
      <c r="S18" s="46">
        <v>0</v>
      </c>
      <c r="T18" s="39">
        <f t="shared" si="0"/>
        <v>20</v>
      </c>
      <c r="U18" s="47">
        <f t="shared" si="1"/>
        <v>0.26346517638231226</v>
      </c>
      <c r="V18" s="48">
        <f t="shared" si="2"/>
        <v>0.43000000000000016</v>
      </c>
      <c r="W18" s="49">
        <f t="shared" si="3"/>
        <v>1.3173258819115612E-2</v>
      </c>
      <c r="X18" s="44">
        <f t="shared" si="4"/>
        <v>9515.2954004299463</v>
      </c>
      <c r="Y18" s="44">
        <f t="shared" si="5"/>
        <v>3226.5699999999997</v>
      </c>
      <c r="Z18" s="44">
        <f t="shared" si="6"/>
        <v>48429.025810661493</v>
      </c>
      <c r="AA18" s="50">
        <f t="shared" si="7"/>
        <v>20966.365400429946</v>
      </c>
      <c r="AB18" s="51">
        <f t="shared" si="8"/>
        <v>45273.465280603428</v>
      </c>
      <c r="AC18" s="44">
        <f t="shared" si="9"/>
        <v>19600.229410516917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13.039482845378327</v>
      </c>
      <c r="AG18" s="44">
        <f t="shared" si="11"/>
        <v>180282.58587191621</v>
      </c>
      <c r="AH18" s="52">
        <f>HLOOKUP(I18,GasAvoidedCostsWOCC!$A$5:$Q$50,T18+1,FALSE)</f>
        <v>13.039482845378327</v>
      </c>
      <c r="AI18" s="44">
        <f t="shared" si="12"/>
        <v>0</v>
      </c>
      <c r="AJ18" s="44">
        <f t="shared" si="13"/>
        <v>180282.58587191621</v>
      </c>
      <c r="AK18" s="44">
        <f>HLOOKUP(I18,GasAvoidedCostsWOCC!$A$5:$Q$50,G18+1,FALSE)*J18*L18</f>
        <v>0</v>
      </c>
      <c r="AL18" s="44">
        <f t="shared" si="14"/>
        <v>180282.58587191621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180282.58587191621</v>
      </c>
      <c r="AN18" s="48">
        <f t="shared" si="15"/>
        <v>198310.84445910784</v>
      </c>
      <c r="AO18" s="47">
        <f t="shared" si="16"/>
        <v>3.9820805576628771</v>
      </c>
      <c r="AP18" s="47">
        <f t="shared" si="17"/>
        <v>10.117781802732368</v>
      </c>
      <c r="AQ18">
        <v>2020</v>
      </c>
    </row>
    <row r="19" spans="1:43" ht="13.5" customHeight="1">
      <c r="A19" s="58" t="s">
        <v>231</v>
      </c>
      <c r="B19" s="97" t="s">
        <v>31</v>
      </c>
      <c r="C19" s="100">
        <v>18230248</v>
      </c>
      <c r="D19" s="100" t="s">
        <v>32</v>
      </c>
      <c r="E19" s="38" t="s">
        <v>1769</v>
      </c>
      <c r="F19" s="39" t="s">
        <v>1770</v>
      </c>
      <c r="G19" s="39">
        <v>11</v>
      </c>
      <c r="H19" s="39"/>
      <c r="I19" s="40" t="s">
        <v>255</v>
      </c>
      <c r="J19" s="41">
        <v>94</v>
      </c>
      <c r="K19" s="41">
        <v>882.52021276595735</v>
      </c>
      <c r="L19" s="41"/>
      <c r="M19" s="42">
        <v>3</v>
      </c>
      <c r="N19" s="42">
        <v>3.43</v>
      </c>
      <c r="O19" s="43">
        <v>82956.899999999994</v>
      </c>
      <c r="P19" s="44">
        <v>57526.65</v>
      </c>
      <c r="Q19" s="44">
        <v>63724.500000000102</v>
      </c>
      <c r="R19" s="45">
        <v>0</v>
      </c>
      <c r="S19" s="46">
        <v>0</v>
      </c>
      <c r="T19" s="39">
        <f t="shared" si="0"/>
        <v>11</v>
      </c>
      <c r="U19" s="47">
        <f t="shared" si="1"/>
        <v>0.86945080319157608</v>
      </c>
      <c r="V19" s="48">
        <f t="shared" si="2"/>
        <v>0.43000000000000016</v>
      </c>
      <c r="W19" s="49">
        <f t="shared" si="3"/>
        <v>7.9040982108325095E-2</v>
      </c>
      <c r="X19" s="44">
        <f t="shared" si="4"/>
        <v>57092.80473632292</v>
      </c>
      <c r="Y19" s="44">
        <f t="shared" si="5"/>
        <v>6197.8500000001004</v>
      </c>
      <c r="Z19" s="44">
        <f t="shared" si="6"/>
        <v>290579.40902743867</v>
      </c>
      <c r="AA19" s="50">
        <f t="shared" si="7"/>
        <v>120817.30473632301</v>
      </c>
      <c r="AB19" s="51">
        <f t="shared" si="8"/>
        <v>271645.70349391294</v>
      </c>
      <c r="AC19" s="44">
        <f t="shared" si="9"/>
        <v>112945.03574490325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7.724742887417281</v>
      </c>
      <c r="AG19" s="44">
        <f t="shared" si="11"/>
        <v>640820.72323718655</v>
      </c>
      <c r="AH19" s="52">
        <f>HLOOKUP(I19,GasAvoidedCostsWOCC!$A$5:$Q$50,T19+1,FALSE)</f>
        <v>7.724742887417281</v>
      </c>
      <c r="AI19" s="44">
        <f t="shared" si="12"/>
        <v>0</v>
      </c>
      <c r="AJ19" s="44">
        <f t="shared" si="13"/>
        <v>640820.72323718655</v>
      </c>
      <c r="AK19" s="44">
        <f>HLOOKUP(I19,GasAvoidedCostsWOCC!$A$5:$Q$50,G19+1,FALSE)*J19*L19</f>
        <v>0</v>
      </c>
      <c r="AL19" s="44">
        <f t="shared" si="14"/>
        <v>640820.72323718655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640820.72323718655</v>
      </c>
      <c r="AN19" s="48">
        <f t="shared" si="15"/>
        <v>704902.79556090524</v>
      </c>
      <c r="AO19" s="47">
        <f t="shared" si="16"/>
        <v>2.3590313227668851</v>
      </c>
      <c r="AP19" s="47">
        <f t="shared" si="17"/>
        <v>6.2411135727380973</v>
      </c>
      <c r="AQ19">
        <v>2020</v>
      </c>
    </row>
    <row r="20" spans="1:43" ht="13.5" customHeight="1">
      <c r="A20" s="59">
        <f>A8+SUM(Q5:Q906)</f>
        <v>2931219.8699999987</v>
      </c>
      <c r="B20" s="97" t="s">
        <v>31</v>
      </c>
      <c r="C20" s="100">
        <v>18230248</v>
      </c>
      <c r="D20" s="100" t="s">
        <v>32</v>
      </c>
      <c r="E20" s="38" t="s">
        <v>2195</v>
      </c>
      <c r="F20" s="39" t="s">
        <v>1772</v>
      </c>
      <c r="G20" s="39">
        <v>15</v>
      </c>
      <c r="H20" s="39"/>
      <c r="I20" s="40" t="s">
        <v>255</v>
      </c>
      <c r="J20" s="41">
        <v>22</v>
      </c>
      <c r="K20" s="41">
        <v>92.590909090909093</v>
      </c>
      <c r="L20" s="41"/>
      <c r="M20" s="42">
        <v>5</v>
      </c>
      <c r="N20" s="42">
        <v>5.68</v>
      </c>
      <c r="O20" s="43">
        <v>2037</v>
      </c>
      <c r="P20" s="44">
        <v>7497.5</v>
      </c>
      <c r="Q20" s="44">
        <v>17034.310000000001</v>
      </c>
      <c r="R20" s="45">
        <v>0</v>
      </c>
      <c r="S20" s="46">
        <v>0</v>
      </c>
      <c r="T20" s="39">
        <f t="shared" si="0"/>
        <v>15</v>
      </c>
      <c r="U20" s="47">
        <f t="shared" si="1"/>
        <v>2.911267427206023E-2</v>
      </c>
      <c r="V20" s="48">
        <f t="shared" si="2"/>
        <v>0.67999999999999972</v>
      </c>
      <c r="W20" s="49">
        <f t="shared" si="3"/>
        <v>1.9408449514706819E-3</v>
      </c>
      <c r="X20" s="44">
        <f t="shared" si="4"/>
        <v>1401.9092233182505</v>
      </c>
      <c r="Y20" s="44">
        <f t="shared" si="5"/>
        <v>9536.8100000000013</v>
      </c>
      <c r="Z20" s="44">
        <f t="shared" si="6"/>
        <v>7135.1539918788258</v>
      </c>
      <c r="AA20" s="50">
        <f t="shared" si="7"/>
        <v>18436.21922331825</v>
      </c>
      <c r="AB20" s="51">
        <f t="shared" si="8"/>
        <v>6670.2383770017996</v>
      </c>
      <c r="AC20" s="44">
        <f t="shared" si="9"/>
        <v>17234.943650853744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10.143887193159781</v>
      </c>
      <c r="AG20" s="44">
        <f t="shared" si="11"/>
        <v>20663.098212466473</v>
      </c>
      <c r="AH20" s="52">
        <f>HLOOKUP(I20,GasAvoidedCostsWOCC!$A$5:$Q$50,T20+1,FALSE)</f>
        <v>10.143887193159781</v>
      </c>
      <c r="AI20" s="44">
        <f t="shared" si="12"/>
        <v>0</v>
      </c>
      <c r="AJ20" s="44">
        <f t="shared" si="13"/>
        <v>20663.098212466473</v>
      </c>
      <c r="AK20" s="44">
        <f>HLOOKUP(I20,GasAvoidedCostsWOCC!$A$5:$Q$50,G20+1,FALSE)*J20*L20</f>
        <v>0</v>
      </c>
      <c r="AL20" s="44">
        <f t="shared" si="14"/>
        <v>20663.098212466473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20663.098212466473</v>
      </c>
      <c r="AN20" s="48">
        <f t="shared" si="15"/>
        <v>22729.408033713124</v>
      </c>
      <c r="AO20" s="47">
        <f t="shared" si="16"/>
        <v>3.0978050625162687</v>
      </c>
      <c r="AP20" s="47">
        <f t="shared" si="17"/>
        <v>1.3187979313519373</v>
      </c>
      <c r="AQ20">
        <v>2020</v>
      </c>
    </row>
    <row r="21" spans="1:43" ht="13.5" customHeight="1">
      <c r="A21" s="58" t="s">
        <v>245</v>
      </c>
      <c r="B21" s="97" t="s">
        <v>31</v>
      </c>
      <c r="C21" s="100">
        <v>18230248</v>
      </c>
      <c r="D21" s="100" t="s">
        <v>32</v>
      </c>
      <c r="E21" s="38" t="s">
        <v>1771</v>
      </c>
      <c r="F21" s="39" t="s">
        <v>1772</v>
      </c>
      <c r="G21" s="39">
        <v>11</v>
      </c>
      <c r="H21" s="39"/>
      <c r="I21" s="40" t="s">
        <v>255</v>
      </c>
      <c r="J21" s="41">
        <v>63</v>
      </c>
      <c r="K21" s="41">
        <v>460.93650793650795</v>
      </c>
      <c r="L21" s="41"/>
      <c r="M21" s="42">
        <v>5</v>
      </c>
      <c r="N21" s="42">
        <v>5.68</v>
      </c>
      <c r="O21" s="43">
        <v>29039</v>
      </c>
      <c r="P21" s="44">
        <v>82812.5</v>
      </c>
      <c r="Q21" s="44">
        <v>85557.82</v>
      </c>
      <c r="R21" s="45">
        <v>0</v>
      </c>
      <c r="S21" s="46">
        <v>0</v>
      </c>
      <c r="T21" s="39">
        <f t="shared" si="0"/>
        <v>11</v>
      </c>
      <c r="U21" s="47">
        <f t="shared" si="1"/>
        <v>0.30435059499427025</v>
      </c>
      <c r="V21" s="48">
        <f t="shared" si="2"/>
        <v>0.67999999999999972</v>
      </c>
      <c r="W21" s="49">
        <f t="shared" si="3"/>
        <v>2.7668235908570021E-2</v>
      </c>
      <c r="X21" s="44">
        <f t="shared" si="4"/>
        <v>19985.293046607108</v>
      </c>
      <c r="Y21" s="44">
        <f t="shared" si="5"/>
        <v>2745.320000000007</v>
      </c>
      <c r="Z21" s="44">
        <f t="shared" si="6"/>
        <v>101717.10199811941</v>
      </c>
      <c r="AA21" s="50">
        <f t="shared" si="7"/>
        <v>105543.11304660712</v>
      </c>
      <c r="AB21" s="51">
        <f t="shared" si="8"/>
        <v>95089.372719565668</v>
      </c>
      <c r="AC21" s="44">
        <f t="shared" si="9"/>
        <v>98666.08679686558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7.724742887417281</v>
      </c>
      <c r="AG21" s="44">
        <f t="shared" si="11"/>
        <v>224318.80870771044</v>
      </c>
      <c r="AH21" s="52">
        <f>HLOOKUP(I21,GasAvoidedCostsWOCC!$A$5:$Q$50,T21+1,FALSE)</f>
        <v>7.724742887417281</v>
      </c>
      <c r="AI21" s="44">
        <f t="shared" si="12"/>
        <v>0</v>
      </c>
      <c r="AJ21" s="44">
        <f t="shared" si="13"/>
        <v>224318.80870771044</v>
      </c>
      <c r="AK21" s="44">
        <f>HLOOKUP(I21,GasAvoidedCostsWOCC!$A$5:$Q$50,G21+1,FALSE)*J21*L21</f>
        <v>0</v>
      </c>
      <c r="AL21" s="44">
        <f t="shared" si="14"/>
        <v>224318.80870771044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224318.80870771041</v>
      </c>
      <c r="AN21" s="48">
        <f t="shared" si="15"/>
        <v>246750.68957848148</v>
      </c>
      <c r="AO21" s="47">
        <f t="shared" si="16"/>
        <v>2.3590313227668855</v>
      </c>
      <c r="AP21" s="47">
        <f t="shared" si="17"/>
        <v>2.500866281303864</v>
      </c>
      <c r="AQ21">
        <v>2020</v>
      </c>
    </row>
    <row r="22" spans="1:43" ht="13.5" customHeight="1">
      <c r="A22" s="60">
        <f>(SUM(AM5:AM1000)/(SUM(AB5:AB1000)))</f>
        <v>2.4276389022205196</v>
      </c>
      <c r="B22" s="97" t="s">
        <v>31</v>
      </c>
      <c r="C22" s="100">
        <v>18230248</v>
      </c>
      <c r="D22" s="100" t="s">
        <v>32</v>
      </c>
      <c r="E22" s="38" t="s">
        <v>2196</v>
      </c>
      <c r="F22" s="39" t="s">
        <v>1774</v>
      </c>
      <c r="G22" s="39">
        <v>20</v>
      </c>
      <c r="H22" s="39"/>
      <c r="I22" s="40" t="s">
        <v>255</v>
      </c>
      <c r="J22" s="41">
        <v>2</v>
      </c>
      <c r="K22" s="41">
        <v>591.20000000000005</v>
      </c>
      <c r="L22" s="41"/>
      <c r="M22" s="42">
        <v>5</v>
      </c>
      <c r="N22" s="42">
        <v>10.24</v>
      </c>
      <c r="O22" s="43">
        <v>1182.4000000000001</v>
      </c>
      <c r="P22" s="44">
        <v>2499.5</v>
      </c>
      <c r="Q22" s="44">
        <v>10237.950000000001</v>
      </c>
      <c r="R22" s="45">
        <v>0</v>
      </c>
      <c r="S22" s="46">
        <v>0</v>
      </c>
      <c r="T22" s="39">
        <f t="shared" si="0"/>
        <v>20</v>
      </c>
      <c r="U22" s="47">
        <f t="shared" si="1"/>
        <v>2.25317139972404E-2</v>
      </c>
      <c r="V22" s="48">
        <f t="shared" si="2"/>
        <v>5.24</v>
      </c>
      <c r="W22" s="49">
        <f t="shared" si="3"/>
        <v>1.1265856998620199E-3</v>
      </c>
      <c r="X22" s="44">
        <f t="shared" si="4"/>
        <v>813.75427867034841</v>
      </c>
      <c r="Y22" s="44">
        <f t="shared" si="5"/>
        <v>7738.4500000000007</v>
      </c>
      <c r="Z22" s="44">
        <f t="shared" si="6"/>
        <v>4141.6819243974105</v>
      </c>
      <c r="AA22" s="50">
        <f t="shared" si="7"/>
        <v>11051.70427867035</v>
      </c>
      <c r="AB22" s="51">
        <f t="shared" si="8"/>
        <v>3871.816326444246</v>
      </c>
      <c r="AC22" s="44">
        <f t="shared" si="9"/>
        <v>10331.592295662662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13.039482845378327</v>
      </c>
      <c r="AG22" s="44">
        <f t="shared" si="11"/>
        <v>15417.884516375336</v>
      </c>
      <c r="AH22" s="52">
        <f>HLOOKUP(I22,GasAvoidedCostsWOCC!$A$5:$Q$50,T22+1,FALSE)</f>
        <v>13.039482845378327</v>
      </c>
      <c r="AI22" s="44">
        <f t="shared" si="12"/>
        <v>0</v>
      </c>
      <c r="AJ22" s="44">
        <f t="shared" si="13"/>
        <v>15417.884516375336</v>
      </c>
      <c r="AK22" s="44">
        <f>HLOOKUP(I22,GasAvoidedCostsWOCC!$A$5:$Q$50,G22+1,FALSE)*J22*L22</f>
        <v>0</v>
      </c>
      <c r="AL22" s="44">
        <f t="shared" si="14"/>
        <v>15417.884516375336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15417.884516375336</v>
      </c>
      <c r="AN22" s="48">
        <f t="shared" si="15"/>
        <v>16959.67296801287</v>
      </c>
      <c r="AO22" s="47">
        <f t="shared" si="16"/>
        <v>3.9820805576628771</v>
      </c>
      <c r="AP22" s="47">
        <f t="shared" si="17"/>
        <v>1.6415352525217979</v>
      </c>
      <c r="AQ22">
        <v>2020</v>
      </c>
    </row>
    <row r="23" spans="1:43" ht="13.5" customHeight="1">
      <c r="A23" s="58" t="s">
        <v>246</v>
      </c>
      <c r="B23" s="97" t="s">
        <v>31</v>
      </c>
      <c r="C23" s="100">
        <v>18230248</v>
      </c>
      <c r="D23" s="100" t="s">
        <v>32</v>
      </c>
      <c r="E23" s="38" t="s">
        <v>1773</v>
      </c>
      <c r="F23" s="39" t="s">
        <v>1774</v>
      </c>
      <c r="G23" s="39">
        <v>11</v>
      </c>
      <c r="H23" s="39"/>
      <c r="I23" s="40" t="s">
        <v>255</v>
      </c>
      <c r="J23" s="41">
        <v>2</v>
      </c>
      <c r="K23" s="41">
        <v>1680.6</v>
      </c>
      <c r="L23" s="41"/>
      <c r="M23" s="42">
        <v>5</v>
      </c>
      <c r="N23" s="42">
        <v>10.24</v>
      </c>
      <c r="O23" s="43">
        <v>3361.2</v>
      </c>
      <c r="P23" s="44">
        <v>17499.5</v>
      </c>
      <c r="Q23" s="44">
        <v>30720</v>
      </c>
      <c r="R23" s="45">
        <v>0</v>
      </c>
      <c r="S23" s="46">
        <v>0</v>
      </c>
      <c r="T23" s="39">
        <f t="shared" si="0"/>
        <v>11</v>
      </c>
      <c r="U23" s="47">
        <f t="shared" si="1"/>
        <v>3.5227907982187438E-2</v>
      </c>
      <c r="V23" s="48">
        <f t="shared" si="2"/>
        <v>5.24</v>
      </c>
      <c r="W23" s="49">
        <f t="shared" si="3"/>
        <v>3.2025370892897671E-3</v>
      </c>
      <c r="X23" s="44">
        <f t="shared" si="4"/>
        <v>2313.2534518494372</v>
      </c>
      <c r="Y23" s="44">
        <f t="shared" si="5"/>
        <v>13220.5</v>
      </c>
      <c r="Z23" s="44">
        <f t="shared" si="6"/>
        <v>11773.529502947034</v>
      </c>
      <c r="AA23" s="50">
        <f t="shared" si="7"/>
        <v>33033.253451849436</v>
      </c>
      <c r="AB23" s="51">
        <f t="shared" si="8"/>
        <v>11006.384503082203</v>
      </c>
      <c r="AC23" s="44">
        <f t="shared" si="9"/>
        <v>30880.857672103797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7.724742887417281</v>
      </c>
      <c r="AG23" s="44">
        <f t="shared" si="11"/>
        <v>25964.405793186965</v>
      </c>
      <c r="AH23" s="52">
        <f>HLOOKUP(I23,GasAvoidedCostsWOCC!$A$5:$Q$50,T23+1,FALSE)</f>
        <v>7.724742887417281</v>
      </c>
      <c r="AI23" s="44">
        <f t="shared" si="12"/>
        <v>0</v>
      </c>
      <c r="AJ23" s="44">
        <f t="shared" si="13"/>
        <v>25964.405793186965</v>
      </c>
      <c r="AK23" s="44">
        <f>HLOOKUP(I23,GasAvoidedCostsWOCC!$A$5:$Q$50,G23+1,FALSE)*J23*L23</f>
        <v>0</v>
      </c>
      <c r="AL23" s="44">
        <f t="shared" si="14"/>
        <v>25964.405793186965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25964.405793186965</v>
      </c>
      <c r="AN23" s="48">
        <f t="shared" si="15"/>
        <v>28560.846372505664</v>
      </c>
      <c r="AO23" s="47">
        <f t="shared" si="16"/>
        <v>2.359031322766886</v>
      </c>
      <c r="AP23" s="47">
        <f t="shared" si="17"/>
        <v>0.92487218702821483</v>
      </c>
      <c r="AQ23">
        <v>2020</v>
      </c>
    </row>
    <row r="24" spans="1:43" ht="13.5" customHeight="1">
      <c r="A24" s="60">
        <f>(SUM(AN5:AN1000)/SUM(AC5:AC1000))</f>
        <v>3.3491984830157442</v>
      </c>
      <c r="B24" s="97" t="s">
        <v>31</v>
      </c>
      <c r="C24" s="61">
        <v>18230248</v>
      </c>
      <c r="D24" s="61" t="s">
        <v>32</v>
      </c>
      <c r="E24" s="38" t="s">
        <v>2197</v>
      </c>
      <c r="F24" s="39" t="s">
        <v>2198</v>
      </c>
      <c r="G24" s="39">
        <v>11</v>
      </c>
      <c r="H24" s="39"/>
      <c r="I24" s="40" t="s">
        <v>255</v>
      </c>
      <c r="J24" s="41">
        <v>12</v>
      </c>
      <c r="K24" s="41">
        <v>662.47500000000002</v>
      </c>
      <c r="L24" s="41"/>
      <c r="M24" s="42">
        <v>3</v>
      </c>
      <c r="N24" s="42">
        <v>3.43</v>
      </c>
      <c r="O24" s="43">
        <v>7949.7</v>
      </c>
      <c r="P24" s="44">
        <v>7060.5</v>
      </c>
      <c r="Q24" s="44">
        <v>8072.5</v>
      </c>
      <c r="R24" s="45">
        <v>0</v>
      </c>
      <c r="S24" s="46">
        <v>0</v>
      </c>
      <c r="T24" s="39">
        <f t="shared" si="0"/>
        <v>11</v>
      </c>
      <c r="U24" s="47">
        <f t="shared" si="1"/>
        <v>8.3318844485896548E-2</v>
      </c>
      <c r="V24" s="48">
        <f t="shared" si="2"/>
        <v>0.43000000000000016</v>
      </c>
      <c r="W24" s="49">
        <f t="shared" si="3"/>
        <v>7.5744404078087772E-3</v>
      </c>
      <c r="X24" s="44">
        <f t="shared" si="4"/>
        <v>5471.1623724168367</v>
      </c>
      <c r="Y24" s="44">
        <f t="shared" si="5"/>
        <v>1012</v>
      </c>
      <c r="Z24" s="44">
        <f t="shared" si="6"/>
        <v>27846.015556818405</v>
      </c>
      <c r="AA24" s="50">
        <f t="shared" si="7"/>
        <v>13543.662372416837</v>
      </c>
      <c r="AB24" s="51">
        <f t="shared" si="8"/>
        <v>26031.612187359449</v>
      </c>
      <c r="AC24" s="44">
        <f t="shared" si="9"/>
        <v>12661.178248496621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7.724742887417281</v>
      </c>
      <c r="AG24" s="44">
        <f t="shared" si="11"/>
        <v>61409.388532101155</v>
      </c>
      <c r="AH24" s="52">
        <f>HLOOKUP(I24,GasAvoidedCostsWOCC!$A$5:$Q$50,T24+1,FALSE)</f>
        <v>7.724742887417281</v>
      </c>
      <c r="AI24" s="44">
        <f t="shared" si="12"/>
        <v>0</v>
      </c>
      <c r="AJ24" s="44">
        <f t="shared" si="13"/>
        <v>61409.388532101155</v>
      </c>
      <c r="AK24" s="44">
        <f>HLOOKUP(I24,GasAvoidedCostsWOCC!$A$5:$Q$50,G24+1,FALSE)*J24*L24</f>
        <v>0</v>
      </c>
      <c r="AL24" s="44">
        <f t="shared" si="14"/>
        <v>61409.388532101155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61409.388532101162</v>
      </c>
      <c r="AN24" s="48">
        <f t="shared" si="15"/>
        <v>67550.327385311277</v>
      </c>
      <c r="AO24" s="47">
        <f t="shared" si="16"/>
        <v>2.3590313227668864</v>
      </c>
      <c r="AP24" s="47">
        <f t="shared" si="17"/>
        <v>5.3352323187877211</v>
      </c>
      <c r="AQ24">
        <v>2020</v>
      </c>
    </row>
    <row r="25" spans="1:43" ht="13.5" customHeight="1">
      <c r="B25" s="97" t="s">
        <v>31</v>
      </c>
      <c r="C25" s="61">
        <v>18230248</v>
      </c>
      <c r="D25" s="61" t="s">
        <v>32</v>
      </c>
      <c r="E25" s="38" t="s">
        <v>2199</v>
      </c>
      <c r="F25" s="39" t="s">
        <v>1776</v>
      </c>
      <c r="G25" s="39">
        <v>15</v>
      </c>
      <c r="H25" s="39"/>
      <c r="I25" s="40" t="s">
        <v>255</v>
      </c>
      <c r="J25" s="41">
        <v>15</v>
      </c>
      <c r="K25" s="41">
        <v>206.55333333333334</v>
      </c>
      <c r="L25" s="41"/>
      <c r="M25" s="42">
        <v>5</v>
      </c>
      <c r="N25" s="42">
        <v>5.68</v>
      </c>
      <c r="O25" s="43">
        <v>3098.3</v>
      </c>
      <c r="P25" s="44">
        <v>6847.5</v>
      </c>
      <c r="Q25" s="44">
        <v>14137.52</v>
      </c>
      <c r="R25" s="45">
        <v>0</v>
      </c>
      <c r="S25" s="46">
        <v>0</v>
      </c>
      <c r="T25" s="39">
        <f t="shared" ref="T25:T73" si="19">G25+H25</f>
        <v>15</v>
      </c>
      <c r="U25" s="47">
        <f t="shared" ref="U25:U73" si="20">(O25/$A$10)*T25</f>
        <v>4.4280706282338843E-2</v>
      </c>
      <c r="V25" s="48">
        <f t="shared" ref="V25:V73" si="21">N25-M25</f>
        <v>0.67999999999999972</v>
      </c>
      <c r="W25" s="49">
        <f t="shared" ref="W25:W73" si="22">(O25/A$10)</f>
        <v>2.952047085489256E-3</v>
      </c>
      <c r="X25" s="44">
        <f t="shared" ref="X25:X73" si="23">W25*A$8</f>
        <v>2132.3197577844558</v>
      </c>
      <c r="Y25" s="44">
        <f t="shared" ref="Y25:Y73" si="24">Q25-P25</f>
        <v>7290.02</v>
      </c>
      <c r="Z25" s="44">
        <f t="shared" ref="Z25:Z73" si="25">X25+(A$6*W25)</f>
        <v>10852.649785487563</v>
      </c>
      <c r="AA25" s="50">
        <f t="shared" ref="AA25:AA73" si="26">Q25+X25</f>
        <v>16269.839757784455</v>
      </c>
      <c r="AB25" s="51">
        <f t="shared" ref="AB25:AB73" si="27">Z25/(1+GasDiscountRate)^1</f>
        <v>10145.507885844219</v>
      </c>
      <c r="AC25" s="44">
        <f t="shared" ref="AC25:AC73" si="28">AA25/(1+GasDiscountRate)^1</f>
        <v>15209.72212562817</v>
      </c>
      <c r="AD25" s="44">
        <f t="shared" ref="AD25:AD73" si="29">-PV(GasDiscountRate,T25,R25)*J25</f>
        <v>0</v>
      </c>
      <c r="AE25" s="44">
        <f t="shared" ref="AE25:AE73" si="30">-PV(GasDiscountRate,T25,S25)*J25</f>
        <v>0</v>
      </c>
      <c r="AF25" s="52">
        <f>HLOOKUP(I25,GasAvoidedCostsWOCC!$A$5:$G$50,G25+1,FALSE)</f>
        <v>10.143887193159781</v>
      </c>
      <c r="AG25" s="44">
        <f t="shared" ref="AG25:AG73" si="31">AF25*J25*K25</f>
        <v>31428.805690566951</v>
      </c>
      <c r="AH25" s="52">
        <f>HLOOKUP(I25,GasAvoidedCostsWOCC!$A$5:$Q$50,T25+1,FALSE)</f>
        <v>10.143887193159781</v>
      </c>
      <c r="AI25" s="44">
        <f t="shared" ref="AI25:AI73" si="32">AH25*J25*L25</f>
        <v>0</v>
      </c>
      <c r="AJ25" s="44">
        <f t="shared" ref="AJ25:AJ73" si="33">AG25+AI25</f>
        <v>31428.805690566951</v>
      </c>
      <c r="AK25" s="44">
        <f>HLOOKUP(I25,GasAvoidedCostsWOCC!$A$5:$Q$50,G25+1,FALSE)*J25*L25</f>
        <v>0</v>
      </c>
      <c r="AL25" s="44">
        <f t="shared" ref="AL25:AL73" si="34">AG25+AI25-AK25</f>
        <v>31428.805690566951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31428.805690566951</v>
      </c>
      <c r="AN25" s="48">
        <f t="shared" ref="AN25:AN73" si="35">AM25*1.1+AD25+AE25</f>
        <v>34571.686259623646</v>
      </c>
      <c r="AO25" s="47">
        <f t="shared" ref="AO25:AO73" si="36">IFERROR(AM25/AB25,0)</f>
        <v>3.0978050625162687</v>
      </c>
      <c r="AP25" s="47">
        <f t="shared" ref="AP25:AP73" si="37">AN25/AC25</f>
        <v>2.2729992023569476</v>
      </c>
      <c r="AQ25">
        <v>2020</v>
      </c>
    </row>
    <row r="26" spans="1:43" ht="13.5" customHeight="1">
      <c r="B26" s="97" t="s">
        <v>31</v>
      </c>
      <c r="C26" s="61">
        <v>18230248</v>
      </c>
      <c r="D26" s="61" t="s">
        <v>32</v>
      </c>
      <c r="E26" s="38" t="s">
        <v>1775</v>
      </c>
      <c r="F26" s="39" t="s">
        <v>1776</v>
      </c>
      <c r="G26" s="39">
        <v>11</v>
      </c>
      <c r="H26" s="39"/>
      <c r="I26" s="40" t="s">
        <v>255</v>
      </c>
      <c r="J26" s="41">
        <v>39</v>
      </c>
      <c r="K26" s="41">
        <v>346.16410256410256</v>
      </c>
      <c r="L26" s="41"/>
      <c r="M26" s="42">
        <v>5</v>
      </c>
      <c r="N26" s="42">
        <v>5.68</v>
      </c>
      <c r="O26" s="43">
        <v>13500.4</v>
      </c>
      <c r="P26" s="44">
        <v>51542</v>
      </c>
      <c r="Q26" s="44">
        <v>52192.9</v>
      </c>
      <c r="R26" s="45">
        <v>0</v>
      </c>
      <c r="S26" s="46">
        <v>0</v>
      </c>
      <c r="T26" s="39">
        <f t="shared" si="19"/>
        <v>11</v>
      </c>
      <c r="U26" s="47">
        <f t="shared" si="20"/>
        <v>0.14149436181206812</v>
      </c>
      <c r="V26" s="48">
        <f t="shared" si="21"/>
        <v>0.67999999999999972</v>
      </c>
      <c r="W26" s="49">
        <f t="shared" si="22"/>
        <v>1.2863123801097101E-2</v>
      </c>
      <c r="X26" s="44">
        <f t="shared" si="23"/>
        <v>9291.2789781471329</v>
      </c>
      <c r="Y26" s="44">
        <f t="shared" si="24"/>
        <v>650.90000000000146</v>
      </c>
      <c r="Z26" s="44">
        <f t="shared" si="25"/>
        <v>47288.872337732406</v>
      </c>
      <c r="AA26" s="50">
        <f t="shared" si="26"/>
        <v>61484.178978147131</v>
      </c>
      <c r="AB26" s="51">
        <f t="shared" si="27"/>
        <v>44207.602447165002</v>
      </c>
      <c r="AC26" s="44">
        <f t="shared" si="28"/>
        <v>57477.964829528959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7.724742887417281</v>
      </c>
      <c r="AG26" s="44">
        <f t="shared" si="31"/>
        <v>104287.11887728826</v>
      </c>
      <c r="AH26" s="52">
        <f>HLOOKUP(I26,GasAvoidedCostsWOCC!$A$5:$Q$50,T26+1,FALSE)</f>
        <v>7.724742887417281</v>
      </c>
      <c r="AI26" s="44">
        <f t="shared" si="32"/>
        <v>0</v>
      </c>
      <c r="AJ26" s="44">
        <f t="shared" si="33"/>
        <v>104287.11887728826</v>
      </c>
      <c r="AK26" s="44">
        <f>HLOOKUP(I26,GasAvoidedCostsWOCC!$A$5:$Q$50,G26+1,FALSE)*J26*L26</f>
        <v>0</v>
      </c>
      <c r="AL26" s="44">
        <f t="shared" si="34"/>
        <v>104287.11887728826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104287.11887728826</v>
      </c>
      <c r="AN26" s="48">
        <f t="shared" si="35"/>
        <v>114715.83076501709</v>
      </c>
      <c r="AO26" s="47">
        <f t="shared" si="36"/>
        <v>2.3590313227668855</v>
      </c>
      <c r="AP26" s="47">
        <f t="shared" si="37"/>
        <v>1.9958227662591581</v>
      </c>
      <c r="AQ26">
        <v>2020</v>
      </c>
    </row>
    <row r="27" spans="1:43" ht="13.5" customHeight="1">
      <c r="B27" s="97" t="s">
        <v>31</v>
      </c>
      <c r="C27" s="61">
        <v>18230248</v>
      </c>
      <c r="D27" s="61" t="s">
        <v>32</v>
      </c>
      <c r="E27" s="38" t="s">
        <v>2200</v>
      </c>
      <c r="F27" s="39" t="s">
        <v>1778</v>
      </c>
      <c r="G27" s="39">
        <v>20</v>
      </c>
      <c r="H27" s="39"/>
      <c r="I27" s="40" t="s">
        <v>255</v>
      </c>
      <c r="J27" s="41">
        <v>1</v>
      </c>
      <c r="K27" s="41">
        <v>-455.6</v>
      </c>
      <c r="L27" s="41"/>
      <c r="M27" s="42">
        <v>5</v>
      </c>
      <c r="N27" s="42">
        <v>10.24</v>
      </c>
      <c r="O27" s="43">
        <v>-455.6</v>
      </c>
      <c r="P27" s="44">
        <v>0</v>
      </c>
      <c r="Q27" s="44">
        <v>0</v>
      </c>
      <c r="R27" s="45">
        <v>0</v>
      </c>
      <c r="S27" s="46">
        <v>0</v>
      </c>
      <c r="T27" s="39">
        <f t="shared" si="19"/>
        <v>20</v>
      </c>
      <c r="U27" s="47">
        <f t="shared" si="20"/>
        <v>-8.6818749130097468E-3</v>
      </c>
      <c r="V27" s="48">
        <f t="shared" si="21"/>
        <v>5.24</v>
      </c>
      <c r="W27" s="49">
        <f t="shared" si="22"/>
        <v>-4.3409374565048735E-4</v>
      </c>
      <c r="X27" s="44">
        <f t="shared" si="23"/>
        <v>-313.55416894638927</v>
      </c>
      <c r="Y27" s="44">
        <f t="shared" si="24"/>
        <v>0</v>
      </c>
      <c r="Z27" s="44">
        <f t="shared" si="25"/>
        <v>-1595.8645845360793</v>
      </c>
      <c r="AA27" s="50">
        <f t="shared" si="26"/>
        <v>-313.55416894638927</v>
      </c>
      <c r="AB27" s="51">
        <f t="shared" si="27"/>
        <v>-1491.8805127943153</v>
      </c>
      <c r="AC27" s="44">
        <f t="shared" si="28"/>
        <v>-293.1234635378043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13.039482845378327</v>
      </c>
      <c r="AG27" s="44">
        <f t="shared" si="31"/>
        <v>-5940.7883843543659</v>
      </c>
      <c r="AH27" s="52">
        <f>HLOOKUP(I27,GasAvoidedCostsWOCC!$A$5:$Q$50,T27+1,FALSE)</f>
        <v>13.039482845378327</v>
      </c>
      <c r="AI27" s="44">
        <f t="shared" si="32"/>
        <v>0</v>
      </c>
      <c r="AJ27" s="44">
        <f t="shared" si="33"/>
        <v>-5940.7883843543659</v>
      </c>
      <c r="AK27" s="44">
        <f>HLOOKUP(I27,GasAvoidedCostsWOCC!$A$5:$Q$50,G27+1,FALSE)*J27*L27</f>
        <v>0</v>
      </c>
      <c r="AL27" s="44">
        <f t="shared" si="34"/>
        <v>-5940.7883843543659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-5940.7883843543659</v>
      </c>
      <c r="AN27" s="48">
        <f t="shared" si="35"/>
        <v>-6534.8672227898032</v>
      </c>
      <c r="AO27" s="47">
        <f t="shared" si="36"/>
        <v>3.9820805576628771</v>
      </c>
      <c r="AP27" s="47">
        <f t="shared" si="37"/>
        <v>22.293906956196285</v>
      </c>
      <c r="AQ27">
        <v>2020</v>
      </c>
    </row>
    <row r="28" spans="1:43" ht="13.5" customHeight="1">
      <c r="B28" s="97" t="s">
        <v>31</v>
      </c>
      <c r="C28" s="61">
        <v>18230248</v>
      </c>
      <c r="D28" s="61" t="s">
        <v>32</v>
      </c>
      <c r="E28" s="38" t="s">
        <v>1777</v>
      </c>
      <c r="F28" s="39" t="s">
        <v>1778</v>
      </c>
      <c r="G28" s="39">
        <v>11</v>
      </c>
      <c r="H28" s="39"/>
      <c r="I28" s="40" t="s">
        <v>255</v>
      </c>
      <c r="J28" s="41">
        <v>7</v>
      </c>
      <c r="K28" s="41">
        <v>646.9</v>
      </c>
      <c r="L28" s="41"/>
      <c r="M28" s="42">
        <v>5</v>
      </c>
      <c r="N28" s="42">
        <v>10.24</v>
      </c>
      <c r="O28" s="43">
        <v>4528.3</v>
      </c>
      <c r="P28" s="44">
        <v>24753.5</v>
      </c>
      <c r="Q28" s="44">
        <v>50695.17</v>
      </c>
      <c r="R28" s="45">
        <v>0</v>
      </c>
      <c r="S28" s="46">
        <v>0</v>
      </c>
      <c r="T28" s="39">
        <f t="shared" si="19"/>
        <v>11</v>
      </c>
      <c r="U28" s="47">
        <f t="shared" si="20"/>
        <v>4.7459995155224151E-2</v>
      </c>
      <c r="V28" s="48">
        <f t="shared" si="21"/>
        <v>5.24</v>
      </c>
      <c r="W28" s="49">
        <f t="shared" si="22"/>
        <v>4.3145450141112863E-3</v>
      </c>
      <c r="X28" s="44">
        <f t="shared" si="23"/>
        <v>3116.4779263387504</v>
      </c>
      <c r="Y28" s="44">
        <f t="shared" si="24"/>
        <v>25941.67</v>
      </c>
      <c r="Z28" s="44">
        <f t="shared" si="25"/>
        <v>15861.618959953308</v>
      </c>
      <c r="AA28" s="50">
        <f t="shared" si="26"/>
        <v>53811.647926338752</v>
      </c>
      <c r="AB28" s="51">
        <f t="shared" si="27"/>
        <v>14828.100364544551</v>
      </c>
      <c r="AC28" s="44">
        <f t="shared" si="28"/>
        <v>50305.364051919925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7.724742887417281</v>
      </c>
      <c r="AG28" s="44">
        <f t="shared" si="31"/>
        <v>34979.953217091672</v>
      </c>
      <c r="AH28" s="52">
        <f>HLOOKUP(I28,GasAvoidedCostsWOCC!$A$5:$Q$50,T28+1,FALSE)</f>
        <v>7.724742887417281</v>
      </c>
      <c r="AI28" s="44">
        <f t="shared" si="32"/>
        <v>0</v>
      </c>
      <c r="AJ28" s="44">
        <f t="shared" si="33"/>
        <v>34979.953217091672</v>
      </c>
      <c r="AK28" s="44">
        <f>HLOOKUP(I28,GasAvoidedCostsWOCC!$A$5:$Q$50,G28+1,FALSE)*J28*L28</f>
        <v>0</v>
      </c>
      <c r="AL28" s="44">
        <f t="shared" si="34"/>
        <v>34979.953217091672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34979.953217091672</v>
      </c>
      <c r="AN28" s="48">
        <f t="shared" si="35"/>
        <v>38477.94853880084</v>
      </c>
      <c r="AO28" s="47">
        <f t="shared" si="36"/>
        <v>2.3590313227668855</v>
      </c>
      <c r="AP28" s="47">
        <f t="shared" si="37"/>
        <v>0.76488758731748629</v>
      </c>
      <c r="AQ28">
        <v>2020</v>
      </c>
    </row>
    <row r="29" spans="1:43">
      <c r="B29" s="97" t="s">
        <v>31</v>
      </c>
      <c r="C29" s="61">
        <v>18230248</v>
      </c>
      <c r="D29" s="61" t="s">
        <v>32</v>
      </c>
      <c r="E29" s="38" t="s">
        <v>2201</v>
      </c>
      <c r="F29" s="39" t="s">
        <v>1780</v>
      </c>
      <c r="G29" s="39">
        <v>20</v>
      </c>
      <c r="H29" s="39"/>
      <c r="I29" s="40" t="s">
        <v>255</v>
      </c>
      <c r="J29" s="41">
        <v>3</v>
      </c>
      <c r="K29" s="41">
        <v>199.16666666666666</v>
      </c>
      <c r="L29" s="41"/>
      <c r="M29" s="42">
        <v>3</v>
      </c>
      <c r="N29" s="42">
        <v>3.43</v>
      </c>
      <c r="O29" s="43">
        <v>597.5</v>
      </c>
      <c r="P29" s="44">
        <v>597</v>
      </c>
      <c r="Q29" s="44">
        <v>2047.71</v>
      </c>
      <c r="R29" s="45">
        <v>0</v>
      </c>
      <c r="S29" s="46">
        <v>0</v>
      </c>
      <c r="T29" s="39">
        <f t="shared" si="19"/>
        <v>20</v>
      </c>
      <c r="U29" s="47">
        <f t="shared" si="20"/>
        <v>1.1385909263659622E-2</v>
      </c>
      <c r="V29" s="48">
        <f t="shared" si="21"/>
        <v>0.43000000000000016</v>
      </c>
      <c r="W29" s="49">
        <f t="shared" si="22"/>
        <v>5.6929546318298105E-4</v>
      </c>
      <c r="X29" s="44">
        <f t="shared" si="23"/>
        <v>411.21294105677697</v>
      </c>
      <c r="Y29" s="44">
        <f t="shared" si="24"/>
        <v>1450.71</v>
      </c>
      <c r="Z29" s="44">
        <f t="shared" si="25"/>
        <v>2092.9084487715259</v>
      </c>
      <c r="AA29" s="50">
        <f t="shared" si="26"/>
        <v>2458.9229410567768</v>
      </c>
      <c r="AB29" s="51">
        <f t="shared" si="27"/>
        <v>1956.5377664499633</v>
      </c>
      <c r="AC29" s="44">
        <f t="shared" si="28"/>
        <v>2298.703319675401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13.039482845378327</v>
      </c>
      <c r="AG29" s="44">
        <f t="shared" si="31"/>
        <v>7791.0910001135489</v>
      </c>
      <c r="AH29" s="52">
        <f>HLOOKUP(I29,GasAvoidedCostsWOCC!$A$5:$Q$50,T29+1,FALSE)</f>
        <v>13.039482845378327</v>
      </c>
      <c r="AI29" s="44">
        <f t="shared" si="32"/>
        <v>0</v>
      </c>
      <c r="AJ29" s="44">
        <f t="shared" si="33"/>
        <v>7791.0910001135489</v>
      </c>
      <c r="AK29" s="44">
        <f>HLOOKUP(I29,GasAvoidedCostsWOCC!$A$5:$Q$50,G29+1,FALSE)*J29*L29</f>
        <v>0</v>
      </c>
      <c r="AL29" s="44">
        <f t="shared" si="34"/>
        <v>7791.0910001135489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7791.0910001135489</v>
      </c>
      <c r="AN29" s="48">
        <f t="shared" si="35"/>
        <v>8570.2001001249046</v>
      </c>
      <c r="AO29" s="47">
        <f t="shared" si="36"/>
        <v>3.9820805576628766</v>
      </c>
      <c r="AP29" s="47">
        <f t="shared" si="37"/>
        <v>3.7282758617737146</v>
      </c>
      <c r="AQ29">
        <v>2020</v>
      </c>
    </row>
    <row r="30" spans="1:43">
      <c r="B30" s="97" t="s">
        <v>31</v>
      </c>
      <c r="C30" s="61">
        <v>18230248</v>
      </c>
      <c r="D30" s="61" t="s">
        <v>32</v>
      </c>
      <c r="E30" s="38" t="s">
        <v>1779</v>
      </c>
      <c r="F30" s="39" t="s">
        <v>1780</v>
      </c>
      <c r="G30" s="39">
        <v>11</v>
      </c>
      <c r="H30" s="39"/>
      <c r="I30" s="40" t="s">
        <v>255</v>
      </c>
      <c r="J30" s="41">
        <v>10</v>
      </c>
      <c r="K30" s="41">
        <v>209.36999999999998</v>
      </c>
      <c r="L30" s="41"/>
      <c r="M30" s="42">
        <v>3</v>
      </c>
      <c r="N30" s="42">
        <v>3.43</v>
      </c>
      <c r="O30" s="43">
        <v>2093.6999999999998</v>
      </c>
      <c r="P30" s="44">
        <v>6708</v>
      </c>
      <c r="Q30" s="44">
        <v>6304.34</v>
      </c>
      <c r="R30" s="45">
        <v>0</v>
      </c>
      <c r="S30" s="46">
        <v>0</v>
      </c>
      <c r="T30" s="39">
        <f t="shared" si="19"/>
        <v>11</v>
      </c>
      <c r="U30" s="47">
        <f t="shared" si="20"/>
        <v>2.1943553178122646E-2</v>
      </c>
      <c r="V30" s="48">
        <f t="shared" si="21"/>
        <v>0.43000000000000016</v>
      </c>
      <c r="W30" s="49">
        <f t="shared" si="22"/>
        <v>1.9948684707384225E-3</v>
      </c>
      <c r="X30" s="44">
        <f t="shared" si="23"/>
        <v>1440.9314388126761</v>
      </c>
      <c r="Y30" s="44">
        <f t="shared" si="24"/>
        <v>-403.65999999999985</v>
      </c>
      <c r="Z30" s="44">
        <f t="shared" si="25"/>
        <v>7333.7613710342157</v>
      </c>
      <c r="AA30" s="50">
        <f t="shared" si="26"/>
        <v>7745.271438812676</v>
      </c>
      <c r="AB30" s="51">
        <f t="shared" si="27"/>
        <v>6855.9048060523655</v>
      </c>
      <c r="AC30" s="44">
        <f t="shared" si="28"/>
        <v>7240.6015133333412</v>
      </c>
      <c r="AD30" s="44">
        <f t="shared" si="29"/>
        <v>0</v>
      </c>
      <c r="AE30" s="44">
        <f t="shared" si="30"/>
        <v>0</v>
      </c>
      <c r="AF30" s="52">
        <f>HLOOKUP(I30,GasAvoidedCostsWOCC!$A$5:$G$50,G30+1,FALSE)</f>
        <v>7.724742887417281</v>
      </c>
      <c r="AG30" s="44">
        <f t="shared" si="31"/>
        <v>16173.29418338556</v>
      </c>
      <c r="AH30" s="52">
        <f>HLOOKUP(I30,GasAvoidedCostsWOCC!$A$5:$Q$50,T30+1,FALSE)</f>
        <v>7.724742887417281</v>
      </c>
      <c r="AI30" s="44">
        <f t="shared" si="32"/>
        <v>0</v>
      </c>
      <c r="AJ30" s="44">
        <f t="shared" si="33"/>
        <v>16173.29418338556</v>
      </c>
      <c r="AK30" s="44">
        <f>HLOOKUP(I30,GasAvoidedCostsWOCC!$A$5:$Q$50,G30+1,FALSE)*J30*L30</f>
        <v>0</v>
      </c>
      <c r="AL30" s="44">
        <f t="shared" si="34"/>
        <v>16173.29418338556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16173.29418338556</v>
      </c>
      <c r="AN30" s="48">
        <f t="shared" si="35"/>
        <v>17790.623601724117</v>
      </c>
      <c r="AO30" s="47">
        <f t="shared" si="36"/>
        <v>2.3590313227668855</v>
      </c>
      <c r="AP30" s="47">
        <f t="shared" si="37"/>
        <v>2.457064315576992</v>
      </c>
      <c r="AQ30">
        <v>2020</v>
      </c>
    </row>
    <row r="31" spans="1:43">
      <c r="B31" s="9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9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9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9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9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9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9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9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HLOOKUP(I68,GasAvoidedCostsWOCC!$A$5:$G$50,G68+1,FALSE)</f>
        <v>#N/A</v>
      </c>
      <c r="AG68" s="44" t="e">
        <f t="shared" si="31"/>
        <v>#N/A</v>
      </c>
      <c r="AH68" s="52" t="e">
        <f>HLOOKUP(I68,GasAvoidedCostsWOCC!$A$5:$Q$50,T68+1,FALSE)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HLOOKUP(I68,GasAvoidedCostsWOCC!$A$5:$Q$50,G68+1,FALSE)*J68*L68</f>
        <v>#N/A</v>
      </c>
      <c r="AL68" s="44" t="e">
        <f t="shared" si="34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HLOOKUP(I69,GasAvoidedCostsWOCC!$A$5:$G$50,G69+1,FALSE)</f>
        <v>#N/A</v>
      </c>
      <c r="AG69" s="44" t="e">
        <f t="shared" si="31"/>
        <v>#N/A</v>
      </c>
      <c r="AH69" s="52" t="e">
        <f>HLOOKUP(I69,GasAvoidedCostsWOCC!$A$5:$Q$50,T69+1,FALSE)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HLOOKUP(I69,GasAvoidedCostsWOCC!$A$5:$Q$50,G69+1,FALSE)*J69*L69</f>
        <v>#N/A</v>
      </c>
      <c r="AL69" s="44" t="e">
        <f t="shared" si="34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HLOOKUP(I70,GasAvoidedCostsWOCC!$A$5:$G$50,G70+1,FALSE)</f>
        <v>#N/A</v>
      </c>
      <c r="AG70" s="44" t="e">
        <f t="shared" si="31"/>
        <v>#N/A</v>
      </c>
      <c r="AH70" s="52" t="e">
        <f>HLOOKUP(I70,GasAvoidedCostsWOCC!$A$5:$Q$50,T70+1,FALSE)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HLOOKUP(I70,GasAvoidedCostsWOCC!$A$5:$Q$50,G70+1,FALSE)*J70*L70</f>
        <v>#N/A</v>
      </c>
      <c r="AL70" s="44" t="e">
        <f t="shared" si="34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HLOOKUP(I71,GasAvoidedCostsWOCC!$A$5:$G$50,G71+1,FALSE)</f>
        <v>#N/A</v>
      </c>
      <c r="AG71" s="44" t="e">
        <f t="shared" si="31"/>
        <v>#N/A</v>
      </c>
      <c r="AH71" s="52" t="e">
        <f>HLOOKUP(I71,GasAvoidedCostsWOCC!$A$5:$Q$50,T71+1,FALSE)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HLOOKUP(I71,GasAvoidedCostsWOCC!$A$5:$Q$50,G71+1,FALSE)*J71*L71</f>
        <v>#N/A</v>
      </c>
      <c r="AL71" s="44" t="e">
        <f t="shared" si="34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HLOOKUP(I72,GasAvoidedCostsWOCC!$A$5:$G$50,G72+1,FALSE)</f>
        <v>#N/A</v>
      </c>
      <c r="AG72" s="44" t="e">
        <f t="shared" si="31"/>
        <v>#N/A</v>
      </c>
      <c r="AH72" s="52" t="e">
        <f>HLOOKUP(I72,GasAvoidedCostsWOCC!$A$5:$Q$50,T72+1,FALSE)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HLOOKUP(I72,GasAvoidedCostsWOCC!$A$5:$Q$50,G72+1,FALSE)*J72*L72</f>
        <v>#N/A</v>
      </c>
      <c r="AL72" s="44" t="e">
        <f t="shared" si="34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HLOOKUP(I73,GasAvoidedCostsWOCC!$A$5:$G$50,G73+1,FALSE)</f>
        <v>#N/A</v>
      </c>
      <c r="AG73" s="44" t="e">
        <f t="shared" si="31"/>
        <v>#N/A</v>
      </c>
      <c r="AH73" s="52" t="e">
        <f>HLOOKUP(I73,GasAvoidedCostsWOCC!$A$5:$Q$50,T73+1,FALSE)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HLOOKUP(I73,GasAvoidedCostsWOCC!$A$5:$Q$50,G73+1,FALSE)*J73*L73</f>
        <v>#N/A</v>
      </c>
      <c r="AL73" s="44" t="e">
        <f t="shared" si="34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</sheetData>
  <conditionalFormatting sqref="J5:L73">
    <cfRule type="expression" dxfId="29" priority="4">
      <formula>ISTEXT(J5)</formula>
    </cfRule>
    <cfRule type="notContainsBlanks" dxfId="28" priority="5">
      <formula>LEN(TRIM(J5))&gt;0</formula>
    </cfRule>
  </conditionalFormatting>
  <conditionalFormatting sqref="M5:N73 R5:S73">
    <cfRule type="expression" dxfId="27" priority="2">
      <formula>ISTEXT(M5)</formula>
    </cfRule>
  </conditionalFormatting>
  <conditionalFormatting sqref="M5:N73 R5:S73">
    <cfRule type="notContainsBlanks" dxfId="26" priority="3">
      <formula>LEN(TRIM(M5))&gt;0</formula>
    </cfRule>
  </conditionalFormatting>
  <conditionalFormatting sqref="R5:S73">
    <cfRule type="expression" dxfId="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130"/>
  <sheetViews>
    <sheetView zoomScale="85" zoomScaleNormal="85" workbookViewId="0">
      <selection activeCell="C18" sqref="C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18231022</v>
      </c>
      <c r="D2" s="20" t="s">
        <v>163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31</v>
      </c>
      <c r="C5" s="98">
        <v>18231022</v>
      </c>
      <c r="D5" s="61" t="s">
        <v>163</v>
      </c>
      <c r="E5" s="38" t="s">
        <v>982</v>
      </c>
      <c r="F5" s="39" t="s">
        <v>983</v>
      </c>
      <c r="G5" s="39">
        <v>15</v>
      </c>
      <c r="H5" s="39"/>
      <c r="I5" s="40" t="s">
        <v>256</v>
      </c>
      <c r="J5" s="41">
        <v>1</v>
      </c>
      <c r="K5" s="41">
        <v>1487</v>
      </c>
      <c r="L5" s="41"/>
      <c r="M5" s="42"/>
      <c r="N5" s="42"/>
      <c r="O5" s="43">
        <v>1487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11.979054779806658</v>
      </c>
      <c r="V5" s="48">
        <f t="shared" ref="V5:V24" si="2">N5-M5</f>
        <v>0</v>
      </c>
      <c r="W5" s="49">
        <f t="shared" ref="W5:W24" si="3">(O5/A$10)</f>
        <v>0.79860365198711059</v>
      </c>
      <c r="X5" s="44">
        <f t="shared" ref="X5:X24" si="4">W5*A$8</f>
        <v>9149.6579430719648</v>
      </c>
      <c r="Y5" s="44">
        <f t="shared" ref="Y5:Y24" si="5">Q5-P5</f>
        <v>0</v>
      </c>
      <c r="Z5" s="44">
        <f t="shared" ref="Z5:Z24" si="6">X5+(A$6*W5)</f>
        <v>27640.127599355528</v>
      </c>
      <c r="AA5" s="50">
        <f t="shared" ref="AA5:AA24" si="7">Q5+X5</f>
        <v>9149.6579430719648</v>
      </c>
      <c r="AB5" s="51">
        <f t="shared" ref="AB5:AB24" si="8">Z5/(1+GasDiscountRate)^1</f>
        <v>25839.139571240092</v>
      </c>
      <c r="AC5" s="44">
        <f t="shared" ref="AC5:AC24" si="9">AA5/(1+GasDiscountRate)^1</f>
        <v>8553.4803618509522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14343.622806723763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14343.622806723763</v>
      </c>
      <c r="AK5" s="44">
        <f>HLOOKUP(I5,GasAvoidedCostsWOCC!$A$5:$Q$50,G5+1,FALSE)*J5*L5</f>
        <v>0</v>
      </c>
      <c r="AL5" s="44">
        <f>AG5+AI5-AK5</f>
        <v>14343.622806723763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14343.622806723763</v>
      </c>
      <c r="AN5" s="48">
        <f>AM5*1.1+AD5+AE5</f>
        <v>15777.98508739614</v>
      </c>
      <c r="AO5" s="47">
        <f>IFERROR(AM5/AB5,0)</f>
        <v>0.55511224617899968</v>
      </c>
      <c r="AP5" s="47">
        <f>AN5/AC5</f>
        <v>1.8446274989730407</v>
      </c>
      <c r="AQ5">
        <v>2021</v>
      </c>
    </row>
    <row r="6" spans="1:43" ht="13.5" customHeight="1">
      <c r="A6" s="53">
        <f>SUMIF('Program Costs'!D:D,C2,'Program Costs'!L:L)+SUMIF('Program Costs'!C:C,"Lodging Direct Install {G}",'Program Costs'!L:L)</f>
        <v>23153.5</v>
      </c>
      <c r="B6" s="97" t="s">
        <v>31</v>
      </c>
      <c r="C6" s="98">
        <v>18231022</v>
      </c>
      <c r="D6" s="61" t="s">
        <v>163</v>
      </c>
      <c r="E6" s="38" t="s">
        <v>1054</v>
      </c>
      <c r="F6" s="39" t="s">
        <v>1055</v>
      </c>
      <c r="G6" s="39">
        <v>15</v>
      </c>
      <c r="H6" s="39"/>
      <c r="I6" s="40" t="s">
        <v>255</v>
      </c>
      <c r="J6" s="41">
        <v>1</v>
      </c>
      <c r="K6" s="41">
        <v>285</v>
      </c>
      <c r="L6" s="41"/>
      <c r="M6" s="42"/>
      <c r="N6" s="42"/>
      <c r="O6" s="43">
        <v>285</v>
      </c>
      <c r="P6" s="44">
        <v>0</v>
      </c>
      <c r="Q6" s="44">
        <v>0</v>
      </c>
      <c r="R6" s="45"/>
      <c r="S6" s="46"/>
      <c r="T6" s="39">
        <f t="shared" si="0"/>
        <v>15</v>
      </c>
      <c r="U6" s="47">
        <f t="shared" si="1"/>
        <v>2.295918367346939</v>
      </c>
      <c r="V6" s="48">
        <f t="shared" si="2"/>
        <v>0</v>
      </c>
      <c r="W6" s="49">
        <f t="shared" si="3"/>
        <v>0.15306122448979592</v>
      </c>
      <c r="X6" s="44">
        <f t="shared" si="4"/>
        <v>1753.6331632653062</v>
      </c>
      <c r="Y6" s="44">
        <f t="shared" si="5"/>
        <v>0</v>
      </c>
      <c r="Z6" s="44">
        <f t="shared" si="6"/>
        <v>5297.536224489796</v>
      </c>
      <c r="AA6" s="50">
        <f t="shared" si="7"/>
        <v>1753.6331632653062</v>
      </c>
      <c r="AB6" s="51">
        <f t="shared" si="8"/>
        <v>4952.3569453957143</v>
      </c>
      <c r="AC6" s="44">
        <f t="shared" si="9"/>
        <v>1639.369134584749</v>
      </c>
      <c r="AD6" s="44">
        <f t="shared" si="10"/>
        <v>0</v>
      </c>
      <c r="AE6" s="44">
        <v>0</v>
      </c>
      <c r="AF6" s="52">
        <f>HLOOKUP(I6,GasAvoidedCostsWOCC!$A$5:$G$50,G6+1,FALSE)</f>
        <v>10.143887193159781</v>
      </c>
      <c r="AG6" s="44">
        <f t="shared" si="11"/>
        <v>2891.0078500505374</v>
      </c>
      <c r="AH6" s="52">
        <f>HLOOKUP(I6,GasAvoidedCostsWOCC!$A$5:$Q$50,T6+1,FALSE)</f>
        <v>10.143887193159781</v>
      </c>
      <c r="AI6" s="44">
        <f t="shared" si="12"/>
        <v>0</v>
      </c>
      <c r="AJ6" s="44">
        <f t="shared" ref="AJ6:AJ24" si="13">AG6+AI6</f>
        <v>2891.0078500505374</v>
      </c>
      <c r="AK6" s="44">
        <f>HLOOKUP(I6,GasAvoidedCostsWOCC!$A$5:$Q$50,G6+1,FALSE)*J6*L6</f>
        <v>0</v>
      </c>
      <c r="AL6" s="44">
        <f t="shared" ref="AL6:AL24" si="14">AG6+AI6-AK6</f>
        <v>2891.0078500505374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2891.0078500505374</v>
      </c>
      <c r="AN6" s="48">
        <f t="shared" ref="AN6:AN24" si="15">AM6*1.1+AD6+AE6</f>
        <v>3180.1086350555915</v>
      </c>
      <c r="AO6" s="47">
        <f t="shared" ref="AO6:AO24" si="16">IFERROR(AM6/AB6,0)</f>
        <v>0.58376403032466262</v>
      </c>
      <c r="AP6" s="47">
        <f t="shared" ref="AP6:AP24" si="17">AN6/AC6</f>
        <v>1.939836835991859</v>
      </c>
      <c r="AQ6">
        <v>2021</v>
      </c>
    </row>
    <row r="7" spans="1:43" ht="13.5" customHeight="1">
      <c r="A7" s="36" t="s">
        <v>249</v>
      </c>
      <c r="B7" s="97" t="s">
        <v>31</v>
      </c>
      <c r="C7" s="98">
        <v>18231022</v>
      </c>
      <c r="D7" s="61" t="s">
        <v>163</v>
      </c>
      <c r="E7" s="38" t="s">
        <v>1781</v>
      </c>
      <c r="F7" s="39" t="s">
        <v>1782</v>
      </c>
      <c r="G7" s="39">
        <v>10</v>
      </c>
      <c r="H7" s="39"/>
      <c r="I7" s="40" t="s">
        <v>255</v>
      </c>
      <c r="J7" s="41">
        <v>8</v>
      </c>
      <c r="K7" s="41">
        <v>6.5</v>
      </c>
      <c r="L7" s="41"/>
      <c r="M7" s="42">
        <v>13.09</v>
      </c>
      <c r="N7" s="42">
        <v>13.09</v>
      </c>
      <c r="O7" s="43">
        <v>52</v>
      </c>
      <c r="P7" s="44">
        <v>104.72</v>
      </c>
      <c r="Q7" s="44">
        <v>104.72</v>
      </c>
      <c r="R7" s="45">
        <v>132.69</v>
      </c>
      <c r="S7" s="46"/>
      <c r="T7" s="39">
        <f t="shared" si="0"/>
        <v>10</v>
      </c>
      <c r="U7" s="47">
        <f t="shared" si="1"/>
        <v>0.27926960257787325</v>
      </c>
      <c r="V7" s="48">
        <f t="shared" si="2"/>
        <v>0</v>
      </c>
      <c r="W7" s="49">
        <f t="shared" si="3"/>
        <v>2.7926960257787327E-2</v>
      </c>
      <c r="X7" s="44">
        <f t="shared" si="4"/>
        <v>319.96113856068746</v>
      </c>
      <c r="Y7" s="44">
        <f t="shared" si="5"/>
        <v>0</v>
      </c>
      <c r="Z7" s="44">
        <f t="shared" si="6"/>
        <v>966.56801288936629</v>
      </c>
      <c r="AA7" s="50">
        <f t="shared" si="7"/>
        <v>424.68113856068749</v>
      </c>
      <c r="AB7" s="51">
        <f t="shared" si="8"/>
        <v>903.58793389676191</v>
      </c>
      <c r="AC7" s="44">
        <f t="shared" si="9"/>
        <v>397.00957143188504</v>
      </c>
      <c r="AD7" s="44">
        <f t="shared" si="10"/>
        <v>7466.022413300997</v>
      </c>
      <c r="AE7" s="44">
        <v>0</v>
      </c>
      <c r="AF7" s="52">
        <f>HLOOKUP(I7,GasAvoidedCostsWOCC!$A$5:$G$50,G7+1,FALSE)</f>
        <v>7.0926897466576637</v>
      </c>
      <c r="AG7" s="44">
        <f t="shared" si="11"/>
        <v>368.81986682619851</v>
      </c>
      <c r="AH7" s="52">
        <f>HLOOKUP(I7,GasAvoidedCostsWOCC!$A$5:$Q$50,T7+1,FALSE)</f>
        <v>7.0926897466576637</v>
      </c>
      <c r="AI7" s="44">
        <f t="shared" si="12"/>
        <v>0</v>
      </c>
      <c r="AJ7" s="44">
        <f t="shared" si="13"/>
        <v>368.81986682619851</v>
      </c>
      <c r="AK7" s="44">
        <f>HLOOKUP(I7,GasAvoidedCostsWOCC!$A$5:$Q$50,G7+1,FALSE)*J7*L7</f>
        <v>0</v>
      </c>
      <c r="AL7" s="44">
        <f t="shared" si="14"/>
        <v>368.81986682619851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368.81986682619851</v>
      </c>
      <c r="AN7" s="48">
        <f t="shared" si="15"/>
        <v>7871.7242668098152</v>
      </c>
      <c r="AO7" s="47">
        <f t="shared" si="16"/>
        <v>0.40817263377527291</v>
      </c>
      <c r="AP7" s="47">
        <f t="shared" si="17"/>
        <v>19.827542793034066</v>
      </c>
      <c r="AQ7">
        <v>2021</v>
      </c>
    </row>
    <row r="8" spans="1:43" ht="13.5" customHeight="1">
      <c r="A8" s="53">
        <f>SUMIF('Program Costs'!D:D,C2,'Program Costs'!O:O)+SUMIF('Program Costs'!C:C,"Lodging Direct Install {G}",'Program Costs'!O:O)</f>
        <v>11457.07</v>
      </c>
      <c r="B8" s="97" t="s">
        <v>31</v>
      </c>
      <c r="C8" s="98">
        <v>18231022</v>
      </c>
      <c r="D8" s="61" t="s">
        <v>163</v>
      </c>
      <c r="E8" s="38" t="s">
        <v>1783</v>
      </c>
      <c r="F8" s="39" t="s">
        <v>1784</v>
      </c>
      <c r="G8" s="39">
        <v>1</v>
      </c>
      <c r="H8" s="39"/>
      <c r="I8" s="40" t="s">
        <v>261</v>
      </c>
      <c r="J8" s="41">
        <v>110</v>
      </c>
      <c r="K8" s="41">
        <v>0</v>
      </c>
      <c r="L8" s="41"/>
      <c r="M8" s="42">
        <v>240</v>
      </c>
      <c r="N8" s="42">
        <v>240</v>
      </c>
      <c r="O8" s="43">
        <v>0</v>
      </c>
      <c r="P8" s="44">
        <v>5280</v>
      </c>
      <c r="Q8" s="44">
        <v>26400</v>
      </c>
      <c r="R8" s="45">
        <v>0</v>
      </c>
      <c r="S8" s="46">
        <v>0</v>
      </c>
      <c r="T8" s="39">
        <f t="shared" si="0"/>
        <v>1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21120</v>
      </c>
      <c r="Z8" s="44">
        <f t="shared" si="6"/>
        <v>0</v>
      </c>
      <c r="AA8" s="50">
        <f t="shared" si="7"/>
        <v>26400</v>
      </c>
      <c r="AB8" s="51">
        <f t="shared" si="8"/>
        <v>0</v>
      </c>
      <c r="AC8" s="44">
        <f t="shared" si="9"/>
        <v>24679.816771057303</v>
      </c>
      <c r="AD8" s="44">
        <f t="shared" si="10"/>
        <v>0</v>
      </c>
      <c r="AE8" s="44">
        <v>0</v>
      </c>
      <c r="AF8" s="52">
        <f>HLOOKUP(I8,GasAvoidedCostsWOCC!$A$5:$G$50,G8+1,FALSE)</f>
        <v>0.93782572600582692</v>
      </c>
      <c r="AG8" s="44">
        <f t="shared" si="11"/>
        <v>0</v>
      </c>
      <c r="AH8" s="52">
        <f>HLOOKUP(I8,GasAvoidedCostsWOCC!$A$5:$Q$50,T8+1,FALSE)</f>
        <v>0.93782572600582692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>
        <f t="shared" si="17"/>
        <v>0</v>
      </c>
      <c r="AQ8">
        <v>2021</v>
      </c>
    </row>
    <row r="9" spans="1:43" ht="13.5" customHeight="1">
      <c r="A9" s="36" t="s">
        <v>303</v>
      </c>
      <c r="B9" s="97" t="s">
        <v>31</v>
      </c>
      <c r="C9" s="100">
        <v>18231022</v>
      </c>
      <c r="D9" s="100" t="s">
        <v>163</v>
      </c>
      <c r="E9" s="38" t="s">
        <v>2285</v>
      </c>
      <c r="F9" s="39" t="s">
        <v>2286</v>
      </c>
      <c r="G9" s="39">
        <v>4</v>
      </c>
      <c r="H9" s="39"/>
      <c r="I9" s="40" t="s">
        <v>255</v>
      </c>
      <c r="J9" s="41">
        <v>1</v>
      </c>
      <c r="K9" s="41">
        <v>38</v>
      </c>
      <c r="L9" s="41"/>
      <c r="M9" s="42">
        <v>76.3</v>
      </c>
      <c r="N9" s="42">
        <v>76.3</v>
      </c>
      <c r="O9" s="43">
        <v>38</v>
      </c>
      <c r="P9" s="44">
        <v>76.3</v>
      </c>
      <c r="Q9" s="44">
        <v>76.3</v>
      </c>
      <c r="R9" s="45">
        <v>0</v>
      </c>
      <c r="S9" s="46">
        <v>0</v>
      </c>
      <c r="T9" s="39">
        <f t="shared" si="0"/>
        <v>4</v>
      </c>
      <c r="U9" s="47">
        <f t="shared" si="1"/>
        <v>8.1632653061224483E-2</v>
      </c>
      <c r="V9" s="48">
        <f t="shared" si="2"/>
        <v>0</v>
      </c>
      <c r="W9" s="49">
        <f t="shared" si="3"/>
        <v>2.0408163265306121E-2</v>
      </c>
      <c r="X9" s="44">
        <f t="shared" si="4"/>
        <v>233.81775510204079</v>
      </c>
      <c r="Y9" s="44">
        <f t="shared" si="5"/>
        <v>0</v>
      </c>
      <c r="Z9" s="44">
        <f t="shared" si="6"/>
        <v>706.33816326530609</v>
      </c>
      <c r="AA9" s="50">
        <f t="shared" si="7"/>
        <v>310.1177551020408</v>
      </c>
      <c r="AB9" s="51">
        <f t="shared" si="8"/>
        <v>660.31425938609516</v>
      </c>
      <c r="AC9" s="44">
        <f t="shared" si="9"/>
        <v>289.91096111249954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3.0061022623657823</v>
      </c>
      <c r="AG9" s="44">
        <f t="shared" si="11"/>
        <v>114.23188596989972</v>
      </c>
      <c r="AH9" s="52">
        <f>HLOOKUP(I9,GasAvoidedCostsWOCC!$A$5:$Q$50,T9+1,FALSE)</f>
        <v>3.0061022623657823</v>
      </c>
      <c r="AI9" s="44">
        <f t="shared" si="12"/>
        <v>0</v>
      </c>
      <c r="AJ9" s="44">
        <f t="shared" si="13"/>
        <v>114.23188596989972</v>
      </c>
      <c r="AK9" s="44">
        <f>HLOOKUP(I9,GasAvoidedCostsWOCC!$A$5:$Q$50,G9+1,FALSE)*J9*L9</f>
        <v>0</v>
      </c>
      <c r="AL9" s="44">
        <f t="shared" si="14"/>
        <v>114.23188596989972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114.23188596989972</v>
      </c>
      <c r="AN9" s="48">
        <f t="shared" si="15"/>
        <v>125.65507456688971</v>
      </c>
      <c r="AO9" s="47">
        <f t="shared" si="16"/>
        <v>0.17299624284367712</v>
      </c>
      <c r="AP9" s="47">
        <f t="shared" si="17"/>
        <v>0.43342643577429085</v>
      </c>
      <c r="AQ9">
        <v>2020</v>
      </c>
    </row>
    <row r="10" spans="1:43" ht="13.5" customHeight="1">
      <c r="A10" s="54">
        <f>SUM(O5:O999)</f>
        <v>1862</v>
      </c>
      <c r="B10" s="97" t="s">
        <v>31</v>
      </c>
      <c r="C10" s="100">
        <v>18231022</v>
      </c>
      <c r="D10" s="100" t="s">
        <v>163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  <c r="AQ10">
        <v>2020</v>
      </c>
    </row>
    <row r="11" spans="1:43" ht="13.5" customHeight="1">
      <c r="A11" s="36" t="s">
        <v>251</v>
      </c>
      <c r="B11" s="97" t="s">
        <v>31</v>
      </c>
      <c r="C11" s="100">
        <v>18231022</v>
      </c>
      <c r="D11" s="100" t="s">
        <v>163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  <c r="AQ11">
        <v>2020</v>
      </c>
    </row>
    <row r="12" spans="1:43" ht="13.5" customHeight="1">
      <c r="A12" s="55">
        <f>SUM(P5:P1000)</f>
        <v>5461.02</v>
      </c>
      <c r="B12" s="97" t="s">
        <v>31</v>
      </c>
      <c r="C12" s="100">
        <v>18231022</v>
      </c>
      <c r="D12" s="100" t="s">
        <v>163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  <c r="AQ12">
        <v>2020</v>
      </c>
    </row>
    <row r="13" spans="1:43" ht="13.5" customHeight="1">
      <c r="A13" s="56" t="s">
        <v>252</v>
      </c>
      <c r="B13" s="97"/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21120</v>
      </c>
      <c r="B14" s="97"/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97"/>
      <c r="C15" s="100"/>
      <c r="D15" s="100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14.635875402792694</v>
      </c>
      <c r="B16" s="97"/>
      <c r="C16" s="100"/>
      <c r="D16" s="100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97"/>
      <c r="C17" s="100"/>
      <c r="D17" s="100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34610.57</v>
      </c>
      <c r="B18" s="97"/>
      <c r="C18" s="100"/>
      <c r="D18" s="100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97"/>
      <c r="C19" s="100"/>
      <c r="D19" s="100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38038.089999999997</v>
      </c>
      <c r="B20" s="97"/>
      <c r="C20" s="100"/>
      <c r="D20" s="100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9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(SUM(AM5:AM110)/(SUM(AB5:AB110)))</f>
        <v>0.54759586084590517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(SUM(AN5:AN110)/SUM(AC5:AC110))</f>
        <v>0.75803673466194765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88" si="19">G25+H25</f>
        <v>0</v>
      </c>
      <c r="U25" s="47">
        <f t="shared" ref="U25:U88" si="20">(O25/$A$10)*T25</f>
        <v>0</v>
      </c>
      <c r="V25" s="48">
        <f t="shared" ref="V25:V88" si="21">N25-M25</f>
        <v>0</v>
      </c>
      <c r="W25" s="49">
        <f t="shared" ref="W25:W88" si="22">(O25/A$10)</f>
        <v>0</v>
      </c>
      <c r="X25" s="44">
        <f t="shared" ref="X25:X88" si="23">W25*A$8</f>
        <v>0</v>
      </c>
      <c r="Y25" s="44">
        <f t="shared" ref="Y25:Y88" si="24">Q25-P25</f>
        <v>0</v>
      </c>
      <c r="Z25" s="44">
        <f t="shared" ref="Z25:Z88" si="25">X25+(A$6*W25)</f>
        <v>0</v>
      </c>
      <c r="AA25" s="50">
        <f t="shared" ref="AA25:AA88" si="26">Q25+X25</f>
        <v>0</v>
      </c>
      <c r="AB25" s="51">
        <f t="shared" ref="AB25:AB88" si="27">Z25/(1+GasDiscountRate)^1</f>
        <v>0</v>
      </c>
      <c r="AC25" s="44">
        <f t="shared" ref="AC25:AC88" si="28">AA25/(1+GasDiscountRate)^1</f>
        <v>0</v>
      </c>
      <c r="AD25" s="44">
        <f t="shared" ref="AD25:AD88" si="29">-PV(GasDiscountRate,T25,R25)*J25</f>
        <v>0</v>
      </c>
      <c r="AE25" s="44">
        <f t="shared" ref="AE25:AE88" si="30">-PV(GasDiscountRate,T25,S25)*J25</f>
        <v>0</v>
      </c>
      <c r="AF25" s="52" t="e">
        <f>HLOOKUP(I25,GasAvoidedCostsWOCC!$A$5:$G$50,G25+1,FALSE)</f>
        <v>#N/A</v>
      </c>
      <c r="AG25" s="44" t="e">
        <f t="shared" ref="AG25:AG88" si="31">AF25*J25*K25</f>
        <v>#N/A</v>
      </c>
      <c r="AH25" s="52" t="e">
        <f>HLOOKUP(I25,GasAvoidedCostsWOCC!$A$5:$Q$50,T25+1,FALSE)</f>
        <v>#N/A</v>
      </c>
      <c r="AI25" s="44" t="e">
        <f t="shared" ref="AI25:AI88" si="32">AH25*J25*L25</f>
        <v>#N/A</v>
      </c>
      <c r="AJ25" s="44" t="e">
        <f t="shared" ref="AJ25:AJ88" si="33">AG25+AI25</f>
        <v>#N/A</v>
      </c>
      <c r="AK25" s="44" t="e">
        <f>HLOOKUP(I25,GasAvoidedCostsWOCC!$A$5:$Q$50,G25+1,FALSE)*J25*L25</f>
        <v>#N/A</v>
      </c>
      <c r="AL25" s="44" t="e">
        <f t="shared" ref="AL25:AL88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88" si="35">AM25*1.1+AD25+AE25</f>
        <v>0</v>
      </c>
      <c r="AO25" s="47">
        <f t="shared" ref="AO25:AO88" si="36">IFERROR(AM25/AB25,0)</f>
        <v>0</v>
      </c>
      <c r="AP25" s="47" t="e">
        <f t="shared" ref="AP25:AP88" si="37">AN25/AC25</f>
        <v>#DIV/0!</v>
      </c>
    </row>
    <row r="26" spans="1:42" ht="13.5" customHeight="1">
      <c r="B26" s="9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9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9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9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9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9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9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9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9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9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9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9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9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9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9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HLOOKUP(I68,GasAvoidedCostsWOCC!$A$5:$G$50,G68+1,FALSE)</f>
        <v>#N/A</v>
      </c>
      <c r="AG68" s="44" t="e">
        <f t="shared" si="31"/>
        <v>#N/A</v>
      </c>
      <c r="AH68" s="52" t="e">
        <f>HLOOKUP(I68,GasAvoidedCostsWOCC!$A$5:$Q$50,T68+1,FALSE)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HLOOKUP(I68,GasAvoidedCostsWOCC!$A$5:$Q$50,G68+1,FALSE)*J68*L68</f>
        <v>#N/A</v>
      </c>
      <c r="AL68" s="44" t="e">
        <f t="shared" si="34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9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HLOOKUP(I69,GasAvoidedCostsWOCC!$A$5:$G$50,G69+1,FALSE)</f>
        <v>#N/A</v>
      </c>
      <c r="AG69" s="44" t="e">
        <f t="shared" si="31"/>
        <v>#N/A</v>
      </c>
      <c r="AH69" s="52" t="e">
        <f>HLOOKUP(I69,GasAvoidedCostsWOCC!$A$5:$Q$50,T69+1,FALSE)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HLOOKUP(I69,GasAvoidedCostsWOCC!$A$5:$Q$50,G69+1,FALSE)*J69*L69</f>
        <v>#N/A</v>
      </c>
      <c r="AL69" s="44" t="e">
        <f t="shared" si="34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9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HLOOKUP(I70,GasAvoidedCostsWOCC!$A$5:$G$50,G70+1,FALSE)</f>
        <v>#N/A</v>
      </c>
      <c r="AG70" s="44" t="e">
        <f t="shared" si="31"/>
        <v>#N/A</v>
      </c>
      <c r="AH70" s="52" t="e">
        <f>HLOOKUP(I70,GasAvoidedCostsWOCC!$A$5:$Q$50,T70+1,FALSE)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HLOOKUP(I70,GasAvoidedCostsWOCC!$A$5:$Q$50,G70+1,FALSE)*J70*L70</f>
        <v>#N/A</v>
      </c>
      <c r="AL70" s="44" t="e">
        <f t="shared" si="34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9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HLOOKUP(I71,GasAvoidedCostsWOCC!$A$5:$G$50,G71+1,FALSE)</f>
        <v>#N/A</v>
      </c>
      <c r="AG71" s="44" t="e">
        <f t="shared" si="31"/>
        <v>#N/A</v>
      </c>
      <c r="AH71" s="52" t="e">
        <f>HLOOKUP(I71,GasAvoidedCostsWOCC!$A$5:$Q$50,T71+1,FALSE)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HLOOKUP(I71,GasAvoidedCostsWOCC!$A$5:$Q$50,G71+1,FALSE)*J71*L71</f>
        <v>#N/A</v>
      </c>
      <c r="AL71" s="44" t="e">
        <f t="shared" si="34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9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HLOOKUP(I72,GasAvoidedCostsWOCC!$A$5:$G$50,G72+1,FALSE)</f>
        <v>#N/A</v>
      </c>
      <c r="AG72" s="44" t="e">
        <f t="shared" si="31"/>
        <v>#N/A</v>
      </c>
      <c r="AH72" s="52" t="e">
        <f>HLOOKUP(I72,GasAvoidedCostsWOCC!$A$5:$Q$50,T72+1,FALSE)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HLOOKUP(I72,GasAvoidedCostsWOCC!$A$5:$Q$50,G72+1,FALSE)*J72*L72</f>
        <v>#N/A</v>
      </c>
      <c r="AL72" s="44" t="e">
        <f t="shared" si="34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9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HLOOKUP(I73,GasAvoidedCostsWOCC!$A$5:$G$50,G73+1,FALSE)</f>
        <v>#N/A</v>
      </c>
      <c r="AG73" s="44" t="e">
        <f t="shared" si="31"/>
        <v>#N/A</v>
      </c>
      <c r="AH73" s="52" t="e">
        <f>HLOOKUP(I73,GasAvoidedCostsWOCC!$A$5:$Q$50,T73+1,FALSE)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HLOOKUP(I73,GasAvoidedCostsWOCC!$A$5:$Q$50,G73+1,FALSE)*J73*L73</f>
        <v>#N/A</v>
      </c>
      <c r="AL73" s="44" t="e">
        <f t="shared" si="34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9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HLOOKUP(I74,GasAvoidedCostsWOCC!$A$5:$G$50,G74+1,FALSE)</f>
        <v>#N/A</v>
      </c>
      <c r="AG74" s="44" t="e">
        <f t="shared" si="31"/>
        <v>#N/A</v>
      </c>
      <c r="AH74" s="52" t="e">
        <f>HLOOKUP(I74,GasAvoidedCostsWOCC!$A$5:$Q$50,T74+1,FALSE)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HLOOKUP(I74,GasAvoidedCostsWOCC!$A$5:$Q$50,G74+1,FALSE)*J74*L74</f>
        <v>#N/A</v>
      </c>
      <c r="AL74" s="44" t="e">
        <f t="shared" si="34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HLOOKUP(I75,GasAvoidedCostsWOCC!$A$5:$G$50,G75+1,FALSE)</f>
        <v>#N/A</v>
      </c>
      <c r="AG75" s="44" t="e">
        <f t="shared" si="31"/>
        <v>#N/A</v>
      </c>
      <c r="AH75" s="52" t="e">
        <f>HLOOKUP(I75,GasAvoidedCostsWOCC!$A$5:$Q$50,T75+1,FALSE)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HLOOKUP(I75,GasAvoidedCostsWOCC!$A$5:$Q$50,G75+1,FALSE)*J75*L75</f>
        <v>#N/A</v>
      </c>
      <c r="AL75" s="44" t="e">
        <f t="shared" si="34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HLOOKUP(I76,GasAvoidedCostsWOCC!$A$5:$G$50,G76+1,FALSE)</f>
        <v>#N/A</v>
      </c>
      <c r="AG76" s="44" t="e">
        <f t="shared" si="31"/>
        <v>#N/A</v>
      </c>
      <c r="AH76" s="52" t="e">
        <f>HLOOKUP(I76,GasAvoidedCostsWOCC!$A$5:$Q$50,T76+1,FALSE)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HLOOKUP(I76,GasAvoidedCostsWOCC!$A$5:$Q$50,G76+1,FALSE)*J76*L76</f>
        <v>#N/A</v>
      </c>
      <c r="AL76" s="44" t="e">
        <f t="shared" si="34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HLOOKUP(I77,GasAvoidedCostsWOCC!$A$5:$G$50,G77+1,FALSE)</f>
        <v>#N/A</v>
      </c>
      <c r="AG77" s="44" t="e">
        <f t="shared" si="31"/>
        <v>#N/A</v>
      </c>
      <c r="AH77" s="52" t="e">
        <f>HLOOKUP(I77,GasAvoidedCostsWOCC!$A$5:$Q$50,T77+1,FALSE)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HLOOKUP(I77,GasAvoidedCostsWOCC!$A$5:$Q$50,G77+1,FALSE)*J77*L77</f>
        <v>#N/A</v>
      </c>
      <c r="AL77" s="44" t="e">
        <f t="shared" si="34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9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HLOOKUP(I78,GasAvoidedCostsWOCC!$A$5:$G$50,G78+1,FALSE)</f>
        <v>#N/A</v>
      </c>
      <c r="AG78" s="44" t="e">
        <f t="shared" si="31"/>
        <v>#N/A</v>
      </c>
      <c r="AH78" s="52" t="e">
        <f>HLOOKUP(I78,GasAvoidedCostsWOCC!$A$5:$Q$50,T78+1,FALSE)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HLOOKUP(I78,GasAvoidedCostsWOCC!$A$5:$Q$50,G78+1,FALSE)*J78*L78</f>
        <v>#N/A</v>
      </c>
      <c r="AL78" s="44" t="e">
        <f t="shared" si="34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9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HLOOKUP(I79,GasAvoidedCostsWOCC!$A$5:$G$50,G79+1,FALSE)</f>
        <v>#N/A</v>
      </c>
      <c r="AG79" s="44" t="e">
        <f t="shared" si="31"/>
        <v>#N/A</v>
      </c>
      <c r="AH79" s="52" t="e">
        <f>HLOOKUP(I79,GasAvoidedCostsWOCC!$A$5:$Q$50,T79+1,FALSE)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HLOOKUP(I79,GasAvoidedCostsWOCC!$A$5:$Q$50,G79+1,FALSE)*J79*L79</f>
        <v>#N/A</v>
      </c>
      <c r="AL79" s="44" t="e">
        <f t="shared" si="34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9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HLOOKUP(I80,GasAvoidedCostsWOCC!$A$5:$G$50,G80+1,FALSE)</f>
        <v>#N/A</v>
      </c>
      <c r="AG80" s="44" t="e">
        <f t="shared" si="31"/>
        <v>#N/A</v>
      </c>
      <c r="AH80" s="52" t="e">
        <f>HLOOKUP(I80,GasAvoidedCostsWOCC!$A$5:$Q$50,T80+1,FALSE)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HLOOKUP(I80,GasAvoidedCostsWOCC!$A$5:$Q$50,G80+1,FALSE)*J80*L80</f>
        <v>#N/A</v>
      </c>
      <c r="AL80" s="44" t="e">
        <f t="shared" si="34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9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HLOOKUP(I81,GasAvoidedCostsWOCC!$A$5:$G$50,G81+1,FALSE)</f>
        <v>#N/A</v>
      </c>
      <c r="AG81" s="44" t="e">
        <f t="shared" si="31"/>
        <v>#N/A</v>
      </c>
      <c r="AH81" s="52" t="e">
        <f>HLOOKUP(I81,GasAvoidedCostsWOCC!$A$5:$Q$50,T81+1,FALSE)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HLOOKUP(I81,GasAvoidedCostsWOCC!$A$5:$Q$50,G81+1,FALSE)*J81*L81</f>
        <v>#N/A</v>
      </c>
      <c r="AL81" s="44" t="e">
        <f t="shared" si="34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9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HLOOKUP(I82,GasAvoidedCostsWOCC!$A$5:$G$50,G82+1,FALSE)</f>
        <v>#N/A</v>
      </c>
      <c r="AG82" s="44" t="e">
        <f t="shared" si="31"/>
        <v>#N/A</v>
      </c>
      <c r="AH82" s="52" t="e">
        <f>HLOOKUP(I82,GasAvoidedCostsWOCC!$A$5:$Q$50,T82+1,FALSE)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HLOOKUP(I82,GasAvoidedCostsWOCC!$A$5:$Q$50,G82+1,FALSE)*J82*L82</f>
        <v>#N/A</v>
      </c>
      <c r="AL82" s="44" t="e">
        <f t="shared" si="34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9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HLOOKUP(I83,GasAvoidedCostsWOCC!$A$5:$G$50,G83+1,FALSE)</f>
        <v>#N/A</v>
      </c>
      <c r="AG83" s="44" t="e">
        <f t="shared" si="31"/>
        <v>#N/A</v>
      </c>
      <c r="AH83" s="52" t="e">
        <f>HLOOKUP(I83,GasAvoidedCostsWOCC!$A$5:$Q$50,T83+1,FALSE)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HLOOKUP(I83,GasAvoidedCostsWOCC!$A$5:$Q$50,G83+1,FALSE)*J83*L83</f>
        <v>#N/A</v>
      </c>
      <c r="AL83" s="44" t="e">
        <f t="shared" si="34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9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HLOOKUP(I84,GasAvoidedCostsWOCC!$A$5:$G$50,G84+1,FALSE)</f>
        <v>#N/A</v>
      </c>
      <c r="AG84" s="44" t="e">
        <f t="shared" si="31"/>
        <v>#N/A</v>
      </c>
      <c r="AH84" s="52" t="e">
        <f>HLOOKUP(I84,GasAvoidedCostsWOCC!$A$5:$Q$50,T84+1,FALSE)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HLOOKUP(I84,GasAvoidedCostsWOCC!$A$5:$Q$50,G84+1,FALSE)*J84*L84</f>
        <v>#N/A</v>
      </c>
      <c r="AL84" s="44" t="e">
        <f t="shared" si="34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9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HLOOKUP(I85,GasAvoidedCostsWOCC!$A$5:$G$50,G85+1,FALSE)</f>
        <v>#N/A</v>
      </c>
      <c r="AG85" s="44" t="e">
        <f t="shared" si="31"/>
        <v>#N/A</v>
      </c>
      <c r="AH85" s="52" t="e">
        <f>HLOOKUP(I85,GasAvoidedCostsWOCC!$A$5:$Q$50,T85+1,FALSE)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HLOOKUP(I85,GasAvoidedCostsWOCC!$A$5:$Q$50,G85+1,FALSE)*J85*L85</f>
        <v>#N/A</v>
      </c>
      <c r="AL85" s="44" t="e">
        <f t="shared" si="34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9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HLOOKUP(I86,GasAvoidedCostsWOCC!$A$5:$G$50,G86+1,FALSE)</f>
        <v>#N/A</v>
      </c>
      <c r="AG86" s="44" t="e">
        <f t="shared" si="31"/>
        <v>#N/A</v>
      </c>
      <c r="AH86" s="52" t="e">
        <f>HLOOKUP(I86,GasAvoidedCostsWOCC!$A$5:$Q$50,T86+1,FALSE)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HLOOKUP(I86,GasAvoidedCostsWOCC!$A$5:$Q$50,G86+1,FALSE)*J86*L86</f>
        <v>#N/A</v>
      </c>
      <c r="AL86" s="44" t="e">
        <f t="shared" si="34"/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>
      <c r="B87" s="9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19"/>
        <v>0</v>
      </c>
      <c r="U87" s="47">
        <f t="shared" si="20"/>
        <v>0</v>
      </c>
      <c r="V87" s="48">
        <f t="shared" si="21"/>
        <v>0</v>
      </c>
      <c r="W87" s="49">
        <f t="shared" si="22"/>
        <v>0</v>
      </c>
      <c r="X87" s="44">
        <f t="shared" si="23"/>
        <v>0</v>
      </c>
      <c r="Y87" s="44">
        <f t="shared" si="24"/>
        <v>0</v>
      </c>
      <c r="Z87" s="44">
        <f t="shared" si="25"/>
        <v>0</v>
      </c>
      <c r="AA87" s="50">
        <f t="shared" si="26"/>
        <v>0</v>
      </c>
      <c r="AB87" s="51">
        <f t="shared" si="27"/>
        <v>0</v>
      </c>
      <c r="AC87" s="44">
        <f t="shared" si="28"/>
        <v>0</v>
      </c>
      <c r="AD87" s="44">
        <f t="shared" si="29"/>
        <v>0</v>
      </c>
      <c r="AE87" s="44">
        <f t="shared" si="30"/>
        <v>0</v>
      </c>
      <c r="AF87" s="52" t="e">
        <f>HLOOKUP(I87,GasAvoidedCostsWOCC!$A$5:$G$50,G87+1,FALSE)</f>
        <v>#N/A</v>
      </c>
      <c r="AG87" s="44" t="e">
        <f t="shared" si="31"/>
        <v>#N/A</v>
      </c>
      <c r="AH87" s="52" t="e">
        <f>HLOOKUP(I87,GasAvoidedCostsWOCC!$A$5:$Q$50,T87+1,FALSE)</f>
        <v>#N/A</v>
      </c>
      <c r="AI87" s="44" t="e">
        <f t="shared" si="32"/>
        <v>#N/A</v>
      </c>
      <c r="AJ87" s="44" t="e">
        <f t="shared" si="33"/>
        <v>#N/A</v>
      </c>
      <c r="AK87" s="44" t="e">
        <f>HLOOKUP(I87,GasAvoidedCostsWOCC!$A$5:$Q$50,G87+1,FALSE)*J87*L87</f>
        <v>#N/A</v>
      </c>
      <c r="AL87" s="44" t="e">
        <f t="shared" si="34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35"/>
        <v>0</v>
      </c>
      <c r="AO87" s="47">
        <f t="shared" si="36"/>
        <v>0</v>
      </c>
      <c r="AP87" s="47" t="e">
        <f t="shared" si="37"/>
        <v>#DIV/0!</v>
      </c>
    </row>
    <row r="88" spans="2:42">
      <c r="B88" s="9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19"/>
        <v>0</v>
      </c>
      <c r="U88" s="47">
        <f t="shared" si="20"/>
        <v>0</v>
      </c>
      <c r="V88" s="48">
        <f t="shared" si="21"/>
        <v>0</v>
      </c>
      <c r="W88" s="49">
        <f t="shared" si="22"/>
        <v>0</v>
      </c>
      <c r="X88" s="44">
        <f t="shared" si="23"/>
        <v>0</v>
      </c>
      <c r="Y88" s="44">
        <f t="shared" si="24"/>
        <v>0</v>
      </c>
      <c r="Z88" s="44">
        <f t="shared" si="25"/>
        <v>0</v>
      </c>
      <c r="AA88" s="50">
        <f t="shared" si="26"/>
        <v>0</v>
      </c>
      <c r="AB88" s="51">
        <f t="shared" si="27"/>
        <v>0</v>
      </c>
      <c r="AC88" s="44">
        <f t="shared" si="28"/>
        <v>0</v>
      </c>
      <c r="AD88" s="44">
        <f t="shared" si="29"/>
        <v>0</v>
      </c>
      <c r="AE88" s="44">
        <f t="shared" si="30"/>
        <v>0</v>
      </c>
      <c r="AF88" s="52" t="e">
        <f>HLOOKUP(I88,GasAvoidedCostsWOCC!$A$5:$G$50,G88+1,FALSE)</f>
        <v>#N/A</v>
      </c>
      <c r="AG88" s="44" t="e">
        <f t="shared" si="31"/>
        <v>#N/A</v>
      </c>
      <c r="AH88" s="52" t="e">
        <f>HLOOKUP(I88,GasAvoidedCostsWOCC!$A$5:$Q$50,T88+1,FALSE)</f>
        <v>#N/A</v>
      </c>
      <c r="AI88" s="44" t="e">
        <f t="shared" si="32"/>
        <v>#N/A</v>
      </c>
      <c r="AJ88" s="44" t="e">
        <f t="shared" si="33"/>
        <v>#N/A</v>
      </c>
      <c r="AK88" s="44" t="e">
        <f>HLOOKUP(I88,GasAvoidedCostsWOCC!$A$5:$Q$50,G88+1,FALSE)*J88*L88</f>
        <v>#N/A</v>
      </c>
      <c r="AL88" s="44" t="e">
        <f t="shared" si="34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35"/>
        <v>0</v>
      </c>
      <c r="AO88" s="47">
        <f t="shared" si="36"/>
        <v>0</v>
      </c>
      <c r="AP88" s="47" t="e">
        <f t="shared" si="37"/>
        <v>#DIV/0!</v>
      </c>
    </row>
    <row r="89" spans="2:42">
      <c r="B89" s="9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ref="T89:T130" si="38">G89+H89</f>
        <v>0</v>
      </c>
      <c r="U89" s="47">
        <f t="shared" ref="U89:U130" si="39">(O89/$A$10)*T89</f>
        <v>0</v>
      </c>
      <c r="V89" s="48">
        <f t="shared" ref="V89:V130" si="40">N89-M89</f>
        <v>0</v>
      </c>
      <c r="W89" s="49">
        <f t="shared" ref="W89:W130" si="41">(O89/A$10)</f>
        <v>0</v>
      </c>
      <c r="X89" s="44">
        <f t="shared" ref="X89:X130" si="42">W89*A$8</f>
        <v>0</v>
      </c>
      <c r="Y89" s="44">
        <f t="shared" ref="Y89:Y130" si="43">Q89-P89</f>
        <v>0</v>
      </c>
      <c r="Z89" s="44">
        <f t="shared" ref="Z89:Z130" si="44">X89+(A$6*W89)</f>
        <v>0</v>
      </c>
      <c r="AA89" s="50">
        <f t="shared" ref="AA89:AA130" si="45">Q89+X89</f>
        <v>0</v>
      </c>
      <c r="AB89" s="51">
        <f t="shared" ref="AB89:AB130" si="46">Z89/(1+GasDiscountRate)^1</f>
        <v>0</v>
      </c>
      <c r="AC89" s="44">
        <f t="shared" ref="AC89:AC130" si="47">AA89/(1+GasDiscountRate)^1</f>
        <v>0</v>
      </c>
      <c r="AD89" s="44">
        <f t="shared" ref="AD89:AD130" si="48">-PV(GasDiscountRate,T89,R89)*J89</f>
        <v>0</v>
      </c>
      <c r="AE89" s="44">
        <f t="shared" ref="AE89:AE130" si="49">-PV(GasDiscountRate,T89,S89)*J89</f>
        <v>0</v>
      </c>
      <c r="AF89" s="52" t="e">
        <f>HLOOKUP(I89,GasAvoidedCostsWOCC!$A$5:$G$50,G89+1,FALSE)</f>
        <v>#N/A</v>
      </c>
      <c r="AG89" s="44" t="e">
        <f t="shared" ref="AG89:AG130" si="50">AF89*J89*K89</f>
        <v>#N/A</v>
      </c>
      <c r="AH89" s="52" t="e">
        <f>HLOOKUP(I89,GasAvoidedCostsWOCC!$A$5:$Q$50,T89+1,FALSE)</f>
        <v>#N/A</v>
      </c>
      <c r="AI89" s="44" t="e">
        <f t="shared" ref="AI89:AI130" si="51">AH89*J89*L89</f>
        <v>#N/A</v>
      </c>
      <c r="AJ89" s="44" t="e">
        <f t="shared" ref="AJ89:AJ130" si="52">AG89+AI89</f>
        <v>#N/A</v>
      </c>
      <c r="AK89" s="44" t="e">
        <f>HLOOKUP(I89,GasAvoidedCostsWOCC!$A$5:$Q$50,G89+1,FALSE)*J89*L89</f>
        <v>#N/A</v>
      </c>
      <c r="AL89" s="44" t="e">
        <f t="shared" ref="AL89:AL130" si="53">AG89+AI89-AK89</f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ref="AN89:AN130" si="54">AM89*1.1+AD89+AE89</f>
        <v>0</v>
      </c>
      <c r="AO89" s="47">
        <f t="shared" ref="AO89:AO130" si="55">IFERROR(AM89/AB89,0)</f>
        <v>0</v>
      </c>
      <c r="AP89" s="47" t="e">
        <f t="shared" ref="AP89:AP130" si="56">AN89/AC89</f>
        <v>#DIV/0!</v>
      </c>
    </row>
    <row r="90" spans="2:42">
      <c r="B90" s="9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HLOOKUP(I90,GasAvoidedCostsWOCC!$A$5:$G$50,G90+1,FALSE)</f>
        <v>#N/A</v>
      </c>
      <c r="AG90" s="44" t="e">
        <f t="shared" si="50"/>
        <v>#N/A</v>
      </c>
      <c r="AH90" s="52" t="e">
        <f>HLOOKUP(I90,GasAvoidedCostsWOCC!$A$5:$Q$50,T90+1,FALSE)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HLOOKUP(I90,GasAvoidedCostsWOCC!$A$5:$Q$50,G90+1,FALSE)*J90*L90</f>
        <v>#N/A</v>
      </c>
      <c r="AL90" s="44" t="e">
        <f t="shared" si="53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9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HLOOKUP(I91,GasAvoidedCostsWOCC!$A$5:$G$50,G91+1,FALSE)</f>
        <v>#N/A</v>
      </c>
      <c r="AG91" s="44" t="e">
        <f t="shared" si="50"/>
        <v>#N/A</v>
      </c>
      <c r="AH91" s="52" t="e">
        <f>HLOOKUP(I91,GasAvoidedCostsWOCC!$A$5:$Q$50,T91+1,FALSE)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HLOOKUP(I91,GasAvoidedCostsWOCC!$A$5:$Q$50,G91+1,FALSE)*J91*L91</f>
        <v>#N/A</v>
      </c>
      <c r="AL91" s="44" t="e">
        <f t="shared" si="53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9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HLOOKUP(I92,GasAvoidedCostsWOCC!$A$5:$G$50,G92+1,FALSE)</f>
        <v>#N/A</v>
      </c>
      <c r="AG92" s="44" t="e">
        <f t="shared" si="50"/>
        <v>#N/A</v>
      </c>
      <c r="AH92" s="52" t="e">
        <f>HLOOKUP(I92,GasAvoidedCostsWOCC!$A$5:$Q$50,T92+1,FALSE)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HLOOKUP(I92,GasAvoidedCostsWOCC!$A$5:$Q$50,G92+1,FALSE)*J92*L92</f>
        <v>#N/A</v>
      </c>
      <c r="AL92" s="44" t="e">
        <f t="shared" si="53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9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HLOOKUP(I93,GasAvoidedCostsWOCC!$A$5:$G$50,G93+1,FALSE)</f>
        <v>#N/A</v>
      </c>
      <c r="AG93" s="44" t="e">
        <f t="shared" si="50"/>
        <v>#N/A</v>
      </c>
      <c r="AH93" s="52" t="e">
        <f>HLOOKUP(I93,GasAvoidedCostsWOCC!$A$5:$Q$50,T93+1,FALSE)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HLOOKUP(I93,GasAvoidedCostsWOCC!$A$5:$Q$50,G93+1,FALSE)*J93*L93</f>
        <v>#N/A</v>
      </c>
      <c r="AL93" s="44" t="e">
        <f t="shared" si="53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>
      <c r="B94" s="97"/>
      <c r="C94" s="61"/>
      <c r="D94" s="61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e">
        <f>HLOOKUP(I94,GasAvoidedCostsWOCC!$A$5:$G$50,G94+1,FALSE)</f>
        <v>#N/A</v>
      </c>
      <c r="AG94" s="44" t="e">
        <f t="shared" si="50"/>
        <v>#N/A</v>
      </c>
      <c r="AH94" s="52" t="e">
        <f>HLOOKUP(I94,GasAvoidedCostsWOCC!$A$5:$Q$50,T94+1,FALSE)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HLOOKUP(I94,GasAvoidedCostsWOCC!$A$5:$Q$50,G94+1,FALSE)*J94*L94</f>
        <v>#N/A</v>
      </c>
      <c r="AL94" s="44" t="e">
        <f t="shared" si="53"/>
        <v>#N/A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97"/>
      <c r="C95" s="61"/>
      <c r="D95" s="61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e">
        <f>HLOOKUP(I95,GasAvoidedCostsWOCC!$A$5:$G$50,G95+1,FALSE)</f>
        <v>#N/A</v>
      </c>
      <c r="AG95" s="44" t="e">
        <f t="shared" si="50"/>
        <v>#N/A</v>
      </c>
      <c r="AH95" s="52" t="e">
        <f>HLOOKUP(I95,GasAvoidedCostsWOCC!$A$5:$Q$50,T95+1,FALSE)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HLOOKUP(I95,GasAvoidedCostsWOCC!$A$5:$Q$50,G95+1,FALSE)*J95*L95</f>
        <v>#N/A</v>
      </c>
      <c r="AL95" s="44" t="e">
        <f t="shared" si="53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>
      <c r="B96" s="9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HLOOKUP(I96,GasAvoidedCostsWOCC!$A$5:$G$50,G96+1,FALSE)</f>
        <v>#N/A</v>
      </c>
      <c r="AG96" s="44" t="e">
        <f t="shared" si="50"/>
        <v>#N/A</v>
      </c>
      <c r="AH96" s="52" t="e">
        <f>HLOOKUP(I96,GasAvoidedCostsWOCC!$A$5:$Q$50,T96+1,FALSE)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HLOOKUP(I96,GasAvoidedCostsWOCC!$A$5:$Q$50,G96+1,FALSE)*J96*L96</f>
        <v>#N/A</v>
      </c>
      <c r="AL96" s="44" t="e">
        <f t="shared" si="53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>
      <c r="B97" s="9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HLOOKUP(I97,GasAvoidedCostsWOCC!$A$5:$G$50,G97+1,FALSE)</f>
        <v>#N/A</v>
      </c>
      <c r="AG97" s="44" t="e">
        <f t="shared" si="50"/>
        <v>#N/A</v>
      </c>
      <c r="AH97" s="52" t="e">
        <f>HLOOKUP(I97,GasAvoidedCostsWOCC!$A$5:$Q$50,T97+1,FALSE)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HLOOKUP(I97,GasAvoidedCostsWOCC!$A$5:$Q$50,G97+1,FALSE)*J97*L97</f>
        <v>#N/A</v>
      </c>
      <c r="AL97" s="44" t="e">
        <f t="shared" si="53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>
      <c r="B98" s="9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HLOOKUP(I98,GasAvoidedCostsWOCC!$A$5:$G$50,G98+1,FALSE)</f>
        <v>#N/A</v>
      </c>
      <c r="AG98" s="44" t="e">
        <f t="shared" si="50"/>
        <v>#N/A</v>
      </c>
      <c r="AH98" s="52" t="e">
        <f>HLOOKUP(I98,GasAvoidedCostsWOCC!$A$5:$Q$50,T98+1,FALSE)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HLOOKUP(I98,GasAvoidedCostsWOCC!$A$5:$Q$50,G98+1,FALSE)*J98*L98</f>
        <v>#N/A</v>
      </c>
      <c r="AL98" s="44" t="e">
        <f t="shared" si="53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>
      <c r="B99" s="97"/>
      <c r="C99" s="61"/>
      <c r="D99" s="61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8"/>
        <v>0</v>
      </c>
      <c r="U99" s="47">
        <f t="shared" si="39"/>
        <v>0</v>
      </c>
      <c r="V99" s="48">
        <f t="shared" si="40"/>
        <v>0</v>
      </c>
      <c r="W99" s="49">
        <f t="shared" si="41"/>
        <v>0</v>
      </c>
      <c r="X99" s="44">
        <f t="shared" si="42"/>
        <v>0</v>
      </c>
      <c r="Y99" s="44">
        <f t="shared" si="43"/>
        <v>0</v>
      </c>
      <c r="Z99" s="44">
        <f t="shared" si="44"/>
        <v>0</v>
      </c>
      <c r="AA99" s="50">
        <f t="shared" si="45"/>
        <v>0</v>
      </c>
      <c r="AB99" s="51">
        <f t="shared" si="46"/>
        <v>0</v>
      </c>
      <c r="AC99" s="44">
        <f t="shared" si="47"/>
        <v>0</v>
      </c>
      <c r="AD99" s="44">
        <f t="shared" si="48"/>
        <v>0</v>
      </c>
      <c r="AE99" s="44">
        <f t="shared" si="49"/>
        <v>0</v>
      </c>
      <c r="AF99" s="52" t="e">
        <f>HLOOKUP(I99,GasAvoidedCostsWOCC!$A$5:$G$50,G99+1,FALSE)</f>
        <v>#N/A</v>
      </c>
      <c r="AG99" s="44" t="e">
        <f t="shared" si="50"/>
        <v>#N/A</v>
      </c>
      <c r="AH99" s="52" t="e">
        <f>HLOOKUP(I99,GasAvoidedCostsWOCC!$A$5:$Q$50,T99+1,FALSE)</f>
        <v>#N/A</v>
      </c>
      <c r="AI99" s="44" t="e">
        <f t="shared" si="51"/>
        <v>#N/A</v>
      </c>
      <c r="AJ99" s="44" t="e">
        <f t="shared" si="52"/>
        <v>#N/A</v>
      </c>
      <c r="AK99" s="44" t="e">
        <f>HLOOKUP(I99,GasAvoidedCostsWOCC!$A$5:$Q$50,G99+1,FALSE)*J99*L99</f>
        <v>#N/A</v>
      </c>
      <c r="AL99" s="44" t="e">
        <f t="shared" si="53"/>
        <v>#N/A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8">
        <f t="shared" si="54"/>
        <v>0</v>
      </c>
      <c r="AO99" s="47">
        <f t="shared" si="55"/>
        <v>0</v>
      </c>
      <c r="AP99" s="47" t="e">
        <f t="shared" si="56"/>
        <v>#DIV/0!</v>
      </c>
    </row>
    <row r="100" spans="2:42">
      <c r="B100" s="97"/>
      <c r="C100" s="61"/>
      <c r="D100" s="61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0">
        <f t="shared" si="45"/>
        <v>0</v>
      </c>
      <c r="AB100" s="51">
        <f t="shared" si="46"/>
        <v>0</v>
      </c>
      <c r="AC100" s="44">
        <f t="shared" si="47"/>
        <v>0</v>
      </c>
      <c r="AD100" s="44">
        <f t="shared" si="48"/>
        <v>0</v>
      </c>
      <c r="AE100" s="44">
        <f t="shared" si="49"/>
        <v>0</v>
      </c>
      <c r="AF100" s="52" t="e">
        <f>HLOOKUP(I100,GasAvoidedCostsWOCC!$A$5:$G$50,G100+1,FALSE)</f>
        <v>#N/A</v>
      </c>
      <c r="AG100" s="44" t="e">
        <f t="shared" si="50"/>
        <v>#N/A</v>
      </c>
      <c r="AH100" s="52" t="e">
        <f>HLOOKUP(I100,GasAvoidedCostsWOCC!$A$5:$Q$50,T100+1,FALSE)</f>
        <v>#N/A</v>
      </c>
      <c r="AI100" s="44" t="e">
        <f t="shared" si="51"/>
        <v>#N/A</v>
      </c>
      <c r="AJ100" s="44" t="e">
        <f t="shared" si="52"/>
        <v>#N/A</v>
      </c>
      <c r="AK100" s="44" t="e">
        <f>HLOOKUP(I100,GasAvoidedCostsWOCC!$A$5:$Q$50,G100+1,FALSE)*J100*L100</f>
        <v>#N/A</v>
      </c>
      <c r="AL100" s="44" t="e">
        <f t="shared" si="53"/>
        <v>#N/A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8">
        <f t="shared" si="54"/>
        <v>0</v>
      </c>
      <c r="AO100" s="47">
        <f t="shared" si="55"/>
        <v>0</v>
      </c>
      <c r="AP100" s="47" t="e">
        <f t="shared" si="56"/>
        <v>#DIV/0!</v>
      </c>
    </row>
    <row r="101" spans="2:42">
      <c r="B101" s="97"/>
      <c r="C101" s="61"/>
      <c r="D101" s="61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0</v>
      </c>
      <c r="AB101" s="51">
        <f t="shared" si="46"/>
        <v>0</v>
      </c>
      <c r="AC101" s="44">
        <f t="shared" si="47"/>
        <v>0</v>
      </c>
      <c r="AD101" s="44">
        <f t="shared" si="48"/>
        <v>0</v>
      </c>
      <c r="AE101" s="44">
        <f t="shared" si="49"/>
        <v>0</v>
      </c>
      <c r="AF101" s="52" t="e">
        <f>HLOOKUP(I101,GasAvoidedCostsWOCC!$A$5:$G$50,G101+1,FALSE)</f>
        <v>#N/A</v>
      </c>
      <c r="AG101" s="44" t="e">
        <f t="shared" si="50"/>
        <v>#N/A</v>
      </c>
      <c r="AH101" s="52" t="e">
        <f>HLOOKUP(I101,GasAvoidedCostsWOCC!$A$5:$Q$50,T101+1,FALSE)</f>
        <v>#N/A</v>
      </c>
      <c r="AI101" s="44" t="e">
        <f t="shared" si="51"/>
        <v>#N/A</v>
      </c>
      <c r="AJ101" s="44" t="e">
        <f t="shared" si="52"/>
        <v>#N/A</v>
      </c>
      <c r="AK101" s="44" t="e">
        <f>HLOOKUP(I101,GasAvoidedCostsWOCC!$A$5:$Q$50,G101+1,FALSE)*J101*L101</f>
        <v>#N/A</v>
      </c>
      <c r="AL101" s="44" t="e">
        <f t="shared" si="53"/>
        <v>#N/A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 t="e">
        <f t="shared" si="56"/>
        <v>#DIV/0!</v>
      </c>
    </row>
    <row r="102" spans="2:42">
      <c r="B102" s="97"/>
      <c r="C102" s="61"/>
      <c r="D102" s="61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0</v>
      </c>
      <c r="AB102" s="51">
        <f t="shared" si="46"/>
        <v>0</v>
      </c>
      <c r="AC102" s="44">
        <f t="shared" si="47"/>
        <v>0</v>
      </c>
      <c r="AD102" s="44">
        <f t="shared" si="48"/>
        <v>0</v>
      </c>
      <c r="AE102" s="44">
        <f t="shared" si="49"/>
        <v>0</v>
      </c>
      <c r="AF102" s="52" t="e">
        <f>HLOOKUP(I102,GasAvoidedCostsWOCC!$A$5:$G$50,G102+1,FALSE)</f>
        <v>#N/A</v>
      </c>
      <c r="AG102" s="44" t="e">
        <f t="shared" si="50"/>
        <v>#N/A</v>
      </c>
      <c r="AH102" s="52" t="e">
        <f>HLOOKUP(I102,GasAvoidedCostsWOCC!$A$5:$Q$50,T102+1,FALSE)</f>
        <v>#N/A</v>
      </c>
      <c r="AI102" s="44" t="e">
        <f t="shared" si="51"/>
        <v>#N/A</v>
      </c>
      <c r="AJ102" s="44" t="e">
        <f t="shared" si="52"/>
        <v>#N/A</v>
      </c>
      <c r="AK102" s="44" t="e">
        <f>HLOOKUP(I102,GasAvoidedCostsWOCC!$A$5:$Q$50,G102+1,FALSE)*J102*L102</f>
        <v>#N/A</v>
      </c>
      <c r="AL102" s="44" t="e">
        <f t="shared" si="53"/>
        <v>#N/A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8">
        <f t="shared" si="54"/>
        <v>0</v>
      </c>
      <c r="AO102" s="47">
        <f t="shared" si="55"/>
        <v>0</v>
      </c>
      <c r="AP102" s="47" t="e">
        <f t="shared" si="56"/>
        <v>#DIV/0!</v>
      </c>
    </row>
    <row r="103" spans="2:42">
      <c r="B103" s="97"/>
      <c r="C103" s="61"/>
      <c r="D103" s="61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HLOOKUP(I103,GasAvoidedCostsWOCC!$A$5:$G$50,G103+1,FALSE)</f>
        <v>#N/A</v>
      </c>
      <c r="AG103" s="44" t="e">
        <f t="shared" si="50"/>
        <v>#N/A</v>
      </c>
      <c r="AH103" s="52" t="e">
        <f>HLOOKUP(I103,GasAvoidedCostsWOCC!$A$5:$Q$50,T103+1,FALSE)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HLOOKUP(I103,GasAvoidedCostsWOCC!$A$5:$Q$50,G103+1,FALSE)*J103*L103</f>
        <v>#N/A</v>
      </c>
      <c r="AL103" s="44" t="e">
        <f t="shared" si="53"/>
        <v>#N/A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2">
      <c r="B104" s="97"/>
      <c r="C104" s="61"/>
      <c r="D104" s="61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HLOOKUP(I104,GasAvoidedCostsWOCC!$A$5:$G$50,G104+1,FALSE)</f>
        <v>#N/A</v>
      </c>
      <c r="AG104" s="44" t="e">
        <f t="shared" si="50"/>
        <v>#N/A</v>
      </c>
      <c r="AH104" s="52" t="e">
        <f>HLOOKUP(I104,GasAvoidedCostsWOCC!$A$5:$Q$50,T104+1,FALSE)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HLOOKUP(I104,GasAvoidedCostsWOCC!$A$5:$Q$50,G104+1,FALSE)*J104*L104</f>
        <v>#N/A</v>
      </c>
      <c r="AL104" s="44" t="e">
        <f t="shared" si="53"/>
        <v>#N/A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2">
      <c r="B105" s="97"/>
      <c r="C105" s="61"/>
      <c r="D105" s="61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HLOOKUP(I105,GasAvoidedCostsWOCC!$A$5:$G$50,G105+1,FALSE)</f>
        <v>#N/A</v>
      </c>
      <c r="AG105" s="44" t="e">
        <f t="shared" si="50"/>
        <v>#N/A</v>
      </c>
      <c r="AH105" s="52" t="e">
        <f>HLOOKUP(I105,GasAvoidedCostsWOCC!$A$5:$Q$50,T105+1,FALSE)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HLOOKUP(I105,GasAvoidedCostsWOCC!$A$5:$Q$50,G105+1,FALSE)*J105*L105</f>
        <v>#N/A</v>
      </c>
      <c r="AL105" s="44" t="e">
        <f t="shared" si="53"/>
        <v>#N/A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2">
      <c r="B106" s="9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HLOOKUP(I106,GasAvoidedCostsWOCC!$A$5:$G$50,G106+1,FALSE)</f>
        <v>#N/A</v>
      </c>
      <c r="AG106" s="44" t="e">
        <f t="shared" si="50"/>
        <v>#N/A</v>
      </c>
      <c r="AH106" s="52" t="e">
        <f>HLOOKUP(I106,GasAvoidedCostsWOCC!$A$5:$Q$50,T106+1,FALSE)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HLOOKUP(I106,GasAvoidedCostsWOCC!$A$5:$Q$50,G106+1,FALSE)*J106*L106</f>
        <v>#N/A</v>
      </c>
      <c r="AL106" s="44" t="e">
        <f t="shared" si="53"/>
        <v>#N/A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2">
      <c r="B107" s="9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HLOOKUP(I107,GasAvoidedCostsWOCC!$A$5:$G$50,G107+1,FALSE)</f>
        <v>#N/A</v>
      </c>
      <c r="AG107" s="44" t="e">
        <f t="shared" si="50"/>
        <v>#N/A</v>
      </c>
      <c r="AH107" s="52" t="e">
        <f>HLOOKUP(I107,GasAvoidedCostsWOCC!$A$5:$Q$50,T107+1,FALSE)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HLOOKUP(I107,GasAvoidedCostsWOCC!$A$5:$Q$50,G107+1,FALSE)*J107*L107</f>
        <v>#N/A</v>
      </c>
      <c r="AL107" s="44" t="e">
        <f t="shared" si="53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>
      <c r="B108" s="9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HLOOKUP(I108,GasAvoidedCostsWOCC!$A$5:$G$50,G108+1,FALSE)</f>
        <v>#N/A</v>
      </c>
      <c r="AG108" s="44" t="e">
        <f t="shared" si="50"/>
        <v>#N/A</v>
      </c>
      <c r="AH108" s="52" t="e">
        <f>HLOOKUP(I108,GasAvoidedCostsWOCC!$A$5:$Q$50,T108+1,FALSE)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HLOOKUP(I108,GasAvoidedCostsWOCC!$A$5:$Q$50,G108+1,FALSE)*J108*L108</f>
        <v>#N/A</v>
      </c>
      <c r="AL108" s="44" t="e">
        <f t="shared" si="53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>
      <c r="B109" s="9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HLOOKUP(I109,GasAvoidedCostsWOCC!$A$5:$G$50,G109+1,FALSE)</f>
        <v>#N/A</v>
      </c>
      <c r="AG109" s="44" t="e">
        <f t="shared" si="50"/>
        <v>#N/A</v>
      </c>
      <c r="AH109" s="52" t="e">
        <f>HLOOKUP(I109,GasAvoidedCostsWOCC!$A$5:$Q$50,T109+1,FALSE)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HLOOKUP(I109,GasAvoidedCostsWOCC!$A$5:$Q$50,G109+1,FALSE)*J109*L109</f>
        <v>#N/A</v>
      </c>
      <c r="AL109" s="44" t="e">
        <f t="shared" si="53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>
      <c r="B110" s="9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HLOOKUP(I110,GasAvoidedCostsWOCC!$A$5:$G$50,G110+1,FALSE)</f>
        <v>#N/A</v>
      </c>
      <c r="AG110" s="44" t="e">
        <f t="shared" si="50"/>
        <v>#N/A</v>
      </c>
      <c r="AH110" s="52" t="e">
        <f>HLOOKUP(I110,GasAvoidedCostsWOCC!$A$5:$Q$50,T110+1,FALSE)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HLOOKUP(I110,GasAvoidedCostsWOCC!$A$5:$Q$50,G110+1,FALSE)*J110*L110</f>
        <v>#N/A</v>
      </c>
      <c r="AL110" s="44" t="e">
        <f t="shared" si="53"/>
        <v>#N/A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2">
      <c r="B111" s="9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HLOOKUP(I111,GasAvoidedCostsWOCC!$A$5:$G$50,G111+1,FALSE)</f>
        <v>#N/A</v>
      </c>
      <c r="AG111" s="44" t="e">
        <f t="shared" si="50"/>
        <v>#N/A</v>
      </c>
      <c r="AH111" s="52" t="e">
        <f>HLOOKUP(I111,GasAvoidedCostsWOCC!$A$5:$Q$50,T111+1,FALSE)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HLOOKUP(I111,GasAvoidedCostsWOCC!$A$5:$Q$50,G111+1,FALSE)*J111*L111</f>
        <v>#N/A</v>
      </c>
      <c r="AL111" s="44" t="e">
        <f t="shared" si="53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>
      <c r="B112" s="9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HLOOKUP(I112,GasAvoidedCostsWOCC!$A$5:$G$50,G112+1,FALSE)</f>
        <v>#N/A</v>
      </c>
      <c r="AG112" s="44" t="e">
        <f t="shared" si="50"/>
        <v>#N/A</v>
      </c>
      <c r="AH112" s="52" t="e">
        <f>HLOOKUP(I112,GasAvoidedCostsWOCC!$A$5:$Q$50,T112+1,FALSE)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HLOOKUP(I112,GasAvoidedCostsWOCC!$A$5:$Q$50,G112+1,FALSE)*J112*L112</f>
        <v>#N/A</v>
      </c>
      <c r="AL112" s="44" t="e">
        <f t="shared" si="53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9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HLOOKUP(I113,GasAvoidedCostsWOCC!$A$5:$G$50,G113+1,FALSE)</f>
        <v>#N/A</v>
      </c>
      <c r="AG113" s="44" t="e">
        <f t="shared" si="50"/>
        <v>#N/A</v>
      </c>
      <c r="AH113" s="52" t="e">
        <f>HLOOKUP(I113,GasAvoidedCostsWOCC!$A$5:$Q$50,T113+1,FALSE)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HLOOKUP(I113,GasAvoidedCostsWOCC!$A$5:$Q$50,G113+1,FALSE)*J113*L113</f>
        <v>#N/A</v>
      </c>
      <c r="AL113" s="44" t="e">
        <f t="shared" si="53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9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HLOOKUP(I114,GasAvoidedCostsWOCC!$A$5:$G$50,G114+1,FALSE)</f>
        <v>#N/A</v>
      </c>
      <c r="AG114" s="44" t="e">
        <f t="shared" si="50"/>
        <v>#N/A</v>
      </c>
      <c r="AH114" s="52" t="e">
        <f>HLOOKUP(I114,GasAvoidedCostsWOCC!$A$5:$Q$50,T114+1,FALSE)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HLOOKUP(I114,GasAvoidedCostsWOCC!$A$5:$Q$50,G114+1,FALSE)*J114*L114</f>
        <v>#N/A</v>
      </c>
      <c r="AL114" s="44" t="e">
        <f t="shared" si="53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9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HLOOKUP(I115,GasAvoidedCostsWOCC!$A$5:$G$50,G115+1,FALSE)</f>
        <v>#N/A</v>
      </c>
      <c r="AG115" s="44" t="e">
        <f t="shared" si="50"/>
        <v>#N/A</v>
      </c>
      <c r="AH115" s="52" t="e">
        <f>HLOOKUP(I115,GasAvoidedCostsWOCC!$A$5:$Q$50,T115+1,FALSE)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HLOOKUP(I115,GasAvoidedCostsWOCC!$A$5:$Q$50,G115+1,FALSE)*J115*L115</f>
        <v>#N/A</v>
      </c>
      <c r="AL115" s="44" t="e">
        <f t="shared" si="53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9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HLOOKUP(I116,GasAvoidedCostsWOCC!$A$5:$G$50,G116+1,FALSE)</f>
        <v>#N/A</v>
      </c>
      <c r="AG116" s="44" t="e">
        <f t="shared" si="50"/>
        <v>#N/A</v>
      </c>
      <c r="AH116" s="52" t="e">
        <f>HLOOKUP(I116,GasAvoidedCostsWOCC!$A$5:$Q$50,T116+1,FALSE)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HLOOKUP(I116,GasAvoidedCostsWOCC!$A$5:$Q$50,G116+1,FALSE)*J116*L116</f>
        <v>#N/A</v>
      </c>
      <c r="AL116" s="44" t="e">
        <f t="shared" si="53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9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HLOOKUP(I117,GasAvoidedCostsWOCC!$A$5:$G$50,G117+1,FALSE)</f>
        <v>#N/A</v>
      </c>
      <c r="AG117" s="44" t="e">
        <f t="shared" si="50"/>
        <v>#N/A</v>
      </c>
      <c r="AH117" s="52" t="e">
        <f>HLOOKUP(I117,GasAvoidedCostsWOCC!$A$5:$Q$50,T117+1,FALSE)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HLOOKUP(I117,GasAvoidedCostsWOCC!$A$5:$Q$50,G117+1,FALSE)*J117*L117</f>
        <v>#N/A</v>
      </c>
      <c r="AL117" s="44" t="e">
        <f t="shared" si="53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9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HLOOKUP(I118,GasAvoidedCostsWOCC!$A$5:$G$50,G118+1,FALSE)</f>
        <v>#N/A</v>
      </c>
      <c r="AG118" s="44" t="e">
        <f t="shared" si="50"/>
        <v>#N/A</v>
      </c>
      <c r="AH118" s="52" t="e">
        <f>HLOOKUP(I118,GasAvoidedCostsWOCC!$A$5:$Q$50,T118+1,FALSE)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HLOOKUP(I118,GasAvoidedCostsWOCC!$A$5:$Q$50,G118+1,FALSE)*J118*L118</f>
        <v>#N/A</v>
      </c>
      <c r="AL118" s="44" t="e">
        <f t="shared" si="53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9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HLOOKUP(I119,GasAvoidedCostsWOCC!$A$5:$G$50,G119+1,FALSE)</f>
        <v>#N/A</v>
      </c>
      <c r="AG119" s="44" t="e">
        <f t="shared" si="50"/>
        <v>#N/A</v>
      </c>
      <c r="AH119" s="52" t="e">
        <f>HLOOKUP(I119,GasAvoidedCostsWOCC!$A$5:$Q$50,T119+1,FALSE)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HLOOKUP(I119,GasAvoidedCostsWOCC!$A$5:$Q$50,G119+1,FALSE)*J119*L119</f>
        <v>#N/A</v>
      </c>
      <c r="AL119" s="44" t="e">
        <f t="shared" si="53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9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HLOOKUP(I120,GasAvoidedCostsWOCC!$A$5:$G$50,G120+1,FALSE)</f>
        <v>#N/A</v>
      </c>
      <c r="AG120" s="44" t="e">
        <f t="shared" si="50"/>
        <v>#N/A</v>
      </c>
      <c r="AH120" s="52" t="e">
        <f>HLOOKUP(I120,GasAvoidedCostsWOCC!$A$5:$Q$50,T120+1,FALSE)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HLOOKUP(I120,GasAvoidedCostsWOCC!$A$5:$Q$50,G120+1,FALSE)*J120*L120</f>
        <v>#N/A</v>
      </c>
      <c r="AL120" s="44" t="e">
        <f t="shared" si="53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3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HLOOKUP(I121,GasAvoidedCostsWOCC!$A$5:$G$50,G121+1,FALSE)</f>
        <v>#N/A</v>
      </c>
      <c r="AG121" s="44" t="e">
        <f t="shared" si="50"/>
        <v>#N/A</v>
      </c>
      <c r="AH121" s="52" t="e">
        <f>HLOOKUP(I121,GasAvoidedCostsWOCC!$A$5:$Q$50,T121+1,FALSE)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HLOOKUP(I121,GasAvoidedCostsWOCC!$A$5:$Q$50,G121+1,FALSE)*J121*L121</f>
        <v>#N/A</v>
      </c>
      <c r="AL121" s="44" t="e">
        <f t="shared" si="53"/>
        <v>#N/A</v>
      </c>
      <c r="AM121" s="48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HLOOKUP(I122,GasAvoidedCostsWOCC!$A$5:$G$50,G122+1,FALSE)</f>
        <v>#N/A</v>
      </c>
      <c r="AG122" s="44" t="e">
        <f t="shared" si="50"/>
        <v>#N/A</v>
      </c>
      <c r="AH122" s="52" t="e">
        <f>HLOOKUP(I122,GasAvoidedCostsWOCC!$A$5:$Q$50,T122+1,FALSE)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HLOOKUP(I122,GasAvoidedCostsWOCC!$A$5:$Q$50,G122+1,FALSE)*J122*L122</f>
        <v>#N/A</v>
      </c>
      <c r="AL122" s="44" t="e">
        <f t="shared" si="53"/>
        <v>#N/A</v>
      </c>
      <c r="AM122" s="48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HLOOKUP(I123,GasAvoidedCostsWOCC!$A$5:$G$50,G123+1,FALSE)</f>
        <v>#N/A</v>
      </c>
      <c r="AG123" s="44" t="e">
        <f t="shared" si="50"/>
        <v>#N/A</v>
      </c>
      <c r="AH123" s="52" t="e">
        <f>HLOOKUP(I123,GasAvoidedCostsWOCC!$A$5:$Q$50,T123+1,FALSE)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HLOOKUP(I123,GasAvoidedCostsWOCC!$A$5:$Q$50,G123+1,FALSE)*J123*L123</f>
        <v>#N/A</v>
      </c>
      <c r="AL123" s="44" t="e">
        <f t="shared" si="53"/>
        <v>#N/A</v>
      </c>
      <c r="AM123" s="48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HLOOKUP(I124,GasAvoidedCostsWOCC!$A$5:$G$50,G124+1,FALSE)</f>
        <v>#N/A</v>
      </c>
      <c r="AG124" s="44" t="e">
        <f t="shared" si="50"/>
        <v>#N/A</v>
      </c>
      <c r="AH124" s="52" t="e">
        <f>HLOOKUP(I124,GasAvoidedCostsWOCC!$A$5:$Q$50,T124+1,FALSE)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HLOOKUP(I124,GasAvoidedCostsWOCC!$A$5:$Q$50,G124+1,FALSE)*J124*L124</f>
        <v>#N/A</v>
      </c>
      <c r="AL124" s="44" t="e">
        <f t="shared" si="53"/>
        <v>#N/A</v>
      </c>
      <c r="AM124" s="48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HLOOKUP(I125,GasAvoidedCostsWOCC!$A$5:$G$50,G125+1,FALSE)</f>
        <v>#N/A</v>
      </c>
      <c r="AG125" s="44" t="e">
        <f t="shared" si="50"/>
        <v>#N/A</v>
      </c>
      <c r="AH125" s="52" t="e">
        <f>HLOOKUP(I125,GasAvoidedCostsWOCC!$A$5:$Q$50,T125+1,FALSE)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HLOOKUP(I125,GasAvoidedCostsWOCC!$A$5:$Q$50,G125+1,FALSE)*J125*L125</f>
        <v>#N/A</v>
      </c>
      <c r="AL125" s="44" t="e">
        <f t="shared" si="53"/>
        <v>#N/A</v>
      </c>
      <c r="AM125" s="48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HLOOKUP(I126,GasAvoidedCostsWOCC!$A$5:$G$50,G126+1,FALSE)</f>
        <v>#N/A</v>
      </c>
      <c r="AG126" s="44" t="e">
        <f t="shared" si="50"/>
        <v>#N/A</v>
      </c>
      <c r="AH126" s="52" t="e">
        <f>HLOOKUP(I126,GasAvoidedCostsWOCC!$A$5:$Q$50,T126+1,FALSE)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HLOOKUP(I126,GasAvoidedCostsWOCC!$A$5:$Q$50,G126+1,FALSE)*J126*L126</f>
        <v>#N/A</v>
      </c>
      <c r="AL126" s="44" t="e">
        <f t="shared" si="53"/>
        <v>#N/A</v>
      </c>
      <c r="AM126" s="48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HLOOKUP(I127,GasAvoidedCostsWOCC!$A$5:$G$50,G127+1,FALSE)</f>
        <v>#N/A</v>
      </c>
      <c r="AG127" s="44" t="e">
        <f t="shared" si="50"/>
        <v>#N/A</v>
      </c>
      <c r="AH127" s="52" t="e">
        <f>HLOOKUP(I127,GasAvoidedCostsWOCC!$A$5:$Q$50,T127+1,FALSE)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HLOOKUP(I127,GasAvoidedCostsWOCC!$A$5:$Q$50,G127+1,FALSE)*J127*L127</f>
        <v>#N/A</v>
      </c>
      <c r="AL127" s="44" t="e">
        <f t="shared" si="53"/>
        <v>#N/A</v>
      </c>
      <c r="AM127" s="48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HLOOKUP(I128,GasAvoidedCostsWOCC!$A$5:$G$50,G128+1,FALSE)</f>
        <v>#N/A</v>
      </c>
      <c r="AG128" s="44" t="e">
        <f t="shared" si="50"/>
        <v>#N/A</v>
      </c>
      <c r="AH128" s="52" t="e">
        <f>HLOOKUP(I128,GasAvoidedCostsWOCC!$A$5:$Q$50,T128+1,FALSE)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HLOOKUP(I128,GasAvoidedCostsWOCC!$A$5:$Q$50,G128+1,FALSE)*J128*L128</f>
        <v>#N/A</v>
      </c>
      <c r="AL128" s="44" t="e">
        <f t="shared" si="53"/>
        <v>#N/A</v>
      </c>
      <c r="AM128" s="48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HLOOKUP(I129,GasAvoidedCostsWOCC!$A$5:$G$50,G129+1,FALSE)</f>
        <v>#N/A</v>
      </c>
      <c r="AG129" s="44" t="e">
        <f t="shared" si="50"/>
        <v>#N/A</v>
      </c>
      <c r="AH129" s="52" t="e">
        <f>HLOOKUP(I129,GasAvoidedCostsWOCC!$A$5:$Q$50,T129+1,FALSE)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HLOOKUP(I129,GasAvoidedCostsWOCC!$A$5:$Q$50,G129+1,FALSE)*J129*L129</f>
        <v>#N/A</v>
      </c>
      <c r="AL129" s="44" t="e">
        <f t="shared" si="53"/>
        <v>#N/A</v>
      </c>
      <c r="AM129" s="48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HLOOKUP(I130,GasAvoidedCostsWOCC!$A$5:$G$50,G130+1,FALSE)</f>
        <v>#N/A</v>
      </c>
      <c r="AG130" s="44" t="e">
        <f t="shared" si="50"/>
        <v>#N/A</v>
      </c>
      <c r="AH130" s="52" t="e">
        <f>HLOOKUP(I130,GasAvoidedCostsWOCC!$A$5:$Q$50,T130+1,FALSE)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HLOOKUP(I130,GasAvoidedCostsWOCC!$A$5:$Q$50,G130+1,FALSE)*J130*L130</f>
        <v>#N/A</v>
      </c>
      <c r="AL130" s="44" t="e">
        <f t="shared" si="53"/>
        <v>#N/A</v>
      </c>
      <c r="AM130" s="48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</sheetData>
  <conditionalFormatting sqref="J5:L130">
    <cfRule type="expression" dxfId="24" priority="4">
      <formula>ISTEXT(J5)</formula>
    </cfRule>
    <cfRule type="notContainsBlanks" dxfId="23" priority="5">
      <formula>LEN(TRIM(J5))&gt;0</formula>
    </cfRule>
  </conditionalFormatting>
  <conditionalFormatting sqref="M5:N130 R5:S130">
    <cfRule type="expression" dxfId="22" priority="2">
      <formula>ISTEXT(M5)</formula>
    </cfRule>
  </conditionalFormatting>
  <conditionalFormatting sqref="M5:N130 R5:S130">
    <cfRule type="notContainsBlanks" dxfId="21" priority="3">
      <formula>LEN(TRIM(M5))&gt;0</formula>
    </cfRule>
  </conditionalFormatting>
  <conditionalFormatting sqref="R5:S130">
    <cfRule type="expression" dxfId="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D17" sqref="D1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18230660</v>
      </c>
      <c r="D2" s="20" t="s">
        <v>122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/>
      <c r="C5" s="98">
        <v>18230660</v>
      </c>
      <c r="D5" s="61" t="s">
        <v>122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831718.27</v>
      </c>
      <c r="B6" s="97" t="s">
        <v>121</v>
      </c>
      <c r="C6" s="99">
        <v>18230660</v>
      </c>
      <c r="D6" s="100" t="s">
        <v>122</v>
      </c>
      <c r="E6" s="38"/>
      <c r="F6" s="39" t="s">
        <v>2577</v>
      </c>
      <c r="G6" s="39"/>
      <c r="H6" s="39"/>
      <c r="I6" s="40"/>
      <c r="J6" s="41"/>
      <c r="K6" s="41"/>
      <c r="L6" s="41"/>
      <c r="M6" s="42"/>
      <c r="N6" s="42"/>
      <c r="O6" s="43">
        <v>0</v>
      </c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  <c r="AQ6">
        <v>2020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731802.91999999993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1563521.19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731802.91999999993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9" priority="4">
      <formula>ISTEXT(J5)</formula>
    </cfRule>
    <cfRule type="notContainsBlanks" dxfId="18" priority="5">
      <formula>LEN(TRIM(J5))&gt;0</formula>
    </cfRule>
  </conditionalFormatting>
  <conditionalFormatting sqref="M5:N24 R5:S24">
    <cfRule type="expression" dxfId="17" priority="2">
      <formula>ISTEXT(M5)</formula>
    </cfRule>
  </conditionalFormatting>
  <conditionalFormatting sqref="M5:N24 R5:S24">
    <cfRule type="notContainsBlanks" dxfId="16" priority="3">
      <formula>LEN(TRIM(M5))&gt;0</formula>
    </cfRule>
  </conditionalFormatting>
  <conditionalFormatting sqref="R5:S24">
    <cfRule type="expression" dxfId="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18230622</v>
      </c>
      <c r="D2" s="20" t="s">
        <v>322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323</v>
      </c>
      <c r="C5" s="98">
        <v>18230622</v>
      </c>
      <c r="D5" s="61" t="s">
        <v>322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Costs'!L:L)+SUMIF('Program Costs'!D:D,C6,'Program Costs'!L:L)+SUMIF('Program Costs'!D:D,C7,'Program Costs'!L:L)+SUMIF('Program Costs'!D:D,C8,'Program Costs'!L:L)</f>
        <v>19830</v>
      </c>
      <c r="B6" s="97" t="s">
        <v>36</v>
      </c>
      <c r="C6" s="99">
        <v>18230256</v>
      </c>
      <c r="D6" s="100" t="s">
        <v>2578</v>
      </c>
      <c r="E6" s="38" t="s">
        <v>2456</v>
      </c>
      <c r="F6" s="39" t="s">
        <v>2457</v>
      </c>
      <c r="G6" s="39">
        <v>5</v>
      </c>
      <c r="H6" s="39"/>
      <c r="I6" s="40" t="s">
        <v>269</v>
      </c>
      <c r="J6" s="41">
        <v>1</v>
      </c>
      <c r="K6" s="41">
        <v>10200</v>
      </c>
      <c r="L6" s="41"/>
      <c r="M6" s="42">
        <v>0</v>
      </c>
      <c r="N6" s="42">
        <v>0</v>
      </c>
      <c r="O6" s="43">
        <v>10200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5</v>
      </c>
      <c r="U6" s="47">
        <f t="shared" si="1"/>
        <v>5</v>
      </c>
      <c r="V6" s="48">
        <f t="shared" si="2"/>
        <v>0</v>
      </c>
      <c r="W6" s="49">
        <f t="shared" si="3"/>
        <v>1</v>
      </c>
      <c r="X6" s="44">
        <f t="shared" si="4"/>
        <v>54570.320000000007</v>
      </c>
      <c r="Y6" s="44">
        <f t="shared" si="5"/>
        <v>0</v>
      </c>
      <c r="Z6" s="44">
        <f t="shared" si="6"/>
        <v>74400.320000000007</v>
      </c>
      <c r="AA6" s="50">
        <f t="shared" si="7"/>
        <v>54570.320000000007</v>
      </c>
      <c r="AB6" s="51">
        <f t="shared" si="8"/>
        <v>69552.510049546603</v>
      </c>
      <c r="AC6" s="44">
        <f t="shared" si="9"/>
        <v>51014.602224922877</v>
      </c>
      <c r="AD6" s="44">
        <f t="shared" si="10"/>
        <v>0</v>
      </c>
      <c r="AE6" s="44">
        <v>0</v>
      </c>
      <c r="AF6" s="52">
        <f>HLOOKUP(I6,GasAvoidedCostsWOCC!$A$5:$G$50,G6+1,FALSE)</f>
        <v>4.0176254580215796</v>
      </c>
      <c r="AG6" s="44">
        <f t="shared" si="11"/>
        <v>40979.779671820113</v>
      </c>
      <c r="AH6" s="52">
        <f>HLOOKUP(I6,GasAvoidedCostsWOCC!$A$5:$Q$50,T6+1,FALSE)</f>
        <v>4.0176254580215796</v>
      </c>
      <c r="AI6" s="44">
        <f t="shared" si="12"/>
        <v>0</v>
      </c>
      <c r="AJ6" s="44">
        <f t="shared" ref="AJ6:AJ24" si="13">AG6+AI6</f>
        <v>40979.779671820113</v>
      </c>
      <c r="AK6" s="44">
        <f>HLOOKUP(I6,GasAvoidedCostsWOCC!$A$5:$Q$50,G6+1,FALSE)*J6*L6</f>
        <v>0</v>
      </c>
      <c r="AL6" s="44">
        <f t="shared" ref="AL6:AL24" si="14">AG6+AI6-AK6</f>
        <v>40979.779671820113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40979.779671820113</v>
      </c>
      <c r="AN6" s="48">
        <f t="shared" ref="AN6:AN24" si="15">AM6*1.1+AD6+AE6</f>
        <v>45077.757639002128</v>
      </c>
      <c r="AO6" s="47">
        <f t="shared" ref="AO6:AO24" si="16">IFERROR(AM6/AB6,0)</f>
        <v>0.58919195932149182</v>
      </c>
      <c r="AP6" s="47">
        <f t="shared" ref="AP6:AP24" si="17">AN6/AC6</f>
        <v>0.88362460301571577</v>
      </c>
      <c r="AQ6">
        <v>2020</v>
      </c>
    </row>
    <row r="7" spans="1:43" ht="13.5" customHeight="1">
      <c r="A7" s="36" t="s">
        <v>249</v>
      </c>
      <c r="B7" s="97" t="s">
        <v>27</v>
      </c>
      <c r="C7" s="99">
        <v>18230217</v>
      </c>
      <c r="D7" s="100" t="s">
        <v>28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  <c r="AQ7">
        <v>2020</v>
      </c>
    </row>
    <row r="8" spans="1:43" ht="13.5" customHeight="1">
      <c r="A8" s="53">
        <f>SUMIF('Program Costs'!D:D,C2,'Program Costs'!O:O)+SUMIF('Program Costs'!D:D,C6,'Program Costs'!O:O)+SUMIF('Program Costs'!D:D,C7,'Program Costs'!O:O)+SUMIF('Program Costs'!D:D,C8,'Program Costs'!O:O)</f>
        <v>54570.320000000007</v>
      </c>
      <c r="B8" s="97" t="s">
        <v>36</v>
      </c>
      <c r="C8" s="100">
        <v>18230255</v>
      </c>
      <c r="D8" s="100" t="s">
        <v>1833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  <c r="AQ8">
        <v>2020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10200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74400.320000000007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54570.320000000007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0.58919195932149182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0.88362460301571577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4" priority="4">
      <formula>ISTEXT(J5)</formula>
    </cfRule>
    <cfRule type="notContainsBlanks" dxfId="13" priority="5">
      <formula>LEN(TRIM(J5))&gt;0</formula>
    </cfRule>
  </conditionalFormatting>
  <conditionalFormatting sqref="M5:N24 R5:S24">
    <cfRule type="expression" dxfId="12" priority="2">
      <formula>ISTEXT(M5)</formula>
    </cfRule>
  </conditionalFormatting>
  <conditionalFormatting sqref="M5:N24 R5:S24">
    <cfRule type="notContainsBlanks" dxfId="11" priority="3">
      <formula>LEN(TRIM(M5))&gt;0</formula>
    </cfRule>
  </conditionalFormatting>
  <conditionalFormatting sqref="R5:S24">
    <cfRule type="expression" dxfId="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B8" sqref="B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18231038</v>
      </c>
      <c r="D2" s="20" t="s">
        <v>166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323</v>
      </c>
      <c r="C5" s="98">
        <v>18231038</v>
      </c>
      <c r="D5" s="61" t="s">
        <v>166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 t="s">
        <v>84</v>
      </c>
      <c r="C6" s="99">
        <v>18230640</v>
      </c>
      <c r="D6" s="100" t="s">
        <v>85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  <c r="AQ6">
        <v>2020</v>
      </c>
    </row>
    <row r="7" spans="1:43" ht="13.5" customHeight="1">
      <c r="A7" s="36" t="s">
        <v>249</v>
      </c>
      <c r="B7" s="97" t="s">
        <v>84</v>
      </c>
      <c r="C7" s="99">
        <v>18231038</v>
      </c>
      <c r="D7" s="100" t="s">
        <v>166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  <c r="AQ7">
        <v>2020</v>
      </c>
    </row>
    <row r="8" spans="1:43" ht="13.5" customHeight="1">
      <c r="A8" s="53">
        <f>SUMIF('Program Costs'!D:D,C2,'Program Costs'!O:O)</f>
        <v>828.63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828.63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828.63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9" priority="4">
      <formula>ISTEXT(J5)</formula>
    </cfRule>
    <cfRule type="notContainsBlanks" dxfId="8" priority="5">
      <formula>LEN(TRIM(J5))&gt;0</formula>
    </cfRule>
  </conditionalFormatting>
  <conditionalFormatting sqref="M5:N24 R5:S24">
    <cfRule type="expression" dxfId="7" priority="2">
      <formula>ISTEXT(M5)</formula>
    </cfRule>
  </conditionalFormatting>
  <conditionalFormatting sqref="M5:N24 R5:S24">
    <cfRule type="notContainsBlanks" dxfId="6" priority="3">
      <formula>LEN(TRIM(M5))&gt;0</formula>
    </cfRule>
  </conditionalFormatting>
  <conditionalFormatting sqref="R5:S24">
    <cfRule type="expression" dxfId="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32"/>
  <sheetViews>
    <sheetView topLeftCell="I1" zoomScale="85" zoomScaleNormal="85" workbookViewId="0">
      <selection activeCell="AA5" sqref="AA5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3" max="13" width="15.28515625" bestFit="1" customWidth="1"/>
    <col min="14" max="14" width="16" bestFit="1" customWidth="1"/>
    <col min="15" max="17" width="15.42578125" customWidth="1"/>
    <col min="18" max="18" width="13.140625" customWidth="1"/>
    <col min="24" max="42" width="14" customWidth="1"/>
  </cols>
  <sheetData>
    <row r="1" spans="1:43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18230611</v>
      </c>
      <c r="D2" s="20" t="s">
        <v>75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2580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s="516" t="s">
        <v>2567</v>
      </c>
    </row>
    <row r="5" spans="1:43" ht="13.5" customHeight="1">
      <c r="A5" s="36" t="s">
        <v>247</v>
      </c>
      <c r="B5" s="97" t="s">
        <v>74</v>
      </c>
      <c r="C5" s="100">
        <v>18230611</v>
      </c>
      <c r="D5" s="100" t="s">
        <v>75</v>
      </c>
      <c r="E5" s="38" t="s">
        <v>2570</v>
      </c>
      <c r="F5" s="39" t="s">
        <v>2571</v>
      </c>
      <c r="G5" s="39">
        <v>1</v>
      </c>
      <c r="H5" s="39">
        <v>1</v>
      </c>
      <c r="I5" s="40"/>
      <c r="J5" s="41">
        <v>1</v>
      </c>
      <c r="K5" s="41">
        <v>0</v>
      </c>
      <c r="L5" s="41">
        <v>0</v>
      </c>
      <c r="M5" s="42"/>
      <c r="N5" s="42"/>
      <c r="O5" s="43"/>
      <c r="P5" s="44">
        <v>196370.13</v>
      </c>
      <c r="Q5" s="44">
        <v>196370.13</v>
      </c>
      <c r="R5" s="45"/>
      <c r="S5" s="46"/>
      <c r="T5" s="39">
        <f t="shared" ref="T5:T24" si="0">G5+H5</f>
        <v>2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22">
        <f>((Q5/A$12)*A$6)+X5</f>
        <v>202558.29292650384</v>
      </c>
      <c r="AB5" s="51">
        <f t="shared" ref="AB5:AC20" si="7">Z5/(1+ElecDiscountRate)^1</f>
        <v>0</v>
      </c>
      <c r="AC5" s="44">
        <f>AA5/(1+ElecDiscountRate)^1</f>
        <v>189359.90738197984</v>
      </c>
      <c r="AD5" s="44">
        <f t="shared" ref="AD5:AD24" si="8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9">AF5*J5*K5</f>
        <v>#N/A</v>
      </c>
      <c r="AH5" s="52" t="e">
        <f>HLOOKUP(I5,ElecAvoidedCostsWOCC!$A$5:$Q$50,T5+1,FALSE)</f>
        <v>#N/A</v>
      </c>
      <c r="AI5" s="44" t="e">
        <f t="shared" ref="AI5:AI24" si="10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>
        <f>AN5/AC5</f>
        <v>0</v>
      </c>
      <c r="AQ5">
        <v>2020</v>
      </c>
    </row>
    <row r="6" spans="1:43" ht="13.5" customHeight="1">
      <c r="A6" s="53">
        <f>SUMIF('Program Costs'!D:D,C2,'Program Costs'!L:L)</f>
        <v>6859396.4100000001</v>
      </c>
      <c r="B6" s="97" t="s">
        <v>74</v>
      </c>
      <c r="C6" s="100">
        <v>18230611</v>
      </c>
      <c r="D6" s="100" t="s">
        <v>75</v>
      </c>
      <c r="E6" s="38" t="s">
        <v>2459</v>
      </c>
      <c r="F6" s="39" t="s">
        <v>2460</v>
      </c>
      <c r="G6" s="39">
        <v>15</v>
      </c>
      <c r="H6" s="39"/>
      <c r="I6" s="40" t="s">
        <v>264</v>
      </c>
      <c r="J6" s="41">
        <v>14</v>
      </c>
      <c r="K6" s="41">
        <v>580</v>
      </c>
      <c r="L6" s="41"/>
      <c r="M6" s="42">
        <v>545</v>
      </c>
      <c r="N6" s="42">
        <v>700</v>
      </c>
      <c r="O6" s="43">
        <v>8120</v>
      </c>
      <c r="P6" s="44">
        <v>10734.27</v>
      </c>
      <c r="Q6" s="44">
        <v>10734.27</v>
      </c>
      <c r="R6" s="45">
        <v>0</v>
      </c>
      <c r="S6" s="46">
        <v>0</v>
      </c>
      <c r="T6" s="39">
        <f t="shared" si="0"/>
        <v>15</v>
      </c>
      <c r="U6" s="47">
        <f t="shared" si="1"/>
        <v>5.2775504283483932E-2</v>
      </c>
      <c r="V6" s="48">
        <f t="shared" si="2"/>
        <v>155</v>
      </c>
      <c r="W6" s="49">
        <f t="shared" si="3"/>
        <v>3.518366952232262E-3</v>
      </c>
      <c r="X6" s="44">
        <f t="shared" si="4"/>
        <v>935.21152536940406</v>
      </c>
      <c r="Y6" s="44">
        <f t="shared" si="5"/>
        <v>0</v>
      </c>
      <c r="Z6" s="44">
        <f>X6+(A$6*W6)</f>
        <v>25069.085166574023</v>
      </c>
      <c r="AA6" s="522">
        <f>((Q6/A$12)*A$6)+X6</f>
        <v>12007.747898453144</v>
      </c>
      <c r="AB6" s="51">
        <f t="shared" si="7"/>
        <v>23435.622292768086</v>
      </c>
      <c r="AC6" s="44">
        <f t="shared" si="7"/>
        <v>11225.341589654243</v>
      </c>
      <c r="AD6" s="44">
        <f t="shared" si="8"/>
        <v>0</v>
      </c>
      <c r="AE6" s="44">
        <v>0</v>
      </c>
      <c r="AF6" s="52">
        <f>HLOOKUP(I6,ElecAvoidedCostsWOCC!$A$5:$Q$50,G6+1,FALSE)</f>
        <v>1.0145610536023009</v>
      </c>
      <c r="AG6" s="44">
        <f t="shared" si="9"/>
        <v>8238.2357552506837</v>
      </c>
      <c r="AH6" s="52">
        <f>HLOOKUP(I6,ElecAvoidedCostsWOCC!$A$5:$Q$50,T6+1,FALSE)</f>
        <v>1.0145610536023009</v>
      </c>
      <c r="AI6" s="44">
        <f t="shared" si="10"/>
        <v>0</v>
      </c>
      <c r="AJ6" s="44">
        <f t="shared" ref="AJ6:AJ24" si="11">AG6+AI6</f>
        <v>8238.2357552506837</v>
      </c>
      <c r="AK6" s="44">
        <f>HLOOKUP(I6,ElecAvoidedCostsWOCC!$A$5:$Q$50,G6+1,FALSE)*J6*L6</f>
        <v>0</v>
      </c>
      <c r="AL6" s="44">
        <f t="shared" ref="AL6:AL24" si="12">AG6+AI6-AK6</f>
        <v>8238.2357552506837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8238.2357552506819</v>
      </c>
      <c r="AN6" s="48">
        <f t="shared" ref="AN6:AN24" si="13">AM6*1.1+AD6+AE6</f>
        <v>9062.0593307757517</v>
      </c>
      <c r="AO6" s="47">
        <f t="shared" ref="AO6:AO24" si="14">IFERROR(AM6/AB6,0)</f>
        <v>0.35152622159271141</v>
      </c>
      <c r="AP6" s="47">
        <f t="shared" ref="AP6:AP24" si="15">AN6/AC6</f>
        <v>0.80728584145071669</v>
      </c>
      <c r="AQ6">
        <v>2020</v>
      </c>
    </row>
    <row r="7" spans="1:43" ht="13.5" customHeight="1">
      <c r="A7" s="36" t="s">
        <v>249</v>
      </c>
      <c r="B7" s="97" t="s">
        <v>74</v>
      </c>
      <c r="C7" s="100">
        <v>18230611</v>
      </c>
      <c r="D7" s="100" t="s">
        <v>75</v>
      </c>
      <c r="E7" s="38" t="s">
        <v>2461</v>
      </c>
      <c r="F7" s="39" t="s">
        <v>2462</v>
      </c>
      <c r="G7" s="39">
        <v>15</v>
      </c>
      <c r="H7" s="39"/>
      <c r="I7" s="40" t="s">
        <v>264</v>
      </c>
      <c r="J7" s="41">
        <v>5</v>
      </c>
      <c r="K7" s="41">
        <v>580</v>
      </c>
      <c r="L7" s="41"/>
      <c r="M7" s="42">
        <v>545</v>
      </c>
      <c r="N7" s="42">
        <v>700</v>
      </c>
      <c r="O7" s="43">
        <v>2900</v>
      </c>
      <c r="P7" s="44">
        <v>4831.45</v>
      </c>
      <c r="Q7" s="44">
        <v>4831.45</v>
      </c>
      <c r="R7" s="45">
        <v>0</v>
      </c>
      <c r="S7" s="46">
        <v>0</v>
      </c>
      <c r="T7" s="39">
        <f t="shared" si="0"/>
        <v>15</v>
      </c>
      <c r="U7" s="47">
        <f t="shared" si="1"/>
        <v>1.8848394386958546E-2</v>
      </c>
      <c r="V7" s="48">
        <f t="shared" si="2"/>
        <v>155</v>
      </c>
      <c r="W7" s="49">
        <f t="shared" si="3"/>
        <v>1.2565596257972365E-3</v>
      </c>
      <c r="X7" s="44">
        <f t="shared" si="4"/>
        <v>334.00411620335859</v>
      </c>
      <c r="Y7" s="44">
        <f t="shared" si="5"/>
        <v>0</v>
      </c>
      <c r="Z7" s="44">
        <f t="shared" si="6"/>
        <v>8953.2447023478671</v>
      </c>
      <c r="AA7" s="522">
        <f t="shared" ref="AA7:AA70" si="16">((Q7/A$12)*A$6)+X7</f>
        <v>5317.7063949550038</v>
      </c>
      <c r="AB7" s="51">
        <f t="shared" si="7"/>
        <v>8369.8651045600327</v>
      </c>
      <c r="AC7" s="44">
        <f t="shared" si="7"/>
        <v>4971.2128587033776</v>
      </c>
      <c r="AD7" s="44">
        <f t="shared" si="8"/>
        <v>0</v>
      </c>
      <c r="AE7" s="44">
        <v>0</v>
      </c>
      <c r="AF7" s="52">
        <f>HLOOKUP(I7,ElecAvoidedCostsWOCC!$A$5:$Q$50,G7+1,FALSE)</f>
        <v>1.0145610536023009</v>
      </c>
      <c r="AG7" s="44">
        <f t="shared" si="9"/>
        <v>2942.2270554466727</v>
      </c>
      <c r="AH7" s="52">
        <f>HLOOKUP(I7,ElecAvoidedCostsWOCC!$A$5:$Q$50,T7+1,FALSE)</f>
        <v>1.0145610536023009</v>
      </c>
      <c r="AI7" s="44">
        <f t="shared" si="10"/>
        <v>0</v>
      </c>
      <c r="AJ7" s="44">
        <f t="shared" si="11"/>
        <v>2942.2270554466727</v>
      </c>
      <c r="AK7" s="44">
        <f>HLOOKUP(I7,ElecAvoidedCostsWOCC!$A$5:$Q$50,G7+1,FALSE)*J7*L7</f>
        <v>0</v>
      </c>
      <c r="AL7" s="44">
        <f t="shared" si="12"/>
        <v>2942.2270554466727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2942.2270554466722</v>
      </c>
      <c r="AN7" s="48">
        <f t="shared" si="13"/>
        <v>3236.4497609913396</v>
      </c>
      <c r="AO7" s="47">
        <f t="shared" si="14"/>
        <v>0.35152622159271135</v>
      </c>
      <c r="AP7" s="47">
        <f t="shared" si="15"/>
        <v>0.65103825826430017</v>
      </c>
      <c r="AQ7">
        <v>2020</v>
      </c>
    </row>
    <row r="8" spans="1:43" ht="13.5" customHeight="1">
      <c r="A8" s="53">
        <f>SUMIF('Program Costs'!D:D,C2,'Program Costs'!O:O)</f>
        <v>265808.41000000015</v>
      </c>
      <c r="B8" s="97" t="s">
        <v>74</v>
      </c>
      <c r="C8" s="100">
        <v>18230611</v>
      </c>
      <c r="D8" s="100" t="s">
        <v>75</v>
      </c>
      <c r="E8" s="38" t="s">
        <v>1445</v>
      </c>
      <c r="F8" s="39" t="s">
        <v>1446</v>
      </c>
      <c r="G8" s="39">
        <v>1</v>
      </c>
      <c r="H8" s="39"/>
      <c r="I8" s="40" t="s">
        <v>269</v>
      </c>
      <c r="J8" s="41">
        <v>2</v>
      </c>
      <c r="K8" s="41">
        <v>0</v>
      </c>
      <c r="L8" s="41"/>
      <c r="M8" s="42">
        <v>0</v>
      </c>
      <c r="N8" s="42">
        <v>0</v>
      </c>
      <c r="O8" s="43">
        <v>0</v>
      </c>
      <c r="P8" s="44">
        <v>463.01</v>
      </c>
      <c r="Q8" s="44">
        <v>463.01</v>
      </c>
      <c r="R8" s="45"/>
      <c r="S8" s="46"/>
      <c r="T8" s="39">
        <f t="shared" si="0"/>
        <v>1</v>
      </c>
      <c r="U8" s="47">
        <f t="shared" si="1"/>
        <v>0</v>
      </c>
      <c r="V8" s="48">
        <f t="shared" si="2"/>
        <v>0</v>
      </c>
      <c r="W8" s="520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22">
        <f t="shared" si="16"/>
        <v>477.60071864239501</v>
      </c>
      <c r="AB8" s="51">
        <f t="shared" si="7"/>
        <v>0</v>
      </c>
      <c r="AC8" s="44">
        <f t="shared" si="7"/>
        <v>446.48099340225764</v>
      </c>
      <c r="AD8" s="44">
        <f t="shared" si="8"/>
        <v>0</v>
      </c>
      <c r="AE8" s="44">
        <v>0</v>
      </c>
      <c r="AF8" s="52">
        <f>HLOOKUP(I8,ElecAvoidedCostsWOCC!$A$5:$Q$50,G8+1,FALSE)</f>
        <v>0.11346597036450218</v>
      </c>
      <c r="AG8" s="44">
        <f t="shared" si="9"/>
        <v>0</v>
      </c>
      <c r="AH8" s="52">
        <f>HLOOKUP(I8,ElecAvoidedCostsWOCC!$A$5:$Q$50,T8+1,FALSE)</f>
        <v>0.11346597036450218</v>
      </c>
      <c r="AI8" s="44">
        <f t="shared" si="10"/>
        <v>0</v>
      </c>
      <c r="AJ8" s="44">
        <f t="shared" si="11"/>
        <v>0</v>
      </c>
      <c r="AK8" s="44">
        <f>HLOOKUP(I8,ElecAvoidedCostsWOCC!$A$5:$Q$50,G8+1,FALSE)*J8*L8</f>
        <v>0</v>
      </c>
      <c r="AL8" s="44">
        <f t="shared" si="12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3"/>
        <v>0</v>
      </c>
      <c r="AO8" s="47">
        <f t="shared" si="14"/>
        <v>0</v>
      </c>
      <c r="AP8" s="47">
        <f t="shared" si="15"/>
        <v>0</v>
      </c>
      <c r="AQ8">
        <v>2020</v>
      </c>
    </row>
    <row r="9" spans="1:43" ht="13.5" customHeight="1">
      <c r="A9" s="36" t="s">
        <v>250</v>
      </c>
      <c r="B9" s="97" t="s">
        <v>74</v>
      </c>
      <c r="C9" s="100">
        <v>18230611</v>
      </c>
      <c r="D9" s="100" t="s">
        <v>75</v>
      </c>
      <c r="E9" s="38" t="s">
        <v>1447</v>
      </c>
      <c r="F9" s="39" t="s">
        <v>1448</v>
      </c>
      <c r="G9" s="39">
        <v>1</v>
      </c>
      <c r="H9" s="39"/>
      <c r="I9" s="40" t="s">
        <v>269</v>
      </c>
      <c r="J9" s="41">
        <v>1</v>
      </c>
      <c r="K9" s="41">
        <v>0</v>
      </c>
      <c r="L9" s="41"/>
      <c r="M9" s="42">
        <v>0</v>
      </c>
      <c r="N9" s="42">
        <v>0</v>
      </c>
      <c r="O9" s="43">
        <v>0</v>
      </c>
      <c r="P9" s="44">
        <v>260.94</v>
      </c>
      <c r="Q9" s="44">
        <v>260.94</v>
      </c>
      <c r="R9" s="45"/>
      <c r="S9" s="46"/>
      <c r="T9" s="39">
        <f t="shared" si="0"/>
        <v>1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22">
        <f t="shared" si="16"/>
        <v>269.16293713428774</v>
      </c>
      <c r="AB9" s="51">
        <f t="shared" si="7"/>
        <v>0</v>
      </c>
      <c r="AC9" s="44">
        <f t="shared" si="7"/>
        <v>251.62469583461504</v>
      </c>
      <c r="AD9" s="44">
        <f t="shared" si="8"/>
        <v>0</v>
      </c>
      <c r="AE9" s="44">
        <f t="shared" ref="AE9:AE24" si="17">-PV(ElecDiscountRate,T9,S9)*J9</f>
        <v>0</v>
      </c>
      <c r="AF9" s="52">
        <f>HLOOKUP(I9,ElecAvoidedCostsWOCC!$A$5:$Q$50,G9+1,FALSE)</f>
        <v>0.11346597036450218</v>
      </c>
      <c r="AG9" s="44">
        <f t="shared" si="9"/>
        <v>0</v>
      </c>
      <c r="AH9" s="52">
        <f>HLOOKUP(I9,ElecAvoidedCostsWOCC!$A$5:$Q$50,T9+1,FALSE)</f>
        <v>0.11346597036450218</v>
      </c>
      <c r="AI9" s="44">
        <f t="shared" si="10"/>
        <v>0</v>
      </c>
      <c r="AJ9" s="44">
        <f t="shared" si="11"/>
        <v>0</v>
      </c>
      <c r="AK9" s="44">
        <f>HLOOKUP(I9,ElecAvoidedCostsWOCC!$A$5:$Q$50,G9+1,FALSE)*J9*L9</f>
        <v>0</v>
      </c>
      <c r="AL9" s="44">
        <f t="shared" si="12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3"/>
        <v>0</v>
      </c>
      <c r="AO9" s="47">
        <f t="shared" si="14"/>
        <v>0</v>
      </c>
      <c r="AP9" s="47">
        <f t="shared" si="15"/>
        <v>0</v>
      </c>
      <c r="AQ9">
        <v>2020</v>
      </c>
    </row>
    <row r="10" spans="1:43" ht="13.5" customHeight="1">
      <c r="A10" s="54">
        <f>SUM(O6:O998)</f>
        <v>2307888.8900000006</v>
      </c>
      <c r="B10" s="97" t="s">
        <v>74</v>
      </c>
      <c r="C10" s="100">
        <v>18230611</v>
      </c>
      <c r="D10" s="100" t="s">
        <v>75</v>
      </c>
      <c r="E10" s="38" t="s">
        <v>1449</v>
      </c>
      <c r="F10" s="39" t="s">
        <v>1450</v>
      </c>
      <c r="G10" s="39">
        <v>30</v>
      </c>
      <c r="H10" s="39"/>
      <c r="I10" s="40" t="s">
        <v>269</v>
      </c>
      <c r="J10" s="41">
        <v>44</v>
      </c>
      <c r="K10" s="41">
        <v>0</v>
      </c>
      <c r="L10" s="41"/>
      <c r="M10" s="42">
        <v>0</v>
      </c>
      <c r="N10" s="42">
        <v>0</v>
      </c>
      <c r="O10" s="43">
        <v>97920</v>
      </c>
      <c r="P10" s="44">
        <v>0</v>
      </c>
      <c r="Q10" s="44">
        <v>0</v>
      </c>
      <c r="R10" s="45">
        <v>0</v>
      </c>
      <c r="S10" s="46">
        <v>0</v>
      </c>
      <c r="T10" s="39">
        <f t="shared" si="0"/>
        <v>30</v>
      </c>
      <c r="U10" s="47">
        <f t="shared" si="1"/>
        <v>1.2728515712903317</v>
      </c>
      <c r="V10" s="48">
        <f t="shared" si="2"/>
        <v>0</v>
      </c>
      <c r="W10" s="49">
        <f t="shared" si="3"/>
        <v>4.2428385709677718E-2</v>
      </c>
      <c r="X10" s="44">
        <f t="shared" si="4"/>
        <v>11277.821744356163</v>
      </c>
      <c r="Y10" s="44">
        <f t="shared" si="5"/>
        <v>0</v>
      </c>
      <c r="Z10" s="44">
        <f t="shared" si="6"/>
        <v>302310.93836341484</v>
      </c>
      <c r="AA10" s="522">
        <f t="shared" si="16"/>
        <v>11277.821744356163</v>
      </c>
      <c r="AB10" s="51">
        <f t="shared" si="7"/>
        <v>282612.82449604076</v>
      </c>
      <c r="AC10" s="44">
        <f t="shared" si="7"/>
        <v>10542.976296490755</v>
      </c>
      <c r="AD10" s="44">
        <f t="shared" si="8"/>
        <v>0</v>
      </c>
      <c r="AE10" s="44">
        <f t="shared" si="17"/>
        <v>0</v>
      </c>
      <c r="AF10" s="52">
        <f>HLOOKUP(I10,ElecAvoidedCostsWOCC!$A$5:$Q$50,G10+1,FALSE)</f>
        <v>2.3666688857668672</v>
      </c>
      <c r="AG10" s="44">
        <f t="shared" si="9"/>
        <v>0</v>
      </c>
      <c r="AH10" s="52">
        <f>HLOOKUP(I10,ElecAvoidedCostsWOCC!$A$5:$Q$50,T10+1,FALSE)</f>
        <v>2.3666688857668672</v>
      </c>
      <c r="AI10" s="44">
        <f t="shared" si="10"/>
        <v>0</v>
      </c>
      <c r="AJ10" s="44">
        <f t="shared" si="11"/>
        <v>0</v>
      </c>
      <c r="AK10" s="44">
        <f>HLOOKUP(I10,ElecAvoidedCostsWOCC!$A$5:$Q$50,G10+1,FALSE)*J10*L10</f>
        <v>0</v>
      </c>
      <c r="AL10" s="44">
        <f t="shared" si="12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3"/>
        <v>0</v>
      </c>
      <c r="AO10" s="47">
        <f t="shared" si="14"/>
        <v>0</v>
      </c>
      <c r="AP10" s="47">
        <f t="shared" si="15"/>
        <v>0</v>
      </c>
      <c r="AQ10">
        <v>2020</v>
      </c>
    </row>
    <row r="11" spans="1:43" ht="13.5" customHeight="1">
      <c r="A11" s="36" t="s">
        <v>251</v>
      </c>
      <c r="B11" s="97" t="s">
        <v>74</v>
      </c>
      <c r="C11" s="100">
        <v>18230611</v>
      </c>
      <c r="D11" s="100" t="s">
        <v>75</v>
      </c>
      <c r="E11" s="38" t="s">
        <v>1453</v>
      </c>
      <c r="F11" s="39" t="s">
        <v>1454</v>
      </c>
      <c r="G11" s="39">
        <v>1</v>
      </c>
      <c r="H11" s="39"/>
      <c r="I11" s="40" t="s">
        <v>269</v>
      </c>
      <c r="J11" s="41">
        <v>12</v>
      </c>
      <c r="K11" s="41">
        <v>0</v>
      </c>
      <c r="L11" s="41"/>
      <c r="M11" s="42">
        <v>0</v>
      </c>
      <c r="N11" s="42">
        <v>0</v>
      </c>
      <c r="O11" s="43">
        <v>0</v>
      </c>
      <c r="P11" s="44">
        <v>1088.75</v>
      </c>
      <c r="Q11" s="44">
        <v>1088.75</v>
      </c>
      <c r="R11" s="45"/>
      <c r="S11" s="46"/>
      <c r="T11" s="39">
        <f t="shared" si="0"/>
        <v>1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22">
        <f t="shared" si="16"/>
        <v>1123.0595071853904</v>
      </c>
      <c r="AB11" s="51">
        <f t="shared" si="7"/>
        <v>0</v>
      </c>
      <c r="AC11" s="44">
        <f t="shared" si="7"/>
        <v>1049.8826841033845</v>
      </c>
      <c r="AD11" s="44">
        <f t="shared" si="8"/>
        <v>0</v>
      </c>
      <c r="AE11" s="44">
        <f t="shared" si="17"/>
        <v>0</v>
      </c>
      <c r="AF11" s="52">
        <f>HLOOKUP(I11,ElecAvoidedCostsWOCC!$A$5:$Q$50,G11+1,FALSE)</f>
        <v>0.11346597036450218</v>
      </c>
      <c r="AG11" s="44">
        <f t="shared" si="9"/>
        <v>0</v>
      </c>
      <c r="AH11" s="52">
        <f>HLOOKUP(I11,ElecAvoidedCostsWOCC!$A$5:$Q$50,T11+1,FALSE)</f>
        <v>0.11346597036450218</v>
      </c>
      <c r="AI11" s="44">
        <f t="shared" si="10"/>
        <v>0</v>
      </c>
      <c r="AJ11" s="44">
        <f t="shared" si="11"/>
        <v>0</v>
      </c>
      <c r="AK11" s="44">
        <f>HLOOKUP(I11,ElecAvoidedCostsWOCC!$A$5:$Q$50,G11+1,FALSE)*J11*L11</f>
        <v>0</v>
      </c>
      <c r="AL11" s="44">
        <f t="shared" si="12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3"/>
        <v>0</v>
      </c>
      <c r="AO11" s="47">
        <f t="shared" si="14"/>
        <v>0</v>
      </c>
      <c r="AP11" s="47">
        <f t="shared" si="15"/>
        <v>0</v>
      </c>
      <c r="AQ11">
        <v>2020</v>
      </c>
    </row>
    <row r="12" spans="1:43" ht="13.5" customHeight="1">
      <c r="A12" s="55">
        <f>SUM(P6:P999)</f>
        <v>6649841.6099999975</v>
      </c>
      <c r="B12" s="97" t="s">
        <v>74</v>
      </c>
      <c r="C12" s="100">
        <v>18230611</v>
      </c>
      <c r="D12" s="100" t="s">
        <v>75</v>
      </c>
      <c r="E12" s="38" t="s">
        <v>1455</v>
      </c>
      <c r="F12" s="39" t="s">
        <v>1456</v>
      </c>
      <c r="G12" s="39">
        <v>1</v>
      </c>
      <c r="H12" s="39"/>
      <c r="I12" s="40" t="s">
        <v>269</v>
      </c>
      <c r="J12" s="41">
        <v>5</v>
      </c>
      <c r="K12" s="41">
        <v>0</v>
      </c>
      <c r="L12" s="41"/>
      <c r="M12" s="42">
        <v>0</v>
      </c>
      <c r="N12" s="42">
        <v>0</v>
      </c>
      <c r="O12" s="43">
        <v>0</v>
      </c>
      <c r="P12" s="44">
        <v>734.7</v>
      </c>
      <c r="Q12" s="44">
        <v>734.7</v>
      </c>
      <c r="R12" s="45"/>
      <c r="S12" s="46"/>
      <c r="T12" s="39">
        <f t="shared" si="0"/>
        <v>1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22">
        <f t="shared" si="16"/>
        <v>757.85241784533309</v>
      </c>
      <c r="AB12" s="51">
        <f t="shared" si="7"/>
        <v>0</v>
      </c>
      <c r="AC12" s="44">
        <f t="shared" si="7"/>
        <v>708.47192469415074</v>
      </c>
      <c r="AD12" s="44">
        <f t="shared" si="8"/>
        <v>0</v>
      </c>
      <c r="AE12" s="44">
        <f t="shared" si="17"/>
        <v>0</v>
      </c>
      <c r="AF12" s="52">
        <f>HLOOKUP(I12,ElecAvoidedCostsWOCC!$A$5:$Q$50,G12+1,FALSE)</f>
        <v>0.11346597036450218</v>
      </c>
      <c r="AG12" s="44">
        <f t="shared" si="9"/>
        <v>0</v>
      </c>
      <c r="AH12" s="52">
        <f>HLOOKUP(I12,ElecAvoidedCostsWOCC!$A$5:$Q$50,T12+1,FALSE)</f>
        <v>0.11346597036450218</v>
      </c>
      <c r="AI12" s="44">
        <f t="shared" si="10"/>
        <v>0</v>
      </c>
      <c r="AJ12" s="44">
        <f t="shared" si="11"/>
        <v>0</v>
      </c>
      <c r="AK12" s="44">
        <f>HLOOKUP(I12,ElecAvoidedCostsWOCC!$A$5:$Q$50,G12+1,FALSE)*J12*L12</f>
        <v>0</v>
      </c>
      <c r="AL12" s="44">
        <f t="shared" si="12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3"/>
        <v>0</v>
      </c>
      <c r="AO12" s="47">
        <f t="shared" si="14"/>
        <v>0</v>
      </c>
      <c r="AP12" s="47">
        <f t="shared" si="15"/>
        <v>0</v>
      </c>
      <c r="AQ12">
        <v>2020</v>
      </c>
    </row>
    <row r="13" spans="1:43" ht="13.5" customHeight="1">
      <c r="A13" s="56" t="s">
        <v>252</v>
      </c>
      <c r="B13" s="97" t="s">
        <v>74</v>
      </c>
      <c r="C13" s="100">
        <v>18230611</v>
      </c>
      <c r="D13" s="100" t="s">
        <v>75</v>
      </c>
      <c r="E13" s="38" t="s">
        <v>1459</v>
      </c>
      <c r="F13" s="39" t="s">
        <v>1460</v>
      </c>
      <c r="G13" s="39">
        <v>1</v>
      </c>
      <c r="H13" s="39"/>
      <c r="I13" s="40" t="s">
        <v>269</v>
      </c>
      <c r="J13" s="41">
        <v>8</v>
      </c>
      <c r="K13" s="41">
        <v>0</v>
      </c>
      <c r="L13" s="41"/>
      <c r="M13" s="42">
        <v>0</v>
      </c>
      <c r="N13" s="42">
        <v>0</v>
      </c>
      <c r="O13" s="43">
        <v>0</v>
      </c>
      <c r="P13" s="44">
        <v>556.53</v>
      </c>
      <c r="Q13" s="44">
        <v>556.53</v>
      </c>
      <c r="R13" s="45"/>
      <c r="S13" s="46"/>
      <c r="T13" s="39">
        <f t="shared" si="0"/>
        <v>1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22">
        <f t="shared" si="16"/>
        <v>574.06779107589921</v>
      </c>
      <c r="AB13" s="51">
        <f t="shared" si="7"/>
        <v>0</v>
      </c>
      <c r="AC13" s="44">
        <f t="shared" si="7"/>
        <v>536.66242037571203</v>
      </c>
      <c r="AD13" s="44">
        <f t="shared" si="8"/>
        <v>0</v>
      </c>
      <c r="AE13" s="44">
        <f t="shared" si="17"/>
        <v>0</v>
      </c>
      <c r="AF13" s="52">
        <f>HLOOKUP(I13,ElecAvoidedCostsWOCC!$A$5:$Q$50,G13+1,FALSE)</f>
        <v>0.11346597036450218</v>
      </c>
      <c r="AG13" s="44">
        <f t="shared" si="9"/>
        <v>0</v>
      </c>
      <c r="AH13" s="52">
        <f>HLOOKUP(I13,ElecAvoidedCostsWOCC!$A$5:$Q$50,T13+1,FALSE)</f>
        <v>0.11346597036450218</v>
      </c>
      <c r="AI13" s="44">
        <f t="shared" si="10"/>
        <v>0</v>
      </c>
      <c r="AJ13" s="44">
        <f t="shared" si="11"/>
        <v>0</v>
      </c>
      <c r="AK13" s="44">
        <f>HLOOKUP(I13,ElecAvoidedCostsWOCC!$A$5:$Q$50,G13+1,FALSE)*J13*L13</f>
        <v>0</v>
      </c>
      <c r="AL13" s="44">
        <f t="shared" si="12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3"/>
        <v>0</v>
      </c>
      <c r="AO13" s="47">
        <f t="shared" si="14"/>
        <v>0</v>
      </c>
      <c r="AP13" s="47">
        <f t="shared" si="15"/>
        <v>0</v>
      </c>
      <c r="AQ13">
        <v>2020</v>
      </c>
    </row>
    <row r="14" spans="1:43" ht="13.5" customHeight="1">
      <c r="A14" s="55">
        <f>SUM(Y6:Y999)</f>
        <v>90121.48000000001</v>
      </c>
      <c r="B14" s="97" t="s">
        <v>74</v>
      </c>
      <c r="C14" s="100">
        <v>18230611</v>
      </c>
      <c r="D14" s="100" t="s">
        <v>75</v>
      </c>
      <c r="E14" s="38" t="s">
        <v>1461</v>
      </c>
      <c r="F14" s="39" t="s">
        <v>1462</v>
      </c>
      <c r="G14" s="39">
        <v>1</v>
      </c>
      <c r="H14" s="39"/>
      <c r="I14" s="40" t="s">
        <v>269</v>
      </c>
      <c r="J14" s="41">
        <v>1</v>
      </c>
      <c r="K14" s="41">
        <v>0</v>
      </c>
      <c r="L14" s="41"/>
      <c r="M14" s="42">
        <v>0</v>
      </c>
      <c r="N14" s="42">
        <v>0</v>
      </c>
      <c r="O14" s="43">
        <v>0</v>
      </c>
      <c r="P14" s="44">
        <v>59.72</v>
      </c>
      <c r="Q14" s="44">
        <v>59.72</v>
      </c>
      <c r="R14" s="45"/>
      <c r="S14" s="46"/>
      <c r="T14" s="39">
        <f t="shared" si="0"/>
        <v>1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22">
        <f t="shared" si="16"/>
        <v>61.601941464166721</v>
      </c>
      <c r="AB14" s="51">
        <f t="shared" si="7"/>
        <v>0</v>
      </c>
      <c r="AC14" s="44">
        <f t="shared" si="7"/>
        <v>57.588054093826976</v>
      </c>
      <c r="AD14" s="44">
        <f t="shared" si="8"/>
        <v>0</v>
      </c>
      <c r="AE14" s="44">
        <f t="shared" si="17"/>
        <v>0</v>
      </c>
      <c r="AF14" s="52">
        <f>HLOOKUP(I14,ElecAvoidedCostsWOCC!$A$5:$Q$50,G14+1,FALSE)</f>
        <v>0.11346597036450218</v>
      </c>
      <c r="AG14" s="44">
        <f t="shared" si="9"/>
        <v>0</v>
      </c>
      <c r="AH14" s="52">
        <f>HLOOKUP(I14,ElecAvoidedCostsWOCC!$A$5:$Q$50,T14+1,FALSE)</f>
        <v>0.11346597036450218</v>
      </c>
      <c r="AI14" s="44">
        <f t="shared" si="10"/>
        <v>0</v>
      </c>
      <c r="AJ14" s="44">
        <f t="shared" si="11"/>
        <v>0</v>
      </c>
      <c r="AK14" s="44">
        <f>HLOOKUP(I14,ElecAvoidedCostsWOCC!$A$5:$Q$50,G14+1,FALSE)*J14*L14</f>
        <v>0</v>
      </c>
      <c r="AL14" s="44">
        <f t="shared" si="12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3"/>
        <v>0</v>
      </c>
      <c r="AO14" s="47">
        <f t="shared" si="14"/>
        <v>0</v>
      </c>
      <c r="AP14" s="47">
        <f t="shared" si="15"/>
        <v>0</v>
      </c>
      <c r="AQ14">
        <v>2020</v>
      </c>
    </row>
    <row r="15" spans="1:43" ht="13.5" customHeight="1">
      <c r="A15" s="57" t="s">
        <v>253</v>
      </c>
      <c r="B15" s="97" t="s">
        <v>74</v>
      </c>
      <c r="C15" s="100">
        <v>18230611</v>
      </c>
      <c r="D15" s="100" t="s">
        <v>75</v>
      </c>
      <c r="E15" s="38" t="s">
        <v>2463</v>
      </c>
      <c r="F15" s="39" t="s">
        <v>1464</v>
      </c>
      <c r="G15" s="39">
        <v>18</v>
      </c>
      <c r="H15" s="39"/>
      <c r="I15" s="40" t="s">
        <v>269</v>
      </c>
      <c r="J15" s="41">
        <v>17</v>
      </c>
      <c r="K15" s="41">
        <v>468</v>
      </c>
      <c r="L15" s="41"/>
      <c r="M15" s="42">
        <v>500</v>
      </c>
      <c r="N15" s="42">
        <v>500</v>
      </c>
      <c r="O15" s="43">
        <v>7488</v>
      </c>
      <c r="P15" s="44">
        <v>13072.54</v>
      </c>
      <c r="Q15" s="44">
        <v>13072.54</v>
      </c>
      <c r="R15" s="45">
        <v>0</v>
      </c>
      <c r="S15" s="46">
        <v>0</v>
      </c>
      <c r="T15" s="39">
        <f t="shared" si="0"/>
        <v>18</v>
      </c>
      <c r="U15" s="47">
        <f t="shared" si="1"/>
        <v>5.840142503567404E-2</v>
      </c>
      <c r="V15" s="48">
        <f t="shared" si="2"/>
        <v>0</v>
      </c>
      <c r="W15" s="49">
        <f t="shared" si="3"/>
        <v>3.2445236130930022E-3</v>
      </c>
      <c r="X15" s="44">
        <f t="shared" si="4"/>
        <v>862.42166280370657</v>
      </c>
      <c r="Y15" s="44">
        <f t="shared" si="5"/>
        <v>0</v>
      </c>
      <c r="Z15" s="44">
        <f t="shared" si="6"/>
        <v>23117.895286614075</v>
      </c>
      <c r="AA15" s="522">
        <f t="shared" si="16"/>
        <v>14346.913355167704</v>
      </c>
      <c r="AB15" s="51">
        <f t="shared" si="7"/>
        <v>21611.568932050177</v>
      </c>
      <c r="AC15" s="44">
        <f t="shared" si="7"/>
        <v>13412.090637718709</v>
      </c>
      <c r="AD15" s="44">
        <f t="shared" si="8"/>
        <v>0</v>
      </c>
      <c r="AE15" s="44">
        <f t="shared" si="17"/>
        <v>0</v>
      </c>
      <c r="AF15" s="52">
        <f>HLOOKUP(I15,ElecAvoidedCostsWOCC!$A$5:$Q$50,G15+1,FALSE)</f>
        <v>1.5960324064820535</v>
      </c>
      <c r="AG15" s="44">
        <f t="shared" si="9"/>
        <v>12698.033825971217</v>
      </c>
      <c r="AH15" s="52">
        <f>HLOOKUP(I15,ElecAvoidedCostsWOCC!$A$5:$Q$50,T15+1,FALSE)</f>
        <v>1.5960324064820535</v>
      </c>
      <c r="AI15" s="44">
        <f t="shared" si="10"/>
        <v>0</v>
      </c>
      <c r="AJ15" s="44">
        <f t="shared" si="11"/>
        <v>12698.033825971217</v>
      </c>
      <c r="AK15" s="44">
        <f>HLOOKUP(I15,ElecAvoidedCostsWOCC!$A$5:$Q$50,G15+1,FALSE)*J15*L15</f>
        <v>0</v>
      </c>
      <c r="AL15" s="44">
        <f t="shared" si="12"/>
        <v>12698.033825971217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12698.033825971217</v>
      </c>
      <c r="AN15" s="48">
        <f t="shared" si="13"/>
        <v>13967.83720856834</v>
      </c>
      <c r="AO15" s="47">
        <f t="shared" si="14"/>
        <v>0.58755724148929811</v>
      </c>
      <c r="AP15" s="47">
        <f t="shared" si="15"/>
        <v>1.0414362373369823</v>
      </c>
      <c r="AQ15">
        <v>2020</v>
      </c>
    </row>
    <row r="16" spans="1:43" ht="13.5" customHeight="1">
      <c r="A16" s="54">
        <f>SUM(U6:U998)</f>
        <v>22.595726391316859</v>
      </c>
      <c r="B16" s="97" t="s">
        <v>74</v>
      </c>
      <c r="C16" s="100">
        <v>18230611</v>
      </c>
      <c r="D16" s="100" t="s">
        <v>75</v>
      </c>
      <c r="E16" s="38" t="s">
        <v>2465</v>
      </c>
      <c r="F16" s="39" t="s">
        <v>1468</v>
      </c>
      <c r="G16" s="39">
        <v>20</v>
      </c>
      <c r="H16" s="39"/>
      <c r="I16" s="40" t="s">
        <v>269</v>
      </c>
      <c r="J16" s="41">
        <v>3</v>
      </c>
      <c r="K16" s="41">
        <v>1254</v>
      </c>
      <c r="L16" s="41"/>
      <c r="M16" s="42">
        <v>500</v>
      </c>
      <c r="N16" s="42">
        <v>500</v>
      </c>
      <c r="O16" s="43">
        <v>3762</v>
      </c>
      <c r="P16" s="44">
        <v>2508.23</v>
      </c>
      <c r="Q16" s="44">
        <v>2508.23</v>
      </c>
      <c r="R16" s="45">
        <v>0</v>
      </c>
      <c r="S16" s="46">
        <v>0</v>
      </c>
      <c r="T16" s="39">
        <f t="shared" si="0"/>
        <v>20</v>
      </c>
      <c r="U16" s="47">
        <f t="shared" si="1"/>
        <v>3.2601222843097952E-2</v>
      </c>
      <c r="V16" s="48">
        <f t="shared" si="2"/>
        <v>0</v>
      </c>
      <c r="W16" s="49">
        <f t="shared" si="3"/>
        <v>1.6300611421548976E-3</v>
      </c>
      <c r="X16" s="44">
        <f t="shared" si="4"/>
        <v>433.28396039897757</v>
      </c>
      <c r="Y16" s="44">
        <f t="shared" si="5"/>
        <v>0</v>
      </c>
      <c r="Z16" s="44">
        <f t="shared" si="6"/>
        <v>11614.519506976781</v>
      </c>
      <c r="AA16" s="522">
        <f t="shared" si="16"/>
        <v>3020.5551867664735</v>
      </c>
      <c r="AB16" s="51">
        <f t="shared" si="7"/>
        <v>10857.735352880976</v>
      </c>
      <c r="AC16" s="44">
        <f t="shared" si="7"/>
        <v>2823.7404756160354</v>
      </c>
      <c r="AD16" s="44">
        <f t="shared" si="8"/>
        <v>0</v>
      </c>
      <c r="AE16" s="44">
        <f t="shared" si="17"/>
        <v>0</v>
      </c>
      <c r="AF16" s="52">
        <f>HLOOKUP(I16,ElecAvoidedCostsWOCC!$A$5:$Q$50,G16+1,FALSE)</f>
        <v>1.727945421646023</v>
      </c>
      <c r="AG16" s="44">
        <f t="shared" si="9"/>
        <v>6500.5306762323389</v>
      </c>
      <c r="AH16" s="52">
        <f>HLOOKUP(I16,ElecAvoidedCostsWOCC!$A$5:$Q$50,T16+1,FALSE)</f>
        <v>1.727945421646023</v>
      </c>
      <c r="AI16" s="44">
        <f t="shared" si="10"/>
        <v>0</v>
      </c>
      <c r="AJ16" s="44">
        <f t="shared" si="11"/>
        <v>6500.5306762323389</v>
      </c>
      <c r="AK16" s="44">
        <f>HLOOKUP(I16,ElecAvoidedCostsWOCC!$A$5:$Q$50,G16+1,FALSE)*J16*L16</f>
        <v>0</v>
      </c>
      <c r="AL16" s="44">
        <f t="shared" si="12"/>
        <v>6500.5306762323389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6500.5306762323398</v>
      </c>
      <c r="AN16" s="48">
        <f t="shared" si="13"/>
        <v>7150.5837438555745</v>
      </c>
      <c r="AO16" s="47">
        <f t="shared" si="14"/>
        <v>0.59870041633566784</v>
      </c>
      <c r="AP16" s="47">
        <f t="shared" si="15"/>
        <v>2.532309114666631</v>
      </c>
      <c r="AQ16">
        <v>2020</v>
      </c>
    </row>
    <row r="17" spans="1:43" ht="13.5" customHeight="1">
      <c r="A17" s="58" t="s">
        <v>254</v>
      </c>
      <c r="B17" s="97" t="s">
        <v>74</v>
      </c>
      <c r="C17" s="100">
        <v>18230611</v>
      </c>
      <c r="D17" s="100" t="s">
        <v>75</v>
      </c>
      <c r="E17" s="38" t="s">
        <v>2467</v>
      </c>
      <c r="F17" s="39" t="s">
        <v>1474</v>
      </c>
      <c r="G17" s="39">
        <v>15</v>
      </c>
      <c r="H17" s="39"/>
      <c r="I17" s="40" t="s">
        <v>268</v>
      </c>
      <c r="J17" s="41">
        <v>41</v>
      </c>
      <c r="K17" s="41">
        <v>2696</v>
      </c>
      <c r="L17" s="41"/>
      <c r="M17" s="42">
        <v>3953.13</v>
      </c>
      <c r="N17" s="42">
        <v>3953.13</v>
      </c>
      <c r="O17" s="43">
        <v>110536</v>
      </c>
      <c r="P17" s="44">
        <v>266432.28000000003</v>
      </c>
      <c r="Q17" s="44">
        <v>266432.28000000003</v>
      </c>
      <c r="R17" s="45">
        <v>54.35</v>
      </c>
      <c r="S17" s="46">
        <v>0</v>
      </c>
      <c r="T17" s="39">
        <f t="shared" si="0"/>
        <v>15</v>
      </c>
      <c r="U17" s="47">
        <f t="shared" si="1"/>
        <v>0.71842280067477582</v>
      </c>
      <c r="V17" s="48">
        <f t="shared" si="2"/>
        <v>0</v>
      </c>
      <c r="W17" s="49">
        <f t="shared" si="3"/>
        <v>4.7894853378318385E-2</v>
      </c>
      <c r="X17" s="44">
        <f t="shared" si="4"/>
        <v>12730.854823673946</v>
      </c>
      <c r="Y17" s="44">
        <f t="shared" si="5"/>
        <v>0</v>
      </c>
      <c r="Z17" s="44">
        <f t="shared" si="6"/>
        <v>341260.64014438749</v>
      </c>
      <c r="AA17" s="522">
        <f t="shared" si="16"/>
        <v>287559.14880767395</v>
      </c>
      <c r="AB17" s="51">
        <f t="shared" si="7"/>
        <v>319024.6238612578</v>
      </c>
      <c r="AC17" s="44">
        <f t="shared" si="7"/>
        <v>268822.23876570433</v>
      </c>
      <c r="AD17" s="44">
        <f t="shared" si="8"/>
        <v>20334.133352788536</v>
      </c>
      <c r="AE17" s="44">
        <f t="shared" si="17"/>
        <v>0</v>
      </c>
      <c r="AF17" s="52">
        <f>HLOOKUP(I17,ElecAvoidedCostsWOCC!$A$5:$Q$50,G17+1,FALSE)</f>
        <v>1.3961506916040443</v>
      </c>
      <c r="AG17" s="44">
        <f t="shared" si="9"/>
        <v>154324.91284714465</v>
      </c>
      <c r="AH17" s="52">
        <f>HLOOKUP(I17,ElecAvoidedCostsWOCC!$A$5:$Q$50,T17+1,FALSE)</f>
        <v>1.3961506916040443</v>
      </c>
      <c r="AI17" s="44">
        <f t="shared" si="10"/>
        <v>0</v>
      </c>
      <c r="AJ17" s="44">
        <f t="shared" si="11"/>
        <v>154324.91284714465</v>
      </c>
      <c r="AK17" s="44">
        <f>HLOOKUP(I17,ElecAvoidedCostsWOCC!$A$5:$Q$50,G17+1,FALSE)*J17*L17</f>
        <v>0</v>
      </c>
      <c r="AL17" s="44">
        <f t="shared" si="12"/>
        <v>154324.91284714465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154324.91284714465</v>
      </c>
      <c r="AN17" s="48">
        <f t="shared" si="13"/>
        <v>190091.53748464768</v>
      </c>
      <c r="AO17" s="47">
        <f t="shared" si="14"/>
        <v>0.48373981600323041</v>
      </c>
      <c r="AP17" s="47">
        <f t="shared" si="15"/>
        <v>0.7071272762158809</v>
      </c>
      <c r="AQ17">
        <v>2020</v>
      </c>
    </row>
    <row r="18" spans="1:43" ht="13.5" customHeight="1">
      <c r="A18" s="59">
        <f>A6+A8</f>
        <v>7125204.8200000003</v>
      </c>
      <c r="B18" s="97" t="s">
        <v>74</v>
      </c>
      <c r="C18" s="100">
        <v>18230611</v>
      </c>
      <c r="D18" s="100" t="s">
        <v>75</v>
      </c>
      <c r="E18" s="38" t="s">
        <v>2468</v>
      </c>
      <c r="F18" s="39" t="s">
        <v>1476</v>
      </c>
      <c r="G18" s="39">
        <v>15</v>
      </c>
      <c r="H18" s="39"/>
      <c r="I18" s="40" t="s">
        <v>268</v>
      </c>
      <c r="J18" s="41">
        <v>205</v>
      </c>
      <c r="K18" s="41">
        <v>2066</v>
      </c>
      <c r="L18" s="41"/>
      <c r="M18" s="42">
        <v>4282.55</v>
      </c>
      <c r="N18" s="42">
        <v>4282.55</v>
      </c>
      <c r="O18" s="43">
        <v>423530</v>
      </c>
      <c r="P18" s="44">
        <v>1205773.81</v>
      </c>
      <c r="Q18" s="44">
        <v>1205773.81</v>
      </c>
      <c r="R18" s="45">
        <v>53.49</v>
      </c>
      <c r="S18" s="46">
        <v>0</v>
      </c>
      <c r="T18" s="39">
        <f t="shared" si="0"/>
        <v>15</v>
      </c>
      <c r="U18" s="47">
        <f t="shared" si="1"/>
        <v>2.7527105085201908</v>
      </c>
      <c r="V18" s="48">
        <f t="shared" si="2"/>
        <v>0</v>
      </c>
      <c r="W18" s="49">
        <f t="shared" si="3"/>
        <v>0.18351403390134605</v>
      </c>
      <c r="X18" s="44">
        <f t="shared" si="4"/>
        <v>48779.573564002916</v>
      </c>
      <c r="Y18" s="44">
        <f t="shared" si="5"/>
        <v>0</v>
      </c>
      <c r="Z18" s="44">
        <f t="shared" si="6"/>
        <v>1307575.0788915143</v>
      </c>
      <c r="AA18" s="522">
        <f t="shared" si="16"/>
        <v>1292550.632884922</v>
      </c>
      <c r="AB18" s="51">
        <f t="shared" si="7"/>
        <v>1222375.5061152792</v>
      </c>
      <c r="AC18" s="44">
        <f t="shared" si="7"/>
        <v>1208330.0298073497</v>
      </c>
      <c r="AD18" s="44">
        <f t="shared" si="8"/>
        <v>100061.89448396125</v>
      </c>
      <c r="AE18" s="44">
        <f t="shared" si="17"/>
        <v>0</v>
      </c>
      <c r="AF18" s="52">
        <f>HLOOKUP(I18,ElecAvoidedCostsWOCC!$A$5:$Q$50,G18+1,FALSE)</f>
        <v>1.3961506916040443</v>
      </c>
      <c r="AG18" s="44">
        <f t="shared" si="9"/>
        <v>591311.70241506083</v>
      </c>
      <c r="AH18" s="52">
        <f>HLOOKUP(I18,ElecAvoidedCostsWOCC!$A$5:$Q$50,T18+1,FALSE)</f>
        <v>1.3961506916040443</v>
      </c>
      <c r="AI18" s="44">
        <f t="shared" si="10"/>
        <v>0</v>
      </c>
      <c r="AJ18" s="44">
        <f t="shared" si="11"/>
        <v>591311.70241506083</v>
      </c>
      <c r="AK18" s="44">
        <f>HLOOKUP(I18,ElecAvoidedCostsWOCC!$A$5:$Q$50,G18+1,FALSE)*J18*L18</f>
        <v>0</v>
      </c>
      <c r="AL18" s="44">
        <f t="shared" si="12"/>
        <v>591311.70241506083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591311.70241506083</v>
      </c>
      <c r="AN18" s="48">
        <f t="shared" si="13"/>
        <v>750504.7671405283</v>
      </c>
      <c r="AO18" s="47">
        <f t="shared" si="14"/>
        <v>0.48373981600323046</v>
      </c>
      <c r="AP18" s="47">
        <f t="shared" si="15"/>
        <v>0.62110909157838701</v>
      </c>
      <c r="AQ18">
        <v>2020</v>
      </c>
    </row>
    <row r="19" spans="1:43" ht="13.5" customHeight="1">
      <c r="A19" s="58" t="s">
        <v>231</v>
      </c>
      <c r="B19" s="97" t="s">
        <v>74</v>
      </c>
      <c r="C19" s="100">
        <v>18230611</v>
      </c>
      <c r="D19" s="100" t="s">
        <v>75</v>
      </c>
      <c r="E19" s="38" t="s">
        <v>1477</v>
      </c>
      <c r="F19" s="39" t="s">
        <v>1478</v>
      </c>
      <c r="G19" s="39">
        <v>1</v>
      </c>
      <c r="H19" s="39"/>
      <c r="I19" s="40" t="s">
        <v>269</v>
      </c>
      <c r="J19" s="41">
        <v>4</v>
      </c>
      <c r="K19" s="41">
        <v>0</v>
      </c>
      <c r="L19" s="41"/>
      <c r="M19" s="42">
        <v>0</v>
      </c>
      <c r="N19" s="42">
        <v>0</v>
      </c>
      <c r="O19" s="43">
        <v>0</v>
      </c>
      <c r="P19" s="44">
        <v>1603.03</v>
      </c>
      <c r="Q19" s="44">
        <v>1603.03</v>
      </c>
      <c r="R19" s="45"/>
      <c r="S19" s="46"/>
      <c r="T19" s="39">
        <f t="shared" si="0"/>
        <v>1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22">
        <f t="shared" si="16"/>
        <v>1653.5458845496178</v>
      </c>
      <c r="AB19" s="51">
        <f t="shared" si="7"/>
        <v>0</v>
      </c>
      <c r="AC19" s="44">
        <f t="shared" si="7"/>
        <v>1545.8033883795622</v>
      </c>
      <c r="AD19" s="44">
        <f t="shared" si="8"/>
        <v>0</v>
      </c>
      <c r="AE19" s="44">
        <f t="shared" si="17"/>
        <v>0</v>
      </c>
      <c r="AF19" s="52">
        <f>HLOOKUP(I19,ElecAvoidedCostsWOCC!$A$5:$Q$50,G19+1,FALSE)</f>
        <v>0.11346597036450218</v>
      </c>
      <c r="AG19" s="44">
        <f t="shared" si="9"/>
        <v>0</v>
      </c>
      <c r="AH19" s="52">
        <f>HLOOKUP(I19,ElecAvoidedCostsWOCC!$A$5:$Q$50,T19+1,FALSE)</f>
        <v>0.11346597036450218</v>
      </c>
      <c r="AI19" s="44">
        <f t="shared" si="10"/>
        <v>0</v>
      </c>
      <c r="AJ19" s="44">
        <f t="shared" si="11"/>
        <v>0</v>
      </c>
      <c r="AK19" s="44">
        <f>HLOOKUP(I19,ElecAvoidedCostsWOCC!$A$5:$Q$50,G19+1,FALSE)*J19*L19</f>
        <v>0</v>
      </c>
      <c r="AL19" s="44">
        <f t="shared" si="12"/>
        <v>0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3"/>
        <v>0</v>
      </c>
      <c r="AO19" s="47">
        <f t="shared" si="14"/>
        <v>0</v>
      </c>
      <c r="AP19" s="47">
        <f t="shared" si="15"/>
        <v>0</v>
      </c>
      <c r="AQ19">
        <v>2020</v>
      </c>
    </row>
    <row r="20" spans="1:43" ht="13.5" customHeight="1">
      <c r="A20" s="59">
        <f>A8+SUM(AA6:AA905)</f>
        <v>7483974.6857204353</v>
      </c>
      <c r="B20" s="97" t="s">
        <v>74</v>
      </c>
      <c r="C20" s="100">
        <v>18230611</v>
      </c>
      <c r="D20" s="100" t="s">
        <v>75</v>
      </c>
      <c r="E20" s="38" t="s">
        <v>1479</v>
      </c>
      <c r="F20" s="39" t="s">
        <v>1480</v>
      </c>
      <c r="G20" s="39">
        <v>1</v>
      </c>
      <c r="H20" s="39"/>
      <c r="I20" s="40" t="s">
        <v>269</v>
      </c>
      <c r="J20" s="41">
        <v>1</v>
      </c>
      <c r="K20" s="41">
        <v>0</v>
      </c>
      <c r="L20" s="41"/>
      <c r="M20" s="42">
        <v>0</v>
      </c>
      <c r="N20" s="42">
        <v>0</v>
      </c>
      <c r="O20" s="43">
        <v>0</v>
      </c>
      <c r="P20" s="44">
        <v>3076.14</v>
      </c>
      <c r="Q20" s="44">
        <v>3076.14</v>
      </c>
      <c r="R20" s="45"/>
      <c r="S20" s="46"/>
      <c r="T20" s="39">
        <f t="shared" si="0"/>
        <v>1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22">
        <f t="shared" si="16"/>
        <v>3173.0776325449065</v>
      </c>
      <c r="AB20" s="51">
        <f t="shared" si="7"/>
        <v>0</v>
      </c>
      <c r="AC20" s="44">
        <f t="shared" si="7"/>
        <v>2966.3247943768406</v>
      </c>
      <c r="AD20" s="44">
        <f t="shared" si="8"/>
        <v>0</v>
      </c>
      <c r="AE20" s="44">
        <f t="shared" si="17"/>
        <v>0</v>
      </c>
      <c r="AF20" s="52">
        <f>HLOOKUP(I20,ElecAvoidedCostsWOCC!$A$5:$Q$50,G20+1,FALSE)</f>
        <v>0.11346597036450218</v>
      </c>
      <c r="AG20" s="44">
        <f t="shared" si="9"/>
        <v>0</v>
      </c>
      <c r="AH20" s="52">
        <f>HLOOKUP(I20,ElecAvoidedCostsWOCC!$A$5:$Q$50,T20+1,FALSE)</f>
        <v>0.11346597036450218</v>
      </c>
      <c r="AI20" s="44">
        <f t="shared" si="10"/>
        <v>0</v>
      </c>
      <c r="AJ20" s="44">
        <f t="shared" si="11"/>
        <v>0</v>
      </c>
      <c r="AK20" s="44">
        <f>HLOOKUP(I20,ElecAvoidedCostsWOCC!$A$5:$Q$50,G20+1,FALSE)*J20*L20</f>
        <v>0</v>
      </c>
      <c r="AL20" s="44">
        <f t="shared" si="12"/>
        <v>0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3"/>
        <v>0</v>
      </c>
      <c r="AO20" s="47">
        <f t="shared" si="14"/>
        <v>0</v>
      </c>
      <c r="AP20" s="47">
        <f t="shared" si="15"/>
        <v>0</v>
      </c>
      <c r="AQ20">
        <v>2020</v>
      </c>
    </row>
    <row r="21" spans="1:43" ht="13.5" customHeight="1">
      <c r="A21" s="58" t="s">
        <v>245</v>
      </c>
      <c r="B21" s="97" t="s">
        <v>74</v>
      </c>
      <c r="C21" s="100">
        <v>18230611</v>
      </c>
      <c r="D21" s="100" t="s">
        <v>75</v>
      </c>
      <c r="E21" s="38" t="s">
        <v>2473</v>
      </c>
      <c r="F21" s="39" t="s">
        <v>2474</v>
      </c>
      <c r="G21" s="39">
        <v>20</v>
      </c>
      <c r="H21" s="39"/>
      <c r="I21" s="40" t="s">
        <v>269</v>
      </c>
      <c r="J21" s="41">
        <v>9</v>
      </c>
      <c r="K21" s="41">
        <v>0</v>
      </c>
      <c r="L21" s="41"/>
      <c r="M21" s="42">
        <v>0</v>
      </c>
      <c r="N21" s="42">
        <v>0</v>
      </c>
      <c r="O21" s="43">
        <v>0</v>
      </c>
      <c r="P21" s="44">
        <v>0</v>
      </c>
      <c r="Q21" s="44">
        <v>0</v>
      </c>
      <c r="R21" s="45">
        <v>0</v>
      </c>
      <c r="S21" s="46">
        <v>0</v>
      </c>
      <c r="T21" s="39">
        <f t="shared" si="0"/>
        <v>20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22">
        <f t="shared" si="16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8"/>
        <v>0</v>
      </c>
      <c r="AE21" s="44">
        <f t="shared" si="17"/>
        <v>0</v>
      </c>
      <c r="AF21" s="52">
        <f>HLOOKUP(I21,ElecAvoidedCostsWOCC!$A$5:$Q$50,G21+1,FALSE)</f>
        <v>1.727945421646023</v>
      </c>
      <c r="AG21" s="44">
        <f t="shared" si="9"/>
        <v>0</v>
      </c>
      <c r="AH21" s="52">
        <f>HLOOKUP(I21,ElecAvoidedCostsWOCC!$A$5:$Q$50,T21+1,FALSE)</f>
        <v>1.727945421646023</v>
      </c>
      <c r="AI21" s="44">
        <f t="shared" si="10"/>
        <v>0</v>
      </c>
      <c r="AJ21" s="44">
        <f t="shared" si="11"/>
        <v>0</v>
      </c>
      <c r="AK21" s="44">
        <f>HLOOKUP(I21,ElecAvoidedCostsWOCC!$A$5:$Q$50,G21+1,FALSE)*J21*L21</f>
        <v>0</v>
      </c>
      <c r="AL21" s="44">
        <f t="shared" si="12"/>
        <v>0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3"/>
        <v>0</v>
      </c>
      <c r="AO21" s="47">
        <f t="shared" si="14"/>
        <v>0</v>
      </c>
      <c r="AP21" s="47" t="e">
        <f t="shared" si="15"/>
        <v>#DIV/0!</v>
      </c>
      <c r="AQ21">
        <v>2020</v>
      </c>
    </row>
    <row r="22" spans="1:43" ht="13.5" customHeight="1">
      <c r="A22" s="60">
        <f>(SUM(AM6:AM999)/(SUM(AB6:AB999)))</f>
        <v>0.59358606176876338</v>
      </c>
      <c r="B22" s="97" t="s">
        <v>74</v>
      </c>
      <c r="C22" s="100">
        <v>18230611</v>
      </c>
      <c r="D22" s="100" t="s">
        <v>75</v>
      </c>
      <c r="E22" s="38" t="s">
        <v>1489</v>
      </c>
      <c r="F22" s="39" t="s">
        <v>1490</v>
      </c>
      <c r="G22" s="39">
        <v>1</v>
      </c>
      <c r="H22" s="39"/>
      <c r="I22" s="40" t="s">
        <v>269</v>
      </c>
      <c r="J22" s="41">
        <v>19</v>
      </c>
      <c r="K22" s="41">
        <v>0</v>
      </c>
      <c r="L22" s="41"/>
      <c r="M22" s="42">
        <v>0</v>
      </c>
      <c r="N22" s="42">
        <v>0</v>
      </c>
      <c r="O22" s="43">
        <v>0</v>
      </c>
      <c r="P22" s="44">
        <v>9016.86</v>
      </c>
      <c r="Q22" s="44">
        <v>9016.86</v>
      </c>
      <c r="R22" s="45"/>
      <c r="S22" s="46"/>
      <c r="T22" s="39">
        <f t="shared" si="0"/>
        <v>1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22">
        <f t="shared" si="16"/>
        <v>9301.0060601236819</v>
      </c>
      <c r="AB22" s="51">
        <f t="shared" si="18"/>
        <v>0</v>
      </c>
      <c r="AC22" s="44">
        <f t="shared" si="18"/>
        <v>8694.9668693312906</v>
      </c>
      <c r="AD22" s="44">
        <f t="shared" si="8"/>
        <v>0</v>
      </c>
      <c r="AE22" s="44">
        <f t="shared" si="17"/>
        <v>0</v>
      </c>
      <c r="AF22" s="52">
        <f>HLOOKUP(I22,ElecAvoidedCostsWOCC!$A$5:$Q$50,G22+1,FALSE)</f>
        <v>0.11346597036450218</v>
      </c>
      <c r="AG22" s="44">
        <f t="shared" si="9"/>
        <v>0</v>
      </c>
      <c r="AH22" s="52">
        <f>HLOOKUP(I22,ElecAvoidedCostsWOCC!$A$5:$Q$50,T22+1,FALSE)</f>
        <v>0.11346597036450218</v>
      </c>
      <c r="AI22" s="44">
        <f t="shared" si="10"/>
        <v>0</v>
      </c>
      <c r="AJ22" s="44">
        <f t="shared" si="11"/>
        <v>0</v>
      </c>
      <c r="AK22" s="44">
        <f>HLOOKUP(I22,ElecAvoidedCostsWOCC!$A$5:$Q$50,G22+1,FALSE)*J22*L22</f>
        <v>0</v>
      </c>
      <c r="AL22" s="44">
        <f t="shared" si="12"/>
        <v>0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3"/>
        <v>0</v>
      </c>
      <c r="AO22" s="47">
        <f t="shared" si="14"/>
        <v>0</v>
      </c>
      <c r="AP22" s="47">
        <f t="shared" si="15"/>
        <v>0</v>
      </c>
      <c r="AQ22">
        <v>2020</v>
      </c>
    </row>
    <row r="23" spans="1:43" ht="13.5" customHeight="1">
      <c r="A23" s="58" t="s">
        <v>246</v>
      </c>
      <c r="B23" s="97" t="s">
        <v>74</v>
      </c>
      <c r="C23" s="100">
        <v>18230611</v>
      </c>
      <c r="D23" s="100" t="s">
        <v>75</v>
      </c>
      <c r="E23" s="38" t="s">
        <v>1491</v>
      </c>
      <c r="F23" s="39" t="s">
        <v>1492</v>
      </c>
      <c r="G23" s="39">
        <v>1</v>
      </c>
      <c r="H23" s="39"/>
      <c r="I23" s="40" t="s">
        <v>269</v>
      </c>
      <c r="J23" s="41">
        <v>7</v>
      </c>
      <c r="K23" s="41">
        <v>0</v>
      </c>
      <c r="L23" s="41"/>
      <c r="M23" s="42">
        <v>0</v>
      </c>
      <c r="N23" s="42">
        <v>0</v>
      </c>
      <c r="O23" s="43">
        <v>0</v>
      </c>
      <c r="P23" s="44">
        <v>2964.61</v>
      </c>
      <c r="Q23" s="44">
        <v>2964.61</v>
      </c>
      <c r="R23" s="45"/>
      <c r="S23" s="46"/>
      <c r="T23" s="39">
        <f t="shared" si="0"/>
        <v>1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22">
        <f t="shared" si="16"/>
        <v>3058.0330154735984</v>
      </c>
      <c r="AB23" s="51">
        <f t="shared" si="18"/>
        <v>0</v>
      </c>
      <c r="AC23" s="44">
        <f t="shared" si="18"/>
        <v>2858.7763068837976</v>
      </c>
      <c r="AD23" s="44">
        <f t="shared" si="8"/>
        <v>0</v>
      </c>
      <c r="AE23" s="44">
        <f t="shared" si="17"/>
        <v>0</v>
      </c>
      <c r="AF23" s="52">
        <f>HLOOKUP(I23,ElecAvoidedCostsWOCC!$A$5:$Q$50,G23+1,FALSE)</f>
        <v>0.11346597036450218</v>
      </c>
      <c r="AG23" s="44">
        <f t="shared" si="9"/>
        <v>0</v>
      </c>
      <c r="AH23" s="52">
        <f>HLOOKUP(I23,ElecAvoidedCostsWOCC!$A$5:$Q$50,T23+1,FALSE)</f>
        <v>0.11346597036450218</v>
      </c>
      <c r="AI23" s="44">
        <f t="shared" si="10"/>
        <v>0</v>
      </c>
      <c r="AJ23" s="44">
        <f t="shared" si="11"/>
        <v>0</v>
      </c>
      <c r="AK23" s="44">
        <f>HLOOKUP(I23,ElecAvoidedCostsWOCC!$A$5:$Q$50,G23+1,FALSE)*J23*L23</f>
        <v>0</v>
      </c>
      <c r="AL23" s="44">
        <f t="shared" si="12"/>
        <v>0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3"/>
        <v>0</v>
      </c>
      <c r="AO23" s="47">
        <f t="shared" si="14"/>
        <v>0</v>
      </c>
      <c r="AP23" s="47">
        <f t="shared" si="15"/>
        <v>0</v>
      </c>
      <c r="AQ23">
        <v>2020</v>
      </c>
    </row>
    <row r="24" spans="1:43" ht="13.5" customHeight="1">
      <c r="A24" s="60">
        <f>(SUM(AN6:AN999)/SUM(AC6:AC999))</f>
        <v>0.82645423176738519</v>
      </c>
      <c r="B24" s="97" t="s">
        <v>74</v>
      </c>
      <c r="C24" s="100">
        <v>18230611</v>
      </c>
      <c r="D24" s="100" t="s">
        <v>75</v>
      </c>
      <c r="E24" s="38" t="s">
        <v>2475</v>
      </c>
      <c r="F24" s="39" t="s">
        <v>1494</v>
      </c>
      <c r="G24" s="39">
        <v>30</v>
      </c>
      <c r="H24" s="39"/>
      <c r="I24" s="40" t="s">
        <v>269</v>
      </c>
      <c r="J24" s="41">
        <v>215</v>
      </c>
      <c r="K24" s="41">
        <v>4.6500000000000004</v>
      </c>
      <c r="L24" s="41"/>
      <c r="M24" s="42">
        <v>6.46</v>
      </c>
      <c r="N24" s="42">
        <v>6.46</v>
      </c>
      <c r="O24" s="43">
        <v>999.75</v>
      </c>
      <c r="P24" s="44">
        <v>2130.6799999999998</v>
      </c>
      <c r="Q24" s="44">
        <v>2130.6799999999998</v>
      </c>
      <c r="R24" s="45">
        <v>0</v>
      </c>
      <c r="S24" s="46"/>
      <c r="T24" s="39">
        <f t="shared" si="0"/>
        <v>30</v>
      </c>
      <c r="U24" s="47">
        <f t="shared" si="1"/>
        <v>1.2995642957490901E-2</v>
      </c>
      <c r="V24" s="48">
        <f t="shared" si="2"/>
        <v>0</v>
      </c>
      <c r="W24" s="49">
        <f t="shared" si="3"/>
        <v>4.3318809858303002E-4</v>
      </c>
      <c r="X24" s="44">
        <f t="shared" si="4"/>
        <v>115.14503971527853</v>
      </c>
      <c r="Y24" s="44">
        <f t="shared" si="5"/>
        <v>0</v>
      </c>
      <c r="Z24" s="44">
        <f t="shared" si="6"/>
        <v>3086.5539279904406</v>
      </c>
      <c r="AA24" s="522">
        <f t="shared" si="16"/>
        <v>2312.9686271042729</v>
      </c>
      <c r="AB24" s="51">
        <f t="shared" si="18"/>
        <v>2885.4388407875481</v>
      </c>
      <c r="AC24" s="44">
        <f t="shared" si="18"/>
        <v>2162.2591634142964</v>
      </c>
      <c r="AD24" s="44">
        <f t="shared" si="8"/>
        <v>0</v>
      </c>
      <c r="AE24" s="44">
        <f t="shared" si="17"/>
        <v>0</v>
      </c>
      <c r="AF24" s="52">
        <f>HLOOKUP(I24,ElecAvoidedCostsWOCC!$A$5:$Q$50,G24+1,FALSE)</f>
        <v>2.3666688857668672</v>
      </c>
      <c r="AG24" s="44">
        <f t="shared" si="9"/>
        <v>2366.0772185454257</v>
      </c>
      <c r="AH24" s="52">
        <f>HLOOKUP(I24,ElecAvoidedCostsWOCC!$A$5:$Q$50,T24+1,FALSE)</f>
        <v>2.3666688857668672</v>
      </c>
      <c r="AI24" s="44">
        <f t="shared" si="10"/>
        <v>0</v>
      </c>
      <c r="AJ24" s="44">
        <f t="shared" si="11"/>
        <v>2366.0772185454257</v>
      </c>
      <c r="AK24" s="44">
        <f>HLOOKUP(I24,ElecAvoidedCostsWOCC!$A$5:$Q$50,G24+1,FALSE)*J24*L24</f>
        <v>0</v>
      </c>
      <c r="AL24" s="44">
        <f t="shared" si="12"/>
        <v>2366.0772185454257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2366.0772185454257</v>
      </c>
      <c r="AN24" s="48">
        <f t="shared" si="13"/>
        <v>2602.6849403999686</v>
      </c>
      <c r="AO24" s="47">
        <f t="shared" si="14"/>
        <v>0.8200060195694987</v>
      </c>
      <c r="AP24" s="47">
        <f t="shared" si="15"/>
        <v>1.2036877837947149</v>
      </c>
      <c r="AQ24">
        <v>2020</v>
      </c>
    </row>
    <row r="25" spans="1:43" ht="13.5" customHeight="1">
      <c r="B25" s="97" t="s">
        <v>74</v>
      </c>
      <c r="C25" s="100">
        <v>18230611</v>
      </c>
      <c r="D25" s="100" t="s">
        <v>75</v>
      </c>
      <c r="E25" s="38" t="s">
        <v>2477</v>
      </c>
      <c r="F25" s="39" t="s">
        <v>1498</v>
      </c>
      <c r="G25" s="39">
        <v>45</v>
      </c>
      <c r="H25" s="39"/>
      <c r="I25" s="40" t="s">
        <v>269</v>
      </c>
      <c r="J25" s="41">
        <v>3859</v>
      </c>
      <c r="K25" s="41">
        <v>0.61</v>
      </c>
      <c r="L25" s="41"/>
      <c r="M25" s="42">
        <v>1.87</v>
      </c>
      <c r="N25" s="42">
        <v>1.87</v>
      </c>
      <c r="O25" s="43">
        <v>2353.9899999999998</v>
      </c>
      <c r="P25" s="44">
        <v>13654.37</v>
      </c>
      <c r="Q25" s="44">
        <v>13654.37</v>
      </c>
      <c r="R25" s="45">
        <v>0.01</v>
      </c>
      <c r="S25" s="46">
        <v>0</v>
      </c>
      <c r="T25" s="39">
        <f t="shared" ref="T25:T88" si="19">G25+H25</f>
        <v>45</v>
      </c>
      <c r="U25" s="47">
        <f t="shared" ref="U25:U88" si="20">(O25/$A$10)*T25</f>
        <v>4.5898895072024014E-2</v>
      </c>
      <c r="V25" s="48">
        <f t="shared" ref="V25:V88" si="21">N25-M25</f>
        <v>0</v>
      </c>
      <c r="W25" s="49">
        <f t="shared" ref="W25:W88" si="22">(O25/A$10)</f>
        <v>1.0199754460449781E-3</v>
      </c>
      <c r="X25" s="44">
        <f t="shared" ref="X25:X88" si="23">W25*A$8</f>
        <v>271.11805155225659</v>
      </c>
      <c r="Y25" s="44">
        <f t="shared" ref="Y25:Y88" si="24">Q25-P25</f>
        <v>0</v>
      </c>
      <c r="Z25" s="44">
        <f t="shared" ref="Z25:Z88" si="25">X25+(A$6*W25)</f>
        <v>7267.533964441328</v>
      </c>
      <c r="AA25" s="522">
        <f t="shared" si="16"/>
        <v>14355.774807581631</v>
      </c>
      <c r="AB25" s="51">
        <f t="shared" ref="AB25:AB88" si="26">Z25/(1+ElecDiscountRate)^1</f>
        <v>6793.9926749942297</v>
      </c>
      <c r="AC25" s="44">
        <f t="shared" ref="AC25:AC88" si="27">AA25/(1+ElecDiscountRate)^1</f>
        <v>13420.374691578601</v>
      </c>
      <c r="AD25" s="44">
        <f t="shared" ref="AD25:AD88" si="28">-PV(ElecDiscountRate,T25,R25)*J25</f>
        <v>526.96216803203617</v>
      </c>
      <c r="AE25" s="44">
        <f t="shared" ref="AE25:AE88" si="29">-PV(ElecDiscountRate,T25,S25)*J25</f>
        <v>0</v>
      </c>
      <c r="AF25" s="52">
        <f>HLOOKUP(I25,ElecAvoidedCostsWOCC!$A$5:$Q$50,G25+1,FALSE)</f>
        <v>3.4276422079642828</v>
      </c>
      <c r="AG25" s="44">
        <f t="shared" ref="AG25:AG88" si="30">AF25*J25*K25</f>
        <v>8068.6354811258416</v>
      </c>
      <c r="AH25" s="52">
        <f>HLOOKUP(I25,ElecAvoidedCostsWOCC!$A$5:$Q$50,T25+1,FALSE)</f>
        <v>3.4276422079642828</v>
      </c>
      <c r="AI25" s="44">
        <f t="shared" ref="AI25:AI88" si="31">AH25*J25*L25</f>
        <v>0</v>
      </c>
      <c r="AJ25" s="44">
        <f t="shared" ref="AJ25:AJ88" si="32">AG25+AI25</f>
        <v>8068.6354811258416</v>
      </c>
      <c r="AK25" s="44">
        <f>HLOOKUP(I25,ElecAvoidedCostsWOCC!$A$5:$Q$50,G25+1,FALSE)*J25*L25</f>
        <v>0</v>
      </c>
      <c r="AL25" s="44">
        <f t="shared" ref="AL25:AL88" si="33">AG25+AI25-AK25</f>
        <v>8068.6354811258416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8068.6354811258416</v>
      </c>
      <c r="AN25" s="48">
        <f t="shared" ref="AN25:AN88" si="34">AM25*1.1+AD25+AE25</f>
        <v>9402.4611972704624</v>
      </c>
      <c r="AO25" s="47">
        <f t="shared" ref="AO25:AO88" si="35">IFERROR(AM25/AB25,0)</f>
        <v>1.1876132146599194</v>
      </c>
      <c r="AP25" s="47">
        <f t="shared" ref="AP25:AP88" si="36">AN25/AC25</f>
        <v>0.70061093027235566</v>
      </c>
      <c r="AQ25">
        <v>2020</v>
      </c>
    </row>
    <row r="26" spans="1:43" ht="13.5" customHeight="1">
      <c r="B26" s="97" t="s">
        <v>74</v>
      </c>
      <c r="C26" s="100">
        <v>18230611</v>
      </c>
      <c r="D26" s="100" t="s">
        <v>75</v>
      </c>
      <c r="E26" s="38" t="s">
        <v>2478</v>
      </c>
      <c r="F26" s="39" t="s">
        <v>1500</v>
      </c>
      <c r="G26" s="39">
        <v>25</v>
      </c>
      <c r="H26" s="39"/>
      <c r="I26" s="40" t="s">
        <v>269</v>
      </c>
      <c r="J26" s="41">
        <v>11727</v>
      </c>
      <c r="K26" s="41">
        <v>0.46</v>
      </c>
      <c r="L26" s="41"/>
      <c r="M26" s="42">
        <v>2.37</v>
      </c>
      <c r="N26" s="42">
        <v>2.37</v>
      </c>
      <c r="O26" s="43">
        <v>5394.42</v>
      </c>
      <c r="P26" s="44">
        <v>44893.16</v>
      </c>
      <c r="Q26" s="44">
        <v>44893.16</v>
      </c>
      <c r="R26" s="45">
        <v>0</v>
      </c>
      <c r="S26" s="46">
        <v>0</v>
      </c>
      <c r="T26" s="39">
        <f t="shared" si="19"/>
        <v>25</v>
      </c>
      <c r="U26" s="47">
        <f t="shared" si="20"/>
        <v>5.8434572212009719E-2</v>
      </c>
      <c r="V26" s="48">
        <f t="shared" si="21"/>
        <v>0</v>
      </c>
      <c r="W26" s="49">
        <f t="shared" si="22"/>
        <v>2.3373828884803889E-3</v>
      </c>
      <c r="X26" s="44">
        <f t="shared" si="23"/>
        <v>621.29602914817985</v>
      </c>
      <c r="Y26" s="44">
        <f t="shared" si="24"/>
        <v>0</v>
      </c>
      <c r="Z26" s="44">
        <f t="shared" si="25"/>
        <v>16654.331823185992</v>
      </c>
      <c r="AA26" s="522">
        <f t="shared" si="16"/>
        <v>46929.162982622242</v>
      </c>
      <c r="AB26" s="51">
        <f t="shared" si="26"/>
        <v>15569.161281841629</v>
      </c>
      <c r="AC26" s="44">
        <f t="shared" si="27"/>
        <v>43871.331198113709</v>
      </c>
      <c r="AD26" s="44">
        <f t="shared" si="28"/>
        <v>0</v>
      </c>
      <c r="AE26" s="44">
        <f t="shared" si="29"/>
        <v>0</v>
      </c>
      <c r="AF26" s="52">
        <f>HLOOKUP(I26,ElecAvoidedCostsWOCC!$A$5:$Q$50,G26+1,FALSE)</f>
        <v>2.0508206305871441</v>
      </c>
      <c r="AG26" s="44">
        <f t="shared" si="30"/>
        <v>11062.987826051902</v>
      </c>
      <c r="AH26" s="52">
        <f>HLOOKUP(I26,ElecAvoidedCostsWOCC!$A$5:$Q$50,T26+1,FALSE)</f>
        <v>2.0508206305871441</v>
      </c>
      <c r="AI26" s="44">
        <f t="shared" si="31"/>
        <v>0</v>
      </c>
      <c r="AJ26" s="44">
        <f t="shared" si="32"/>
        <v>11062.987826051902</v>
      </c>
      <c r="AK26" s="44">
        <f>HLOOKUP(I26,ElecAvoidedCostsWOCC!$A$5:$Q$50,G26+1,FALSE)*J26*L26</f>
        <v>0</v>
      </c>
      <c r="AL26" s="44">
        <f t="shared" si="33"/>
        <v>11062.987826051902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11062.987826051902</v>
      </c>
      <c r="AN26" s="48">
        <f t="shared" si="34"/>
        <v>12169.286608657092</v>
      </c>
      <c r="AO26" s="47">
        <f t="shared" si="35"/>
        <v>0.71057057125836998</v>
      </c>
      <c r="AP26" s="47">
        <f t="shared" si="36"/>
        <v>0.27738585259022919</v>
      </c>
      <c r="AQ26">
        <v>2020</v>
      </c>
    </row>
    <row r="27" spans="1:43" ht="13.5" customHeight="1">
      <c r="B27" s="97" t="s">
        <v>74</v>
      </c>
      <c r="C27" s="100">
        <v>18230611</v>
      </c>
      <c r="D27" s="100" t="s">
        <v>75</v>
      </c>
      <c r="E27" s="38" t="s">
        <v>2480</v>
      </c>
      <c r="F27" s="39" t="s">
        <v>1504</v>
      </c>
      <c r="G27" s="39">
        <v>45</v>
      </c>
      <c r="H27" s="39"/>
      <c r="I27" s="40" t="s">
        <v>267</v>
      </c>
      <c r="J27" s="41">
        <v>23337</v>
      </c>
      <c r="K27" s="41">
        <v>1.56</v>
      </c>
      <c r="L27" s="41"/>
      <c r="M27" s="42">
        <v>2.2000000000000002</v>
      </c>
      <c r="N27" s="42">
        <v>2.2000000000000002</v>
      </c>
      <c r="O27" s="43">
        <v>36405.72</v>
      </c>
      <c r="P27" s="44">
        <v>66743.820000000007</v>
      </c>
      <c r="Q27" s="44">
        <v>66743.820000000007</v>
      </c>
      <c r="R27" s="45">
        <v>0</v>
      </c>
      <c r="S27" s="46"/>
      <c r="T27" s="39">
        <f t="shared" si="19"/>
        <v>45</v>
      </c>
      <c r="U27" s="47">
        <f t="shared" si="20"/>
        <v>0.70985107086329435</v>
      </c>
      <c r="V27" s="48">
        <f t="shared" si="21"/>
        <v>0</v>
      </c>
      <c r="W27" s="49">
        <f t="shared" si="22"/>
        <v>1.577446824140654E-2</v>
      </c>
      <c r="X27" s="44">
        <f t="shared" si="23"/>
        <v>4192.9863218437713</v>
      </c>
      <c r="Y27" s="44">
        <f t="shared" si="24"/>
        <v>0</v>
      </c>
      <c r="Z27" s="44">
        <f t="shared" si="25"/>
        <v>112396.3171466068</v>
      </c>
      <c r="AA27" s="522">
        <f t="shared" si="16"/>
        <v>73040.087673733928</v>
      </c>
      <c r="AB27" s="51">
        <f t="shared" si="26"/>
        <v>105072.74670151144</v>
      </c>
      <c r="AC27" s="44">
        <f t="shared" si="27"/>
        <v>68280.908360974034</v>
      </c>
      <c r="AD27" s="44">
        <f t="shared" si="28"/>
        <v>0</v>
      </c>
      <c r="AE27" s="44">
        <f t="shared" si="29"/>
        <v>0</v>
      </c>
      <c r="AF27" s="52">
        <f>HLOOKUP(I27,ElecAvoidedCostsWOCC!$A$5:$Q$50,G27+1,FALSE)</f>
        <v>3.1346149049506007</v>
      </c>
      <c r="AG27" s="44">
        <f t="shared" si="30"/>
        <v>114117.91253745818</v>
      </c>
      <c r="AH27" s="52">
        <f>HLOOKUP(I27,ElecAvoidedCostsWOCC!$A$5:$Q$50,T27+1,FALSE)</f>
        <v>3.1346149049506007</v>
      </c>
      <c r="AI27" s="44">
        <f t="shared" si="31"/>
        <v>0</v>
      </c>
      <c r="AJ27" s="44">
        <f t="shared" si="32"/>
        <v>114117.91253745818</v>
      </c>
      <c r="AK27" s="44">
        <f>HLOOKUP(I27,ElecAvoidedCostsWOCC!$A$5:$Q$50,G27+1,FALSE)*J27*L27</f>
        <v>0</v>
      </c>
      <c r="AL27" s="44">
        <f t="shared" si="33"/>
        <v>114117.91253745818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114117.91253745818</v>
      </c>
      <c r="AN27" s="48">
        <f t="shared" si="34"/>
        <v>125529.70379120401</v>
      </c>
      <c r="AO27" s="47">
        <f t="shared" si="35"/>
        <v>1.0860847947721597</v>
      </c>
      <c r="AP27" s="47">
        <f t="shared" si="36"/>
        <v>1.8384304896410917</v>
      </c>
      <c r="AQ27">
        <v>2020</v>
      </c>
    </row>
    <row r="28" spans="1:43" ht="13.5" customHeight="1">
      <c r="B28" s="97" t="s">
        <v>74</v>
      </c>
      <c r="C28" s="100">
        <v>18230611</v>
      </c>
      <c r="D28" s="100" t="s">
        <v>75</v>
      </c>
      <c r="E28" s="38" t="s">
        <v>2481</v>
      </c>
      <c r="F28" s="39" t="s">
        <v>1506</v>
      </c>
      <c r="G28" s="39">
        <v>25</v>
      </c>
      <c r="H28" s="39"/>
      <c r="I28" s="40" t="s">
        <v>269</v>
      </c>
      <c r="J28" s="41">
        <v>21372</v>
      </c>
      <c r="K28" s="41">
        <v>0.52</v>
      </c>
      <c r="L28" s="41"/>
      <c r="M28" s="42">
        <v>2.7</v>
      </c>
      <c r="N28" s="42">
        <v>2.7</v>
      </c>
      <c r="O28" s="43">
        <v>11113.44</v>
      </c>
      <c r="P28" s="44">
        <v>112767.2</v>
      </c>
      <c r="Q28" s="44">
        <v>112767.2</v>
      </c>
      <c r="R28" s="45">
        <v>0.04</v>
      </c>
      <c r="S28" s="46"/>
      <c r="T28" s="39">
        <f t="shared" si="19"/>
        <v>25</v>
      </c>
      <c r="U28" s="47">
        <f t="shared" si="20"/>
        <v>0.12038534489413827</v>
      </c>
      <c r="V28" s="48">
        <f t="shared" si="21"/>
        <v>0</v>
      </c>
      <c r="W28" s="49">
        <f t="shared" si="22"/>
        <v>4.8154137957655309E-3</v>
      </c>
      <c r="X28" s="44">
        <f t="shared" si="23"/>
        <v>1279.9774845445013</v>
      </c>
      <c r="Y28" s="44">
        <f t="shared" si="24"/>
        <v>0</v>
      </c>
      <c r="Z28" s="44">
        <f t="shared" si="25"/>
        <v>34310.809587883057</v>
      </c>
      <c r="AA28" s="522">
        <f t="shared" si="16"/>
        <v>117600.78213086033</v>
      </c>
      <c r="AB28" s="51">
        <f t="shared" si="26"/>
        <v>32075.170223317804</v>
      </c>
      <c r="AC28" s="44">
        <f t="shared" si="27"/>
        <v>109938.09678494935</v>
      </c>
      <c r="AD28" s="44">
        <f t="shared" si="28"/>
        <v>9989.3971337173534</v>
      </c>
      <c r="AE28" s="44">
        <f t="shared" si="29"/>
        <v>0</v>
      </c>
      <c r="AF28" s="52">
        <f>HLOOKUP(I28,ElecAvoidedCostsWOCC!$A$5:$Q$50,G28+1,FALSE)</f>
        <v>2.0508206305871441</v>
      </c>
      <c r="AG28" s="44">
        <f t="shared" si="30"/>
        <v>22791.672028792393</v>
      </c>
      <c r="AH28" s="52">
        <f>HLOOKUP(I28,ElecAvoidedCostsWOCC!$A$5:$Q$50,T28+1,FALSE)</f>
        <v>2.0508206305871441</v>
      </c>
      <c r="AI28" s="44">
        <f t="shared" si="31"/>
        <v>0</v>
      </c>
      <c r="AJ28" s="44">
        <f t="shared" si="32"/>
        <v>22791.672028792393</v>
      </c>
      <c r="AK28" s="44">
        <f>HLOOKUP(I28,ElecAvoidedCostsWOCC!$A$5:$Q$50,G28+1,FALSE)*J28*L28</f>
        <v>0</v>
      </c>
      <c r="AL28" s="44">
        <f t="shared" si="33"/>
        <v>22791.672028792393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22791.672028792393</v>
      </c>
      <c r="AN28" s="48">
        <f t="shared" si="34"/>
        <v>35060.236365388992</v>
      </c>
      <c r="AO28" s="47">
        <f t="shared" si="35"/>
        <v>0.71057057125837009</v>
      </c>
      <c r="AP28" s="47">
        <f t="shared" si="36"/>
        <v>0.31890888955418756</v>
      </c>
      <c r="AQ28">
        <v>2020</v>
      </c>
    </row>
    <row r="29" spans="1:43">
      <c r="B29" s="97" t="s">
        <v>74</v>
      </c>
      <c r="C29" s="100">
        <v>18230611</v>
      </c>
      <c r="D29" s="100" t="s">
        <v>75</v>
      </c>
      <c r="E29" s="38" t="s">
        <v>2482</v>
      </c>
      <c r="F29" s="39" t="s">
        <v>1510</v>
      </c>
      <c r="G29" s="39">
        <v>45</v>
      </c>
      <c r="H29" s="39"/>
      <c r="I29" s="40" t="s">
        <v>269</v>
      </c>
      <c r="J29" s="41">
        <v>16285</v>
      </c>
      <c r="K29" s="41">
        <v>0.68</v>
      </c>
      <c r="L29" s="41"/>
      <c r="M29" s="42">
        <v>2.2000000000000002</v>
      </c>
      <c r="N29" s="42">
        <v>2.2000000000000002</v>
      </c>
      <c r="O29" s="43">
        <v>11073.8</v>
      </c>
      <c r="P29" s="44">
        <v>53183.28</v>
      </c>
      <c r="Q29" s="44">
        <v>53183.28</v>
      </c>
      <c r="R29" s="45">
        <v>0.01</v>
      </c>
      <c r="S29" s="46">
        <v>0</v>
      </c>
      <c r="T29" s="39">
        <f t="shared" si="19"/>
        <v>45</v>
      </c>
      <c r="U29" s="47">
        <f t="shared" si="20"/>
        <v>0.21592070665065677</v>
      </c>
      <c r="V29" s="48">
        <f t="shared" si="21"/>
        <v>0</v>
      </c>
      <c r="W29" s="49">
        <f t="shared" si="22"/>
        <v>4.7982379255701504E-3</v>
      </c>
      <c r="X29" s="44">
        <f t="shared" si="23"/>
        <v>1275.4119937975008</v>
      </c>
      <c r="Y29" s="44">
        <f t="shared" si="24"/>
        <v>0</v>
      </c>
      <c r="Z29" s="44">
        <f t="shared" si="25"/>
        <v>34188.427994779238</v>
      </c>
      <c r="AA29" s="522">
        <f t="shared" si="16"/>
        <v>56134.64343104446</v>
      </c>
      <c r="AB29" s="51">
        <f t="shared" si="26"/>
        <v>31960.762825819609</v>
      </c>
      <c r="AC29" s="44">
        <f t="shared" si="27"/>
        <v>52476.996757076238</v>
      </c>
      <c r="AD29" s="44">
        <f t="shared" si="28"/>
        <v>2223.7830801766545</v>
      </c>
      <c r="AE29" s="44">
        <f t="shared" si="29"/>
        <v>0</v>
      </c>
      <c r="AF29" s="52">
        <f>HLOOKUP(I29,ElecAvoidedCostsWOCC!$A$5:$Q$50,G29+1,FALSE)</f>
        <v>3.4276422079642828</v>
      </c>
      <c r="AG29" s="44">
        <f t="shared" si="30"/>
        <v>37957.024282554878</v>
      </c>
      <c r="AH29" s="52">
        <f>HLOOKUP(I29,ElecAvoidedCostsWOCC!$A$5:$Q$50,T29+1,FALSE)</f>
        <v>3.4276422079642828</v>
      </c>
      <c r="AI29" s="44">
        <f t="shared" si="31"/>
        <v>0</v>
      </c>
      <c r="AJ29" s="44">
        <f t="shared" si="32"/>
        <v>37957.024282554878</v>
      </c>
      <c r="AK29" s="44">
        <f>HLOOKUP(I29,ElecAvoidedCostsWOCC!$A$5:$Q$50,G29+1,FALSE)*J29*L29</f>
        <v>0</v>
      </c>
      <c r="AL29" s="44">
        <f t="shared" si="33"/>
        <v>37957.024282554878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37957.024282554878</v>
      </c>
      <c r="AN29" s="48">
        <f t="shared" si="34"/>
        <v>43976.509790987024</v>
      </c>
      <c r="AO29" s="47">
        <f t="shared" si="35"/>
        <v>1.1876132146599194</v>
      </c>
      <c r="AP29" s="47">
        <f t="shared" si="36"/>
        <v>0.83801498768233207</v>
      </c>
      <c r="AQ29">
        <v>2020</v>
      </c>
    </row>
    <row r="30" spans="1:43">
      <c r="B30" s="97" t="s">
        <v>74</v>
      </c>
      <c r="C30" s="100">
        <v>18230611</v>
      </c>
      <c r="D30" s="100" t="s">
        <v>75</v>
      </c>
      <c r="E30" s="38" t="s">
        <v>2484</v>
      </c>
      <c r="F30" s="39" t="s">
        <v>1514</v>
      </c>
      <c r="G30" s="39">
        <v>25</v>
      </c>
      <c r="H30" s="39"/>
      <c r="I30" s="40" t="s">
        <v>269</v>
      </c>
      <c r="J30" s="41">
        <v>8480</v>
      </c>
      <c r="K30" s="41">
        <v>0.19</v>
      </c>
      <c r="L30" s="41"/>
      <c r="M30" s="42">
        <v>1.84</v>
      </c>
      <c r="N30" s="42">
        <v>1.84</v>
      </c>
      <c r="O30" s="43">
        <v>1611.2</v>
      </c>
      <c r="P30" s="44">
        <v>23101.98</v>
      </c>
      <c r="Q30" s="44">
        <v>23101.98</v>
      </c>
      <c r="R30" s="45">
        <v>0</v>
      </c>
      <c r="S30" s="46">
        <v>0</v>
      </c>
      <c r="T30" s="39">
        <f t="shared" si="19"/>
        <v>25</v>
      </c>
      <c r="U30" s="47">
        <f t="shared" si="20"/>
        <v>1.7453179905900923E-2</v>
      </c>
      <c r="V30" s="48">
        <f t="shared" si="21"/>
        <v>0</v>
      </c>
      <c r="W30" s="49">
        <f t="shared" si="22"/>
        <v>6.9812719623603696E-4</v>
      </c>
      <c r="X30" s="44">
        <f t="shared" si="23"/>
        <v>185.56808000925906</v>
      </c>
      <c r="Y30" s="44">
        <f t="shared" si="24"/>
        <v>0</v>
      </c>
      <c r="Z30" s="44">
        <f t="shared" si="25"/>
        <v>4974.2992635940964</v>
      </c>
      <c r="AA30" s="522">
        <f t="shared" si="16"/>
        <v>24015.55501347125</v>
      </c>
      <c r="AB30" s="51">
        <f t="shared" si="26"/>
        <v>4650.1816056783173</v>
      </c>
      <c r="AC30" s="44">
        <f t="shared" si="27"/>
        <v>22450.738537413527</v>
      </c>
      <c r="AD30" s="44">
        <f t="shared" si="28"/>
        <v>0</v>
      </c>
      <c r="AE30" s="44">
        <f t="shared" si="29"/>
        <v>0</v>
      </c>
      <c r="AF30" s="52">
        <f>HLOOKUP(I30,ElecAvoidedCostsWOCC!$A$5:$Q$50,G30+1,FALSE)</f>
        <v>2.0508206305871441</v>
      </c>
      <c r="AG30" s="44">
        <f t="shared" si="30"/>
        <v>3304.2822000020064</v>
      </c>
      <c r="AH30" s="52">
        <f>HLOOKUP(I30,ElecAvoidedCostsWOCC!$A$5:$Q$50,T30+1,FALSE)</f>
        <v>2.0508206305871441</v>
      </c>
      <c r="AI30" s="44">
        <f t="shared" si="31"/>
        <v>0</v>
      </c>
      <c r="AJ30" s="44">
        <f t="shared" si="32"/>
        <v>3304.2822000020064</v>
      </c>
      <c r="AK30" s="44">
        <f>HLOOKUP(I30,ElecAvoidedCostsWOCC!$A$5:$Q$50,G30+1,FALSE)*J30*L30</f>
        <v>0</v>
      </c>
      <c r="AL30" s="44">
        <f t="shared" si="33"/>
        <v>3304.2822000020064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3304.2822000020069</v>
      </c>
      <c r="AN30" s="48">
        <f t="shared" si="34"/>
        <v>3634.7104200022077</v>
      </c>
      <c r="AO30" s="47">
        <f t="shared" si="35"/>
        <v>0.7105705712583702</v>
      </c>
      <c r="AP30" s="47">
        <f t="shared" si="36"/>
        <v>0.16189714266838326</v>
      </c>
      <c r="AQ30">
        <v>2020</v>
      </c>
    </row>
    <row r="31" spans="1:43">
      <c r="B31" s="97" t="s">
        <v>74</v>
      </c>
      <c r="C31" s="100">
        <v>18230611</v>
      </c>
      <c r="D31" s="100" t="s">
        <v>75</v>
      </c>
      <c r="E31" s="38" t="s">
        <v>2485</v>
      </c>
      <c r="F31" s="39" t="s">
        <v>1516</v>
      </c>
      <c r="G31" s="39">
        <v>45</v>
      </c>
      <c r="H31" s="39"/>
      <c r="I31" s="40" t="s">
        <v>267</v>
      </c>
      <c r="J31" s="41">
        <v>16155</v>
      </c>
      <c r="K31" s="41">
        <v>2.2200000000000002</v>
      </c>
      <c r="L31" s="41"/>
      <c r="M31" s="42">
        <v>2.75</v>
      </c>
      <c r="N31" s="42">
        <v>2.75</v>
      </c>
      <c r="O31" s="43">
        <v>35864.1</v>
      </c>
      <c r="P31" s="44">
        <v>57754.11</v>
      </c>
      <c r="Q31" s="44">
        <v>57754.11</v>
      </c>
      <c r="R31" s="45">
        <v>0</v>
      </c>
      <c r="S31" s="46"/>
      <c r="T31" s="39">
        <f t="shared" si="19"/>
        <v>45</v>
      </c>
      <c r="U31" s="47">
        <f t="shared" si="20"/>
        <v>0.69929038048274472</v>
      </c>
      <c r="V31" s="48">
        <f t="shared" si="21"/>
        <v>0</v>
      </c>
      <c r="W31" s="49">
        <f t="shared" si="22"/>
        <v>1.5539786232949883E-2</v>
      </c>
      <c r="X31" s="44">
        <f t="shared" si="23"/>
        <v>4130.6058703203007</v>
      </c>
      <c r="Y31" s="44">
        <f t="shared" si="24"/>
        <v>0</v>
      </c>
      <c r="Z31" s="44">
        <f t="shared" si="25"/>
        <v>110724.15976878416</v>
      </c>
      <c r="AA31" s="522">
        <f t="shared" si="16"/>
        <v>63704.706733264808</v>
      </c>
      <c r="AB31" s="51">
        <f t="shared" si="26"/>
        <v>103509.54451601772</v>
      </c>
      <c r="AC31" s="44">
        <f t="shared" si="27"/>
        <v>59553.806425413481</v>
      </c>
      <c r="AD31" s="44">
        <f t="shared" si="28"/>
        <v>0</v>
      </c>
      <c r="AE31" s="44">
        <f t="shared" si="29"/>
        <v>0</v>
      </c>
      <c r="AF31" s="52">
        <f>HLOOKUP(I31,ElecAvoidedCostsWOCC!$A$5:$Q$50,G31+1,FALSE)</f>
        <v>3.1346149049506007</v>
      </c>
      <c r="AG31" s="44">
        <f t="shared" si="30"/>
        <v>112420.14241263884</v>
      </c>
      <c r="AH31" s="52">
        <f>HLOOKUP(I31,ElecAvoidedCostsWOCC!$A$5:$Q$50,T31+1,FALSE)</f>
        <v>3.1346149049506007</v>
      </c>
      <c r="AI31" s="44">
        <f t="shared" si="31"/>
        <v>0</v>
      </c>
      <c r="AJ31" s="44">
        <f t="shared" si="32"/>
        <v>112420.14241263884</v>
      </c>
      <c r="AK31" s="44">
        <f>HLOOKUP(I31,ElecAvoidedCostsWOCC!$A$5:$Q$50,G31+1,FALSE)*J31*L31</f>
        <v>0</v>
      </c>
      <c r="AL31" s="44">
        <f t="shared" si="33"/>
        <v>112420.14241263884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112420.14241263884</v>
      </c>
      <c r="AN31" s="48">
        <f t="shared" si="34"/>
        <v>123662.15665390274</v>
      </c>
      <c r="AO31" s="47">
        <f t="shared" si="35"/>
        <v>1.0860847947721599</v>
      </c>
      <c r="AP31" s="47">
        <f t="shared" si="36"/>
        <v>2.0764777950638638</v>
      </c>
      <c r="AQ31">
        <v>2020</v>
      </c>
    </row>
    <row r="32" spans="1:43">
      <c r="B32" s="97" t="s">
        <v>74</v>
      </c>
      <c r="C32" s="100">
        <v>18230611</v>
      </c>
      <c r="D32" s="100" t="s">
        <v>75</v>
      </c>
      <c r="E32" s="38" t="s">
        <v>2486</v>
      </c>
      <c r="F32" s="39" t="s">
        <v>2487</v>
      </c>
      <c r="G32" s="39">
        <v>25</v>
      </c>
      <c r="H32" s="39"/>
      <c r="I32" s="40" t="s">
        <v>269</v>
      </c>
      <c r="J32" s="41">
        <v>49</v>
      </c>
      <c r="K32" s="41">
        <v>4.58</v>
      </c>
      <c r="L32" s="41"/>
      <c r="M32" s="42">
        <v>2.75</v>
      </c>
      <c r="N32" s="42">
        <v>2.75</v>
      </c>
      <c r="O32" s="43">
        <v>224.42</v>
      </c>
      <c r="P32" s="44">
        <v>481</v>
      </c>
      <c r="Q32" s="44">
        <v>481</v>
      </c>
      <c r="R32" s="45">
        <v>0.03</v>
      </c>
      <c r="S32" s="46"/>
      <c r="T32" s="39">
        <f t="shared" si="19"/>
        <v>25</v>
      </c>
      <c r="U32" s="47">
        <f t="shared" si="20"/>
        <v>2.4310095794949638E-3</v>
      </c>
      <c r="V32" s="48">
        <f t="shared" si="21"/>
        <v>0</v>
      </c>
      <c r="W32" s="49">
        <f t="shared" si="22"/>
        <v>9.7240383179798544E-5</v>
      </c>
      <c r="X32" s="44">
        <f t="shared" si="23"/>
        <v>25.847311640813011</v>
      </c>
      <c r="Y32" s="44">
        <f t="shared" si="24"/>
        <v>0</v>
      </c>
      <c r="Z32" s="44">
        <f t="shared" si="25"/>
        <v>692.85764693134752</v>
      </c>
      <c r="AA32" s="522">
        <f t="shared" si="16"/>
        <v>522.00494466600037</v>
      </c>
      <c r="AB32" s="51">
        <f t="shared" si="26"/>
        <v>647.71211267771105</v>
      </c>
      <c r="AC32" s="44">
        <f t="shared" si="27"/>
        <v>487.99190863419682</v>
      </c>
      <c r="AD32" s="44">
        <f t="shared" si="28"/>
        <v>17.17716379674868</v>
      </c>
      <c r="AE32" s="44">
        <f t="shared" si="29"/>
        <v>0</v>
      </c>
      <c r="AF32" s="52">
        <f>HLOOKUP(I32,ElecAvoidedCostsWOCC!$A$5:$Q$50,G32+1,FALSE)</f>
        <v>2.0508206305871441</v>
      </c>
      <c r="AG32" s="44">
        <f t="shared" si="30"/>
        <v>460.24516591636689</v>
      </c>
      <c r="AH32" s="52">
        <f>HLOOKUP(I32,ElecAvoidedCostsWOCC!$A$5:$Q$50,T32+1,FALSE)</f>
        <v>2.0508206305871441</v>
      </c>
      <c r="AI32" s="44">
        <f t="shared" si="31"/>
        <v>0</v>
      </c>
      <c r="AJ32" s="44">
        <f t="shared" si="32"/>
        <v>460.24516591636689</v>
      </c>
      <c r="AK32" s="44">
        <f>HLOOKUP(I32,ElecAvoidedCostsWOCC!$A$5:$Q$50,G32+1,FALSE)*J32*L32</f>
        <v>0</v>
      </c>
      <c r="AL32" s="44">
        <f t="shared" si="33"/>
        <v>460.24516591636689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460.24516591636689</v>
      </c>
      <c r="AN32" s="48">
        <f t="shared" si="34"/>
        <v>523.44684630475228</v>
      </c>
      <c r="AO32" s="47">
        <f t="shared" si="35"/>
        <v>0.71057057125837009</v>
      </c>
      <c r="AP32" s="47">
        <f t="shared" si="36"/>
        <v>1.0726547654648364</v>
      </c>
      <c r="AQ32">
        <v>2020</v>
      </c>
    </row>
    <row r="33" spans="2:43">
      <c r="B33" s="97" t="s">
        <v>74</v>
      </c>
      <c r="C33" s="100">
        <v>18230611</v>
      </c>
      <c r="D33" s="100" t="s">
        <v>75</v>
      </c>
      <c r="E33" s="38" t="s">
        <v>2488</v>
      </c>
      <c r="F33" s="39" t="s">
        <v>2489</v>
      </c>
      <c r="G33" s="39"/>
      <c r="H33" s="39"/>
      <c r="I33" s="40" t="s">
        <v>269</v>
      </c>
      <c r="J33" s="41">
        <v>3372</v>
      </c>
      <c r="K33" s="41">
        <v>0</v>
      </c>
      <c r="L33" s="41"/>
      <c r="M33" s="42">
        <v>0</v>
      </c>
      <c r="N33" s="42">
        <v>0</v>
      </c>
      <c r="O33" s="43">
        <v>0</v>
      </c>
      <c r="P33" s="44">
        <v>0</v>
      </c>
      <c r="Q33" s="44">
        <v>0</v>
      </c>
      <c r="R33" s="45">
        <v>0</v>
      </c>
      <c r="S33" s="46">
        <v>0</v>
      </c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22">
        <f t="shared" si="16"/>
        <v>0</v>
      </c>
      <c r="AB33" s="51">
        <f t="shared" si="26"/>
        <v>0</v>
      </c>
      <c r="AC33" s="44">
        <f t="shared" si="27"/>
        <v>0</v>
      </c>
      <c r="AD33" s="44">
        <f t="shared" si="28"/>
        <v>0</v>
      </c>
      <c r="AE33" s="44">
        <f t="shared" si="29"/>
        <v>0</v>
      </c>
      <c r="AF33" s="52" t="str">
        <f>HLOOKUP(I33,ElecAvoidedCostsWOCC!$A$5:$Q$50,G33+1,FALSE)</f>
        <v>SF Space Heat</v>
      </c>
      <c r="AG33" s="44" t="e">
        <f t="shared" si="30"/>
        <v>#VALUE!</v>
      </c>
      <c r="AH33" s="52" t="str">
        <f>HLOOKUP(I33,ElecAvoidedCostsWOCC!$A$5:$Q$50,T33+1,FALSE)</f>
        <v>SF Space Heat</v>
      </c>
      <c r="AI33" s="44" t="e">
        <f t="shared" si="31"/>
        <v>#VALUE!</v>
      </c>
      <c r="AJ33" s="44" t="e">
        <f t="shared" si="32"/>
        <v>#VALUE!</v>
      </c>
      <c r="AK33" s="44" t="e">
        <f>HLOOKUP(I33,ElecAvoidedCostsWOCC!$A$5:$Q$50,G33+1,FALSE)*J33*L33</f>
        <v>#VALUE!</v>
      </c>
      <c r="AL33" s="44" t="e">
        <f t="shared" si="33"/>
        <v>#VALUE!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4"/>
        <v>0</v>
      </c>
      <c r="AO33" s="47">
        <f t="shared" si="35"/>
        <v>0</v>
      </c>
      <c r="AP33" s="47" t="e">
        <f t="shared" si="36"/>
        <v>#DIV/0!</v>
      </c>
      <c r="AQ33">
        <v>2020</v>
      </c>
    </row>
    <row r="34" spans="2:43">
      <c r="B34" s="97" t="s">
        <v>74</v>
      </c>
      <c r="C34" s="100">
        <v>18230611</v>
      </c>
      <c r="D34" s="100" t="s">
        <v>75</v>
      </c>
      <c r="E34" s="38" t="s">
        <v>2490</v>
      </c>
      <c r="F34" s="39" t="s">
        <v>1518</v>
      </c>
      <c r="G34" s="39">
        <v>45</v>
      </c>
      <c r="H34" s="39"/>
      <c r="I34" s="40" t="s">
        <v>269</v>
      </c>
      <c r="J34" s="41">
        <v>27530</v>
      </c>
      <c r="K34" s="41">
        <v>1.35</v>
      </c>
      <c r="L34" s="41"/>
      <c r="M34" s="42">
        <v>2.75</v>
      </c>
      <c r="N34" s="42">
        <v>2.75</v>
      </c>
      <c r="O34" s="43">
        <v>37165.5</v>
      </c>
      <c r="P34" s="44">
        <v>38171.9</v>
      </c>
      <c r="Q34" s="44">
        <v>38171.9</v>
      </c>
      <c r="R34" s="45">
        <v>0.02</v>
      </c>
      <c r="S34" s="46">
        <v>0</v>
      </c>
      <c r="T34" s="39">
        <f t="shared" si="19"/>
        <v>45</v>
      </c>
      <c r="U34" s="47">
        <f t="shared" si="20"/>
        <v>0.72466551888466335</v>
      </c>
      <c r="V34" s="48">
        <f t="shared" si="21"/>
        <v>0</v>
      </c>
      <c r="W34" s="49">
        <f t="shared" si="22"/>
        <v>1.6103678197436962E-2</v>
      </c>
      <c r="X34" s="44">
        <f t="shared" si="23"/>
        <v>4280.4930968123872</v>
      </c>
      <c r="Y34" s="44">
        <f t="shared" si="24"/>
        <v>0</v>
      </c>
      <c r="Z34" s="44">
        <f t="shared" si="25"/>
        <v>114742.00551210676</v>
      </c>
      <c r="AA34" s="522">
        <f t="shared" si="16"/>
        <v>43655.294660376108</v>
      </c>
      <c r="AB34" s="51">
        <f t="shared" si="26"/>
        <v>107265.59363569856</v>
      </c>
      <c r="AC34" s="44">
        <f t="shared" si="27"/>
        <v>40810.783079719644</v>
      </c>
      <c r="AD34" s="44">
        <f t="shared" si="28"/>
        <v>7518.6672640175993</v>
      </c>
      <c r="AE34" s="44">
        <f t="shared" si="29"/>
        <v>0</v>
      </c>
      <c r="AF34" s="52">
        <f>HLOOKUP(I34,ElecAvoidedCostsWOCC!$A$5:$Q$50,G34+1,FALSE)</f>
        <v>3.4276422079642828</v>
      </c>
      <c r="AG34" s="44">
        <f t="shared" si="30"/>
        <v>127390.03648009656</v>
      </c>
      <c r="AH34" s="52">
        <f>HLOOKUP(I34,ElecAvoidedCostsWOCC!$A$5:$Q$50,T34+1,FALSE)</f>
        <v>3.4276422079642828</v>
      </c>
      <c r="AI34" s="44">
        <f t="shared" si="31"/>
        <v>0</v>
      </c>
      <c r="AJ34" s="44">
        <f t="shared" si="32"/>
        <v>127390.03648009656</v>
      </c>
      <c r="AK34" s="44">
        <f>HLOOKUP(I34,ElecAvoidedCostsWOCC!$A$5:$Q$50,G34+1,FALSE)*J34*L34</f>
        <v>0</v>
      </c>
      <c r="AL34" s="44">
        <f t="shared" si="33"/>
        <v>127390.03648009656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127390.03648009658</v>
      </c>
      <c r="AN34" s="48">
        <f t="shared" si="34"/>
        <v>147647.70739212385</v>
      </c>
      <c r="AO34" s="47">
        <f t="shared" si="35"/>
        <v>1.1876132146599196</v>
      </c>
      <c r="AP34" s="47">
        <f t="shared" si="36"/>
        <v>3.6178601891492579</v>
      </c>
      <c r="AQ34">
        <v>2020</v>
      </c>
    </row>
    <row r="35" spans="2:43">
      <c r="B35" s="97" t="s">
        <v>74</v>
      </c>
      <c r="C35" s="100">
        <v>18230611</v>
      </c>
      <c r="D35" s="100" t="s">
        <v>75</v>
      </c>
      <c r="E35" s="38" t="s">
        <v>1521</v>
      </c>
      <c r="F35" s="39" t="s">
        <v>1522</v>
      </c>
      <c r="G35" s="39">
        <v>25</v>
      </c>
      <c r="H35" s="39"/>
      <c r="I35" s="40" t="s">
        <v>269</v>
      </c>
      <c r="J35" s="41">
        <v>23628</v>
      </c>
      <c r="K35" s="41">
        <v>0.33</v>
      </c>
      <c r="L35" s="41"/>
      <c r="M35" s="42">
        <v>2.0299999999999998</v>
      </c>
      <c r="N35" s="42">
        <v>2.0299999999999998</v>
      </c>
      <c r="O35" s="43">
        <v>7797.24</v>
      </c>
      <c r="P35" s="44">
        <v>65004.41</v>
      </c>
      <c r="Q35" s="44">
        <v>65004.41</v>
      </c>
      <c r="R35" s="45">
        <v>0</v>
      </c>
      <c r="S35" s="46">
        <v>0</v>
      </c>
      <c r="T35" s="39">
        <f t="shared" si="19"/>
        <v>25</v>
      </c>
      <c r="U35" s="47">
        <f t="shared" si="20"/>
        <v>8.4462904971131417E-2</v>
      </c>
      <c r="V35" s="48">
        <f t="shared" si="21"/>
        <v>0</v>
      </c>
      <c r="W35" s="49">
        <f t="shared" si="22"/>
        <v>3.3785161988452565E-3</v>
      </c>
      <c r="X35" s="44">
        <f t="shared" si="23"/>
        <v>898.03801897430196</v>
      </c>
      <c r="Y35" s="44">
        <f t="shared" si="24"/>
        <v>0</v>
      </c>
      <c r="Z35" s="44">
        <f t="shared" si="25"/>
        <v>24072.619904460298</v>
      </c>
      <c r="AA35" s="522">
        <f t="shared" si="16"/>
        <v>67950.915777391812</v>
      </c>
      <c r="AB35" s="51">
        <f t="shared" si="26"/>
        <v>22504.08516823436</v>
      </c>
      <c r="AC35" s="44">
        <f t="shared" si="27"/>
        <v>63523.339045893059</v>
      </c>
      <c r="AD35" s="44">
        <f t="shared" si="28"/>
        <v>0</v>
      </c>
      <c r="AE35" s="44">
        <f t="shared" si="29"/>
        <v>0</v>
      </c>
      <c r="AF35" s="52">
        <f>HLOOKUP(I35,ElecAvoidedCostsWOCC!$A$5:$Q$50,G35+1,FALSE)</f>
        <v>2.0508206305871441</v>
      </c>
      <c r="AG35" s="44">
        <f t="shared" si="30"/>
        <v>15990.740653639303</v>
      </c>
      <c r="AH35" s="52">
        <f>HLOOKUP(I35,ElecAvoidedCostsWOCC!$A$5:$Q$50,T35+1,FALSE)</f>
        <v>2.0508206305871441</v>
      </c>
      <c r="AI35" s="44">
        <f t="shared" si="31"/>
        <v>0</v>
      </c>
      <c r="AJ35" s="44">
        <f t="shared" si="32"/>
        <v>15990.740653639303</v>
      </c>
      <c r="AK35" s="44">
        <f>HLOOKUP(I35,ElecAvoidedCostsWOCC!$A$5:$Q$50,G35+1,FALSE)*J35*L35</f>
        <v>0</v>
      </c>
      <c r="AL35" s="44">
        <f t="shared" si="33"/>
        <v>15990.740653639303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15990.740653639303</v>
      </c>
      <c r="AN35" s="48">
        <f t="shared" si="34"/>
        <v>17589.814719003236</v>
      </c>
      <c r="AO35" s="47">
        <f t="shared" si="35"/>
        <v>0.71057057125837009</v>
      </c>
      <c r="AP35" s="47">
        <f t="shared" si="36"/>
        <v>0.27690318209336101</v>
      </c>
      <c r="AQ35">
        <v>2020</v>
      </c>
    </row>
    <row r="36" spans="2:43">
      <c r="B36" s="97" t="s">
        <v>74</v>
      </c>
      <c r="C36" s="100">
        <v>18230611</v>
      </c>
      <c r="D36" s="100" t="s">
        <v>75</v>
      </c>
      <c r="E36" s="38" t="s">
        <v>2493</v>
      </c>
      <c r="F36" s="39" t="s">
        <v>1527</v>
      </c>
      <c r="G36" s="39">
        <v>45</v>
      </c>
      <c r="H36" s="39"/>
      <c r="I36" s="40" t="s">
        <v>269</v>
      </c>
      <c r="J36" s="41">
        <v>563</v>
      </c>
      <c r="K36" s="41">
        <v>1.78</v>
      </c>
      <c r="L36" s="41"/>
      <c r="M36" s="42">
        <v>2.4300000000000002</v>
      </c>
      <c r="N36" s="42">
        <v>2.4300000000000002</v>
      </c>
      <c r="O36" s="43">
        <v>1002.14</v>
      </c>
      <c r="P36" s="44">
        <v>2340</v>
      </c>
      <c r="Q36" s="44">
        <v>2340</v>
      </c>
      <c r="R36" s="45">
        <v>0.03</v>
      </c>
      <c r="S36" s="46">
        <v>0</v>
      </c>
      <c r="T36" s="39">
        <f t="shared" si="19"/>
        <v>45</v>
      </c>
      <c r="U36" s="47">
        <f t="shared" si="20"/>
        <v>1.9540065466496521E-2</v>
      </c>
      <c r="V36" s="48">
        <f t="shared" si="21"/>
        <v>0</v>
      </c>
      <c r="W36" s="49">
        <f t="shared" si="22"/>
        <v>4.3422367703325603E-4</v>
      </c>
      <c r="X36" s="44">
        <f t="shared" si="23"/>
        <v>115.42030517656336</v>
      </c>
      <c r="Y36" s="44">
        <f t="shared" si="24"/>
        <v>0</v>
      </c>
      <c r="Z36" s="44">
        <f t="shared" si="25"/>
        <v>3093.9326365554793</v>
      </c>
      <c r="AA36" s="522">
        <f t="shared" si="16"/>
        <v>2529.1601415153127</v>
      </c>
      <c r="AB36" s="51">
        <f t="shared" si="26"/>
        <v>2892.3367640978581</v>
      </c>
      <c r="AC36" s="44">
        <f t="shared" si="27"/>
        <v>2364.3639726234574</v>
      </c>
      <c r="AD36" s="44">
        <f t="shared" si="28"/>
        <v>230.63982943926123</v>
      </c>
      <c r="AE36" s="44">
        <f t="shared" si="29"/>
        <v>0</v>
      </c>
      <c r="AF36" s="52">
        <f>HLOOKUP(I36,ElecAvoidedCostsWOCC!$A$5:$Q$50,G36+1,FALSE)</f>
        <v>3.4276422079642828</v>
      </c>
      <c r="AG36" s="44">
        <f t="shared" si="30"/>
        <v>3434.9773622893263</v>
      </c>
      <c r="AH36" s="52">
        <f>HLOOKUP(I36,ElecAvoidedCostsWOCC!$A$5:$Q$50,T36+1,FALSE)</f>
        <v>3.4276422079642828</v>
      </c>
      <c r="AI36" s="44">
        <f t="shared" si="31"/>
        <v>0</v>
      </c>
      <c r="AJ36" s="44">
        <f t="shared" si="32"/>
        <v>3434.9773622893263</v>
      </c>
      <c r="AK36" s="44">
        <f>HLOOKUP(I36,ElecAvoidedCostsWOCC!$A$5:$Q$50,G36+1,FALSE)*J36*L36</f>
        <v>0</v>
      </c>
      <c r="AL36" s="44">
        <f t="shared" si="33"/>
        <v>3434.9773622893263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3434.9773622893263</v>
      </c>
      <c r="AN36" s="48">
        <f t="shared" si="34"/>
        <v>4009.1149279575202</v>
      </c>
      <c r="AO36" s="47">
        <f t="shared" si="35"/>
        <v>1.1876132146599194</v>
      </c>
      <c r="AP36" s="47">
        <f t="shared" si="36"/>
        <v>1.6956420307441396</v>
      </c>
      <c r="AQ36">
        <v>2020</v>
      </c>
    </row>
    <row r="37" spans="2:43">
      <c r="B37" s="97" t="s">
        <v>74</v>
      </c>
      <c r="C37" s="100">
        <v>18230611</v>
      </c>
      <c r="D37" s="100" t="s">
        <v>75</v>
      </c>
      <c r="E37" s="38" t="s">
        <v>2495</v>
      </c>
      <c r="F37" s="39" t="s">
        <v>1531</v>
      </c>
      <c r="G37" s="39">
        <v>45</v>
      </c>
      <c r="H37" s="39"/>
      <c r="I37" s="40" t="s">
        <v>269</v>
      </c>
      <c r="J37" s="41">
        <v>1992</v>
      </c>
      <c r="K37" s="41">
        <v>0.35</v>
      </c>
      <c r="L37" s="41"/>
      <c r="M37" s="42">
        <v>1.59</v>
      </c>
      <c r="N37" s="42">
        <v>1.59</v>
      </c>
      <c r="O37" s="43">
        <v>697.2</v>
      </c>
      <c r="P37" s="44">
        <v>4744.3900000000003</v>
      </c>
      <c r="Q37" s="44">
        <v>4744.3900000000003</v>
      </c>
      <c r="R37" s="45">
        <v>0.01</v>
      </c>
      <c r="S37" s="46">
        <v>0</v>
      </c>
      <c r="T37" s="39">
        <f t="shared" si="19"/>
        <v>45</v>
      </c>
      <c r="U37" s="47">
        <f t="shared" si="20"/>
        <v>1.3594241965435343E-2</v>
      </c>
      <c r="V37" s="48">
        <f t="shared" si="21"/>
        <v>0</v>
      </c>
      <c r="W37" s="49">
        <f t="shared" si="22"/>
        <v>3.0209426589856319E-4</v>
      </c>
      <c r="X37" s="44">
        <f t="shared" si="23"/>
        <v>80.299196488614342</v>
      </c>
      <c r="Y37" s="44">
        <f t="shared" si="24"/>
        <v>0</v>
      </c>
      <c r="Z37" s="44">
        <f t="shared" si="25"/>
        <v>2152.4835194748039</v>
      </c>
      <c r="AA37" s="522">
        <f t="shared" si="16"/>
        <v>4974.1979751754525</v>
      </c>
      <c r="AB37" s="51">
        <f t="shared" si="26"/>
        <v>2012.2310175514665</v>
      </c>
      <c r="AC37" s="44">
        <f t="shared" si="27"/>
        <v>4650.0869170566066</v>
      </c>
      <c r="AD37" s="44">
        <f t="shared" si="28"/>
        <v>272.01571358378237</v>
      </c>
      <c r="AE37" s="44">
        <f t="shared" si="29"/>
        <v>0</v>
      </c>
      <c r="AF37" s="52">
        <f>HLOOKUP(I37,ElecAvoidedCostsWOCC!$A$5:$Q$50,G37+1,FALSE)</f>
        <v>3.4276422079642828</v>
      </c>
      <c r="AG37" s="44">
        <f t="shared" si="30"/>
        <v>2389.7521473926977</v>
      </c>
      <c r="AH37" s="52">
        <f>HLOOKUP(I37,ElecAvoidedCostsWOCC!$A$5:$Q$50,T37+1,FALSE)</f>
        <v>3.4276422079642828</v>
      </c>
      <c r="AI37" s="44">
        <f t="shared" si="31"/>
        <v>0</v>
      </c>
      <c r="AJ37" s="44">
        <f t="shared" si="32"/>
        <v>2389.7521473926977</v>
      </c>
      <c r="AK37" s="44">
        <f>HLOOKUP(I37,ElecAvoidedCostsWOCC!$A$5:$Q$50,G37+1,FALSE)*J37*L37</f>
        <v>0</v>
      </c>
      <c r="AL37" s="44">
        <f t="shared" si="33"/>
        <v>2389.7521473926977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2389.7521473926977</v>
      </c>
      <c r="AN37" s="48">
        <f t="shared" si="34"/>
        <v>2900.7430757157499</v>
      </c>
      <c r="AO37" s="47">
        <f t="shared" si="35"/>
        <v>1.1876132146599194</v>
      </c>
      <c r="AP37" s="47">
        <f t="shared" si="36"/>
        <v>0.62380405516201631</v>
      </c>
      <c r="AQ37">
        <v>2020</v>
      </c>
    </row>
    <row r="38" spans="2:43">
      <c r="B38" s="97" t="s">
        <v>74</v>
      </c>
      <c r="C38" s="100">
        <v>18230611</v>
      </c>
      <c r="D38" s="100" t="s">
        <v>75</v>
      </c>
      <c r="E38" s="38" t="s">
        <v>2497</v>
      </c>
      <c r="F38" s="39" t="s">
        <v>2498</v>
      </c>
      <c r="G38" s="39">
        <v>1</v>
      </c>
      <c r="H38" s="39"/>
      <c r="I38" s="40" t="s">
        <v>248</v>
      </c>
      <c r="J38" s="41">
        <v>44</v>
      </c>
      <c r="K38" s="41">
        <v>0</v>
      </c>
      <c r="L38" s="41"/>
      <c r="M38" s="42">
        <v>0</v>
      </c>
      <c r="N38" s="42">
        <v>0</v>
      </c>
      <c r="O38" s="43">
        <v>0</v>
      </c>
      <c r="P38" s="44">
        <v>672.68</v>
      </c>
      <c r="Q38" s="44">
        <v>672.68</v>
      </c>
      <c r="R38" s="45">
        <v>0</v>
      </c>
      <c r="S38" s="46">
        <v>0</v>
      </c>
      <c r="T38" s="39">
        <f t="shared" si="19"/>
        <v>1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22">
        <f t="shared" si="16"/>
        <v>693.87799705485043</v>
      </c>
      <c r="AB38" s="51">
        <f t="shared" si="26"/>
        <v>0</v>
      </c>
      <c r="AC38" s="44">
        <f t="shared" si="27"/>
        <v>648.66597836295261</v>
      </c>
      <c r="AD38" s="44">
        <f t="shared" si="28"/>
        <v>0</v>
      </c>
      <c r="AE38" s="44">
        <f t="shared" si="29"/>
        <v>0</v>
      </c>
      <c r="AF38" s="52">
        <f>HLOOKUP(I38,ElecAvoidedCostsWOCC!$A$5:$Q$50,G38+1,FALSE)</f>
        <v>8.6279755452712409E-2</v>
      </c>
      <c r="AG38" s="44">
        <f t="shared" si="30"/>
        <v>0</v>
      </c>
      <c r="AH38" s="52">
        <f>HLOOKUP(I38,ElecAvoidedCostsWOCC!$A$5:$Q$50,T38+1,FALSE)</f>
        <v>8.6279755452712409E-2</v>
      </c>
      <c r="AI38" s="44">
        <f t="shared" si="31"/>
        <v>0</v>
      </c>
      <c r="AJ38" s="44">
        <f t="shared" si="32"/>
        <v>0</v>
      </c>
      <c r="AK38" s="44">
        <f>HLOOKUP(I38,ElecAvoidedCostsWOCC!$A$5:$Q$50,G38+1,FALSE)*J38*L38</f>
        <v>0</v>
      </c>
      <c r="AL38" s="44">
        <f t="shared" si="33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4"/>
        <v>0</v>
      </c>
      <c r="AO38" s="47">
        <f t="shared" si="35"/>
        <v>0</v>
      </c>
      <c r="AP38" s="47">
        <f t="shared" si="36"/>
        <v>0</v>
      </c>
      <c r="AQ38">
        <v>2020</v>
      </c>
    </row>
    <row r="39" spans="2:43">
      <c r="B39" s="97" t="s">
        <v>74</v>
      </c>
      <c r="C39" s="100">
        <v>18230611</v>
      </c>
      <c r="D39" s="100" t="s">
        <v>75</v>
      </c>
      <c r="E39" s="38" t="s">
        <v>1536</v>
      </c>
      <c r="F39" s="39" t="s">
        <v>1537</v>
      </c>
      <c r="G39" s="39">
        <v>1</v>
      </c>
      <c r="H39" s="39"/>
      <c r="I39" s="40" t="s">
        <v>248</v>
      </c>
      <c r="J39" s="41">
        <v>262</v>
      </c>
      <c r="K39" s="41">
        <v>0</v>
      </c>
      <c r="L39" s="41"/>
      <c r="M39" s="42">
        <v>0</v>
      </c>
      <c r="N39" s="42">
        <v>0</v>
      </c>
      <c r="O39" s="43">
        <v>0</v>
      </c>
      <c r="P39" s="44">
        <v>4005.47</v>
      </c>
      <c r="Q39" s="44">
        <v>4005.47</v>
      </c>
      <c r="R39" s="45">
        <v>0</v>
      </c>
      <c r="S39" s="46">
        <v>0</v>
      </c>
      <c r="T39" s="39">
        <f t="shared" si="19"/>
        <v>1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22">
        <f t="shared" si="16"/>
        <v>4131.6933770340902</v>
      </c>
      <c r="AB39" s="51">
        <f t="shared" si="26"/>
        <v>0</v>
      </c>
      <c r="AC39" s="44">
        <f t="shared" si="27"/>
        <v>3862.4786174012243</v>
      </c>
      <c r="AD39" s="44">
        <f t="shared" si="28"/>
        <v>0</v>
      </c>
      <c r="AE39" s="44">
        <f t="shared" si="29"/>
        <v>0</v>
      </c>
      <c r="AF39" s="52">
        <f>HLOOKUP(I39,ElecAvoidedCostsWOCC!$A$5:$Q$50,G39+1,FALSE)</f>
        <v>8.6279755452712409E-2</v>
      </c>
      <c r="AG39" s="44">
        <f t="shared" si="30"/>
        <v>0</v>
      </c>
      <c r="AH39" s="52">
        <f>HLOOKUP(I39,ElecAvoidedCostsWOCC!$A$5:$Q$50,T39+1,FALSE)</f>
        <v>8.6279755452712409E-2</v>
      </c>
      <c r="AI39" s="44">
        <f t="shared" si="31"/>
        <v>0</v>
      </c>
      <c r="AJ39" s="44">
        <f t="shared" si="32"/>
        <v>0</v>
      </c>
      <c r="AK39" s="44">
        <f>HLOOKUP(I39,ElecAvoidedCostsWOCC!$A$5:$Q$50,G39+1,FALSE)*J39*L39</f>
        <v>0</v>
      </c>
      <c r="AL39" s="44">
        <f t="shared" si="33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4"/>
        <v>0</v>
      </c>
      <c r="AO39" s="47">
        <f t="shared" si="35"/>
        <v>0</v>
      </c>
      <c r="AP39" s="47">
        <f t="shared" si="36"/>
        <v>0</v>
      </c>
      <c r="AQ39">
        <v>2020</v>
      </c>
    </row>
    <row r="40" spans="2:43">
      <c r="B40" s="97" t="s">
        <v>74</v>
      </c>
      <c r="C40" s="100">
        <v>18230611</v>
      </c>
      <c r="D40" s="100" t="s">
        <v>75</v>
      </c>
      <c r="E40" s="38" t="s">
        <v>1538</v>
      </c>
      <c r="F40" s="39" t="s">
        <v>1539</v>
      </c>
      <c r="G40" s="39">
        <v>1</v>
      </c>
      <c r="H40" s="39"/>
      <c r="I40" s="40" t="s">
        <v>248</v>
      </c>
      <c r="J40" s="41">
        <v>353</v>
      </c>
      <c r="K40" s="41">
        <v>0</v>
      </c>
      <c r="L40" s="41"/>
      <c r="M40" s="42">
        <v>0</v>
      </c>
      <c r="N40" s="42">
        <v>0</v>
      </c>
      <c r="O40" s="43">
        <v>0</v>
      </c>
      <c r="P40" s="44">
        <v>5396.67</v>
      </c>
      <c r="Q40" s="44">
        <v>5396.67</v>
      </c>
      <c r="R40" s="45">
        <v>0</v>
      </c>
      <c r="S40" s="46">
        <v>0</v>
      </c>
      <c r="T40" s="39">
        <f t="shared" si="19"/>
        <v>1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22">
        <f t="shared" si="16"/>
        <v>5566.7339156300168</v>
      </c>
      <c r="AB40" s="51">
        <f t="shared" si="26"/>
        <v>0</v>
      </c>
      <c r="AC40" s="44">
        <f t="shared" si="27"/>
        <v>5204.0141307189087</v>
      </c>
      <c r="AD40" s="44">
        <f t="shared" si="28"/>
        <v>0</v>
      </c>
      <c r="AE40" s="44">
        <f t="shared" si="29"/>
        <v>0</v>
      </c>
      <c r="AF40" s="52">
        <f>HLOOKUP(I40,ElecAvoidedCostsWOCC!$A$5:$Q$50,G40+1,FALSE)</f>
        <v>8.6279755452712409E-2</v>
      </c>
      <c r="AG40" s="44">
        <f t="shared" si="30"/>
        <v>0</v>
      </c>
      <c r="AH40" s="52">
        <f>HLOOKUP(I40,ElecAvoidedCostsWOCC!$A$5:$Q$50,T40+1,FALSE)</f>
        <v>8.6279755452712409E-2</v>
      </c>
      <c r="AI40" s="44">
        <f t="shared" si="31"/>
        <v>0</v>
      </c>
      <c r="AJ40" s="44">
        <f t="shared" si="32"/>
        <v>0</v>
      </c>
      <c r="AK40" s="44">
        <f>HLOOKUP(I40,ElecAvoidedCostsWOCC!$A$5:$Q$50,G40+1,FALSE)*J40*L40</f>
        <v>0</v>
      </c>
      <c r="AL40" s="44">
        <f t="shared" si="33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4"/>
        <v>0</v>
      </c>
      <c r="AO40" s="47">
        <f t="shared" si="35"/>
        <v>0</v>
      </c>
      <c r="AP40" s="47">
        <f t="shared" si="36"/>
        <v>0</v>
      </c>
      <c r="AQ40">
        <v>2020</v>
      </c>
    </row>
    <row r="41" spans="2:43">
      <c r="B41" s="97" t="s">
        <v>74</v>
      </c>
      <c r="C41" s="100">
        <v>18230611</v>
      </c>
      <c r="D41" s="100" t="s">
        <v>75</v>
      </c>
      <c r="E41" s="38" t="s">
        <v>2499</v>
      </c>
      <c r="F41" s="39" t="s">
        <v>2500</v>
      </c>
      <c r="G41" s="39">
        <v>1</v>
      </c>
      <c r="H41" s="39"/>
      <c r="I41" s="40" t="s">
        <v>269</v>
      </c>
      <c r="J41" s="41">
        <v>1</v>
      </c>
      <c r="K41" s="41">
        <v>0</v>
      </c>
      <c r="L41" s="41"/>
      <c r="M41" s="42">
        <v>0</v>
      </c>
      <c r="N41" s="42">
        <v>0</v>
      </c>
      <c r="O41" s="43">
        <v>0</v>
      </c>
      <c r="P41" s="44">
        <v>65</v>
      </c>
      <c r="Q41" s="44">
        <v>65</v>
      </c>
      <c r="R41" s="45"/>
      <c r="S41" s="46"/>
      <c r="T41" s="39">
        <f t="shared" si="19"/>
        <v>1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22">
        <f t="shared" si="16"/>
        <v>67.048328787187486</v>
      </c>
      <c r="AB41" s="51">
        <f t="shared" si="26"/>
        <v>0</v>
      </c>
      <c r="AC41" s="44">
        <f t="shared" si="27"/>
        <v>62.6795632300528</v>
      </c>
      <c r="AD41" s="44">
        <f t="shared" si="28"/>
        <v>0</v>
      </c>
      <c r="AE41" s="44">
        <f t="shared" si="29"/>
        <v>0</v>
      </c>
      <c r="AF41" s="52">
        <f>HLOOKUP(I41,ElecAvoidedCostsWOCC!$A$5:$Q$50,G41+1,FALSE)</f>
        <v>0.11346597036450218</v>
      </c>
      <c r="AG41" s="44">
        <f t="shared" si="30"/>
        <v>0</v>
      </c>
      <c r="AH41" s="52">
        <f>HLOOKUP(I41,ElecAvoidedCostsWOCC!$A$5:$Q$50,T41+1,FALSE)</f>
        <v>0.11346597036450218</v>
      </c>
      <c r="AI41" s="44">
        <f t="shared" si="31"/>
        <v>0</v>
      </c>
      <c r="AJ41" s="44">
        <f t="shared" si="32"/>
        <v>0</v>
      </c>
      <c r="AK41" s="44">
        <f>HLOOKUP(I41,ElecAvoidedCostsWOCC!$A$5:$Q$50,G41+1,FALSE)*J41*L41</f>
        <v>0</v>
      </c>
      <c r="AL41" s="44">
        <f t="shared" si="33"/>
        <v>0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4"/>
        <v>0</v>
      </c>
      <c r="AO41" s="47">
        <f t="shared" si="35"/>
        <v>0</v>
      </c>
      <c r="AP41" s="47">
        <f t="shared" si="36"/>
        <v>0</v>
      </c>
      <c r="AQ41">
        <v>2020</v>
      </c>
    </row>
    <row r="42" spans="2:43">
      <c r="B42" s="97" t="s">
        <v>74</v>
      </c>
      <c r="C42" s="100">
        <v>18230611</v>
      </c>
      <c r="D42" s="100" t="s">
        <v>75</v>
      </c>
      <c r="E42" s="38" t="s">
        <v>1540</v>
      </c>
      <c r="F42" s="39" t="s">
        <v>1541</v>
      </c>
      <c r="G42" s="39">
        <v>1</v>
      </c>
      <c r="H42" s="39"/>
      <c r="I42" s="40" t="s">
        <v>269</v>
      </c>
      <c r="J42" s="41">
        <v>2</v>
      </c>
      <c r="K42" s="41">
        <v>0</v>
      </c>
      <c r="L42" s="41"/>
      <c r="M42" s="42">
        <v>0</v>
      </c>
      <c r="N42" s="42">
        <v>0</v>
      </c>
      <c r="O42" s="43">
        <v>0</v>
      </c>
      <c r="P42" s="44">
        <v>188.08</v>
      </c>
      <c r="Q42" s="44">
        <v>188.08</v>
      </c>
      <c r="R42" s="45">
        <v>0</v>
      </c>
      <c r="S42" s="46">
        <v>0</v>
      </c>
      <c r="T42" s="39">
        <f t="shared" si="19"/>
        <v>1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22">
        <f t="shared" si="16"/>
        <v>194.00691812760343</v>
      </c>
      <c r="AB42" s="51">
        <f t="shared" si="26"/>
        <v>0</v>
      </c>
      <c r="AC42" s="44">
        <f t="shared" si="27"/>
        <v>181.3657269585897</v>
      </c>
      <c r="AD42" s="44">
        <f t="shared" si="28"/>
        <v>0</v>
      </c>
      <c r="AE42" s="44">
        <f t="shared" si="29"/>
        <v>0</v>
      </c>
      <c r="AF42" s="52">
        <f>HLOOKUP(I42,ElecAvoidedCostsWOCC!$A$5:$Q$50,G42+1,FALSE)</f>
        <v>0.11346597036450218</v>
      </c>
      <c r="AG42" s="44">
        <f t="shared" si="30"/>
        <v>0</v>
      </c>
      <c r="AH42" s="52">
        <f>HLOOKUP(I42,ElecAvoidedCostsWOCC!$A$5:$Q$50,T42+1,FALSE)</f>
        <v>0.11346597036450218</v>
      </c>
      <c r="AI42" s="44">
        <f t="shared" si="31"/>
        <v>0</v>
      </c>
      <c r="AJ42" s="44">
        <f t="shared" si="32"/>
        <v>0</v>
      </c>
      <c r="AK42" s="44">
        <f>HLOOKUP(I42,ElecAvoidedCostsWOCC!$A$5:$Q$50,G42+1,FALSE)*J42*L42</f>
        <v>0</v>
      </c>
      <c r="AL42" s="44">
        <f t="shared" si="33"/>
        <v>0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4"/>
        <v>0</v>
      </c>
      <c r="AO42" s="47">
        <f t="shared" si="35"/>
        <v>0</v>
      </c>
      <c r="AP42" s="47">
        <f t="shared" si="36"/>
        <v>0</v>
      </c>
      <c r="AQ42">
        <v>2020</v>
      </c>
    </row>
    <row r="43" spans="2:43">
      <c r="B43" s="97" t="s">
        <v>74</v>
      </c>
      <c r="C43" s="100">
        <v>18230611</v>
      </c>
      <c r="D43" s="100" t="s">
        <v>75</v>
      </c>
      <c r="E43" s="38" t="s">
        <v>1542</v>
      </c>
      <c r="F43" s="39" t="s">
        <v>1543</v>
      </c>
      <c r="G43" s="39">
        <v>1</v>
      </c>
      <c r="H43" s="39"/>
      <c r="I43" s="40" t="s">
        <v>269</v>
      </c>
      <c r="J43" s="41">
        <v>16</v>
      </c>
      <c r="K43" s="41">
        <v>0</v>
      </c>
      <c r="L43" s="41"/>
      <c r="M43" s="42">
        <v>0</v>
      </c>
      <c r="N43" s="42">
        <v>0</v>
      </c>
      <c r="O43" s="43">
        <v>0</v>
      </c>
      <c r="P43" s="44">
        <v>1877.4</v>
      </c>
      <c r="Q43" s="44">
        <v>1877.4</v>
      </c>
      <c r="R43" s="45"/>
      <c r="S43" s="46"/>
      <c r="T43" s="39">
        <f t="shared" si="19"/>
        <v>1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22">
        <f t="shared" si="16"/>
        <v>1936.5620379240891</v>
      </c>
      <c r="AB43" s="51">
        <f t="shared" si="26"/>
        <v>0</v>
      </c>
      <c r="AC43" s="44">
        <f t="shared" si="27"/>
        <v>1810.378646278479</v>
      </c>
      <c r="AD43" s="44">
        <f t="shared" si="28"/>
        <v>0</v>
      </c>
      <c r="AE43" s="44">
        <f t="shared" si="29"/>
        <v>0</v>
      </c>
      <c r="AF43" s="52">
        <f>HLOOKUP(I43,ElecAvoidedCostsWOCC!$A$5:$Q$50,G43+1,FALSE)</f>
        <v>0.11346597036450218</v>
      </c>
      <c r="AG43" s="44">
        <f t="shared" si="30"/>
        <v>0</v>
      </c>
      <c r="AH43" s="52">
        <f>HLOOKUP(I43,ElecAvoidedCostsWOCC!$A$5:$Q$50,T43+1,FALSE)</f>
        <v>0.11346597036450218</v>
      </c>
      <c r="AI43" s="44">
        <f t="shared" si="31"/>
        <v>0</v>
      </c>
      <c r="AJ43" s="44">
        <f t="shared" si="32"/>
        <v>0</v>
      </c>
      <c r="AK43" s="44">
        <f>HLOOKUP(I43,ElecAvoidedCostsWOCC!$A$5:$Q$50,G43+1,FALSE)*J43*L43</f>
        <v>0</v>
      </c>
      <c r="AL43" s="44">
        <f t="shared" si="33"/>
        <v>0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4"/>
        <v>0</v>
      </c>
      <c r="AO43" s="47">
        <f t="shared" si="35"/>
        <v>0</v>
      </c>
      <c r="AP43" s="47">
        <f t="shared" si="36"/>
        <v>0</v>
      </c>
      <c r="AQ43">
        <v>2020</v>
      </c>
    </row>
    <row r="44" spans="2:43">
      <c r="B44" s="97" t="s">
        <v>74</v>
      </c>
      <c r="C44" s="100">
        <v>18230611</v>
      </c>
      <c r="D44" s="100" t="s">
        <v>75</v>
      </c>
      <c r="E44" s="38" t="s">
        <v>1544</v>
      </c>
      <c r="F44" s="39" t="s">
        <v>1545</v>
      </c>
      <c r="G44" s="39">
        <v>1</v>
      </c>
      <c r="H44" s="39"/>
      <c r="I44" s="40" t="s">
        <v>269</v>
      </c>
      <c r="J44" s="41">
        <v>14</v>
      </c>
      <c r="K44" s="41">
        <v>0</v>
      </c>
      <c r="L44" s="41"/>
      <c r="M44" s="42">
        <v>0</v>
      </c>
      <c r="N44" s="42">
        <v>0</v>
      </c>
      <c r="O44" s="43">
        <v>0</v>
      </c>
      <c r="P44" s="44">
        <v>1490.52</v>
      </c>
      <c r="Q44" s="44">
        <v>1490.52</v>
      </c>
      <c r="R44" s="45"/>
      <c r="S44" s="46"/>
      <c r="T44" s="39">
        <f t="shared" si="19"/>
        <v>1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22">
        <f t="shared" si="16"/>
        <v>1537.4903849827492</v>
      </c>
      <c r="AB44" s="51">
        <f t="shared" si="26"/>
        <v>0</v>
      </c>
      <c r="AC44" s="44">
        <f t="shared" si="27"/>
        <v>1437.3098859332047</v>
      </c>
      <c r="AD44" s="44">
        <f t="shared" si="28"/>
        <v>0</v>
      </c>
      <c r="AE44" s="44">
        <f t="shared" si="29"/>
        <v>0</v>
      </c>
      <c r="AF44" s="52">
        <f>HLOOKUP(I44,ElecAvoidedCostsWOCC!$A$5:$Q$50,G44+1,FALSE)</f>
        <v>0.11346597036450218</v>
      </c>
      <c r="AG44" s="44">
        <f t="shared" si="30"/>
        <v>0</v>
      </c>
      <c r="AH44" s="52">
        <f>HLOOKUP(I44,ElecAvoidedCostsWOCC!$A$5:$Q$50,T44+1,FALSE)</f>
        <v>0.11346597036450218</v>
      </c>
      <c r="AI44" s="44">
        <f t="shared" si="31"/>
        <v>0</v>
      </c>
      <c r="AJ44" s="44">
        <f t="shared" si="32"/>
        <v>0</v>
      </c>
      <c r="AK44" s="44">
        <f>HLOOKUP(I44,ElecAvoidedCostsWOCC!$A$5:$Q$50,G44+1,FALSE)*J44*L44</f>
        <v>0</v>
      </c>
      <c r="AL44" s="44">
        <f t="shared" si="33"/>
        <v>0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4"/>
        <v>0</v>
      </c>
      <c r="AO44" s="47">
        <f t="shared" si="35"/>
        <v>0</v>
      </c>
      <c r="AP44" s="47">
        <f t="shared" si="36"/>
        <v>0</v>
      </c>
      <c r="AQ44">
        <v>2020</v>
      </c>
    </row>
    <row r="45" spans="2:43">
      <c r="B45" s="97" t="s">
        <v>74</v>
      </c>
      <c r="C45" s="100">
        <v>18230611</v>
      </c>
      <c r="D45" s="100" t="s">
        <v>75</v>
      </c>
      <c r="E45" s="38" t="s">
        <v>2501</v>
      </c>
      <c r="F45" s="39" t="s">
        <v>1549</v>
      </c>
      <c r="G45" s="39">
        <v>10</v>
      </c>
      <c r="H45" s="39"/>
      <c r="I45" s="40" t="s">
        <v>263</v>
      </c>
      <c r="J45" s="41">
        <v>44</v>
      </c>
      <c r="K45" s="41">
        <v>131</v>
      </c>
      <c r="L45" s="41"/>
      <c r="M45" s="42">
        <v>730.01</v>
      </c>
      <c r="N45" s="42">
        <v>730.01</v>
      </c>
      <c r="O45" s="43">
        <v>5764</v>
      </c>
      <c r="P45" s="44">
        <v>53526.04</v>
      </c>
      <c r="Q45" s="44">
        <v>53526.04</v>
      </c>
      <c r="R45" s="45">
        <v>2.52</v>
      </c>
      <c r="S45" s="46">
        <v>0</v>
      </c>
      <c r="T45" s="39">
        <f t="shared" si="19"/>
        <v>10</v>
      </c>
      <c r="U45" s="47">
        <f t="shared" si="20"/>
        <v>2.4975205803776795E-2</v>
      </c>
      <c r="V45" s="48">
        <f t="shared" si="21"/>
        <v>0</v>
      </c>
      <c r="W45" s="49">
        <f t="shared" si="22"/>
        <v>2.4975205803776795E-3</v>
      </c>
      <c r="X45" s="44">
        <f t="shared" si="23"/>
        <v>663.86197441246861</v>
      </c>
      <c r="Y45" s="44">
        <f t="shared" si="24"/>
        <v>0</v>
      </c>
      <c r="Z45" s="44">
        <f t="shared" si="25"/>
        <v>17795.345677356243</v>
      </c>
      <c r="AA45" s="522">
        <f t="shared" si="16"/>
        <v>55876.654722045525</v>
      </c>
      <c r="AB45" s="51">
        <f t="shared" si="26"/>
        <v>16635.828435408283</v>
      </c>
      <c r="AC45" s="44">
        <f t="shared" si="27"/>
        <v>52235.818193928688</v>
      </c>
      <c r="AD45" s="44">
        <f t="shared" si="28"/>
        <v>779.85583426295739</v>
      </c>
      <c r="AE45" s="44">
        <f t="shared" si="29"/>
        <v>0</v>
      </c>
      <c r="AF45" s="52">
        <f>HLOOKUP(I45,ElecAvoidedCostsWOCC!$A$5:$Q$50,G45+1,FALSE)</f>
        <v>0.73512510012695687</v>
      </c>
      <c r="AG45" s="44">
        <f t="shared" si="30"/>
        <v>4237.2610771317795</v>
      </c>
      <c r="AH45" s="52">
        <f>HLOOKUP(I45,ElecAvoidedCostsWOCC!$A$5:$Q$50,T45+1,FALSE)</f>
        <v>0.73512510012695687</v>
      </c>
      <c r="AI45" s="44">
        <f t="shared" si="31"/>
        <v>0</v>
      </c>
      <c r="AJ45" s="44">
        <f t="shared" si="32"/>
        <v>4237.2610771317795</v>
      </c>
      <c r="AK45" s="44">
        <f>HLOOKUP(I45,ElecAvoidedCostsWOCC!$A$5:$Q$50,G45+1,FALSE)*J45*L45</f>
        <v>0</v>
      </c>
      <c r="AL45" s="44">
        <f t="shared" si="33"/>
        <v>4237.2610771317795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4237.2610771317795</v>
      </c>
      <c r="AN45" s="48">
        <f t="shared" si="34"/>
        <v>5440.8430191079151</v>
      </c>
      <c r="AO45" s="47">
        <f t="shared" si="35"/>
        <v>0.25470694733260435</v>
      </c>
      <c r="AP45" s="47">
        <f t="shared" si="36"/>
        <v>0.10415923799467351</v>
      </c>
      <c r="AQ45">
        <v>2020</v>
      </c>
    </row>
    <row r="46" spans="2:43">
      <c r="B46" s="97" t="s">
        <v>74</v>
      </c>
      <c r="C46" s="100">
        <v>18230611</v>
      </c>
      <c r="D46" s="100" t="s">
        <v>75</v>
      </c>
      <c r="E46" s="38" t="s">
        <v>2502</v>
      </c>
      <c r="F46" s="39" t="s">
        <v>1551</v>
      </c>
      <c r="G46" s="39">
        <v>10</v>
      </c>
      <c r="H46" s="39"/>
      <c r="I46" s="40" t="s">
        <v>263</v>
      </c>
      <c r="J46" s="41">
        <v>41</v>
      </c>
      <c r="K46" s="41">
        <v>131</v>
      </c>
      <c r="L46" s="41"/>
      <c r="M46" s="42">
        <v>708.1</v>
      </c>
      <c r="N46" s="42">
        <v>708.1</v>
      </c>
      <c r="O46" s="43">
        <v>5371</v>
      </c>
      <c r="P46" s="44">
        <v>45202.559999999998</v>
      </c>
      <c r="Q46" s="44">
        <v>45202.559999999998</v>
      </c>
      <c r="R46" s="45">
        <v>2.52</v>
      </c>
      <c r="S46" s="46">
        <v>0</v>
      </c>
      <c r="T46" s="39">
        <f t="shared" si="19"/>
        <v>10</v>
      </c>
      <c r="U46" s="47">
        <f t="shared" si="20"/>
        <v>2.3272350862610196E-2</v>
      </c>
      <c r="V46" s="48">
        <f t="shared" si="21"/>
        <v>0</v>
      </c>
      <c r="W46" s="49">
        <f t="shared" si="22"/>
        <v>2.3272350862610196E-3</v>
      </c>
      <c r="X46" s="44">
        <f t="shared" si="23"/>
        <v>618.59865797525481</v>
      </c>
      <c r="Y46" s="44">
        <f t="shared" si="24"/>
        <v>0</v>
      </c>
      <c r="Z46" s="44">
        <f t="shared" si="25"/>
        <v>16582.026653900131</v>
      </c>
      <c r="AA46" s="522">
        <f t="shared" si="16"/>
        <v>47245.615656476322</v>
      </c>
      <c r="AB46" s="51">
        <f t="shared" si="26"/>
        <v>15501.567405721351</v>
      </c>
      <c r="AC46" s="44">
        <f t="shared" si="27"/>
        <v>44167.16430445575</v>
      </c>
      <c r="AD46" s="44">
        <f t="shared" si="28"/>
        <v>726.6838455632103</v>
      </c>
      <c r="AE46" s="44">
        <f t="shared" si="29"/>
        <v>0</v>
      </c>
      <c r="AF46" s="52">
        <f>HLOOKUP(I46,ElecAvoidedCostsWOCC!$A$5:$Q$50,G46+1,FALSE)</f>
        <v>0.73512510012695687</v>
      </c>
      <c r="AG46" s="44">
        <f t="shared" si="30"/>
        <v>3948.3569127818855</v>
      </c>
      <c r="AH46" s="52">
        <f>HLOOKUP(I46,ElecAvoidedCostsWOCC!$A$5:$Q$50,T46+1,FALSE)</f>
        <v>0.73512510012695687</v>
      </c>
      <c r="AI46" s="44">
        <f t="shared" si="31"/>
        <v>0</v>
      </c>
      <c r="AJ46" s="44">
        <f t="shared" si="32"/>
        <v>3948.3569127818855</v>
      </c>
      <c r="AK46" s="44">
        <f>HLOOKUP(I46,ElecAvoidedCostsWOCC!$A$5:$Q$50,G46+1,FALSE)*J46*L46</f>
        <v>0</v>
      </c>
      <c r="AL46" s="44">
        <f t="shared" si="33"/>
        <v>3948.3569127818855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3948.3569127818851</v>
      </c>
      <c r="AN46" s="48">
        <f t="shared" si="34"/>
        <v>5069.8764496232843</v>
      </c>
      <c r="AO46" s="47">
        <f t="shared" si="35"/>
        <v>0.25470694733260441</v>
      </c>
      <c r="AP46" s="47">
        <f t="shared" si="36"/>
        <v>0.11478836211162001</v>
      </c>
      <c r="AQ46">
        <v>2020</v>
      </c>
    </row>
    <row r="47" spans="2:43">
      <c r="B47" s="97" t="s">
        <v>74</v>
      </c>
      <c r="C47" s="100">
        <v>18230611</v>
      </c>
      <c r="D47" s="100" t="s">
        <v>75</v>
      </c>
      <c r="E47" s="38" t="s">
        <v>1552</v>
      </c>
      <c r="F47" s="39" t="s">
        <v>1553</v>
      </c>
      <c r="G47" s="39">
        <v>1</v>
      </c>
      <c r="H47" s="39"/>
      <c r="I47" s="40" t="s">
        <v>269</v>
      </c>
      <c r="J47" s="41">
        <v>1</v>
      </c>
      <c r="K47" s="41">
        <v>0</v>
      </c>
      <c r="L47" s="41"/>
      <c r="M47" s="42">
        <v>0</v>
      </c>
      <c r="N47" s="42">
        <v>0</v>
      </c>
      <c r="O47" s="43">
        <v>0</v>
      </c>
      <c r="P47" s="44">
        <v>1701.02</v>
      </c>
      <c r="Q47" s="44">
        <v>1701.02</v>
      </c>
      <c r="R47" s="45"/>
      <c r="S47" s="46"/>
      <c r="T47" s="39">
        <f t="shared" si="19"/>
        <v>1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22">
        <f t="shared" si="16"/>
        <v>1754.6238189781793</v>
      </c>
      <c r="AB47" s="51">
        <f t="shared" si="26"/>
        <v>0</v>
      </c>
      <c r="AC47" s="44">
        <f t="shared" si="27"/>
        <v>1640.2952407012986</v>
      </c>
      <c r="AD47" s="44">
        <f t="shared" si="28"/>
        <v>0</v>
      </c>
      <c r="AE47" s="44">
        <f t="shared" si="29"/>
        <v>0</v>
      </c>
      <c r="AF47" s="52">
        <f>HLOOKUP(I47,ElecAvoidedCostsWOCC!$A$5:$Q$50,G47+1,FALSE)</f>
        <v>0.11346597036450218</v>
      </c>
      <c r="AG47" s="44">
        <f t="shared" si="30"/>
        <v>0</v>
      </c>
      <c r="AH47" s="52">
        <f>HLOOKUP(I47,ElecAvoidedCostsWOCC!$A$5:$Q$50,T47+1,FALSE)</f>
        <v>0.11346597036450218</v>
      </c>
      <c r="AI47" s="44">
        <f t="shared" si="31"/>
        <v>0</v>
      </c>
      <c r="AJ47" s="44">
        <f t="shared" si="32"/>
        <v>0</v>
      </c>
      <c r="AK47" s="44">
        <f>HLOOKUP(I47,ElecAvoidedCostsWOCC!$A$5:$Q$50,G47+1,FALSE)*J47*L47</f>
        <v>0</v>
      </c>
      <c r="AL47" s="44">
        <f t="shared" si="33"/>
        <v>0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4"/>
        <v>0</v>
      </c>
      <c r="AO47" s="47">
        <f t="shared" si="35"/>
        <v>0</v>
      </c>
      <c r="AP47" s="47">
        <f t="shared" si="36"/>
        <v>0</v>
      </c>
      <c r="AQ47">
        <v>2020</v>
      </c>
    </row>
    <row r="48" spans="2:43">
      <c r="B48" s="97" t="s">
        <v>74</v>
      </c>
      <c r="C48" s="100">
        <v>18230611</v>
      </c>
      <c r="D48" s="100" t="s">
        <v>75</v>
      </c>
      <c r="E48" s="38" t="s">
        <v>1554</v>
      </c>
      <c r="F48" s="39" t="s">
        <v>1555</v>
      </c>
      <c r="G48" s="39">
        <v>1</v>
      </c>
      <c r="H48" s="39"/>
      <c r="I48" s="40" t="s">
        <v>269</v>
      </c>
      <c r="J48" s="41">
        <v>1</v>
      </c>
      <c r="K48" s="41">
        <v>0</v>
      </c>
      <c r="L48" s="41"/>
      <c r="M48" s="42">
        <v>0</v>
      </c>
      <c r="N48" s="42">
        <v>0</v>
      </c>
      <c r="O48" s="43">
        <v>0</v>
      </c>
      <c r="P48" s="44">
        <v>2260.96</v>
      </c>
      <c r="Q48" s="44">
        <v>2260.96</v>
      </c>
      <c r="R48" s="45"/>
      <c r="S48" s="46"/>
      <c r="T48" s="39">
        <f t="shared" si="19"/>
        <v>1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22">
        <f t="shared" si="16"/>
        <v>2332.2090685335297</v>
      </c>
      <c r="AB48" s="51">
        <f t="shared" si="26"/>
        <v>0</v>
      </c>
      <c r="AC48" s="44">
        <f t="shared" si="27"/>
        <v>2180.2459273941568</v>
      </c>
      <c r="AD48" s="44">
        <f t="shared" si="28"/>
        <v>0</v>
      </c>
      <c r="AE48" s="44">
        <f t="shared" si="29"/>
        <v>0</v>
      </c>
      <c r="AF48" s="52">
        <f>HLOOKUP(I48,ElecAvoidedCostsWOCC!$A$5:$Q$50,G48+1,FALSE)</f>
        <v>0.11346597036450218</v>
      </c>
      <c r="AG48" s="44">
        <f t="shared" si="30"/>
        <v>0</v>
      </c>
      <c r="AH48" s="52">
        <f>HLOOKUP(I48,ElecAvoidedCostsWOCC!$A$5:$Q$50,T48+1,FALSE)</f>
        <v>0.11346597036450218</v>
      </c>
      <c r="AI48" s="44">
        <f t="shared" si="31"/>
        <v>0</v>
      </c>
      <c r="AJ48" s="44">
        <f t="shared" si="32"/>
        <v>0</v>
      </c>
      <c r="AK48" s="44">
        <f>HLOOKUP(I48,ElecAvoidedCostsWOCC!$A$5:$Q$50,G48+1,FALSE)*J48*L48</f>
        <v>0</v>
      </c>
      <c r="AL48" s="44">
        <f t="shared" si="33"/>
        <v>0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4"/>
        <v>0</v>
      </c>
      <c r="AO48" s="47">
        <f t="shared" si="35"/>
        <v>0</v>
      </c>
      <c r="AP48" s="47">
        <f t="shared" si="36"/>
        <v>0</v>
      </c>
      <c r="AQ48">
        <v>2020</v>
      </c>
    </row>
    <row r="49" spans="2:43">
      <c r="B49" s="97" t="s">
        <v>74</v>
      </c>
      <c r="C49" s="100">
        <v>18230611</v>
      </c>
      <c r="D49" s="100" t="s">
        <v>75</v>
      </c>
      <c r="E49" s="38" t="s">
        <v>1556</v>
      </c>
      <c r="F49" s="39" t="s">
        <v>1557</v>
      </c>
      <c r="G49" s="39">
        <v>1</v>
      </c>
      <c r="H49" s="39"/>
      <c r="I49" s="40" t="s">
        <v>269</v>
      </c>
      <c r="J49" s="41">
        <v>4</v>
      </c>
      <c r="K49" s="41">
        <v>0</v>
      </c>
      <c r="L49" s="41"/>
      <c r="M49" s="42">
        <v>0</v>
      </c>
      <c r="N49" s="42">
        <v>0</v>
      </c>
      <c r="O49" s="43">
        <v>0</v>
      </c>
      <c r="P49" s="44">
        <v>2519.29</v>
      </c>
      <c r="Q49" s="44">
        <v>2519.29</v>
      </c>
      <c r="R49" s="45"/>
      <c r="S49" s="46"/>
      <c r="T49" s="39">
        <f t="shared" si="19"/>
        <v>1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22">
        <f t="shared" si="16"/>
        <v>2598.6797573888239</v>
      </c>
      <c r="AB49" s="51">
        <f t="shared" si="26"/>
        <v>0</v>
      </c>
      <c r="AC49" s="44">
        <f t="shared" si="27"/>
        <v>2429.3537976898415</v>
      </c>
      <c r="AD49" s="44">
        <f t="shared" si="28"/>
        <v>0</v>
      </c>
      <c r="AE49" s="44">
        <f t="shared" si="29"/>
        <v>0</v>
      </c>
      <c r="AF49" s="52">
        <f>HLOOKUP(I49,ElecAvoidedCostsWOCC!$A$5:$Q$50,G49+1,FALSE)</f>
        <v>0.11346597036450218</v>
      </c>
      <c r="AG49" s="44">
        <f t="shared" si="30"/>
        <v>0</v>
      </c>
      <c r="AH49" s="52">
        <f>HLOOKUP(I49,ElecAvoidedCostsWOCC!$A$5:$Q$50,T49+1,FALSE)</f>
        <v>0.11346597036450218</v>
      </c>
      <c r="AI49" s="44">
        <f t="shared" si="31"/>
        <v>0</v>
      </c>
      <c r="AJ49" s="44">
        <f t="shared" si="32"/>
        <v>0</v>
      </c>
      <c r="AK49" s="44">
        <f>HLOOKUP(I49,ElecAvoidedCostsWOCC!$A$5:$Q$50,G49+1,FALSE)*J49*L49</f>
        <v>0</v>
      </c>
      <c r="AL49" s="44">
        <f t="shared" si="33"/>
        <v>0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4"/>
        <v>0</v>
      </c>
      <c r="AO49" s="47">
        <f t="shared" si="35"/>
        <v>0</v>
      </c>
      <c r="AP49" s="47">
        <f t="shared" si="36"/>
        <v>0</v>
      </c>
      <c r="AQ49">
        <v>2020</v>
      </c>
    </row>
    <row r="50" spans="2:43">
      <c r="B50" s="97" t="s">
        <v>74</v>
      </c>
      <c r="C50" s="100">
        <v>18230611</v>
      </c>
      <c r="D50" s="100" t="s">
        <v>75</v>
      </c>
      <c r="E50" s="38" t="s">
        <v>1558</v>
      </c>
      <c r="F50" s="39" t="s">
        <v>1559</v>
      </c>
      <c r="G50" s="39">
        <v>1</v>
      </c>
      <c r="H50" s="39"/>
      <c r="I50" s="40" t="s">
        <v>269</v>
      </c>
      <c r="J50" s="41">
        <v>6</v>
      </c>
      <c r="K50" s="41">
        <v>0</v>
      </c>
      <c r="L50" s="41"/>
      <c r="M50" s="42">
        <v>0</v>
      </c>
      <c r="N50" s="42">
        <v>0</v>
      </c>
      <c r="O50" s="43">
        <v>0</v>
      </c>
      <c r="P50" s="44">
        <v>7494.17</v>
      </c>
      <c r="Q50" s="44">
        <v>7494.17</v>
      </c>
      <c r="R50" s="45"/>
      <c r="S50" s="46"/>
      <c r="T50" s="39">
        <f t="shared" si="19"/>
        <v>1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22">
        <f t="shared" si="16"/>
        <v>7730.3319099550281</v>
      </c>
      <c r="AB50" s="51">
        <f t="shared" si="26"/>
        <v>0</v>
      </c>
      <c r="AC50" s="44">
        <f t="shared" si="27"/>
        <v>7226.6354211040734</v>
      </c>
      <c r="AD50" s="44">
        <f t="shared" si="28"/>
        <v>0</v>
      </c>
      <c r="AE50" s="44">
        <f t="shared" si="29"/>
        <v>0</v>
      </c>
      <c r="AF50" s="52">
        <f>HLOOKUP(I50,ElecAvoidedCostsWOCC!$A$5:$Q$50,G50+1,FALSE)</f>
        <v>0.11346597036450218</v>
      </c>
      <c r="AG50" s="44">
        <f t="shared" si="30"/>
        <v>0</v>
      </c>
      <c r="AH50" s="52">
        <f>HLOOKUP(I50,ElecAvoidedCostsWOCC!$A$5:$Q$50,T50+1,FALSE)</f>
        <v>0.11346597036450218</v>
      </c>
      <c r="AI50" s="44">
        <f t="shared" si="31"/>
        <v>0</v>
      </c>
      <c r="AJ50" s="44">
        <f t="shared" si="32"/>
        <v>0</v>
      </c>
      <c r="AK50" s="44">
        <f>HLOOKUP(I50,ElecAvoidedCostsWOCC!$A$5:$Q$50,G50+1,FALSE)*J50*L50</f>
        <v>0</v>
      </c>
      <c r="AL50" s="44">
        <f t="shared" si="33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4"/>
        <v>0</v>
      </c>
      <c r="AO50" s="47">
        <f t="shared" si="35"/>
        <v>0</v>
      </c>
      <c r="AP50" s="47">
        <f t="shared" si="36"/>
        <v>0</v>
      </c>
      <c r="AQ50">
        <v>2020</v>
      </c>
    </row>
    <row r="51" spans="2:43">
      <c r="B51" s="97" t="s">
        <v>74</v>
      </c>
      <c r="C51" s="100">
        <v>18230611</v>
      </c>
      <c r="D51" s="100" t="s">
        <v>75</v>
      </c>
      <c r="E51" s="38" t="s">
        <v>1560</v>
      </c>
      <c r="F51" s="39" t="s">
        <v>1561</v>
      </c>
      <c r="G51" s="39">
        <v>1</v>
      </c>
      <c r="H51" s="39"/>
      <c r="I51" s="40" t="s">
        <v>269</v>
      </c>
      <c r="J51" s="41">
        <v>4</v>
      </c>
      <c r="K51" s="41">
        <v>0</v>
      </c>
      <c r="L51" s="41"/>
      <c r="M51" s="42">
        <v>0</v>
      </c>
      <c r="N51" s="42">
        <v>0</v>
      </c>
      <c r="O51" s="43">
        <v>0</v>
      </c>
      <c r="P51" s="44">
        <v>1209</v>
      </c>
      <c r="Q51" s="44">
        <v>1209</v>
      </c>
      <c r="R51" s="45"/>
      <c r="S51" s="46"/>
      <c r="T51" s="39">
        <f t="shared" si="19"/>
        <v>1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22">
        <f t="shared" si="16"/>
        <v>1247.0989154416873</v>
      </c>
      <c r="AB51" s="51">
        <f t="shared" si="26"/>
        <v>0</v>
      </c>
      <c r="AC51" s="44">
        <f t="shared" si="27"/>
        <v>1165.8398760789821</v>
      </c>
      <c r="AD51" s="44">
        <f t="shared" si="28"/>
        <v>0</v>
      </c>
      <c r="AE51" s="44">
        <f t="shared" si="29"/>
        <v>0</v>
      </c>
      <c r="AF51" s="52">
        <f>HLOOKUP(I51,ElecAvoidedCostsWOCC!$A$5:$Q$50,G51+1,FALSE)</f>
        <v>0.11346597036450218</v>
      </c>
      <c r="AG51" s="44">
        <f t="shared" si="30"/>
        <v>0</v>
      </c>
      <c r="AH51" s="52">
        <f>HLOOKUP(I51,ElecAvoidedCostsWOCC!$A$5:$Q$50,T51+1,FALSE)</f>
        <v>0.11346597036450218</v>
      </c>
      <c r="AI51" s="44">
        <f t="shared" si="31"/>
        <v>0</v>
      </c>
      <c r="AJ51" s="44">
        <f t="shared" si="32"/>
        <v>0</v>
      </c>
      <c r="AK51" s="44">
        <f>HLOOKUP(I51,ElecAvoidedCostsWOCC!$A$5:$Q$50,G51+1,FALSE)*J51*L51</f>
        <v>0</v>
      </c>
      <c r="AL51" s="44">
        <f t="shared" si="33"/>
        <v>0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4"/>
        <v>0</v>
      </c>
      <c r="AO51" s="47">
        <f t="shared" si="35"/>
        <v>0</v>
      </c>
      <c r="AP51" s="47">
        <f t="shared" si="36"/>
        <v>0</v>
      </c>
      <c r="AQ51">
        <v>2020</v>
      </c>
    </row>
    <row r="52" spans="2:43">
      <c r="B52" s="97" t="s">
        <v>74</v>
      </c>
      <c r="C52" s="100">
        <v>18230611</v>
      </c>
      <c r="D52" s="100" t="s">
        <v>75</v>
      </c>
      <c r="E52" s="38" t="s">
        <v>2503</v>
      </c>
      <c r="F52" s="39" t="s">
        <v>2504</v>
      </c>
      <c r="G52" s="39">
        <v>1</v>
      </c>
      <c r="H52" s="39"/>
      <c r="I52" s="40" t="s">
        <v>269</v>
      </c>
      <c r="J52" s="41">
        <v>45</v>
      </c>
      <c r="K52" s="41">
        <v>0</v>
      </c>
      <c r="L52" s="41"/>
      <c r="M52" s="42">
        <v>0</v>
      </c>
      <c r="N52" s="42">
        <v>0</v>
      </c>
      <c r="O52" s="43">
        <v>0</v>
      </c>
      <c r="P52" s="44">
        <v>237435.72</v>
      </c>
      <c r="Q52" s="44">
        <v>237435.72</v>
      </c>
      <c r="R52" s="45">
        <v>0</v>
      </c>
      <c r="S52" s="46">
        <v>0</v>
      </c>
      <c r="T52" s="39">
        <f t="shared" si="19"/>
        <v>1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22">
        <f t="shared" si="16"/>
        <v>244917.97262127057</v>
      </c>
      <c r="AB52" s="51">
        <f t="shared" si="26"/>
        <v>0</v>
      </c>
      <c r="AC52" s="44">
        <f t="shared" si="27"/>
        <v>228959.49576635557</v>
      </c>
      <c r="AD52" s="44">
        <f t="shared" si="28"/>
        <v>0</v>
      </c>
      <c r="AE52" s="44">
        <f t="shared" si="29"/>
        <v>0</v>
      </c>
      <c r="AF52" s="52">
        <f>HLOOKUP(I52,ElecAvoidedCostsWOCC!$A$5:$Q$50,G52+1,FALSE)</f>
        <v>0.11346597036450218</v>
      </c>
      <c r="AG52" s="44">
        <f t="shared" si="30"/>
        <v>0</v>
      </c>
      <c r="AH52" s="52">
        <f>HLOOKUP(I52,ElecAvoidedCostsWOCC!$A$5:$Q$50,T52+1,FALSE)</f>
        <v>0.11346597036450218</v>
      </c>
      <c r="AI52" s="44">
        <f t="shared" si="31"/>
        <v>0</v>
      </c>
      <c r="AJ52" s="44">
        <f t="shared" si="32"/>
        <v>0</v>
      </c>
      <c r="AK52" s="44">
        <f>HLOOKUP(I52,ElecAvoidedCostsWOCC!$A$5:$Q$50,G52+1,FALSE)*J52*L52</f>
        <v>0</v>
      </c>
      <c r="AL52" s="44">
        <f t="shared" si="33"/>
        <v>0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4"/>
        <v>0</v>
      </c>
      <c r="AO52" s="47">
        <f t="shared" si="35"/>
        <v>0</v>
      </c>
      <c r="AP52" s="47">
        <f t="shared" si="36"/>
        <v>0</v>
      </c>
      <c r="AQ52">
        <v>2020</v>
      </c>
    </row>
    <row r="53" spans="2:43">
      <c r="B53" s="97" t="s">
        <v>74</v>
      </c>
      <c r="C53" s="100">
        <v>18230611</v>
      </c>
      <c r="D53" s="100" t="s">
        <v>75</v>
      </c>
      <c r="E53" s="38" t="s">
        <v>1564</v>
      </c>
      <c r="F53" s="39" t="s">
        <v>1565</v>
      </c>
      <c r="G53" s="39">
        <v>1</v>
      </c>
      <c r="H53" s="39"/>
      <c r="I53" s="40" t="s">
        <v>269</v>
      </c>
      <c r="J53" s="41">
        <v>6</v>
      </c>
      <c r="K53" s="41">
        <v>0</v>
      </c>
      <c r="L53" s="41"/>
      <c r="M53" s="42">
        <v>0</v>
      </c>
      <c r="N53" s="42">
        <v>0</v>
      </c>
      <c r="O53" s="43">
        <v>0</v>
      </c>
      <c r="P53" s="44">
        <v>1847.61</v>
      </c>
      <c r="Q53" s="44">
        <v>1847.61</v>
      </c>
      <c r="R53" s="45"/>
      <c r="S53" s="46"/>
      <c r="T53" s="39">
        <f t="shared" si="19"/>
        <v>1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22">
        <f t="shared" si="16"/>
        <v>1905.8332730845455</v>
      </c>
      <c r="AB53" s="51">
        <f t="shared" si="26"/>
        <v>0</v>
      </c>
      <c r="AC53" s="44">
        <f t="shared" si="27"/>
        <v>1781.6521202996591</v>
      </c>
      <c r="AD53" s="44">
        <f t="shared" si="28"/>
        <v>0</v>
      </c>
      <c r="AE53" s="44">
        <f t="shared" si="29"/>
        <v>0</v>
      </c>
      <c r="AF53" s="52">
        <f>HLOOKUP(I53,ElecAvoidedCostsWOCC!$A$5:$Q$50,G53+1,FALSE)</f>
        <v>0.11346597036450218</v>
      </c>
      <c r="AG53" s="44">
        <f t="shared" si="30"/>
        <v>0</v>
      </c>
      <c r="AH53" s="52">
        <f>HLOOKUP(I53,ElecAvoidedCostsWOCC!$A$5:$Q$50,T53+1,FALSE)</f>
        <v>0.11346597036450218</v>
      </c>
      <c r="AI53" s="44">
        <f t="shared" si="31"/>
        <v>0</v>
      </c>
      <c r="AJ53" s="44">
        <f t="shared" si="32"/>
        <v>0</v>
      </c>
      <c r="AK53" s="44">
        <f>HLOOKUP(I53,ElecAvoidedCostsWOCC!$A$5:$Q$50,G53+1,FALSE)*J53*L53</f>
        <v>0</v>
      </c>
      <c r="AL53" s="44">
        <f t="shared" si="33"/>
        <v>0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4"/>
        <v>0</v>
      </c>
      <c r="AO53" s="47">
        <f t="shared" si="35"/>
        <v>0</v>
      </c>
      <c r="AP53" s="47">
        <f t="shared" si="36"/>
        <v>0</v>
      </c>
      <c r="AQ53">
        <v>2020</v>
      </c>
    </row>
    <row r="54" spans="2:43">
      <c r="B54" s="97" t="s">
        <v>74</v>
      </c>
      <c r="C54" s="100">
        <v>18230611</v>
      </c>
      <c r="D54" s="100" t="s">
        <v>75</v>
      </c>
      <c r="E54" s="38" t="s">
        <v>1566</v>
      </c>
      <c r="F54" s="39" t="s">
        <v>1567</v>
      </c>
      <c r="G54" s="39">
        <v>1</v>
      </c>
      <c r="H54" s="39"/>
      <c r="I54" s="40" t="s">
        <v>269</v>
      </c>
      <c r="J54" s="41">
        <v>2</v>
      </c>
      <c r="K54" s="41">
        <v>0</v>
      </c>
      <c r="L54" s="41"/>
      <c r="M54" s="42">
        <v>0</v>
      </c>
      <c r="N54" s="42">
        <v>0</v>
      </c>
      <c r="O54" s="43">
        <v>0</v>
      </c>
      <c r="P54" s="44">
        <v>9893.16</v>
      </c>
      <c r="Q54" s="44">
        <v>9893.16</v>
      </c>
      <c r="R54" s="45"/>
      <c r="S54" s="46"/>
      <c r="T54" s="39">
        <f t="shared" si="19"/>
        <v>1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22">
        <f t="shared" si="16"/>
        <v>10204.920683450027</v>
      </c>
      <c r="AB54" s="51">
        <f t="shared" si="26"/>
        <v>0</v>
      </c>
      <c r="AC54" s="44">
        <f t="shared" si="27"/>
        <v>9539.98381176968</v>
      </c>
      <c r="AD54" s="44">
        <f t="shared" si="28"/>
        <v>0</v>
      </c>
      <c r="AE54" s="44">
        <f t="shared" si="29"/>
        <v>0</v>
      </c>
      <c r="AF54" s="52">
        <f>HLOOKUP(I54,ElecAvoidedCostsWOCC!$A$5:$Q$50,G54+1,FALSE)</f>
        <v>0.11346597036450218</v>
      </c>
      <c r="AG54" s="44">
        <f t="shared" si="30"/>
        <v>0</v>
      </c>
      <c r="AH54" s="52">
        <f>HLOOKUP(I54,ElecAvoidedCostsWOCC!$A$5:$Q$50,T54+1,FALSE)</f>
        <v>0.11346597036450218</v>
      </c>
      <c r="AI54" s="44">
        <f t="shared" si="31"/>
        <v>0</v>
      </c>
      <c r="AJ54" s="44">
        <f t="shared" si="32"/>
        <v>0</v>
      </c>
      <c r="AK54" s="44">
        <f>HLOOKUP(I54,ElecAvoidedCostsWOCC!$A$5:$Q$50,G54+1,FALSE)*J54*L54</f>
        <v>0</v>
      </c>
      <c r="AL54" s="44">
        <f t="shared" si="33"/>
        <v>0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4"/>
        <v>0</v>
      </c>
      <c r="AO54" s="47">
        <f t="shared" si="35"/>
        <v>0</v>
      </c>
      <c r="AP54" s="47">
        <f t="shared" si="36"/>
        <v>0</v>
      </c>
      <c r="AQ54">
        <v>2020</v>
      </c>
    </row>
    <row r="55" spans="2:43">
      <c r="B55" s="97" t="s">
        <v>74</v>
      </c>
      <c r="C55" s="100">
        <v>18230611</v>
      </c>
      <c r="D55" s="100" t="s">
        <v>75</v>
      </c>
      <c r="E55" s="38" t="s">
        <v>1568</v>
      </c>
      <c r="F55" s="39" t="s">
        <v>1569</v>
      </c>
      <c r="G55" s="39">
        <v>1</v>
      </c>
      <c r="H55" s="39"/>
      <c r="I55" s="40" t="s">
        <v>269</v>
      </c>
      <c r="J55" s="41">
        <v>6</v>
      </c>
      <c r="K55" s="41">
        <v>0</v>
      </c>
      <c r="L55" s="41"/>
      <c r="M55" s="42">
        <v>0</v>
      </c>
      <c r="N55" s="42">
        <v>0</v>
      </c>
      <c r="O55" s="43">
        <v>0</v>
      </c>
      <c r="P55" s="44">
        <v>3610.22</v>
      </c>
      <c r="Q55" s="44">
        <v>3610.22</v>
      </c>
      <c r="R55" s="45"/>
      <c r="S55" s="46"/>
      <c r="T55" s="39">
        <f t="shared" si="19"/>
        <v>1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22">
        <f t="shared" si="16"/>
        <v>3723.9879623704614</v>
      </c>
      <c r="AB55" s="51">
        <f t="shared" si="26"/>
        <v>0</v>
      </c>
      <c r="AC55" s="44">
        <f t="shared" si="27"/>
        <v>3481.3386579138646</v>
      </c>
      <c r="AD55" s="44">
        <f t="shared" si="28"/>
        <v>0</v>
      </c>
      <c r="AE55" s="44">
        <f t="shared" si="29"/>
        <v>0</v>
      </c>
      <c r="AF55" s="52">
        <f>HLOOKUP(I55,ElecAvoidedCostsWOCC!$A$5:$Q$50,G55+1,FALSE)</f>
        <v>0.11346597036450218</v>
      </c>
      <c r="AG55" s="44">
        <f t="shared" si="30"/>
        <v>0</v>
      </c>
      <c r="AH55" s="52">
        <f>HLOOKUP(I55,ElecAvoidedCostsWOCC!$A$5:$Q$50,T55+1,FALSE)</f>
        <v>0.11346597036450218</v>
      </c>
      <c r="AI55" s="44">
        <f t="shared" si="31"/>
        <v>0</v>
      </c>
      <c r="AJ55" s="44">
        <f t="shared" si="32"/>
        <v>0</v>
      </c>
      <c r="AK55" s="44">
        <f>HLOOKUP(I55,ElecAvoidedCostsWOCC!$A$5:$Q$50,G55+1,FALSE)*J55*L55</f>
        <v>0</v>
      </c>
      <c r="AL55" s="44">
        <f t="shared" si="33"/>
        <v>0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4"/>
        <v>0</v>
      </c>
      <c r="AO55" s="47">
        <f t="shared" si="35"/>
        <v>0</v>
      </c>
      <c r="AP55" s="47">
        <f t="shared" si="36"/>
        <v>0</v>
      </c>
      <c r="AQ55">
        <v>2020</v>
      </c>
    </row>
    <row r="56" spans="2:43">
      <c r="B56" s="97" t="s">
        <v>74</v>
      </c>
      <c r="C56" s="100">
        <v>18230611</v>
      </c>
      <c r="D56" s="100" t="s">
        <v>75</v>
      </c>
      <c r="E56" s="38" t="s">
        <v>1572</v>
      </c>
      <c r="F56" s="39" t="s">
        <v>1573</v>
      </c>
      <c r="G56" s="39">
        <v>1</v>
      </c>
      <c r="H56" s="39"/>
      <c r="I56" s="40" t="s">
        <v>269</v>
      </c>
      <c r="J56" s="41">
        <v>2</v>
      </c>
      <c r="K56" s="41">
        <v>0</v>
      </c>
      <c r="L56" s="41"/>
      <c r="M56" s="42">
        <v>0</v>
      </c>
      <c r="N56" s="42">
        <v>0</v>
      </c>
      <c r="O56" s="43">
        <v>0</v>
      </c>
      <c r="P56" s="44">
        <v>3561.76</v>
      </c>
      <c r="Q56" s="44">
        <v>3561.76</v>
      </c>
      <c r="R56" s="45"/>
      <c r="S56" s="46"/>
      <c r="T56" s="39">
        <f t="shared" si="19"/>
        <v>1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22">
        <f t="shared" si="16"/>
        <v>3674.0008544777374</v>
      </c>
      <c r="AB56" s="51">
        <f t="shared" si="26"/>
        <v>0</v>
      </c>
      <c r="AC56" s="44">
        <f t="shared" si="27"/>
        <v>3434.6086327734292</v>
      </c>
      <c r="AD56" s="44">
        <f t="shared" si="28"/>
        <v>0</v>
      </c>
      <c r="AE56" s="44">
        <f t="shared" si="29"/>
        <v>0</v>
      </c>
      <c r="AF56" s="52">
        <f>HLOOKUP(I56,ElecAvoidedCostsWOCC!$A$5:$Q$50,G56+1,FALSE)</f>
        <v>0.11346597036450218</v>
      </c>
      <c r="AG56" s="44">
        <f t="shared" si="30"/>
        <v>0</v>
      </c>
      <c r="AH56" s="52">
        <f>HLOOKUP(I56,ElecAvoidedCostsWOCC!$A$5:$Q$50,T56+1,FALSE)</f>
        <v>0.11346597036450218</v>
      </c>
      <c r="AI56" s="44">
        <f t="shared" si="31"/>
        <v>0</v>
      </c>
      <c r="AJ56" s="44">
        <f t="shared" si="32"/>
        <v>0</v>
      </c>
      <c r="AK56" s="44">
        <f>HLOOKUP(I56,ElecAvoidedCostsWOCC!$A$5:$Q$50,G56+1,FALSE)*J56*L56</f>
        <v>0</v>
      </c>
      <c r="AL56" s="44">
        <f t="shared" si="33"/>
        <v>0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4"/>
        <v>0</v>
      </c>
      <c r="AO56" s="47">
        <f t="shared" si="35"/>
        <v>0</v>
      </c>
      <c r="AP56" s="47">
        <f t="shared" si="36"/>
        <v>0</v>
      </c>
      <c r="AQ56">
        <v>2020</v>
      </c>
    </row>
    <row r="57" spans="2:43">
      <c r="B57" s="97" t="s">
        <v>74</v>
      </c>
      <c r="C57" s="100">
        <v>18230611</v>
      </c>
      <c r="D57" s="100" t="s">
        <v>75</v>
      </c>
      <c r="E57" s="38" t="s">
        <v>1576</v>
      </c>
      <c r="F57" s="39" t="s">
        <v>1577</v>
      </c>
      <c r="G57" s="39">
        <v>1</v>
      </c>
      <c r="H57" s="39"/>
      <c r="I57" s="40" t="s">
        <v>269</v>
      </c>
      <c r="J57" s="41">
        <v>5</v>
      </c>
      <c r="K57" s="41">
        <v>0</v>
      </c>
      <c r="L57" s="41"/>
      <c r="M57" s="42">
        <v>0</v>
      </c>
      <c r="N57" s="42">
        <v>0</v>
      </c>
      <c r="O57" s="43">
        <v>0</v>
      </c>
      <c r="P57" s="44">
        <v>10562.34</v>
      </c>
      <c r="Q57" s="44">
        <v>10562.34</v>
      </c>
      <c r="R57" s="45"/>
      <c r="S57" s="46"/>
      <c r="T57" s="39">
        <f t="shared" si="19"/>
        <v>1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22">
        <f t="shared" si="16"/>
        <v>10895.188385877875</v>
      </c>
      <c r="AB57" s="51">
        <f t="shared" si="26"/>
        <v>0</v>
      </c>
      <c r="AC57" s="44">
        <f t="shared" si="27"/>
        <v>10185.274736727937</v>
      </c>
      <c r="AD57" s="44">
        <f t="shared" si="28"/>
        <v>0</v>
      </c>
      <c r="AE57" s="44">
        <f t="shared" si="29"/>
        <v>0</v>
      </c>
      <c r="AF57" s="52">
        <f>HLOOKUP(I57,ElecAvoidedCostsWOCC!$A$5:$Q$50,G57+1,FALSE)</f>
        <v>0.11346597036450218</v>
      </c>
      <c r="AG57" s="44">
        <f t="shared" si="30"/>
        <v>0</v>
      </c>
      <c r="AH57" s="52">
        <f>HLOOKUP(I57,ElecAvoidedCostsWOCC!$A$5:$Q$50,T57+1,FALSE)</f>
        <v>0.11346597036450218</v>
      </c>
      <c r="AI57" s="44">
        <f t="shared" si="31"/>
        <v>0</v>
      </c>
      <c r="AJ57" s="44">
        <f t="shared" si="32"/>
        <v>0</v>
      </c>
      <c r="AK57" s="44">
        <f>HLOOKUP(I57,ElecAvoidedCostsWOCC!$A$5:$Q$50,G57+1,FALSE)*J57*L57</f>
        <v>0</v>
      </c>
      <c r="AL57" s="44">
        <f t="shared" si="33"/>
        <v>0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4"/>
        <v>0</v>
      </c>
      <c r="AO57" s="47">
        <f t="shared" si="35"/>
        <v>0</v>
      </c>
      <c r="AP57" s="47">
        <f t="shared" si="36"/>
        <v>0</v>
      </c>
      <c r="AQ57">
        <v>2020</v>
      </c>
    </row>
    <row r="58" spans="2:43">
      <c r="B58" s="97" t="s">
        <v>74</v>
      </c>
      <c r="C58" s="100">
        <v>18230611</v>
      </c>
      <c r="D58" s="100" t="s">
        <v>75</v>
      </c>
      <c r="E58" s="38" t="s">
        <v>2505</v>
      </c>
      <c r="F58" s="39" t="s">
        <v>2506</v>
      </c>
      <c r="G58" s="39">
        <v>1</v>
      </c>
      <c r="H58" s="39"/>
      <c r="I58" s="40" t="s">
        <v>269</v>
      </c>
      <c r="J58" s="41">
        <v>1</v>
      </c>
      <c r="K58" s="41">
        <v>0</v>
      </c>
      <c r="L58" s="41"/>
      <c r="M58" s="42">
        <v>0</v>
      </c>
      <c r="N58" s="42">
        <v>0</v>
      </c>
      <c r="O58" s="43">
        <v>0</v>
      </c>
      <c r="P58" s="44">
        <v>4917.59</v>
      </c>
      <c r="Q58" s="44">
        <v>4917.59</v>
      </c>
      <c r="R58" s="45"/>
      <c r="S58" s="46"/>
      <c r="T58" s="39">
        <f t="shared" si="19"/>
        <v>1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22">
        <f t="shared" si="16"/>
        <v>5072.5567870859277</v>
      </c>
      <c r="AB58" s="51">
        <f t="shared" si="26"/>
        <v>0</v>
      </c>
      <c r="AC58" s="44">
        <f t="shared" si="27"/>
        <v>4742.0368206842359</v>
      </c>
      <c r="AD58" s="44">
        <f t="shared" si="28"/>
        <v>0</v>
      </c>
      <c r="AE58" s="44">
        <f t="shared" si="29"/>
        <v>0</v>
      </c>
      <c r="AF58" s="52">
        <f>HLOOKUP(I58,ElecAvoidedCostsWOCC!$A$5:$Q$50,G58+1,FALSE)</f>
        <v>0.11346597036450218</v>
      </c>
      <c r="AG58" s="44">
        <f t="shared" si="30"/>
        <v>0</v>
      </c>
      <c r="AH58" s="52">
        <f>HLOOKUP(I58,ElecAvoidedCostsWOCC!$A$5:$Q$50,T58+1,FALSE)</f>
        <v>0.11346597036450218</v>
      </c>
      <c r="AI58" s="44">
        <f t="shared" si="31"/>
        <v>0</v>
      </c>
      <c r="AJ58" s="44">
        <f t="shared" si="32"/>
        <v>0</v>
      </c>
      <c r="AK58" s="44">
        <f>HLOOKUP(I58,ElecAvoidedCostsWOCC!$A$5:$Q$50,G58+1,FALSE)*J58*L58</f>
        <v>0</v>
      </c>
      <c r="AL58" s="44">
        <f t="shared" si="33"/>
        <v>0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4"/>
        <v>0</v>
      </c>
      <c r="AO58" s="47">
        <f t="shared" si="35"/>
        <v>0</v>
      </c>
      <c r="AP58" s="47">
        <f t="shared" si="36"/>
        <v>0</v>
      </c>
      <c r="AQ58">
        <v>2020</v>
      </c>
    </row>
    <row r="59" spans="2:43">
      <c r="B59" s="97" t="s">
        <v>74</v>
      </c>
      <c r="C59" s="100">
        <v>18230611</v>
      </c>
      <c r="D59" s="100" t="s">
        <v>75</v>
      </c>
      <c r="E59" s="38" t="s">
        <v>1578</v>
      </c>
      <c r="F59" s="39" t="s">
        <v>1579</v>
      </c>
      <c r="G59" s="39">
        <v>30</v>
      </c>
      <c r="H59" s="39"/>
      <c r="I59" s="40" t="s">
        <v>267</v>
      </c>
      <c r="J59" s="41">
        <v>62</v>
      </c>
      <c r="K59" s="41">
        <v>0</v>
      </c>
      <c r="L59" s="41"/>
      <c r="M59" s="42">
        <v>0.95</v>
      </c>
      <c r="N59" s="42">
        <v>0.95</v>
      </c>
      <c r="O59" s="43">
        <v>0</v>
      </c>
      <c r="P59" s="44">
        <v>128846.32</v>
      </c>
      <c r="Q59" s="44">
        <v>128846.32</v>
      </c>
      <c r="R59" s="45">
        <v>0</v>
      </c>
      <c r="S59" s="46"/>
      <c r="T59" s="39">
        <f t="shared" si="19"/>
        <v>30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22">
        <f t="shared" si="16"/>
        <v>132906.62194429492</v>
      </c>
      <c r="AB59" s="51">
        <f t="shared" si="26"/>
        <v>0</v>
      </c>
      <c r="AC59" s="44">
        <f t="shared" si="27"/>
        <v>124246.63171384025</v>
      </c>
      <c r="AD59" s="44">
        <f t="shared" si="28"/>
        <v>0</v>
      </c>
      <c r="AE59" s="44">
        <f t="shared" si="29"/>
        <v>0</v>
      </c>
      <c r="AF59" s="52">
        <f>HLOOKUP(I59,ElecAvoidedCostsWOCC!$A$5:$Q$50,G59+1,FALSE)</f>
        <v>2.1643436258224993</v>
      </c>
      <c r="AG59" s="44">
        <f t="shared" si="30"/>
        <v>0</v>
      </c>
      <c r="AH59" s="52">
        <f>HLOOKUP(I59,ElecAvoidedCostsWOCC!$A$5:$Q$50,T59+1,FALSE)</f>
        <v>2.1643436258224993</v>
      </c>
      <c r="AI59" s="44">
        <f t="shared" si="31"/>
        <v>0</v>
      </c>
      <c r="AJ59" s="44">
        <f t="shared" si="32"/>
        <v>0</v>
      </c>
      <c r="AK59" s="44">
        <f>HLOOKUP(I59,ElecAvoidedCostsWOCC!$A$5:$Q$50,G59+1,FALSE)*J59*L59</f>
        <v>0</v>
      </c>
      <c r="AL59" s="44">
        <f t="shared" si="33"/>
        <v>0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4"/>
        <v>0</v>
      </c>
      <c r="AO59" s="47">
        <f t="shared" si="35"/>
        <v>0</v>
      </c>
      <c r="AP59" s="47">
        <f t="shared" si="36"/>
        <v>0</v>
      </c>
      <c r="AQ59">
        <v>2020</v>
      </c>
    </row>
    <row r="60" spans="2:43">
      <c r="B60" s="97" t="s">
        <v>74</v>
      </c>
      <c r="C60" s="100">
        <v>18230611</v>
      </c>
      <c r="D60" s="100" t="s">
        <v>75</v>
      </c>
      <c r="E60" s="38" t="s">
        <v>2507</v>
      </c>
      <c r="F60" s="39" t="s">
        <v>2508</v>
      </c>
      <c r="G60" s="39">
        <v>30</v>
      </c>
      <c r="H60" s="39"/>
      <c r="I60" s="40" t="s">
        <v>267</v>
      </c>
      <c r="J60" s="41">
        <v>8</v>
      </c>
      <c r="K60" s="41">
        <v>0</v>
      </c>
      <c r="L60" s="41"/>
      <c r="M60" s="42">
        <v>100</v>
      </c>
      <c r="N60" s="42">
        <v>100</v>
      </c>
      <c r="O60" s="43">
        <v>0</v>
      </c>
      <c r="P60" s="44">
        <v>1040</v>
      </c>
      <c r="Q60" s="44">
        <v>1040</v>
      </c>
      <c r="R60" s="45">
        <v>0</v>
      </c>
      <c r="S60" s="46">
        <v>0</v>
      </c>
      <c r="T60" s="39">
        <f t="shared" si="19"/>
        <v>30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22">
        <f t="shared" si="16"/>
        <v>1072.7732605949998</v>
      </c>
      <c r="AB60" s="51">
        <f t="shared" si="26"/>
        <v>0</v>
      </c>
      <c r="AC60" s="44">
        <f t="shared" si="27"/>
        <v>1002.8730116808448</v>
      </c>
      <c r="AD60" s="44">
        <f t="shared" si="28"/>
        <v>0</v>
      </c>
      <c r="AE60" s="44">
        <f t="shared" si="29"/>
        <v>0</v>
      </c>
      <c r="AF60" s="52">
        <f>HLOOKUP(I60,ElecAvoidedCostsWOCC!$A$5:$Q$50,G60+1,FALSE)</f>
        <v>2.1643436258224993</v>
      </c>
      <c r="AG60" s="44">
        <f t="shared" si="30"/>
        <v>0</v>
      </c>
      <c r="AH60" s="52">
        <f>HLOOKUP(I60,ElecAvoidedCostsWOCC!$A$5:$Q$50,T60+1,FALSE)</f>
        <v>2.1643436258224993</v>
      </c>
      <c r="AI60" s="44">
        <f t="shared" si="31"/>
        <v>0</v>
      </c>
      <c r="AJ60" s="44">
        <f t="shared" si="32"/>
        <v>0</v>
      </c>
      <c r="AK60" s="44">
        <f>HLOOKUP(I60,ElecAvoidedCostsWOCC!$A$5:$Q$50,G60+1,FALSE)*J60*L60</f>
        <v>0</v>
      </c>
      <c r="AL60" s="44">
        <f t="shared" si="33"/>
        <v>0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4"/>
        <v>0</v>
      </c>
      <c r="AO60" s="47">
        <f t="shared" si="35"/>
        <v>0</v>
      </c>
      <c r="AP60" s="47">
        <f t="shared" si="36"/>
        <v>0</v>
      </c>
      <c r="AQ60">
        <v>2020</v>
      </c>
    </row>
    <row r="61" spans="2:43">
      <c r="B61" s="97" t="s">
        <v>74</v>
      </c>
      <c r="C61" s="100">
        <v>18230611</v>
      </c>
      <c r="D61" s="100" t="s">
        <v>75</v>
      </c>
      <c r="E61" s="38" t="s">
        <v>1580</v>
      </c>
      <c r="F61" s="39" t="s">
        <v>1581</v>
      </c>
      <c r="G61" s="39">
        <v>30</v>
      </c>
      <c r="H61" s="39"/>
      <c r="I61" s="40" t="s">
        <v>267</v>
      </c>
      <c r="J61" s="41">
        <v>6</v>
      </c>
      <c r="K61" s="41">
        <v>0</v>
      </c>
      <c r="L61" s="41"/>
      <c r="M61" s="42">
        <v>0.95</v>
      </c>
      <c r="N61" s="42">
        <v>0.95</v>
      </c>
      <c r="O61" s="43">
        <v>0</v>
      </c>
      <c r="P61" s="44">
        <v>11313.84</v>
      </c>
      <c r="Q61" s="44">
        <v>11313.84</v>
      </c>
      <c r="R61" s="45">
        <v>0</v>
      </c>
      <c r="S61" s="46"/>
      <c r="T61" s="39">
        <f t="shared" si="19"/>
        <v>30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22">
        <f t="shared" si="16"/>
        <v>11670.370217932819</v>
      </c>
      <c r="AB61" s="51">
        <f t="shared" si="26"/>
        <v>0</v>
      </c>
      <c r="AC61" s="44">
        <f t="shared" si="27"/>
        <v>10909.946917764624</v>
      </c>
      <c r="AD61" s="44">
        <f t="shared" si="28"/>
        <v>0</v>
      </c>
      <c r="AE61" s="44">
        <f t="shared" si="29"/>
        <v>0</v>
      </c>
      <c r="AF61" s="52">
        <f>HLOOKUP(I61,ElecAvoidedCostsWOCC!$A$5:$Q$50,G61+1,FALSE)</f>
        <v>2.1643436258224993</v>
      </c>
      <c r="AG61" s="44">
        <f t="shared" si="30"/>
        <v>0</v>
      </c>
      <c r="AH61" s="52">
        <f>HLOOKUP(I61,ElecAvoidedCostsWOCC!$A$5:$Q$50,T61+1,FALSE)</f>
        <v>2.1643436258224993</v>
      </c>
      <c r="AI61" s="44">
        <f t="shared" si="31"/>
        <v>0</v>
      </c>
      <c r="AJ61" s="44">
        <f t="shared" si="32"/>
        <v>0</v>
      </c>
      <c r="AK61" s="44">
        <f>HLOOKUP(I61,ElecAvoidedCostsWOCC!$A$5:$Q$50,G61+1,FALSE)*J61*L61</f>
        <v>0</v>
      </c>
      <c r="AL61" s="44">
        <f t="shared" si="33"/>
        <v>0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4"/>
        <v>0</v>
      </c>
      <c r="AO61" s="47">
        <f t="shared" si="35"/>
        <v>0</v>
      </c>
      <c r="AP61" s="47">
        <f t="shared" si="36"/>
        <v>0</v>
      </c>
      <c r="AQ61">
        <v>2020</v>
      </c>
    </row>
    <row r="62" spans="2:43">
      <c r="B62" s="97" t="s">
        <v>74</v>
      </c>
      <c r="C62" s="100">
        <v>18230611</v>
      </c>
      <c r="D62" s="100" t="s">
        <v>75</v>
      </c>
      <c r="E62" s="38" t="s">
        <v>2509</v>
      </c>
      <c r="F62" s="39" t="s">
        <v>2510</v>
      </c>
      <c r="G62" s="39">
        <v>10</v>
      </c>
      <c r="H62" s="39"/>
      <c r="I62" s="40" t="s">
        <v>267</v>
      </c>
      <c r="J62" s="41">
        <v>90</v>
      </c>
      <c r="K62" s="41">
        <v>131</v>
      </c>
      <c r="L62" s="41"/>
      <c r="M62" s="42">
        <v>708.1</v>
      </c>
      <c r="N62" s="42">
        <v>708.1</v>
      </c>
      <c r="O62" s="43">
        <v>11790</v>
      </c>
      <c r="P62" s="44">
        <v>82847.7</v>
      </c>
      <c r="Q62" s="44">
        <v>82847.7</v>
      </c>
      <c r="R62" s="45">
        <v>0</v>
      </c>
      <c r="S62" s="46"/>
      <c r="T62" s="39">
        <f t="shared" si="19"/>
        <v>10</v>
      </c>
      <c r="U62" s="47">
        <f t="shared" si="20"/>
        <v>5.1085648234997991E-2</v>
      </c>
      <c r="V62" s="48">
        <f t="shared" si="21"/>
        <v>0</v>
      </c>
      <c r="W62" s="49">
        <f t="shared" si="22"/>
        <v>5.1085648234997991E-3</v>
      </c>
      <c r="X62" s="44">
        <f t="shared" si="23"/>
        <v>1357.8994931164129</v>
      </c>
      <c r="Y62" s="44">
        <f t="shared" si="24"/>
        <v>0</v>
      </c>
      <c r="Z62" s="44">
        <f t="shared" si="25"/>
        <v>36399.570703683217</v>
      </c>
      <c r="AA62" s="522">
        <f t="shared" si="16"/>
        <v>86816.35839868983</v>
      </c>
      <c r="AB62" s="51">
        <f t="shared" si="26"/>
        <v>34027.830890607846</v>
      </c>
      <c r="AC62" s="44">
        <f t="shared" si="27"/>
        <v>81159.538560988891</v>
      </c>
      <c r="AD62" s="44">
        <f t="shared" si="28"/>
        <v>0</v>
      </c>
      <c r="AE62" s="44">
        <f t="shared" si="29"/>
        <v>0</v>
      </c>
      <c r="AF62" s="52">
        <f>HLOOKUP(I62,ElecAvoidedCostsWOCC!$A$5:$Q$50,G62+1,FALSE)</f>
        <v>0.97914245877446338</v>
      </c>
      <c r="AG62" s="44">
        <f t="shared" si="30"/>
        <v>11544.089588950923</v>
      </c>
      <c r="AH62" s="52">
        <f>HLOOKUP(I62,ElecAvoidedCostsWOCC!$A$5:$Q$50,T62+1,FALSE)</f>
        <v>0.97914245877446338</v>
      </c>
      <c r="AI62" s="44">
        <f t="shared" si="31"/>
        <v>0</v>
      </c>
      <c r="AJ62" s="44">
        <f t="shared" si="32"/>
        <v>11544.089588950923</v>
      </c>
      <c r="AK62" s="44">
        <f>HLOOKUP(I62,ElecAvoidedCostsWOCC!$A$5:$Q$50,G62+1,FALSE)*J62*L62</f>
        <v>0</v>
      </c>
      <c r="AL62" s="44">
        <f t="shared" si="33"/>
        <v>11544.089588950923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11544.089588950923</v>
      </c>
      <c r="AN62" s="48">
        <f t="shared" si="34"/>
        <v>12698.498547846017</v>
      </c>
      <c r="AO62" s="47">
        <f t="shared" si="35"/>
        <v>0.33925434818524541</v>
      </c>
      <c r="AP62" s="47">
        <f t="shared" si="36"/>
        <v>0.15646341481233886</v>
      </c>
      <c r="AQ62">
        <v>2020</v>
      </c>
    </row>
    <row r="63" spans="2:43">
      <c r="B63" s="97" t="s">
        <v>74</v>
      </c>
      <c r="C63" s="100">
        <v>18230611</v>
      </c>
      <c r="D63" s="100" t="s">
        <v>75</v>
      </c>
      <c r="E63" s="38" t="s">
        <v>1582</v>
      </c>
      <c r="F63" s="39" t="s">
        <v>1583</v>
      </c>
      <c r="G63" s="39">
        <v>30</v>
      </c>
      <c r="H63" s="39"/>
      <c r="I63" s="40" t="s">
        <v>267</v>
      </c>
      <c r="J63" s="41">
        <v>38</v>
      </c>
      <c r="K63" s="41">
        <v>0</v>
      </c>
      <c r="L63" s="41"/>
      <c r="M63" s="42">
        <v>2.75</v>
      </c>
      <c r="N63" s="42">
        <v>2.75</v>
      </c>
      <c r="O63" s="43">
        <v>0</v>
      </c>
      <c r="P63" s="44">
        <v>123732.75</v>
      </c>
      <c r="Q63" s="44">
        <v>123732.75</v>
      </c>
      <c r="R63" s="45">
        <v>0</v>
      </c>
      <c r="S63" s="46"/>
      <c r="T63" s="39">
        <f t="shared" si="19"/>
        <v>30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22">
        <f t="shared" si="16"/>
        <v>127631.90928835189</v>
      </c>
      <c r="AB63" s="51">
        <f t="shared" si="26"/>
        <v>0</v>
      </c>
      <c r="AC63" s="44">
        <f t="shared" si="27"/>
        <v>119315.61118851256</v>
      </c>
      <c r="AD63" s="44">
        <f t="shared" si="28"/>
        <v>0</v>
      </c>
      <c r="AE63" s="44">
        <f t="shared" si="29"/>
        <v>0</v>
      </c>
      <c r="AF63" s="52">
        <f>HLOOKUP(I63,ElecAvoidedCostsWOCC!$A$5:$Q$50,G63+1,FALSE)</f>
        <v>2.1643436258224993</v>
      </c>
      <c r="AG63" s="44">
        <f t="shared" si="30"/>
        <v>0</v>
      </c>
      <c r="AH63" s="52">
        <f>HLOOKUP(I63,ElecAvoidedCostsWOCC!$A$5:$Q$50,T63+1,FALSE)</f>
        <v>2.1643436258224993</v>
      </c>
      <c r="AI63" s="44">
        <f t="shared" si="31"/>
        <v>0</v>
      </c>
      <c r="AJ63" s="44">
        <f t="shared" si="32"/>
        <v>0</v>
      </c>
      <c r="AK63" s="44">
        <f>HLOOKUP(I63,ElecAvoidedCostsWOCC!$A$5:$Q$50,G63+1,FALSE)*J63*L63</f>
        <v>0</v>
      </c>
      <c r="AL63" s="44">
        <f t="shared" si="33"/>
        <v>0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4"/>
        <v>0</v>
      </c>
      <c r="AO63" s="47">
        <f t="shared" si="35"/>
        <v>0</v>
      </c>
      <c r="AP63" s="47">
        <f t="shared" si="36"/>
        <v>0</v>
      </c>
      <c r="AQ63">
        <v>2020</v>
      </c>
    </row>
    <row r="64" spans="2:43">
      <c r="B64" s="97" t="s">
        <v>74</v>
      </c>
      <c r="C64" s="100">
        <v>18230611</v>
      </c>
      <c r="D64" s="100" t="s">
        <v>75</v>
      </c>
      <c r="E64" s="38" t="s">
        <v>2511</v>
      </c>
      <c r="F64" s="39" t="s">
        <v>2512</v>
      </c>
      <c r="G64" s="39">
        <v>25</v>
      </c>
      <c r="H64" s="39"/>
      <c r="I64" s="40" t="s">
        <v>269</v>
      </c>
      <c r="J64" s="41">
        <v>25196</v>
      </c>
      <c r="K64" s="41">
        <v>0.24</v>
      </c>
      <c r="L64" s="41"/>
      <c r="M64" s="42">
        <v>1.1499999999999999</v>
      </c>
      <c r="N64" s="42">
        <v>1.1499999999999999</v>
      </c>
      <c r="O64" s="43">
        <v>6047.04</v>
      </c>
      <c r="P64" s="44">
        <v>38837.089999999997</v>
      </c>
      <c r="Q64" s="44">
        <v>38837.089999999997</v>
      </c>
      <c r="R64" s="45">
        <v>0</v>
      </c>
      <c r="S64" s="46"/>
      <c r="T64" s="39">
        <f t="shared" si="19"/>
        <v>25</v>
      </c>
      <c r="U64" s="47">
        <f t="shared" si="20"/>
        <v>6.5504019996387247E-2</v>
      </c>
      <c r="V64" s="48">
        <f t="shared" si="21"/>
        <v>0</v>
      </c>
      <c r="W64" s="49">
        <f t="shared" si="22"/>
        <v>2.6201607998554899E-3</v>
      </c>
      <c r="X64" s="44">
        <f t="shared" si="23"/>
        <v>696.46077615391641</v>
      </c>
      <c r="Y64" s="44">
        <f t="shared" si="24"/>
        <v>0</v>
      </c>
      <c r="Z64" s="44">
        <f t="shared" si="25"/>
        <v>18669.182360305393</v>
      </c>
      <c r="AA64" s="522">
        <f t="shared" si="16"/>
        <v>40757.414306270701</v>
      </c>
      <c r="AB64" s="51">
        <f t="shared" si="26"/>
        <v>17452.72726961334</v>
      </c>
      <c r="AC64" s="44">
        <f t="shared" si="27"/>
        <v>38101.724134122371</v>
      </c>
      <c r="AD64" s="44">
        <f t="shared" si="28"/>
        <v>0</v>
      </c>
      <c r="AE64" s="44">
        <f t="shared" si="29"/>
        <v>0</v>
      </c>
      <c r="AF64" s="52">
        <f>HLOOKUP(I64,ElecAvoidedCostsWOCC!$A$5:$Q$50,G64+1,FALSE)</f>
        <v>2.0508206305871441</v>
      </c>
      <c r="AG64" s="44">
        <f t="shared" si="30"/>
        <v>12401.394385985683</v>
      </c>
      <c r="AH64" s="52">
        <f>HLOOKUP(I64,ElecAvoidedCostsWOCC!$A$5:$Q$50,T64+1,FALSE)</f>
        <v>2.0508206305871441</v>
      </c>
      <c r="AI64" s="44">
        <f t="shared" si="31"/>
        <v>0</v>
      </c>
      <c r="AJ64" s="44">
        <f t="shared" si="32"/>
        <v>12401.394385985683</v>
      </c>
      <c r="AK64" s="44">
        <f>HLOOKUP(I64,ElecAvoidedCostsWOCC!$A$5:$Q$50,G64+1,FALSE)*J64*L64</f>
        <v>0</v>
      </c>
      <c r="AL64" s="44">
        <f t="shared" si="33"/>
        <v>12401.394385985683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12401.394385985683</v>
      </c>
      <c r="AN64" s="48">
        <f t="shared" si="34"/>
        <v>13641.533824584252</v>
      </c>
      <c r="AO64" s="47">
        <f t="shared" si="35"/>
        <v>0.71057057125836998</v>
      </c>
      <c r="AP64" s="47">
        <f t="shared" si="36"/>
        <v>0.3580293053554352</v>
      </c>
      <c r="AQ64">
        <v>2020</v>
      </c>
    </row>
    <row r="65" spans="2:43">
      <c r="B65" s="97" t="s">
        <v>74</v>
      </c>
      <c r="C65" s="100">
        <v>18230611</v>
      </c>
      <c r="D65" s="100" t="s">
        <v>75</v>
      </c>
      <c r="E65" s="38" t="s">
        <v>2515</v>
      </c>
      <c r="F65" s="39" t="s">
        <v>2516</v>
      </c>
      <c r="G65" s="39">
        <v>15</v>
      </c>
      <c r="H65" s="39"/>
      <c r="I65" s="40" t="s">
        <v>269</v>
      </c>
      <c r="J65" s="41">
        <v>21905</v>
      </c>
      <c r="K65" s="41">
        <v>0.36</v>
      </c>
      <c r="L65" s="41"/>
      <c r="M65" s="42">
        <v>1.32</v>
      </c>
      <c r="N65" s="42">
        <v>1.32</v>
      </c>
      <c r="O65" s="43">
        <v>7885.8</v>
      </c>
      <c r="P65" s="44">
        <v>34946.629999999997</v>
      </c>
      <c r="Q65" s="44">
        <v>34946.629999999997</v>
      </c>
      <c r="R65" s="45">
        <v>0.01</v>
      </c>
      <c r="S65" s="46">
        <v>0</v>
      </c>
      <c r="T65" s="39">
        <f t="shared" si="19"/>
        <v>15</v>
      </c>
      <c r="U65" s="47">
        <f t="shared" si="20"/>
        <v>5.1253333950578517E-2</v>
      </c>
      <c r="V65" s="48">
        <f t="shared" si="21"/>
        <v>0</v>
      </c>
      <c r="W65" s="49">
        <f t="shared" si="22"/>
        <v>3.4168889300385677E-3</v>
      </c>
      <c r="X65" s="44">
        <f t="shared" si="23"/>
        <v>908.23781364015349</v>
      </c>
      <c r="Y65" s="44">
        <f t="shared" si="24"/>
        <v>0</v>
      </c>
      <c r="Z65" s="44">
        <f t="shared" si="25"/>
        <v>24346.033473715444</v>
      </c>
      <c r="AA65" s="522">
        <f t="shared" si="16"/>
        <v>36956.132248166148</v>
      </c>
      <c r="AB65" s="51">
        <f t="shared" si="26"/>
        <v>22759.683531565337</v>
      </c>
      <c r="AC65" s="44">
        <f t="shared" si="27"/>
        <v>34548.127744382669</v>
      </c>
      <c r="AD65" s="44">
        <f t="shared" si="28"/>
        <v>1998.8744635844143</v>
      </c>
      <c r="AE65" s="44">
        <f t="shared" si="29"/>
        <v>0</v>
      </c>
      <c r="AF65" s="52">
        <f>HLOOKUP(I65,ElecAvoidedCostsWOCC!$A$5:$Q$50,G65+1,FALSE)</f>
        <v>1.3893373920773078</v>
      </c>
      <c r="AG65" s="44">
        <f t="shared" si="30"/>
        <v>10956.036806443233</v>
      </c>
      <c r="AH65" s="52">
        <f>HLOOKUP(I65,ElecAvoidedCostsWOCC!$A$5:$Q$50,T65+1,FALSE)</f>
        <v>1.3893373920773078</v>
      </c>
      <c r="AI65" s="44">
        <f t="shared" si="31"/>
        <v>0</v>
      </c>
      <c r="AJ65" s="44">
        <f t="shared" si="32"/>
        <v>10956.036806443233</v>
      </c>
      <c r="AK65" s="44">
        <f>HLOOKUP(I65,ElecAvoidedCostsWOCC!$A$5:$Q$50,G65+1,FALSE)*J65*L65</f>
        <v>0</v>
      </c>
      <c r="AL65" s="44">
        <f t="shared" si="33"/>
        <v>10956.036806443233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10956.036806443233</v>
      </c>
      <c r="AN65" s="48">
        <f t="shared" si="34"/>
        <v>14050.514950671972</v>
      </c>
      <c r="AO65" s="47">
        <f t="shared" si="35"/>
        <v>0.48137913654415881</v>
      </c>
      <c r="AP65" s="47">
        <f t="shared" si="36"/>
        <v>0.40669396196025431</v>
      </c>
      <c r="AQ65">
        <v>2020</v>
      </c>
    </row>
    <row r="66" spans="2:43">
      <c r="B66" s="97" t="s">
        <v>74</v>
      </c>
      <c r="C66" s="100">
        <v>18230611</v>
      </c>
      <c r="D66" s="100" t="s">
        <v>75</v>
      </c>
      <c r="E66" s="38" t="s">
        <v>2519</v>
      </c>
      <c r="F66" s="39" t="s">
        <v>2520</v>
      </c>
      <c r="G66" s="39">
        <v>15</v>
      </c>
      <c r="H66" s="39"/>
      <c r="I66" s="40" t="s">
        <v>265</v>
      </c>
      <c r="J66" s="41">
        <v>1</v>
      </c>
      <c r="K66" s="41">
        <v>20.68</v>
      </c>
      <c r="L66" s="41"/>
      <c r="M66" s="42">
        <v>20</v>
      </c>
      <c r="N66" s="42">
        <v>20</v>
      </c>
      <c r="O66" s="43">
        <v>20.68</v>
      </c>
      <c r="P66" s="44">
        <v>26</v>
      </c>
      <c r="Q66" s="44">
        <v>26</v>
      </c>
      <c r="R66" s="45">
        <v>0</v>
      </c>
      <c r="S66" s="46">
        <v>0</v>
      </c>
      <c r="T66" s="39">
        <f t="shared" si="19"/>
        <v>15</v>
      </c>
      <c r="U66" s="47">
        <f t="shared" si="20"/>
        <v>1.3440855031803542E-4</v>
      </c>
      <c r="V66" s="48">
        <f t="shared" si="21"/>
        <v>0</v>
      </c>
      <c r="W66" s="49">
        <f t="shared" si="22"/>
        <v>8.9605700212023611E-6</v>
      </c>
      <c r="X66" s="44">
        <f t="shared" si="23"/>
        <v>2.3817948700294673</v>
      </c>
      <c r="Y66" s="44">
        <f t="shared" si="24"/>
        <v>0</v>
      </c>
      <c r="Z66" s="44">
        <f t="shared" si="25"/>
        <v>63.845896705018568</v>
      </c>
      <c r="AA66" s="522">
        <f t="shared" si="16"/>
        <v>29.201126384904459</v>
      </c>
      <c r="AB66" s="51">
        <f t="shared" si="26"/>
        <v>59.685796676655663</v>
      </c>
      <c r="AC66" s="44">
        <f t="shared" si="27"/>
        <v>27.298426086663977</v>
      </c>
      <c r="AD66" s="44">
        <f t="shared" si="28"/>
        <v>0</v>
      </c>
      <c r="AE66" s="44">
        <f t="shared" si="29"/>
        <v>0</v>
      </c>
      <c r="AF66" s="52">
        <f>HLOOKUP(I66,ElecAvoidedCostsWOCC!$A$5:$Q$50,G66+1,FALSE)</f>
        <v>1.0786528141421943</v>
      </c>
      <c r="AG66" s="44">
        <f t="shared" si="30"/>
        <v>22.306540196460578</v>
      </c>
      <c r="AH66" s="52">
        <f>HLOOKUP(I66,ElecAvoidedCostsWOCC!$A$5:$Q$50,T66+1,FALSE)</f>
        <v>1.0786528141421943</v>
      </c>
      <c r="AI66" s="44">
        <f t="shared" si="31"/>
        <v>0</v>
      </c>
      <c r="AJ66" s="44">
        <f t="shared" si="32"/>
        <v>22.306540196460578</v>
      </c>
      <c r="AK66" s="44">
        <f>HLOOKUP(I66,ElecAvoidedCostsWOCC!$A$5:$Q$50,G66+1,FALSE)*J66*L66</f>
        <v>0</v>
      </c>
      <c r="AL66" s="44">
        <f t="shared" si="33"/>
        <v>22.306540196460578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22.306540196460578</v>
      </c>
      <c r="AN66" s="48">
        <f t="shared" si="34"/>
        <v>24.537194216106638</v>
      </c>
      <c r="AO66" s="47">
        <f t="shared" si="35"/>
        <v>0.37373280476266346</v>
      </c>
      <c r="AP66" s="47">
        <f t="shared" si="36"/>
        <v>0.89885014389506235</v>
      </c>
      <c r="AQ66">
        <v>2020</v>
      </c>
    </row>
    <row r="67" spans="2:43">
      <c r="B67" s="97" t="s">
        <v>74</v>
      </c>
      <c r="C67" s="100">
        <v>18230611</v>
      </c>
      <c r="D67" s="100" t="s">
        <v>75</v>
      </c>
      <c r="E67" s="38" t="s">
        <v>1592</v>
      </c>
      <c r="F67" s="39" t="s">
        <v>1593</v>
      </c>
      <c r="G67" s="39">
        <v>15</v>
      </c>
      <c r="H67" s="39"/>
      <c r="I67" s="40" t="s">
        <v>265</v>
      </c>
      <c r="J67" s="41">
        <v>22</v>
      </c>
      <c r="K67" s="41">
        <v>20.68</v>
      </c>
      <c r="L67" s="41"/>
      <c r="M67" s="42">
        <v>20</v>
      </c>
      <c r="N67" s="42">
        <v>20</v>
      </c>
      <c r="O67" s="43">
        <v>454.96</v>
      </c>
      <c r="P67" s="44">
        <v>2406.31</v>
      </c>
      <c r="Q67" s="44">
        <v>2406.31</v>
      </c>
      <c r="R67" s="45">
        <v>0</v>
      </c>
      <c r="S67" s="46">
        <v>0</v>
      </c>
      <c r="T67" s="39">
        <f t="shared" si="19"/>
        <v>15</v>
      </c>
      <c r="U67" s="47">
        <f t="shared" si="20"/>
        <v>2.9569881069967793E-3</v>
      </c>
      <c r="V67" s="48">
        <f t="shared" si="21"/>
        <v>0</v>
      </c>
      <c r="W67" s="49">
        <f t="shared" si="22"/>
        <v>1.9713254046645196E-4</v>
      </c>
      <c r="X67" s="44">
        <f t="shared" si="23"/>
        <v>52.399487140648283</v>
      </c>
      <c r="Y67" s="44">
        <f t="shared" si="24"/>
        <v>0</v>
      </c>
      <c r="Z67" s="44">
        <f t="shared" si="25"/>
        <v>1404.6097275104087</v>
      </c>
      <c r="AA67" s="522">
        <f t="shared" si="16"/>
        <v>2534.5389339698349</v>
      </c>
      <c r="AB67" s="51">
        <f t="shared" si="26"/>
        <v>1313.0875268864247</v>
      </c>
      <c r="AC67" s="44">
        <f t="shared" si="27"/>
        <v>2369.3922912684257</v>
      </c>
      <c r="AD67" s="44">
        <f t="shared" si="28"/>
        <v>0</v>
      </c>
      <c r="AE67" s="44">
        <f t="shared" si="29"/>
        <v>0</v>
      </c>
      <c r="AF67" s="52">
        <f>HLOOKUP(I67,ElecAvoidedCostsWOCC!$A$5:$Q$50,G67+1,FALSE)</f>
        <v>1.0786528141421943</v>
      </c>
      <c r="AG67" s="44">
        <f t="shared" si="30"/>
        <v>490.74388432213271</v>
      </c>
      <c r="AH67" s="52">
        <f>HLOOKUP(I67,ElecAvoidedCostsWOCC!$A$5:$Q$50,T67+1,FALSE)</f>
        <v>1.0786528141421943</v>
      </c>
      <c r="AI67" s="44">
        <f t="shared" si="31"/>
        <v>0</v>
      </c>
      <c r="AJ67" s="44">
        <f t="shared" si="32"/>
        <v>490.74388432213271</v>
      </c>
      <c r="AK67" s="44">
        <f>HLOOKUP(I67,ElecAvoidedCostsWOCC!$A$5:$Q$50,G67+1,FALSE)*J67*L67</f>
        <v>0</v>
      </c>
      <c r="AL67" s="44">
        <f t="shared" si="33"/>
        <v>490.74388432213271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490.74388432213271</v>
      </c>
      <c r="AN67" s="48">
        <f t="shared" si="34"/>
        <v>539.81827275434603</v>
      </c>
      <c r="AO67" s="47">
        <f t="shared" si="35"/>
        <v>0.37373280476266341</v>
      </c>
      <c r="AP67" s="47">
        <f t="shared" si="36"/>
        <v>0.22782984259029593</v>
      </c>
      <c r="AQ67">
        <v>2020</v>
      </c>
    </row>
    <row r="68" spans="2:43">
      <c r="B68" s="97" t="s">
        <v>74</v>
      </c>
      <c r="C68" s="100">
        <v>18230611</v>
      </c>
      <c r="D68" s="100" t="s">
        <v>75</v>
      </c>
      <c r="E68" s="38" t="s">
        <v>1596</v>
      </c>
      <c r="F68" s="39" t="s">
        <v>1597</v>
      </c>
      <c r="G68" s="39">
        <v>15</v>
      </c>
      <c r="H68" s="39"/>
      <c r="I68" s="40" t="s">
        <v>265</v>
      </c>
      <c r="J68" s="41">
        <v>13</v>
      </c>
      <c r="K68" s="41">
        <v>20.68</v>
      </c>
      <c r="L68" s="41"/>
      <c r="M68" s="42">
        <v>20</v>
      </c>
      <c r="N68" s="42">
        <v>20</v>
      </c>
      <c r="O68" s="43">
        <v>268.83999999999997</v>
      </c>
      <c r="P68" s="44">
        <v>2985.05</v>
      </c>
      <c r="Q68" s="44">
        <v>2985.05</v>
      </c>
      <c r="R68" s="45">
        <v>0</v>
      </c>
      <c r="S68" s="46">
        <v>0</v>
      </c>
      <c r="T68" s="39">
        <f t="shared" si="19"/>
        <v>15</v>
      </c>
      <c r="U68" s="47">
        <f t="shared" si="20"/>
        <v>1.7473111541344603E-3</v>
      </c>
      <c r="V68" s="48">
        <f t="shared" si="21"/>
        <v>0</v>
      </c>
      <c r="W68" s="49">
        <f t="shared" si="22"/>
        <v>1.1648741027563069E-4</v>
      </c>
      <c r="X68" s="44">
        <f t="shared" si="23"/>
        <v>30.963333310383071</v>
      </c>
      <c r="Y68" s="44">
        <f t="shared" si="24"/>
        <v>0</v>
      </c>
      <c r="Z68" s="44">
        <f t="shared" si="25"/>
        <v>829.99665716524134</v>
      </c>
      <c r="AA68" s="522">
        <f t="shared" si="16"/>
        <v>3110.0804694056756</v>
      </c>
      <c r="AB68" s="51">
        <f t="shared" si="26"/>
        <v>775.91535679652361</v>
      </c>
      <c r="AC68" s="44">
        <f t="shared" si="27"/>
        <v>2907.4324290975742</v>
      </c>
      <c r="AD68" s="44">
        <f t="shared" si="28"/>
        <v>0</v>
      </c>
      <c r="AE68" s="44">
        <f t="shared" si="29"/>
        <v>0</v>
      </c>
      <c r="AF68" s="52">
        <f>HLOOKUP(I68,ElecAvoidedCostsWOCC!$A$5:$Q$50,G68+1,FALSE)</f>
        <v>1.0786528141421943</v>
      </c>
      <c r="AG68" s="44">
        <f t="shared" si="30"/>
        <v>289.98502255398751</v>
      </c>
      <c r="AH68" s="52">
        <f>HLOOKUP(I68,ElecAvoidedCostsWOCC!$A$5:$Q$50,T68+1,FALSE)</f>
        <v>1.0786528141421943</v>
      </c>
      <c r="AI68" s="44">
        <f t="shared" si="31"/>
        <v>0</v>
      </c>
      <c r="AJ68" s="44">
        <f t="shared" si="32"/>
        <v>289.98502255398751</v>
      </c>
      <c r="AK68" s="44">
        <f>HLOOKUP(I68,ElecAvoidedCostsWOCC!$A$5:$Q$50,G68+1,FALSE)*J68*L68</f>
        <v>0</v>
      </c>
      <c r="AL68" s="44">
        <f t="shared" si="33"/>
        <v>289.98502255398751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289.98502255398751</v>
      </c>
      <c r="AN68" s="48">
        <f t="shared" si="34"/>
        <v>318.98352480938627</v>
      </c>
      <c r="AO68" s="47">
        <f t="shared" si="35"/>
        <v>0.37373280476266346</v>
      </c>
      <c r="AP68" s="47">
        <f t="shared" si="36"/>
        <v>0.10971313438517098</v>
      </c>
      <c r="AQ68">
        <v>2020</v>
      </c>
    </row>
    <row r="69" spans="2:43">
      <c r="B69" s="97" t="s">
        <v>74</v>
      </c>
      <c r="C69" s="100">
        <v>18230611</v>
      </c>
      <c r="D69" s="100" t="s">
        <v>75</v>
      </c>
      <c r="E69" s="38" t="s">
        <v>2521</v>
      </c>
      <c r="F69" s="39" t="s">
        <v>2522</v>
      </c>
      <c r="G69" s="39">
        <v>1</v>
      </c>
      <c r="H69" s="39"/>
      <c r="I69" s="40" t="s">
        <v>265</v>
      </c>
      <c r="J69" s="41">
        <v>1</v>
      </c>
      <c r="K69" s="41">
        <v>0</v>
      </c>
      <c r="L69" s="41"/>
      <c r="M69" s="42">
        <v>0</v>
      </c>
      <c r="N69" s="42">
        <v>0</v>
      </c>
      <c r="O69" s="43">
        <v>0</v>
      </c>
      <c r="P69" s="44">
        <v>3130.02</v>
      </c>
      <c r="Q69" s="44">
        <v>3130.02</v>
      </c>
      <c r="R69" s="45"/>
      <c r="S69" s="46"/>
      <c r="T69" s="39">
        <f t="shared" si="19"/>
        <v>1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22">
        <f t="shared" si="16"/>
        <v>3228.6555395457317</v>
      </c>
      <c r="AB69" s="51">
        <f t="shared" si="26"/>
        <v>0</v>
      </c>
      <c r="AC69" s="44">
        <f t="shared" si="27"/>
        <v>3018.2813307896899</v>
      </c>
      <c r="AD69" s="44">
        <f t="shared" si="28"/>
        <v>0</v>
      </c>
      <c r="AE69" s="44">
        <f t="shared" si="29"/>
        <v>0</v>
      </c>
      <c r="AF69" s="52">
        <f>HLOOKUP(I69,ElecAvoidedCostsWOCC!$A$5:$Q$50,G69+1,FALSE)</f>
        <v>8.3631370621697371E-2</v>
      </c>
      <c r="AG69" s="44">
        <f t="shared" si="30"/>
        <v>0</v>
      </c>
      <c r="AH69" s="52">
        <f>HLOOKUP(I69,ElecAvoidedCostsWOCC!$A$5:$Q$50,T69+1,FALSE)</f>
        <v>8.3631370621697371E-2</v>
      </c>
      <c r="AI69" s="44">
        <f t="shared" si="31"/>
        <v>0</v>
      </c>
      <c r="AJ69" s="44">
        <f t="shared" si="32"/>
        <v>0</v>
      </c>
      <c r="AK69" s="44">
        <f>HLOOKUP(I69,ElecAvoidedCostsWOCC!$A$5:$Q$50,G69+1,FALSE)*J69*L69</f>
        <v>0</v>
      </c>
      <c r="AL69" s="44">
        <f t="shared" si="33"/>
        <v>0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4"/>
        <v>0</v>
      </c>
      <c r="AO69" s="47">
        <f t="shared" si="35"/>
        <v>0</v>
      </c>
      <c r="AP69" s="47">
        <f t="shared" si="36"/>
        <v>0</v>
      </c>
      <c r="AQ69">
        <v>2020</v>
      </c>
    </row>
    <row r="70" spans="2:43">
      <c r="B70" s="97" t="s">
        <v>74</v>
      </c>
      <c r="C70" s="100">
        <v>18230611</v>
      </c>
      <c r="D70" s="100" t="s">
        <v>75</v>
      </c>
      <c r="E70" s="38" t="s">
        <v>1602</v>
      </c>
      <c r="F70" s="39" t="s">
        <v>1603</v>
      </c>
      <c r="G70" s="39">
        <v>1</v>
      </c>
      <c r="H70" s="39"/>
      <c r="I70" s="40" t="s">
        <v>265</v>
      </c>
      <c r="J70" s="41">
        <v>1</v>
      </c>
      <c r="K70" s="41">
        <v>0</v>
      </c>
      <c r="L70" s="41"/>
      <c r="M70" s="42">
        <v>0</v>
      </c>
      <c r="N70" s="42">
        <v>0</v>
      </c>
      <c r="O70" s="43">
        <v>0</v>
      </c>
      <c r="P70" s="44">
        <v>388.31</v>
      </c>
      <c r="Q70" s="44">
        <v>388.31</v>
      </c>
      <c r="R70" s="45"/>
      <c r="S70" s="46"/>
      <c r="T70" s="39">
        <f t="shared" si="19"/>
        <v>1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22">
        <f t="shared" si="16"/>
        <v>400.54671617465806</v>
      </c>
      <c r="AB70" s="51">
        <f t="shared" si="26"/>
        <v>0</v>
      </c>
      <c r="AC70" s="44">
        <f t="shared" si="27"/>
        <v>374.44771073633547</v>
      </c>
      <c r="AD70" s="44">
        <f t="shared" si="28"/>
        <v>0</v>
      </c>
      <c r="AE70" s="44">
        <f t="shared" si="29"/>
        <v>0</v>
      </c>
      <c r="AF70" s="52">
        <f>HLOOKUP(I70,ElecAvoidedCostsWOCC!$A$5:$Q$50,G70+1,FALSE)</f>
        <v>8.3631370621697371E-2</v>
      </c>
      <c r="AG70" s="44">
        <f t="shared" si="30"/>
        <v>0</v>
      </c>
      <c r="AH70" s="52">
        <f>HLOOKUP(I70,ElecAvoidedCostsWOCC!$A$5:$Q$50,T70+1,FALSE)</f>
        <v>8.3631370621697371E-2</v>
      </c>
      <c r="AI70" s="44">
        <f t="shared" si="31"/>
        <v>0</v>
      </c>
      <c r="AJ70" s="44">
        <f t="shared" si="32"/>
        <v>0</v>
      </c>
      <c r="AK70" s="44">
        <f>HLOOKUP(I70,ElecAvoidedCostsWOCC!$A$5:$Q$50,G70+1,FALSE)*J70*L70</f>
        <v>0</v>
      </c>
      <c r="AL70" s="44">
        <f t="shared" si="33"/>
        <v>0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4"/>
        <v>0</v>
      </c>
      <c r="AO70" s="47">
        <f t="shared" si="35"/>
        <v>0</v>
      </c>
      <c r="AP70" s="47">
        <f t="shared" si="36"/>
        <v>0</v>
      </c>
      <c r="AQ70">
        <v>2020</v>
      </c>
    </row>
    <row r="71" spans="2:43">
      <c r="B71" s="97" t="s">
        <v>74</v>
      </c>
      <c r="C71" s="100">
        <v>18230611</v>
      </c>
      <c r="D71" s="100" t="s">
        <v>75</v>
      </c>
      <c r="E71" s="38" t="s">
        <v>2523</v>
      </c>
      <c r="F71" s="39" t="s">
        <v>2524</v>
      </c>
      <c r="G71" s="39">
        <v>45</v>
      </c>
      <c r="H71" s="39"/>
      <c r="I71" s="40" t="s">
        <v>267</v>
      </c>
      <c r="J71" s="41">
        <v>1650</v>
      </c>
      <c r="K71" s="41">
        <v>15.11</v>
      </c>
      <c r="L71" s="41"/>
      <c r="M71" s="42">
        <v>24.1</v>
      </c>
      <c r="N71" s="42">
        <v>24.1</v>
      </c>
      <c r="O71" s="43">
        <v>24931.5</v>
      </c>
      <c r="P71" s="44">
        <v>51694.5</v>
      </c>
      <c r="Q71" s="44">
        <v>51694.5</v>
      </c>
      <c r="R71" s="45">
        <v>0</v>
      </c>
      <c r="S71" s="46"/>
      <c r="T71" s="39">
        <f t="shared" si="19"/>
        <v>45</v>
      </c>
      <c r="U71" s="47">
        <f t="shared" si="20"/>
        <v>0.48612283930185207</v>
      </c>
      <c r="V71" s="48">
        <f t="shared" si="21"/>
        <v>0</v>
      </c>
      <c r="W71" s="49">
        <f t="shared" si="22"/>
        <v>1.080272976226338E-2</v>
      </c>
      <c r="X71" s="44">
        <f t="shared" si="23"/>
        <v>2871.4564217669085</v>
      </c>
      <c r="Y71" s="44">
        <f t="shared" si="24"/>
        <v>0</v>
      </c>
      <c r="Z71" s="44">
        <f t="shared" si="25"/>
        <v>76971.662171236487</v>
      </c>
      <c r="AA71" s="522">
        <f t="shared" ref="AA71:AA134" si="37">((Q71/A$12)*A$6)+X71</f>
        <v>56194.992306217115</v>
      </c>
      <c r="AB71" s="51">
        <f t="shared" si="26"/>
        <v>71956.307535978762</v>
      </c>
      <c r="AC71" s="44">
        <f t="shared" si="27"/>
        <v>52533.413392742928</v>
      </c>
      <c r="AD71" s="44">
        <f t="shared" si="28"/>
        <v>0</v>
      </c>
      <c r="AE71" s="44">
        <f t="shared" si="29"/>
        <v>0</v>
      </c>
      <c r="AF71" s="52">
        <f>HLOOKUP(I71,ElecAvoidedCostsWOCC!$A$5:$Q$50,G71+1,FALSE)</f>
        <v>3.1346149049506007</v>
      </c>
      <c r="AG71" s="44">
        <f t="shared" si="30"/>
        <v>78150.651502775901</v>
      </c>
      <c r="AH71" s="52">
        <f>HLOOKUP(I71,ElecAvoidedCostsWOCC!$A$5:$Q$50,T71+1,FALSE)</f>
        <v>3.1346149049506007</v>
      </c>
      <c r="AI71" s="44">
        <f t="shared" si="31"/>
        <v>0</v>
      </c>
      <c r="AJ71" s="44">
        <f t="shared" si="32"/>
        <v>78150.651502775901</v>
      </c>
      <c r="AK71" s="44">
        <f>HLOOKUP(I71,ElecAvoidedCostsWOCC!$A$5:$Q$50,G71+1,FALSE)*J71*L71</f>
        <v>0</v>
      </c>
      <c r="AL71" s="44">
        <f t="shared" si="33"/>
        <v>78150.651502775901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78150.651502775901</v>
      </c>
      <c r="AN71" s="48">
        <f t="shared" si="34"/>
        <v>85965.716653053503</v>
      </c>
      <c r="AO71" s="47">
        <f t="shared" si="35"/>
        <v>1.0860847947721597</v>
      </c>
      <c r="AP71" s="47">
        <f t="shared" si="36"/>
        <v>1.6364007419500555</v>
      </c>
      <c r="AQ71">
        <v>2020</v>
      </c>
    </row>
    <row r="72" spans="2:43">
      <c r="B72" s="97" t="s">
        <v>74</v>
      </c>
      <c r="C72" s="100">
        <v>18230611</v>
      </c>
      <c r="D72" s="100" t="s">
        <v>75</v>
      </c>
      <c r="E72" s="38" t="s">
        <v>2525</v>
      </c>
      <c r="F72" s="39" t="s">
        <v>2526</v>
      </c>
      <c r="G72" s="39">
        <v>45</v>
      </c>
      <c r="H72" s="39"/>
      <c r="I72" s="40" t="s">
        <v>269</v>
      </c>
      <c r="J72" s="41">
        <v>1740</v>
      </c>
      <c r="K72" s="41">
        <v>6.3</v>
      </c>
      <c r="L72" s="41"/>
      <c r="M72" s="42">
        <v>24.1</v>
      </c>
      <c r="N72" s="42">
        <v>24.1</v>
      </c>
      <c r="O72" s="43">
        <v>10962</v>
      </c>
      <c r="P72" s="44">
        <v>54514.2</v>
      </c>
      <c r="Q72" s="44">
        <v>54514.2</v>
      </c>
      <c r="R72" s="45">
        <v>0.1</v>
      </c>
      <c r="S72" s="46"/>
      <c r="T72" s="39">
        <f t="shared" si="19"/>
        <v>45</v>
      </c>
      <c r="U72" s="47">
        <f t="shared" si="20"/>
        <v>0.21374079234810991</v>
      </c>
      <c r="V72" s="48">
        <f t="shared" si="21"/>
        <v>0</v>
      </c>
      <c r="W72" s="49">
        <f t="shared" si="22"/>
        <v>4.7497953855135536E-3</v>
      </c>
      <c r="X72" s="44">
        <f t="shared" si="23"/>
        <v>1262.5355592486953</v>
      </c>
      <c r="Y72" s="44">
        <f t="shared" si="24"/>
        <v>0</v>
      </c>
      <c r="Z72" s="44">
        <f t="shared" si="25"/>
        <v>33843.264974874932</v>
      </c>
      <c r="AA72" s="522">
        <f t="shared" si="37"/>
        <v>57494.62794648709</v>
      </c>
      <c r="AB72" s="51">
        <f t="shared" si="26"/>
        <v>31638.090095236916</v>
      </c>
      <c r="AC72" s="44">
        <f t="shared" si="27"/>
        <v>53748.366781795907</v>
      </c>
      <c r="AD72" s="44">
        <f t="shared" si="28"/>
        <v>2376.0408716655688</v>
      </c>
      <c r="AE72" s="44">
        <f t="shared" si="29"/>
        <v>0</v>
      </c>
      <c r="AF72" s="52">
        <f>HLOOKUP(I72,ElecAvoidedCostsWOCC!$A$5:$Q$50,G72+1,FALSE)</f>
        <v>3.4276422079642828</v>
      </c>
      <c r="AG72" s="44">
        <f t="shared" si="30"/>
        <v>37573.813883704468</v>
      </c>
      <c r="AH72" s="52">
        <f>HLOOKUP(I72,ElecAvoidedCostsWOCC!$A$5:$Q$50,T72+1,FALSE)</f>
        <v>3.4276422079642828</v>
      </c>
      <c r="AI72" s="44">
        <f t="shared" si="31"/>
        <v>0</v>
      </c>
      <c r="AJ72" s="44">
        <f t="shared" si="32"/>
        <v>37573.813883704468</v>
      </c>
      <c r="AK72" s="44">
        <f>HLOOKUP(I72,ElecAvoidedCostsWOCC!$A$5:$Q$50,G72+1,FALSE)*J72*L72</f>
        <v>0</v>
      </c>
      <c r="AL72" s="44">
        <f t="shared" si="33"/>
        <v>37573.813883704468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37573.813883704468</v>
      </c>
      <c r="AN72" s="48">
        <f t="shared" si="34"/>
        <v>43707.236143740483</v>
      </c>
      <c r="AO72" s="47">
        <f t="shared" si="35"/>
        <v>1.1876132146599194</v>
      </c>
      <c r="AP72" s="47">
        <f t="shared" si="36"/>
        <v>0.81318259066699183</v>
      </c>
      <c r="AQ72">
        <v>2020</v>
      </c>
    </row>
    <row r="73" spans="2:43">
      <c r="B73" s="97" t="s">
        <v>74</v>
      </c>
      <c r="C73" s="100">
        <v>18230611</v>
      </c>
      <c r="D73" s="100" t="s">
        <v>75</v>
      </c>
      <c r="E73" s="38" t="s">
        <v>2527</v>
      </c>
      <c r="F73" s="39" t="s">
        <v>1607</v>
      </c>
      <c r="G73" s="39">
        <v>25</v>
      </c>
      <c r="H73" s="39"/>
      <c r="I73" s="40" t="s">
        <v>269</v>
      </c>
      <c r="J73" s="41">
        <v>604</v>
      </c>
      <c r="K73" s="41">
        <v>9.98</v>
      </c>
      <c r="L73" s="41"/>
      <c r="M73" s="42">
        <v>20.5</v>
      </c>
      <c r="N73" s="42">
        <v>20.5</v>
      </c>
      <c r="O73" s="43">
        <v>6027.92</v>
      </c>
      <c r="P73" s="44">
        <v>16096.6</v>
      </c>
      <c r="Q73" s="44">
        <v>16096.6</v>
      </c>
      <c r="R73" s="45">
        <v>0.08</v>
      </c>
      <c r="S73" s="46"/>
      <c r="T73" s="39">
        <f t="shared" si="19"/>
        <v>25</v>
      </c>
      <c r="U73" s="47">
        <f t="shared" si="20"/>
        <v>6.5296904306342038E-2</v>
      </c>
      <c r="V73" s="48">
        <f t="shared" si="21"/>
        <v>0</v>
      </c>
      <c r="W73" s="49">
        <f t="shared" si="22"/>
        <v>2.6118761722536818E-3</v>
      </c>
      <c r="X73" s="44">
        <f t="shared" si="23"/>
        <v>694.25865246363765</v>
      </c>
      <c r="Y73" s="44">
        <f t="shared" si="24"/>
        <v>0</v>
      </c>
      <c r="Z73" s="44">
        <f t="shared" si="25"/>
        <v>18610.152691785086</v>
      </c>
      <c r="AA73" s="522">
        <f t="shared" si="37"/>
        <v>17298.10679332275</v>
      </c>
      <c r="AB73" s="51">
        <f t="shared" si="26"/>
        <v>17397.543883130864</v>
      </c>
      <c r="AC73" s="44">
        <f t="shared" si="27"/>
        <v>16170.98886914345</v>
      </c>
      <c r="AD73" s="44">
        <f t="shared" si="28"/>
        <v>564.62622765911306</v>
      </c>
      <c r="AE73" s="44">
        <f t="shared" si="29"/>
        <v>0</v>
      </c>
      <c r="AF73" s="52">
        <f>HLOOKUP(I73,ElecAvoidedCostsWOCC!$A$5:$Q$50,G73+1,FALSE)</f>
        <v>2.0508206305871441</v>
      </c>
      <c r="AG73" s="44">
        <f t="shared" si="30"/>
        <v>12362.182695528858</v>
      </c>
      <c r="AH73" s="52">
        <f>HLOOKUP(I73,ElecAvoidedCostsWOCC!$A$5:$Q$50,T73+1,FALSE)</f>
        <v>2.0508206305871441</v>
      </c>
      <c r="AI73" s="44">
        <f t="shared" si="31"/>
        <v>0</v>
      </c>
      <c r="AJ73" s="44">
        <f t="shared" si="32"/>
        <v>12362.182695528858</v>
      </c>
      <c r="AK73" s="44">
        <f>HLOOKUP(I73,ElecAvoidedCostsWOCC!$A$5:$Q$50,G73+1,FALSE)*J73*L73</f>
        <v>0</v>
      </c>
      <c r="AL73" s="44">
        <f t="shared" si="33"/>
        <v>12362.182695528858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12362.18269552886</v>
      </c>
      <c r="AN73" s="48">
        <f t="shared" si="34"/>
        <v>14163.027192740859</v>
      </c>
      <c r="AO73" s="47">
        <f t="shared" si="35"/>
        <v>0.71057057125837009</v>
      </c>
      <c r="AP73" s="47">
        <f t="shared" si="36"/>
        <v>0.87582938231847607</v>
      </c>
      <c r="AQ73">
        <v>2020</v>
      </c>
    </row>
    <row r="74" spans="2:43">
      <c r="B74" s="97" t="s">
        <v>74</v>
      </c>
      <c r="C74" s="100">
        <v>18230611</v>
      </c>
      <c r="D74" s="100" t="s">
        <v>75</v>
      </c>
      <c r="E74" s="38" t="s">
        <v>2528</v>
      </c>
      <c r="F74" s="39" t="s">
        <v>1609</v>
      </c>
      <c r="G74" s="39">
        <v>45</v>
      </c>
      <c r="H74" s="39"/>
      <c r="I74" s="40" t="s">
        <v>269</v>
      </c>
      <c r="J74" s="41">
        <v>371</v>
      </c>
      <c r="K74" s="41">
        <v>8.68</v>
      </c>
      <c r="L74" s="41"/>
      <c r="M74" s="42">
        <v>20.5</v>
      </c>
      <c r="N74" s="42">
        <v>20.5</v>
      </c>
      <c r="O74" s="43">
        <v>3220.28</v>
      </c>
      <c r="P74" s="44">
        <v>9887.15</v>
      </c>
      <c r="Q74" s="44">
        <v>9887.15</v>
      </c>
      <c r="R74" s="45">
        <v>0.14000000000000001</v>
      </c>
      <c r="S74" s="46">
        <v>0</v>
      </c>
      <c r="T74" s="39">
        <f t="shared" si="19"/>
        <v>45</v>
      </c>
      <c r="U74" s="47">
        <f t="shared" si="20"/>
        <v>6.2790111182518829E-2</v>
      </c>
      <c r="V74" s="48">
        <f t="shared" si="21"/>
        <v>0</v>
      </c>
      <c r="W74" s="49">
        <f t="shared" si="22"/>
        <v>1.3953358040559741E-3</v>
      </c>
      <c r="X74" s="44">
        <f t="shared" si="23"/>
        <v>370.89199149219024</v>
      </c>
      <c r="Y74" s="44">
        <f t="shared" si="24"/>
        <v>0</v>
      </c>
      <c r="Z74" s="44">
        <f t="shared" si="25"/>
        <v>9942.0533965782015</v>
      </c>
      <c r="AA74" s="522">
        <f t="shared" si="37"/>
        <v>10569.613283311277</v>
      </c>
      <c r="AB74" s="51">
        <f t="shared" si="26"/>
        <v>9294.2445513491639</v>
      </c>
      <c r="AC74" s="44">
        <f t="shared" si="27"/>
        <v>9880.9136050399884</v>
      </c>
      <c r="AD74" s="44">
        <f t="shared" si="28"/>
        <v>709.26185559948078</v>
      </c>
      <c r="AE74" s="44">
        <f t="shared" si="29"/>
        <v>0</v>
      </c>
      <c r="AF74" s="52">
        <f>HLOOKUP(I74,ElecAvoidedCostsWOCC!$A$5:$Q$50,G74+1,FALSE)</f>
        <v>3.4276422079642828</v>
      </c>
      <c r="AG74" s="44">
        <f t="shared" si="30"/>
        <v>11037.967649463219</v>
      </c>
      <c r="AH74" s="52">
        <f>HLOOKUP(I74,ElecAvoidedCostsWOCC!$A$5:$Q$50,T74+1,FALSE)</f>
        <v>3.4276422079642828</v>
      </c>
      <c r="AI74" s="44">
        <f t="shared" si="31"/>
        <v>0</v>
      </c>
      <c r="AJ74" s="44">
        <f t="shared" si="32"/>
        <v>11037.967649463219</v>
      </c>
      <c r="AK74" s="44">
        <f>HLOOKUP(I74,ElecAvoidedCostsWOCC!$A$5:$Q$50,G74+1,FALSE)*J74*L74</f>
        <v>0</v>
      </c>
      <c r="AL74" s="44">
        <f t="shared" si="33"/>
        <v>11037.967649463219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11037.96764946322</v>
      </c>
      <c r="AN74" s="48">
        <f t="shared" si="34"/>
        <v>12851.026270009024</v>
      </c>
      <c r="AO74" s="47">
        <f t="shared" si="35"/>
        <v>1.1876132146599194</v>
      </c>
      <c r="AP74" s="47">
        <f t="shared" si="36"/>
        <v>1.3005908951024592</v>
      </c>
      <c r="AQ74">
        <v>2020</v>
      </c>
    </row>
    <row r="75" spans="2:43">
      <c r="B75" s="97" t="s">
        <v>74</v>
      </c>
      <c r="C75" s="100">
        <v>18230611</v>
      </c>
      <c r="D75" s="100" t="s">
        <v>75</v>
      </c>
      <c r="E75" s="38" t="s">
        <v>2529</v>
      </c>
      <c r="F75" s="39" t="s">
        <v>1611</v>
      </c>
      <c r="G75" s="39">
        <v>45</v>
      </c>
      <c r="H75" s="39"/>
      <c r="I75" s="40" t="s">
        <v>267</v>
      </c>
      <c r="J75" s="41">
        <v>25479</v>
      </c>
      <c r="K75" s="41">
        <v>0.97</v>
      </c>
      <c r="L75" s="41"/>
      <c r="M75" s="42">
        <v>2.4300000000000002</v>
      </c>
      <c r="N75" s="42">
        <v>2.4300000000000002</v>
      </c>
      <c r="O75" s="43">
        <v>24714.63</v>
      </c>
      <c r="P75" s="44">
        <v>80488.160000000003</v>
      </c>
      <c r="Q75" s="44">
        <v>80488.160000000003</v>
      </c>
      <c r="R75" s="45"/>
      <c r="S75" s="46"/>
      <c r="T75" s="39">
        <f t="shared" si="19"/>
        <v>45</v>
      </c>
      <c r="U75" s="47">
        <f t="shared" si="20"/>
        <v>0.4818942345183696</v>
      </c>
      <c r="V75" s="48">
        <f t="shared" si="21"/>
        <v>0</v>
      </c>
      <c r="W75" s="49">
        <f t="shared" si="22"/>
        <v>1.0708760767074881E-2</v>
      </c>
      <c r="X75" s="44">
        <f t="shared" si="23"/>
        <v>2846.4786725665558</v>
      </c>
      <c r="Y75" s="44">
        <f t="shared" si="24"/>
        <v>0</v>
      </c>
      <c r="Z75" s="44">
        <f t="shared" si="25"/>
        <v>76302.113833788841</v>
      </c>
      <c r="AA75" s="522">
        <f t="shared" si="37"/>
        <v>85871.041982655064</v>
      </c>
      <c r="AB75" s="51">
        <f t="shared" si="26"/>
        <v>71330.385934176724</v>
      </c>
      <c r="AC75" s="44">
        <f t="shared" si="27"/>
        <v>80275.81750271577</v>
      </c>
      <c r="AD75" s="44">
        <f t="shared" si="28"/>
        <v>0</v>
      </c>
      <c r="AE75" s="44">
        <f t="shared" si="29"/>
        <v>0</v>
      </c>
      <c r="AF75" s="52">
        <f>HLOOKUP(I75,ElecAvoidedCostsWOCC!$A$5:$Q$50,G75+1,FALSE)</f>
        <v>3.1346149049506007</v>
      </c>
      <c r="AG75" s="44">
        <f t="shared" si="30"/>
        <v>77470.847568339261</v>
      </c>
      <c r="AH75" s="52">
        <f>HLOOKUP(I75,ElecAvoidedCostsWOCC!$A$5:$Q$50,T75+1,FALSE)</f>
        <v>3.1346149049506007</v>
      </c>
      <c r="AI75" s="44">
        <f t="shared" si="31"/>
        <v>0</v>
      </c>
      <c r="AJ75" s="44">
        <f t="shared" si="32"/>
        <v>77470.847568339261</v>
      </c>
      <c r="AK75" s="44">
        <f>HLOOKUP(I75,ElecAvoidedCostsWOCC!$A$5:$Q$50,G75+1,FALSE)*J75*L75</f>
        <v>0</v>
      </c>
      <c r="AL75" s="44">
        <f t="shared" si="33"/>
        <v>77470.847568339261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77470.847568339261</v>
      </c>
      <c r="AN75" s="48">
        <f t="shared" si="34"/>
        <v>85217.932325173198</v>
      </c>
      <c r="AO75" s="47">
        <f t="shared" si="35"/>
        <v>1.0860847947721595</v>
      </c>
      <c r="AP75" s="47">
        <f t="shared" si="36"/>
        <v>1.0615641793033155</v>
      </c>
      <c r="AQ75">
        <v>2020</v>
      </c>
    </row>
    <row r="76" spans="2:43">
      <c r="B76" s="97" t="s">
        <v>74</v>
      </c>
      <c r="C76" s="100">
        <v>18230611</v>
      </c>
      <c r="D76" s="100" t="s">
        <v>75</v>
      </c>
      <c r="E76" s="38" t="s">
        <v>2530</v>
      </c>
      <c r="F76" s="39" t="s">
        <v>1613</v>
      </c>
      <c r="G76" s="39">
        <v>45</v>
      </c>
      <c r="H76" s="39"/>
      <c r="I76" s="40" t="s">
        <v>269</v>
      </c>
      <c r="J76" s="41">
        <v>31917</v>
      </c>
      <c r="K76" s="41">
        <v>1.81</v>
      </c>
      <c r="L76" s="41"/>
      <c r="M76" s="42">
        <v>2.4300000000000002</v>
      </c>
      <c r="N76" s="42">
        <v>2.4300000000000002</v>
      </c>
      <c r="O76" s="43">
        <v>57769.77</v>
      </c>
      <c r="P76" s="44">
        <v>104341.8</v>
      </c>
      <c r="Q76" s="44">
        <v>104341.8</v>
      </c>
      <c r="R76" s="45">
        <v>0.03</v>
      </c>
      <c r="S76" s="46">
        <v>0</v>
      </c>
      <c r="T76" s="39">
        <f t="shared" si="19"/>
        <v>45</v>
      </c>
      <c r="U76" s="47">
        <f t="shared" si="20"/>
        <v>1.1264145606247098</v>
      </c>
      <c r="V76" s="48">
        <f t="shared" si="21"/>
        <v>0</v>
      </c>
      <c r="W76" s="49">
        <f t="shared" si="22"/>
        <v>2.5031434680549105E-2</v>
      </c>
      <c r="X76" s="44">
        <f t="shared" si="23"/>
        <v>6653.5658524556193</v>
      </c>
      <c r="Y76" s="44">
        <f t="shared" si="24"/>
        <v>0</v>
      </c>
      <c r="Z76" s="44">
        <f t="shared" si="25"/>
        <v>178354.09903736366</v>
      </c>
      <c r="AA76" s="522">
        <f t="shared" si="37"/>
        <v>114283.46297010114</v>
      </c>
      <c r="AB76" s="51">
        <f t="shared" si="26"/>
        <v>166732.82138670995</v>
      </c>
      <c r="AC76" s="44">
        <f t="shared" si="27"/>
        <v>106836.92901757608</v>
      </c>
      <c r="AD76" s="44">
        <f t="shared" si="28"/>
        <v>13075.189051887923</v>
      </c>
      <c r="AE76" s="44">
        <f t="shared" si="29"/>
        <v>0</v>
      </c>
      <c r="AF76" s="52">
        <f>HLOOKUP(I76,ElecAvoidedCostsWOCC!$A$5:$Q$50,G76+1,FALSE)</f>
        <v>3.4276422079642828</v>
      </c>
      <c r="AG76" s="44">
        <f t="shared" si="30"/>
        <v>198014.10199638878</v>
      </c>
      <c r="AH76" s="52">
        <f>HLOOKUP(I76,ElecAvoidedCostsWOCC!$A$5:$Q$50,T76+1,FALSE)</f>
        <v>3.4276422079642828</v>
      </c>
      <c r="AI76" s="44">
        <f t="shared" si="31"/>
        <v>0</v>
      </c>
      <c r="AJ76" s="44">
        <f t="shared" si="32"/>
        <v>198014.10199638878</v>
      </c>
      <c r="AK76" s="44">
        <f>HLOOKUP(I76,ElecAvoidedCostsWOCC!$A$5:$Q$50,G76+1,FALSE)*J76*L76</f>
        <v>0</v>
      </c>
      <c r="AL76" s="44">
        <f t="shared" si="33"/>
        <v>198014.10199638878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198014.10199638878</v>
      </c>
      <c r="AN76" s="48">
        <f t="shared" si="34"/>
        <v>230890.7012479156</v>
      </c>
      <c r="AO76" s="47">
        <f t="shared" si="35"/>
        <v>1.1876132146599194</v>
      </c>
      <c r="AP76" s="47">
        <f t="shared" si="36"/>
        <v>2.1611506748750804</v>
      </c>
      <c r="AQ76">
        <v>2020</v>
      </c>
    </row>
    <row r="77" spans="2:43">
      <c r="B77" s="97" t="s">
        <v>74</v>
      </c>
      <c r="C77" s="100">
        <v>18230611</v>
      </c>
      <c r="D77" s="100" t="s">
        <v>75</v>
      </c>
      <c r="E77" s="38" t="s">
        <v>2532</v>
      </c>
      <c r="F77" s="39" t="s">
        <v>2533</v>
      </c>
      <c r="G77" s="39">
        <v>45</v>
      </c>
      <c r="H77" s="39"/>
      <c r="I77" s="40" t="s">
        <v>269</v>
      </c>
      <c r="J77" s="41">
        <v>33554</v>
      </c>
      <c r="K77" s="41">
        <v>0</v>
      </c>
      <c r="L77" s="41"/>
      <c r="M77" s="42">
        <v>0</v>
      </c>
      <c r="N77" s="42">
        <v>0</v>
      </c>
      <c r="O77" s="43">
        <v>413.44</v>
      </c>
      <c r="P77" s="44">
        <v>0</v>
      </c>
      <c r="Q77" s="44">
        <v>23512.880000000001</v>
      </c>
      <c r="R77" s="45">
        <v>0</v>
      </c>
      <c r="S77" s="46">
        <v>0</v>
      </c>
      <c r="T77" s="39">
        <f t="shared" si="19"/>
        <v>45</v>
      </c>
      <c r="U77" s="47">
        <f t="shared" si="20"/>
        <v>8.0613932848387672E-3</v>
      </c>
      <c r="V77" s="48">
        <f t="shared" si="21"/>
        <v>0</v>
      </c>
      <c r="W77" s="49">
        <f t="shared" si="22"/>
        <v>1.7914207299641704E-4</v>
      </c>
      <c r="X77" s="44">
        <f t="shared" si="23"/>
        <v>47.617469587281576</v>
      </c>
      <c r="Y77" s="44">
        <f t="shared" si="24"/>
        <v>23512.880000000001</v>
      </c>
      <c r="Z77" s="44">
        <f t="shared" si="25"/>
        <v>1276.4239619788627</v>
      </c>
      <c r="AA77" s="522">
        <f t="shared" si="37"/>
        <v>24301.452992259361</v>
      </c>
      <c r="AB77" s="51">
        <f t="shared" si="26"/>
        <v>1193.2541478721723</v>
      </c>
      <c r="AC77" s="44">
        <f t="shared" si="27"/>
        <v>22718.007845432701</v>
      </c>
      <c r="AD77" s="44">
        <f t="shared" si="28"/>
        <v>0</v>
      </c>
      <c r="AE77" s="44">
        <f t="shared" si="29"/>
        <v>0</v>
      </c>
      <c r="AF77" s="52">
        <f>HLOOKUP(I77,ElecAvoidedCostsWOCC!$A$5:$Q$50,G77+1,FALSE)</f>
        <v>3.4276422079642828</v>
      </c>
      <c r="AG77" s="44">
        <f t="shared" si="30"/>
        <v>0</v>
      </c>
      <c r="AH77" s="52">
        <f>HLOOKUP(I77,ElecAvoidedCostsWOCC!$A$5:$Q$50,T77+1,FALSE)</f>
        <v>3.4276422079642828</v>
      </c>
      <c r="AI77" s="44">
        <f t="shared" si="31"/>
        <v>0</v>
      </c>
      <c r="AJ77" s="44">
        <f t="shared" si="32"/>
        <v>0</v>
      </c>
      <c r="AK77" s="44">
        <f>HLOOKUP(I77,ElecAvoidedCostsWOCC!$A$5:$Q$50,G77+1,FALSE)*J77*L77</f>
        <v>0</v>
      </c>
      <c r="AL77" s="44">
        <f t="shared" si="33"/>
        <v>0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4"/>
        <v>0</v>
      </c>
      <c r="AO77" s="47">
        <f t="shared" si="35"/>
        <v>0</v>
      </c>
      <c r="AP77" s="47">
        <f t="shared" si="36"/>
        <v>0</v>
      </c>
      <c r="AQ77">
        <v>2020</v>
      </c>
    </row>
    <row r="78" spans="2:43">
      <c r="B78" s="97" t="s">
        <v>74</v>
      </c>
      <c r="C78" s="100">
        <v>18230611</v>
      </c>
      <c r="D78" s="100" t="s">
        <v>75</v>
      </c>
      <c r="E78" s="38" t="s">
        <v>2534</v>
      </c>
      <c r="F78" s="39" t="s">
        <v>1617</v>
      </c>
      <c r="G78" s="39">
        <v>45</v>
      </c>
      <c r="H78" s="39"/>
      <c r="I78" s="40" t="s">
        <v>269</v>
      </c>
      <c r="J78" s="41">
        <v>72921</v>
      </c>
      <c r="K78" s="41">
        <v>0.38</v>
      </c>
      <c r="L78" s="41"/>
      <c r="M78" s="42">
        <v>1.82</v>
      </c>
      <c r="N78" s="42">
        <v>1.82</v>
      </c>
      <c r="O78" s="43">
        <v>27709.98</v>
      </c>
      <c r="P78" s="44">
        <v>175443.88</v>
      </c>
      <c r="Q78" s="44">
        <v>175443.88</v>
      </c>
      <c r="R78" s="45">
        <v>0.01</v>
      </c>
      <c r="S78" s="46">
        <v>0</v>
      </c>
      <c r="T78" s="39">
        <f t="shared" si="19"/>
        <v>45</v>
      </c>
      <c r="U78" s="47">
        <f t="shared" si="20"/>
        <v>0.54029858430489675</v>
      </c>
      <c r="V78" s="48">
        <f t="shared" si="21"/>
        <v>0</v>
      </c>
      <c r="W78" s="49">
        <f t="shared" si="22"/>
        <v>1.2006635206775484E-2</v>
      </c>
      <c r="X78" s="44">
        <f t="shared" si="23"/>
        <v>3191.4646137630143</v>
      </c>
      <c r="Y78" s="44">
        <f t="shared" si="24"/>
        <v>0</v>
      </c>
      <c r="Z78" s="44">
        <f t="shared" si="25"/>
        <v>85549.735047298382</v>
      </c>
      <c r="AA78" s="522">
        <f t="shared" si="37"/>
        <v>184164.06384360712</v>
      </c>
      <c r="AB78" s="51">
        <f t="shared" si="26"/>
        <v>79975.446431053919</v>
      </c>
      <c r="AC78" s="44">
        <f t="shared" si="27"/>
        <v>172164.21785884557</v>
      </c>
      <c r="AD78" s="44">
        <f t="shared" si="28"/>
        <v>9957.6595633749967</v>
      </c>
      <c r="AE78" s="44">
        <f t="shared" si="29"/>
        <v>0</v>
      </c>
      <c r="AF78" s="52">
        <f>HLOOKUP(I78,ElecAvoidedCostsWOCC!$A$5:$Q$50,G78+1,FALSE)</f>
        <v>3.4276422079642828</v>
      </c>
      <c r="AG78" s="44">
        <f t="shared" si="30"/>
        <v>94979.897029846106</v>
      </c>
      <c r="AH78" s="52">
        <f>HLOOKUP(I78,ElecAvoidedCostsWOCC!$A$5:$Q$50,T78+1,FALSE)</f>
        <v>3.4276422079642828</v>
      </c>
      <c r="AI78" s="44">
        <f t="shared" si="31"/>
        <v>0</v>
      </c>
      <c r="AJ78" s="44">
        <f t="shared" si="32"/>
        <v>94979.897029846106</v>
      </c>
      <c r="AK78" s="44">
        <f>HLOOKUP(I78,ElecAvoidedCostsWOCC!$A$5:$Q$50,G78+1,FALSE)*J78*L78</f>
        <v>0</v>
      </c>
      <c r="AL78" s="44">
        <f t="shared" si="33"/>
        <v>94979.897029846106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94979.897029846121</v>
      </c>
      <c r="AN78" s="48">
        <f t="shared" si="34"/>
        <v>114435.54629620574</v>
      </c>
      <c r="AO78" s="47">
        <f t="shared" si="35"/>
        <v>1.1876132146599194</v>
      </c>
      <c r="AP78" s="47">
        <f t="shared" si="36"/>
        <v>0.66468832908142061</v>
      </c>
      <c r="AQ78">
        <v>2020</v>
      </c>
    </row>
    <row r="79" spans="2:43">
      <c r="B79" s="97" t="s">
        <v>74</v>
      </c>
      <c r="C79" s="100">
        <v>18230611</v>
      </c>
      <c r="D79" s="100" t="s">
        <v>75</v>
      </c>
      <c r="E79" s="38" t="s">
        <v>1620</v>
      </c>
      <c r="F79" s="39" t="s">
        <v>1621</v>
      </c>
      <c r="G79" s="39">
        <v>45</v>
      </c>
      <c r="H79" s="39"/>
      <c r="I79" s="40" t="s">
        <v>269</v>
      </c>
      <c r="J79" s="41">
        <v>24212</v>
      </c>
      <c r="K79" s="41">
        <v>0.28999999999999998</v>
      </c>
      <c r="L79" s="41"/>
      <c r="M79" s="42">
        <v>1.82</v>
      </c>
      <c r="N79" s="42">
        <v>1.82</v>
      </c>
      <c r="O79" s="43">
        <v>7021.48</v>
      </c>
      <c r="P79" s="44">
        <v>57285.599999999999</v>
      </c>
      <c r="Q79" s="44">
        <v>57285.599999999999</v>
      </c>
      <c r="R79" s="45"/>
      <c r="S79" s="46"/>
      <c r="T79" s="39">
        <f t="shared" si="19"/>
        <v>45</v>
      </c>
      <c r="U79" s="47">
        <f t="shared" si="20"/>
        <v>0.13690719746911209</v>
      </c>
      <c r="V79" s="48">
        <f t="shared" si="21"/>
        <v>0</v>
      </c>
      <c r="W79" s="49">
        <f t="shared" si="22"/>
        <v>3.0423821659802688E-3</v>
      </c>
      <c r="X79" s="44">
        <f t="shared" si="23"/>
        <v>808.69076615157178</v>
      </c>
      <c r="Y79" s="44">
        <f t="shared" si="24"/>
        <v>0</v>
      </c>
      <c r="Z79" s="44">
        <f t="shared" si="25"/>
        <v>21677.596073324654</v>
      </c>
      <c r="AA79" s="522">
        <f t="shared" si="37"/>
        <v>59899.517590325529</v>
      </c>
      <c r="AB79" s="51">
        <f t="shared" si="26"/>
        <v>20265.117391160748</v>
      </c>
      <c r="AC79" s="44">
        <f t="shared" si="27"/>
        <v>55996.557530452956</v>
      </c>
      <c r="AD79" s="44">
        <f t="shared" si="28"/>
        <v>0</v>
      </c>
      <c r="AE79" s="44">
        <f t="shared" si="29"/>
        <v>0</v>
      </c>
      <c r="AF79" s="52">
        <f>HLOOKUP(I79,ElecAvoidedCostsWOCC!$A$5:$Q$50,G79+1,FALSE)</f>
        <v>3.4276422079642828</v>
      </c>
      <c r="AG79" s="44">
        <f t="shared" si="30"/>
        <v>24067.121210377052</v>
      </c>
      <c r="AH79" s="52">
        <f>HLOOKUP(I79,ElecAvoidedCostsWOCC!$A$5:$Q$50,T79+1,FALSE)</f>
        <v>3.4276422079642828</v>
      </c>
      <c r="AI79" s="44">
        <f t="shared" si="31"/>
        <v>0</v>
      </c>
      <c r="AJ79" s="44">
        <f t="shared" si="32"/>
        <v>24067.121210377052</v>
      </c>
      <c r="AK79" s="44">
        <f>HLOOKUP(I79,ElecAvoidedCostsWOCC!$A$5:$Q$50,G79+1,FALSE)*J79*L79</f>
        <v>0</v>
      </c>
      <c r="AL79" s="44">
        <f t="shared" si="33"/>
        <v>24067.121210377052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24067.121210377052</v>
      </c>
      <c r="AN79" s="48">
        <f t="shared" si="34"/>
        <v>26473.83333141476</v>
      </c>
      <c r="AO79" s="47">
        <f t="shared" si="35"/>
        <v>1.1876132146599192</v>
      </c>
      <c r="AP79" s="47">
        <f t="shared" si="36"/>
        <v>0.47277608658384634</v>
      </c>
      <c r="AQ79">
        <v>2020</v>
      </c>
    </row>
    <row r="80" spans="2:43">
      <c r="B80" s="97" t="s">
        <v>74</v>
      </c>
      <c r="C80" s="100">
        <v>18230611</v>
      </c>
      <c r="D80" s="100" t="s">
        <v>75</v>
      </c>
      <c r="E80" s="38" t="s">
        <v>2536</v>
      </c>
      <c r="F80" s="39" t="s">
        <v>2537</v>
      </c>
      <c r="G80" s="39">
        <v>10</v>
      </c>
      <c r="H80" s="39"/>
      <c r="I80" s="40" t="s">
        <v>265</v>
      </c>
      <c r="J80" s="41">
        <v>4</v>
      </c>
      <c r="K80" s="41">
        <v>36.6</v>
      </c>
      <c r="L80" s="41"/>
      <c r="M80" s="42">
        <v>11.35</v>
      </c>
      <c r="N80" s="42">
        <v>11.35</v>
      </c>
      <c r="O80" s="43">
        <v>146.4</v>
      </c>
      <c r="P80" s="44">
        <v>32.24</v>
      </c>
      <c r="Q80" s="44">
        <v>32.24</v>
      </c>
      <c r="R80" s="45">
        <v>5.22</v>
      </c>
      <c r="S80" s="46">
        <v>0</v>
      </c>
      <c r="T80" s="39">
        <f t="shared" si="19"/>
        <v>10</v>
      </c>
      <c r="U80" s="47">
        <f t="shared" si="20"/>
        <v>6.3434596281626001E-4</v>
      </c>
      <c r="V80" s="48">
        <f t="shared" si="21"/>
        <v>0</v>
      </c>
      <c r="W80" s="49">
        <f t="shared" si="22"/>
        <v>6.3434596281626007E-5</v>
      </c>
      <c r="X80" s="44">
        <f t="shared" si="23"/>
        <v>16.861449176610929</v>
      </c>
      <c r="Y80" s="44">
        <f t="shared" si="24"/>
        <v>0</v>
      </c>
      <c r="Z80" s="44">
        <f t="shared" si="25"/>
        <v>451.98449118059568</v>
      </c>
      <c r="AA80" s="522">
        <f t="shared" si="37"/>
        <v>50.117420255055933</v>
      </c>
      <c r="AB80" s="51">
        <f t="shared" si="26"/>
        <v>422.53387976123742</v>
      </c>
      <c r="AC80" s="44">
        <f t="shared" si="27"/>
        <v>46.851846550486982</v>
      </c>
      <c r="AD80" s="44">
        <f t="shared" si="28"/>
        <v>146.85596878977768</v>
      </c>
      <c r="AE80" s="44">
        <f t="shared" si="29"/>
        <v>0</v>
      </c>
      <c r="AF80" s="52">
        <f>HLOOKUP(I80,ElecAvoidedCostsWOCC!$A$5:$Q$50,G80+1,FALSE)</f>
        <v>0.74487332198138856</v>
      </c>
      <c r="AG80" s="44">
        <f t="shared" si="30"/>
        <v>109.04945433807529</v>
      </c>
      <c r="AH80" s="52">
        <f>HLOOKUP(I80,ElecAvoidedCostsWOCC!$A$5:$Q$50,T80+1,FALSE)</f>
        <v>0.74487332198138856</v>
      </c>
      <c r="AI80" s="44">
        <f t="shared" si="31"/>
        <v>0</v>
      </c>
      <c r="AJ80" s="44">
        <f t="shared" si="32"/>
        <v>109.04945433807529</v>
      </c>
      <c r="AK80" s="44">
        <f>HLOOKUP(I80,ElecAvoidedCostsWOCC!$A$5:$Q$50,G80+1,FALSE)*J80*L80</f>
        <v>0</v>
      </c>
      <c r="AL80" s="44">
        <f t="shared" si="33"/>
        <v>109.04945433807529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109.04945433807529</v>
      </c>
      <c r="AN80" s="48">
        <f t="shared" si="34"/>
        <v>266.81036856166054</v>
      </c>
      <c r="AO80" s="47">
        <f t="shared" si="35"/>
        <v>0.25808452188424802</v>
      </c>
      <c r="AP80" s="47">
        <f t="shared" si="36"/>
        <v>5.6947674041864911</v>
      </c>
      <c r="AQ80">
        <v>2020</v>
      </c>
    </row>
    <row r="81" spans="2:43">
      <c r="B81" s="97" t="s">
        <v>74</v>
      </c>
      <c r="C81" s="100">
        <v>18230611</v>
      </c>
      <c r="D81" s="100" t="s">
        <v>75</v>
      </c>
      <c r="E81" s="38" t="s">
        <v>2538</v>
      </c>
      <c r="F81" s="39" t="s">
        <v>2539</v>
      </c>
      <c r="G81" s="39">
        <v>1</v>
      </c>
      <c r="H81" s="39"/>
      <c r="I81" s="40" t="s">
        <v>248</v>
      </c>
      <c r="J81" s="41">
        <v>14</v>
      </c>
      <c r="K81" s="41">
        <v>0</v>
      </c>
      <c r="L81" s="41"/>
      <c r="M81" s="42">
        <v>0</v>
      </c>
      <c r="N81" s="42">
        <v>0</v>
      </c>
      <c r="O81" s="43">
        <v>0</v>
      </c>
      <c r="P81" s="44">
        <v>214.03</v>
      </c>
      <c r="Q81" s="44">
        <v>214.03</v>
      </c>
      <c r="R81" s="45">
        <v>0</v>
      </c>
      <c r="S81" s="46">
        <v>0</v>
      </c>
      <c r="T81" s="39">
        <f t="shared" si="19"/>
        <v>1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22">
        <f t="shared" si="37"/>
        <v>220.77467400494982</v>
      </c>
      <c r="AB81" s="51">
        <f t="shared" si="26"/>
        <v>0</v>
      </c>
      <c r="AC81" s="44">
        <f t="shared" si="27"/>
        <v>206.38933720197232</v>
      </c>
      <c r="AD81" s="44">
        <f t="shared" si="28"/>
        <v>0</v>
      </c>
      <c r="AE81" s="44">
        <f t="shared" si="29"/>
        <v>0</v>
      </c>
      <c r="AF81" s="52">
        <f>HLOOKUP(I81,ElecAvoidedCostsWOCC!$A$5:$Q$50,G81+1,FALSE)</f>
        <v>8.6279755452712409E-2</v>
      </c>
      <c r="AG81" s="44">
        <f t="shared" si="30"/>
        <v>0</v>
      </c>
      <c r="AH81" s="52">
        <f>HLOOKUP(I81,ElecAvoidedCostsWOCC!$A$5:$Q$50,T81+1,FALSE)</f>
        <v>8.6279755452712409E-2</v>
      </c>
      <c r="AI81" s="44">
        <f t="shared" si="31"/>
        <v>0</v>
      </c>
      <c r="AJ81" s="44">
        <f t="shared" si="32"/>
        <v>0</v>
      </c>
      <c r="AK81" s="44">
        <f>HLOOKUP(I81,ElecAvoidedCostsWOCC!$A$5:$Q$50,G81+1,FALSE)*J81*L81</f>
        <v>0</v>
      </c>
      <c r="AL81" s="44">
        <f t="shared" si="33"/>
        <v>0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4"/>
        <v>0</v>
      </c>
      <c r="AO81" s="47">
        <f t="shared" si="35"/>
        <v>0</v>
      </c>
      <c r="AP81" s="47">
        <f t="shared" si="36"/>
        <v>0</v>
      </c>
      <c r="AQ81">
        <v>2020</v>
      </c>
    </row>
    <row r="82" spans="2:43">
      <c r="B82" s="97" t="s">
        <v>74</v>
      </c>
      <c r="C82" s="100">
        <v>18230611</v>
      </c>
      <c r="D82" s="100" t="s">
        <v>75</v>
      </c>
      <c r="E82" s="38" t="s">
        <v>1624</v>
      </c>
      <c r="F82" s="39" t="s">
        <v>1625</v>
      </c>
      <c r="G82" s="39">
        <v>1</v>
      </c>
      <c r="H82" s="39"/>
      <c r="I82" s="40" t="s">
        <v>248</v>
      </c>
      <c r="J82" s="41">
        <v>10</v>
      </c>
      <c r="K82" s="41">
        <v>0</v>
      </c>
      <c r="L82" s="41"/>
      <c r="M82" s="42">
        <v>0</v>
      </c>
      <c r="N82" s="42">
        <v>0</v>
      </c>
      <c r="O82" s="43">
        <v>0</v>
      </c>
      <c r="P82" s="44">
        <v>152.88</v>
      </c>
      <c r="Q82" s="44">
        <v>152.88</v>
      </c>
      <c r="R82" s="45">
        <v>0</v>
      </c>
      <c r="S82" s="46">
        <v>0</v>
      </c>
      <c r="T82" s="39">
        <f t="shared" si="19"/>
        <v>1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22">
        <f t="shared" si="37"/>
        <v>157.69766930746496</v>
      </c>
      <c r="AB82" s="51">
        <f t="shared" si="26"/>
        <v>0</v>
      </c>
      <c r="AC82" s="44">
        <f t="shared" si="27"/>
        <v>147.42233271708417</v>
      </c>
      <c r="AD82" s="44">
        <f t="shared" si="28"/>
        <v>0</v>
      </c>
      <c r="AE82" s="44">
        <f t="shared" si="29"/>
        <v>0</v>
      </c>
      <c r="AF82" s="52">
        <f>HLOOKUP(I82,ElecAvoidedCostsWOCC!$A$5:$Q$50,G82+1,FALSE)</f>
        <v>8.6279755452712409E-2</v>
      </c>
      <c r="AG82" s="44">
        <f t="shared" si="30"/>
        <v>0</v>
      </c>
      <c r="AH82" s="52">
        <f>HLOOKUP(I82,ElecAvoidedCostsWOCC!$A$5:$Q$50,T82+1,FALSE)</f>
        <v>8.6279755452712409E-2</v>
      </c>
      <c r="AI82" s="44">
        <f t="shared" si="31"/>
        <v>0</v>
      </c>
      <c r="AJ82" s="44">
        <f t="shared" si="32"/>
        <v>0</v>
      </c>
      <c r="AK82" s="44">
        <f>HLOOKUP(I82,ElecAvoidedCostsWOCC!$A$5:$Q$50,G82+1,FALSE)*J82*L82</f>
        <v>0</v>
      </c>
      <c r="AL82" s="44">
        <f t="shared" si="33"/>
        <v>0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4"/>
        <v>0</v>
      </c>
      <c r="AO82" s="47">
        <f t="shared" si="35"/>
        <v>0</v>
      </c>
      <c r="AP82" s="47">
        <f t="shared" si="36"/>
        <v>0</v>
      </c>
      <c r="AQ82">
        <v>2020</v>
      </c>
    </row>
    <row r="83" spans="2:43">
      <c r="B83" s="97" t="s">
        <v>74</v>
      </c>
      <c r="C83" s="100">
        <v>18230611</v>
      </c>
      <c r="D83" s="100" t="s">
        <v>75</v>
      </c>
      <c r="E83" s="38" t="s">
        <v>1626</v>
      </c>
      <c r="F83" s="39" t="s">
        <v>1627</v>
      </c>
      <c r="G83" s="39">
        <v>1</v>
      </c>
      <c r="H83" s="39"/>
      <c r="I83" s="40" t="s">
        <v>248</v>
      </c>
      <c r="J83" s="41">
        <v>38</v>
      </c>
      <c r="K83" s="41">
        <v>0</v>
      </c>
      <c r="L83" s="41"/>
      <c r="M83" s="42">
        <v>0</v>
      </c>
      <c r="N83" s="42">
        <v>0</v>
      </c>
      <c r="O83" s="43">
        <v>0</v>
      </c>
      <c r="P83" s="44">
        <v>580.94000000000005</v>
      </c>
      <c r="Q83" s="44">
        <v>580.94000000000005</v>
      </c>
      <c r="R83" s="45">
        <v>0</v>
      </c>
      <c r="S83" s="46">
        <v>0</v>
      </c>
      <c r="T83" s="39">
        <f t="shared" si="19"/>
        <v>1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22">
        <f t="shared" si="37"/>
        <v>599.24701731736468</v>
      </c>
      <c r="AB83" s="51">
        <f t="shared" si="26"/>
        <v>0</v>
      </c>
      <c r="AC83" s="44">
        <f t="shared" si="27"/>
        <v>560.20100712102897</v>
      </c>
      <c r="AD83" s="44">
        <f t="shared" si="28"/>
        <v>0</v>
      </c>
      <c r="AE83" s="44">
        <f t="shared" si="29"/>
        <v>0</v>
      </c>
      <c r="AF83" s="52">
        <f>HLOOKUP(I83,ElecAvoidedCostsWOCC!$A$5:$Q$50,G83+1,FALSE)</f>
        <v>8.6279755452712409E-2</v>
      </c>
      <c r="AG83" s="44">
        <f t="shared" si="30"/>
        <v>0</v>
      </c>
      <c r="AH83" s="52">
        <f>HLOOKUP(I83,ElecAvoidedCostsWOCC!$A$5:$Q$50,T83+1,FALSE)</f>
        <v>8.6279755452712409E-2</v>
      </c>
      <c r="AI83" s="44">
        <f t="shared" si="31"/>
        <v>0</v>
      </c>
      <c r="AJ83" s="44">
        <f t="shared" si="32"/>
        <v>0</v>
      </c>
      <c r="AK83" s="44">
        <f>HLOOKUP(I83,ElecAvoidedCostsWOCC!$A$5:$Q$50,G83+1,FALSE)*J83*L83</f>
        <v>0</v>
      </c>
      <c r="AL83" s="44">
        <f t="shared" si="33"/>
        <v>0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4"/>
        <v>0</v>
      </c>
      <c r="AO83" s="47">
        <f t="shared" si="35"/>
        <v>0</v>
      </c>
      <c r="AP83" s="47">
        <f t="shared" si="36"/>
        <v>0</v>
      </c>
      <c r="AQ83">
        <v>2020</v>
      </c>
    </row>
    <row r="84" spans="2:43">
      <c r="B84" s="97" t="s">
        <v>74</v>
      </c>
      <c r="C84" s="100">
        <v>18230611</v>
      </c>
      <c r="D84" s="100" t="s">
        <v>75</v>
      </c>
      <c r="E84" s="38" t="s">
        <v>1630</v>
      </c>
      <c r="F84" s="39" t="s">
        <v>1631</v>
      </c>
      <c r="G84" s="39">
        <v>15</v>
      </c>
      <c r="H84" s="39"/>
      <c r="I84" s="40" t="s">
        <v>266</v>
      </c>
      <c r="J84" s="41">
        <v>55</v>
      </c>
      <c r="K84" s="41">
        <v>1300</v>
      </c>
      <c r="L84" s="41"/>
      <c r="M84" s="42">
        <v>3758.92</v>
      </c>
      <c r="N84" s="42">
        <v>3758.92</v>
      </c>
      <c r="O84" s="43">
        <v>71500</v>
      </c>
      <c r="P84" s="44">
        <v>268762.78999999998</v>
      </c>
      <c r="Q84" s="44">
        <v>268762.78999999998</v>
      </c>
      <c r="R84" s="45">
        <v>0</v>
      </c>
      <c r="S84" s="46">
        <v>0</v>
      </c>
      <c r="T84" s="39">
        <f t="shared" si="19"/>
        <v>15</v>
      </c>
      <c r="U84" s="47">
        <f t="shared" si="20"/>
        <v>0.46471041333363311</v>
      </c>
      <c r="V84" s="48">
        <f t="shared" si="21"/>
        <v>0</v>
      </c>
      <c r="W84" s="49">
        <f t="shared" si="22"/>
        <v>3.0980694222242207E-2</v>
      </c>
      <c r="X84" s="44">
        <f t="shared" si="23"/>
        <v>8234.9290719103919</v>
      </c>
      <c r="Y84" s="44">
        <f t="shared" si="24"/>
        <v>0</v>
      </c>
      <c r="Z84" s="44">
        <f t="shared" si="25"/>
        <v>220743.79179926633</v>
      </c>
      <c r="AA84" s="522">
        <f t="shared" si="37"/>
        <v>285467.17383624613</v>
      </c>
      <c r="AB84" s="51">
        <f t="shared" si="26"/>
        <v>206360.46723311799</v>
      </c>
      <c r="AC84" s="44">
        <f t="shared" si="27"/>
        <v>266866.57365265599</v>
      </c>
      <c r="AD84" s="44">
        <f t="shared" si="28"/>
        <v>0</v>
      </c>
      <c r="AE84" s="44">
        <f t="shared" si="29"/>
        <v>0</v>
      </c>
      <c r="AF84" s="52">
        <f>HLOOKUP(I84,ElecAvoidedCostsWOCC!$A$5:$Q$50,G84+1,FALSE)</f>
        <v>1.3961506916040443</v>
      </c>
      <c r="AG84" s="44">
        <f t="shared" si="30"/>
        <v>99824.774449689168</v>
      </c>
      <c r="AH84" s="52">
        <f>HLOOKUP(I84,ElecAvoidedCostsWOCC!$A$5:$Q$50,T84+1,FALSE)</f>
        <v>1.3961506916040443</v>
      </c>
      <c r="AI84" s="44">
        <f t="shared" si="31"/>
        <v>0</v>
      </c>
      <c r="AJ84" s="44">
        <f t="shared" si="32"/>
        <v>99824.774449689168</v>
      </c>
      <c r="AK84" s="44">
        <f>HLOOKUP(I84,ElecAvoidedCostsWOCC!$A$5:$Q$50,G84+1,FALSE)*J84*L84</f>
        <v>0</v>
      </c>
      <c r="AL84" s="44">
        <f t="shared" si="33"/>
        <v>99824.774449689168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99824.774449689168</v>
      </c>
      <c r="AN84" s="48">
        <f t="shared" si="34"/>
        <v>109807.2518946581</v>
      </c>
      <c r="AO84" s="47">
        <f t="shared" si="35"/>
        <v>0.48373981600323046</v>
      </c>
      <c r="AP84" s="47">
        <f t="shared" si="36"/>
        <v>0.41146873657387789</v>
      </c>
      <c r="AQ84">
        <v>2020</v>
      </c>
    </row>
    <row r="85" spans="2:43">
      <c r="B85" s="97" t="s">
        <v>74</v>
      </c>
      <c r="C85" s="100">
        <v>18230611</v>
      </c>
      <c r="D85" s="100" t="s">
        <v>75</v>
      </c>
      <c r="E85" s="38" t="s">
        <v>2540</v>
      </c>
      <c r="F85" s="39" t="s">
        <v>2541</v>
      </c>
      <c r="G85" s="39">
        <v>15</v>
      </c>
      <c r="H85" s="39"/>
      <c r="I85" s="40" t="s">
        <v>267</v>
      </c>
      <c r="J85" s="41">
        <v>38</v>
      </c>
      <c r="K85" s="41">
        <v>266.21052631578948</v>
      </c>
      <c r="L85" s="41"/>
      <c r="M85" s="42"/>
      <c r="N85" s="42"/>
      <c r="O85" s="43">
        <v>10116</v>
      </c>
      <c r="P85" s="44">
        <v>0</v>
      </c>
      <c r="Q85" s="44">
        <v>0</v>
      </c>
      <c r="R85" s="45"/>
      <c r="S85" s="46"/>
      <c r="T85" s="39">
        <f t="shared" si="19"/>
        <v>15</v>
      </c>
      <c r="U85" s="47">
        <f t="shared" si="20"/>
        <v>6.5748399178783681E-2</v>
      </c>
      <c r="V85" s="48">
        <f t="shared" si="21"/>
        <v>0</v>
      </c>
      <c r="W85" s="49">
        <f t="shared" si="22"/>
        <v>4.3832266119189119E-3</v>
      </c>
      <c r="X85" s="44">
        <f t="shared" si="23"/>
        <v>1165.0984963838537</v>
      </c>
      <c r="Y85" s="44">
        <f t="shared" si="24"/>
        <v>0</v>
      </c>
      <c r="Z85" s="44">
        <f t="shared" si="25"/>
        <v>31231.387382396901</v>
      </c>
      <c r="AA85" s="522">
        <f t="shared" si="37"/>
        <v>1165.0984963838537</v>
      </c>
      <c r="AB85" s="51">
        <f t="shared" si="26"/>
        <v>29196.398413010094</v>
      </c>
      <c r="AC85" s="44">
        <f t="shared" si="27"/>
        <v>1089.1824776889348</v>
      </c>
      <c r="AD85" s="44">
        <f t="shared" si="28"/>
        <v>0</v>
      </c>
      <c r="AE85" s="44">
        <f t="shared" si="29"/>
        <v>0</v>
      </c>
      <c r="AF85" s="52">
        <f>HLOOKUP(I85,ElecAvoidedCostsWOCC!$A$5:$Q$50,G85+1,FALSE)</f>
        <v>1.3893373920773078</v>
      </c>
      <c r="AG85" s="44">
        <f t="shared" si="30"/>
        <v>14054.537058254045</v>
      </c>
      <c r="AH85" s="52">
        <f>HLOOKUP(I85,ElecAvoidedCostsWOCC!$A$5:$Q$50,T85+1,FALSE)</f>
        <v>1.3893373920773078</v>
      </c>
      <c r="AI85" s="44">
        <f t="shared" si="31"/>
        <v>0</v>
      </c>
      <c r="AJ85" s="44">
        <f t="shared" si="32"/>
        <v>14054.537058254045</v>
      </c>
      <c r="AK85" s="44">
        <f>HLOOKUP(I85,ElecAvoidedCostsWOCC!$A$5:$Q$50,G85+1,FALSE)*J85*L85</f>
        <v>0</v>
      </c>
      <c r="AL85" s="44">
        <f t="shared" si="33"/>
        <v>14054.537058254045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14054.537058254045</v>
      </c>
      <c r="AN85" s="48">
        <f t="shared" si="34"/>
        <v>15459.990764079452</v>
      </c>
      <c r="AO85" s="47">
        <f t="shared" si="35"/>
        <v>0.4813791365441587</v>
      </c>
      <c r="AP85" s="47">
        <f t="shared" si="36"/>
        <v>14.194123648484501</v>
      </c>
      <c r="AQ85">
        <v>2020</v>
      </c>
    </row>
    <row r="86" spans="2:43">
      <c r="B86" s="97" t="s">
        <v>74</v>
      </c>
      <c r="C86" s="100">
        <v>18230611</v>
      </c>
      <c r="D86" s="100" t="s">
        <v>75</v>
      </c>
      <c r="E86" s="38" t="s">
        <v>2542</v>
      </c>
      <c r="F86" s="39" t="s">
        <v>2543</v>
      </c>
      <c r="G86" s="39">
        <v>1</v>
      </c>
      <c r="H86" s="39"/>
      <c r="I86" s="40" t="s">
        <v>269</v>
      </c>
      <c r="J86" s="41">
        <v>1</v>
      </c>
      <c r="K86" s="41">
        <v>0</v>
      </c>
      <c r="L86" s="41"/>
      <c r="M86" s="42"/>
      <c r="N86" s="42"/>
      <c r="O86" s="43">
        <v>8444</v>
      </c>
      <c r="P86" s="44">
        <v>9395.1</v>
      </c>
      <c r="Q86" s="44">
        <v>9395.1</v>
      </c>
      <c r="R86" s="45">
        <v>0</v>
      </c>
      <c r="S86" s="46">
        <v>0</v>
      </c>
      <c r="T86" s="39">
        <f t="shared" si="19"/>
        <v>1</v>
      </c>
      <c r="U86" s="47">
        <f t="shared" si="20"/>
        <v>3.6587549931834016E-3</v>
      </c>
      <c r="V86" s="48">
        <f t="shared" si="21"/>
        <v>0</v>
      </c>
      <c r="W86" s="49">
        <f t="shared" si="22"/>
        <v>3.6587549931834016E-3</v>
      </c>
      <c r="X86" s="44">
        <f t="shared" si="23"/>
        <v>972.52784731764132</v>
      </c>
      <c r="Y86" s="44">
        <f t="shared" si="24"/>
        <v>0</v>
      </c>
      <c r="Z86" s="44">
        <f t="shared" si="25"/>
        <v>26069.378712629441</v>
      </c>
      <c r="AA86" s="522">
        <f t="shared" si="37"/>
        <v>10663.693290217721</v>
      </c>
      <c r="AB86" s="51">
        <f t="shared" si="26"/>
        <v>24370.738256174103</v>
      </c>
      <c r="AC86" s="44">
        <f t="shared" si="27"/>
        <v>9968.8635039896417</v>
      </c>
      <c r="AD86" s="44">
        <f t="shared" si="28"/>
        <v>0</v>
      </c>
      <c r="AE86" s="44">
        <f t="shared" si="29"/>
        <v>0</v>
      </c>
      <c r="AF86" s="52">
        <f>HLOOKUP(I86,ElecAvoidedCostsWOCC!$A$5:$Q$50,G86+1,FALSE)</f>
        <v>0.11346597036450218</v>
      </c>
      <c r="AG86" s="44">
        <f t="shared" si="30"/>
        <v>0</v>
      </c>
      <c r="AH86" s="52">
        <f>HLOOKUP(I86,ElecAvoidedCostsWOCC!$A$5:$Q$50,T86+1,FALSE)</f>
        <v>0.11346597036450218</v>
      </c>
      <c r="AI86" s="44">
        <f t="shared" si="31"/>
        <v>0</v>
      </c>
      <c r="AJ86" s="44">
        <f t="shared" si="32"/>
        <v>0</v>
      </c>
      <c r="AK86" s="44">
        <f>HLOOKUP(I86,ElecAvoidedCostsWOCC!$A$5:$Q$50,G86+1,FALSE)*J86*L86</f>
        <v>0</v>
      </c>
      <c r="AL86" s="44">
        <f t="shared" si="33"/>
        <v>0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4"/>
        <v>0</v>
      </c>
      <c r="AO86" s="47">
        <f t="shared" si="35"/>
        <v>0</v>
      </c>
      <c r="AP86" s="47">
        <f t="shared" si="36"/>
        <v>0</v>
      </c>
      <c r="AQ86">
        <v>2020</v>
      </c>
    </row>
    <row r="87" spans="2:43">
      <c r="B87" s="97" t="s">
        <v>74</v>
      </c>
      <c r="C87" s="100">
        <v>18230611</v>
      </c>
      <c r="D87" s="100" t="s">
        <v>75</v>
      </c>
      <c r="E87" s="38" t="s">
        <v>2544</v>
      </c>
      <c r="F87" s="39" t="s">
        <v>1635</v>
      </c>
      <c r="G87" s="39">
        <v>25</v>
      </c>
      <c r="H87" s="39"/>
      <c r="I87" s="40" t="s">
        <v>269</v>
      </c>
      <c r="J87" s="41">
        <v>4912</v>
      </c>
      <c r="K87" s="41">
        <v>0.63</v>
      </c>
      <c r="L87" s="41"/>
      <c r="M87" s="42">
        <v>1.55</v>
      </c>
      <c r="N87" s="42">
        <v>1.55</v>
      </c>
      <c r="O87" s="43">
        <v>3094.56</v>
      </c>
      <c r="P87" s="44">
        <v>11838.18</v>
      </c>
      <c r="Q87" s="44">
        <v>11838.18</v>
      </c>
      <c r="R87" s="45">
        <v>0</v>
      </c>
      <c r="S87" s="46">
        <v>0</v>
      </c>
      <c r="T87" s="39">
        <f t="shared" si="19"/>
        <v>25</v>
      </c>
      <c r="U87" s="47">
        <f t="shared" si="20"/>
        <v>3.3521544444888758E-2</v>
      </c>
      <c r="V87" s="48">
        <f t="shared" si="21"/>
        <v>0</v>
      </c>
      <c r="W87" s="49">
        <f t="shared" si="22"/>
        <v>1.3408617777955502E-3</v>
      </c>
      <c r="X87" s="44">
        <f t="shared" si="23"/>
        <v>356.41233718560869</v>
      </c>
      <c r="Y87" s="44">
        <f t="shared" si="24"/>
        <v>0</v>
      </c>
      <c r="Z87" s="44">
        <f t="shared" si="25"/>
        <v>9553.9148021026249</v>
      </c>
      <c r="AA87" s="522">
        <f t="shared" si="37"/>
        <v>12567.645950753413</v>
      </c>
      <c r="AB87" s="51">
        <f t="shared" si="26"/>
        <v>8931.3964682645819</v>
      </c>
      <c r="AC87" s="44">
        <f t="shared" si="27"/>
        <v>11748.757549549791</v>
      </c>
      <c r="AD87" s="44">
        <f t="shared" si="28"/>
        <v>0</v>
      </c>
      <c r="AE87" s="44">
        <f t="shared" si="29"/>
        <v>0</v>
      </c>
      <c r="AF87" s="52">
        <f>HLOOKUP(I87,ElecAvoidedCostsWOCC!$A$5:$Q$50,G87+1,FALSE)</f>
        <v>2.0508206305871441</v>
      </c>
      <c r="AG87" s="44">
        <f t="shared" si="30"/>
        <v>6346.3874905897528</v>
      </c>
      <c r="AH87" s="52">
        <f>HLOOKUP(I87,ElecAvoidedCostsWOCC!$A$5:$Q$50,T87+1,FALSE)</f>
        <v>2.0508206305871441</v>
      </c>
      <c r="AI87" s="44">
        <f t="shared" si="31"/>
        <v>0</v>
      </c>
      <c r="AJ87" s="44">
        <f t="shared" si="32"/>
        <v>6346.3874905897528</v>
      </c>
      <c r="AK87" s="44">
        <f>HLOOKUP(I87,ElecAvoidedCostsWOCC!$A$5:$Q$50,G87+1,FALSE)*J87*L87</f>
        <v>0</v>
      </c>
      <c r="AL87" s="44">
        <f t="shared" si="33"/>
        <v>6346.3874905897528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6346.3874905897519</v>
      </c>
      <c r="AN87" s="48">
        <f t="shared" si="34"/>
        <v>6981.0262396487278</v>
      </c>
      <c r="AO87" s="47">
        <f t="shared" si="35"/>
        <v>0.71057057125836998</v>
      </c>
      <c r="AP87" s="47">
        <f t="shared" si="36"/>
        <v>0.59419272295020154</v>
      </c>
      <c r="AQ87">
        <v>2020</v>
      </c>
    </row>
    <row r="88" spans="2:43">
      <c r="B88" s="97" t="s">
        <v>74</v>
      </c>
      <c r="C88" s="100">
        <v>18230611</v>
      </c>
      <c r="D88" s="100" t="s">
        <v>75</v>
      </c>
      <c r="E88" s="38" t="s">
        <v>1640</v>
      </c>
      <c r="F88" s="39" t="s">
        <v>1641</v>
      </c>
      <c r="G88" s="39">
        <v>13</v>
      </c>
      <c r="H88" s="39"/>
      <c r="I88" s="40" t="s">
        <v>265</v>
      </c>
      <c r="J88" s="41">
        <v>1</v>
      </c>
      <c r="K88" s="41">
        <v>1225</v>
      </c>
      <c r="L88" s="41"/>
      <c r="M88" s="42">
        <v>1369</v>
      </c>
      <c r="N88" s="42">
        <v>1369</v>
      </c>
      <c r="O88" s="43">
        <v>1225</v>
      </c>
      <c r="P88" s="44">
        <v>1779.7</v>
      </c>
      <c r="Q88" s="44">
        <v>1779.7</v>
      </c>
      <c r="R88" s="45"/>
      <c r="S88" s="46"/>
      <c r="T88" s="39">
        <f t="shared" si="19"/>
        <v>13</v>
      </c>
      <c r="U88" s="47">
        <f t="shared" si="20"/>
        <v>6.9002455313175821E-3</v>
      </c>
      <c r="V88" s="48">
        <f t="shared" si="21"/>
        <v>0</v>
      </c>
      <c r="W88" s="49">
        <f t="shared" si="22"/>
        <v>5.3078811779366016E-4</v>
      </c>
      <c r="X88" s="44">
        <f t="shared" si="23"/>
        <v>141.08794563762561</v>
      </c>
      <c r="Y88" s="44">
        <f t="shared" si="24"/>
        <v>0</v>
      </c>
      <c r="Z88" s="44">
        <f t="shared" si="25"/>
        <v>3781.9740553021152</v>
      </c>
      <c r="AA88" s="522">
        <f t="shared" si="37"/>
        <v>1976.8711878308191</v>
      </c>
      <c r="AB88" s="51">
        <f t="shared" si="26"/>
        <v>3535.546466581392</v>
      </c>
      <c r="AC88" s="44">
        <f t="shared" si="27"/>
        <v>1848.0613142290538</v>
      </c>
      <c r="AD88" s="44">
        <f t="shared" si="28"/>
        <v>0</v>
      </c>
      <c r="AE88" s="44">
        <f t="shared" si="29"/>
        <v>0</v>
      </c>
      <c r="AF88" s="52">
        <f>HLOOKUP(I88,ElecAvoidedCostsWOCC!$A$5:$Q$50,G88+1,FALSE)</f>
        <v>0.95298626106018935</v>
      </c>
      <c r="AG88" s="44">
        <f t="shared" si="30"/>
        <v>1167.4081697987319</v>
      </c>
      <c r="AH88" s="52">
        <f>HLOOKUP(I88,ElecAvoidedCostsWOCC!$A$5:$Q$50,T88+1,FALSE)</f>
        <v>0.95298626106018935</v>
      </c>
      <c r="AI88" s="44">
        <f t="shared" si="31"/>
        <v>0</v>
      </c>
      <c r="AJ88" s="44">
        <f t="shared" si="32"/>
        <v>1167.4081697987319</v>
      </c>
      <c r="AK88" s="44">
        <f>HLOOKUP(I88,ElecAvoidedCostsWOCC!$A$5:$Q$50,G88+1,FALSE)*J88*L88</f>
        <v>0</v>
      </c>
      <c r="AL88" s="44">
        <f t="shared" si="33"/>
        <v>1167.4081697987319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1167.4081697987319</v>
      </c>
      <c r="AN88" s="48">
        <f t="shared" si="34"/>
        <v>1284.1489867786051</v>
      </c>
      <c r="AO88" s="47">
        <f t="shared" si="35"/>
        <v>0.33019172024276294</v>
      </c>
      <c r="AP88" s="47">
        <f t="shared" si="36"/>
        <v>0.69486276071652253</v>
      </c>
      <c r="AQ88">
        <v>2020</v>
      </c>
    </row>
    <row r="89" spans="2:43">
      <c r="B89" s="97" t="s">
        <v>74</v>
      </c>
      <c r="C89" s="100">
        <v>18230611</v>
      </c>
      <c r="D89" s="100" t="s">
        <v>75</v>
      </c>
      <c r="E89" s="38" t="s">
        <v>2545</v>
      </c>
      <c r="F89" s="39" t="s">
        <v>2546</v>
      </c>
      <c r="G89" s="39">
        <v>1</v>
      </c>
      <c r="H89" s="39"/>
      <c r="I89" s="40" t="s">
        <v>269</v>
      </c>
      <c r="J89" s="41">
        <v>5</v>
      </c>
      <c r="K89" s="41">
        <v>0</v>
      </c>
      <c r="L89" s="41"/>
      <c r="M89" s="42"/>
      <c r="N89" s="42"/>
      <c r="O89" s="43">
        <v>41975</v>
      </c>
      <c r="P89" s="44">
        <v>49345.83</v>
      </c>
      <c r="Q89" s="44">
        <v>49705.83</v>
      </c>
      <c r="R89" s="45">
        <v>0</v>
      </c>
      <c r="S89" s="46">
        <v>0</v>
      </c>
      <c r="T89" s="39">
        <f t="shared" ref="T89:T151" si="38">G89+H89</f>
        <v>1</v>
      </c>
      <c r="U89" s="47">
        <f t="shared" ref="U89:U151" si="39">(O89/$A$10)*T89</f>
        <v>1.8187617342358273E-2</v>
      </c>
      <c r="V89" s="48">
        <f t="shared" ref="V89:V151" si="40">N89-M89</f>
        <v>0</v>
      </c>
      <c r="W89" s="49">
        <f t="shared" ref="W89:W151" si="41">(O89/A$10)</f>
        <v>1.8187617342358273E-2</v>
      </c>
      <c r="X89" s="44">
        <f t="shared" ref="X89:X151" si="42">W89*A$8</f>
        <v>4834.421647460681</v>
      </c>
      <c r="Y89" s="44">
        <f t="shared" ref="Y89:Y151" si="43">Q89-P89</f>
        <v>360</v>
      </c>
      <c r="Z89" s="44">
        <f t="shared" ref="Z89:Z151" si="44">X89+(A$6*W89)</f>
        <v>129590.49875208676</v>
      </c>
      <c r="AA89" s="522">
        <f t="shared" si="37"/>
        <v>56106.619070230641</v>
      </c>
      <c r="AB89" s="51">
        <f t="shared" ref="AB89:AB151" si="45">Z89/(1+ElecDiscountRate)^1</f>
        <v>121146.58198755422</v>
      </c>
      <c r="AC89" s="44">
        <f t="shared" ref="AC89:AC151" si="46">AA89/(1+ElecDiscountRate)^1</f>
        <v>52450.798420333398</v>
      </c>
      <c r="AD89" s="44">
        <f t="shared" ref="AD89:AD151" si="47">-PV(ElecDiscountRate,T89,R89)*J89</f>
        <v>0</v>
      </c>
      <c r="AE89" s="44">
        <f t="shared" ref="AE89:AE151" si="48">-PV(ElecDiscountRate,T89,S89)*J89</f>
        <v>0</v>
      </c>
      <c r="AF89" s="52">
        <f>HLOOKUP(I89,ElecAvoidedCostsWOCC!$A$5:$Q$50,G89+1,FALSE)</f>
        <v>0.11346597036450218</v>
      </c>
      <c r="AG89" s="44">
        <f t="shared" ref="AG89:AG151" si="49">AF89*J89*K89</f>
        <v>0</v>
      </c>
      <c r="AH89" s="52">
        <f>HLOOKUP(I89,ElecAvoidedCostsWOCC!$A$5:$Q$50,T89+1,FALSE)</f>
        <v>0.11346597036450218</v>
      </c>
      <c r="AI89" s="44">
        <f t="shared" ref="AI89:AI151" si="50">AH89*J89*L89</f>
        <v>0</v>
      </c>
      <c r="AJ89" s="44">
        <f t="shared" ref="AJ89:AJ151" si="51">AG89+AI89</f>
        <v>0</v>
      </c>
      <c r="AK89" s="44">
        <f>HLOOKUP(I89,ElecAvoidedCostsWOCC!$A$5:$Q$50,G89+1,FALSE)*J89*L89</f>
        <v>0</v>
      </c>
      <c r="AL89" s="44">
        <f t="shared" ref="AL89:AL151" si="52">AG89+AI89-AK89</f>
        <v>0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ref="AN89:AN151" si="53">AM89*1.1+AD89+AE89</f>
        <v>0</v>
      </c>
      <c r="AO89" s="47">
        <f t="shared" ref="AO89:AO151" si="54">IFERROR(AM89/AB89,0)</f>
        <v>0</v>
      </c>
      <c r="AP89" s="47">
        <f t="shared" ref="AP89:AP151" si="55">AN89/AC89</f>
        <v>0</v>
      </c>
      <c r="AQ89">
        <v>2020</v>
      </c>
    </row>
    <row r="90" spans="2:43">
      <c r="B90" s="97" t="s">
        <v>74</v>
      </c>
      <c r="C90" s="100">
        <v>18230611</v>
      </c>
      <c r="D90" s="100" t="s">
        <v>75</v>
      </c>
      <c r="E90" s="38" t="s">
        <v>2551</v>
      </c>
      <c r="F90" s="39" t="s">
        <v>2552</v>
      </c>
      <c r="G90" s="39">
        <v>11</v>
      </c>
      <c r="H90" s="39"/>
      <c r="I90" s="40" t="s">
        <v>269</v>
      </c>
      <c r="J90" s="41">
        <v>1</v>
      </c>
      <c r="K90" s="41">
        <v>502</v>
      </c>
      <c r="L90" s="41"/>
      <c r="M90" s="42">
        <v>400</v>
      </c>
      <c r="N90" s="42">
        <v>400</v>
      </c>
      <c r="O90" s="43">
        <v>502</v>
      </c>
      <c r="P90" s="44">
        <v>422.37</v>
      </c>
      <c r="Q90" s="44">
        <v>422.37</v>
      </c>
      <c r="R90" s="45">
        <v>0</v>
      </c>
      <c r="S90" s="46"/>
      <c r="T90" s="39">
        <f t="shared" si="38"/>
        <v>11</v>
      </c>
      <c r="U90" s="47">
        <f t="shared" si="39"/>
        <v>2.3926628460870136E-3</v>
      </c>
      <c r="V90" s="48">
        <f t="shared" si="40"/>
        <v>0</v>
      </c>
      <c r="W90" s="49">
        <f t="shared" si="41"/>
        <v>2.1751480418972851E-4</v>
      </c>
      <c r="X90" s="44">
        <f t="shared" si="42"/>
        <v>57.817264253133104</v>
      </c>
      <c r="Y90" s="44">
        <f t="shared" si="43"/>
        <v>0</v>
      </c>
      <c r="Z90" s="44">
        <f t="shared" si="44"/>
        <v>1549.8375312340099</v>
      </c>
      <c r="AA90" s="522">
        <f t="shared" si="37"/>
        <v>493.49730471227741</v>
      </c>
      <c r="AB90" s="51">
        <f t="shared" si="45"/>
        <v>1448.8525112031502</v>
      </c>
      <c r="AC90" s="44">
        <f t="shared" si="46"/>
        <v>461.34178247385</v>
      </c>
      <c r="AD90" s="44">
        <f t="shared" si="47"/>
        <v>0</v>
      </c>
      <c r="AE90" s="44">
        <f t="shared" si="48"/>
        <v>0</v>
      </c>
      <c r="AF90" s="52">
        <f>HLOOKUP(I90,ElecAvoidedCostsWOCC!$A$5:$Q$50,G90+1,FALSE)</f>
        <v>1.0685556528500126</v>
      </c>
      <c r="AG90" s="44">
        <f t="shared" si="49"/>
        <v>536.41493773070636</v>
      </c>
      <c r="AH90" s="52">
        <f>HLOOKUP(I90,ElecAvoidedCostsWOCC!$A$5:$Q$50,T90+1,FALSE)</f>
        <v>1.0685556528500126</v>
      </c>
      <c r="AI90" s="44">
        <f t="shared" si="50"/>
        <v>0</v>
      </c>
      <c r="AJ90" s="44">
        <f t="shared" si="51"/>
        <v>536.41493773070636</v>
      </c>
      <c r="AK90" s="44">
        <f>HLOOKUP(I90,ElecAvoidedCostsWOCC!$A$5:$Q$50,G90+1,FALSE)*J90*L90</f>
        <v>0</v>
      </c>
      <c r="AL90" s="44">
        <f t="shared" si="52"/>
        <v>536.41493773070636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536.41493773070636</v>
      </c>
      <c r="AN90" s="48">
        <f t="shared" si="53"/>
        <v>590.05643150377705</v>
      </c>
      <c r="AO90" s="47">
        <f t="shared" si="54"/>
        <v>0.37023432929364136</v>
      </c>
      <c r="AP90" s="47">
        <f t="shared" si="55"/>
        <v>1.279000632328859</v>
      </c>
      <c r="AQ90">
        <v>2020</v>
      </c>
    </row>
    <row r="91" spans="2:43">
      <c r="B91" s="97" t="s">
        <v>2569</v>
      </c>
      <c r="C91" s="100">
        <v>18230610</v>
      </c>
      <c r="D91" s="100" t="s">
        <v>75</v>
      </c>
      <c r="E91" s="38" t="s">
        <v>2553</v>
      </c>
      <c r="F91" s="39" t="s">
        <v>2554</v>
      </c>
      <c r="G91" s="39"/>
      <c r="H91" s="39"/>
      <c r="I91" s="40" t="s">
        <v>269</v>
      </c>
      <c r="J91" s="41">
        <v>6</v>
      </c>
      <c r="K91" s="41">
        <v>0</v>
      </c>
      <c r="L91" s="41"/>
      <c r="M91" s="42">
        <v>0</v>
      </c>
      <c r="N91" s="42">
        <v>0</v>
      </c>
      <c r="O91" s="43">
        <v>0</v>
      </c>
      <c r="P91" s="44">
        <v>0</v>
      </c>
      <c r="Q91" s="44">
        <v>0</v>
      </c>
      <c r="R91" s="45">
        <v>0</v>
      </c>
      <c r="S91" s="46">
        <v>0</v>
      </c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22">
        <f t="shared" si="37"/>
        <v>0</v>
      </c>
      <c r="AB91" s="51">
        <f t="shared" si="45"/>
        <v>0</v>
      </c>
      <c r="AC91" s="44">
        <f t="shared" si="46"/>
        <v>0</v>
      </c>
      <c r="AD91" s="44">
        <f t="shared" si="47"/>
        <v>0</v>
      </c>
      <c r="AE91" s="44">
        <f t="shared" si="48"/>
        <v>0</v>
      </c>
      <c r="AF91" s="52" t="str">
        <f>HLOOKUP(I91,ElecAvoidedCostsWOCC!$A$5:$Q$50,G91+1,FALSE)</f>
        <v>SF Space Heat</v>
      </c>
      <c r="AG91" s="44" t="e">
        <f t="shared" si="49"/>
        <v>#VALUE!</v>
      </c>
      <c r="AH91" s="52" t="str">
        <f>HLOOKUP(I91,ElecAvoidedCostsWOCC!$A$5:$Q$50,T91+1,FALSE)</f>
        <v>SF Space Heat</v>
      </c>
      <c r="AI91" s="44" t="e">
        <f t="shared" si="50"/>
        <v>#VALUE!</v>
      </c>
      <c r="AJ91" s="44" t="e">
        <f t="shared" si="51"/>
        <v>#VALUE!</v>
      </c>
      <c r="AK91" s="44" t="e">
        <f>HLOOKUP(I91,ElecAvoidedCostsWOCC!$A$5:$Q$50,G91+1,FALSE)*J91*L91</f>
        <v>#VALUE!</v>
      </c>
      <c r="AL91" s="44" t="e">
        <f t="shared" si="52"/>
        <v>#VALUE!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53"/>
        <v>0</v>
      </c>
      <c r="AO91" s="47">
        <f t="shared" si="54"/>
        <v>0</v>
      </c>
      <c r="AP91" s="47" t="e">
        <f t="shared" si="55"/>
        <v>#DIV/0!</v>
      </c>
      <c r="AQ91">
        <v>2020</v>
      </c>
    </row>
    <row r="92" spans="2:43">
      <c r="B92" s="97" t="s">
        <v>74</v>
      </c>
      <c r="C92" s="100">
        <v>18230611</v>
      </c>
      <c r="D92" s="100" t="s">
        <v>75</v>
      </c>
      <c r="E92" s="38" t="s">
        <v>1660</v>
      </c>
      <c r="F92" s="39" t="s">
        <v>1661</v>
      </c>
      <c r="G92" s="39">
        <v>41</v>
      </c>
      <c r="H92" s="39"/>
      <c r="I92" s="40" t="s">
        <v>269</v>
      </c>
      <c r="J92" s="41">
        <v>2</v>
      </c>
      <c r="K92" s="41">
        <v>8471</v>
      </c>
      <c r="L92" s="41"/>
      <c r="M92" s="42">
        <v>13500</v>
      </c>
      <c r="N92" s="42">
        <v>75400</v>
      </c>
      <c r="O92" s="43">
        <v>16942</v>
      </c>
      <c r="P92" s="44">
        <v>20892.79</v>
      </c>
      <c r="Q92" s="44">
        <v>20892.79</v>
      </c>
      <c r="R92" s="45">
        <v>25000</v>
      </c>
      <c r="S92" s="46"/>
      <c r="T92" s="39">
        <f t="shared" si="38"/>
        <v>41</v>
      </c>
      <c r="U92" s="47">
        <f t="shared" si="39"/>
        <v>0.30097722772087171</v>
      </c>
      <c r="V92" s="48">
        <f t="shared" si="40"/>
        <v>61900</v>
      </c>
      <c r="W92" s="49">
        <f t="shared" si="41"/>
        <v>7.3409079931919929E-3</v>
      </c>
      <c r="X92" s="44">
        <f t="shared" si="42"/>
        <v>1951.2750816266555</v>
      </c>
      <c r="Y92" s="44">
        <f t="shared" si="43"/>
        <v>0</v>
      </c>
      <c r="Z92" s="44">
        <f t="shared" si="44"/>
        <v>52305.473016268115</v>
      </c>
      <c r="AA92" s="522">
        <f t="shared" si="37"/>
        <v>23502.454361652239</v>
      </c>
      <c r="AB92" s="51">
        <f t="shared" si="45"/>
        <v>48897.329172915874</v>
      </c>
      <c r="AC92" s="44">
        <f t="shared" si="46"/>
        <v>21971.070731655826</v>
      </c>
      <c r="AD92" s="44">
        <f t="shared" si="47"/>
        <v>672070.83666965482</v>
      </c>
      <c r="AE92" s="44">
        <f t="shared" si="48"/>
        <v>0</v>
      </c>
      <c r="AF92" s="52">
        <f>HLOOKUP(I92,ElecAvoidedCostsWOCC!$A$5:$Q$50,G92+1,FALSE)</f>
        <v>3.105274668448097</v>
      </c>
      <c r="AG92" s="44">
        <f t="shared" si="49"/>
        <v>52609.563432847659</v>
      </c>
      <c r="AH92" s="52">
        <f>HLOOKUP(I92,ElecAvoidedCostsWOCC!$A$5:$Q$50,T92+1,FALSE)</f>
        <v>3.105274668448097</v>
      </c>
      <c r="AI92" s="44">
        <f t="shared" si="50"/>
        <v>0</v>
      </c>
      <c r="AJ92" s="44">
        <f t="shared" si="51"/>
        <v>52609.563432847659</v>
      </c>
      <c r="AK92" s="44">
        <f>HLOOKUP(I92,ElecAvoidedCostsWOCC!$A$5:$Q$50,G92+1,FALSE)*J92*L92</f>
        <v>0</v>
      </c>
      <c r="AL92" s="44">
        <f t="shared" si="52"/>
        <v>52609.563432847659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52609.563432847659</v>
      </c>
      <c r="AN92" s="48">
        <f t="shared" si="53"/>
        <v>729941.35644578724</v>
      </c>
      <c r="AO92" s="47">
        <f t="shared" si="54"/>
        <v>1.0759189575938635</v>
      </c>
      <c r="AP92" s="47">
        <f t="shared" si="55"/>
        <v>33.222839494758482</v>
      </c>
      <c r="AQ92">
        <v>2020</v>
      </c>
    </row>
    <row r="93" spans="2:43">
      <c r="B93" s="97" t="s">
        <v>74</v>
      </c>
      <c r="C93" s="100">
        <v>18230611</v>
      </c>
      <c r="D93" s="100" t="s">
        <v>75</v>
      </c>
      <c r="E93" s="38" t="s">
        <v>2560</v>
      </c>
      <c r="F93" s="39" t="s">
        <v>2561</v>
      </c>
      <c r="G93" s="39"/>
      <c r="H93" s="39"/>
      <c r="I93" s="40"/>
      <c r="J93" s="41">
        <v>10</v>
      </c>
      <c r="K93" s="41"/>
      <c r="L93" s="41"/>
      <c r="M93" s="42"/>
      <c r="N93" s="42"/>
      <c r="O93" s="43">
        <v>0</v>
      </c>
      <c r="P93" s="44">
        <v>0</v>
      </c>
      <c r="Q93" s="44">
        <v>0</v>
      </c>
      <c r="R93" s="45">
        <v>0</v>
      </c>
      <c r="S93" s="46">
        <v>0</v>
      </c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22">
        <f t="shared" si="37"/>
        <v>0</v>
      </c>
      <c r="AB93" s="51">
        <f t="shared" si="45"/>
        <v>0</v>
      </c>
      <c r="AC93" s="44">
        <f t="shared" si="46"/>
        <v>0</v>
      </c>
      <c r="AD93" s="44">
        <f t="shared" si="47"/>
        <v>0</v>
      </c>
      <c r="AE93" s="44">
        <f t="shared" si="48"/>
        <v>0</v>
      </c>
      <c r="AF93" s="52" t="e">
        <f>HLOOKUP(I93,ElecAvoidedCostsWOCC!$A$5:$Q$50,G93+1,FALSE)</f>
        <v>#N/A</v>
      </c>
      <c r="AG93" s="44" t="e">
        <f t="shared" si="49"/>
        <v>#N/A</v>
      </c>
      <c r="AH93" s="52" t="e">
        <f>HLOOKUP(I93,ElecAvoidedCostsWOCC!$A$5:$Q$50,T93+1,FALSE)</f>
        <v>#N/A</v>
      </c>
      <c r="AI93" s="44" t="e">
        <f t="shared" si="50"/>
        <v>#N/A</v>
      </c>
      <c r="AJ93" s="44" t="e">
        <f t="shared" si="51"/>
        <v>#N/A</v>
      </c>
      <c r="AK93" s="44" t="e">
        <f>HLOOKUP(I93,ElecAvoidedCostsWOCC!$A$5:$Q$50,G93+1,FALSE)*J93*L93</f>
        <v>#N/A</v>
      </c>
      <c r="AL93" s="44" t="e">
        <f t="shared" si="52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53"/>
        <v>0</v>
      </c>
      <c r="AO93" s="47">
        <f t="shared" si="54"/>
        <v>0</v>
      </c>
      <c r="AP93" s="47" t="e">
        <f t="shared" si="55"/>
        <v>#DIV/0!</v>
      </c>
      <c r="AQ93">
        <v>2020</v>
      </c>
    </row>
    <row r="94" spans="2:43">
      <c r="B94" s="97" t="s">
        <v>74</v>
      </c>
      <c r="C94" s="100">
        <v>18230611</v>
      </c>
      <c r="D94" s="100" t="s">
        <v>75</v>
      </c>
      <c r="E94" s="38" t="s">
        <v>2562</v>
      </c>
      <c r="F94" s="39" t="s">
        <v>1673</v>
      </c>
      <c r="G94" s="39">
        <v>15</v>
      </c>
      <c r="H94" s="39"/>
      <c r="I94" s="40" t="s">
        <v>268</v>
      </c>
      <c r="J94" s="41">
        <v>10</v>
      </c>
      <c r="K94" s="41">
        <v>3172</v>
      </c>
      <c r="L94" s="41"/>
      <c r="M94" s="42">
        <v>3060.27</v>
      </c>
      <c r="N94" s="42">
        <v>3060.27</v>
      </c>
      <c r="O94" s="43">
        <v>31720</v>
      </c>
      <c r="P94" s="44">
        <v>37671.14</v>
      </c>
      <c r="Q94" s="44">
        <v>37671.14</v>
      </c>
      <c r="R94" s="45">
        <v>0</v>
      </c>
      <c r="S94" s="46">
        <v>0</v>
      </c>
      <c r="T94" s="39">
        <f t="shared" si="38"/>
        <v>15</v>
      </c>
      <c r="U94" s="47">
        <f t="shared" si="39"/>
        <v>0.20616243791528452</v>
      </c>
      <c r="V94" s="48">
        <f t="shared" si="40"/>
        <v>0</v>
      </c>
      <c r="W94" s="49">
        <f t="shared" si="41"/>
        <v>1.3744162527685634E-2</v>
      </c>
      <c r="X94" s="44">
        <f t="shared" si="42"/>
        <v>3653.3139882657015</v>
      </c>
      <c r="Y94" s="44">
        <f t="shared" si="43"/>
        <v>0</v>
      </c>
      <c r="Z94" s="44">
        <f t="shared" si="44"/>
        <v>97929.973089129067</v>
      </c>
      <c r="AA94" s="522">
        <f t="shared" si="37"/>
        <v>42511.575226852932</v>
      </c>
      <c r="AB94" s="51">
        <f t="shared" si="45"/>
        <v>91549.007281601444</v>
      </c>
      <c r="AC94" s="44">
        <f t="shared" si="46"/>
        <v>39741.586638172317</v>
      </c>
      <c r="AD94" s="44">
        <f t="shared" si="47"/>
        <v>0</v>
      </c>
      <c r="AE94" s="44">
        <f t="shared" si="48"/>
        <v>0</v>
      </c>
      <c r="AF94" s="52">
        <f>HLOOKUP(I94,ElecAvoidedCostsWOCC!$A$5:$Q$50,G94+1,FALSE)</f>
        <v>1.3961506916040443</v>
      </c>
      <c r="AG94" s="44">
        <f t="shared" si="49"/>
        <v>44285.899937680282</v>
      </c>
      <c r="AH94" s="52">
        <f>HLOOKUP(I94,ElecAvoidedCostsWOCC!$A$5:$Q$50,T94+1,FALSE)</f>
        <v>1.3961506916040443</v>
      </c>
      <c r="AI94" s="44">
        <f t="shared" si="50"/>
        <v>0</v>
      </c>
      <c r="AJ94" s="44">
        <f t="shared" si="51"/>
        <v>44285.899937680282</v>
      </c>
      <c r="AK94" s="44">
        <f>HLOOKUP(I94,ElecAvoidedCostsWOCC!$A$5:$Q$50,G94+1,FALSE)*J94*L94</f>
        <v>0</v>
      </c>
      <c r="AL94" s="44">
        <f t="shared" si="52"/>
        <v>44285.899937680282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44285.899937680289</v>
      </c>
      <c r="AN94" s="48">
        <f t="shared" si="53"/>
        <v>48714.489931448319</v>
      </c>
      <c r="AO94" s="47">
        <f t="shared" si="54"/>
        <v>0.48373981600323046</v>
      </c>
      <c r="AP94" s="47">
        <f t="shared" si="55"/>
        <v>1.2257812043331306</v>
      </c>
      <c r="AQ94">
        <v>2020</v>
      </c>
    </row>
    <row r="95" spans="2:43">
      <c r="B95" s="97" t="s">
        <v>74</v>
      </c>
      <c r="C95" s="100">
        <v>18230611</v>
      </c>
      <c r="D95" s="100" t="s">
        <v>75</v>
      </c>
      <c r="E95" s="38" t="s">
        <v>2565</v>
      </c>
      <c r="F95" s="39" t="s">
        <v>2566</v>
      </c>
      <c r="G95" s="39">
        <v>1</v>
      </c>
      <c r="H95" s="39"/>
      <c r="I95" s="40" t="s">
        <v>269</v>
      </c>
      <c r="J95" s="41">
        <v>1</v>
      </c>
      <c r="K95" s="41">
        <v>2579</v>
      </c>
      <c r="L95" s="41"/>
      <c r="M95" s="42">
        <v>4103.58</v>
      </c>
      <c r="N95" s="42">
        <v>4103.58</v>
      </c>
      <c r="O95" s="43">
        <v>2579</v>
      </c>
      <c r="P95" s="44">
        <v>4103.58</v>
      </c>
      <c r="Q95" s="44">
        <v>4103.58</v>
      </c>
      <c r="R95" s="45">
        <v>0</v>
      </c>
      <c r="S95" s="46">
        <v>0</v>
      </c>
      <c r="T95" s="39">
        <f t="shared" si="38"/>
        <v>1</v>
      </c>
      <c r="U95" s="47">
        <f t="shared" si="39"/>
        <v>1.1174714741141629E-3</v>
      </c>
      <c r="V95" s="48">
        <f t="shared" si="40"/>
        <v>0</v>
      </c>
      <c r="W95" s="49">
        <f t="shared" si="41"/>
        <v>1.1174714741141629E-3</v>
      </c>
      <c r="X95" s="44">
        <f t="shared" si="42"/>
        <v>297.03331575464199</v>
      </c>
      <c r="Y95" s="44">
        <f t="shared" si="43"/>
        <v>0</v>
      </c>
      <c r="Z95" s="44">
        <f t="shared" si="44"/>
        <v>7962.213133570739</v>
      </c>
      <c r="AA95" s="522">
        <f t="shared" si="37"/>
        <v>4529.9284087473616</v>
      </c>
      <c r="AB95" s="51">
        <f t="shared" si="45"/>
        <v>7443.4076222966614</v>
      </c>
      <c r="AC95" s="44">
        <f t="shared" si="46"/>
        <v>4234.7652694656081</v>
      </c>
      <c r="AD95" s="44">
        <f t="shared" si="47"/>
        <v>0</v>
      </c>
      <c r="AE95" s="44">
        <f t="shared" si="48"/>
        <v>0</v>
      </c>
      <c r="AF95" s="52">
        <f>HLOOKUP(I95,ElecAvoidedCostsWOCC!$A$5:$Q$50,G95+1,FALSE)</f>
        <v>0.11346597036450218</v>
      </c>
      <c r="AG95" s="44">
        <f t="shared" si="49"/>
        <v>292.6287375700511</v>
      </c>
      <c r="AH95" s="52">
        <f>HLOOKUP(I95,ElecAvoidedCostsWOCC!$A$5:$Q$50,T95+1,FALSE)</f>
        <v>0.11346597036450218</v>
      </c>
      <c r="AI95" s="44">
        <f t="shared" si="50"/>
        <v>0</v>
      </c>
      <c r="AJ95" s="44">
        <f t="shared" si="51"/>
        <v>292.6287375700511</v>
      </c>
      <c r="AK95" s="44">
        <f>HLOOKUP(I95,ElecAvoidedCostsWOCC!$A$5:$Q$50,G95+1,FALSE)*J95*L95</f>
        <v>0</v>
      </c>
      <c r="AL95" s="44">
        <f t="shared" si="52"/>
        <v>292.6287375700511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292.6287375700511</v>
      </c>
      <c r="AN95" s="48">
        <f t="shared" si="53"/>
        <v>321.89161132705624</v>
      </c>
      <c r="AO95" s="47">
        <f t="shared" si="54"/>
        <v>3.931381329882893E-2</v>
      </c>
      <c r="AP95" s="47">
        <f t="shared" si="55"/>
        <v>7.6011677352703963E-2</v>
      </c>
      <c r="AQ95">
        <v>2020</v>
      </c>
    </row>
    <row r="96" spans="2:43">
      <c r="B96" s="97" t="s">
        <v>74</v>
      </c>
      <c r="C96" s="100">
        <v>18230611</v>
      </c>
      <c r="D96" s="100" t="s">
        <v>75</v>
      </c>
      <c r="E96" s="38" t="s">
        <v>1682</v>
      </c>
      <c r="F96" s="39" t="s">
        <v>1683</v>
      </c>
      <c r="G96" s="39">
        <v>1</v>
      </c>
      <c r="H96" s="39"/>
      <c r="I96" s="40" t="s">
        <v>269</v>
      </c>
      <c r="J96" s="41">
        <v>12</v>
      </c>
      <c r="K96" s="41">
        <v>3884.5</v>
      </c>
      <c r="L96" s="41"/>
      <c r="M96" s="42">
        <v>6577.2766666666676</v>
      </c>
      <c r="N96" s="42">
        <v>6577.2766666666676</v>
      </c>
      <c r="O96" s="43">
        <v>46614</v>
      </c>
      <c r="P96" s="44">
        <v>78927.320000000007</v>
      </c>
      <c r="Q96" s="44">
        <v>78927.320000000007</v>
      </c>
      <c r="R96" s="45">
        <v>0</v>
      </c>
      <c r="S96" s="46">
        <v>0</v>
      </c>
      <c r="T96" s="39">
        <f t="shared" si="38"/>
        <v>1</v>
      </c>
      <c r="U96" s="47">
        <f t="shared" si="39"/>
        <v>2.0197679447211164E-2</v>
      </c>
      <c r="V96" s="48">
        <f t="shared" si="40"/>
        <v>0</v>
      </c>
      <c r="W96" s="49">
        <f t="shared" si="41"/>
        <v>2.0197679447211164E-2</v>
      </c>
      <c r="X96" s="44">
        <f t="shared" si="42"/>
        <v>5368.7130595528815</v>
      </c>
      <c r="Y96" s="44">
        <f t="shared" si="43"/>
        <v>0</v>
      </c>
      <c r="Z96" s="44">
        <f t="shared" si="44"/>
        <v>143912.60295008394</v>
      </c>
      <c r="AA96" s="522">
        <f t="shared" si="37"/>
        <v>86783.25000803842</v>
      </c>
      <c r="AB96" s="51">
        <f t="shared" si="45"/>
        <v>134535.47999446941</v>
      </c>
      <c r="AC96" s="44">
        <f t="shared" si="46"/>
        <v>81128.587461941119</v>
      </c>
      <c r="AD96" s="44">
        <f t="shared" si="47"/>
        <v>0</v>
      </c>
      <c r="AE96" s="44">
        <f t="shared" si="48"/>
        <v>0</v>
      </c>
      <c r="AF96" s="52">
        <f>HLOOKUP(I96,ElecAvoidedCostsWOCC!$A$5:$Q$50,G96+1,FALSE)</f>
        <v>0.11346597036450218</v>
      </c>
      <c r="AG96" s="44">
        <f t="shared" si="49"/>
        <v>5289.1027425709044</v>
      </c>
      <c r="AH96" s="52">
        <f>HLOOKUP(I96,ElecAvoidedCostsWOCC!$A$5:$Q$50,T96+1,FALSE)</f>
        <v>0.11346597036450218</v>
      </c>
      <c r="AI96" s="44">
        <f t="shared" si="50"/>
        <v>0</v>
      </c>
      <c r="AJ96" s="44">
        <f t="shared" si="51"/>
        <v>5289.1027425709044</v>
      </c>
      <c r="AK96" s="44">
        <f>HLOOKUP(I96,ElecAvoidedCostsWOCC!$A$5:$Q$50,G96+1,FALSE)*J96*L96</f>
        <v>0</v>
      </c>
      <c r="AL96" s="44">
        <f t="shared" si="52"/>
        <v>5289.1027425709044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5289.1027425709044</v>
      </c>
      <c r="AN96" s="48">
        <f t="shared" si="53"/>
        <v>5818.0130168279957</v>
      </c>
      <c r="AO96" s="47">
        <f t="shared" si="54"/>
        <v>3.9313813298828923E-2</v>
      </c>
      <c r="AP96" s="47">
        <f t="shared" si="55"/>
        <v>7.1713476085816616E-2</v>
      </c>
      <c r="AQ96">
        <v>2020</v>
      </c>
    </row>
    <row r="97" spans="2:43">
      <c r="B97" s="97" t="s">
        <v>74</v>
      </c>
      <c r="C97" s="100">
        <v>18230611</v>
      </c>
      <c r="D97" s="100" t="s">
        <v>75</v>
      </c>
      <c r="E97" s="38" t="s">
        <v>1445</v>
      </c>
      <c r="F97" s="39" t="s">
        <v>1446</v>
      </c>
      <c r="G97" s="39"/>
      <c r="H97" s="39"/>
      <c r="I97" s="40"/>
      <c r="J97" s="41">
        <v>1</v>
      </c>
      <c r="K97" s="41">
        <v>0</v>
      </c>
      <c r="L97" s="41"/>
      <c r="M97" s="42">
        <v>261.43</v>
      </c>
      <c r="N97" s="42">
        <v>261.43</v>
      </c>
      <c r="O97" s="43">
        <v>0</v>
      </c>
      <c r="P97" s="44">
        <v>261.43</v>
      </c>
      <c r="Q97" s="44">
        <v>261.43</v>
      </c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22">
        <f t="shared" si="37"/>
        <v>269.66837838206806</v>
      </c>
      <c r="AB97" s="51">
        <f t="shared" si="45"/>
        <v>0</v>
      </c>
      <c r="AC97" s="44">
        <f t="shared" si="46"/>
        <v>252.09720331127235</v>
      </c>
      <c r="AD97" s="44">
        <f t="shared" si="47"/>
        <v>0</v>
      </c>
      <c r="AE97" s="44">
        <f t="shared" si="48"/>
        <v>0</v>
      </c>
      <c r="AF97" s="52" t="e">
        <f>HLOOKUP(I97,ElecAvoidedCostsWOCC!$A$5:$Q$50,G97+1,FALSE)</f>
        <v>#N/A</v>
      </c>
      <c r="AG97" s="44" t="e">
        <f t="shared" si="49"/>
        <v>#N/A</v>
      </c>
      <c r="AH97" s="52" t="e">
        <f>HLOOKUP(I97,ElecAvoidedCostsWOCC!$A$5:$Q$50,T97+1,FALSE)</f>
        <v>#N/A</v>
      </c>
      <c r="AI97" s="44" t="e">
        <f t="shared" si="50"/>
        <v>#N/A</v>
      </c>
      <c r="AJ97" s="44" t="e">
        <f t="shared" si="51"/>
        <v>#N/A</v>
      </c>
      <c r="AK97" s="44" t="e">
        <f>HLOOKUP(I97,ElecAvoidedCostsWOCC!$A$5:$Q$50,G97+1,FALSE)*J97*L97</f>
        <v>#N/A</v>
      </c>
      <c r="AL97" s="44" t="e">
        <f t="shared" si="52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53"/>
        <v>0</v>
      </c>
      <c r="AO97" s="47">
        <f t="shared" si="54"/>
        <v>0</v>
      </c>
      <c r="AP97" s="47">
        <f t="shared" si="55"/>
        <v>0</v>
      </c>
      <c r="AQ97">
        <v>2021</v>
      </c>
    </row>
    <row r="98" spans="2:43">
      <c r="B98" s="97" t="s">
        <v>74</v>
      </c>
      <c r="C98" s="100">
        <v>18230611</v>
      </c>
      <c r="D98" s="100" t="s">
        <v>75</v>
      </c>
      <c r="E98" s="38" t="s">
        <v>1447</v>
      </c>
      <c r="F98" s="39" t="s">
        <v>1448</v>
      </c>
      <c r="G98" s="39"/>
      <c r="H98" s="39"/>
      <c r="I98" s="40"/>
      <c r="J98" s="41">
        <v>3</v>
      </c>
      <c r="K98" s="41">
        <v>0</v>
      </c>
      <c r="L98" s="41"/>
      <c r="M98" s="42">
        <v>324.19666666666666</v>
      </c>
      <c r="N98" s="42">
        <v>324.19666666666666</v>
      </c>
      <c r="O98" s="43">
        <v>0</v>
      </c>
      <c r="P98" s="44">
        <v>972.59</v>
      </c>
      <c r="Q98" s="44">
        <v>972.59</v>
      </c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22">
        <f t="shared" si="37"/>
        <v>1003.2389860789335</v>
      </c>
      <c r="AB98" s="51">
        <f t="shared" si="45"/>
        <v>0</v>
      </c>
      <c r="AC98" s="44">
        <f t="shared" si="46"/>
        <v>937.86948310641617</v>
      </c>
      <c r="AD98" s="44">
        <f t="shared" si="47"/>
        <v>0</v>
      </c>
      <c r="AE98" s="44">
        <f t="shared" si="48"/>
        <v>0</v>
      </c>
      <c r="AF98" s="52" t="e">
        <f>HLOOKUP(I98,ElecAvoidedCostsWOCC!$A$5:$Q$50,G98+1,FALSE)</f>
        <v>#N/A</v>
      </c>
      <c r="AG98" s="44" t="e">
        <f t="shared" si="49"/>
        <v>#N/A</v>
      </c>
      <c r="AH98" s="52" t="e">
        <f>HLOOKUP(I98,ElecAvoidedCostsWOCC!$A$5:$Q$50,T98+1,FALSE)</f>
        <v>#N/A</v>
      </c>
      <c r="AI98" s="44" t="e">
        <f t="shared" si="50"/>
        <v>#N/A</v>
      </c>
      <c r="AJ98" s="44" t="e">
        <f t="shared" si="51"/>
        <v>#N/A</v>
      </c>
      <c r="AK98" s="44" t="e">
        <f>HLOOKUP(I98,ElecAvoidedCostsWOCC!$A$5:$Q$50,G98+1,FALSE)*J98*L98</f>
        <v>#N/A</v>
      </c>
      <c r="AL98" s="44" t="e">
        <f t="shared" si="52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3"/>
        <v>0</v>
      </c>
      <c r="AO98" s="47">
        <f t="shared" si="54"/>
        <v>0</v>
      </c>
      <c r="AP98" s="47">
        <f t="shared" si="55"/>
        <v>0</v>
      </c>
      <c r="AQ98">
        <v>2021</v>
      </c>
    </row>
    <row r="99" spans="2:43">
      <c r="B99" s="97" t="s">
        <v>74</v>
      </c>
      <c r="C99" s="100">
        <v>18230611</v>
      </c>
      <c r="D99" s="100" t="s">
        <v>75</v>
      </c>
      <c r="E99" s="38" t="s">
        <v>1449</v>
      </c>
      <c r="F99" s="39" t="s">
        <v>1450</v>
      </c>
      <c r="G99" s="39">
        <v>30</v>
      </c>
      <c r="H99" s="39"/>
      <c r="I99" s="40" t="s">
        <v>267</v>
      </c>
      <c r="J99" s="41">
        <v>31</v>
      </c>
      <c r="K99" s="41">
        <v>2023.3548387096773</v>
      </c>
      <c r="L99" s="41"/>
      <c r="M99" s="42">
        <v>0</v>
      </c>
      <c r="N99" s="42">
        <v>0</v>
      </c>
      <c r="O99" s="43">
        <v>62724</v>
      </c>
      <c r="P99" s="44">
        <v>0</v>
      </c>
      <c r="Q99" s="44">
        <v>0</v>
      </c>
      <c r="R99" s="45">
        <v>0</v>
      </c>
      <c r="S99" s="46">
        <v>0</v>
      </c>
      <c r="T99" s="39">
        <f t="shared" si="38"/>
        <v>30</v>
      </c>
      <c r="U99" s="47">
        <f t="shared" si="39"/>
        <v>0.81534254450178467</v>
      </c>
      <c r="V99" s="48">
        <f t="shared" si="40"/>
        <v>0</v>
      </c>
      <c r="W99" s="49">
        <f t="shared" si="41"/>
        <v>2.7178084816726157E-2</v>
      </c>
      <c r="X99" s="44">
        <f t="shared" si="42"/>
        <v>7224.1635119791254</v>
      </c>
      <c r="Y99" s="44">
        <f t="shared" si="43"/>
        <v>0</v>
      </c>
      <c r="Z99" s="44">
        <f t="shared" si="44"/>
        <v>193649.42093450605</v>
      </c>
      <c r="AA99" s="522">
        <f t="shared" si="37"/>
        <v>7224.1635119791254</v>
      </c>
      <c r="AB99" s="51">
        <f t="shared" si="45"/>
        <v>181031.52373049082</v>
      </c>
      <c r="AC99" s="44">
        <f t="shared" si="46"/>
        <v>6753.448174234949</v>
      </c>
      <c r="AD99" s="44">
        <f t="shared" si="47"/>
        <v>0</v>
      </c>
      <c r="AE99" s="44">
        <f t="shared" si="48"/>
        <v>0</v>
      </c>
      <c r="AF99" s="52">
        <f>HLOOKUP(I99,ElecAvoidedCostsWOCC!$A$5:$Q$50,G99+1,FALSE)</f>
        <v>2.1643436258224993</v>
      </c>
      <c r="AG99" s="44">
        <f t="shared" si="49"/>
        <v>135756.28958609045</v>
      </c>
      <c r="AH99" s="52">
        <f>HLOOKUP(I99,ElecAvoidedCostsWOCC!$A$5:$Q$50,T99+1,FALSE)</f>
        <v>2.1643436258224993</v>
      </c>
      <c r="AI99" s="44">
        <f t="shared" si="50"/>
        <v>0</v>
      </c>
      <c r="AJ99" s="44">
        <f t="shared" si="51"/>
        <v>135756.28958609045</v>
      </c>
      <c r="AK99" s="44">
        <f>HLOOKUP(I99,ElecAvoidedCostsWOCC!$A$5:$Q$50,G99+1,FALSE)*J99*L99</f>
        <v>0</v>
      </c>
      <c r="AL99" s="44">
        <f t="shared" si="52"/>
        <v>135756.28958609045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135756.28958609045</v>
      </c>
      <c r="AN99" s="48">
        <f t="shared" si="53"/>
        <v>149331.91854469953</v>
      </c>
      <c r="AO99" s="47">
        <f t="shared" si="54"/>
        <v>0.74990414259671423</v>
      </c>
      <c r="AP99" s="47">
        <f t="shared" si="55"/>
        <v>22.111951508625637</v>
      </c>
      <c r="AQ99">
        <v>2021</v>
      </c>
    </row>
    <row r="100" spans="2:43">
      <c r="B100" s="97" t="s">
        <v>74</v>
      </c>
      <c r="C100" s="100">
        <v>18230611</v>
      </c>
      <c r="D100" s="100" t="s">
        <v>75</v>
      </c>
      <c r="E100" s="38" t="s">
        <v>1451</v>
      </c>
      <c r="F100" s="39" t="s">
        <v>1452</v>
      </c>
      <c r="G100" s="39"/>
      <c r="H100" s="39"/>
      <c r="I100" s="40"/>
      <c r="J100" s="41">
        <v>2</v>
      </c>
      <c r="K100" s="41">
        <v>0</v>
      </c>
      <c r="L100" s="41"/>
      <c r="M100" s="42">
        <v>209.39</v>
      </c>
      <c r="N100" s="42">
        <v>209.39</v>
      </c>
      <c r="O100" s="43">
        <v>0</v>
      </c>
      <c r="P100" s="44">
        <v>418.78</v>
      </c>
      <c r="Q100" s="44">
        <v>418.78</v>
      </c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22">
        <f t="shared" si="37"/>
        <v>431.97690968459034</v>
      </c>
      <c r="AB100" s="51">
        <f t="shared" si="45"/>
        <v>0</v>
      </c>
      <c r="AC100" s="44">
        <f t="shared" si="46"/>
        <v>403.82996137663861</v>
      </c>
      <c r="AD100" s="44">
        <f t="shared" si="47"/>
        <v>0</v>
      </c>
      <c r="AE100" s="44">
        <f t="shared" si="48"/>
        <v>0</v>
      </c>
      <c r="AF100" s="52" t="e">
        <f>HLOOKUP(I100,ElecAvoidedCostsWOCC!$A$5:$Q$50,G100+1,FALSE)</f>
        <v>#N/A</v>
      </c>
      <c r="AG100" s="44" t="e">
        <f t="shared" si="49"/>
        <v>#N/A</v>
      </c>
      <c r="AH100" s="52" t="e">
        <f>HLOOKUP(I100,ElecAvoidedCostsWOCC!$A$5:$Q$50,T100+1,FALSE)</f>
        <v>#N/A</v>
      </c>
      <c r="AI100" s="44" t="e">
        <f t="shared" si="50"/>
        <v>#N/A</v>
      </c>
      <c r="AJ100" s="44" t="e">
        <f t="shared" si="51"/>
        <v>#N/A</v>
      </c>
      <c r="AK100" s="44" t="e">
        <f>HLOOKUP(I100,ElecAvoidedCostsWOCC!$A$5:$Q$50,G100+1,FALSE)*J100*L100</f>
        <v>#N/A</v>
      </c>
      <c r="AL100" s="44" t="e">
        <f t="shared" si="52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53"/>
        <v>0</v>
      </c>
      <c r="AO100" s="47">
        <f t="shared" si="54"/>
        <v>0</v>
      </c>
      <c r="AP100" s="47">
        <f t="shared" si="55"/>
        <v>0</v>
      </c>
      <c r="AQ100">
        <v>2021</v>
      </c>
    </row>
    <row r="101" spans="2:43">
      <c r="B101" s="97" t="s">
        <v>74</v>
      </c>
      <c r="C101" s="100">
        <v>18230611</v>
      </c>
      <c r="D101" s="100" t="s">
        <v>75</v>
      </c>
      <c r="E101" s="38" t="s">
        <v>1453</v>
      </c>
      <c r="F101" s="39" t="s">
        <v>1454</v>
      </c>
      <c r="G101" s="39"/>
      <c r="H101" s="39"/>
      <c r="I101" s="40"/>
      <c r="J101" s="41">
        <v>17</v>
      </c>
      <c r="K101" s="41">
        <v>0</v>
      </c>
      <c r="L101" s="41"/>
      <c r="M101" s="42">
        <v>95.532941176470587</v>
      </c>
      <c r="N101" s="42">
        <v>95.532941176470587</v>
      </c>
      <c r="O101" s="43">
        <v>0</v>
      </c>
      <c r="P101" s="44">
        <v>1624.06</v>
      </c>
      <c r="Q101" s="44">
        <v>1624.06</v>
      </c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22">
        <f t="shared" si="37"/>
        <v>1675.2385976941493</v>
      </c>
      <c r="AB101" s="51">
        <f t="shared" si="45"/>
        <v>0</v>
      </c>
      <c r="AC101" s="44">
        <f t="shared" si="46"/>
        <v>1566.0826378369161</v>
      </c>
      <c r="AD101" s="44">
        <f t="shared" si="47"/>
        <v>0</v>
      </c>
      <c r="AE101" s="44">
        <f t="shared" si="48"/>
        <v>0</v>
      </c>
      <c r="AF101" s="52" t="e">
        <f>HLOOKUP(I101,ElecAvoidedCostsWOCC!$A$5:$Q$50,G101+1,FALSE)</f>
        <v>#N/A</v>
      </c>
      <c r="AG101" s="44" t="e">
        <f t="shared" si="49"/>
        <v>#N/A</v>
      </c>
      <c r="AH101" s="52" t="e">
        <f>HLOOKUP(I101,ElecAvoidedCostsWOCC!$A$5:$Q$50,T101+1,FALSE)</f>
        <v>#N/A</v>
      </c>
      <c r="AI101" s="44" t="e">
        <f t="shared" si="50"/>
        <v>#N/A</v>
      </c>
      <c r="AJ101" s="44" t="e">
        <f t="shared" si="51"/>
        <v>#N/A</v>
      </c>
      <c r="AK101" s="44" t="e">
        <f>HLOOKUP(I101,ElecAvoidedCostsWOCC!$A$5:$Q$50,G101+1,FALSE)*J101*L101</f>
        <v>#N/A</v>
      </c>
      <c r="AL101" s="44" t="e">
        <f t="shared" si="52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3"/>
        <v>0</v>
      </c>
      <c r="AO101" s="47">
        <f t="shared" si="54"/>
        <v>0</v>
      </c>
      <c r="AP101" s="47">
        <f t="shared" si="55"/>
        <v>0</v>
      </c>
      <c r="AQ101">
        <v>2021</v>
      </c>
    </row>
    <row r="102" spans="2:43">
      <c r="B102" s="97" t="s">
        <v>74</v>
      </c>
      <c r="C102" s="100">
        <v>18230611</v>
      </c>
      <c r="D102" s="100" t="s">
        <v>75</v>
      </c>
      <c r="E102" s="38" t="s">
        <v>1455</v>
      </c>
      <c r="F102" s="39" t="s">
        <v>1456</v>
      </c>
      <c r="G102" s="39"/>
      <c r="H102" s="39"/>
      <c r="I102" s="40"/>
      <c r="J102" s="41">
        <v>15</v>
      </c>
      <c r="K102" s="41">
        <v>0</v>
      </c>
      <c r="L102" s="41"/>
      <c r="M102" s="42">
        <v>117.596</v>
      </c>
      <c r="N102" s="42">
        <v>117.596</v>
      </c>
      <c r="O102" s="43">
        <v>0</v>
      </c>
      <c r="P102" s="44">
        <v>1763.94</v>
      </c>
      <c r="Q102" s="44">
        <v>1763.94</v>
      </c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22">
        <f t="shared" si="37"/>
        <v>1819.5266012441768</v>
      </c>
      <c r="AB102" s="51">
        <f t="shared" si="45"/>
        <v>0</v>
      </c>
      <c r="AC102" s="44">
        <f t="shared" si="46"/>
        <v>1700.9690579079897</v>
      </c>
      <c r="AD102" s="44">
        <f t="shared" si="47"/>
        <v>0</v>
      </c>
      <c r="AE102" s="44">
        <f t="shared" si="48"/>
        <v>0</v>
      </c>
      <c r="AF102" s="52" t="e">
        <f>HLOOKUP(I102,ElecAvoidedCostsWOCC!$A$5:$Q$50,G102+1,FALSE)</f>
        <v>#N/A</v>
      </c>
      <c r="AG102" s="44" t="e">
        <f t="shared" si="49"/>
        <v>#N/A</v>
      </c>
      <c r="AH102" s="52" t="e">
        <f>HLOOKUP(I102,ElecAvoidedCostsWOCC!$A$5:$Q$50,T102+1,FALSE)</f>
        <v>#N/A</v>
      </c>
      <c r="AI102" s="44" t="e">
        <f t="shared" si="50"/>
        <v>#N/A</v>
      </c>
      <c r="AJ102" s="44" t="e">
        <f t="shared" si="51"/>
        <v>#N/A</v>
      </c>
      <c r="AK102" s="44" t="e">
        <f>HLOOKUP(I102,ElecAvoidedCostsWOCC!$A$5:$Q$50,G102+1,FALSE)*J102*L102</f>
        <v>#N/A</v>
      </c>
      <c r="AL102" s="44" t="e">
        <f t="shared" si="52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3"/>
        <v>0</v>
      </c>
      <c r="AO102" s="47">
        <f t="shared" si="54"/>
        <v>0</v>
      </c>
      <c r="AP102" s="47">
        <f t="shared" si="55"/>
        <v>0</v>
      </c>
      <c r="AQ102">
        <v>2021</v>
      </c>
    </row>
    <row r="103" spans="2:43">
      <c r="B103" s="97" t="s">
        <v>74</v>
      </c>
      <c r="C103" s="100">
        <v>18230611</v>
      </c>
      <c r="D103" s="100" t="s">
        <v>75</v>
      </c>
      <c r="E103" s="38" t="s">
        <v>1457</v>
      </c>
      <c r="F103" s="39" t="s">
        <v>1458</v>
      </c>
      <c r="G103" s="39"/>
      <c r="H103" s="39"/>
      <c r="I103" s="40"/>
      <c r="J103" s="41">
        <v>2</v>
      </c>
      <c r="K103" s="41">
        <v>0</v>
      </c>
      <c r="L103" s="41"/>
      <c r="M103" s="42">
        <v>106.69</v>
      </c>
      <c r="N103" s="42">
        <v>106.69</v>
      </c>
      <c r="O103" s="43">
        <v>0</v>
      </c>
      <c r="P103" s="44">
        <v>213.38</v>
      </c>
      <c r="Q103" s="44">
        <v>213.38</v>
      </c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22">
        <f t="shared" si="37"/>
        <v>220.10419071707793</v>
      </c>
      <c r="AB103" s="51">
        <f t="shared" si="45"/>
        <v>0</v>
      </c>
      <c r="AC103" s="44">
        <f t="shared" si="46"/>
        <v>205.76254156967178</v>
      </c>
      <c r="AD103" s="44">
        <f t="shared" si="47"/>
        <v>0</v>
      </c>
      <c r="AE103" s="44">
        <f t="shared" si="48"/>
        <v>0</v>
      </c>
      <c r="AF103" s="52" t="e">
        <f>HLOOKUP(I103,ElecAvoidedCostsWOCC!$A$5:$Q$50,G103+1,FALSE)</f>
        <v>#N/A</v>
      </c>
      <c r="AG103" s="44" t="e">
        <f t="shared" si="49"/>
        <v>#N/A</v>
      </c>
      <c r="AH103" s="52" t="e">
        <f>HLOOKUP(I103,ElecAvoidedCostsWOCC!$A$5:$Q$50,T103+1,FALSE)</f>
        <v>#N/A</v>
      </c>
      <c r="AI103" s="44" t="e">
        <f t="shared" si="50"/>
        <v>#N/A</v>
      </c>
      <c r="AJ103" s="44" t="e">
        <f t="shared" si="51"/>
        <v>#N/A</v>
      </c>
      <c r="AK103" s="44" t="e">
        <f>HLOOKUP(I103,ElecAvoidedCostsWOCC!$A$5:$Q$50,G103+1,FALSE)*J103*L103</f>
        <v>#N/A</v>
      </c>
      <c r="AL103" s="44" t="e">
        <f t="shared" si="52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3"/>
        <v>0</v>
      </c>
      <c r="AO103" s="47">
        <f t="shared" si="54"/>
        <v>0</v>
      </c>
      <c r="AP103" s="47">
        <f t="shared" si="55"/>
        <v>0</v>
      </c>
      <c r="AQ103">
        <v>2021</v>
      </c>
    </row>
    <row r="104" spans="2:43">
      <c r="B104" s="97" t="s">
        <v>74</v>
      </c>
      <c r="C104" s="100">
        <v>18230611</v>
      </c>
      <c r="D104" s="100" t="s">
        <v>75</v>
      </c>
      <c r="E104" s="38" t="s">
        <v>1459</v>
      </c>
      <c r="F104" s="39" t="s">
        <v>1460</v>
      </c>
      <c r="G104" s="39"/>
      <c r="H104" s="39"/>
      <c r="I104" s="40"/>
      <c r="J104" s="41">
        <v>2</v>
      </c>
      <c r="K104" s="41">
        <v>0</v>
      </c>
      <c r="L104" s="41"/>
      <c r="M104" s="42">
        <v>83.265000000000001</v>
      </c>
      <c r="N104" s="42">
        <v>83.265000000000001</v>
      </c>
      <c r="O104" s="43">
        <v>0</v>
      </c>
      <c r="P104" s="44">
        <v>166.53</v>
      </c>
      <c r="Q104" s="44">
        <v>166.53</v>
      </c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22">
        <f t="shared" si="37"/>
        <v>171.77781835277435</v>
      </c>
      <c r="AB104" s="51">
        <f t="shared" si="45"/>
        <v>0</v>
      </c>
      <c r="AC104" s="44">
        <f t="shared" si="46"/>
        <v>160.58504099539527</v>
      </c>
      <c r="AD104" s="44">
        <f t="shared" si="47"/>
        <v>0</v>
      </c>
      <c r="AE104" s="44">
        <f t="shared" si="48"/>
        <v>0</v>
      </c>
      <c r="AF104" s="52" t="e">
        <f>HLOOKUP(I104,ElecAvoidedCostsWOCC!$A$5:$Q$50,G104+1,FALSE)</f>
        <v>#N/A</v>
      </c>
      <c r="AG104" s="44" t="e">
        <f t="shared" si="49"/>
        <v>#N/A</v>
      </c>
      <c r="AH104" s="52" t="e">
        <f>HLOOKUP(I104,ElecAvoidedCostsWOCC!$A$5:$Q$50,T104+1,FALSE)</f>
        <v>#N/A</v>
      </c>
      <c r="AI104" s="44" t="e">
        <f t="shared" si="50"/>
        <v>#N/A</v>
      </c>
      <c r="AJ104" s="44" t="e">
        <f t="shared" si="51"/>
        <v>#N/A</v>
      </c>
      <c r="AK104" s="44" t="e">
        <f>HLOOKUP(I104,ElecAvoidedCostsWOCC!$A$5:$Q$50,G104+1,FALSE)*J104*L104</f>
        <v>#N/A</v>
      </c>
      <c r="AL104" s="44" t="e">
        <f t="shared" si="52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3"/>
        <v>0</v>
      </c>
      <c r="AO104" s="47">
        <f t="shared" si="54"/>
        <v>0</v>
      </c>
      <c r="AP104" s="47">
        <f t="shared" si="55"/>
        <v>0</v>
      </c>
      <c r="AQ104">
        <v>2021</v>
      </c>
    </row>
    <row r="105" spans="2:43">
      <c r="B105" s="97" t="s">
        <v>74</v>
      </c>
      <c r="C105" s="100">
        <v>18230611</v>
      </c>
      <c r="D105" s="100" t="s">
        <v>75</v>
      </c>
      <c r="E105" s="38" t="s">
        <v>1461</v>
      </c>
      <c r="F105" s="39" t="s">
        <v>1462</v>
      </c>
      <c r="G105" s="39"/>
      <c r="H105" s="39"/>
      <c r="I105" s="40"/>
      <c r="J105" s="41">
        <v>8</v>
      </c>
      <c r="K105" s="41">
        <v>0</v>
      </c>
      <c r="L105" s="41"/>
      <c r="M105" s="42">
        <v>78.010000000000005</v>
      </c>
      <c r="N105" s="42">
        <v>78.010000000000005</v>
      </c>
      <c r="O105" s="43">
        <v>0</v>
      </c>
      <c r="P105" s="44">
        <v>624.08000000000004</v>
      </c>
      <c r="Q105" s="44">
        <v>624.08000000000004</v>
      </c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22">
        <f t="shared" si="37"/>
        <v>643.74647737704561</v>
      </c>
      <c r="AB105" s="51">
        <f t="shared" si="45"/>
        <v>0</v>
      </c>
      <c r="AC105" s="44">
        <f t="shared" si="46"/>
        <v>601.8009510863285</v>
      </c>
      <c r="AD105" s="44">
        <f t="shared" si="47"/>
        <v>0</v>
      </c>
      <c r="AE105" s="44">
        <f t="shared" si="48"/>
        <v>0</v>
      </c>
      <c r="AF105" s="52" t="e">
        <f>HLOOKUP(I105,ElecAvoidedCostsWOCC!$A$5:$Q$50,G105+1,FALSE)</f>
        <v>#N/A</v>
      </c>
      <c r="AG105" s="44" t="e">
        <f t="shared" si="49"/>
        <v>#N/A</v>
      </c>
      <c r="AH105" s="52" t="e">
        <f>HLOOKUP(I105,ElecAvoidedCostsWOCC!$A$5:$Q$50,T105+1,FALSE)</f>
        <v>#N/A</v>
      </c>
      <c r="AI105" s="44" t="e">
        <f t="shared" si="50"/>
        <v>#N/A</v>
      </c>
      <c r="AJ105" s="44" t="e">
        <f t="shared" si="51"/>
        <v>#N/A</v>
      </c>
      <c r="AK105" s="44" t="e">
        <f>HLOOKUP(I105,ElecAvoidedCostsWOCC!$A$5:$Q$50,G105+1,FALSE)*J105*L105</f>
        <v>#N/A</v>
      </c>
      <c r="AL105" s="44" t="e">
        <f t="shared" si="52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3"/>
        <v>0</v>
      </c>
      <c r="AO105" s="47">
        <f t="shared" si="54"/>
        <v>0</v>
      </c>
      <c r="AP105" s="47">
        <f t="shared" si="55"/>
        <v>0</v>
      </c>
      <c r="AQ105">
        <v>2021</v>
      </c>
    </row>
    <row r="106" spans="2:43">
      <c r="B106" s="97" t="s">
        <v>74</v>
      </c>
      <c r="C106" s="100">
        <v>18230611</v>
      </c>
      <c r="D106" s="100" t="s">
        <v>75</v>
      </c>
      <c r="E106" s="38" t="s">
        <v>1463</v>
      </c>
      <c r="F106" s="39" t="s">
        <v>1464</v>
      </c>
      <c r="G106" s="39">
        <v>18</v>
      </c>
      <c r="H106" s="39"/>
      <c r="I106" s="40" t="s">
        <v>269</v>
      </c>
      <c r="J106" s="41">
        <v>14</v>
      </c>
      <c r="K106" s="41">
        <v>468</v>
      </c>
      <c r="L106" s="41"/>
      <c r="M106" s="42">
        <v>549</v>
      </c>
      <c r="N106" s="42">
        <v>549</v>
      </c>
      <c r="O106" s="43">
        <v>6552</v>
      </c>
      <c r="P106" s="44">
        <v>10508.05</v>
      </c>
      <c r="Q106" s="44">
        <v>10508.05</v>
      </c>
      <c r="R106" s="45">
        <v>0</v>
      </c>
      <c r="S106" s="46">
        <v>0</v>
      </c>
      <c r="T106" s="39">
        <f t="shared" si="38"/>
        <v>18</v>
      </c>
      <c r="U106" s="47">
        <f t="shared" si="39"/>
        <v>5.1101246906214787E-2</v>
      </c>
      <c r="V106" s="48">
        <f t="shared" si="40"/>
        <v>0</v>
      </c>
      <c r="W106" s="49">
        <f t="shared" si="41"/>
        <v>2.8389581614563768E-3</v>
      </c>
      <c r="X106" s="44">
        <f t="shared" si="42"/>
        <v>754.61895495324325</v>
      </c>
      <c r="Y106" s="44">
        <f t="shared" si="43"/>
        <v>0</v>
      </c>
      <c r="Z106" s="44">
        <f t="shared" si="44"/>
        <v>20228.158375787316</v>
      </c>
      <c r="AA106" s="522">
        <f t="shared" si="37"/>
        <v>11593.806513602558</v>
      </c>
      <c r="AB106" s="51">
        <f t="shared" si="45"/>
        <v>18910.122815543906</v>
      </c>
      <c r="AC106" s="44">
        <f t="shared" si="46"/>
        <v>10838.371986166736</v>
      </c>
      <c r="AD106" s="44">
        <f t="shared" si="47"/>
        <v>0</v>
      </c>
      <c r="AE106" s="44">
        <f t="shared" si="48"/>
        <v>0</v>
      </c>
      <c r="AF106" s="52">
        <f>HLOOKUP(I106,ElecAvoidedCostsWOCC!$A$5:$Q$50,G106+1,FALSE)</f>
        <v>1.5960324064820535</v>
      </c>
      <c r="AG106" s="44">
        <f t="shared" si="49"/>
        <v>10457.204327270416</v>
      </c>
      <c r="AH106" s="52">
        <f>HLOOKUP(I106,ElecAvoidedCostsWOCC!$A$5:$Q$50,T106+1,FALSE)</f>
        <v>1.5960324064820535</v>
      </c>
      <c r="AI106" s="44">
        <f t="shared" si="50"/>
        <v>0</v>
      </c>
      <c r="AJ106" s="44">
        <f t="shared" si="51"/>
        <v>10457.204327270416</v>
      </c>
      <c r="AK106" s="44">
        <f>HLOOKUP(I106,ElecAvoidedCostsWOCC!$A$5:$Q$50,G106+1,FALSE)*J106*L106</f>
        <v>0</v>
      </c>
      <c r="AL106" s="44">
        <f t="shared" si="52"/>
        <v>10457.204327270416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10457.204327270414</v>
      </c>
      <c r="AN106" s="48">
        <f t="shared" si="53"/>
        <v>11502.924759997457</v>
      </c>
      <c r="AO106" s="47">
        <f t="shared" si="54"/>
        <v>0.55299505081345701</v>
      </c>
      <c r="AP106" s="47">
        <f t="shared" si="55"/>
        <v>1.061314815055149</v>
      </c>
      <c r="AQ106">
        <v>2021</v>
      </c>
    </row>
    <row r="107" spans="2:43">
      <c r="B107" s="97" t="s">
        <v>74</v>
      </c>
      <c r="C107" s="100">
        <v>18230611</v>
      </c>
      <c r="D107" s="100" t="s">
        <v>75</v>
      </c>
      <c r="E107" s="38" t="s">
        <v>1467</v>
      </c>
      <c r="F107" s="39" t="s">
        <v>1468</v>
      </c>
      <c r="G107" s="39">
        <v>20</v>
      </c>
      <c r="H107" s="39"/>
      <c r="I107" s="40" t="s">
        <v>269</v>
      </c>
      <c r="J107" s="41">
        <v>9</v>
      </c>
      <c r="K107" s="41">
        <v>1254</v>
      </c>
      <c r="L107" s="41"/>
      <c r="M107" s="42">
        <v>631.5</v>
      </c>
      <c r="N107" s="42">
        <v>631.5</v>
      </c>
      <c r="O107" s="43">
        <v>11286</v>
      </c>
      <c r="P107" s="44">
        <v>5843.36</v>
      </c>
      <c r="Q107" s="44">
        <v>5843.36</v>
      </c>
      <c r="R107" s="45">
        <v>0</v>
      </c>
      <c r="S107" s="46">
        <v>0</v>
      </c>
      <c r="T107" s="39">
        <f t="shared" si="38"/>
        <v>20</v>
      </c>
      <c r="U107" s="47">
        <f t="shared" si="39"/>
        <v>9.7803668529293855E-2</v>
      </c>
      <c r="V107" s="48">
        <f t="shared" si="40"/>
        <v>0</v>
      </c>
      <c r="W107" s="49">
        <f t="shared" si="41"/>
        <v>4.8901834264646928E-3</v>
      </c>
      <c r="X107" s="44">
        <f t="shared" si="42"/>
        <v>1299.8518811969327</v>
      </c>
      <c r="Y107" s="44">
        <f t="shared" si="43"/>
        <v>0</v>
      </c>
      <c r="Z107" s="44">
        <f t="shared" si="44"/>
        <v>34843.558520930346</v>
      </c>
      <c r="AA107" s="522">
        <f t="shared" si="37"/>
        <v>7327.3522273800063</v>
      </c>
      <c r="AB107" s="51">
        <f t="shared" si="45"/>
        <v>32573.206058642932</v>
      </c>
      <c r="AC107" s="44">
        <f t="shared" si="46"/>
        <v>6849.9132723006505</v>
      </c>
      <c r="AD107" s="44">
        <f t="shared" si="47"/>
        <v>0</v>
      </c>
      <c r="AE107" s="44">
        <f t="shared" si="48"/>
        <v>0</v>
      </c>
      <c r="AF107" s="52">
        <f>HLOOKUP(I107,ElecAvoidedCostsWOCC!$A$5:$Q$50,G107+1,FALSE)</f>
        <v>1.727945421646023</v>
      </c>
      <c r="AG107" s="44">
        <f t="shared" si="49"/>
        <v>19501.592028697018</v>
      </c>
      <c r="AH107" s="52">
        <f>HLOOKUP(I107,ElecAvoidedCostsWOCC!$A$5:$Q$50,T107+1,FALSE)</f>
        <v>1.727945421646023</v>
      </c>
      <c r="AI107" s="44">
        <f t="shared" si="50"/>
        <v>0</v>
      </c>
      <c r="AJ107" s="44">
        <f t="shared" si="51"/>
        <v>19501.592028697018</v>
      </c>
      <c r="AK107" s="44">
        <f>HLOOKUP(I107,ElecAvoidedCostsWOCC!$A$5:$Q$50,G107+1,FALSE)*J107*L107</f>
        <v>0</v>
      </c>
      <c r="AL107" s="44">
        <f t="shared" si="52"/>
        <v>19501.592028697018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19501.592028697018</v>
      </c>
      <c r="AN107" s="48">
        <f t="shared" si="53"/>
        <v>21451.751231566723</v>
      </c>
      <c r="AO107" s="47">
        <f t="shared" si="54"/>
        <v>0.59870041633566773</v>
      </c>
      <c r="AP107" s="47">
        <f t="shared" si="55"/>
        <v>3.1316821657162115</v>
      </c>
      <c r="AQ107">
        <v>2021</v>
      </c>
    </row>
    <row r="108" spans="2:43">
      <c r="B108" s="97" t="s">
        <v>74</v>
      </c>
      <c r="C108" s="100">
        <v>18230611</v>
      </c>
      <c r="D108" s="100" t="s">
        <v>75</v>
      </c>
      <c r="E108" s="38" t="s">
        <v>1473</v>
      </c>
      <c r="F108" s="39" t="s">
        <v>1474</v>
      </c>
      <c r="G108" s="39">
        <v>15</v>
      </c>
      <c r="H108" s="39"/>
      <c r="I108" s="40" t="s">
        <v>268</v>
      </c>
      <c r="J108" s="41">
        <v>108</v>
      </c>
      <c r="K108" s="41">
        <v>2594</v>
      </c>
      <c r="L108" s="41"/>
      <c r="M108" s="42">
        <v>3798.92</v>
      </c>
      <c r="N108" s="42">
        <v>3798.92</v>
      </c>
      <c r="O108" s="43">
        <v>280152</v>
      </c>
      <c r="P108" s="44">
        <v>624411.75999999896</v>
      </c>
      <c r="Q108" s="44">
        <v>624411.75999999896</v>
      </c>
      <c r="R108" s="45">
        <v>40.71</v>
      </c>
      <c r="S108" s="46">
        <v>0</v>
      </c>
      <c r="T108" s="39">
        <f t="shared" si="38"/>
        <v>15</v>
      </c>
      <c r="U108" s="47">
        <f t="shared" si="39"/>
        <v>1.8208328911362794</v>
      </c>
      <c r="V108" s="48">
        <f t="shared" si="40"/>
        <v>0</v>
      </c>
      <c r="W108" s="49">
        <f t="shared" si="41"/>
        <v>0.1213888594090853</v>
      </c>
      <c r="X108" s="44">
        <f t="shared" si="42"/>
        <v>32266.179711242519</v>
      </c>
      <c r="Y108" s="44">
        <f t="shared" si="43"/>
        <v>0</v>
      </c>
      <c r="Z108" s="44">
        <f t="shared" si="44"/>
        <v>864920.48615591694</v>
      </c>
      <c r="AA108" s="522">
        <f t="shared" si="37"/>
        <v>676354.87175841688</v>
      </c>
      <c r="AB108" s="51">
        <f t="shared" si="45"/>
        <v>808563.60302506946</v>
      </c>
      <c r="AC108" s="44">
        <f t="shared" si="46"/>
        <v>632284.63284885185</v>
      </c>
      <c r="AD108" s="44">
        <f t="shared" si="47"/>
        <v>40120.572364995765</v>
      </c>
      <c r="AE108" s="44">
        <f t="shared" si="48"/>
        <v>0</v>
      </c>
      <c r="AF108" s="52">
        <f>HLOOKUP(I108,ElecAvoidedCostsWOCC!$A$5:$Q$50,G108+1,FALSE)</f>
        <v>1.3961506916040443</v>
      </c>
      <c r="AG108" s="44">
        <f t="shared" si="49"/>
        <v>391134.4085542562</v>
      </c>
      <c r="AH108" s="52">
        <f>HLOOKUP(I108,ElecAvoidedCostsWOCC!$A$5:$Q$50,T108+1,FALSE)</f>
        <v>1.3961506916040443</v>
      </c>
      <c r="AI108" s="44">
        <f t="shared" si="50"/>
        <v>0</v>
      </c>
      <c r="AJ108" s="44">
        <f t="shared" si="51"/>
        <v>391134.4085542562</v>
      </c>
      <c r="AK108" s="44">
        <f>HLOOKUP(I108,ElecAvoidedCostsWOCC!$A$5:$Q$50,G108+1,FALSE)*J108*L108</f>
        <v>0</v>
      </c>
      <c r="AL108" s="44">
        <f t="shared" si="52"/>
        <v>391134.4085542562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391134.4085542562</v>
      </c>
      <c r="AN108" s="48">
        <f t="shared" si="53"/>
        <v>470368.42177467764</v>
      </c>
      <c r="AO108" s="47">
        <f t="shared" si="54"/>
        <v>0.48373981600323046</v>
      </c>
      <c r="AP108" s="47">
        <f t="shared" si="55"/>
        <v>0.74391879438120012</v>
      </c>
      <c r="AQ108">
        <v>2021</v>
      </c>
    </row>
    <row r="109" spans="2:43">
      <c r="B109" s="97" t="s">
        <v>74</v>
      </c>
      <c r="C109" s="100">
        <v>18230611</v>
      </c>
      <c r="D109" s="100" t="s">
        <v>75</v>
      </c>
      <c r="E109" s="38" t="s">
        <v>1475</v>
      </c>
      <c r="F109" s="39" t="s">
        <v>1476</v>
      </c>
      <c r="G109" s="39">
        <v>15</v>
      </c>
      <c r="H109" s="39"/>
      <c r="I109" s="40" t="s">
        <v>268</v>
      </c>
      <c r="J109" s="41">
        <v>46</v>
      </c>
      <c r="K109" s="41">
        <v>1790</v>
      </c>
      <c r="L109" s="41"/>
      <c r="M109" s="42">
        <v>4282.55</v>
      </c>
      <c r="N109" s="42">
        <v>4282.55</v>
      </c>
      <c r="O109" s="43">
        <v>82340</v>
      </c>
      <c r="P109" s="44">
        <v>300878.15000000002</v>
      </c>
      <c r="Q109" s="44">
        <v>300878.15000000002</v>
      </c>
      <c r="R109" s="45">
        <v>18.46</v>
      </c>
      <c r="S109" s="46">
        <v>0</v>
      </c>
      <c r="T109" s="39">
        <f t="shared" si="38"/>
        <v>15</v>
      </c>
      <c r="U109" s="47">
        <f t="shared" si="39"/>
        <v>0.53516441166281603</v>
      </c>
      <c r="V109" s="48">
        <f t="shared" si="40"/>
        <v>0</v>
      </c>
      <c r="W109" s="49">
        <f t="shared" si="41"/>
        <v>3.5677627444187739E-2</v>
      </c>
      <c r="X109" s="44">
        <f t="shared" si="42"/>
        <v>9483.4134235119127</v>
      </c>
      <c r="Y109" s="44">
        <f t="shared" si="43"/>
        <v>0</v>
      </c>
      <c r="Z109" s="44">
        <f t="shared" si="44"/>
        <v>254210.40303149074</v>
      </c>
      <c r="AA109" s="522">
        <f t="shared" si="37"/>
        <v>319843.06151706137</v>
      </c>
      <c r="AB109" s="51">
        <f t="shared" si="45"/>
        <v>237646.44576188718</v>
      </c>
      <c r="AC109" s="44">
        <f t="shared" si="46"/>
        <v>299002.58158087439</v>
      </c>
      <c r="AD109" s="44">
        <f t="shared" si="47"/>
        <v>7748.7525199604706</v>
      </c>
      <c r="AE109" s="44">
        <f t="shared" si="48"/>
        <v>0</v>
      </c>
      <c r="AF109" s="52">
        <f>HLOOKUP(I109,ElecAvoidedCostsWOCC!$A$5:$Q$50,G109+1,FALSE)</f>
        <v>1.3961506916040443</v>
      </c>
      <c r="AG109" s="44">
        <f t="shared" si="49"/>
        <v>114959.047946677</v>
      </c>
      <c r="AH109" s="52">
        <f>HLOOKUP(I109,ElecAvoidedCostsWOCC!$A$5:$Q$50,T109+1,FALSE)</f>
        <v>1.3961506916040443</v>
      </c>
      <c r="AI109" s="44">
        <f t="shared" si="50"/>
        <v>0</v>
      </c>
      <c r="AJ109" s="44">
        <f t="shared" si="51"/>
        <v>114959.047946677</v>
      </c>
      <c r="AK109" s="44">
        <f>HLOOKUP(I109,ElecAvoidedCostsWOCC!$A$5:$Q$50,G109+1,FALSE)*J109*L109</f>
        <v>0</v>
      </c>
      <c r="AL109" s="44">
        <f t="shared" si="52"/>
        <v>114959.047946677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114959.047946677</v>
      </c>
      <c r="AN109" s="48">
        <f t="shared" si="53"/>
        <v>134203.70526130518</v>
      </c>
      <c r="AO109" s="47">
        <f t="shared" si="54"/>
        <v>0.48373981600323052</v>
      </c>
      <c r="AP109" s="47">
        <f t="shared" si="55"/>
        <v>0.44883794832723101</v>
      </c>
      <c r="AQ109">
        <v>2021</v>
      </c>
    </row>
    <row r="110" spans="2:43">
      <c r="B110" s="97" t="s">
        <v>74</v>
      </c>
      <c r="C110" s="100">
        <v>18230611</v>
      </c>
      <c r="D110" s="100" t="s">
        <v>75</v>
      </c>
      <c r="E110" s="38" t="s">
        <v>1477</v>
      </c>
      <c r="F110" s="39" t="s">
        <v>1478</v>
      </c>
      <c r="G110" s="39"/>
      <c r="H110" s="39"/>
      <c r="I110" s="40"/>
      <c r="J110" s="41">
        <v>4</v>
      </c>
      <c r="K110" s="41">
        <v>0</v>
      </c>
      <c r="L110" s="41"/>
      <c r="M110" s="42">
        <v>276.25</v>
      </c>
      <c r="N110" s="42">
        <v>276.25</v>
      </c>
      <c r="O110" s="43">
        <v>0</v>
      </c>
      <c r="P110" s="44">
        <v>1105</v>
      </c>
      <c r="Q110" s="44">
        <v>1105</v>
      </c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22">
        <f t="shared" si="37"/>
        <v>1139.8215893821873</v>
      </c>
      <c r="AB110" s="51">
        <f t="shared" si="45"/>
        <v>0</v>
      </c>
      <c r="AC110" s="44">
        <f t="shared" si="46"/>
        <v>1065.5525749108976</v>
      </c>
      <c r="AD110" s="44">
        <f t="shared" si="47"/>
        <v>0</v>
      </c>
      <c r="AE110" s="44">
        <f t="shared" si="48"/>
        <v>0</v>
      </c>
      <c r="AF110" s="52" t="e">
        <f>HLOOKUP(I110,ElecAvoidedCostsWOCC!$A$5:$Q$50,G110+1,FALSE)</f>
        <v>#N/A</v>
      </c>
      <c r="AG110" s="44" t="e">
        <f t="shared" si="49"/>
        <v>#N/A</v>
      </c>
      <c r="AH110" s="52" t="e">
        <f>HLOOKUP(I110,ElecAvoidedCostsWOCC!$A$5:$Q$50,T110+1,FALSE)</f>
        <v>#N/A</v>
      </c>
      <c r="AI110" s="44" t="e">
        <f t="shared" si="50"/>
        <v>#N/A</v>
      </c>
      <c r="AJ110" s="44" t="e">
        <f t="shared" si="51"/>
        <v>#N/A</v>
      </c>
      <c r="AK110" s="44" t="e">
        <f>HLOOKUP(I110,ElecAvoidedCostsWOCC!$A$5:$Q$50,G110+1,FALSE)*J110*L110</f>
        <v>#N/A</v>
      </c>
      <c r="AL110" s="44" t="e">
        <f t="shared" si="52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3"/>
        <v>0</v>
      </c>
      <c r="AO110" s="47">
        <f t="shared" si="54"/>
        <v>0</v>
      </c>
      <c r="AP110" s="47">
        <f t="shared" si="55"/>
        <v>0</v>
      </c>
      <c r="AQ110">
        <v>2021</v>
      </c>
    </row>
    <row r="111" spans="2:43">
      <c r="B111" s="97" t="s">
        <v>74</v>
      </c>
      <c r="C111" s="100">
        <v>18230611</v>
      </c>
      <c r="D111" s="100" t="s">
        <v>75</v>
      </c>
      <c r="E111" s="38" t="s">
        <v>1479</v>
      </c>
      <c r="F111" s="39" t="s">
        <v>1480</v>
      </c>
      <c r="G111" s="39"/>
      <c r="H111" s="39"/>
      <c r="I111" s="40"/>
      <c r="J111" s="41">
        <v>1</v>
      </c>
      <c r="K111" s="41">
        <v>0</v>
      </c>
      <c r="L111" s="41"/>
      <c r="M111" s="42">
        <v>296.2</v>
      </c>
      <c r="N111" s="42">
        <v>296.2</v>
      </c>
      <c r="O111" s="43">
        <v>0</v>
      </c>
      <c r="P111" s="44">
        <v>296.2</v>
      </c>
      <c r="Q111" s="44">
        <v>296.2</v>
      </c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22">
        <f t="shared" si="37"/>
        <v>305.53407671946047</v>
      </c>
      <c r="AB111" s="51">
        <f t="shared" si="45"/>
        <v>0</v>
      </c>
      <c r="AC111" s="44">
        <f t="shared" si="46"/>
        <v>285.62594813448675</v>
      </c>
      <c r="AD111" s="44">
        <f t="shared" si="47"/>
        <v>0</v>
      </c>
      <c r="AE111" s="44">
        <f t="shared" si="48"/>
        <v>0</v>
      </c>
      <c r="AF111" s="52" t="e">
        <f>HLOOKUP(I111,ElecAvoidedCostsWOCC!$A$5:$Q$50,G111+1,FALSE)</f>
        <v>#N/A</v>
      </c>
      <c r="AG111" s="44" t="e">
        <f t="shared" si="49"/>
        <v>#N/A</v>
      </c>
      <c r="AH111" s="52" t="e">
        <f>HLOOKUP(I111,ElecAvoidedCostsWOCC!$A$5:$Q$50,T111+1,FALSE)</f>
        <v>#N/A</v>
      </c>
      <c r="AI111" s="44" t="e">
        <f t="shared" si="50"/>
        <v>#N/A</v>
      </c>
      <c r="AJ111" s="44" t="e">
        <f t="shared" si="51"/>
        <v>#N/A</v>
      </c>
      <c r="AK111" s="44" t="e">
        <f>HLOOKUP(I111,ElecAvoidedCostsWOCC!$A$5:$Q$50,G111+1,FALSE)*J111*L111</f>
        <v>#N/A</v>
      </c>
      <c r="AL111" s="44" t="e">
        <f t="shared" si="52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3"/>
        <v>0</v>
      </c>
      <c r="AO111" s="47">
        <f t="shared" si="54"/>
        <v>0</v>
      </c>
      <c r="AP111" s="47">
        <f t="shared" si="55"/>
        <v>0</v>
      </c>
      <c r="AQ111">
        <v>2021</v>
      </c>
    </row>
    <row r="112" spans="2:43">
      <c r="B112" s="97" t="s">
        <v>74</v>
      </c>
      <c r="C112" s="100">
        <v>18230611</v>
      </c>
      <c r="D112" s="100" t="s">
        <v>75</v>
      </c>
      <c r="E112" s="38" t="s">
        <v>1481</v>
      </c>
      <c r="F112" s="39" t="s">
        <v>1482</v>
      </c>
      <c r="G112" s="39"/>
      <c r="H112" s="39"/>
      <c r="I112" s="40"/>
      <c r="J112" s="41">
        <v>1</v>
      </c>
      <c r="K112" s="41">
        <v>0</v>
      </c>
      <c r="L112" s="41"/>
      <c r="M112" s="42">
        <v>572</v>
      </c>
      <c r="N112" s="42">
        <v>572</v>
      </c>
      <c r="O112" s="43">
        <v>0</v>
      </c>
      <c r="P112" s="44">
        <v>572</v>
      </c>
      <c r="Q112" s="44">
        <v>572</v>
      </c>
      <c r="R112" s="45">
        <v>0</v>
      </c>
      <c r="S112" s="46">
        <v>0</v>
      </c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22">
        <f t="shared" si="37"/>
        <v>590.02529332724987</v>
      </c>
      <c r="AB112" s="51">
        <f t="shared" si="45"/>
        <v>0</v>
      </c>
      <c r="AC112" s="44">
        <f t="shared" si="46"/>
        <v>551.58015642446458</v>
      </c>
      <c r="AD112" s="44">
        <f t="shared" si="47"/>
        <v>0</v>
      </c>
      <c r="AE112" s="44">
        <f t="shared" si="48"/>
        <v>0</v>
      </c>
      <c r="AF112" s="52" t="e">
        <f>HLOOKUP(I112,ElecAvoidedCostsWOCC!$A$5:$Q$50,G112+1,FALSE)</f>
        <v>#N/A</v>
      </c>
      <c r="AG112" s="44" t="e">
        <f t="shared" si="49"/>
        <v>#N/A</v>
      </c>
      <c r="AH112" s="52" t="e">
        <f>HLOOKUP(I112,ElecAvoidedCostsWOCC!$A$5:$Q$50,T112+1,FALSE)</f>
        <v>#N/A</v>
      </c>
      <c r="AI112" s="44" t="e">
        <f t="shared" si="50"/>
        <v>#N/A</v>
      </c>
      <c r="AJ112" s="44" t="e">
        <f t="shared" si="51"/>
        <v>#N/A</v>
      </c>
      <c r="AK112" s="44" t="e">
        <f>HLOOKUP(I112,ElecAvoidedCostsWOCC!$A$5:$Q$50,G112+1,FALSE)*J112*L112</f>
        <v>#N/A</v>
      </c>
      <c r="AL112" s="44" t="e">
        <f t="shared" si="52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3"/>
        <v>0</v>
      </c>
      <c r="AO112" s="47">
        <f t="shared" si="54"/>
        <v>0</v>
      </c>
      <c r="AP112" s="47">
        <f t="shared" si="55"/>
        <v>0</v>
      </c>
      <c r="AQ112">
        <v>2021</v>
      </c>
    </row>
    <row r="113" spans="2:43">
      <c r="B113" s="97" t="s">
        <v>74</v>
      </c>
      <c r="C113" s="100">
        <v>18230611</v>
      </c>
      <c r="D113" s="100" t="s">
        <v>75</v>
      </c>
      <c r="E113" s="38" t="s">
        <v>1483</v>
      </c>
      <c r="F113" s="39" t="s">
        <v>1484</v>
      </c>
      <c r="G113" s="39"/>
      <c r="H113" s="39"/>
      <c r="I113" s="40"/>
      <c r="J113" s="41">
        <v>3</v>
      </c>
      <c r="K113" s="41">
        <v>0</v>
      </c>
      <c r="L113" s="41"/>
      <c r="M113" s="42">
        <v>5363.1366666666663</v>
      </c>
      <c r="N113" s="42">
        <v>5363.1366666666663</v>
      </c>
      <c r="O113" s="43">
        <v>0</v>
      </c>
      <c r="P113" s="44">
        <v>16089.41</v>
      </c>
      <c r="Q113" s="44">
        <v>16089.41</v>
      </c>
      <c r="R113" s="45">
        <v>0</v>
      </c>
      <c r="S113" s="46">
        <v>0</v>
      </c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22">
        <f t="shared" si="37"/>
        <v>16596.431564182494</v>
      </c>
      <c r="AB113" s="51">
        <f t="shared" si="45"/>
        <v>0</v>
      </c>
      <c r="AC113" s="44">
        <f t="shared" si="46"/>
        <v>15515.033714296058</v>
      </c>
      <c r="AD113" s="44">
        <f t="shared" si="47"/>
        <v>0</v>
      </c>
      <c r="AE113" s="44">
        <f t="shared" si="48"/>
        <v>0</v>
      </c>
      <c r="AF113" s="52" t="e">
        <f>HLOOKUP(I113,ElecAvoidedCostsWOCC!$A$5:$Q$50,G113+1,FALSE)</f>
        <v>#N/A</v>
      </c>
      <c r="AG113" s="44" t="e">
        <f t="shared" si="49"/>
        <v>#N/A</v>
      </c>
      <c r="AH113" s="52" t="e">
        <f>HLOOKUP(I113,ElecAvoidedCostsWOCC!$A$5:$Q$50,T113+1,FALSE)</f>
        <v>#N/A</v>
      </c>
      <c r="AI113" s="44" t="e">
        <f t="shared" si="50"/>
        <v>#N/A</v>
      </c>
      <c r="AJ113" s="44" t="e">
        <f t="shared" si="51"/>
        <v>#N/A</v>
      </c>
      <c r="AK113" s="44" t="e">
        <f>HLOOKUP(I113,ElecAvoidedCostsWOCC!$A$5:$Q$50,G113+1,FALSE)*J113*L113</f>
        <v>#N/A</v>
      </c>
      <c r="AL113" s="44" t="e">
        <f t="shared" si="52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3"/>
        <v>0</v>
      </c>
      <c r="AO113" s="47">
        <f t="shared" si="54"/>
        <v>0</v>
      </c>
      <c r="AP113" s="47">
        <f t="shared" si="55"/>
        <v>0</v>
      </c>
      <c r="AQ113">
        <v>2021</v>
      </c>
    </row>
    <row r="114" spans="2:43">
      <c r="B114" s="97" t="s">
        <v>74</v>
      </c>
      <c r="C114" s="100">
        <v>18230611</v>
      </c>
      <c r="D114" s="100" t="s">
        <v>75</v>
      </c>
      <c r="E114" s="38" t="s">
        <v>1489</v>
      </c>
      <c r="F114" s="39" t="s">
        <v>1490</v>
      </c>
      <c r="G114" s="39"/>
      <c r="H114" s="39"/>
      <c r="I114" s="40"/>
      <c r="J114" s="41">
        <v>20</v>
      </c>
      <c r="K114" s="41">
        <v>0</v>
      </c>
      <c r="L114" s="41"/>
      <c r="M114" s="42">
        <v>351.42449999999997</v>
      </c>
      <c r="N114" s="42">
        <v>351.42449999999997</v>
      </c>
      <c r="O114" s="43">
        <v>0</v>
      </c>
      <c r="P114" s="44">
        <v>7028.49</v>
      </c>
      <c r="Q114" s="44">
        <v>7028.49</v>
      </c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22">
        <f t="shared" si="37"/>
        <v>7249.9770522686058</v>
      </c>
      <c r="AB114" s="51">
        <f t="shared" si="45"/>
        <v>0</v>
      </c>
      <c r="AC114" s="44">
        <f t="shared" si="46"/>
        <v>6777.5797441045197</v>
      </c>
      <c r="AD114" s="44">
        <f t="shared" si="47"/>
        <v>0</v>
      </c>
      <c r="AE114" s="44">
        <f t="shared" si="48"/>
        <v>0</v>
      </c>
      <c r="AF114" s="52" t="e">
        <f>HLOOKUP(I114,ElecAvoidedCostsWOCC!$A$5:$Q$50,G114+1,FALSE)</f>
        <v>#N/A</v>
      </c>
      <c r="AG114" s="44" t="e">
        <f t="shared" si="49"/>
        <v>#N/A</v>
      </c>
      <c r="AH114" s="52" t="e">
        <f>HLOOKUP(I114,ElecAvoidedCostsWOCC!$A$5:$Q$50,T114+1,FALSE)</f>
        <v>#N/A</v>
      </c>
      <c r="AI114" s="44" t="e">
        <f t="shared" si="50"/>
        <v>#N/A</v>
      </c>
      <c r="AJ114" s="44" t="e">
        <f t="shared" si="51"/>
        <v>#N/A</v>
      </c>
      <c r="AK114" s="44" t="e">
        <f>HLOOKUP(I114,ElecAvoidedCostsWOCC!$A$5:$Q$50,G114+1,FALSE)*J114*L114</f>
        <v>#N/A</v>
      </c>
      <c r="AL114" s="44" t="e">
        <f t="shared" si="52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3"/>
        <v>0</v>
      </c>
      <c r="AO114" s="47">
        <f t="shared" si="54"/>
        <v>0</v>
      </c>
      <c r="AP114" s="47">
        <f t="shared" si="55"/>
        <v>0</v>
      </c>
      <c r="AQ114">
        <v>2021</v>
      </c>
    </row>
    <row r="115" spans="2:43">
      <c r="B115" s="97" t="s">
        <v>74</v>
      </c>
      <c r="C115" s="100">
        <v>18230611</v>
      </c>
      <c r="D115" s="100" t="s">
        <v>75</v>
      </c>
      <c r="E115" s="38" t="s">
        <v>1491</v>
      </c>
      <c r="F115" s="39" t="s">
        <v>1492</v>
      </c>
      <c r="G115" s="39"/>
      <c r="H115" s="39"/>
      <c r="I115" s="40"/>
      <c r="J115" s="41">
        <v>11</v>
      </c>
      <c r="K115" s="41">
        <v>0</v>
      </c>
      <c r="L115" s="41"/>
      <c r="M115" s="42">
        <v>370.45181818181817</v>
      </c>
      <c r="N115" s="42">
        <v>370.45181818181817</v>
      </c>
      <c r="O115" s="43">
        <v>0</v>
      </c>
      <c r="P115" s="44">
        <v>4074.97</v>
      </c>
      <c r="Q115" s="44">
        <v>4074.97</v>
      </c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22">
        <f t="shared" si="37"/>
        <v>4203.3835131988517</v>
      </c>
      <c r="AB115" s="51">
        <f t="shared" si="45"/>
        <v>0</v>
      </c>
      <c r="AC115" s="44">
        <f t="shared" si="46"/>
        <v>3929.497535008742</v>
      </c>
      <c r="AD115" s="44">
        <f t="shared" si="47"/>
        <v>0</v>
      </c>
      <c r="AE115" s="44">
        <f t="shared" si="48"/>
        <v>0</v>
      </c>
      <c r="AF115" s="52" t="e">
        <f>HLOOKUP(I115,ElecAvoidedCostsWOCC!$A$5:$Q$50,G115+1,FALSE)</f>
        <v>#N/A</v>
      </c>
      <c r="AG115" s="44" t="e">
        <f t="shared" si="49"/>
        <v>#N/A</v>
      </c>
      <c r="AH115" s="52" t="e">
        <f>HLOOKUP(I115,ElecAvoidedCostsWOCC!$A$5:$Q$50,T115+1,FALSE)</f>
        <v>#N/A</v>
      </c>
      <c r="AI115" s="44" t="e">
        <f t="shared" si="50"/>
        <v>#N/A</v>
      </c>
      <c r="AJ115" s="44" t="e">
        <f t="shared" si="51"/>
        <v>#N/A</v>
      </c>
      <c r="AK115" s="44" t="e">
        <f>HLOOKUP(I115,ElecAvoidedCostsWOCC!$A$5:$Q$50,G115+1,FALSE)*J115*L115</f>
        <v>#N/A</v>
      </c>
      <c r="AL115" s="44" t="e">
        <f t="shared" si="52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3"/>
        <v>0</v>
      </c>
      <c r="AO115" s="47">
        <f t="shared" si="54"/>
        <v>0</v>
      </c>
      <c r="AP115" s="47">
        <f t="shared" si="55"/>
        <v>0</v>
      </c>
      <c r="AQ115">
        <v>2021</v>
      </c>
    </row>
    <row r="116" spans="2:43">
      <c r="B116" s="97" t="s">
        <v>74</v>
      </c>
      <c r="C116" s="100">
        <v>18230611</v>
      </c>
      <c r="D116" s="100" t="s">
        <v>75</v>
      </c>
      <c r="E116" s="38" t="s">
        <v>1493</v>
      </c>
      <c r="F116" s="39" t="s">
        <v>1494</v>
      </c>
      <c r="G116" s="39">
        <v>20</v>
      </c>
      <c r="H116" s="39"/>
      <c r="I116" s="40" t="s">
        <v>269</v>
      </c>
      <c r="J116" s="41">
        <v>1358</v>
      </c>
      <c r="K116" s="41">
        <v>4.6500000000000004</v>
      </c>
      <c r="L116" s="41"/>
      <c r="M116" s="42">
        <v>6.46</v>
      </c>
      <c r="N116" s="42">
        <v>6.46</v>
      </c>
      <c r="O116" s="43">
        <v>6314.7</v>
      </c>
      <c r="P116" s="44">
        <v>11785.06</v>
      </c>
      <c r="Q116" s="44">
        <v>11785.06</v>
      </c>
      <c r="R116" s="45">
        <v>0</v>
      </c>
      <c r="S116" s="46">
        <v>0</v>
      </c>
      <c r="T116" s="39">
        <f t="shared" si="38"/>
        <v>20</v>
      </c>
      <c r="U116" s="47">
        <f t="shared" si="39"/>
        <v>5.4722738407046959E-2</v>
      </c>
      <c r="V116" s="48">
        <f t="shared" si="40"/>
        <v>0</v>
      </c>
      <c r="W116" s="49">
        <f t="shared" si="41"/>
        <v>2.7361369203523478E-3</v>
      </c>
      <c r="X116" s="44">
        <f t="shared" si="42"/>
        <v>727.2882043411546</v>
      </c>
      <c r="Y116" s="44">
        <f t="shared" si="43"/>
        <v>0</v>
      </c>
      <c r="Z116" s="44">
        <f t="shared" si="44"/>
        <v>19495.535973074508</v>
      </c>
      <c r="AA116" s="522">
        <f t="shared" si="37"/>
        <v>12883.727860598567</v>
      </c>
      <c r="AB116" s="51">
        <f t="shared" si="45"/>
        <v>18225.236957160425</v>
      </c>
      <c r="AC116" s="44">
        <f t="shared" si="46"/>
        <v>12044.244050293135</v>
      </c>
      <c r="AD116" s="44">
        <f t="shared" si="47"/>
        <v>0</v>
      </c>
      <c r="AE116" s="44">
        <f t="shared" si="48"/>
        <v>0</v>
      </c>
      <c r="AF116" s="52">
        <f>HLOOKUP(I116,ElecAvoidedCostsWOCC!$A$5:$Q$50,G116+1,FALSE)</f>
        <v>1.727945421646023</v>
      </c>
      <c r="AG116" s="44">
        <f t="shared" si="49"/>
        <v>10911.456954068142</v>
      </c>
      <c r="AH116" s="52">
        <f>HLOOKUP(I116,ElecAvoidedCostsWOCC!$A$5:$Q$50,T116+1,FALSE)</f>
        <v>1.727945421646023</v>
      </c>
      <c r="AI116" s="44">
        <f t="shared" si="50"/>
        <v>0</v>
      </c>
      <c r="AJ116" s="44">
        <f t="shared" si="51"/>
        <v>10911.456954068142</v>
      </c>
      <c r="AK116" s="44">
        <f>HLOOKUP(I116,ElecAvoidedCostsWOCC!$A$5:$Q$50,G116+1,FALSE)*J116*L116</f>
        <v>0</v>
      </c>
      <c r="AL116" s="44">
        <f t="shared" si="52"/>
        <v>10911.456954068142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10911.456954068142</v>
      </c>
      <c r="AN116" s="48">
        <f t="shared" si="53"/>
        <v>12002.602649474957</v>
      </c>
      <c r="AO116" s="47">
        <f t="shared" si="54"/>
        <v>0.59870041633566762</v>
      </c>
      <c r="AP116" s="47">
        <f t="shared" si="55"/>
        <v>0.99654263060061754</v>
      </c>
      <c r="AQ116">
        <v>2021</v>
      </c>
    </row>
    <row r="117" spans="2:43">
      <c r="B117" s="97" t="s">
        <v>74</v>
      </c>
      <c r="C117" s="100">
        <v>18230611</v>
      </c>
      <c r="D117" s="100" t="s">
        <v>75</v>
      </c>
      <c r="E117" s="38" t="s">
        <v>1497</v>
      </c>
      <c r="F117" s="39" t="s">
        <v>1498</v>
      </c>
      <c r="G117" s="39">
        <v>45</v>
      </c>
      <c r="H117" s="39"/>
      <c r="I117" s="40" t="s">
        <v>269</v>
      </c>
      <c r="J117" s="41">
        <v>18155</v>
      </c>
      <c r="K117" s="41">
        <v>0.36</v>
      </c>
      <c r="L117" s="41"/>
      <c r="M117" s="42">
        <v>1.87</v>
      </c>
      <c r="N117" s="42">
        <v>1.87</v>
      </c>
      <c r="O117" s="43">
        <v>6535.8</v>
      </c>
      <c r="P117" s="44">
        <v>53549.29</v>
      </c>
      <c r="Q117" s="44">
        <v>53549.29</v>
      </c>
      <c r="R117" s="45">
        <v>0</v>
      </c>
      <c r="S117" s="46">
        <v>0</v>
      </c>
      <c r="T117" s="39">
        <f t="shared" si="38"/>
        <v>45</v>
      </c>
      <c r="U117" s="47">
        <f t="shared" si="39"/>
        <v>0.12743724417339691</v>
      </c>
      <c r="V117" s="48">
        <f t="shared" si="40"/>
        <v>0</v>
      </c>
      <c r="W117" s="49">
        <f t="shared" si="41"/>
        <v>2.8319387594088201E-3</v>
      </c>
      <c r="X117" s="44">
        <f t="shared" si="42"/>
        <v>752.75313885583148</v>
      </c>
      <c r="Y117" s="44">
        <f t="shared" si="43"/>
        <v>0</v>
      </c>
      <c r="Z117" s="44">
        <f t="shared" si="44"/>
        <v>20178.143698484546</v>
      </c>
      <c r="AA117" s="522">
        <f t="shared" si="37"/>
        <v>55989.528557939702</v>
      </c>
      <c r="AB117" s="51">
        <f t="shared" si="45"/>
        <v>18863.367017373603</v>
      </c>
      <c r="AC117" s="44">
        <f t="shared" si="46"/>
        <v>52341.337344993641</v>
      </c>
      <c r="AD117" s="44">
        <f t="shared" si="47"/>
        <v>0</v>
      </c>
      <c r="AE117" s="44">
        <f t="shared" si="48"/>
        <v>0</v>
      </c>
      <c r="AF117" s="52">
        <f>HLOOKUP(I117,ElecAvoidedCostsWOCC!$A$5:$Q$50,G117+1,FALSE)</f>
        <v>3.4276422079642828</v>
      </c>
      <c r="AG117" s="44">
        <f t="shared" si="49"/>
        <v>22402.383942812958</v>
      </c>
      <c r="AH117" s="52">
        <f>HLOOKUP(I117,ElecAvoidedCostsWOCC!$A$5:$Q$50,T117+1,FALSE)</f>
        <v>3.4276422079642828</v>
      </c>
      <c r="AI117" s="44">
        <f t="shared" si="50"/>
        <v>0</v>
      </c>
      <c r="AJ117" s="44">
        <f t="shared" si="51"/>
        <v>22402.383942812958</v>
      </c>
      <c r="AK117" s="44">
        <f>HLOOKUP(I117,ElecAvoidedCostsWOCC!$A$5:$Q$50,G117+1,FALSE)*J117*L117</f>
        <v>0</v>
      </c>
      <c r="AL117" s="44">
        <f t="shared" si="52"/>
        <v>22402.383942812958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22402.383942812958</v>
      </c>
      <c r="AN117" s="48">
        <f t="shared" si="53"/>
        <v>24642.622337094257</v>
      </c>
      <c r="AO117" s="47">
        <f t="shared" si="54"/>
        <v>1.1876132146599192</v>
      </c>
      <c r="AP117" s="47">
        <f t="shared" si="55"/>
        <v>0.47080612737632471</v>
      </c>
      <c r="AQ117">
        <v>2021</v>
      </c>
    </row>
    <row r="118" spans="2:43">
      <c r="B118" s="97" t="s">
        <v>74</v>
      </c>
      <c r="C118" s="100">
        <v>18230611</v>
      </c>
      <c r="D118" s="100" t="s">
        <v>75</v>
      </c>
      <c r="E118" s="38" t="s">
        <v>1499</v>
      </c>
      <c r="F118" s="39" t="s">
        <v>1500</v>
      </c>
      <c r="G118" s="39">
        <v>25</v>
      </c>
      <c r="H118" s="39"/>
      <c r="I118" s="40" t="s">
        <v>269</v>
      </c>
      <c r="J118" s="41">
        <v>82951</v>
      </c>
      <c r="K118" s="41">
        <v>0.8</v>
      </c>
      <c r="L118" s="41"/>
      <c r="M118" s="42">
        <v>2.37</v>
      </c>
      <c r="N118" s="42">
        <v>2.37</v>
      </c>
      <c r="O118" s="43">
        <v>66360.800000000003</v>
      </c>
      <c r="P118" s="44">
        <v>270628.14</v>
      </c>
      <c r="Q118" s="44">
        <v>270628.14</v>
      </c>
      <c r="R118" s="45">
        <v>0</v>
      </c>
      <c r="S118" s="46">
        <v>0</v>
      </c>
      <c r="T118" s="39">
        <f t="shared" si="38"/>
        <v>25</v>
      </c>
      <c r="U118" s="47">
        <f t="shared" si="39"/>
        <v>0.71884743116901084</v>
      </c>
      <c r="V118" s="48">
        <f t="shared" si="40"/>
        <v>0</v>
      </c>
      <c r="W118" s="49">
        <f t="shared" si="41"/>
        <v>2.8753897246760432E-2</v>
      </c>
      <c r="X118" s="44">
        <f t="shared" si="42"/>
        <v>7643.0277084647723</v>
      </c>
      <c r="Y118" s="44">
        <f t="shared" si="43"/>
        <v>0</v>
      </c>
      <c r="Z118" s="44">
        <f t="shared" si="44"/>
        <v>204877.40725640216</v>
      </c>
      <c r="AA118" s="522">
        <f t="shared" si="37"/>
        <v>286799.40478208021</v>
      </c>
      <c r="AB118" s="51">
        <f t="shared" si="45"/>
        <v>191527.91180368527</v>
      </c>
      <c r="AC118" s="44">
        <f t="shared" si="46"/>
        <v>268111.99848750135</v>
      </c>
      <c r="AD118" s="44">
        <f t="shared" si="47"/>
        <v>0</v>
      </c>
      <c r="AE118" s="44">
        <f t="shared" si="48"/>
        <v>0</v>
      </c>
      <c r="AF118" s="52">
        <f>HLOOKUP(I118,ElecAvoidedCostsWOCC!$A$5:$Q$50,G118+1,FALSE)</f>
        <v>2.0508206305871441</v>
      </c>
      <c r="AG118" s="44">
        <f t="shared" si="49"/>
        <v>136094.09770226735</v>
      </c>
      <c r="AH118" s="52">
        <f>HLOOKUP(I118,ElecAvoidedCostsWOCC!$A$5:$Q$50,T118+1,FALSE)</f>
        <v>2.0508206305871441</v>
      </c>
      <c r="AI118" s="44">
        <f t="shared" si="50"/>
        <v>0</v>
      </c>
      <c r="AJ118" s="44">
        <f t="shared" si="51"/>
        <v>136094.09770226735</v>
      </c>
      <c r="AK118" s="44">
        <f>HLOOKUP(I118,ElecAvoidedCostsWOCC!$A$5:$Q$50,G118+1,FALSE)*J118*L118</f>
        <v>0</v>
      </c>
      <c r="AL118" s="44">
        <f t="shared" si="52"/>
        <v>136094.09770226735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136094.09770226738</v>
      </c>
      <c r="AN118" s="48">
        <f t="shared" si="53"/>
        <v>149703.50747249412</v>
      </c>
      <c r="AO118" s="47">
        <f t="shared" si="54"/>
        <v>0.71057057125837009</v>
      </c>
      <c r="AP118" s="47">
        <f t="shared" si="55"/>
        <v>0.55836183504287629</v>
      </c>
      <c r="AQ118">
        <v>2021</v>
      </c>
    </row>
    <row r="119" spans="2:43">
      <c r="B119" s="97" t="s">
        <v>74</v>
      </c>
      <c r="C119" s="100">
        <v>18230611</v>
      </c>
      <c r="D119" s="100" t="s">
        <v>75</v>
      </c>
      <c r="E119" s="38" t="s">
        <v>1503</v>
      </c>
      <c r="F119" s="39" t="s">
        <v>1504</v>
      </c>
      <c r="G119" s="39">
        <v>45</v>
      </c>
      <c r="H119" s="39"/>
      <c r="I119" s="40" t="s">
        <v>267</v>
      </c>
      <c r="J119" s="41">
        <v>500</v>
      </c>
      <c r="K119" s="41">
        <v>1.35</v>
      </c>
      <c r="L119" s="41"/>
      <c r="M119" s="42">
        <v>2.2000000000000002</v>
      </c>
      <c r="N119" s="42">
        <v>2.2000000000000002</v>
      </c>
      <c r="O119" s="43">
        <v>675</v>
      </c>
      <c r="P119" s="44">
        <v>1430</v>
      </c>
      <c r="Q119" s="44">
        <v>1430</v>
      </c>
      <c r="R119" s="45">
        <v>0</v>
      </c>
      <c r="S119" s="46">
        <v>0</v>
      </c>
      <c r="T119" s="39">
        <f t="shared" si="38"/>
        <v>45</v>
      </c>
      <c r="U119" s="47">
        <f t="shared" si="39"/>
        <v>1.3161378839169329E-2</v>
      </c>
      <c r="V119" s="48">
        <f t="shared" si="40"/>
        <v>0</v>
      </c>
      <c r="W119" s="49">
        <f t="shared" si="41"/>
        <v>2.9247508531487397E-4</v>
      </c>
      <c r="X119" s="44">
        <f t="shared" si="42"/>
        <v>77.742337392161048</v>
      </c>
      <c r="Y119" s="44">
        <f t="shared" si="43"/>
        <v>0</v>
      </c>
      <c r="Z119" s="44">
        <f t="shared" si="44"/>
        <v>2083.9448876154511</v>
      </c>
      <c r="AA119" s="522">
        <f t="shared" si="37"/>
        <v>1552.8055707102858</v>
      </c>
      <c r="AB119" s="51">
        <f t="shared" si="45"/>
        <v>1948.1582570958687</v>
      </c>
      <c r="AC119" s="44">
        <f t="shared" si="46"/>
        <v>1451.6271578108681</v>
      </c>
      <c r="AD119" s="44">
        <f t="shared" si="47"/>
        <v>0</v>
      </c>
      <c r="AE119" s="44">
        <f t="shared" si="48"/>
        <v>0</v>
      </c>
      <c r="AF119" s="52">
        <f>HLOOKUP(I119,ElecAvoidedCostsWOCC!$A$5:$Q$50,G119+1,FALSE)</f>
        <v>3.1346149049506007</v>
      </c>
      <c r="AG119" s="44">
        <f t="shared" si="49"/>
        <v>2115.8650608416556</v>
      </c>
      <c r="AH119" s="52">
        <f>HLOOKUP(I119,ElecAvoidedCostsWOCC!$A$5:$Q$50,T119+1,FALSE)</f>
        <v>3.1346149049506007</v>
      </c>
      <c r="AI119" s="44">
        <f t="shared" si="50"/>
        <v>0</v>
      </c>
      <c r="AJ119" s="44">
        <f t="shared" si="51"/>
        <v>2115.8650608416556</v>
      </c>
      <c r="AK119" s="44">
        <f>HLOOKUP(I119,ElecAvoidedCostsWOCC!$A$5:$Q$50,G119+1,FALSE)*J119*L119</f>
        <v>0</v>
      </c>
      <c r="AL119" s="44">
        <f t="shared" si="52"/>
        <v>2115.8650608416556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2115.8650608416556</v>
      </c>
      <c r="AN119" s="48">
        <f t="shared" si="53"/>
        <v>2327.4515669258212</v>
      </c>
      <c r="AO119" s="47">
        <f t="shared" si="54"/>
        <v>1.0860847947721601</v>
      </c>
      <c r="AP119" s="47">
        <f t="shared" si="55"/>
        <v>1.6033397793657591</v>
      </c>
      <c r="AQ119">
        <v>2021</v>
      </c>
    </row>
    <row r="120" spans="2:43">
      <c r="B120" s="97" t="s">
        <v>74</v>
      </c>
      <c r="C120" s="100">
        <v>18230611</v>
      </c>
      <c r="D120" s="100" t="s">
        <v>75</v>
      </c>
      <c r="E120" s="38" t="s">
        <v>1505</v>
      </c>
      <c r="F120" s="39" t="s">
        <v>1506</v>
      </c>
      <c r="G120" s="39">
        <v>25</v>
      </c>
      <c r="H120" s="39"/>
      <c r="I120" s="40" t="s">
        <v>269</v>
      </c>
      <c r="J120" s="41">
        <v>17249</v>
      </c>
      <c r="K120" s="41">
        <v>0.52</v>
      </c>
      <c r="L120" s="41"/>
      <c r="M120" s="42">
        <v>2.7</v>
      </c>
      <c r="N120" s="42">
        <v>2.7</v>
      </c>
      <c r="O120" s="43">
        <v>8969.48</v>
      </c>
      <c r="P120" s="44">
        <v>60879.11</v>
      </c>
      <c r="Q120" s="44">
        <v>60879.11</v>
      </c>
      <c r="R120" s="45">
        <v>0</v>
      </c>
      <c r="S120" s="46">
        <v>0</v>
      </c>
      <c r="T120" s="39">
        <f t="shared" si="38"/>
        <v>25</v>
      </c>
      <c r="U120" s="47">
        <f t="shared" si="39"/>
        <v>9.7161089934446512E-2</v>
      </c>
      <c r="V120" s="48">
        <f t="shared" si="40"/>
        <v>0</v>
      </c>
      <c r="W120" s="49">
        <f t="shared" si="41"/>
        <v>3.8864435973778606E-3</v>
      </c>
      <c r="X120" s="44">
        <f t="shared" si="42"/>
        <v>1033.0493931736899</v>
      </c>
      <c r="Y120" s="44">
        <f t="shared" si="43"/>
        <v>0</v>
      </c>
      <c r="Z120" s="44">
        <f t="shared" si="44"/>
        <v>27691.706652694873</v>
      </c>
      <c r="AA120" s="522">
        <f t="shared" si="37"/>
        <v>63830.627601656059</v>
      </c>
      <c r="AB120" s="51">
        <f t="shared" si="45"/>
        <v>25887.357813120379</v>
      </c>
      <c r="AC120" s="44">
        <f t="shared" si="46"/>
        <v>59671.522484487286</v>
      </c>
      <c r="AD120" s="44">
        <f t="shared" si="47"/>
        <v>0</v>
      </c>
      <c r="AE120" s="44">
        <f t="shared" si="48"/>
        <v>0</v>
      </c>
      <c r="AF120" s="52">
        <f>HLOOKUP(I120,ElecAvoidedCostsWOCC!$A$5:$Q$50,G120+1,FALSE)</f>
        <v>2.0508206305871441</v>
      </c>
      <c r="AG120" s="44">
        <f t="shared" si="49"/>
        <v>18394.794629638778</v>
      </c>
      <c r="AH120" s="52">
        <f>HLOOKUP(I120,ElecAvoidedCostsWOCC!$A$5:$Q$50,T120+1,FALSE)</f>
        <v>2.0508206305871441</v>
      </c>
      <c r="AI120" s="44">
        <f t="shared" si="50"/>
        <v>0</v>
      </c>
      <c r="AJ120" s="44">
        <f t="shared" si="51"/>
        <v>18394.794629638778</v>
      </c>
      <c r="AK120" s="44">
        <f>HLOOKUP(I120,ElecAvoidedCostsWOCC!$A$5:$Q$50,G120+1,FALSE)*J120*L120</f>
        <v>0</v>
      </c>
      <c r="AL120" s="44">
        <f t="shared" si="52"/>
        <v>18394.794629638778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18394.794629638778</v>
      </c>
      <c r="AN120" s="48">
        <f t="shared" si="53"/>
        <v>20234.274092602656</v>
      </c>
      <c r="AO120" s="47">
        <f t="shared" si="54"/>
        <v>0.71057057125837009</v>
      </c>
      <c r="AP120" s="47">
        <f t="shared" si="55"/>
        <v>0.33909431584995892</v>
      </c>
      <c r="AQ120">
        <v>2021</v>
      </c>
    </row>
    <row r="121" spans="2:43">
      <c r="B121" s="97" t="s">
        <v>74</v>
      </c>
      <c r="C121" s="100">
        <v>18230611</v>
      </c>
      <c r="D121" s="100" t="s">
        <v>75</v>
      </c>
      <c r="E121" s="38" t="s">
        <v>1509</v>
      </c>
      <c r="F121" s="39" t="s">
        <v>1510</v>
      </c>
      <c r="G121" s="39">
        <v>45</v>
      </c>
      <c r="H121" s="39"/>
      <c r="I121" s="40" t="s">
        <v>269</v>
      </c>
      <c r="J121" s="41">
        <v>24148</v>
      </c>
      <c r="K121" s="41">
        <v>0.4</v>
      </c>
      <c r="L121" s="41"/>
      <c r="M121" s="42">
        <v>2.2000000000000002</v>
      </c>
      <c r="N121" s="42">
        <v>2.2000000000000002</v>
      </c>
      <c r="O121" s="43">
        <v>9659.2000000000007</v>
      </c>
      <c r="P121" s="44">
        <v>73020.17</v>
      </c>
      <c r="Q121" s="44">
        <v>73020.17</v>
      </c>
      <c r="R121" s="45">
        <v>0</v>
      </c>
      <c r="S121" s="46">
        <v>0</v>
      </c>
      <c r="T121" s="39">
        <f t="shared" si="38"/>
        <v>45</v>
      </c>
      <c r="U121" s="47">
        <f t="shared" si="39"/>
        <v>0.18833835627156206</v>
      </c>
      <c r="V121" s="48">
        <f t="shared" si="40"/>
        <v>0</v>
      </c>
      <c r="W121" s="49">
        <f t="shared" si="41"/>
        <v>4.1852968060347127E-3</v>
      </c>
      <c r="X121" s="44">
        <f t="shared" si="42"/>
        <v>1112.4870893901659</v>
      </c>
      <c r="Y121" s="44">
        <f t="shared" si="43"/>
        <v>0</v>
      </c>
      <c r="Z121" s="44">
        <f t="shared" si="44"/>
        <v>29821.096975489141</v>
      </c>
      <c r="AA121" s="522">
        <f t="shared" si="37"/>
        <v>76433.723493333615</v>
      </c>
      <c r="AB121" s="51">
        <f t="shared" si="45"/>
        <v>27878.000351022845</v>
      </c>
      <c r="AC121" s="44">
        <f t="shared" si="46"/>
        <v>71453.420111558022</v>
      </c>
      <c r="AD121" s="44">
        <f t="shared" si="47"/>
        <v>0</v>
      </c>
      <c r="AE121" s="44">
        <f t="shared" si="48"/>
        <v>0</v>
      </c>
      <c r="AF121" s="52">
        <f>HLOOKUP(I121,ElecAvoidedCostsWOCC!$A$5:$Q$50,G121+1,FALSE)</f>
        <v>3.4276422079642828</v>
      </c>
      <c r="AG121" s="44">
        <f t="shared" si="49"/>
        <v>33108.281615168606</v>
      </c>
      <c r="AH121" s="52">
        <f>HLOOKUP(I121,ElecAvoidedCostsWOCC!$A$5:$Q$50,T121+1,FALSE)</f>
        <v>3.4276422079642828</v>
      </c>
      <c r="AI121" s="44">
        <f t="shared" si="50"/>
        <v>0</v>
      </c>
      <c r="AJ121" s="44">
        <f t="shared" si="51"/>
        <v>33108.281615168606</v>
      </c>
      <c r="AK121" s="44">
        <f>HLOOKUP(I121,ElecAvoidedCostsWOCC!$A$5:$Q$50,G121+1,FALSE)*J121*L121</f>
        <v>0</v>
      </c>
      <c r="AL121" s="44">
        <f t="shared" si="52"/>
        <v>33108.281615168606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33108.281615168606</v>
      </c>
      <c r="AN121" s="48">
        <f t="shared" si="53"/>
        <v>36419.109776685473</v>
      </c>
      <c r="AO121" s="47">
        <f t="shared" si="54"/>
        <v>1.1876132146599194</v>
      </c>
      <c r="AP121" s="47">
        <f t="shared" si="55"/>
        <v>0.50969022504206851</v>
      </c>
      <c r="AQ121">
        <v>2021</v>
      </c>
    </row>
    <row r="122" spans="2:43">
      <c r="B122" s="97" t="s">
        <v>74</v>
      </c>
      <c r="C122" s="100">
        <v>18230611</v>
      </c>
      <c r="D122" s="100" t="s">
        <v>75</v>
      </c>
      <c r="E122" s="38" t="s">
        <v>1513</v>
      </c>
      <c r="F122" s="39" t="s">
        <v>1514</v>
      </c>
      <c r="G122" s="39">
        <v>25</v>
      </c>
      <c r="H122" s="39"/>
      <c r="I122" s="40" t="s">
        <v>269</v>
      </c>
      <c r="J122" s="41">
        <v>7160</v>
      </c>
      <c r="K122" s="41">
        <v>0.37</v>
      </c>
      <c r="L122" s="41"/>
      <c r="M122" s="42">
        <v>1.84</v>
      </c>
      <c r="N122" s="42">
        <v>1.84</v>
      </c>
      <c r="O122" s="43">
        <v>2649.2</v>
      </c>
      <c r="P122" s="44">
        <v>15596.78</v>
      </c>
      <c r="Q122" s="44">
        <v>15596.78</v>
      </c>
      <c r="R122" s="45">
        <v>0</v>
      </c>
      <c r="S122" s="46">
        <v>0</v>
      </c>
      <c r="T122" s="39">
        <f t="shared" si="38"/>
        <v>25</v>
      </c>
      <c r="U122" s="47">
        <f t="shared" si="39"/>
        <v>2.8697222074672745E-2</v>
      </c>
      <c r="V122" s="48">
        <f t="shared" si="40"/>
        <v>0</v>
      </c>
      <c r="W122" s="49">
        <f t="shared" si="41"/>
        <v>1.1478888829869098E-3</v>
      </c>
      <c r="X122" s="44">
        <f t="shared" si="42"/>
        <v>305.11851884342673</v>
      </c>
      <c r="Y122" s="44">
        <f t="shared" si="43"/>
        <v>0</v>
      </c>
      <c r="Z122" s="44">
        <f t="shared" si="44"/>
        <v>8178.943401882746</v>
      </c>
      <c r="AA122" s="522">
        <f t="shared" si="37"/>
        <v>16393.395956711582</v>
      </c>
      <c r="AB122" s="51">
        <f t="shared" si="45"/>
        <v>7646.0160810346315</v>
      </c>
      <c r="AC122" s="44">
        <f t="shared" si="46"/>
        <v>15325.227593448239</v>
      </c>
      <c r="AD122" s="44">
        <f t="shared" si="47"/>
        <v>0</v>
      </c>
      <c r="AE122" s="44">
        <f t="shared" si="48"/>
        <v>0</v>
      </c>
      <c r="AF122" s="52">
        <f>HLOOKUP(I122,ElecAvoidedCostsWOCC!$A$5:$Q$50,G122+1,FALSE)</f>
        <v>2.0508206305871441</v>
      </c>
      <c r="AG122" s="44">
        <f t="shared" si="49"/>
        <v>5433.0340145514629</v>
      </c>
      <c r="AH122" s="52">
        <f>HLOOKUP(I122,ElecAvoidedCostsWOCC!$A$5:$Q$50,T122+1,FALSE)</f>
        <v>2.0508206305871441</v>
      </c>
      <c r="AI122" s="44">
        <f t="shared" si="50"/>
        <v>0</v>
      </c>
      <c r="AJ122" s="44">
        <f t="shared" si="51"/>
        <v>5433.0340145514629</v>
      </c>
      <c r="AK122" s="44">
        <f>HLOOKUP(I122,ElecAvoidedCostsWOCC!$A$5:$Q$50,G122+1,FALSE)*J122*L122</f>
        <v>0</v>
      </c>
      <c r="AL122" s="44">
        <f t="shared" si="52"/>
        <v>5433.0340145514629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5433.034014551462</v>
      </c>
      <c r="AN122" s="48">
        <f t="shared" si="53"/>
        <v>5976.3374160066087</v>
      </c>
      <c r="AO122" s="47">
        <f t="shared" si="54"/>
        <v>0.71057057125837009</v>
      </c>
      <c r="AP122" s="47">
        <f t="shared" si="55"/>
        <v>0.38996728626474569</v>
      </c>
      <c r="AQ122">
        <v>2021</v>
      </c>
    </row>
    <row r="123" spans="2:43">
      <c r="B123" s="97" t="s">
        <v>74</v>
      </c>
      <c r="C123" s="100">
        <v>18230611</v>
      </c>
      <c r="D123" s="100" t="s">
        <v>75</v>
      </c>
      <c r="E123" s="38" t="s">
        <v>1515</v>
      </c>
      <c r="F123" s="39" t="s">
        <v>1516</v>
      </c>
      <c r="G123" s="39">
        <v>45</v>
      </c>
      <c r="H123" s="39"/>
      <c r="I123" s="40" t="s">
        <v>267</v>
      </c>
      <c r="J123" s="41">
        <v>19187</v>
      </c>
      <c r="K123" s="41">
        <v>2.0499999999999998</v>
      </c>
      <c r="L123" s="41"/>
      <c r="M123" s="42">
        <v>2.75</v>
      </c>
      <c r="N123" s="42">
        <v>2.75</v>
      </c>
      <c r="O123" s="43">
        <v>39333.35</v>
      </c>
      <c r="P123" s="44">
        <v>68593.52</v>
      </c>
      <c r="Q123" s="44">
        <v>68593.52</v>
      </c>
      <c r="R123" s="45">
        <v>0</v>
      </c>
      <c r="S123" s="46">
        <v>0</v>
      </c>
      <c r="T123" s="39">
        <f t="shared" si="38"/>
        <v>45</v>
      </c>
      <c r="U123" s="47">
        <f t="shared" si="39"/>
        <v>0.76693499313131996</v>
      </c>
      <c r="V123" s="48">
        <f t="shared" si="40"/>
        <v>0</v>
      </c>
      <c r="W123" s="49">
        <f t="shared" si="41"/>
        <v>1.7042999847362666E-2</v>
      </c>
      <c r="X123" s="44">
        <f t="shared" si="42"/>
        <v>4530.1726910577154</v>
      </c>
      <c r="Y123" s="44">
        <f t="shared" si="43"/>
        <v>0</v>
      </c>
      <c r="Z123" s="44">
        <f t="shared" si="44"/>
        <v>121434.86465968774</v>
      </c>
      <c r="AA123" s="522">
        <f t="shared" si="37"/>
        <v>75285.263177681118</v>
      </c>
      <c r="AB123" s="51">
        <f t="shared" si="45"/>
        <v>113522.35641739528</v>
      </c>
      <c r="AC123" s="44">
        <f t="shared" si="46"/>
        <v>70379.791696439293</v>
      </c>
      <c r="AD123" s="44">
        <f t="shared" si="47"/>
        <v>0</v>
      </c>
      <c r="AE123" s="44">
        <f t="shared" si="48"/>
        <v>0</v>
      </c>
      <c r="AF123" s="52">
        <f>HLOOKUP(I123,ElecAvoidedCostsWOCC!$A$5:$Q$50,G123+1,FALSE)</f>
        <v>3.1346149049506007</v>
      </c>
      <c r="AG123" s="44">
        <f t="shared" si="49"/>
        <v>123294.9051716387</v>
      </c>
      <c r="AH123" s="52">
        <f>HLOOKUP(I123,ElecAvoidedCostsWOCC!$A$5:$Q$50,T123+1,FALSE)</f>
        <v>3.1346149049506007</v>
      </c>
      <c r="AI123" s="44">
        <f t="shared" si="50"/>
        <v>0</v>
      </c>
      <c r="AJ123" s="44">
        <f t="shared" si="51"/>
        <v>123294.9051716387</v>
      </c>
      <c r="AK123" s="44">
        <f>HLOOKUP(I123,ElecAvoidedCostsWOCC!$A$5:$Q$50,G123+1,FALSE)*J123*L123</f>
        <v>0</v>
      </c>
      <c r="AL123" s="44">
        <f t="shared" si="52"/>
        <v>123294.9051716387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123294.90517163869</v>
      </c>
      <c r="AN123" s="48">
        <f t="shared" si="53"/>
        <v>135624.39568880256</v>
      </c>
      <c r="AO123" s="47">
        <f t="shared" si="54"/>
        <v>1.0860847947721595</v>
      </c>
      <c r="AP123" s="47">
        <f t="shared" si="55"/>
        <v>1.9270360485546048</v>
      </c>
      <c r="AQ123">
        <v>2021</v>
      </c>
    </row>
    <row r="124" spans="2:43">
      <c r="B124" s="97" t="s">
        <v>74</v>
      </c>
      <c r="C124" s="100">
        <v>18230611</v>
      </c>
      <c r="D124" s="100" t="s">
        <v>75</v>
      </c>
      <c r="E124" s="38" t="s">
        <v>1517</v>
      </c>
      <c r="F124" s="39" t="s">
        <v>1518</v>
      </c>
      <c r="G124" s="39">
        <v>45</v>
      </c>
      <c r="H124" s="39"/>
      <c r="I124" s="40" t="s">
        <v>269</v>
      </c>
      <c r="J124" s="41">
        <v>7136</v>
      </c>
      <c r="K124" s="41">
        <v>0.83</v>
      </c>
      <c r="L124" s="41"/>
      <c r="M124" s="42">
        <v>2.75</v>
      </c>
      <c r="N124" s="42">
        <v>2.75</v>
      </c>
      <c r="O124" s="43">
        <v>5922.88</v>
      </c>
      <c r="P124" s="44">
        <v>26462.720000000001</v>
      </c>
      <c r="Q124" s="44">
        <v>26462.720000000001</v>
      </c>
      <c r="R124" s="45">
        <v>0</v>
      </c>
      <c r="S124" s="46">
        <v>0</v>
      </c>
      <c r="T124" s="39">
        <f t="shared" si="38"/>
        <v>45</v>
      </c>
      <c r="U124" s="47">
        <f t="shared" si="39"/>
        <v>0.11548632222065072</v>
      </c>
      <c r="V124" s="48">
        <f t="shared" si="40"/>
        <v>0</v>
      </c>
      <c r="W124" s="49">
        <f t="shared" si="41"/>
        <v>2.5663627160144604E-3</v>
      </c>
      <c r="X124" s="44">
        <f t="shared" si="42"/>
        <v>682.16079302708567</v>
      </c>
      <c r="Y124" s="44">
        <f t="shared" si="43"/>
        <v>0</v>
      </c>
      <c r="Z124" s="44">
        <f t="shared" si="44"/>
        <v>18285.859994014529</v>
      </c>
      <c r="AA124" s="522">
        <f t="shared" si="37"/>
        <v>27978.793887846812</v>
      </c>
      <c r="AB124" s="51">
        <f t="shared" si="45"/>
        <v>17094.381596722938</v>
      </c>
      <c r="AC124" s="44">
        <f t="shared" si="46"/>
        <v>26155.738887395353</v>
      </c>
      <c r="AD124" s="44">
        <f t="shared" si="47"/>
        <v>0</v>
      </c>
      <c r="AE124" s="44">
        <f t="shared" si="48"/>
        <v>0</v>
      </c>
      <c r="AF124" s="52">
        <f>HLOOKUP(I124,ElecAvoidedCostsWOCC!$A$5:$Q$50,G124+1,FALSE)</f>
        <v>3.4276422079642828</v>
      </c>
      <c r="AG124" s="44">
        <f t="shared" si="49"/>
        <v>20301.51348070749</v>
      </c>
      <c r="AH124" s="52">
        <f>HLOOKUP(I124,ElecAvoidedCostsWOCC!$A$5:$Q$50,T124+1,FALSE)</f>
        <v>3.4276422079642828</v>
      </c>
      <c r="AI124" s="44">
        <f t="shared" si="50"/>
        <v>0</v>
      </c>
      <c r="AJ124" s="44">
        <f t="shared" si="51"/>
        <v>20301.51348070749</v>
      </c>
      <c r="AK124" s="44">
        <f>HLOOKUP(I124,ElecAvoidedCostsWOCC!$A$5:$Q$50,G124+1,FALSE)*J124*L124</f>
        <v>0</v>
      </c>
      <c r="AL124" s="44">
        <f t="shared" si="52"/>
        <v>20301.51348070749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20301.51348070749</v>
      </c>
      <c r="AN124" s="48">
        <f t="shared" si="53"/>
        <v>22331.664828778241</v>
      </c>
      <c r="AO124" s="47">
        <f t="shared" si="54"/>
        <v>1.1876132146599192</v>
      </c>
      <c r="AP124" s="47">
        <f t="shared" si="55"/>
        <v>0.85379598431226267</v>
      </c>
      <c r="AQ124">
        <v>2021</v>
      </c>
    </row>
    <row r="125" spans="2:43">
      <c r="B125" s="97" t="s">
        <v>74</v>
      </c>
      <c r="C125" s="100">
        <v>18230611</v>
      </c>
      <c r="D125" s="100" t="s">
        <v>75</v>
      </c>
      <c r="E125" s="38" t="s">
        <v>1521</v>
      </c>
      <c r="F125" s="39" t="s">
        <v>1522</v>
      </c>
      <c r="G125" s="39">
        <v>25</v>
      </c>
      <c r="H125" s="39"/>
      <c r="I125" s="40" t="s">
        <v>269</v>
      </c>
      <c r="J125" s="41">
        <v>-383</v>
      </c>
      <c r="K125" s="41">
        <v>0.33</v>
      </c>
      <c r="L125" s="41"/>
      <c r="M125" s="42">
        <v>2.0299999999999998</v>
      </c>
      <c r="N125" s="42">
        <v>2.0299999999999998</v>
      </c>
      <c r="O125" s="43">
        <v>-126.39</v>
      </c>
      <c r="P125" s="44">
        <v>-1228.57</v>
      </c>
      <c r="Q125" s="44">
        <v>-1228.57</v>
      </c>
      <c r="R125" s="45">
        <v>0</v>
      </c>
      <c r="S125" s="46">
        <v>0</v>
      </c>
      <c r="T125" s="39">
        <f t="shared" si="38"/>
        <v>25</v>
      </c>
      <c r="U125" s="47">
        <f t="shared" si="39"/>
        <v>-1.3691083715906267E-3</v>
      </c>
      <c r="V125" s="48">
        <f t="shared" si="40"/>
        <v>0</v>
      </c>
      <c r="W125" s="49">
        <f t="shared" si="41"/>
        <v>-5.4764334863625069E-5</v>
      </c>
      <c r="X125" s="44">
        <f t="shared" si="42"/>
        <v>-14.556820774807754</v>
      </c>
      <c r="Y125" s="44">
        <f t="shared" si="43"/>
        <v>0</v>
      </c>
      <c r="Z125" s="44">
        <f t="shared" si="44"/>
        <v>-390.20710273439539</v>
      </c>
      <c r="AA125" s="522">
        <f t="shared" si="37"/>
        <v>-1281.842440745191</v>
      </c>
      <c r="AB125" s="51">
        <f t="shared" si="45"/>
        <v>-364.78181053977318</v>
      </c>
      <c r="AC125" s="44">
        <f t="shared" si="46"/>
        <v>-1198.3195669301588</v>
      </c>
      <c r="AD125" s="44">
        <f t="shared" si="47"/>
        <v>0</v>
      </c>
      <c r="AE125" s="44">
        <f t="shared" si="48"/>
        <v>0</v>
      </c>
      <c r="AF125" s="52">
        <f>HLOOKUP(I125,ElecAvoidedCostsWOCC!$A$5:$Q$50,G125+1,FALSE)</f>
        <v>2.0508206305871441</v>
      </c>
      <c r="AG125" s="44">
        <f t="shared" si="49"/>
        <v>-259.20321949990915</v>
      </c>
      <c r="AH125" s="52">
        <f>HLOOKUP(I125,ElecAvoidedCostsWOCC!$A$5:$Q$50,T125+1,FALSE)</f>
        <v>2.0508206305871441</v>
      </c>
      <c r="AI125" s="44">
        <f t="shared" si="50"/>
        <v>0</v>
      </c>
      <c r="AJ125" s="44">
        <f t="shared" si="51"/>
        <v>-259.20321949990915</v>
      </c>
      <c r="AK125" s="44">
        <f>HLOOKUP(I125,ElecAvoidedCostsWOCC!$A$5:$Q$50,G125+1,FALSE)*J125*L125</f>
        <v>0</v>
      </c>
      <c r="AL125" s="44">
        <f t="shared" si="52"/>
        <v>-259.20321949990915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-259.20321949990915</v>
      </c>
      <c r="AN125" s="48">
        <f t="shared" si="53"/>
        <v>-285.12354144990007</v>
      </c>
      <c r="AO125" s="47">
        <f t="shared" si="54"/>
        <v>0.71057057125837009</v>
      </c>
      <c r="AP125" s="47">
        <f t="shared" si="55"/>
        <v>0.23793614768414928</v>
      </c>
      <c r="AQ125">
        <v>2021</v>
      </c>
    </row>
    <row r="126" spans="2:43">
      <c r="B126" s="97" t="s">
        <v>74</v>
      </c>
      <c r="C126" s="100">
        <v>18230611</v>
      </c>
      <c r="D126" s="100" t="s">
        <v>75</v>
      </c>
      <c r="E126" s="38" t="s">
        <v>1523</v>
      </c>
      <c r="F126" s="39" t="s">
        <v>1522</v>
      </c>
      <c r="G126" s="39">
        <v>25</v>
      </c>
      <c r="H126" s="39"/>
      <c r="I126" s="40" t="s">
        <v>269</v>
      </c>
      <c r="J126" s="41">
        <v>14362</v>
      </c>
      <c r="K126" s="41">
        <v>0.92</v>
      </c>
      <c r="L126" s="41"/>
      <c r="M126" s="42">
        <v>2.0299999999999998</v>
      </c>
      <c r="N126" s="42">
        <v>2.0299999999999998</v>
      </c>
      <c r="O126" s="43">
        <v>13213.04</v>
      </c>
      <c r="P126" s="44">
        <v>36086.21</v>
      </c>
      <c r="Q126" s="44">
        <v>36086.21</v>
      </c>
      <c r="R126" s="45">
        <v>0</v>
      </c>
      <c r="S126" s="46">
        <v>0</v>
      </c>
      <c r="T126" s="39">
        <f t="shared" si="38"/>
        <v>25</v>
      </c>
      <c r="U126" s="47">
        <f t="shared" si="39"/>
        <v>0.14312907412106823</v>
      </c>
      <c r="V126" s="48">
        <f t="shared" si="40"/>
        <v>0</v>
      </c>
      <c r="W126" s="49">
        <f t="shared" si="41"/>
        <v>5.7251629648427298E-3</v>
      </c>
      <c r="X126" s="44">
        <f t="shared" si="42"/>
        <v>1521.7964646757328</v>
      </c>
      <c r="Y126" s="44">
        <f t="shared" si="43"/>
        <v>0</v>
      </c>
      <c r="Z126" s="44">
        <f t="shared" si="44"/>
        <v>40792.95875238291</v>
      </c>
      <c r="AA126" s="522">
        <f t="shared" si="37"/>
        <v>38745.182199498697</v>
      </c>
      <c r="AB126" s="51">
        <f t="shared" si="45"/>
        <v>38134.952559019264</v>
      </c>
      <c r="AC126" s="44">
        <f t="shared" si="46"/>
        <v>36220.60596382041</v>
      </c>
      <c r="AD126" s="44">
        <f t="shared" si="47"/>
        <v>0</v>
      </c>
      <c r="AE126" s="44">
        <f t="shared" si="48"/>
        <v>0</v>
      </c>
      <c r="AF126" s="52">
        <f>HLOOKUP(I126,ElecAvoidedCostsWOCC!$A$5:$Q$50,G126+1,FALSE)</f>
        <v>2.0508206305871441</v>
      </c>
      <c r="AG126" s="44">
        <f t="shared" si="49"/>
        <v>27097.575024773159</v>
      </c>
      <c r="AH126" s="52">
        <f>HLOOKUP(I126,ElecAvoidedCostsWOCC!$A$5:$Q$50,T126+1,FALSE)</f>
        <v>2.0508206305871441</v>
      </c>
      <c r="AI126" s="44">
        <f t="shared" si="50"/>
        <v>0</v>
      </c>
      <c r="AJ126" s="44">
        <f t="shared" si="51"/>
        <v>27097.575024773159</v>
      </c>
      <c r="AK126" s="44">
        <f>HLOOKUP(I126,ElecAvoidedCostsWOCC!$A$5:$Q$50,G126+1,FALSE)*J126*L126</f>
        <v>0</v>
      </c>
      <c r="AL126" s="44">
        <f t="shared" si="52"/>
        <v>27097.575024773159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27097.575024773159</v>
      </c>
      <c r="AN126" s="48">
        <f t="shared" si="53"/>
        <v>29807.332527250477</v>
      </c>
      <c r="AO126" s="47">
        <f t="shared" si="54"/>
        <v>0.71057057125837009</v>
      </c>
      <c r="AP126" s="47">
        <f t="shared" si="55"/>
        <v>0.82293853827360197</v>
      </c>
      <c r="AQ126">
        <v>2021</v>
      </c>
    </row>
    <row r="127" spans="2:43">
      <c r="B127" s="97" t="s">
        <v>74</v>
      </c>
      <c r="C127" s="100">
        <v>18230611</v>
      </c>
      <c r="D127" s="100" t="s">
        <v>75</v>
      </c>
      <c r="E127" s="38" t="s">
        <v>1526</v>
      </c>
      <c r="F127" s="39" t="s">
        <v>1527</v>
      </c>
      <c r="G127" s="39">
        <v>45</v>
      </c>
      <c r="H127" s="39"/>
      <c r="I127" s="40" t="s">
        <v>269</v>
      </c>
      <c r="J127" s="41">
        <v>3293</v>
      </c>
      <c r="K127" s="41">
        <v>1.35</v>
      </c>
      <c r="L127" s="41"/>
      <c r="M127" s="42">
        <v>2.4300000000000002</v>
      </c>
      <c r="N127" s="42">
        <v>2.4300000000000002</v>
      </c>
      <c r="O127" s="43">
        <v>4445.55</v>
      </c>
      <c r="P127" s="44">
        <v>11767.55</v>
      </c>
      <c r="Q127" s="44">
        <v>11767.55</v>
      </c>
      <c r="R127" s="45">
        <v>0</v>
      </c>
      <c r="S127" s="46">
        <v>0</v>
      </c>
      <c r="T127" s="39">
        <f t="shared" si="38"/>
        <v>45</v>
      </c>
      <c r="U127" s="47">
        <f t="shared" si="39"/>
        <v>8.668084103476921E-2</v>
      </c>
      <c r="V127" s="48">
        <f t="shared" si="40"/>
        <v>0</v>
      </c>
      <c r="W127" s="49">
        <f t="shared" si="41"/>
        <v>1.9262409118837602E-3</v>
      </c>
      <c r="X127" s="44">
        <f t="shared" si="42"/>
        <v>512.01103406477273</v>
      </c>
      <c r="Y127" s="44">
        <f t="shared" si="43"/>
        <v>0</v>
      </c>
      <c r="Z127" s="44">
        <f t="shared" si="44"/>
        <v>13724.861029835365</v>
      </c>
      <c r="AA127" s="522">
        <f t="shared" si="37"/>
        <v>12650.388902059665</v>
      </c>
      <c r="AB127" s="51">
        <f t="shared" si="45"/>
        <v>12830.570281233397</v>
      </c>
      <c r="AC127" s="44">
        <f t="shared" si="46"/>
        <v>11826.109097933686</v>
      </c>
      <c r="AD127" s="44">
        <f t="shared" si="47"/>
        <v>0</v>
      </c>
      <c r="AE127" s="44">
        <f t="shared" si="48"/>
        <v>0</v>
      </c>
      <c r="AF127" s="52">
        <f>HLOOKUP(I127,ElecAvoidedCostsWOCC!$A$5:$Q$50,G127+1,FALSE)</f>
        <v>3.4276422079642828</v>
      </c>
      <c r="AG127" s="44">
        <f t="shared" si="49"/>
        <v>15237.75481761562</v>
      </c>
      <c r="AH127" s="52">
        <f>HLOOKUP(I127,ElecAvoidedCostsWOCC!$A$5:$Q$50,T127+1,FALSE)</f>
        <v>3.4276422079642828</v>
      </c>
      <c r="AI127" s="44">
        <f t="shared" si="50"/>
        <v>0</v>
      </c>
      <c r="AJ127" s="44">
        <f t="shared" si="51"/>
        <v>15237.75481761562</v>
      </c>
      <c r="AK127" s="44">
        <f>HLOOKUP(I127,ElecAvoidedCostsWOCC!$A$5:$Q$50,G127+1,FALSE)*J127*L127</f>
        <v>0</v>
      </c>
      <c r="AL127" s="44">
        <f t="shared" si="52"/>
        <v>15237.75481761562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15237.75481761562</v>
      </c>
      <c r="AN127" s="48">
        <f t="shared" si="53"/>
        <v>16761.530299377184</v>
      </c>
      <c r="AO127" s="47">
        <f t="shared" si="54"/>
        <v>1.1876132146599194</v>
      </c>
      <c r="AP127" s="47">
        <f t="shared" si="55"/>
        <v>1.417332629064435</v>
      </c>
      <c r="AQ127">
        <v>2021</v>
      </c>
    </row>
    <row r="128" spans="2:43">
      <c r="B128" s="97" t="s">
        <v>74</v>
      </c>
      <c r="C128" s="100">
        <v>18230611</v>
      </c>
      <c r="D128" s="100" t="s">
        <v>75</v>
      </c>
      <c r="E128" s="38" t="s">
        <v>1530</v>
      </c>
      <c r="F128" s="39" t="s">
        <v>1531</v>
      </c>
      <c r="G128" s="39">
        <v>45</v>
      </c>
      <c r="H128" s="39"/>
      <c r="I128" s="40" t="s">
        <v>269</v>
      </c>
      <c r="J128" s="41">
        <v>5472</v>
      </c>
      <c r="K128" s="41">
        <v>0.36</v>
      </c>
      <c r="L128" s="41"/>
      <c r="M128" s="42">
        <v>1.59</v>
      </c>
      <c r="N128" s="42">
        <v>1.59</v>
      </c>
      <c r="O128" s="43">
        <v>1969.92</v>
      </c>
      <c r="P128" s="44">
        <v>14191.42</v>
      </c>
      <c r="Q128" s="44">
        <v>14191.42</v>
      </c>
      <c r="R128" s="45">
        <v>0</v>
      </c>
      <c r="S128" s="46">
        <v>0</v>
      </c>
      <c r="T128" s="39">
        <f t="shared" si="38"/>
        <v>45</v>
      </c>
      <c r="U128" s="47">
        <f t="shared" si="39"/>
        <v>3.8410168004231769E-2</v>
      </c>
      <c r="V128" s="48">
        <f t="shared" si="40"/>
        <v>0</v>
      </c>
      <c r="W128" s="49">
        <f t="shared" si="41"/>
        <v>8.5355928898292824E-4</v>
      </c>
      <c r="X128" s="44">
        <f t="shared" si="42"/>
        <v>226.88323744528279</v>
      </c>
      <c r="Y128" s="44">
        <f t="shared" si="43"/>
        <v>0</v>
      </c>
      <c r="Z128" s="44">
        <f t="shared" si="44"/>
        <v>6081.7847600169334</v>
      </c>
      <c r="AA128" s="522">
        <f t="shared" si="37"/>
        <v>14865.513916169411</v>
      </c>
      <c r="AB128" s="51">
        <f t="shared" si="45"/>
        <v>5685.5050575085843</v>
      </c>
      <c r="AC128" s="44">
        <f t="shared" si="46"/>
        <v>13896.89998707059</v>
      </c>
      <c r="AD128" s="44">
        <f t="shared" si="47"/>
        <v>0</v>
      </c>
      <c r="AE128" s="44">
        <f t="shared" si="48"/>
        <v>0</v>
      </c>
      <c r="AF128" s="52">
        <f>HLOOKUP(I128,ElecAvoidedCostsWOCC!$A$5:$Q$50,G128+1,FALSE)</f>
        <v>3.4276422079642828</v>
      </c>
      <c r="AG128" s="44">
        <f t="shared" si="49"/>
        <v>6752.1809383130003</v>
      </c>
      <c r="AH128" s="52">
        <f>HLOOKUP(I128,ElecAvoidedCostsWOCC!$A$5:$Q$50,T128+1,FALSE)</f>
        <v>3.4276422079642828</v>
      </c>
      <c r="AI128" s="44">
        <f t="shared" si="50"/>
        <v>0</v>
      </c>
      <c r="AJ128" s="44">
        <f t="shared" si="51"/>
        <v>6752.1809383130003</v>
      </c>
      <c r="AK128" s="44">
        <f>HLOOKUP(I128,ElecAvoidedCostsWOCC!$A$5:$Q$50,G128+1,FALSE)*J128*L128</f>
        <v>0</v>
      </c>
      <c r="AL128" s="44">
        <f t="shared" si="52"/>
        <v>6752.1809383130003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6752.1809383129994</v>
      </c>
      <c r="AN128" s="48">
        <f t="shared" si="53"/>
        <v>7427.3990321442998</v>
      </c>
      <c r="AO128" s="47">
        <f t="shared" si="54"/>
        <v>1.1876132146599194</v>
      </c>
      <c r="AP128" s="47">
        <f t="shared" si="55"/>
        <v>0.53446445171618195</v>
      </c>
      <c r="AQ128">
        <v>2021</v>
      </c>
    </row>
    <row r="129" spans="2:43">
      <c r="B129" s="97" t="s">
        <v>74</v>
      </c>
      <c r="C129" s="100">
        <v>18230611</v>
      </c>
      <c r="D129" s="100" t="s">
        <v>75</v>
      </c>
      <c r="E129" s="38" t="s">
        <v>1534</v>
      </c>
      <c r="F129" s="39" t="s">
        <v>1535</v>
      </c>
      <c r="G129" s="39">
        <v>45</v>
      </c>
      <c r="H129" s="39"/>
      <c r="I129" s="40" t="s">
        <v>269</v>
      </c>
      <c r="J129" s="41">
        <v>8333</v>
      </c>
      <c r="K129" s="41">
        <v>0.17</v>
      </c>
      <c r="L129" s="41"/>
      <c r="M129" s="42">
        <v>1.29</v>
      </c>
      <c r="N129" s="42">
        <v>1.29</v>
      </c>
      <c r="O129" s="43">
        <v>1416.61</v>
      </c>
      <c r="P129" s="44">
        <v>16678.61</v>
      </c>
      <c r="Q129" s="44">
        <v>16678.61</v>
      </c>
      <c r="R129" s="45">
        <v>0</v>
      </c>
      <c r="S129" s="46">
        <v>0</v>
      </c>
      <c r="T129" s="39">
        <f t="shared" si="38"/>
        <v>45</v>
      </c>
      <c r="U129" s="47">
        <f t="shared" si="39"/>
        <v>2.7621542040526911E-2</v>
      </c>
      <c r="V129" s="48">
        <f t="shared" si="40"/>
        <v>0</v>
      </c>
      <c r="W129" s="49">
        <f t="shared" si="41"/>
        <v>6.1381204534504243E-4</v>
      </c>
      <c r="X129" s="44">
        <f t="shared" si="42"/>
        <v>163.15640381201371</v>
      </c>
      <c r="Y129" s="44">
        <f t="shared" si="43"/>
        <v>0</v>
      </c>
      <c r="Z129" s="44">
        <f t="shared" si="44"/>
        <v>4373.5365440665555</v>
      </c>
      <c r="AA129" s="522">
        <f t="shared" si="37"/>
        <v>17367.355280631597</v>
      </c>
      <c r="AB129" s="51">
        <f t="shared" si="45"/>
        <v>4088.56365716234</v>
      </c>
      <c r="AC129" s="44">
        <f t="shared" si="46"/>
        <v>16235.725231963723</v>
      </c>
      <c r="AD129" s="44">
        <f t="shared" si="47"/>
        <v>0</v>
      </c>
      <c r="AE129" s="44">
        <f t="shared" si="48"/>
        <v>0</v>
      </c>
      <c r="AF129" s="52">
        <f>HLOOKUP(I129,ElecAvoidedCostsWOCC!$A$5:$Q$50,G129+1,FALSE)</f>
        <v>3.4276422079642828</v>
      </c>
      <c r="AG129" s="44">
        <f t="shared" si="49"/>
        <v>4855.6322282242827</v>
      </c>
      <c r="AH129" s="52">
        <f>HLOOKUP(I129,ElecAvoidedCostsWOCC!$A$5:$Q$50,T129+1,FALSE)</f>
        <v>3.4276422079642828</v>
      </c>
      <c r="AI129" s="44">
        <f t="shared" si="50"/>
        <v>0</v>
      </c>
      <c r="AJ129" s="44">
        <f t="shared" si="51"/>
        <v>4855.6322282242827</v>
      </c>
      <c r="AK129" s="44">
        <f>HLOOKUP(I129,ElecAvoidedCostsWOCC!$A$5:$Q$50,G129+1,FALSE)*J129*L129</f>
        <v>0</v>
      </c>
      <c r="AL129" s="44">
        <f t="shared" si="52"/>
        <v>4855.6322282242827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4855.6322282242827</v>
      </c>
      <c r="AN129" s="48">
        <f t="shared" si="53"/>
        <v>5341.1954510467112</v>
      </c>
      <c r="AO129" s="47">
        <f t="shared" si="54"/>
        <v>1.1876132146599192</v>
      </c>
      <c r="AP129" s="47">
        <f t="shared" si="55"/>
        <v>0.32897794060540958</v>
      </c>
      <c r="AQ129">
        <v>2021</v>
      </c>
    </row>
    <row r="130" spans="2:43">
      <c r="B130" s="97" t="s">
        <v>74</v>
      </c>
      <c r="C130" s="100">
        <v>18230611</v>
      </c>
      <c r="D130" s="100" t="s">
        <v>75</v>
      </c>
      <c r="E130" s="38" t="s">
        <v>1536</v>
      </c>
      <c r="F130" s="39" t="s">
        <v>1537</v>
      </c>
      <c r="G130" s="39"/>
      <c r="H130" s="39"/>
      <c r="I130" s="40"/>
      <c r="J130" s="41">
        <v>404</v>
      </c>
      <c r="K130" s="41">
        <v>0</v>
      </c>
      <c r="L130" s="41"/>
      <c r="M130" s="42">
        <v>15.288019801980198</v>
      </c>
      <c r="N130" s="42">
        <v>15.288019801980198</v>
      </c>
      <c r="O130" s="43">
        <v>0</v>
      </c>
      <c r="P130" s="44">
        <v>6176.36</v>
      </c>
      <c r="Q130" s="44">
        <v>6176.36</v>
      </c>
      <c r="R130" s="45">
        <v>0</v>
      </c>
      <c r="S130" s="46">
        <v>0</v>
      </c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22">
        <f t="shared" si="37"/>
        <v>6370.9940921235893</v>
      </c>
      <c r="AB130" s="51">
        <f t="shared" si="45"/>
        <v>0</v>
      </c>
      <c r="AC130" s="44">
        <f t="shared" si="46"/>
        <v>5955.8699561779831</v>
      </c>
      <c r="AD130" s="44">
        <f t="shared" si="47"/>
        <v>0</v>
      </c>
      <c r="AE130" s="44">
        <f t="shared" si="48"/>
        <v>0</v>
      </c>
      <c r="AF130" s="52" t="e">
        <f>HLOOKUP(I130,ElecAvoidedCostsWOCC!$A$5:$Q$50,G130+1,FALSE)</f>
        <v>#N/A</v>
      </c>
      <c r="AG130" s="44" t="e">
        <f t="shared" si="49"/>
        <v>#N/A</v>
      </c>
      <c r="AH130" s="52" t="e">
        <f>HLOOKUP(I130,ElecAvoidedCostsWOCC!$A$5:$Q$50,T130+1,FALSE)</f>
        <v>#N/A</v>
      </c>
      <c r="AI130" s="44" t="e">
        <f t="shared" si="50"/>
        <v>#N/A</v>
      </c>
      <c r="AJ130" s="44" t="e">
        <f t="shared" si="51"/>
        <v>#N/A</v>
      </c>
      <c r="AK130" s="44" t="e">
        <f>HLOOKUP(I130,ElecAvoidedCostsWOCC!$A$5:$Q$50,G130+1,FALSE)*J130*L130</f>
        <v>#N/A</v>
      </c>
      <c r="AL130" s="44" t="e">
        <f t="shared" si="52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3"/>
        <v>0</v>
      </c>
      <c r="AO130" s="47">
        <f t="shared" si="54"/>
        <v>0</v>
      </c>
      <c r="AP130" s="47">
        <f t="shared" si="55"/>
        <v>0</v>
      </c>
      <c r="AQ130">
        <v>2021</v>
      </c>
    </row>
    <row r="131" spans="2:43">
      <c r="B131" s="97" t="s">
        <v>74</v>
      </c>
      <c r="C131" s="100">
        <v>18230611</v>
      </c>
      <c r="D131" s="100" t="s">
        <v>75</v>
      </c>
      <c r="E131" s="38" t="s">
        <v>1538</v>
      </c>
      <c r="F131" s="39" t="s">
        <v>1539</v>
      </c>
      <c r="G131" s="39"/>
      <c r="H131" s="39"/>
      <c r="I131" s="40"/>
      <c r="J131" s="41">
        <v>387</v>
      </c>
      <c r="K131" s="41">
        <v>0</v>
      </c>
      <c r="L131" s="41"/>
      <c r="M131" s="42">
        <v>14.944263565891474</v>
      </c>
      <c r="N131" s="42">
        <v>14.944263565891474</v>
      </c>
      <c r="O131" s="43">
        <v>0</v>
      </c>
      <c r="P131" s="44">
        <v>5783.43</v>
      </c>
      <c r="Q131" s="44">
        <v>5783.43</v>
      </c>
      <c r="R131" s="45">
        <v>0</v>
      </c>
      <c r="S131" s="46">
        <v>0</v>
      </c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22">
        <f t="shared" si="37"/>
        <v>5965.6817870412888</v>
      </c>
      <c r="AB131" s="51">
        <f t="shared" si="45"/>
        <v>0</v>
      </c>
      <c r="AC131" s="44">
        <f t="shared" si="46"/>
        <v>5576.967174947451</v>
      </c>
      <c r="AD131" s="44">
        <f t="shared" si="47"/>
        <v>0</v>
      </c>
      <c r="AE131" s="44">
        <f t="shared" si="48"/>
        <v>0</v>
      </c>
      <c r="AF131" s="52" t="e">
        <f>HLOOKUP(I131,ElecAvoidedCostsWOCC!$A$5:$Q$50,G131+1,FALSE)</f>
        <v>#N/A</v>
      </c>
      <c r="AG131" s="44" t="e">
        <f t="shared" si="49"/>
        <v>#N/A</v>
      </c>
      <c r="AH131" s="52" t="e">
        <f>HLOOKUP(I131,ElecAvoidedCostsWOCC!$A$5:$Q$50,T131+1,FALSE)</f>
        <v>#N/A</v>
      </c>
      <c r="AI131" s="44" t="e">
        <f t="shared" si="50"/>
        <v>#N/A</v>
      </c>
      <c r="AJ131" s="44" t="e">
        <f t="shared" si="51"/>
        <v>#N/A</v>
      </c>
      <c r="AK131" s="44" t="e">
        <f>HLOOKUP(I131,ElecAvoidedCostsWOCC!$A$5:$Q$50,G131+1,FALSE)*J131*L131</f>
        <v>#N/A</v>
      </c>
      <c r="AL131" s="44" t="e">
        <f t="shared" si="52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3"/>
        <v>0</v>
      </c>
      <c r="AO131" s="47">
        <f t="shared" si="54"/>
        <v>0</v>
      </c>
      <c r="AP131" s="47">
        <f t="shared" si="55"/>
        <v>0</v>
      </c>
      <c r="AQ131">
        <v>2021</v>
      </c>
    </row>
    <row r="132" spans="2:43">
      <c r="B132" s="97" t="s">
        <v>74</v>
      </c>
      <c r="C132" s="100">
        <v>18230611</v>
      </c>
      <c r="D132" s="100" t="s">
        <v>75</v>
      </c>
      <c r="E132" s="38" t="s">
        <v>1540</v>
      </c>
      <c r="F132" s="39" t="s">
        <v>1541</v>
      </c>
      <c r="G132" s="39"/>
      <c r="H132" s="39"/>
      <c r="I132" s="40" t="s">
        <v>269</v>
      </c>
      <c r="J132" s="41">
        <v>1</v>
      </c>
      <c r="K132" s="41">
        <v>0</v>
      </c>
      <c r="L132" s="41"/>
      <c r="M132" s="42">
        <v>44.11</v>
      </c>
      <c r="N132" s="42">
        <v>44.11</v>
      </c>
      <c r="O132" s="43">
        <v>0</v>
      </c>
      <c r="P132" s="44">
        <v>44.11</v>
      </c>
      <c r="Q132" s="44">
        <v>44.11</v>
      </c>
      <c r="R132" s="45">
        <v>0</v>
      </c>
      <c r="S132" s="46">
        <v>0</v>
      </c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22">
        <f t="shared" si="37"/>
        <v>45.500027427736001</v>
      </c>
      <c r="AB132" s="51">
        <f t="shared" si="45"/>
        <v>0</v>
      </c>
      <c r="AC132" s="44">
        <f t="shared" si="46"/>
        <v>42.535315908886602</v>
      </c>
      <c r="AD132" s="44">
        <f t="shared" si="47"/>
        <v>0</v>
      </c>
      <c r="AE132" s="44">
        <f t="shared" si="48"/>
        <v>0</v>
      </c>
      <c r="AF132" s="52" t="str">
        <f>HLOOKUP(I132,ElecAvoidedCostsWOCC!$A$5:$Q$50,G132+1,FALSE)</f>
        <v>SF Space Heat</v>
      </c>
      <c r="AG132" s="44" t="e">
        <f t="shared" si="49"/>
        <v>#VALUE!</v>
      </c>
      <c r="AH132" s="52" t="str">
        <f>HLOOKUP(I132,ElecAvoidedCostsWOCC!$A$5:$Q$50,T132+1,FALSE)</f>
        <v>SF Space Heat</v>
      </c>
      <c r="AI132" s="44" t="e">
        <f t="shared" si="50"/>
        <v>#VALUE!</v>
      </c>
      <c r="AJ132" s="44" t="e">
        <f t="shared" si="51"/>
        <v>#VALUE!</v>
      </c>
      <c r="AK132" s="44" t="e">
        <f>HLOOKUP(I132,ElecAvoidedCostsWOCC!$A$5:$Q$50,G132+1,FALSE)*J132*L132</f>
        <v>#VALUE!</v>
      </c>
      <c r="AL132" s="44" t="e">
        <f t="shared" si="52"/>
        <v>#VALUE!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3"/>
        <v>0</v>
      </c>
      <c r="AO132" s="47">
        <f t="shared" si="54"/>
        <v>0</v>
      </c>
      <c r="AP132" s="47">
        <f t="shared" si="55"/>
        <v>0</v>
      </c>
      <c r="AQ132">
        <v>2021</v>
      </c>
    </row>
    <row r="133" spans="2:43">
      <c r="B133" s="97" t="s">
        <v>74</v>
      </c>
      <c r="C133" s="100">
        <v>18230611</v>
      </c>
      <c r="D133" s="100" t="s">
        <v>75</v>
      </c>
      <c r="E133" s="38" t="s">
        <v>1542</v>
      </c>
      <c r="F133" s="39" t="s">
        <v>1543</v>
      </c>
      <c r="G133" s="39"/>
      <c r="H133" s="39"/>
      <c r="I133" s="40" t="s">
        <v>269</v>
      </c>
      <c r="J133" s="41">
        <v>7</v>
      </c>
      <c r="K133" s="41">
        <v>0</v>
      </c>
      <c r="L133" s="41"/>
      <c r="M133" s="42">
        <v>113.33142857142857</v>
      </c>
      <c r="N133" s="42">
        <v>113.33142857142857</v>
      </c>
      <c r="O133" s="43">
        <v>0</v>
      </c>
      <c r="P133" s="44">
        <v>793.32</v>
      </c>
      <c r="Q133" s="44">
        <v>793.32</v>
      </c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22">
        <f t="shared" si="37"/>
        <v>818.31969528387049</v>
      </c>
      <c r="AB133" s="51">
        <f t="shared" si="45"/>
        <v>0</v>
      </c>
      <c r="AC133" s="44">
        <f t="shared" si="46"/>
        <v>764.99924771793064</v>
      </c>
      <c r="AD133" s="44">
        <f t="shared" si="47"/>
        <v>0</v>
      </c>
      <c r="AE133" s="44">
        <f t="shared" si="48"/>
        <v>0</v>
      </c>
      <c r="AF133" s="52" t="str">
        <f>HLOOKUP(I133,ElecAvoidedCostsWOCC!$A$5:$Q$50,G133+1,FALSE)</f>
        <v>SF Space Heat</v>
      </c>
      <c r="AG133" s="44" t="e">
        <f t="shared" si="49"/>
        <v>#VALUE!</v>
      </c>
      <c r="AH133" s="52" t="str">
        <f>HLOOKUP(I133,ElecAvoidedCostsWOCC!$A$5:$Q$50,T133+1,FALSE)</f>
        <v>SF Space Heat</v>
      </c>
      <c r="AI133" s="44" t="e">
        <f t="shared" si="50"/>
        <v>#VALUE!</v>
      </c>
      <c r="AJ133" s="44" t="e">
        <f t="shared" si="51"/>
        <v>#VALUE!</v>
      </c>
      <c r="AK133" s="44" t="e">
        <f>HLOOKUP(I133,ElecAvoidedCostsWOCC!$A$5:$Q$50,G133+1,FALSE)*J133*L133</f>
        <v>#VALUE!</v>
      </c>
      <c r="AL133" s="44" t="e">
        <f t="shared" si="52"/>
        <v>#VALUE!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3"/>
        <v>0</v>
      </c>
      <c r="AO133" s="47">
        <f t="shared" si="54"/>
        <v>0</v>
      </c>
      <c r="AP133" s="47">
        <f t="shared" si="55"/>
        <v>0</v>
      </c>
      <c r="AQ133">
        <v>2021</v>
      </c>
    </row>
    <row r="134" spans="2:43">
      <c r="B134" s="97" t="s">
        <v>74</v>
      </c>
      <c r="C134" s="100">
        <v>18230611</v>
      </c>
      <c r="D134" s="100" t="s">
        <v>75</v>
      </c>
      <c r="E134" s="38" t="s">
        <v>1544</v>
      </c>
      <c r="F134" s="39" t="s">
        <v>1545</v>
      </c>
      <c r="G134" s="39"/>
      <c r="H134" s="39"/>
      <c r="I134" s="40" t="s">
        <v>269</v>
      </c>
      <c r="J134" s="41">
        <v>13</v>
      </c>
      <c r="K134" s="41">
        <v>0</v>
      </c>
      <c r="L134" s="41"/>
      <c r="M134" s="42">
        <v>123.79230769230769</v>
      </c>
      <c r="N134" s="42">
        <v>123.79230769230769</v>
      </c>
      <c r="O134" s="43">
        <v>0</v>
      </c>
      <c r="P134" s="44">
        <v>1609.3</v>
      </c>
      <c r="Q134" s="44">
        <v>1609.3</v>
      </c>
      <c r="R134" s="45"/>
      <c r="S134" s="46"/>
      <c r="T134" s="39">
        <f t="shared" si="38"/>
        <v>0</v>
      </c>
      <c r="U134" s="47">
        <f t="shared" si="39"/>
        <v>0</v>
      </c>
      <c r="V134" s="48">
        <f t="shared" si="40"/>
        <v>0</v>
      </c>
      <c r="W134" s="49">
        <f t="shared" si="41"/>
        <v>0</v>
      </c>
      <c r="X134" s="44">
        <f t="shared" si="42"/>
        <v>0</v>
      </c>
      <c r="Y134" s="44">
        <f t="shared" si="43"/>
        <v>0</v>
      </c>
      <c r="Z134" s="44">
        <f t="shared" si="44"/>
        <v>0</v>
      </c>
      <c r="AA134" s="522">
        <f t="shared" si="37"/>
        <v>1660.0134694957048</v>
      </c>
      <c r="AB134" s="51">
        <f t="shared" si="45"/>
        <v>0</v>
      </c>
      <c r="AC134" s="44">
        <f t="shared" si="46"/>
        <v>1551.8495554788303</v>
      </c>
      <c r="AD134" s="44">
        <f t="shared" si="47"/>
        <v>0</v>
      </c>
      <c r="AE134" s="44">
        <f t="shared" si="48"/>
        <v>0</v>
      </c>
      <c r="AF134" s="52" t="str">
        <f>HLOOKUP(I134,ElecAvoidedCostsWOCC!$A$5:$Q$50,G134+1,FALSE)</f>
        <v>SF Space Heat</v>
      </c>
      <c r="AG134" s="44" t="e">
        <f t="shared" si="49"/>
        <v>#VALUE!</v>
      </c>
      <c r="AH134" s="52" t="str">
        <f>HLOOKUP(I134,ElecAvoidedCostsWOCC!$A$5:$Q$50,T134+1,FALSE)</f>
        <v>SF Space Heat</v>
      </c>
      <c r="AI134" s="44" t="e">
        <f t="shared" si="50"/>
        <v>#VALUE!</v>
      </c>
      <c r="AJ134" s="44" t="e">
        <f t="shared" si="51"/>
        <v>#VALUE!</v>
      </c>
      <c r="AK134" s="44" t="e">
        <f>HLOOKUP(I134,ElecAvoidedCostsWOCC!$A$5:$Q$50,G134+1,FALSE)*J134*L134</f>
        <v>#VALUE!</v>
      </c>
      <c r="AL134" s="44" t="e">
        <f t="shared" si="52"/>
        <v>#VALUE!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53"/>
        <v>0</v>
      </c>
      <c r="AO134" s="47">
        <f t="shared" si="54"/>
        <v>0</v>
      </c>
      <c r="AP134" s="47">
        <f t="shared" si="55"/>
        <v>0</v>
      </c>
      <c r="AQ134">
        <v>2021</v>
      </c>
    </row>
    <row r="135" spans="2:43">
      <c r="B135" s="97" t="s">
        <v>74</v>
      </c>
      <c r="C135" s="100">
        <v>18230611</v>
      </c>
      <c r="D135" s="100" t="s">
        <v>75</v>
      </c>
      <c r="E135" s="38" t="s">
        <v>1546</v>
      </c>
      <c r="F135" s="39" t="s">
        <v>1547</v>
      </c>
      <c r="G135" s="39">
        <v>45</v>
      </c>
      <c r="H135" s="39"/>
      <c r="I135" s="40" t="s">
        <v>263</v>
      </c>
      <c r="J135" s="41">
        <v>8</v>
      </c>
      <c r="K135" s="41">
        <v>131</v>
      </c>
      <c r="L135" s="41"/>
      <c r="M135" s="42">
        <v>708.1</v>
      </c>
      <c r="N135" s="42">
        <v>708.1</v>
      </c>
      <c r="O135" s="43">
        <v>1048</v>
      </c>
      <c r="P135" s="44">
        <v>10220</v>
      </c>
      <c r="Q135" s="44">
        <v>10220</v>
      </c>
      <c r="R135" s="45">
        <v>0</v>
      </c>
      <c r="S135" s="46">
        <v>0</v>
      </c>
      <c r="T135" s="39">
        <f t="shared" si="38"/>
        <v>45</v>
      </c>
      <c r="U135" s="47">
        <f t="shared" si="39"/>
        <v>2.0434259293999196E-2</v>
      </c>
      <c r="V135" s="48">
        <f t="shared" si="40"/>
        <v>0</v>
      </c>
      <c r="W135" s="49">
        <f t="shared" si="41"/>
        <v>4.5409465097775992E-4</v>
      </c>
      <c r="X135" s="44">
        <f t="shared" si="42"/>
        <v>120.70217716590338</v>
      </c>
      <c r="Y135" s="44">
        <f t="shared" si="43"/>
        <v>0</v>
      </c>
      <c r="Z135" s="44">
        <f t="shared" si="44"/>
        <v>3235.5173958829528</v>
      </c>
      <c r="AA135" s="522">
        <f t="shared" ref="AA135:AA198" si="56">((Q135/A$12)*A$6)+X135</f>
        <v>10662.762488012921</v>
      </c>
      <c r="AB135" s="51">
        <f t="shared" si="45"/>
        <v>3024.6960791651422</v>
      </c>
      <c r="AC135" s="44">
        <f t="shared" si="46"/>
        <v>9967.9933514190143</v>
      </c>
      <c r="AD135" s="44">
        <f t="shared" si="47"/>
        <v>0</v>
      </c>
      <c r="AE135" s="44">
        <f t="shared" si="48"/>
        <v>0</v>
      </c>
      <c r="AF135" s="52">
        <f>HLOOKUP(I135,ElecAvoidedCostsWOCC!$A$5:$Q$50,G135+1,FALSE)</f>
        <v>2.4586883970162168</v>
      </c>
      <c r="AG135" s="44">
        <f t="shared" si="49"/>
        <v>2576.7054400729953</v>
      </c>
      <c r="AH135" s="52">
        <f>HLOOKUP(I135,ElecAvoidedCostsWOCC!$A$5:$Q$50,T135+1,FALSE)</f>
        <v>2.4586883970162168</v>
      </c>
      <c r="AI135" s="44">
        <f t="shared" si="50"/>
        <v>0</v>
      </c>
      <c r="AJ135" s="44">
        <f t="shared" si="51"/>
        <v>2576.7054400729953</v>
      </c>
      <c r="AK135" s="44">
        <f>HLOOKUP(I135,ElecAvoidedCostsWOCC!$A$5:$Q$50,G135+1,FALSE)*J135*L135</f>
        <v>0</v>
      </c>
      <c r="AL135" s="44">
        <f t="shared" si="52"/>
        <v>2576.7054400729953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2576.7054400729953</v>
      </c>
      <c r="AN135" s="48">
        <f t="shared" si="53"/>
        <v>2834.375984080295</v>
      </c>
      <c r="AO135" s="47">
        <f t="shared" si="54"/>
        <v>0.85188904029795998</v>
      </c>
      <c r="AP135" s="47">
        <f t="shared" si="55"/>
        <v>0.28434770009921823</v>
      </c>
      <c r="AQ135">
        <v>2021</v>
      </c>
    </row>
    <row r="136" spans="2:43">
      <c r="B136" s="97" t="s">
        <v>74</v>
      </c>
      <c r="C136" s="100">
        <v>18230611</v>
      </c>
      <c r="D136" s="100" t="s">
        <v>75</v>
      </c>
      <c r="E136" s="38" t="s">
        <v>1548</v>
      </c>
      <c r="F136" s="39" t="s">
        <v>1549</v>
      </c>
      <c r="G136" s="39">
        <v>45</v>
      </c>
      <c r="H136" s="39"/>
      <c r="I136" s="40" t="s">
        <v>263</v>
      </c>
      <c r="J136" s="41">
        <v>95</v>
      </c>
      <c r="K136" s="41">
        <v>131</v>
      </c>
      <c r="L136" s="41"/>
      <c r="M136" s="42">
        <v>730.01</v>
      </c>
      <c r="N136" s="42">
        <v>730.01</v>
      </c>
      <c r="O136" s="43">
        <v>12445</v>
      </c>
      <c r="P136" s="44">
        <v>95041.56</v>
      </c>
      <c r="Q136" s="44">
        <v>95041.56</v>
      </c>
      <c r="R136" s="45">
        <v>0</v>
      </c>
      <c r="S136" s="46">
        <v>0</v>
      </c>
      <c r="T136" s="39">
        <f t="shared" si="38"/>
        <v>45</v>
      </c>
      <c r="U136" s="47">
        <f t="shared" si="39"/>
        <v>0.24265682911624045</v>
      </c>
      <c r="V136" s="48">
        <f t="shared" si="40"/>
        <v>0</v>
      </c>
      <c r="W136" s="49">
        <f t="shared" si="41"/>
        <v>5.392373980360899E-3</v>
      </c>
      <c r="X136" s="44">
        <f t="shared" si="42"/>
        <v>1433.3383538451026</v>
      </c>
      <c r="Y136" s="44">
        <f t="shared" si="43"/>
        <v>0</v>
      </c>
      <c r="Z136" s="44">
        <f t="shared" si="44"/>
        <v>38421.76907611006</v>
      </c>
      <c r="AA136" s="522">
        <f t="shared" si="56"/>
        <v>99469.919328109812</v>
      </c>
      <c r="AB136" s="51">
        <f t="shared" si="45"/>
        <v>35918.265940086058</v>
      </c>
      <c r="AC136" s="44">
        <f t="shared" si="46"/>
        <v>92988.613001878854</v>
      </c>
      <c r="AD136" s="44">
        <f t="shared" si="47"/>
        <v>0</v>
      </c>
      <c r="AE136" s="44">
        <f t="shared" si="48"/>
        <v>0</v>
      </c>
      <c r="AF136" s="52">
        <f>HLOOKUP(I136,ElecAvoidedCostsWOCC!$A$5:$Q$50,G136+1,FALSE)</f>
        <v>2.4586883970162168</v>
      </c>
      <c r="AG136" s="44">
        <f t="shared" si="49"/>
        <v>30598.377100866819</v>
      </c>
      <c r="AH136" s="52">
        <f>HLOOKUP(I136,ElecAvoidedCostsWOCC!$A$5:$Q$50,T136+1,FALSE)</f>
        <v>2.4586883970162168</v>
      </c>
      <c r="AI136" s="44">
        <f t="shared" si="50"/>
        <v>0</v>
      </c>
      <c r="AJ136" s="44">
        <f t="shared" si="51"/>
        <v>30598.377100866819</v>
      </c>
      <c r="AK136" s="44">
        <f>HLOOKUP(I136,ElecAvoidedCostsWOCC!$A$5:$Q$50,G136+1,FALSE)*J136*L136</f>
        <v>0</v>
      </c>
      <c r="AL136" s="44">
        <f t="shared" si="52"/>
        <v>30598.377100866819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30598.377100866819</v>
      </c>
      <c r="AN136" s="48">
        <f t="shared" si="53"/>
        <v>33658.214810953505</v>
      </c>
      <c r="AO136" s="47">
        <f t="shared" si="54"/>
        <v>0.85188904029796009</v>
      </c>
      <c r="AP136" s="47">
        <f t="shared" si="55"/>
        <v>0.36196060705060129</v>
      </c>
      <c r="AQ136">
        <v>2021</v>
      </c>
    </row>
    <row r="137" spans="2:43">
      <c r="B137" s="97" t="s">
        <v>74</v>
      </c>
      <c r="C137" s="100">
        <v>18230611</v>
      </c>
      <c r="D137" s="100" t="s">
        <v>75</v>
      </c>
      <c r="E137" s="38" t="s">
        <v>1550</v>
      </c>
      <c r="F137" s="39" t="s">
        <v>1551</v>
      </c>
      <c r="G137" s="39">
        <v>45</v>
      </c>
      <c r="H137" s="39"/>
      <c r="I137" s="40" t="s">
        <v>263</v>
      </c>
      <c r="J137" s="41">
        <v>65</v>
      </c>
      <c r="K137" s="41">
        <v>131</v>
      </c>
      <c r="L137" s="41"/>
      <c r="M137" s="42">
        <v>708.1</v>
      </c>
      <c r="N137" s="42">
        <v>708.1</v>
      </c>
      <c r="O137" s="43">
        <v>8515</v>
      </c>
      <c r="P137" s="44">
        <v>65964.53</v>
      </c>
      <c r="Q137" s="44">
        <v>65964.53</v>
      </c>
      <c r="R137" s="45">
        <v>0</v>
      </c>
      <c r="S137" s="46">
        <v>0</v>
      </c>
      <c r="T137" s="39">
        <f t="shared" si="38"/>
        <v>45</v>
      </c>
      <c r="U137" s="47">
        <f t="shared" si="39"/>
        <v>0.16602835676374347</v>
      </c>
      <c r="V137" s="48">
        <f t="shared" si="40"/>
        <v>0</v>
      </c>
      <c r="W137" s="49">
        <f t="shared" si="41"/>
        <v>3.6895190391942993E-3</v>
      </c>
      <c r="X137" s="44">
        <f t="shared" si="42"/>
        <v>980.70518947296489</v>
      </c>
      <c r="Y137" s="44">
        <f t="shared" si="43"/>
        <v>0</v>
      </c>
      <c r="Z137" s="44">
        <f t="shared" si="44"/>
        <v>26288.578841548991</v>
      </c>
      <c r="AA137" s="522">
        <f t="shared" si="56"/>
        <v>69023.958969969783</v>
      </c>
      <c r="AB137" s="51">
        <f t="shared" si="45"/>
        <v>24575.655643216778</v>
      </c>
      <c r="AC137" s="44">
        <f t="shared" si="46"/>
        <v>64526.46440120574</v>
      </c>
      <c r="AD137" s="44">
        <f t="shared" si="47"/>
        <v>0</v>
      </c>
      <c r="AE137" s="44">
        <f t="shared" si="48"/>
        <v>0</v>
      </c>
      <c r="AF137" s="52">
        <f>HLOOKUP(I137,ElecAvoidedCostsWOCC!$A$5:$Q$50,G137+1,FALSE)</f>
        <v>2.4586883970162168</v>
      </c>
      <c r="AG137" s="44">
        <f t="shared" si="49"/>
        <v>20935.731700593085</v>
      </c>
      <c r="AH137" s="52">
        <f>HLOOKUP(I137,ElecAvoidedCostsWOCC!$A$5:$Q$50,T137+1,FALSE)</f>
        <v>2.4586883970162168</v>
      </c>
      <c r="AI137" s="44">
        <f t="shared" si="50"/>
        <v>0</v>
      </c>
      <c r="AJ137" s="44">
        <f t="shared" si="51"/>
        <v>20935.731700593085</v>
      </c>
      <c r="AK137" s="44">
        <f>HLOOKUP(I137,ElecAvoidedCostsWOCC!$A$5:$Q$50,G137+1,FALSE)*J137*L137</f>
        <v>0</v>
      </c>
      <c r="AL137" s="44">
        <f t="shared" si="52"/>
        <v>20935.731700593085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20935.731700593085</v>
      </c>
      <c r="AN137" s="48">
        <f t="shared" si="53"/>
        <v>23029.304870652395</v>
      </c>
      <c r="AO137" s="47">
        <f t="shared" si="54"/>
        <v>0.85188904029795998</v>
      </c>
      <c r="AP137" s="47">
        <f t="shared" si="55"/>
        <v>0.35689705122325083</v>
      </c>
      <c r="AQ137">
        <v>2021</v>
      </c>
    </row>
    <row r="138" spans="2:43">
      <c r="B138" s="97" t="s">
        <v>74</v>
      </c>
      <c r="C138" s="100">
        <v>18230611</v>
      </c>
      <c r="D138" s="100" t="s">
        <v>75</v>
      </c>
      <c r="E138" s="38" t="s">
        <v>1552</v>
      </c>
      <c r="F138" s="39" t="s">
        <v>1553</v>
      </c>
      <c r="G138" s="39"/>
      <c r="H138" s="39"/>
      <c r="I138" s="40"/>
      <c r="J138" s="41">
        <v>12</v>
      </c>
      <c r="K138" s="41">
        <v>0</v>
      </c>
      <c r="L138" s="41"/>
      <c r="M138" s="42">
        <v>532.50083333333339</v>
      </c>
      <c r="N138" s="42">
        <v>532.50083333333339</v>
      </c>
      <c r="O138" s="43">
        <v>0</v>
      </c>
      <c r="P138" s="44">
        <v>6390.01</v>
      </c>
      <c r="Q138" s="44">
        <v>6390.01</v>
      </c>
      <c r="R138" s="45"/>
      <c r="S138" s="46"/>
      <c r="T138" s="39">
        <f t="shared" si="38"/>
        <v>0</v>
      </c>
      <c r="U138" s="47">
        <f t="shared" si="39"/>
        <v>0</v>
      </c>
      <c r="V138" s="48">
        <f t="shared" si="40"/>
        <v>0</v>
      </c>
      <c r="W138" s="49">
        <f t="shared" si="41"/>
        <v>0</v>
      </c>
      <c r="X138" s="44">
        <f t="shared" si="42"/>
        <v>0</v>
      </c>
      <c r="Y138" s="44">
        <f t="shared" si="43"/>
        <v>0</v>
      </c>
      <c r="Z138" s="44">
        <f t="shared" si="44"/>
        <v>0</v>
      </c>
      <c r="AA138" s="522">
        <f t="shared" si="56"/>
        <v>6591.3767912833218</v>
      </c>
      <c r="AB138" s="51">
        <f t="shared" si="45"/>
        <v>0</v>
      </c>
      <c r="AC138" s="44">
        <f t="shared" si="46"/>
        <v>6161.8928590103033</v>
      </c>
      <c r="AD138" s="44">
        <f t="shared" si="47"/>
        <v>0</v>
      </c>
      <c r="AE138" s="44">
        <f t="shared" si="48"/>
        <v>0</v>
      </c>
      <c r="AF138" s="52" t="e">
        <f>HLOOKUP(I138,ElecAvoidedCostsWOCC!$A$5:$Q$50,G138+1,FALSE)</f>
        <v>#N/A</v>
      </c>
      <c r="AG138" s="44" t="e">
        <f t="shared" si="49"/>
        <v>#N/A</v>
      </c>
      <c r="AH138" s="52" t="e">
        <f>HLOOKUP(I138,ElecAvoidedCostsWOCC!$A$5:$Q$50,T138+1,FALSE)</f>
        <v>#N/A</v>
      </c>
      <c r="AI138" s="44" t="e">
        <f t="shared" si="50"/>
        <v>#N/A</v>
      </c>
      <c r="AJ138" s="44" t="e">
        <f t="shared" si="51"/>
        <v>#N/A</v>
      </c>
      <c r="AK138" s="44" t="e">
        <f>HLOOKUP(I138,ElecAvoidedCostsWOCC!$A$5:$Q$50,G138+1,FALSE)*J138*L138</f>
        <v>#N/A</v>
      </c>
      <c r="AL138" s="44" t="e">
        <f t="shared" si="52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53"/>
        <v>0</v>
      </c>
      <c r="AO138" s="47">
        <f t="shared" si="54"/>
        <v>0</v>
      </c>
      <c r="AP138" s="47">
        <f t="shared" si="55"/>
        <v>0</v>
      </c>
      <c r="AQ138">
        <v>2021</v>
      </c>
    </row>
    <row r="139" spans="2:43">
      <c r="B139" s="97" t="s">
        <v>74</v>
      </c>
      <c r="C139" s="100">
        <v>18230611</v>
      </c>
      <c r="D139" s="100" t="s">
        <v>75</v>
      </c>
      <c r="E139" s="38" t="s">
        <v>1554</v>
      </c>
      <c r="F139" s="39" t="s">
        <v>1555</v>
      </c>
      <c r="G139" s="39"/>
      <c r="H139" s="39"/>
      <c r="I139" s="40"/>
      <c r="J139" s="41">
        <v>4</v>
      </c>
      <c r="K139" s="41">
        <v>0</v>
      </c>
      <c r="L139" s="41"/>
      <c r="M139" s="42">
        <v>463.33</v>
      </c>
      <c r="N139" s="42">
        <v>463.33</v>
      </c>
      <c r="O139" s="43">
        <v>0</v>
      </c>
      <c r="P139" s="44">
        <v>1853.32</v>
      </c>
      <c r="Q139" s="44">
        <v>1853.32</v>
      </c>
      <c r="R139" s="45"/>
      <c r="S139" s="46"/>
      <c r="T139" s="39">
        <f t="shared" si="38"/>
        <v>0</v>
      </c>
      <c r="U139" s="47">
        <f t="shared" si="39"/>
        <v>0</v>
      </c>
      <c r="V139" s="48">
        <f t="shared" si="40"/>
        <v>0</v>
      </c>
      <c r="W139" s="49">
        <f t="shared" si="41"/>
        <v>0</v>
      </c>
      <c r="X139" s="44">
        <f t="shared" si="42"/>
        <v>0</v>
      </c>
      <c r="Y139" s="44">
        <f t="shared" si="43"/>
        <v>0</v>
      </c>
      <c r="Z139" s="44">
        <f t="shared" si="44"/>
        <v>0</v>
      </c>
      <c r="AA139" s="522">
        <f t="shared" si="56"/>
        <v>1911.7232108903124</v>
      </c>
      <c r="AB139" s="51">
        <f t="shared" si="45"/>
        <v>0</v>
      </c>
      <c r="AC139" s="44">
        <f t="shared" si="46"/>
        <v>1787.1582788541762</v>
      </c>
      <c r="AD139" s="44">
        <f t="shared" si="47"/>
        <v>0</v>
      </c>
      <c r="AE139" s="44">
        <f t="shared" si="48"/>
        <v>0</v>
      </c>
      <c r="AF139" s="52" t="e">
        <f>HLOOKUP(I139,ElecAvoidedCostsWOCC!$A$5:$Q$50,G139+1,FALSE)</f>
        <v>#N/A</v>
      </c>
      <c r="AG139" s="44" t="e">
        <f t="shared" si="49"/>
        <v>#N/A</v>
      </c>
      <c r="AH139" s="52" t="e">
        <f>HLOOKUP(I139,ElecAvoidedCostsWOCC!$A$5:$Q$50,T139+1,FALSE)</f>
        <v>#N/A</v>
      </c>
      <c r="AI139" s="44" t="e">
        <f t="shared" si="50"/>
        <v>#N/A</v>
      </c>
      <c r="AJ139" s="44" t="e">
        <f t="shared" si="51"/>
        <v>#N/A</v>
      </c>
      <c r="AK139" s="44" t="e">
        <f>HLOOKUP(I139,ElecAvoidedCostsWOCC!$A$5:$Q$50,G139+1,FALSE)*J139*L139</f>
        <v>#N/A</v>
      </c>
      <c r="AL139" s="44" t="e">
        <f t="shared" si="52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53"/>
        <v>0</v>
      </c>
      <c r="AO139" s="47">
        <f t="shared" si="54"/>
        <v>0</v>
      </c>
      <c r="AP139" s="47">
        <f t="shared" si="55"/>
        <v>0</v>
      </c>
      <c r="AQ139">
        <v>2021</v>
      </c>
    </row>
    <row r="140" spans="2:43">
      <c r="B140" s="97" t="s">
        <v>74</v>
      </c>
      <c r="C140" s="100">
        <v>18230611</v>
      </c>
      <c r="D140" s="100" t="s">
        <v>75</v>
      </c>
      <c r="E140" s="38" t="s">
        <v>1556</v>
      </c>
      <c r="F140" s="39" t="s">
        <v>1557</v>
      </c>
      <c r="G140" s="39"/>
      <c r="H140" s="39"/>
      <c r="I140" s="40"/>
      <c r="J140" s="41">
        <v>4</v>
      </c>
      <c r="K140" s="41">
        <v>0</v>
      </c>
      <c r="L140" s="41"/>
      <c r="M140" s="42">
        <v>452.40249999999997</v>
      </c>
      <c r="N140" s="42">
        <v>452.40249999999997</v>
      </c>
      <c r="O140" s="43">
        <v>0</v>
      </c>
      <c r="P140" s="44">
        <v>1809.61</v>
      </c>
      <c r="Q140" s="44">
        <v>1809.61</v>
      </c>
      <c r="R140" s="45"/>
      <c r="S140" s="46"/>
      <c r="T140" s="39">
        <f t="shared" si="38"/>
        <v>0</v>
      </c>
      <c r="U140" s="47">
        <f t="shared" si="39"/>
        <v>0</v>
      </c>
      <c r="V140" s="48">
        <f t="shared" si="40"/>
        <v>0</v>
      </c>
      <c r="W140" s="49">
        <f t="shared" si="41"/>
        <v>0</v>
      </c>
      <c r="X140" s="44">
        <f t="shared" si="42"/>
        <v>0</v>
      </c>
      <c r="Y140" s="44">
        <f t="shared" si="43"/>
        <v>0</v>
      </c>
      <c r="Z140" s="44">
        <f t="shared" si="44"/>
        <v>0</v>
      </c>
      <c r="AA140" s="522">
        <f t="shared" si="56"/>
        <v>1866.6357885628054</v>
      </c>
      <c r="AB140" s="51">
        <f t="shared" si="45"/>
        <v>0</v>
      </c>
      <c r="AC140" s="44">
        <f t="shared" si="46"/>
        <v>1745.0086833343978</v>
      </c>
      <c r="AD140" s="44">
        <f t="shared" si="47"/>
        <v>0</v>
      </c>
      <c r="AE140" s="44">
        <f t="shared" si="48"/>
        <v>0</v>
      </c>
      <c r="AF140" s="52" t="e">
        <f>HLOOKUP(I140,ElecAvoidedCostsWOCC!$A$5:$Q$50,G140+1,FALSE)</f>
        <v>#N/A</v>
      </c>
      <c r="AG140" s="44" t="e">
        <f t="shared" si="49"/>
        <v>#N/A</v>
      </c>
      <c r="AH140" s="52" t="e">
        <f>HLOOKUP(I140,ElecAvoidedCostsWOCC!$A$5:$Q$50,T140+1,FALSE)</f>
        <v>#N/A</v>
      </c>
      <c r="AI140" s="44" t="e">
        <f t="shared" si="50"/>
        <v>#N/A</v>
      </c>
      <c r="AJ140" s="44" t="e">
        <f t="shared" si="51"/>
        <v>#N/A</v>
      </c>
      <c r="AK140" s="44" t="e">
        <f>HLOOKUP(I140,ElecAvoidedCostsWOCC!$A$5:$Q$50,G140+1,FALSE)*J140*L140</f>
        <v>#N/A</v>
      </c>
      <c r="AL140" s="44" t="e">
        <f t="shared" si="52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53"/>
        <v>0</v>
      </c>
      <c r="AO140" s="47">
        <f t="shared" si="54"/>
        <v>0</v>
      </c>
      <c r="AP140" s="47">
        <f t="shared" si="55"/>
        <v>0</v>
      </c>
      <c r="AQ140">
        <v>2021</v>
      </c>
    </row>
    <row r="141" spans="2:43">
      <c r="B141" s="97" t="s">
        <v>74</v>
      </c>
      <c r="C141" s="100">
        <v>18230611</v>
      </c>
      <c r="D141" s="100" t="s">
        <v>75</v>
      </c>
      <c r="E141" s="38" t="s">
        <v>1558</v>
      </c>
      <c r="F141" s="39" t="s">
        <v>1559</v>
      </c>
      <c r="G141" s="39"/>
      <c r="H141" s="39"/>
      <c r="I141" s="40"/>
      <c r="J141" s="41">
        <v>2</v>
      </c>
      <c r="K141" s="41">
        <v>0</v>
      </c>
      <c r="L141" s="41"/>
      <c r="M141" s="42">
        <v>1005.125</v>
      </c>
      <c r="N141" s="42">
        <v>1005.125</v>
      </c>
      <c r="O141" s="43">
        <v>0</v>
      </c>
      <c r="P141" s="44">
        <v>2010.25</v>
      </c>
      <c r="Q141" s="44">
        <v>2010.25</v>
      </c>
      <c r="R141" s="45"/>
      <c r="S141" s="46"/>
      <c r="T141" s="39">
        <f t="shared" si="38"/>
        <v>0</v>
      </c>
      <c r="U141" s="47">
        <f t="shared" si="39"/>
        <v>0</v>
      </c>
      <c r="V141" s="48">
        <f t="shared" si="40"/>
        <v>0</v>
      </c>
      <c r="W141" s="49">
        <f t="shared" si="41"/>
        <v>0</v>
      </c>
      <c r="X141" s="44">
        <f t="shared" si="42"/>
        <v>0</v>
      </c>
      <c r="Y141" s="44">
        <f t="shared" si="43"/>
        <v>0</v>
      </c>
      <c r="Z141" s="44">
        <f t="shared" si="44"/>
        <v>0</v>
      </c>
      <c r="AA141" s="522">
        <f t="shared" si="56"/>
        <v>2073.5985068375944</v>
      </c>
      <c r="AB141" s="51">
        <f t="shared" si="45"/>
        <v>0</v>
      </c>
      <c r="AC141" s="44">
        <f t="shared" si="46"/>
        <v>1938.4860305109789</v>
      </c>
      <c r="AD141" s="44">
        <f t="shared" si="47"/>
        <v>0</v>
      </c>
      <c r="AE141" s="44">
        <f t="shared" si="48"/>
        <v>0</v>
      </c>
      <c r="AF141" s="52" t="e">
        <f>HLOOKUP(I141,ElecAvoidedCostsWOCC!$A$5:$Q$50,G141+1,FALSE)</f>
        <v>#N/A</v>
      </c>
      <c r="AG141" s="44" t="e">
        <f t="shared" si="49"/>
        <v>#N/A</v>
      </c>
      <c r="AH141" s="52" t="e">
        <f>HLOOKUP(I141,ElecAvoidedCostsWOCC!$A$5:$Q$50,T141+1,FALSE)</f>
        <v>#N/A</v>
      </c>
      <c r="AI141" s="44" t="e">
        <f t="shared" si="50"/>
        <v>#N/A</v>
      </c>
      <c r="AJ141" s="44" t="e">
        <f t="shared" si="51"/>
        <v>#N/A</v>
      </c>
      <c r="AK141" s="44" t="e">
        <f>HLOOKUP(I141,ElecAvoidedCostsWOCC!$A$5:$Q$50,G141+1,FALSE)*J141*L141</f>
        <v>#N/A</v>
      </c>
      <c r="AL141" s="44" t="e">
        <f t="shared" si="52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53"/>
        <v>0</v>
      </c>
      <c r="AO141" s="47">
        <f t="shared" si="54"/>
        <v>0</v>
      </c>
      <c r="AP141" s="47">
        <f t="shared" si="55"/>
        <v>0</v>
      </c>
      <c r="AQ141">
        <v>2021</v>
      </c>
    </row>
    <row r="142" spans="2:43">
      <c r="B142" s="97" t="s">
        <v>74</v>
      </c>
      <c r="C142" s="100">
        <v>18230611</v>
      </c>
      <c r="D142" s="100" t="s">
        <v>75</v>
      </c>
      <c r="E142" s="38" t="s">
        <v>1560</v>
      </c>
      <c r="F142" s="39" t="s">
        <v>1561</v>
      </c>
      <c r="G142" s="39"/>
      <c r="H142" s="39"/>
      <c r="I142" s="40"/>
      <c r="J142" s="41">
        <v>6</v>
      </c>
      <c r="K142" s="41">
        <v>0</v>
      </c>
      <c r="L142" s="41"/>
      <c r="M142" s="42">
        <v>385.98333333333335</v>
      </c>
      <c r="N142" s="42">
        <v>385.98333333333335</v>
      </c>
      <c r="O142" s="43">
        <v>0</v>
      </c>
      <c r="P142" s="44">
        <v>2315.9</v>
      </c>
      <c r="Q142" s="44">
        <v>2315.9</v>
      </c>
      <c r="R142" s="45"/>
      <c r="S142" s="46"/>
      <c r="T142" s="39">
        <f t="shared" si="38"/>
        <v>0</v>
      </c>
      <c r="U142" s="47">
        <f t="shared" si="39"/>
        <v>0</v>
      </c>
      <c r="V142" s="48">
        <f t="shared" si="40"/>
        <v>0</v>
      </c>
      <c r="W142" s="49">
        <f t="shared" si="41"/>
        <v>0</v>
      </c>
      <c r="X142" s="44">
        <f t="shared" si="42"/>
        <v>0</v>
      </c>
      <c r="Y142" s="44">
        <f t="shared" si="43"/>
        <v>0</v>
      </c>
      <c r="Z142" s="44">
        <f t="shared" si="44"/>
        <v>0</v>
      </c>
      <c r="AA142" s="522">
        <f t="shared" si="56"/>
        <v>2388.8803790499619</v>
      </c>
      <c r="AB142" s="51">
        <f t="shared" si="45"/>
        <v>0</v>
      </c>
      <c r="AC142" s="44">
        <f t="shared" si="46"/>
        <v>2233.2246228381432</v>
      </c>
      <c r="AD142" s="44">
        <f t="shared" si="47"/>
        <v>0</v>
      </c>
      <c r="AE142" s="44">
        <f t="shared" si="48"/>
        <v>0</v>
      </c>
      <c r="AF142" s="52" t="e">
        <f>HLOOKUP(I142,ElecAvoidedCostsWOCC!$A$5:$Q$50,G142+1,FALSE)</f>
        <v>#N/A</v>
      </c>
      <c r="AG142" s="44" t="e">
        <f t="shared" si="49"/>
        <v>#N/A</v>
      </c>
      <c r="AH142" s="52" t="e">
        <f>HLOOKUP(I142,ElecAvoidedCostsWOCC!$A$5:$Q$50,T142+1,FALSE)</f>
        <v>#N/A</v>
      </c>
      <c r="AI142" s="44" t="e">
        <f t="shared" si="50"/>
        <v>#N/A</v>
      </c>
      <c r="AJ142" s="44" t="e">
        <f t="shared" si="51"/>
        <v>#N/A</v>
      </c>
      <c r="AK142" s="44" t="e">
        <f>HLOOKUP(I142,ElecAvoidedCostsWOCC!$A$5:$Q$50,G142+1,FALSE)*J142*L142</f>
        <v>#N/A</v>
      </c>
      <c r="AL142" s="44" t="e">
        <f t="shared" si="52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53"/>
        <v>0</v>
      </c>
      <c r="AO142" s="47">
        <f t="shared" si="54"/>
        <v>0</v>
      </c>
      <c r="AP142" s="47">
        <f t="shared" si="55"/>
        <v>0</v>
      </c>
      <c r="AQ142">
        <v>2021</v>
      </c>
    </row>
    <row r="143" spans="2:43">
      <c r="B143" s="97" t="s">
        <v>74</v>
      </c>
      <c r="C143" s="100">
        <v>18230611</v>
      </c>
      <c r="D143" s="100" t="s">
        <v>75</v>
      </c>
      <c r="E143" s="38" t="s">
        <v>1562</v>
      </c>
      <c r="F143" s="39" t="s">
        <v>1563</v>
      </c>
      <c r="G143" s="39"/>
      <c r="H143" s="39"/>
      <c r="I143" s="40"/>
      <c r="J143" s="41">
        <v>4</v>
      </c>
      <c r="K143" s="41">
        <v>0</v>
      </c>
      <c r="L143" s="41"/>
      <c r="M143" s="42">
        <v>2170.2925</v>
      </c>
      <c r="N143" s="42">
        <v>2170.2925</v>
      </c>
      <c r="O143" s="43">
        <v>0</v>
      </c>
      <c r="P143" s="44">
        <v>8681.17</v>
      </c>
      <c r="Q143" s="44">
        <v>8681.17</v>
      </c>
      <c r="R143" s="45"/>
      <c r="S143" s="46"/>
      <c r="T143" s="39">
        <f t="shared" si="38"/>
        <v>0</v>
      </c>
      <c r="U143" s="47">
        <f t="shared" si="39"/>
        <v>0</v>
      </c>
      <c r="V143" s="48">
        <f t="shared" si="40"/>
        <v>0</v>
      </c>
      <c r="W143" s="49">
        <f t="shared" si="41"/>
        <v>0</v>
      </c>
      <c r="X143" s="44">
        <f t="shared" si="42"/>
        <v>0</v>
      </c>
      <c r="Y143" s="44">
        <f t="shared" si="43"/>
        <v>0</v>
      </c>
      <c r="Z143" s="44">
        <f t="shared" si="44"/>
        <v>0</v>
      </c>
      <c r="AA143" s="522">
        <f t="shared" si="56"/>
        <v>8954.7375448841285</v>
      </c>
      <c r="AB143" s="51">
        <f t="shared" si="45"/>
        <v>0</v>
      </c>
      <c r="AC143" s="44">
        <f t="shared" si="46"/>
        <v>8371.260675782114</v>
      </c>
      <c r="AD143" s="44">
        <f t="shared" si="47"/>
        <v>0</v>
      </c>
      <c r="AE143" s="44">
        <f t="shared" si="48"/>
        <v>0</v>
      </c>
      <c r="AF143" s="52" t="e">
        <f>HLOOKUP(I143,ElecAvoidedCostsWOCC!$A$5:$Q$50,G143+1,FALSE)</f>
        <v>#N/A</v>
      </c>
      <c r="AG143" s="44" t="e">
        <f t="shared" si="49"/>
        <v>#N/A</v>
      </c>
      <c r="AH143" s="52" t="e">
        <f>HLOOKUP(I143,ElecAvoidedCostsWOCC!$A$5:$Q$50,T143+1,FALSE)</f>
        <v>#N/A</v>
      </c>
      <c r="AI143" s="44" t="e">
        <f t="shared" si="50"/>
        <v>#N/A</v>
      </c>
      <c r="AJ143" s="44" t="e">
        <f t="shared" si="51"/>
        <v>#N/A</v>
      </c>
      <c r="AK143" s="44" t="e">
        <f>HLOOKUP(I143,ElecAvoidedCostsWOCC!$A$5:$Q$50,G143+1,FALSE)*J143*L143</f>
        <v>#N/A</v>
      </c>
      <c r="AL143" s="44" t="e">
        <f t="shared" si="52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53"/>
        <v>0</v>
      </c>
      <c r="AO143" s="47">
        <f t="shared" si="54"/>
        <v>0</v>
      </c>
      <c r="AP143" s="47">
        <f t="shared" si="55"/>
        <v>0</v>
      </c>
      <c r="AQ143">
        <v>2021</v>
      </c>
    </row>
    <row r="144" spans="2:43">
      <c r="B144" s="97" t="s">
        <v>74</v>
      </c>
      <c r="C144" s="100">
        <v>18230611</v>
      </c>
      <c r="D144" s="100" t="s">
        <v>75</v>
      </c>
      <c r="E144" s="38" t="s">
        <v>1564</v>
      </c>
      <c r="F144" s="39" t="s">
        <v>1565</v>
      </c>
      <c r="G144" s="39"/>
      <c r="H144" s="39"/>
      <c r="I144" s="40"/>
      <c r="J144" s="41">
        <v>7</v>
      </c>
      <c r="K144" s="41">
        <v>0</v>
      </c>
      <c r="L144" s="41"/>
      <c r="M144" s="42">
        <v>834.33428571428578</v>
      </c>
      <c r="N144" s="42">
        <v>834.33428571428578</v>
      </c>
      <c r="O144" s="43">
        <v>0</v>
      </c>
      <c r="P144" s="44">
        <v>5840.34</v>
      </c>
      <c r="Q144" s="44">
        <v>5840.34</v>
      </c>
      <c r="R144" s="45"/>
      <c r="S144" s="46"/>
      <c r="T144" s="39">
        <f t="shared" si="38"/>
        <v>0</v>
      </c>
      <c r="U144" s="47">
        <f t="shared" si="39"/>
        <v>0</v>
      </c>
      <c r="V144" s="48">
        <f t="shared" si="40"/>
        <v>0</v>
      </c>
      <c r="W144" s="49">
        <f t="shared" si="41"/>
        <v>0</v>
      </c>
      <c r="X144" s="44">
        <f t="shared" si="42"/>
        <v>0</v>
      </c>
      <c r="Y144" s="44">
        <f t="shared" si="43"/>
        <v>0</v>
      </c>
      <c r="Z144" s="44">
        <f t="shared" si="44"/>
        <v>0</v>
      </c>
      <c r="AA144" s="522">
        <f t="shared" si="56"/>
        <v>6024.3851776763477</v>
      </c>
      <c r="AB144" s="51">
        <f t="shared" si="45"/>
        <v>0</v>
      </c>
      <c r="AC144" s="44">
        <f t="shared" si="46"/>
        <v>5631.8455433077943</v>
      </c>
      <c r="AD144" s="44">
        <f t="shared" si="47"/>
        <v>0</v>
      </c>
      <c r="AE144" s="44">
        <f t="shared" si="48"/>
        <v>0</v>
      </c>
      <c r="AF144" s="52" t="e">
        <f>HLOOKUP(I144,ElecAvoidedCostsWOCC!$A$5:$Q$50,G144+1,FALSE)</f>
        <v>#N/A</v>
      </c>
      <c r="AG144" s="44" t="e">
        <f t="shared" si="49"/>
        <v>#N/A</v>
      </c>
      <c r="AH144" s="52" t="e">
        <f>HLOOKUP(I144,ElecAvoidedCostsWOCC!$A$5:$Q$50,T144+1,FALSE)</f>
        <v>#N/A</v>
      </c>
      <c r="AI144" s="44" t="e">
        <f t="shared" si="50"/>
        <v>#N/A</v>
      </c>
      <c r="AJ144" s="44" t="e">
        <f t="shared" si="51"/>
        <v>#N/A</v>
      </c>
      <c r="AK144" s="44" t="e">
        <f>HLOOKUP(I144,ElecAvoidedCostsWOCC!$A$5:$Q$50,G144+1,FALSE)*J144*L144</f>
        <v>#N/A</v>
      </c>
      <c r="AL144" s="44" t="e">
        <f t="shared" si="52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53"/>
        <v>0</v>
      </c>
      <c r="AO144" s="47">
        <f t="shared" si="54"/>
        <v>0</v>
      </c>
      <c r="AP144" s="47">
        <f t="shared" si="55"/>
        <v>0</v>
      </c>
      <c r="AQ144">
        <v>2021</v>
      </c>
    </row>
    <row r="145" spans="2:43">
      <c r="B145" s="97" t="s">
        <v>74</v>
      </c>
      <c r="C145" s="100">
        <v>18230611</v>
      </c>
      <c r="D145" s="100" t="s">
        <v>75</v>
      </c>
      <c r="E145" s="38" t="s">
        <v>1566</v>
      </c>
      <c r="F145" s="39" t="s">
        <v>1567</v>
      </c>
      <c r="G145" s="39"/>
      <c r="H145" s="39"/>
      <c r="I145" s="40"/>
      <c r="J145" s="41">
        <v>2</v>
      </c>
      <c r="K145" s="41">
        <v>0</v>
      </c>
      <c r="L145" s="41"/>
      <c r="M145" s="42">
        <v>957.125</v>
      </c>
      <c r="N145" s="42">
        <v>957.125</v>
      </c>
      <c r="O145" s="43">
        <v>0</v>
      </c>
      <c r="P145" s="44">
        <v>1914.25</v>
      </c>
      <c r="Q145" s="44">
        <v>1914.25</v>
      </c>
      <c r="R145" s="45"/>
      <c r="S145" s="46"/>
      <c r="T145" s="39">
        <f t="shared" si="38"/>
        <v>0</v>
      </c>
      <c r="U145" s="47">
        <f t="shared" si="39"/>
        <v>0</v>
      </c>
      <c r="V145" s="48">
        <f t="shared" si="40"/>
        <v>0</v>
      </c>
      <c r="W145" s="49">
        <f t="shared" si="41"/>
        <v>0</v>
      </c>
      <c r="X145" s="44">
        <f t="shared" si="42"/>
        <v>0</v>
      </c>
      <c r="Y145" s="44">
        <f t="shared" si="43"/>
        <v>0</v>
      </c>
      <c r="Z145" s="44">
        <f t="shared" si="44"/>
        <v>0</v>
      </c>
      <c r="AA145" s="522">
        <f t="shared" si="56"/>
        <v>1974.5732827826714</v>
      </c>
      <c r="AB145" s="51">
        <f t="shared" si="45"/>
        <v>0</v>
      </c>
      <c r="AC145" s="44">
        <f t="shared" si="46"/>
        <v>1845.9131371250548</v>
      </c>
      <c r="AD145" s="44">
        <f t="shared" si="47"/>
        <v>0</v>
      </c>
      <c r="AE145" s="44">
        <f t="shared" si="48"/>
        <v>0</v>
      </c>
      <c r="AF145" s="52" t="e">
        <f>HLOOKUP(I145,ElecAvoidedCostsWOCC!$A$5:$Q$50,G145+1,FALSE)</f>
        <v>#N/A</v>
      </c>
      <c r="AG145" s="44" t="e">
        <f t="shared" si="49"/>
        <v>#N/A</v>
      </c>
      <c r="AH145" s="52" t="e">
        <f>HLOOKUP(I145,ElecAvoidedCostsWOCC!$A$5:$Q$50,T145+1,FALSE)</f>
        <v>#N/A</v>
      </c>
      <c r="AI145" s="44" t="e">
        <f t="shared" si="50"/>
        <v>#N/A</v>
      </c>
      <c r="AJ145" s="44" t="e">
        <f t="shared" si="51"/>
        <v>#N/A</v>
      </c>
      <c r="AK145" s="44" t="e">
        <f>HLOOKUP(I145,ElecAvoidedCostsWOCC!$A$5:$Q$50,G145+1,FALSE)*J145*L145</f>
        <v>#N/A</v>
      </c>
      <c r="AL145" s="44" t="e">
        <f t="shared" si="52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53"/>
        <v>0</v>
      </c>
      <c r="AO145" s="47">
        <f t="shared" si="54"/>
        <v>0</v>
      </c>
      <c r="AP145" s="47">
        <f t="shared" si="55"/>
        <v>0</v>
      </c>
      <c r="AQ145">
        <v>2021</v>
      </c>
    </row>
    <row r="146" spans="2:43">
      <c r="B146" s="97" t="s">
        <v>74</v>
      </c>
      <c r="C146" s="100">
        <v>18230611</v>
      </c>
      <c r="D146" s="100" t="s">
        <v>75</v>
      </c>
      <c r="E146" s="38" t="s">
        <v>1568</v>
      </c>
      <c r="F146" s="39" t="s">
        <v>1569</v>
      </c>
      <c r="G146" s="39"/>
      <c r="H146" s="39"/>
      <c r="I146" s="40"/>
      <c r="J146" s="41">
        <v>1</v>
      </c>
      <c r="K146" s="41">
        <v>0</v>
      </c>
      <c r="L146" s="41"/>
      <c r="M146" s="42">
        <v>521.88</v>
      </c>
      <c r="N146" s="42">
        <v>521.88</v>
      </c>
      <c r="O146" s="43">
        <v>0</v>
      </c>
      <c r="P146" s="44">
        <v>521.88</v>
      </c>
      <c r="Q146" s="44">
        <v>521.88</v>
      </c>
      <c r="R146" s="45"/>
      <c r="S146" s="46"/>
      <c r="T146" s="39">
        <f t="shared" si="38"/>
        <v>0</v>
      </c>
      <c r="U146" s="47">
        <f t="shared" si="39"/>
        <v>0</v>
      </c>
      <c r="V146" s="48">
        <f t="shared" si="40"/>
        <v>0</v>
      </c>
      <c r="W146" s="49">
        <f t="shared" si="41"/>
        <v>0</v>
      </c>
      <c r="X146" s="44">
        <f t="shared" si="42"/>
        <v>0</v>
      </c>
      <c r="Y146" s="44">
        <f t="shared" si="43"/>
        <v>0</v>
      </c>
      <c r="Z146" s="44">
        <f t="shared" si="44"/>
        <v>0</v>
      </c>
      <c r="AA146" s="522">
        <f t="shared" si="56"/>
        <v>538.32587426857549</v>
      </c>
      <c r="AB146" s="51">
        <f t="shared" si="45"/>
        <v>0</v>
      </c>
      <c r="AC146" s="44">
        <f t="shared" si="46"/>
        <v>503.24939166923008</v>
      </c>
      <c r="AD146" s="44">
        <f t="shared" si="47"/>
        <v>0</v>
      </c>
      <c r="AE146" s="44">
        <f t="shared" si="48"/>
        <v>0</v>
      </c>
      <c r="AF146" s="52" t="e">
        <f>HLOOKUP(I146,ElecAvoidedCostsWOCC!$A$5:$Q$50,G146+1,FALSE)</f>
        <v>#N/A</v>
      </c>
      <c r="AG146" s="44" t="e">
        <f t="shared" si="49"/>
        <v>#N/A</v>
      </c>
      <c r="AH146" s="52" t="e">
        <f>HLOOKUP(I146,ElecAvoidedCostsWOCC!$A$5:$Q$50,T146+1,FALSE)</f>
        <v>#N/A</v>
      </c>
      <c r="AI146" s="44" t="e">
        <f t="shared" si="50"/>
        <v>#N/A</v>
      </c>
      <c r="AJ146" s="44" t="e">
        <f t="shared" si="51"/>
        <v>#N/A</v>
      </c>
      <c r="AK146" s="44" t="e">
        <f>HLOOKUP(I146,ElecAvoidedCostsWOCC!$A$5:$Q$50,G146+1,FALSE)*J146*L146</f>
        <v>#N/A</v>
      </c>
      <c r="AL146" s="44" t="e">
        <f t="shared" si="52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53"/>
        <v>0</v>
      </c>
      <c r="AO146" s="47">
        <f t="shared" si="54"/>
        <v>0</v>
      </c>
      <c r="AP146" s="47">
        <f t="shared" si="55"/>
        <v>0</v>
      </c>
      <c r="AQ146">
        <v>2021</v>
      </c>
    </row>
    <row r="147" spans="2:43">
      <c r="B147" s="97" t="s">
        <v>74</v>
      </c>
      <c r="C147" s="100">
        <v>18230611</v>
      </c>
      <c r="D147" s="100" t="s">
        <v>75</v>
      </c>
      <c r="E147" s="38" t="s">
        <v>1570</v>
      </c>
      <c r="F147" s="39" t="s">
        <v>1571</v>
      </c>
      <c r="G147" s="39"/>
      <c r="H147" s="39"/>
      <c r="I147" s="40"/>
      <c r="J147" s="41">
        <v>1</v>
      </c>
      <c r="K147" s="41">
        <v>0</v>
      </c>
      <c r="L147" s="41"/>
      <c r="M147" s="42">
        <v>644.91999999999996</v>
      </c>
      <c r="N147" s="42">
        <v>644.91999999999996</v>
      </c>
      <c r="O147" s="43">
        <v>0</v>
      </c>
      <c r="P147" s="44">
        <v>644.91999999999996</v>
      </c>
      <c r="Q147" s="44">
        <v>644.91999999999996</v>
      </c>
      <c r="R147" s="45"/>
      <c r="S147" s="46"/>
      <c r="T147" s="39">
        <f t="shared" si="38"/>
        <v>0</v>
      </c>
      <c r="U147" s="47">
        <f t="shared" si="39"/>
        <v>0</v>
      </c>
      <c r="V147" s="48">
        <f t="shared" si="40"/>
        <v>0</v>
      </c>
      <c r="W147" s="49">
        <f t="shared" si="41"/>
        <v>0</v>
      </c>
      <c r="X147" s="44">
        <f t="shared" si="42"/>
        <v>0</v>
      </c>
      <c r="Y147" s="44">
        <f t="shared" si="43"/>
        <v>0</v>
      </c>
      <c r="Z147" s="44">
        <f t="shared" si="44"/>
        <v>0</v>
      </c>
      <c r="AA147" s="522">
        <f t="shared" si="56"/>
        <v>665.24320309896848</v>
      </c>
      <c r="AB147" s="51">
        <f t="shared" si="45"/>
        <v>0</v>
      </c>
      <c r="AC147" s="44">
        <f t="shared" si="46"/>
        <v>621.89698335885612</v>
      </c>
      <c r="AD147" s="44">
        <f t="shared" si="47"/>
        <v>0</v>
      </c>
      <c r="AE147" s="44">
        <f t="shared" si="48"/>
        <v>0</v>
      </c>
      <c r="AF147" s="52" t="e">
        <f>HLOOKUP(I147,ElecAvoidedCostsWOCC!$A$5:$Q$50,G147+1,FALSE)</f>
        <v>#N/A</v>
      </c>
      <c r="AG147" s="44" t="e">
        <f t="shared" si="49"/>
        <v>#N/A</v>
      </c>
      <c r="AH147" s="52" t="e">
        <f>HLOOKUP(I147,ElecAvoidedCostsWOCC!$A$5:$Q$50,T147+1,FALSE)</f>
        <v>#N/A</v>
      </c>
      <c r="AI147" s="44" t="e">
        <f t="shared" si="50"/>
        <v>#N/A</v>
      </c>
      <c r="AJ147" s="44" t="e">
        <f t="shared" si="51"/>
        <v>#N/A</v>
      </c>
      <c r="AK147" s="44" t="e">
        <f>HLOOKUP(I147,ElecAvoidedCostsWOCC!$A$5:$Q$50,G147+1,FALSE)*J147*L147</f>
        <v>#N/A</v>
      </c>
      <c r="AL147" s="44" t="e">
        <f t="shared" si="52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53"/>
        <v>0</v>
      </c>
      <c r="AO147" s="47">
        <f t="shared" si="54"/>
        <v>0</v>
      </c>
      <c r="AP147" s="47">
        <f t="shared" si="55"/>
        <v>0</v>
      </c>
      <c r="AQ147">
        <v>2021</v>
      </c>
    </row>
    <row r="148" spans="2:43">
      <c r="B148" s="97" t="s">
        <v>74</v>
      </c>
      <c r="C148" s="100">
        <v>18230611</v>
      </c>
      <c r="D148" s="100" t="s">
        <v>75</v>
      </c>
      <c r="E148" s="38" t="s">
        <v>1572</v>
      </c>
      <c r="F148" s="39" t="s">
        <v>1573</v>
      </c>
      <c r="G148" s="39"/>
      <c r="H148" s="39"/>
      <c r="I148" s="40"/>
      <c r="J148" s="41">
        <v>2</v>
      </c>
      <c r="K148" s="41">
        <v>0</v>
      </c>
      <c r="L148" s="41"/>
      <c r="M148" s="42">
        <v>887.23500000000001</v>
      </c>
      <c r="N148" s="42">
        <v>887.23500000000001</v>
      </c>
      <c r="O148" s="43">
        <v>0</v>
      </c>
      <c r="P148" s="44">
        <v>1774.47</v>
      </c>
      <c r="Q148" s="44">
        <v>1774.47</v>
      </c>
      <c r="R148" s="45"/>
      <c r="S148" s="46"/>
      <c r="T148" s="39">
        <f t="shared" si="38"/>
        <v>0</v>
      </c>
      <c r="U148" s="47">
        <f t="shared" si="39"/>
        <v>0</v>
      </c>
      <c r="V148" s="48">
        <f t="shared" si="40"/>
        <v>0</v>
      </c>
      <c r="W148" s="49">
        <f t="shared" si="41"/>
        <v>0</v>
      </c>
      <c r="X148" s="44">
        <f t="shared" si="42"/>
        <v>0</v>
      </c>
      <c r="Y148" s="44">
        <f t="shared" si="43"/>
        <v>0</v>
      </c>
      <c r="Z148" s="44">
        <f t="shared" si="44"/>
        <v>0</v>
      </c>
      <c r="AA148" s="522">
        <f t="shared" si="56"/>
        <v>1830.3884305077013</v>
      </c>
      <c r="AB148" s="51">
        <f t="shared" si="45"/>
        <v>0</v>
      </c>
      <c r="AC148" s="44">
        <f t="shared" si="46"/>
        <v>1711.1231471512583</v>
      </c>
      <c r="AD148" s="44">
        <f t="shared" si="47"/>
        <v>0</v>
      </c>
      <c r="AE148" s="44">
        <f t="shared" si="48"/>
        <v>0</v>
      </c>
      <c r="AF148" s="52" t="e">
        <f>HLOOKUP(I148,ElecAvoidedCostsWOCC!$A$5:$Q$50,G148+1,FALSE)</f>
        <v>#N/A</v>
      </c>
      <c r="AG148" s="44" t="e">
        <f t="shared" si="49"/>
        <v>#N/A</v>
      </c>
      <c r="AH148" s="52" t="e">
        <f>HLOOKUP(I148,ElecAvoidedCostsWOCC!$A$5:$Q$50,T148+1,FALSE)</f>
        <v>#N/A</v>
      </c>
      <c r="AI148" s="44" t="e">
        <f t="shared" si="50"/>
        <v>#N/A</v>
      </c>
      <c r="AJ148" s="44" t="e">
        <f t="shared" si="51"/>
        <v>#N/A</v>
      </c>
      <c r="AK148" s="44" t="e">
        <f>HLOOKUP(I148,ElecAvoidedCostsWOCC!$A$5:$Q$50,G148+1,FALSE)*J148*L148</f>
        <v>#N/A</v>
      </c>
      <c r="AL148" s="44" t="e">
        <f t="shared" si="52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53"/>
        <v>0</v>
      </c>
      <c r="AO148" s="47">
        <f t="shared" si="54"/>
        <v>0</v>
      </c>
      <c r="AP148" s="47">
        <f t="shared" si="55"/>
        <v>0</v>
      </c>
      <c r="AQ148">
        <v>2021</v>
      </c>
    </row>
    <row r="149" spans="2:43">
      <c r="B149" s="97" t="s">
        <v>74</v>
      </c>
      <c r="C149" s="100">
        <v>18230611</v>
      </c>
      <c r="D149" s="100" t="s">
        <v>75</v>
      </c>
      <c r="E149" s="38" t="s">
        <v>1574</v>
      </c>
      <c r="F149" s="39" t="s">
        <v>1575</v>
      </c>
      <c r="G149" s="39"/>
      <c r="H149" s="39"/>
      <c r="I149" s="40"/>
      <c r="J149" s="41">
        <v>1</v>
      </c>
      <c r="K149" s="41">
        <v>0</v>
      </c>
      <c r="L149" s="41"/>
      <c r="M149" s="42">
        <v>494.59</v>
      </c>
      <c r="N149" s="42">
        <v>494.59</v>
      </c>
      <c r="O149" s="43">
        <v>0</v>
      </c>
      <c r="P149" s="44">
        <v>494.59</v>
      </c>
      <c r="Q149" s="44">
        <v>494.59</v>
      </c>
      <c r="R149" s="45">
        <v>0</v>
      </c>
      <c r="S149" s="46">
        <v>0</v>
      </c>
      <c r="T149" s="39">
        <f t="shared" si="38"/>
        <v>0</v>
      </c>
      <c r="U149" s="47">
        <f t="shared" si="39"/>
        <v>0</v>
      </c>
      <c r="V149" s="48">
        <f t="shared" si="40"/>
        <v>0</v>
      </c>
      <c r="W149" s="49">
        <f t="shared" si="41"/>
        <v>0</v>
      </c>
      <c r="X149" s="44">
        <f t="shared" si="42"/>
        <v>0</v>
      </c>
      <c r="Y149" s="44">
        <f t="shared" si="43"/>
        <v>0</v>
      </c>
      <c r="Z149" s="44">
        <f t="shared" si="44"/>
        <v>0</v>
      </c>
      <c r="AA149" s="522">
        <f t="shared" si="56"/>
        <v>510.17589130546241</v>
      </c>
      <c r="AB149" s="51">
        <f t="shared" si="45"/>
        <v>0</v>
      </c>
      <c r="AC149" s="44">
        <f t="shared" si="46"/>
        <v>476.93361812233559</v>
      </c>
      <c r="AD149" s="44">
        <f t="shared" si="47"/>
        <v>0</v>
      </c>
      <c r="AE149" s="44">
        <f t="shared" si="48"/>
        <v>0</v>
      </c>
      <c r="AF149" s="52" t="e">
        <f>HLOOKUP(I149,ElecAvoidedCostsWOCC!$A$5:$Q$50,G149+1,FALSE)</f>
        <v>#N/A</v>
      </c>
      <c r="AG149" s="44" t="e">
        <f t="shared" si="49"/>
        <v>#N/A</v>
      </c>
      <c r="AH149" s="52" t="e">
        <f>HLOOKUP(I149,ElecAvoidedCostsWOCC!$A$5:$Q$50,T149+1,FALSE)</f>
        <v>#N/A</v>
      </c>
      <c r="AI149" s="44" t="e">
        <f t="shared" si="50"/>
        <v>#N/A</v>
      </c>
      <c r="AJ149" s="44" t="e">
        <f t="shared" si="51"/>
        <v>#N/A</v>
      </c>
      <c r="AK149" s="44" t="e">
        <f>HLOOKUP(I149,ElecAvoidedCostsWOCC!$A$5:$Q$50,G149+1,FALSE)*J149*L149</f>
        <v>#N/A</v>
      </c>
      <c r="AL149" s="44" t="e">
        <f t="shared" si="52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53"/>
        <v>0</v>
      </c>
      <c r="AO149" s="47">
        <f t="shared" si="54"/>
        <v>0</v>
      </c>
      <c r="AP149" s="47">
        <f t="shared" si="55"/>
        <v>0</v>
      </c>
      <c r="AQ149">
        <v>2021</v>
      </c>
    </row>
    <row r="150" spans="2:43">
      <c r="B150" s="97" t="s">
        <v>74</v>
      </c>
      <c r="C150" s="100">
        <v>18230611</v>
      </c>
      <c r="D150" s="100" t="s">
        <v>75</v>
      </c>
      <c r="E150" s="38" t="s">
        <v>1576</v>
      </c>
      <c r="F150" s="39" t="s">
        <v>1577</v>
      </c>
      <c r="G150" s="39"/>
      <c r="H150" s="39"/>
      <c r="I150" s="40"/>
      <c r="J150" s="41">
        <v>7</v>
      </c>
      <c r="K150" s="41">
        <v>0</v>
      </c>
      <c r="L150" s="41"/>
      <c r="M150" s="42">
        <v>668.26714285714286</v>
      </c>
      <c r="N150" s="42">
        <v>668.26714285714286</v>
      </c>
      <c r="O150" s="43">
        <v>0</v>
      </c>
      <c r="P150" s="44">
        <v>4677.87</v>
      </c>
      <c r="Q150" s="44">
        <v>4677.87</v>
      </c>
      <c r="R150" s="45"/>
      <c r="S150" s="46"/>
      <c r="T150" s="39">
        <f t="shared" si="38"/>
        <v>0</v>
      </c>
      <c r="U150" s="47">
        <f t="shared" si="39"/>
        <v>0</v>
      </c>
      <c r="V150" s="48">
        <f t="shared" si="40"/>
        <v>0</v>
      </c>
      <c r="W150" s="49">
        <f t="shared" si="41"/>
        <v>0</v>
      </c>
      <c r="X150" s="44">
        <f t="shared" si="42"/>
        <v>0</v>
      </c>
      <c r="Y150" s="44">
        <f t="shared" si="43"/>
        <v>0</v>
      </c>
      <c r="Z150" s="44">
        <f t="shared" si="44"/>
        <v>0</v>
      </c>
      <c r="AA150" s="522">
        <f t="shared" si="56"/>
        <v>4825.2825505187802</v>
      </c>
      <c r="AB150" s="51">
        <f t="shared" si="45"/>
        <v>0</v>
      </c>
      <c r="AC150" s="44">
        <f t="shared" si="46"/>
        <v>4510.8745914918009</v>
      </c>
      <c r="AD150" s="44">
        <f t="shared" si="47"/>
        <v>0</v>
      </c>
      <c r="AE150" s="44">
        <f t="shared" si="48"/>
        <v>0</v>
      </c>
      <c r="AF150" s="52" t="e">
        <f>HLOOKUP(I150,ElecAvoidedCostsWOCC!$A$5:$Q$50,G150+1,FALSE)</f>
        <v>#N/A</v>
      </c>
      <c r="AG150" s="44" t="e">
        <f t="shared" si="49"/>
        <v>#N/A</v>
      </c>
      <c r="AH150" s="52" t="e">
        <f>HLOOKUP(I150,ElecAvoidedCostsWOCC!$A$5:$Q$50,T150+1,FALSE)</f>
        <v>#N/A</v>
      </c>
      <c r="AI150" s="44" t="e">
        <f t="shared" si="50"/>
        <v>#N/A</v>
      </c>
      <c r="AJ150" s="44" t="e">
        <f t="shared" si="51"/>
        <v>#N/A</v>
      </c>
      <c r="AK150" s="44" t="e">
        <f>HLOOKUP(I150,ElecAvoidedCostsWOCC!$A$5:$Q$50,G150+1,FALSE)*J150*L150</f>
        <v>#N/A</v>
      </c>
      <c r="AL150" s="44" t="e">
        <f t="shared" si="52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53"/>
        <v>0</v>
      </c>
      <c r="AO150" s="47">
        <f t="shared" si="54"/>
        <v>0</v>
      </c>
      <c r="AP150" s="47">
        <f t="shared" si="55"/>
        <v>0</v>
      </c>
      <c r="AQ150">
        <v>2021</v>
      </c>
    </row>
    <row r="151" spans="2:43">
      <c r="B151" s="97" t="s">
        <v>74</v>
      </c>
      <c r="C151" s="100">
        <v>18230611</v>
      </c>
      <c r="D151" s="100" t="s">
        <v>75</v>
      </c>
      <c r="E151" s="38" t="s">
        <v>1578</v>
      </c>
      <c r="F151" s="39" t="s">
        <v>1579</v>
      </c>
      <c r="G151" s="39">
        <v>30</v>
      </c>
      <c r="H151" s="39"/>
      <c r="I151" s="40" t="s">
        <v>267</v>
      </c>
      <c r="J151" s="41">
        <v>5</v>
      </c>
      <c r="K151" s="41">
        <v>0</v>
      </c>
      <c r="L151" s="41"/>
      <c r="M151" s="42">
        <v>0.95</v>
      </c>
      <c r="N151" s="42">
        <v>0.95</v>
      </c>
      <c r="O151" s="43">
        <v>0</v>
      </c>
      <c r="P151" s="44">
        <v>15220.77</v>
      </c>
      <c r="Q151" s="44">
        <v>15220.77</v>
      </c>
      <c r="R151" s="45">
        <v>0</v>
      </c>
      <c r="S151" s="46"/>
      <c r="T151" s="39">
        <f t="shared" si="38"/>
        <v>30</v>
      </c>
      <c r="U151" s="47">
        <f t="shared" si="39"/>
        <v>0</v>
      </c>
      <c r="V151" s="48">
        <f t="shared" si="40"/>
        <v>0</v>
      </c>
      <c r="W151" s="49">
        <f t="shared" si="41"/>
        <v>0</v>
      </c>
      <c r="X151" s="44">
        <f t="shared" si="42"/>
        <v>0</v>
      </c>
      <c r="Y151" s="44">
        <f t="shared" si="43"/>
        <v>0</v>
      </c>
      <c r="Z151" s="44">
        <f t="shared" si="44"/>
        <v>0</v>
      </c>
      <c r="AA151" s="522">
        <f t="shared" si="56"/>
        <v>15700.418328525535</v>
      </c>
      <c r="AB151" s="51">
        <f t="shared" si="45"/>
        <v>0</v>
      </c>
      <c r="AC151" s="44">
        <f t="shared" si="46"/>
        <v>14677.40331730909</v>
      </c>
      <c r="AD151" s="44">
        <f t="shared" si="47"/>
        <v>0</v>
      </c>
      <c r="AE151" s="44">
        <f t="shared" si="48"/>
        <v>0</v>
      </c>
      <c r="AF151" s="52">
        <f>HLOOKUP(I151,ElecAvoidedCostsWOCC!$A$5:$Q$50,G151+1,FALSE)</f>
        <v>2.1643436258224993</v>
      </c>
      <c r="AG151" s="44">
        <f t="shared" si="49"/>
        <v>0</v>
      </c>
      <c r="AH151" s="52">
        <f>HLOOKUP(I151,ElecAvoidedCostsWOCC!$A$5:$Q$50,T151+1,FALSE)</f>
        <v>2.1643436258224993</v>
      </c>
      <c r="AI151" s="44">
        <f t="shared" si="50"/>
        <v>0</v>
      </c>
      <c r="AJ151" s="44">
        <f t="shared" si="51"/>
        <v>0</v>
      </c>
      <c r="AK151" s="44">
        <f>HLOOKUP(I151,ElecAvoidedCostsWOCC!$A$5:$Q$50,G151+1,FALSE)*J151*L151</f>
        <v>0</v>
      </c>
      <c r="AL151" s="44">
        <f t="shared" si="52"/>
        <v>0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53"/>
        <v>0</v>
      </c>
      <c r="AO151" s="47">
        <f t="shared" si="54"/>
        <v>0</v>
      </c>
      <c r="AP151" s="47">
        <f t="shared" si="55"/>
        <v>0</v>
      </c>
      <c r="AQ151">
        <v>2021</v>
      </c>
    </row>
    <row r="152" spans="2:43">
      <c r="B152" s="97" t="s">
        <v>74</v>
      </c>
      <c r="C152" s="100">
        <v>18230611</v>
      </c>
      <c r="D152" s="100" t="s">
        <v>75</v>
      </c>
      <c r="E152" s="38" t="s">
        <v>1580</v>
      </c>
      <c r="F152" s="39" t="s">
        <v>1581</v>
      </c>
      <c r="G152" s="39">
        <v>30</v>
      </c>
      <c r="H152" s="39"/>
      <c r="I152" s="40" t="s">
        <v>267</v>
      </c>
      <c r="J152" s="41">
        <v>3</v>
      </c>
      <c r="K152" s="41">
        <v>0</v>
      </c>
      <c r="L152" s="41"/>
      <c r="M152" s="42">
        <v>0.95</v>
      </c>
      <c r="N152" s="42">
        <v>0.95</v>
      </c>
      <c r="O152" s="43">
        <v>0</v>
      </c>
      <c r="P152" s="44">
        <v>5123.7299999999996</v>
      </c>
      <c r="Q152" s="44">
        <v>5123.7299999999996</v>
      </c>
      <c r="R152" s="45">
        <v>0</v>
      </c>
      <c r="S152" s="46"/>
      <c r="T152" s="39">
        <f t="shared" ref="T152:T215" si="57">G152+H152</f>
        <v>30</v>
      </c>
      <c r="U152" s="47">
        <f t="shared" ref="U152:U215" si="58">(O152/$A$10)*T152</f>
        <v>0</v>
      </c>
      <c r="V152" s="48">
        <f t="shared" ref="V152:V215" si="59">N152-M152</f>
        <v>0</v>
      </c>
      <c r="W152" s="49">
        <f t="shared" ref="W152:W215" si="60">(O152/A$10)</f>
        <v>0</v>
      </c>
      <c r="X152" s="44">
        <f t="shared" ref="X152:X215" si="61">W152*A$8</f>
        <v>0</v>
      </c>
      <c r="Y152" s="44">
        <f t="shared" ref="Y152:Y215" si="62">Q152-P152</f>
        <v>0</v>
      </c>
      <c r="Z152" s="44">
        <f t="shared" ref="Z152:Z215" si="63">X152+(A$6*W152)</f>
        <v>0</v>
      </c>
      <c r="AA152" s="522">
        <f t="shared" si="56"/>
        <v>5285.1928254888626</v>
      </c>
      <c r="AB152" s="51">
        <f t="shared" ref="AB152:AB215" si="64">Z152/(1+ElecDiscountRate)^1</f>
        <v>0</v>
      </c>
      <c r="AC152" s="44">
        <f t="shared" ref="AC152:AC215" si="65">AA152/(1+ElecDiscountRate)^1</f>
        <v>4940.8178232110522</v>
      </c>
      <c r="AD152" s="44">
        <f t="shared" ref="AD152:AD215" si="66">-PV(ElecDiscountRate,T152,R152)*J152</f>
        <v>0</v>
      </c>
      <c r="AE152" s="44">
        <f t="shared" ref="AE152:AE215" si="67">-PV(ElecDiscountRate,T152,S152)*J152</f>
        <v>0</v>
      </c>
      <c r="AF152" s="52">
        <f>HLOOKUP(I152,ElecAvoidedCostsWOCC!$A$5:$Q$50,G152+1,FALSE)</f>
        <v>2.1643436258224993</v>
      </c>
      <c r="AG152" s="44">
        <f t="shared" ref="AG152:AG215" si="68">AF152*J152*K152</f>
        <v>0</v>
      </c>
      <c r="AH152" s="52">
        <f>HLOOKUP(I152,ElecAvoidedCostsWOCC!$A$5:$Q$50,T152+1,FALSE)</f>
        <v>2.1643436258224993</v>
      </c>
      <c r="AI152" s="44">
        <f t="shared" ref="AI152:AI215" si="69">AH152*J152*L152</f>
        <v>0</v>
      </c>
      <c r="AJ152" s="44">
        <f t="shared" ref="AJ152:AJ215" si="70">AG152+AI152</f>
        <v>0</v>
      </c>
      <c r="AK152" s="44">
        <f>HLOOKUP(I152,ElecAvoidedCostsWOCC!$A$5:$Q$50,G152+1,FALSE)*J152*L152</f>
        <v>0</v>
      </c>
      <c r="AL152" s="44">
        <f t="shared" ref="AL152:AL215" si="71">AG152+AI152-AK152</f>
        <v>0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ref="AN152:AN215" si="72">AM152*1.1+AD152+AE152</f>
        <v>0</v>
      </c>
      <c r="AO152" s="47">
        <f t="shared" ref="AO152:AO215" si="73">IFERROR(AM152/AB152,0)</f>
        <v>0</v>
      </c>
      <c r="AP152" s="47">
        <f t="shared" ref="AP152:AP215" si="74">AN152/AC152</f>
        <v>0</v>
      </c>
      <c r="AQ152">
        <v>2021</v>
      </c>
    </row>
    <row r="153" spans="2:43">
      <c r="B153" s="97" t="s">
        <v>74</v>
      </c>
      <c r="C153" s="100">
        <v>18230611</v>
      </c>
      <c r="D153" s="100" t="s">
        <v>75</v>
      </c>
      <c r="E153" s="38" t="s">
        <v>1582</v>
      </c>
      <c r="F153" s="39" t="s">
        <v>1583</v>
      </c>
      <c r="G153" s="39">
        <v>30</v>
      </c>
      <c r="H153" s="39"/>
      <c r="I153" s="40" t="s">
        <v>267</v>
      </c>
      <c r="J153" s="41">
        <v>8</v>
      </c>
      <c r="K153" s="41">
        <v>0</v>
      </c>
      <c r="L153" s="41"/>
      <c r="M153" s="42">
        <v>2.75</v>
      </c>
      <c r="N153" s="42">
        <v>2.75</v>
      </c>
      <c r="O153" s="43">
        <v>0</v>
      </c>
      <c r="P153" s="44">
        <v>75843.63</v>
      </c>
      <c r="Q153" s="44">
        <v>75843.63</v>
      </c>
      <c r="R153" s="45">
        <v>0</v>
      </c>
      <c r="S153" s="46"/>
      <c r="T153" s="39">
        <f t="shared" si="57"/>
        <v>30</v>
      </c>
      <c r="U153" s="47">
        <f t="shared" si="58"/>
        <v>0</v>
      </c>
      <c r="V153" s="48">
        <f t="shared" si="59"/>
        <v>0</v>
      </c>
      <c r="W153" s="49">
        <f t="shared" si="60"/>
        <v>0</v>
      </c>
      <c r="X153" s="44">
        <f t="shared" si="61"/>
        <v>0</v>
      </c>
      <c r="Y153" s="44">
        <f t="shared" si="62"/>
        <v>0</v>
      </c>
      <c r="Z153" s="44">
        <f t="shared" si="63"/>
        <v>0</v>
      </c>
      <c r="AA153" s="522">
        <f t="shared" si="56"/>
        <v>78233.671394673787</v>
      </c>
      <c r="AB153" s="51">
        <f t="shared" si="64"/>
        <v>0</v>
      </c>
      <c r="AC153" s="44">
        <f t="shared" si="65"/>
        <v>73136.086187411216</v>
      </c>
      <c r="AD153" s="44">
        <f t="shared" si="66"/>
        <v>0</v>
      </c>
      <c r="AE153" s="44">
        <f t="shared" si="67"/>
        <v>0</v>
      </c>
      <c r="AF153" s="52">
        <f>HLOOKUP(I153,ElecAvoidedCostsWOCC!$A$5:$Q$50,G153+1,FALSE)</f>
        <v>2.1643436258224993</v>
      </c>
      <c r="AG153" s="44">
        <f t="shared" si="68"/>
        <v>0</v>
      </c>
      <c r="AH153" s="52">
        <f>HLOOKUP(I153,ElecAvoidedCostsWOCC!$A$5:$Q$50,T153+1,FALSE)</f>
        <v>2.1643436258224993</v>
      </c>
      <c r="AI153" s="44">
        <f t="shared" si="69"/>
        <v>0</v>
      </c>
      <c r="AJ153" s="44">
        <f t="shared" si="70"/>
        <v>0</v>
      </c>
      <c r="AK153" s="44">
        <f>HLOOKUP(I153,ElecAvoidedCostsWOCC!$A$5:$Q$50,G153+1,FALSE)*J153*L153</f>
        <v>0</v>
      </c>
      <c r="AL153" s="44">
        <f t="shared" si="71"/>
        <v>0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72"/>
        <v>0</v>
      </c>
      <c r="AO153" s="47">
        <f t="shared" si="73"/>
        <v>0</v>
      </c>
      <c r="AP153" s="47">
        <f t="shared" si="74"/>
        <v>0</v>
      </c>
      <c r="AQ153">
        <v>2021</v>
      </c>
    </row>
    <row r="154" spans="2:43">
      <c r="B154" s="97" t="s">
        <v>74</v>
      </c>
      <c r="C154" s="100">
        <v>18230611</v>
      </c>
      <c r="D154" s="100" t="s">
        <v>75</v>
      </c>
      <c r="E154" s="38" t="s">
        <v>1592</v>
      </c>
      <c r="F154" s="39" t="s">
        <v>1593</v>
      </c>
      <c r="G154" s="39">
        <v>15</v>
      </c>
      <c r="H154" s="39"/>
      <c r="I154" s="40" t="s">
        <v>265</v>
      </c>
      <c r="J154" s="41">
        <v>71</v>
      </c>
      <c r="K154" s="41">
        <v>20.68</v>
      </c>
      <c r="L154" s="41"/>
      <c r="M154" s="42">
        <v>20</v>
      </c>
      <c r="N154" s="42">
        <v>20</v>
      </c>
      <c r="O154" s="43">
        <v>1468.28</v>
      </c>
      <c r="P154" s="44">
        <v>3665.85</v>
      </c>
      <c r="Q154" s="44">
        <v>3665.85</v>
      </c>
      <c r="R154" s="45">
        <v>0</v>
      </c>
      <c r="S154" s="46">
        <v>0</v>
      </c>
      <c r="T154" s="39">
        <f t="shared" si="57"/>
        <v>15</v>
      </c>
      <c r="U154" s="47">
        <f t="shared" si="58"/>
        <v>9.5430070725805154E-3</v>
      </c>
      <c r="V154" s="48">
        <f t="shared" si="59"/>
        <v>0</v>
      </c>
      <c r="W154" s="49">
        <f t="shared" si="60"/>
        <v>6.362004715053677E-4</v>
      </c>
      <c r="X154" s="44">
        <f t="shared" si="61"/>
        <v>169.1074357720922</v>
      </c>
      <c r="Y154" s="44">
        <f t="shared" si="62"/>
        <v>0</v>
      </c>
      <c r="Z154" s="44">
        <f t="shared" si="63"/>
        <v>4533.0586660563185</v>
      </c>
      <c r="AA154" s="522">
        <f t="shared" si="56"/>
        <v>3950.4784524568804</v>
      </c>
      <c r="AB154" s="51">
        <f t="shared" si="64"/>
        <v>4237.6915640425523</v>
      </c>
      <c r="AC154" s="44">
        <f t="shared" si="65"/>
        <v>3693.0713774487053</v>
      </c>
      <c r="AD154" s="44">
        <f t="shared" si="66"/>
        <v>0</v>
      </c>
      <c r="AE154" s="44">
        <f t="shared" si="67"/>
        <v>0</v>
      </c>
      <c r="AF154" s="52">
        <f>HLOOKUP(I154,ElecAvoidedCostsWOCC!$A$5:$Q$50,G154+1,FALSE)</f>
        <v>1.0786528141421943</v>
      </c>
      <c r="AG154" s="44">
        <f t="shared" si="68"/>
        <v>1583.764353948701</v>
      </c>
      <c r="AH154" s="52">
        <f>HLOOKUP(I154,ElecAvoidedCostsWOCC!$A$5:$Q$50,T154+1,FALSE)</f>
        <v>1.0786528141421943</v>
      </c>
      <c r="AI154" s="44">
        <f t="shared" si="69"/>
        <v>0</v>
      </c>
      <c r="AJ154" s="44">
        <f t="shared" si="70"/>
        <v>1583.764353948701</v>
      </c>
      <c r="AK154" s="44">
        <f>HLOOKUP(I154,ElecAvoidedCostsWOCC!$A$5:$Q$50,G154+1,FALSE)*J154*L154</f>
        <v>0</v>
      </c>
      <c r="AL154" s="44">
        <f t="shared" si="71"/>
        <v>1583.764353948701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1583.764353948701</v>
      </c>
      <c r="AN154" s="48">
        <f t="shared" si="72"/>
        <v>1742.1407893435712</v>
      </c>
      <c r="AO154" s="47">
        <f t="shared" si="73"/>
        <v>0.37373280476266341</v>
      </c>
      <c r="AP154" s="47">
        <f t="shared" si="74"/>
        <v>0.47173222808033</v>
      </c>
      <c r="AQ154">
        <v>2021</v>
      </c>
    </row>
    <row r="155" spans="2:43">
      <c r="B155" s="97" t="s">
        <v>74</v>
      </c>
      <c r="C155" s="100">
        <v>18230611</v>
      </c>
      <c r="D155" s="100" t="s">
        <v>75</v>
      </c>
      <c r="E155" s="38" t="s">
        <v>1596</v>
      </c>
      <c r="F155" s="39" t="s">
        <v>1597</v>
      </c>
      <c r="G155" s="39">
        <v>15</v>
      </c>
      <c r="H155" s="39"/>
      <c r="I155" s="40" t="s">
        <v>265</v>
      </c>
      <c r="J155" s="41">
        <v>26</v>
      </c>
      <c r="K155" s="41">
        <v>20.68</v>
      </c>
      <c r="L155" s="41"/>
      <c r="M155" s="42">
        <v>20</v>
      </c>
      <c r="N155" s="42">
        <v>20</v>
      </c>
      <c r="O155" s="43">
        <v>537.67999999999995</v>
      </c>
      <c r="P155" s="44">
        <v>2687.72</v>
      </c>
      <c r="Q155" s="44">
        <v>2687.72</v>
      </c>
      <c r="R155" s="45">
        <v>0</v>
      </c>
      <c r="S155" s="46">
        <v>0</v>
      </c>
      <c r="T155" s="39">
        <f t="shared" si="57"/>
        <v>15</v>
      </c>
      <c r="U155" s="47">
        <f t="shared" si="58"/>
        <v>3.4946223082689206E-3</v>
      </c>
      <c r="V155" s="48">
        <f t="shared" si="59"/>
        <v>0</v>
      </c>
      <c r="W155" s="49">
        <f t="shared" si="60"/>
        <v>2.3297482055126137E-4</v>
      </c>
      <c r="X155" s="44">
        <f t="shared" si="61"/>
        <v>61.926666620766142</v>
      </c>
      <c r="Y155" s="44">
        <f t="shared" si="62"/>
        <v>0</v>
      </c>
      <c r="Z155" s="44">
        <f t="shared" si="63"/>
        <v>1659.9933143304827</v>
      </c>
      <c r="AA155" s="522">
        <f t="shared" si="56"/>
        <v>2834.3441165884515</v>
      </c>
      <c r="AB155" s="51">
        <f t="shared" si="64"/>
        <v>1551.8307135930472</v>
      </c>
      <c r="AC155" s="44">
        <f t="shared" si="65"/>
        <v>2649.6626311942146</v>
      </c>
      <c r="AD155" s="44">
        <f t="shared" si="66"/>
        <v>0</v>
      </c>
      <c r="AE155" s="44">
        <f t="shared" si="67"/>
        <v>0</v>
      </c>
      <c r="AF155" s="52">
        <f>HLOOKUP(I155,ElecAvoidedCostsWOCC!$A$5:$Q$50,G155+1,FALSE)</f>
        <v>1.0786528141421943</v>
      </c>
      <c r="AG155" s="44">
        <f t="shared" si="68"/>
        <v>579.97004510797501</v>
      </c>
      <c r="AH155" s="52">
        <f>HLOOKUP(I155,ElecAvoidedCostsWOCC!$A$5:$Q$50,T155+1,FALSE)</f>
        <v>1.0786528141421943</v>
      </c>
      <c r="AI155" s="44">
        <f t="shared" si="69"/>
        <v>0</v>
      </c>
      <c r="AJ155" s="44">
        <f t="shared" si="70"/>
        <v>579.97004510797501</v>
      </c>
      <c r="AK155" s="44">
        <f>HLOOKUP(I155,ElecAvoidedCostsWOCC!$A$5:$Q$50,G155+1,FALSE)*J155*L155</f>
        <v>0</v>
      </c>
      <c r="AL155" s="44">
        <f t="shared" si="71"/>
        <v>579.97004510797501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579.97004510797501</v>
      </c>
      <c r="AN155" s="48">
        <f t="shared" si="72"/>
        <v>637.96704961877253</v>
      </c>
      <c r="AO155" s="47">
        <f t="shared" si="73"/>
        <v>0.37373280476266346</v>
      </c>
      <c r="AP155" s="47">
        <f t="shared" si="74"/>
        <v>0.24077293543262826</v>
      </c>
      <c r="AQ155">
        <v>2021</v>
      </c>
    </row>
    <row r="156" spans="2:43">
      <c r="B156" s="97" t="s">
        <v>74</v>
      </c>
      <c r="C156" s="100">
        <v>18230611</v>
      </c>
      <c r="D156" s="100" t="s">
        <v>75</v>
      </c>
      <c r="E156" s="38" t="s">
        <v>1600</v>
      </c>
      <c r="F156" s="39" t="s">
        <v>1601</v>
      </c>
      <c r="G156" s="39"/>
      <c r="H156" s="39"/>
      <c r="I156" s="40"/>
      <c r="J156" s="41">
        <v>1</v>
      </c>
      <c r="K156" s="41">
        <v>0</v>
      </c>
      <c r="L156" s="41"/>
      <c r="M156" s="42">
        <v>201.47</v>
      </c>
      <c r="N156" s="42">
        <v>201.47</v>
      </c>
      <c r="O156" s="43">
        <v>0</v>
      </c>
      <c r="P156" s="44">
        <v>201.47</v>
      </c>
      <c r="Q156" s="44">
        <v>201.47</v>
      </c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22">
        <f t="shared" si="56"/>
        <v>207.81887385776406</v>
      </c>
      <c r="AB156" s="51">
        <f t="shared" si="64"/>
        <v>0</v>
      </c>
      <c r="AC156" s="44">
        <f t="shared" si="65"/>
        <v>194.27771698398058</v>
      </c>
      <c r="AD156" s="44">
        <f t="shared" si="66"/>
        <v>0</v>
      </c>
      <c r="AE156" s="44">
        <f t="shared" si="67"/>
        <v>0</v>
      </c>
      <c r="AF156" s="52" t="e">
        <f>HLOOKUP(I156,ElecAvoidedCostsWOCC!$A$5:$Q$50,G156+1,FALSE)</f>
        <v>#N/A</v>
      </c>
      <c r="AG156" s="44" t="e">
        <f t="shared" si="68"/>
        <v>#N/A</v>
      </c>
      <c r="AH156" s="52" t="e">
        <f>HLOOKUP(I156,ElecAvoidedCostsWOCC!$A$5:$Q$50,T156+1,FALSE)</f>
        <v>#N/A</v>
      </c>
      <c r="AI156" s="44" t="e">
        <f t="shared" si="69"/>
        <v>#N/A</v>
      </c>
      <c r="AJ156" s="44" t="e">
        <f t="shared" si="70"/>
        <v>#N/A</v>
      </c>
      <c r="AK156" s="44" t="e">
        <f>HLOOKUP(I156,ElecAvoidedCostsWOCC!$A$5:$Q$50,G156+1,FALSE)*J156*L156</f>
        <v>#N/A</v>
      </c>
      <c r="AL156" s="44" t="e">
        <f t="shared" si="71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2"/>
        <v>0</v>
      </c>
      <c r="AO156" s="47">
        <f t="shared" si="73"/>
        <v>0</v>
      </c>
      <c r="AP156" s="47">
        <f t="shared" si="74"/>
        <v>0</v>
      </c>
      <c r="AQ156">
        <v>2021</v>
      </c>
    </row>
    <row r="157" spans="2:43">
      <c r="B157" s="97" t="s">
        <v>74</v>
      </c>
      <c r="C157" s="100">
        <v>18230611</v>
      </c>
      <c r="D157" s="100" t="s">
        <v>75</v>
      </c>
      <c r="E157" s="38" t="s">
        <v>1602</v>
      </c>
      <c r="F157" s="39" t="s">
        <v>1603</v>
      </c>
      <c r="G157" s="39"/>
      <c r="H157" s="39"/>
      <c r="I157" s="40"/>
      <c r="J157" s="41">
        <v>2</v>
      </c>
      <c r="K157" s="41">
        <v>0</v>
      </c>
      <c r="L157" s="41"/>
      <c r="M157" s="42">
        <v>294.89</v>
      </c>
      <c r="N157" s="42">
        <v>294.89</v>
      </c>
      <c r="O157" s="43">
        <v>0</v>
      </c>
      <c r="P157" s="44">
        <v>589.78</v>
      </c>
      <c r="Q157" s="44">
        <v>589.78</v>
      </c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22">
        <f t="shared" si="56"/>
        <v>608.36559003242212</v>
      </c>
      <c r="AB157" s="51">
        <f t="shared" si="64"/>
        <v>0</v>
      </c>
      <c r="AC157" s="44">
        <f t="shared" si="65"/>
        <v>568.72542772031602</v>
      </c>
      <c r="AD157" s="44">
        <f t="shared" si="66"/>
        <v>0</v>
      </c>
      <c r="AE157" s="44">
        <f t="shared" si="67"/>
        <v>0</v>
      </c>
      <c r="AF157" s="52" t="e">
        <f>HLOOKUP(I157,ElecAvoidedCostsWOCC!$A$5:$Q$50,G157+1,FALSE)</f>
        <v>#N/A</v>
      </c>
      <c r="AG157" s="44" t="e">
        <f t="shared" si="68"/>
        <v>#N/A</v>
      </c>
      <c r="AH157" s="52" t="e">
        <f>HLOOKUP(I157,ElecAvoidedCostsWOCC!$A$5:$Q$50,T157+1,FALSE)</f>
        <v>#N/A</v>
      </c>
      <c r="AI157" s="44" t="e">
        <f t="shared" si="69"/>
        <v>#N/A</v>
      </c>
      <c r="AJ157" s="44" t="e">
        <f t="shared" si="70"/>
        <v>#N/A</v>
      </c>
      <c r="AK157" s="44" t="e">
        <f>HLOOKUP(I157,ElecAvoidedCostsWOCC!$A$5:$Q$50,G157+1,FALSE)*J157*L157</f>
        <v>#N/A</v>
      </c>
      <c r="AL157" s="44" t="e">
        <f t="shared" si="71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2"/>
        <v>0</v>
      </c>
      <c r="AO157" s="47">
        <f t="shared" si="73"/>
        <v>0</v>
      </c>
      <c r="AP157" s="47">
        <f t="shared" si="74"/>
        <v>0</v>
      </c>
      <c r="AQ157">
        <v>2021</v>
      </c>
    </row>
    <row r="158" spans="2:43">
      <c r="B158" s="97" t="s">
        <v>74</v>
      </c>
      <c r="C158" s="100">
        <v>18230611</v>
      </c>
      <c r="D158" s="100" t="s">
        <v>75</v>
      </c>
      <c r="E158" s="38" t="s">
        <v>1604</v>
      </c>
      <c r="F158" s="39" t="s">
        <v>1605</v>
      </c>
      <c r="G158" s="39">
        <v>25</v>
      </c>
      <c r="H158" s="39"/>
      <c r="I158" s="40" t="s">
        <v>269</v>
      </c>
      <c r="J158" s="41">
        <v>244</v>
      </c>
      <c r="K158" s="41">
        <v>6.71</v>
      </c>
      <c r="L158" s="41"/>
      <c r="M158" s="42">
        <v>18.53</v>
      </c>
      <c r="N158" s="42">
        <v>18.53</v>
      </c>
      <c r="O158" s="43">
        <v>1637.24</v>
      </c>
      <c r="P158" s="44">
        <v>5877.72</v>
      </c>
      <c r="Q158" s="44">
        <v>5877.72</v>
      </c>
      <c r="R158" s="45">
        <v>0</v>
      </c>
      <c r="S158" s="46">
        <v>0</v>
      </c>
      <c r="T158" s="39">
        <f t="shared" si="57"/>
        <v>25</v>
      </c>
      <c r="U158" s="47">
        <f t="shared" si="58"/>
        <v>1.7735255877071272E-2</v>
      </c>
      <c r="V158" s="48">
        <f t="shared" si="59"/>
        <v>0</v>
      </c>
      <c r="W158" s="49">
        <f t="shared" si="60"/>
        <v>7.0941023508285081E-4</v>
      </c>
      <c r="X158" s="44">
        <f t="shared" si="61"/>
        <v>188.56720662509889</v>
      </c>
      <c r="Y158" s="44">
        <f t="shared" si="62"/>
        <v>0</v>
      </c>
      <c r="Z158" s="44">
        <f t="shared" si="63"/>
        <v>5054.6932263696617</v>
      </c>
      <c r="AA158" s="522">
        <f t="shared" si="56"/>
        <v>6251.5103309178321</v>
      </c>
      <c r="AB158" s="51">
        <f t="shared" si="64"/>
        <v>4725.3372219965049</v>
      </c>
      <c r="AC158" s="44">
        <f t="shared" si="65"/>
        <v>5844.1715723266634</v>
      </c>
      <c r="AD158" s="44">
        <f t="shared" si="66"/>
        <v>0</v>
      </c>
      <c r="AE158" s="44">
        <f t="shared" si="67"/>
        <v>0</v>
      </c>
      <c r="AF158" s="52">
        <f>HLOOKUP(I158,ElecAvoidedCostsWOCC!$A$5:$Q$50,G158+1,FALSE)</f>
        <v>2.0508206305871441</v>
      </c>
      <c r="AG158" s="44">
        <f t="shared" si="68"/>
        <v>3357.6855692224958</v>
      </c>
      <c r="AH158" s="52">
        <f>HLOOKUP(I158,ElecAvoidedCostsWOCC!$A$5:$Q$50,T158+1,FALSE)</f>
        <v>2.0508206305871441</v>
      </c>
      <c r="AI158" s="44">
        <f t="shared" si="69"/>
        <v>0</v>
      </c>
      <c r="AJ158" s="44">
        <f t="shared" si="70"/>
        <v>3357.6855692224958</v>
      </c>
      <c r="AK158" s="44">
        <f>HLOOKUP(I158,ElecAvoidedCostsWOCC!$A$5:$Q$50,G158+1,FALSE)*J158*L158</f>
        <v>0</v>
      </c>
      <c r="AL158" s="44">
        <f t="shared" si="71"/>
        <v>3357.6855692224958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3357.6855692224958</v>
      </c>
      <c r="AN158" s="48">
        <f t="shared" si="72"/>
        <v>3693.4541261447457</v>
      </c>
      <c r="AO158" s="47">
        <f t="shared" si="73"/>
        <v>0.71057057125837009</v>
      </c>
      <c r="AP158" s="47">
        <f t="shared" si="74"/>
        <v>0.63198933851189443</v>
      </c>
      <c r="AQ158">
        <v>2021</v>
      </c>
    </row>
    <row r="159" spans="2:43">
      <c r="B159" s="97" t="s">
        <v>74</v>
      </c>
      <c r="C159" s="100">
        <v>18230611</v>
      </c>
      <c r="D159" s="100" t="s">
        <v>75</v>
      </c>
      <c r="E159" s="38" t="s">
        <v>1606</v>
      </c>
      <c r="F159" s="39" t="s">
        <v>1607</v>
      </c>
      <c r="G159" s="39">
        <v>25</v>
      </c>
      <c r="H159" s="39"/>
      <c r="I159" s="40" t="s">
        <v>269</v>
      </c>
      <c r="J159" s="41">
        <v>1146</v>
      </c>
      <c r="K159" s="41">
        <v>16.53</v>
      </c>
      <c r="L159" s="41"/>
      <c r="M159" s="42">
        <v>18.53</v>
      </c>
      <c r="N159" s="42">
        <v>18.53</v>
      </c>
      <c r="O159" s="43">
        <v>18943.38</v>
      </c>
      <c r="P159" s="44">
        <v>26892.67</v>
      </c>
      <c r="Q159" s="44">
        <v>26892.67</v>
      </c>
      <c r="R159" s="45">
        <v>0</v>
      </c>
      <c r="S159" s="46">
        <v>0</v>
      </c>
      <c r="T159" s="39">
        <f t="shared" si="57"/>
        <v>25</v>
      </c>
      <c r="U159" s="47">
        <f t="shared" si="58"/>
        <v>0.20520246969081771</v>
      </c>
      <c r="V159" s="48">
        <f t="shared" si="59"/>
        <v>0</v>
      </c>
      <c r="W159" s="49">
        <f t="shared" si="60"/>
        <v>8.2080987876327078E-3</v>
      </c>
      <c r="X159" s="44">
        <f t="shared" si="61"/>
        <v>2181.781687863579</v>
      </c>
      <c r="Y159" s="44">
        <f t="shared" si="62"/>
        <v>0</v>
      </c>
      <c r="Z159" s="44">
        <f t="shared" si="63"/>
        <v>58484.385044676725</v>
      </c>
      <c r="AA159" s="522">
        <f t="shared" si="56"/>
        <v>29921.913689791782</v>
      </c>
      <c r="AB159" s="51">
        <f t="shared" si="64"/>
        <v>54673.632836007033</v>
      </c>
      <c r="AC159" s="44">
        <f t="shared" si="65"/>
        <v>27972.248003918648</v>
      </c>
      <c r="AD159" s="44">
        <f t="shared" si="66"/>
        <v>0</v>
      </c>
      <c r="AE159" s="44">
        <f t="shared" si="67"/>
        <v>0</v>
      </c>
      <c r="AF159" s="52">
        <f>HLOOKUP(I159,ElecAvoidedCostsWOCC!$A$5:$Q$50,G159+1,FALSE)</f>
        <v>2.0508206305871441</v>
      </c>
      <c r="AG159" s="44">
        <f t="shared" si="68"/>
        <v>38849.474517051902</v>
      </c>
      <c r="AH159" s="52">
        <f>HLOOKUP(I159,ElecAvoidedCostsWOCC!$A$5:$Q$50,T159+1,FALSE)</f>
        <v>2.0508206305871441</v>
      </c>
      <c r="AI159" s="44">
        <f t="shared" si="69"/>
        <v>0</v>
      </c>
      <c r="AJ159" s="44">
        <f t="shared" si="70"/>
        <v>38849.474517051902</v>
      </c>
      <c r="AK159" s="44">
        <f>HLOOKUP(I159,ElecAvoidedCostsWOCC!$A$5:$Q$50,G159+1,FALSE)*J159*L159</f>
        <v>0</v>
      </c>
      <c r="AL159" s="44">
        <f t="shared" si="71"/>
        <v>38849.474517051902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38849.474517051895</v>
      </c>
      <c r="AN159" s="48">
        <f t="shared" si="72"/>
        <v>42734.421968757088</v>
      </c>
      <c r="AO159" s="47">
        <f t="shared" si="73"/>
        <v>0.71057057125836998</v>
      </c>
      <c r="AP159" s="47">
        <f t="shared" si="74"/>
        <v>1.5277435679381364</v>
      </c>
      <c r="AQ159">
        <v>2021</v>
      </c>
    </row>
    <row r="160" spans="2:43">
      <c r="B160" s="97" t="s">
        <v>74</v>
      </c>
      <c r="C160" s="100">
        <v>18230611</v>
      </c>
      <c r="D160" s="100" t="s">
        <v>75</v>
      </c>
      <c r="E160" s="38" t="s">
        <v>1608</v>
      </c>
      <c r="F160" s="39" t="s">
        <v>1609</v>
      </c>
      <c r="G160" s="39">
        <v>45</v>
      </c>
      <c r="H160" s="39"/>
      <c r="I160" s="40" t="s">
        <v>269</v>
      </c>
      <c r="J160" s="41">
        <v>232</v>
      </c>
      <c r="K160" s="41">
        <v>3.98</v>
      </c>
      <c r="L160" s="41"/>
      <c r="M160" s="42">
        <v>22.6</v>
      </c>
      <c r="N160" s="42">
        <v>22.6</v>
      </c>
      <c r="O160" s="43">
        <v>923.36</v>
      </c>
      <c r="P160" s="44">
        <v>6816.16</v>
      </c>
      <c r="Q160" s="44">
        <v>6816.16</v>
      </c>
      <c r="R160" s="45">
        <v>0</v>
      </c>
      <c r="S160" s="46">
        <v>0</v>
      </c>
      <c r="T160" s="39">
        <f t="shared" si="57"/>
        <v>45</v>
      </c>
      <c r="U160" s="47">
        <f t="shared" si="58"/>
        <v>1.8003986318422802E-2</v>
      </c>
      <c r="V160" s="48">
        <f t="shared" si="59"/>
        <v>0</v>
      </c>
      <c r="W160" s="49">
        <f t="shared" si="60"/>
        <v>4.0008858485384005E-4</v>
      </c>
      <c r="X160" s="44">
        <f t="shared" si="61"/>
        <v>106.34691059914937</v>
      </c>
      <c r="Y160" s="44">
        <f t="shared" si="62"/>
        <v>0</v>
      </c>
      <c r="Z160" s="44">
        <f t="shared" si="63"/>
        <v>2850.7131132275604</v>
      </c>
      <c r="AA160" s="522">
        <f t="shared" si="56"/>
        <v>7137.3028605387772</v>
      </c>
      <c r="AB160" s="51">
        <f t="shared" si="64"/>
        <v>2664.9650492919136</v>
      </c>
      <c r="AC160" s="44">
        <f t="shared" si="65"/>
        <v>6672.2472286984921</v>
      </c>
      <c r="AD160" s="44">
        <f t="shared" si="66"/>
        <v>0</v>
      </c>
      <c r="AE160" s="44">
        <f t="shared" si="67"/>
        <v>0</v>
      </c>
      <c r="AF160" s="52">
        <f>HLOOKUP(I160,ElecAvoidedCostsWOCC!$A$5:$Q$50,G160+1,FALSE)</f>
        <v>3.4276422079642828</v>
      </c>
      <c r="AG160" s="44">
        <f t="shared" si="68"/>
        <v>3164.9477091459003</v>
      </c>
      <c r="AH160" s="52">
        <f>HLOOKUP(I160,ElecAvoidedCostsWOCC!$A$5:$Q$50,T160+1,FALSE)</f>
        <v>3.4276422079642828</v>
      </c>
      <c r="AI160" s="44">
        <f t="shared" si="69"/>
        <v>0</v>
      </c>
      <c r="AJ160" s="44">
        <f t="shared" si="70"/>
        <v>3164.9477091459003</v>
      </c>
      <c r="AK160" s="44">
        <f>HLOOKUP(I160,ElecAvoidedCostsWOCC!$A$5:$Q$50,G160+1,FALSE)*J160*L160</f>
        <v>0</v>
      </c>
      <c r="AL160" s="44">
        <f t="shared" si="71"/>
        <v>3164.9477091459003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3164.9477091459003</v>
      </c>
      <c r="AN160" s="48">
        <f t="shared" si="72"/>
        <v>3481.4424800604907</v>
      </c>
      <c r="AO160" s="47">
        <f t="shared" si="73"/>
        <v>1.1876132146599194</v>
      </c>
      <c r="AP160" s="47">
        <f t="shared" si="74"/>
        <v>0.52177959849662092</v>
      </c>
      <c r="AQ160">
        <v>2021</v>
      </c>
    </row>
    <row r="161" spans="2:43">
      <c r="B161" s="97" t="s">
        <v>74</v>
      </c>
      <c r="C161" s="100">
        <v>18230611</v>
      </c>
      <c r="D161" s="100" t="s">
        <v>75</v>
      </c>
      <c r="E161" s="38" t="s">
        <v>1610</v>
      </c>
      <c r="F161" s="39" t="s">
        <v>1611</v>
      </c>
      <c r="G161" s="39">
        <v>45</v>
      </c>
      <c r="H161" s="39"/>
      <c r="I161" s="40" t="s">
        <v>267</v>
      </c>
      <c r="J161" s="41">
        <v>8136</v>
      </c>
      <c r="K161" s="41">
        <v>0.95</v>
      </c>
      <c r="L161" s="41"/>
      <c r="M161" s="42">
        <v>2.4300000000000002</v>
      </c>
      <c r="N161" s="42">
        <v>2.4300000000000002</v>
      </c>
      <c r="O161" s="43">
        <v>7729.2</v>
      </c>
      <c r="P161" s="44">
        <v>25701.62</v>
      </c>
      <c r="Q161" s="44">
        <v>25701.62</v>
      </c>
      <c r="R161" s="45">
        <v>0</v>
      </c>
      <c r="S161" s="46">
        <v>0</v>
      </c>
      <c r="T161" s="39">
        <f t="shared" si="57"/>
        <v>45</v>
      </c>
      <c r="U161" s="47">
        <f t="shared" si="58"/>
        <v>0.15070656196104826</v>
      </c>
      <c r="V161" s="48">
        <f t="shared" si="59"/>
        <v>0</v>
      </c>
      <c r="W161" s="49">
        <f t="shared" si="60"/>
        <v>3.3490347102455168E-3</v>
      </c>
      <c r="X161" s="44">
        <f t="shared" si="61"/>
        <v>890.20159136517202</v>
      </c>
      <c r="Y161" s="44">
        <f t="shared" si="62"/>
        <v>0</v>
      </c>
      <c r="Z161" s="44">
        <f t="shared" si="63"/>
        <v>23862.558259788661</v>
      </c>
      <c r="AA161" s="522">
        <f t="shared" si="56"/>
        <v>27401.750331724455</v>
      </c>
      <c r="AB161" s="51">
        <f t="shared" si="64"/>
        <v>22307.710815919098</v>
      </c>
      <c r="AC161" s="44">
        <f t="shared" si="65"/>
        <v>25616.294598227963</v>
      </c>
      <c r="AD161" s="44">
        <f t="shared" si="66"/>
        <v>0</v>
      </c>
      <c r="AE161" s="44">
        <f t="shared" si="67"/>
        <v>0</v>
      </c>
      <c r="AF161" s="52">
        <f>HLOOKUP(I161,ElecAvoidedCostsWOCC!$A$5:$Q$50,G161+1,FALSE)</f>
        <v>3.1346149049506007</v>
      </c>
      <c r="AG161" s="44">
        <f t="shared" si="68"/>
        <v>24228.065523344183</v>
      </c>
      <c r="AH161" s="52">
        <f>HLOOKUP(I161,ElecAvoidedCostsWOCC!$A$5:$Q$50,T161+1,FALSE)</f>
        <v>3.1346149049506007</v>
      </c>
      <c r="AI161" s="44">
        <f t="shared" si="69"/>
        <v>0</v>
      </c>
      <c r="AJ161" s="44">
        <f t="shared" si="70"/>
        <v>24228.065523344183</v>
      </c>
      <c r="AK161" s="44">
        <f>HLOOKUP(I161,ElecAvoidedCostsWOCC!$A$5:$Q$50,G161+1,FALSE)*J161*L161</f>
        <v>0</v>
      </c>
      <c r="AL161" s="44">
        <f t="shared" si="71"/>
        <v>24228.065523344183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24228.065523344179</v>
      </c>
      <c r="AN161" s="48">
        <f t="shared" si="72"/>
        <v>26650.872075678599</v>
      </c>
      <c r="AO161" s="47">
        <f t="shared" si="73"/>
        <v>1.0860847947721597</v>
      </c>
      <c r="AP161" s="47">
        <f t="shared" si="74"/>
        <v>1.0403874757718552</v>
      </c>
      <c r="AQ161">
        <v>2021</v>
      </c>
    </row>
    <row r="162" spans="2:43">
      <c r="B162" s="97" t="s">
        <v>74</v>
      </c>
      <c r="C162" s="100">
        <v>18230611</v>
      </c>
      <c r="D162" s="100" t="s">
        <v>75</v>
      </c>
      <c r="E162" s="38" t="s">
        <v>1612</v>
      </c>
      <c r="F162" s="39" t="s">
        <v>1613</v>
      </c>
      <c r="G162" s="39">
        <v>45</v>
      </c>
      <c r="H162" s="39"/>
      <c r="I162" s="40" t="s">
        <v>269</v>
      </c>
      <c r="J162" s="41">
        <v>15703</v>
      </c>
      <c r="K162" s="41">
        <v>1.37</v>
      </c>
      <c r="L162" s="41"/>
      <c r="M162" s="42">
        <v>2.4300000000000002</v>
      </c>
      <c r="N162" s="42">
        <v>2.4300000000000002</v>
      </c>
      <c r="O162" s="43">
        <v>21513.11</v>
      </c>
      <c r="P162" s="44">
        <v>53021.93</v>
      </c>
      <c r="Q162" s="44">
        <v>53021.93</v>
      </c>
      <c r="R162" s="45">
        <v>0</v>
      </c>
      <c r="S162" s="46">
        <v>0</v>
      </c>
      <c r="T162" s="39">
        <f t="shared" si="57"/>
        <v>45</v>
      </c>
      <c r="U162" s="47">
        <f t="shared" si="58"/>
        <v>0.41946991217588459</v>
      </c>
      <c r="V162" s="48">
        <f t="shared" si="59"/>
        <v>0</v>
      </c>
      <c r="W162" s="49">
        <f t="shared" si="60"/>
        <v>9.3215536039085462E-3</v>
      </c>
      <c r="X162" s="44">
        <f t="shared" si="61"/>
        <v>2477.7473421847017</v>
      </c>
      <c r="Y162" s="44">
        <f t="shared" si="62"/>
        <v>0</v>
      </c>
      <c r="Z162" s="44">
        <f t="shared" si="63"/>
        <v>66417.978668457537</v>
      </c>
      <c r="AA162" s="522">
        <f t="shared" si="56"/>
        <v>57170.544197126852</v>
      </c>
      <c r="AB162" s="51">
        <f t="shared" si="64"/>
        <v>62090.285751572897</v>
      </c>
      <c r="AC162" s="44">
        <f t="shared" si="65"/>
        <v>53445.399829042581</v>
      </c>
      <c r="AD162" s="44">
        <f t="shared" si="66"/>
        <v>0</v>
      </c>
      <c r="AE162" s="44">
        <f t="shared" si="67"/>
        <v>0</v>
      </c>
      <c r="AF162" s="52">
        <f>HLOOKUP(I162,ElecAvoidedCostsWOCC!$A$5:$Q$50,G162+1,FALSE)</f>
        <v>3.4276422079642828</v>
      </c>
      <c r="AG162" s="44">
        <f t="shared" si="68"/>
        <v>73739.243860578499</v>
      </c>
      <c r="AH162" s="52">
        <f>HLOOKUP(I162,ElecAvoidedCostsWOCC!$A$5:$Q$50,T162+1,FALSE)</f>
        <v>3.4276422079642828</v>
      </c>
      <c r="AI162" s="44">
        <f t="shared" si="69"/>
        <v>0</v>
      </c>
      <c r="AJ162" s="44">
        <f t="shared" si="70"/>
        <v>73739.243860578499</v>
      </c>
      <c r="AK162" s="44">
        <f>HLOOKUP(I162,ElecAvoidedCostsWOCC!$A$5:$Q$50,G162+1,FALSE)*J162*L162</f>
        <v>0</v>
      </c>
      <c r="AL162" s="44">
        <f t="shared" si="71"/>
        <v>73739.243860578499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73739.243860578499</v>
      </c>
      <c r="AN162" s="48">
        <f t="shared" si="72"/>
        <v>81113.168246636356</v>
      </c>
      <c r="AO162" s="47">
        <f t="shared" si="73"/>
        <v>1.1876132146599196</v>
      </c>
      <c r="AP162" s="47">
        <f t="shared" si="74"/>
        <v>1.5176828783411762</v>
      </c>
      <c r="AQ162">
        <v>2021</v>
      </c>
    </row>
    <row r="163" spans="2:43">
      <c r="B163" s="97" t="s">
        <v>74</v>
      </c>
      <c r="C163" s="100">
        <v>18230611</v>
      </c>
      <c r="D163" s="100" t="s">
        <v>75</v>
      </c>
      <c r="E163" s="38" t="s">
        <v>1616</v>
      </c>
      <c r="F163" s="39" t="s">
        <v>1617</v>
      </c>
      <c r="G163" s="39">
        <v>45</v>
      </c>
      <c r="H163" s="39"/>
      <c r="I163" s="40" t="s">
        <v>269</v>
      </c>
      <c r="J163" s="41">
        <v>14725</v>
      </c>
      <c r="K163" s="41">
        <v>0.38</v>
      </c>
      <c r="L163" s="41"/>
      <c r="M163" s="42">
        <v>1.82</v>
      </c>
      <c r="N163" s="42">
        <v>1.82</v>
      </c>
      <c r="O163" s="43">
        <v>5595.5</v>
      </c>
      <c r="P163" s="44">
        <v>38621.49</v>
      </c>
      <c r="Q163" s="44">
        <v>38621.49</v>
      </c>
      <c r="R163" s="45">
        <v>0</v>
      </c>
      <c r="S163" s="46">
        <v>0</v>
      </c>
      <c r="T163" s="39">
        <f t="shared" si="57"/>
        <v>45</v>
      </c>
      <c r="U163" s="47">
        <f t="shared" si="58"/>
        <v>0.10910295599195849</v>
      </c>
      <c r="V163" s="48">
        <f t="shared" si="59"/>
        <v>0</v>
      </c>
      <c r="W163" s="49">
        <f t="shared" si="60"/>
        <v>2.4245101331546331E-3</v>
      </c>
      <c r="X163" s="44">
        <f t="shared" si="61"/>
        <v>644.45518352272165</v>
      </c>
      <c r="Y163" s="44">
        <f t="shared" si="62"/>
        <v>0</v>
      </c>
      <c r="Z163" s="44">
        <f t="shared" si="63"/>
        <v>17275.131286892232</v>
      </c>
      <c r="AA163" s="522">
        <f t="shared" si="56"/>
        <v>40483.014564616162</v>
      </c>
      <c r="AB163" s="51">
        <f t="shared" si="64"/>
        <v>16149.510411229532</v>
      </c>
      <c r="AC163" s="44">
        <f t="shared" si="65"/>
        <v>37845.203855862543</v>
      </c>
      <c r="AD163" s="44">
        <f t="shared" si="66"/>
        <v>0</v>
      </c>
      <c r="AE163" s="44">
        <f t="shared" si="67"/>
        <v>0</v>
      </c>
      <c r="AF163" s="52">
        <f>HLOOKUP(I163,ElecAvoidedCostsWOCC!$A$5:$Q$50,G163+1,FALSE)</f>
        <v>3.4276422079642828</v>
      </c>
      <c r="AG163" s="44">
        <f t="shared" si="68"/>
        <v>19179.371974664144</v>
      </c>
      <c r="AH163" s="52">
        <f>HLOOKUP(I163,ElecAvoidedCostsWOCC!$A$5:$Q$50,T163+1,FALSE)</f>
        <v>3.4276422079642828</v>
      </c>
      <c r="AI163" s="44">
        <f t="shared" si="69"/>
        <v>0</v>
      </c>
      <c r="AJ163" s="44">
        <f t="shared" si="70"/>
        <v>19179.371974664144</v>
      </c>
      <c r="AK163" s="44">
        <f>HLOOKUP(I163,ElecAvoidedCostsWOCC!$A$5:$Q$50,G163+1,FALSE)*J163*L163</f>
        <v>0</v>
      </c>
      <c r="AL163" s="44">
        <f t="shared" si="71"/>
        <v>19179.371974664144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19179.371974664144</v>
      </c>
      <c r="AN163" s="48">
        <f t="shared" si="72"/>
        <v>21097.309172130561</v>
      </c>
      <c r="AO163" s="47">
        <f t="shared" si="73"/>
        <v>1.1876132146599194</v>
      </c>
      <c r="AP163" s="47">
        <f t="shared" si="74"/>
        <v>0.55746321918312003</v>
      </c>
      <c r="AQ163">
        <v>2021</v>
      </c>
    </row>
    <row r="164" spans="2:43">
      <c r="B164" s="97" t="s">
        <v>74</v>
      </c>
      <c r="C164" s="100">
        <v>18230611</v>
      </c>
      <c r="D164" s="100" t="s">
        <v>75</v>
      </c>
      <c r="E164" s="38" t="s">
        <v>1620</v>
      </c>
      <c r="F164" s="39" t="s">
        <v>1621</v>
      </c>
      <c r="G164" s="39">
        <v>45</v>
      </c>
      <c r="H164" s="39"/>
      <c r="I164" s="40" t="s">
        <v>267</v>
      </c>
      <c r="J164" s="41">
        <v>2646</v>
      </c>
      <c r="K164" s="41">
        <v>0.28999999999999998</v>
      </c>
      <c r="L164" s="41"/>
      <c r="M164" s="42">
        <v>1.82</v>
      </c>
      <c r="N164" s="42">
        <v>1.82</v>
      </c>
      <c r="O164" s="43">
        <v>767.34</v>
      </c>
      <c r="P164" s="44">
        <v>6260.44</v>
      </c>
      <c r="Q164" s="44">
        <v>6260.44</v>
      </c>
      <c r="R164" s="45"/>
      <c r="S164" s="46"/>
      <c r="T164" s="39">
        <f t="shared" si="57"/>
        <v>45</v>
      </c>
      <c r="U164" s="47">
        <f t="shared" si="58"/>
        <v>1.4961855464367695E-2</v>
      </c>
      <c r="V164" s="48">
        <f t="shared" si="59"/>
        <v>0</v>
      </c>
      <c r="W164" s="49">
        <f t="shared" si="60"/>
        <v>3.3248567698594878E-4</v>
      </c>
      <c r="X164" s="44">
        <f t="shared" si="61"/>
        <v>88.377489147408681</v>
      </c>
      <c r="Y164" s="44">
        <f t="shared" si="62"/>
        <v>0</v>
      </c>
      <c r="Z164" s="44">
        <f t="shared" si="63"/>
        <v>2369.0285482412455</v>
      </c>
      <c r="AA164" s="522">
        <f t="shared" si="56"/>
        <v>6546.1011733391006</v>
      </c>
      <c r="AB164" s="51">
        <f t="shared" si="64"/>
        <v>2214.6663066665842</v>
      </c>
      <c r="AC164" s="44">
        <f t="shared" si="65"/>
        <v>6119.5673304095544</v>
      </c>
      <c r="AD164" s="44">
        <f t="shared" si="66"/>
        <v>0</v>
      </c>
      <c r="AE164" s="44">
        <f t="shared" si="67"/>
        <v>0</v>
      </c>
      <c r="AF164" s="52">
        <f>HLOOKUP(I164,ElecAvoidedCostsWOCC!$A$5:$Q$50,G164+1,FALSE)</f>
        <v>3.1346149049506007</v>
      </c>
      <c r="AG164" s="44">
        <f t="shared" si="68"/>
        <v>2405.3154011647939</v>
      </c>
      <c r="AH164" s="52">
        <f>HLOOKUP(I164,ElecAvoidedCostsWOCC!$A$5:$Q$50,T164+1,FALSE)</f>
        <v>3.1346149049506007</v>
      </c>
      <c r="AI164" s="44">
        <f t="shared" si="69"/>
        <v>0</v>
      </c>
      <c r="AJ164" s="44">
        <f t="shared" si="70"/>
        <v>2405.3154011647939</v>
      </c>
      <c r="AK164" s="44">
        <f>HLOOKUP(I164,ElecAvoidedCostsWOCC!$A$5:$Q$50,G164+1,FALSE)*J164*L164</f>
        <v>0</v>
      </c>
      <c r="AL164" s="44">
        <f t="shared" si="71"/>
        <v>2405.3154011647939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2405.3154011647939</v>
      </c>
      <c r="AN164" s="48">
        <f t="shared" si="72"/>
        <v>2645.8469412812733</v>
      </c>
      <c r="AO164" s="47">
        <f t="shared" si="73"/>
        <v>1.0860847947721597</v>
      </c>
      <c r="AP164" s="47">
        <f t="shared" si="74"/>
        <v>0.43235849830974882</v>
      </c>
      <c r="AQ164">
        <v>2021</v>
      </c>
    </row>
    <row r="165" spans="2:43">
      <c r="B165" s="97" t="s">
        <v>74</v>
      </c>
      <c r="C165" s="100">
        <v>18230611</v>
      </c>
      <c r="D165" s="100" t="s">
        <v>75</v>
      </c>
      <c r="E165" s="38" t="s">
        <v>1622</v>
      </c>
      <c r="F165" s="39" t="s">
        <v>1623</v>
      </c>
      <c r="G165" s="39">
        <v>10</v>
      </c>
      <c r="H165" s="39"/>
      <c r="I165" s="40" t="s">
        <v>265</v>
      </c>
      <c r="J165" s="41">
        <v>2</v>
      </c>
      <c r="K165" s="41">
        <v>0</v>
      </c>
      <c r="L165" s="41"/>
      <c r="M165" s="42">
        <v>11.35</v>
      </c>
      <c r="N165" s="42">
        <v>11.35</v>
      </c>
      <c r="O165" s="43">
        <v>0</v>
      </c>
      <c r="P165" s="44">
        <v>16.12</v>
      </c>
      <c r="Q165" s="44">
        <v>16.12</v>
      </c>
      <c r="R165" s="45">
        <v>5.22</v>
      </c>
      <c r="S165" s="46">
        <v>0</v>
      </c>
      <c r="T165" s="39">
        <f t="shared" si="57"/>
        <v>10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22">
        <f t="shared" si="56"/>
        <v>16.6279855392225</v>
      </c>
      <c r="AB165" s="51">
        <f t="shared" si="64"/>
        <v>0</v>
      </c>
      <c r="AC165" s="44">
        <f t="shared" si="65"/>
        <v>15.544531681053098</v>
      </c>
      <c r="AD165" s="44">
        <f t="shared" si="66"/>
        <v>73.427984394888838</v>
      </c>
      <c r="AE165" s="44">
        <f t="shared" si="67"/>
        <v>0</v>
      </c>
      <c r="AF165" s="52">
        <f>HLOOKUP(I165,ElecAvoidedCostsWOCC!$A$5:$Q$50,G165+1,FALSE)</f>
        <v>0.74487332198138856</v>
      </c>
      <c r="AG165" s="44">
        <f t="shared" si="68"/>
        <v>0</v>
      </c>
      <c r="AH165" s="52">
        <f>HLOOKUP(I165,ElecAvoidedCostsWOCC!$A$5:$Q$50,T165+1,FALSE)</f>
        <v>0.74487332198138856</v>
      </c>
      <c r="AI165" s="44">
        <f t="shared" si="69"/>
        <v>0</v>
      </c>
      <c r="AJ165" s="44">
        <f t="shared" si="70"/>
        <v>0</v>
      </c>
      <c r="AK165" s="44">
        <f>HLOOKUP(I165,ElecAvoidedCostsWOCC!$A$5:$Q$50,G165+1,FALSE)*J165*L165</f>
        <v>0</v>
      </c>
      <c r="AL165" s="44">
        <f t="shared" si="71"/>
        <v>0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2"/>
        <v>73.427984394888838</v>
      </c>
      <c r="AO165" s="47">
        <f t="shared" si="73"/>
        <v>0</v>
      </c>
      <c r="AP165" s="47">
        <f t="shared" si="74"/>
        <v>4.7237180187543801</v>
      </c>
      <c r="AQ165">
        <v>2021</v>
      </c>
    </row>
    <row r="166" spans="2:43">
      <c r="B166" s="97" t="s">
        <v>74</v>
      </c>
      <c r="C166" s="100">
        <v>18230611</v>
      </c>
      <c r="D166" s="100" t="s">
        <v>75</v>
      </c>
      <c r="E166" s="38" t="s">
        <v>1624</v>
      </c>
      <c r="F166" s="39" t="s">
        <v>1625</v>
      </c>
      <c r="G166" s="39"/>
      <c r="H166" s="39"/>
      <c r="I166" s="40"/>
      <c r="J166" s="41">
        <v>27</v>
      </c>
      <c r="K166" s="41">
        <v>0</v>
      </c>
      <c r="L166" s="41"/>
      <c r="M166" s="42">
        <v>15.287777777777777</v>
      </c>
      <c r="N166" s="42">
        <v>15.287777777777777</v>
      </c>
      <c r="O166" s="43">
        <v>0</v>
      </c>
      <c r="P166" s="44">
        <v>412.77</v>
      </c>
      <c r="Q166" s="44">
        <v>412.77</v>
      </c>
      <c r="R166" s="45">
        <v>0</v>
      </c>
      <c r="S166" s="46">
        <v>0</v>
      </c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22">
        <f t="shared" si="56"/>
        <v>425.77751805365199</v>
      </c>
      <c r="AB166" s="51">
        <f t="shared" si="64"/>
        <v>0</v>
      </c>
      <c r="AC166" s="44">
        <f t="shared" si="65"/>
        <v>398.03451253029067</v>
      </c>
      <c r="AD166" s="44">
        <f t="shared" si="66"/>
        <v>0</v>
      </c>
      <c r="AE166" s="44">
        <f t="shared" si="67"/>
        <v>0</v>
      </c>
      <c r="AF166" s="52" t="e">
        <f>HLOOKUP(I166,ElecAvoidedCostsWOCC!$A$5:$Q$50,G166+1,FALSE)</f>
        <v>#N/A</v>
      </c>
      <c r="AG166" s="44" t="e">
        <f t="shared" si="68"/>
        <v>#N/A</v>
      </c>
      <c r="AH166" s="52" t="e">
        <f>HLOOKUP(I166,ElecAvoidedCostsWOCC!$A$5:$Q$50,T166+1,FALSE)</f>
        <v>#N/A</v>
      </c>
      <c r="AI166" s="44" t="e">
        <f t="shared" si="69"/>
        <v>#N/A</v>
      </c>
      <c r="AJ166" s="44" t="e">
        <f t="shared" si="70"/>
        <v>#N/A</v>
      </c>
      <c r="AK166" s="44" t="e">
        <f>HLOOKUP(I166,ElecAvoidedCostsWOCC!$A$5:$Q$50,G166+1,FALSE)*J166*L166</f>
        <v>#N/A</v>
      </c>
      <c r="AL166" s="44" t="e">
        <f t="shared" si="71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2"/>
        <v>0</v>
      </c>
      <c r="AO166" s="47">
        <f t="shared" si="73"/>
        <v>0</v>
      </c>
      <c r="AP166" s="47">
        <f t="shared" si="74"/>
        <v>0</v>
      </c>
      <c r="AQ166">
        <v>2021</v>
      </c>
    </row>
    <row r="167" spans="2:43">
      <c r="B167" s="97" t="s">
        <v>74</v>
      </c>
      <c r="C167" s="100">
        <v>18230611</v>
      </c>
      <c r="D167" s="100" t="s">
        <v>75</v>
      </c>
      <c r="E167" s="38" t="s">
        <v>1626</v>
      </c>
      <c r="F167" s="39" t="s">
        <v>1627</v>
      </c>
      <c r="G167" s="39"/>
      <c r="H167" s="39"/>
      <c r="I167" s="40"/>
      <c r="J167" s="41">
        <v>33</v>
      </c>
      <c r="K167" s="41">
        <v>0</v>
      </c>
      <c r="L167" s="41"/>
      <c r="M167" s="42">
        <v>15.287878787878787</v>
      </c>
      <c r="N167" s="42">
        <v>15.287878787878787</v>
      </c>
      <c r="O167" s="43">
        <v>0</v>
      </c>
      <c r="P167" s="44">
        <v>504.5</v>
      </c>
      <c r="Q167" s="44">
        <v>504.5</v>
      </c>
      <c r="R167" s="45">
        <v>0</v>
      </c>
      <c r="S167" s="46">
        <v>0</v>
      </c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22">
        <f t="shared" si="56"/>
        <v>520.39818266363216</v>
      </c>
      <c r="AB167" s="51">
        <f t="shared" si="64"/>
        <v>0</v>
      </c>
      <c r="AC167" s="44">
        <f t="shared" si="65"/>
        <v>486.48984076248678</v>
      </c>
      <c r="AD167" s="44">
        <f t="shared" si="66"/>
        <v>0</v>
      </c>
      <c r="AE167" s="44">
        <f t="shared" si="67"/>
        <v>0</v>
      </c>
      <c r="AF167" s="52" t="e">
        <f>HLOOKUP(I167,ElecAvoidedCostsWOCC!$A$5:$Q$50,G167+1,FALSE)</f>
        <v>#N/A</v>
      </c>
      <c r="AG167" s="44" t="e">
        <f t="shared" si="68"/>
        <v>#N/A</v>
      </c>
      <c r="AH167" s="52" t="e">
        <f>HLOOKUP(I167,ElecAvoidedCostsWOCC!$A$5:$Q$50,T167+1,FALSE)</f>
        <v>#N/A</v>
      </c>
      <c r="AI167" s="44" t="e">
        <f t="shared" si="69"/>
        <v>#N/A</v>
      </c>
      <c r="AJ167" s="44" t="e">
        <f t="shared" si="70"/>
        <v>#N/A</v>
      </c>
      <c r="AK167" s="44" t="e">
        <f>HLOOKUP(I167,ElecAvoidedCostsWOCC!$A$5:$Q$50,G167+1,FALSE)*J167*L167</f>
        <v>#N/A</v>
      </c>
      <c r="AL167" s="44" t="e">
        <f t="shared" si="71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2"/>
        <v>0</v>
      </c>
      <c r="AO167" s="47">
        <f t="shared" si="73"/>
        <v>0</v>
      </c>
      <c r="AP167" s="47">
        <f t="shared" si="74"/>
        <v>0</v>
      </c>
      <c r="AQ167">
        <v>2021</v>
      </c>
    </row>
    <row r="168" spans="2:43">
      <c r="B168" s="97" t="s">
        <v>74</v>
      </c>
      <c r="C168" s="100">
        <v>18230611</v>
      </c>
      <c r="D168" s="100" t="s">
        <v>75</v>
      </c>
      <c r="E168" s="38" t="s">
        <v>1628</v>
      </c>
      <c r="F168" s="39" t="s">
        <v>1629</v>
      </c>
      <c r="G168" s="39">
        <v>30</v>
      </c>
      <c r="H168" s="39"/>
      <c r="I168" s="40" t="s">
        <v>267</v>
      </c>
      <c r="J168" s="41">
        <v>4</v>
      </c>
      <c r="K168" s="41">
        <v>8167.25</v>
      </c>
      <c r="L168" s="41"/>
      <c r="M168" s="42"/>
      <c r="N168" s="42"/>
      <c r="O168" s="43">
        <v>32669</v>
      </c>
      <c r="P168" s="44">
        <v>0</v>
      </c>
      <c r="Q168" s="44">
        <v>0</v>
      </c>
      <c r="R168" s="45"/>
      <c r="S168" s="46"/>
      <c r="T168" s="39">
        <f t="shared" si="57"/>
        <v>30</v>
      </c>
      <c r="U168" s="47">
        <f t="shared" si="58"/>
        <v>0.42466082498451635</v>
      </c>
      <c r="V168" s="48">
        <f t="shared" si="59"/>
        <v>0</v>
      </c>
      <c r="W168" s="49">
        <f t="shared" si="60"/>
        <v>1.4155360832817212E-2</v>
      </c>
      <c r="X168" s="44">
        <f t="shared" si="61"/>
        <v>3762.6139559474209</v>
      </c>
      <c r="Y168" s="44">
        <f t="shared" si="62"/>
        <v>0</v>
      </c>
      <c r="Z168" s="44">
        <f t="shared" si="63"/>
        <v>100859.84523482842</v>
      </c>
      <c r="AA168" s="522">
        <f t="shared" si="56"/>
        <v>3762.6139559474209</v>
      </c>
      <c r="AB168" s="51">
        <f t="shared" si="64"/>
        <v>94287.973483059191</v>
      </c>
      <c r="AC168" s="44">
        <f t="shared" si="65"/>
        <v>3517.4478414017208</v>
      </c>
      <c r="AD168" s="44">
        <f t="shared" si="66"/>
        <v>0</v>
      </c>
      <c r="AE168" s="44">
        <f t="shared" si="67"/>
        <v>0</v>
      </c>
      <c r="AF168" s="52">
        <f>HLOOKUP(I168,ElecAvoidedCostsWOCC!$A$5:$Q$50,G168+1,FALSE)</f>
        <v>2.1643436258224993</v>
      </c>
      <c r="AG168" s="44">
        <f t="shared" si="68"/>
        <v>70706.941911995236</v>
      </c>
      <c r="AH168" s="52">
        <f>HLOOKUP(I168,ElecAvoidedCostsWOCC!$A$5:$Q$50,T168+1,FALSE)</f>
        <v>2.1643436258224993</v>
      </c>
      <c r="AI168" s="44">
        <f t="shared" si="69"/>
        <v>0</v>
      </c>
      <c r="AJ168" s="44">
        <f t="shared" si="70"/>
        <v>70706.941911995236</v>
      </c>
      <c r="AK168" s="44">
        <f>HLOOKUP(I168,ElecAvoidedCostsWOCC!$A$5:$Q$50,G168+1,FALSE)*J168*L168</f>
        <v>0</v>
      </c>
      <c r="AL168" s="44">
        <f t="shared" si="71"/>
        <v>70706.941911995236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70706.941911995236</v>
      </c>
      <c r="AN168" s="48">
        <f t="shared" si="72"/>
        <v>77777.63610319476</v>
      </c>
      <c r="AO168" s="47">
        <f t="shared" si="73"/>
        <v>0.74990414259671434</v>
      </c>
      <c r="AP168" s="47">
        <f t="shared" si="74"/>
        <v>22.111951508625634</v>
      </c>
      <c r="AQ168">
        <v>2021</v>
      </c>
    </row>
    <row r="169" spans="2:43">
      <c r="B169" s="97" t="s">
        <v>74</v>
      </c>
      <c r="C169" s="100">
        <v>18230611</v>
      </c>
      <c r="D169" s="100" t="s">
        <v>75</v>
      </c>
      <c r="E169" s="38" t="s">
        <v>1630</v>
      </c>
      <c r="F169" s="39" t="s">
        <v>1631</v>
      </c>
      <c r="G169" s="39">
        <v>15</v>
      </c>
      <c r="H169" s="39"/>
      <c r="I169" s="40" t="s">
        <v>266</v>
      </c>
      <c r="J169" s="41">
        <v>82</v>
      </c>
      <c r="K169" s="41">
        <v>1300</v>
      </c>
      <c r="L169" s="41"/>
      <c r="M169" s="42">
        <v>3758.92</v>
      </c>
      <c r="N169" s="42">
        <v>3758.92</v>
      </c>
      <c r="O169" s="43">
        <v>106600</v>
      </c>
      <c r="P169" s="44">
        <v>181918.52</v>
      </c>
      <c r="Q169" s="44">
        <v>181918.52</v>
      </c>
      <c r="R169" s="45">
        <v>0</v>
      </c>
      <c r="S169" s="46">
        <v>0</v>
      </c>
      <c r="T169" s="39">
        <f t="shared" si="57"/>
        <v>15</v>
      </c>
      <c r="U169" s="47">
        <f t="shared" si="58"/>
        <v>0.69284097987923476</v>
      </c>
      <c r="V169" s="48">
        <f t="shared" si="59"/>
        <v>0</v>
      </c>
      <c r="W169" s="49">
        <f t="shared" si="60"/>
        <v>4.6189398658615655E-2</v>
      </c>
      <c r="X169" s="44">
        <f t="shared" si="61"/>
        <v>12277.530616302767</v>
      </c>
      <c r="Y169" s="44">
        <f t="shared" si="62"/>
        <v>0</v>
      </c>
      <c r="Z169" s="44">
        <f t="shared" si="63"/>
        <v>329108.92595526978</v>
      </c>
      <c r="AA169" s="522">
        <f t="shared" si="56"/>
        <v>199928.8035615111</v>
      </c>
      <c r="AB169" s="51">
        <f t="shared" si="64"/>
        <v>307664.69660210318</v>
      </c>
      <c r="AC169" s="44">
        <f t="shared" si="65"/>
        <v>186901.75148313647</v>
      </c>
      <c r="AD169" s="44">
        <f t="shared" si="66"/>
        <v>0</v>
      </c>
      <c r="AE169" s="44">
        <f t="shared" si="67"/>
        <v>0</v>
      </c>
      <c r="AF169" s="52">
        <f>HLOOKUP(I169,ElecAvoidedCostsWOCC!$A$5:$Q$50,G169+1,FALSE)</f>
        <v>1.3961506916040443</v>
      </c>
      <c r="AG169" s="44">
        <f t="shared" si="68"/>
        <v>148829.66372499111</v>
      </c>
      <c r="AH169" s="52">
        <f>HLOOKUP(I169,ElecAvoidedCostsWOCC!$A$5:$Q$50,T169+1,FALSE)</f>
        <v>1.3961506916040443</v>
      </c>
      <c r="AI169" s="44">
        <f t="shared" si="69"/>
        <v>0</v>
      </c>
      <c r="AJ169" s="44">
        <f t="shared" si="70"/>
        <v>148829.66372499111</v>
      </c>
      <c r="AK169" s="44">
        <f>HLOOKUP(I169,ElecAvoidedCostsWOCC!$A$5:$Q$50,G169+1,FALSE)*J169*L169</f>
        <v>0</v>
      </c>
      <c r="AL169" s="44">
        <f t="shared" si="71"/>
        <v>148829.66372499111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148829.66372499111</v>
      </c>
      <c r="AN169" s="48">
        <f t="shared" si="72"/>
        <v>163712.63009749024</v>
      </c>
      <c r="AO169" s="47">
        <f t="shared" si="73"/>
        <v>0.48373981600323046</v>
      </c>
      <c r="AP169" s="47">
        <f t="shared" si="74"/>
        <v>0.87592881713717641</v>
      </c>
      <c r="AQ169">
        <v>2021</v>
      </c>
    </row>
    <row r="170" spans="2:43">
      <c r="B170" s="97" t="s">
        <v>74</v>
      </c>
      <c r="C170" s="100">
        <v>18230611</v>
      </c>
      <c r="D170" s="100" t="s">
        <v>75</v>
      </c>
      <c r="E170" s="38" t="s">
        <v>1634</v>
      </c>
      <c r="F170" s="39" t="s">
        <v>1635</v>
      </c>
      <c r="G170" s="39">
        <v>25</v>
      </c>
      <c r="H170" s="39"/>
      <c r="I170" s="40" t="s">
        <v>269</v>
      </c>
      <c r="J170" s="41">
        <v>14399</v>
      </c>
      <c r="K170" s="41">
        <v>0.68</v>
      </c>
      <c r="L170" s="41"/>
      <c r="M170" s="42">
        <v>1.55</v>
      </c>
      <c r="N170" s="42">
        <v>1.55</v>
      </c>
      <c r="O170" s="43">
        <v>9791.32</v>
      </c>
      <c r="P170" s="44">
        <v>33485.43</v>
      </c>
      <c r="Q170" s="44">
        <v>33485.43</v>
      </c>
      <c r="R170" s="45">
        <v>0</v>
      </c>
      <c r="S170" s="46">
        <v>0</v>
      </c>
      <c r="T170" s="39">
        <f t="shared" si="57"/>
        <v>25</v>
      </c>
      <c r="U170" s="47">
        <f t="shared" si="58"/>
        <v>0.10606359823500859</v>
      </c>
      <c r="V170" s="48">
        <f t="shared" si="59"/>
        <v>0</v>
      </c>
      <c r="W170" s="49">
        <f t="shared" si="60"/>
        <v>4.2425439294003437E-3</v>
      </c>
      <c r="X170" s="44">
        <f t="shared" si="61"/>
        <v>1127.7038562290581</v>
      </c>
      <c r="Y170" s="44">
        <f t="shared" si="62"/>
        <v>0</v>
      </c>
      <c r="Z170" s="44">
        <f t="shared" si="63"/>
        <v>30228.994454825068</v>
      </c>
      <c r="AA170" s="522">
        <f t="shared" si="56"/>
        <v>35668.351859619084</v>
      </c>
      <c r="AB170" s="51">
        <f t="shared" si="64"/>
        <v>28259.319860545074</v>
      </c>
      <c r="AC170" s="44">
        <f t="shared" si="65"/>
        <v>33344.257137159089</v>
      </c>
      <c r="AD170" s="44">
        <f t="shared" si="66"/>
        <v>0</v>
      </c>
      <c r="AE170" s="44">
        <f t="shared" si="67"/>
        <v>0</v>
      </c>
      <c r="AF170" s="52">
        <f>HLOOKUP(I170,ElecAvoidedCostsWOCC!$A$5:$Q$50,G170+1,FALSE)</f>
        <v>2.0508206305871441</v>
      </c>
      <c r="AG170" s="44">
        <f t="shared" si="68"/>
        <v>20080.241056680519</v>
      </c>
      <c r="AH170" s="52">
        <f>HLOOKUP(I170,ElecAvoidedCostsWOCC!$A$5:$Q$50,T170+1,FALSE)</f>
        <v>2.0508206305871441</v>
      </c>
      <c r="AI170" s="44">
        <f t="shared" si="69"/>
        <v>0</v>
      </c>
      <c r="AJ170" s="44">
        <f t="shared" si="70"/>
        <v>20080.241056680519</v>
      </c>
      <c r="AK170" s="44">
        <f>HLOOKUP(I170,ElecAvoidedCostsWOCC!$A$5:$Q$50,G170+1,FALSE)*J170*L170</f>
        <v>0</v>
      </c>
      <c r="AL170" s="44">
        <f t="shared" si="71"/>
        <v>20080.241056680519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20080.241056680516</v>
      </c>
      <c r="AN170" s="48">
        <f t="shared" si="72"/>
        <v>22088.265162348569</v>
      </c>
      <c r="AO170" s="47">
        <f t="shared" si="73"/>
        <v>0.71057057125837009</v>
      </c>
      <c r="AP170" s="47">
        <f t="shared" si="74"/>
        <v>0.66243086692530451</v>
      </c>
      <c r="AQ170">
        <v>2021</v>
      </c>
    </row>
    <row r="171" spans="2:43">
      <c r="B171" s="97" t="s">
        <v>74</v>
      </c>
      <c r="C171" s="100">
        <v>18230611</v>
      </c>
      <c r="D171" s="100" t="s">
        <v>75</v>
      </c>
      <c r="E171" s="38" t="s">
        <v>1640</v>
      </c>
      <c r="F171" s="39" t="s">
        <v>1641</v>
      </c>
      <c r="G171" s="39">
        <v>13</v>
      </c>
      <c r="H171" s="39"/>
      <c r="I171" s="40" t="s">
        <v>265</v>
      </c>
      <c r="J171" s="41">
        <v>1</v>
      </c>
      <c r="K171" s="41">
        <v>1225</v>
      </c>
      <c r="L171" s="41"/>
      <c r="M171" s="42">
        <v>1369</v>
      </c>
      <c r="N171" s="42">
        <v>1369</v>
      </c>
      <c r="O171" s="43">
        <v>1225</v>
      </c>
      <c r="P171" s="44">
        <v>1779.7</v>
      </c>
      <c r="Q171" s="44">
        <v>1779.7</v>
      </c>
      <c r="R171" s="45"/>
      <c r="S171" s="46"/>
      <c r="T171" s="39">
        <f t="shared" si="57"/>
        <v>13</v>
      </c>
      <c r="U171" s="47">
        <f t="shared" si="58"/>
        <v>6.9002455313175821E-3</v>
      </c>
      <c r="V171" s="48">
        <f t="shared" si="59"/>
        <v>0</v>
      </c>
      <c r="W171" s="49">
        <f t="shared" si="60"/>
        <v>5.3078811779366016E-4</v>
      </c>
      <c r="X171" s="44">
        <f t="shared" si="61"/>
        <v>141.08794563762561</v>
      </c>
      <c r="Y171" s="44">
        <f t="shared" si="62"/>
        <v>0</v>
      </c>
      <c r="Z171" s="44">
        <f t="shared" si="63"/>
        <v>3781.9740553021152</v>
      </c>
      <c r="AA171" s="522">
        <f t="shared" si="56"/>
        <v>1976.8711878308191</v>
      </c>
      <c r="AB171" s="51">
        <f t="shared" si="64"/>
        <v>3535.546466581392</v>
      </c>
      <c r="AC171" s="44">
        <f t="shared" si="65"/>
        <v>1848.0613142290538</v>
      </c>
      <c r="AD171" s="44">
        <f t="shared" si="66"/>
        <v>0</v>
      </c>
      <c r="AE171" s="44">
        <f t="shared" si="67"/>
        <v>0</v>
      </c>
      <c r="AF171" s="52">
        <f>HLOOKUP(I171,ElecAvoidedCostsWOCC!$A$5:$Q$50,G171+1,FALSE)</f>
        <v>0.95298626106018935</v>
      </c>
      <c r="AG171" s="44">
        <f t="shared" si="68"/>
        <v>1167.4081697987319</v>
      </c>
      <c r="AH171" s="52">
        <f>HLOOKUP(I171,ElecAvoidedCostsWOCC!$A$5:$Q$50,T171+1,FALSE)</f>
        <v>0.95298626106018935</v>
      </c>
      <c r="AI171" s="44">
        <f t="shared" si="69"/>
        <v>0</v>
      </c>
      <c r="AJ171" s="44">
        <f t="shared" si="70"/>
        <v>1167.4081697987319</v>
      </c>
      <c r="AK171" s="44">
        <f>HLOOKUP(I171,ElecAvoidedCostsWOCC!$A$5:$Q$50,G171+1,FALSE)*J171*L171</f>
        <v>0</v>
      </c>
      <c r="AL171" s="44">
        <f t="shared" si="71"/>
        <v>1167.4081697987319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1167.4081697987319</v>
      </c>
      <c r="AN171" s="48">
        <f t="shared" si="72"/>
        <v>1284.1489867786051</v>
      </c>
      <c r="AO171" s="47">
        <f t="shared" si="73"/>
        <v>0.33019172024276294</v>
      </c>
      <c r="AP171" s="47">
        <f t="shared" si="74"/>
        <v>0.69486276071652253</v>
      </c>
      <c r="AQ171">
        <v>2021</v>
      </c>
    </row>
    <row r="172" spans="2:43">
      <c r="B172" s="97" t="s">
        <v>74</v>
      </c>
      <c r="C172" s="100">
        <v>18230611</v>
      </c>
      <c r="D172" s="100" t="s">
        <v>75</v>
      </c>
      <c r="E172" s="38" t="s">
        <v>1656</v>
      </c>
      <c r="F172" s="39" t="s">
        <v>1657</v>
      </c>
      <c r="G172" s="39"/>
      <c r="H172" s="39"/>
      <c r="I172" s="40"/>
      <c r="J172" s="41">
        <v>1</v>
      </c>
      <c r="K172" s="41">
        <v>0</v>
      </c>
      <c r="L172" s="41"/>
      <c r="M172" s="42">
        <v>15.29</v>
      </c>
      <c r="N172" s="42">
        <v>15.29</v>
      </c>
      <c r="O172" s="43">
        <v>0</v>
      </c>
      <c r="P172" s="44">
        <v>15.29</v>
      </c>
      <c r="Q172" s="44">
        <v>15.29</v>
      </c>
      <c r="R172" s="45">
        <v>0</v>
      </c>
      <c r="S172" s="46">
        <v>0</v>
      </c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22">
        <f t="shared" si="56"/>
        <v>15.77182995624764</v>
      </c>
      <c r="AB172" s="51">
        <f t="shared" si="64"/>
        <v>0</v>
      </c>
      <c r="AC172" s="44">
        <f t="shared" si="65"/>
        <v>14.744161873653958</v>
      </c>
      <c r="AD172" s="44">
        <f t="shared" si="66"/>
        <v>0</v>
      </c>
      <c r="AE172" s="44">
        <f t="shared" si="67"/>
        <v>0</v>
      </c>
      <c r="AF172" s="52" t="e">
        <f>HLOOKUP(I172,ElecAvoidedCostsWOCC!$A$5:$Q$50,G172+1,FALSE)</f>
        <v>#N/A</v>
      </c>
      <c r="AG172" s="44" t="e">
        <f t="shared" si="68"/>
        <v>#N/A</v>
      </c>
      <c r="AH172" s="52" t="e">
        <f>HLOOKUP(I172,ElecAvoidedCostsWOCC!$A$5:$Q$50,T172+1,FALSE)</f>
        <v>#N/A</v>
      </c>
      <c r="AI172" s="44" t="e">
        <f t="shared" si="69"/>
        <v>#N/A</v>
      </c>
      <c r="AJ172" s="44" t="e">
        <f t="shared" si="70"/>
        <v>#N/A</v>
      </c>
      <c r="AK172" s="44" t="e">
        <f>HLOOKUP(I172,ElecAvoidedCostsWOCC!$A$5:$Q$50,G172+1,FALSE)*J172*L172</f>
        <v>#N/A</v>
      </c>
      <c r="AL172" s="44" t="e">
        <f t="shared" si="71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2"/>
        <v>0</v>
      </c>
      <c r="AO172" s="47">
        <f t="shared" si="73"/>
        <v>0</v>
      </c>
      <c r="AP172" s="47">
        <f t="shared" si="74"/>
        <v>0</v>
      </c>
      <c r="AQ172">
        <v>2021</v>
      </c>
    </row>
    <row r="173" spans="2:43">
      <c r="B173" s="97" t="s">
        <v>74</v>
      </c>
      <c r="C173" s="100">
        <v>18230611</v>
      </c>
      <c r="D173" s="100" t="s">
        <v>75</v>
      </c>
      <c r="E173" s="38" t="s">
        <v>1660</v>
      </c>
      <c r="F173" s="39" t="s">
        <v>1661</v>
      </c>
      <c r="G173" s="39">
        <v>41</v>
      </c>
      <c r="H173" s="39"/>
      <c r="I173" s="40" t="s">
        <v>269</v>
      </c>
      <c r="J173" s="41">
        <v>1</v>
      </c>
      <c r="K173" s="41">
        <v>8471</v>
      </c>
      <c r="L173" s="41"/>
      <c r="M173" s="42">
        <v>13500</v>
      </c>
      <c r="N173" s="42">
        <v>75400</v>
      </c>
      <c r="O173" s="43">
        <v>8471</v>
      </c>
      <c r="P173" s="44">
        <v>17550</v>
      </c>
      <c r="Q173" s="44">
        <v>17550</v>
      </c>
      <c r="R173" s="45">
        <v>25000</v>
      </c>
      <c r="S173" s="46"/>
      <c r="T173" s="39">
        <f t="shared" si="57"/>
        <v>41</v>
      </c>
      <c r="U173" s="47">
        <f t="shared" si="58"/>
        <v>0.15048861386043585</v>
      </c>
      <c r="V173" s="48">
        <f t="shared" si="59"/>
        <v>61900</v>
      </c>
      <c r="W173" s="49">
        <f t="shared" si="60"/>
        <v>3.6704539965959964E-3</v>
      </c>
      <c r="X173" s="44">
        <f t="shared" si="61"/>
        <v>975.63754081332775</v>
      </c>
      <c r="Y173" s="44">
        <f t="shared" si="62"/>
        <v>0</v>
      </c>
      <c r="Z173" s="44">
        <f t="shared" si="63"/>
        <v>26152.736508134058</v>
      </c>
      <c r="AA173" s="522">
        <f t="shared" si="56"/>
        <v>19078.686313353948</v>
      </c>
      <c r="AB173" s="51">
        <f t="shared" si="64"/>
        <v>24448.664586457937</v>
      </c>
      <c r="AC173" s="44">
        <f t="shared" si="65"/>
        <v>17835.548577502053</v>
      </c>
      <c r="AD173" s="44">
        <f t="shared" si="66"/>
        <v>336035.41833482741</v>
      </c>
      <c r="AE173" s="44">
        <f t="shared" si="67"/>
        <v>0</v>
      </c>
      <c r="AF173" s="52">
        <f>HLOOKUP(I173,ElecAvoidedCostsWOCC!$A$5:$Q$50,G173+1,FALSE)</f>
        <v>3.105274668448097</v>
      </c>
      <c r="AG173" s="44">
        <f t="shared" si="68"/>
        <v>26304.781716423829</v>
      </c>
      <c r="AH173" s="52">
        <f>HLOOKUP(I173,ElecAvoidedCostsWOCC!$A$5:$Q$50,T173+1,FALSE)</f>
        <v>3.105274668448097</v>
      </c>
      <c r="AI173" s="44">
        <f t="shared" si="69"/>
        <v>0</v>
      </c>
      <c r="AJ173" s="44">
        <f t="shared" si="70"/>
        <v>26304.781716423829</v>
      </c>
      <c r="AK173" s="44">
        <f>HLOOKUP(I173,ElecAvoidedCostsWOCC!$A$5:$Q$50,G173+1,FALSE)*J173*L173</f>
        <v>0</v>
      </c>
      <c r="AL173" s="44">
        <f t="shared" si="71"/>
        <v>26304.781716423829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26304.781716423829</v>
      </c>
      <c r="AN173" s="48">
        <f t="shared" si="72"/>
        <v>364970.67822289362</v>
      </c>
      <c r="AO173" s="47">
        <f t="shared" si="73"/>
        <v>1.0759189575938635</v>
      </c>
      <c r="AP173" s="47">
        <f t="shared" si="74"/>
        <v>20.463103595438128</v>
      </c>
      <c r="AQ173">
        <v>2021</v>
      </c>
    </row>
    <row r="174" spans="2:43">
      <c r="B174" s="97" t="s">
        <v>74</v>
      </c>
      <c r="C174" s="100">
        <v>18230611</v>
      </c>
      <c r="D174" s="100" t="s">
        <v>75</v>
      </c>
      <c r="E174" s="38" t="s">
        <v>1672</v>
      </c>
      <c r="F174" s="39" t="s">
        <v>1673</v>
      </c>
      <c r="G174" s="39">
        <v>6</v>
      </c>
      <c r="H174" s="39">
        <v>12</v>
      </c>
      <c r="I174" s="40" t="s">
        <v>268</v>
      </c>
      <c r="J174" s="41">
        <v>19</v>
      </c>
      <c r="K174" s="41">
        <v>4193</v>
      </c>
      <c r="L174" s="41">
        <v>2096</v>
      </c>
      <c r="M174" s="42">
        <v>5829.66</v>
      </c>
      <c r="N174" s="42">
        <v>5829.66</v>
      </c>
      <c r="O174" s="43">
        <v>79667</v>
      </c>
      <c r="P174" s="44">
        <v>142318.31</v>
      </c>
      <c r="Q174" s="44">
        <v>142318.31</v>
      </c>
      <c r="R174" s="45">
        <v>0</v>
      </c>
      <c r="S174" s="46">
        <v>0</v>
      </c>
      <c r="T174" s="39">
        <f t="shared" si="57"/>
        <v>18</v>
      </c>
      <c r="U174" s="47">
        <f t="shared" si="58"/>
        <v>0.62134966991413509</v>
      </c>
      <c r="V174" s="48">
        <f t="shared" si="59"/>
        <v>0</v>
      </c>
      <c r="W174" s="49">
        <f t="shared" si="60"/>
        <v>3.4519426106340838E-2</v>
      </c>
      <c r="X174" s="44">
        <f t="shared" si="61"/>
        <v>9175.5537674389543</v>
      </c>
      <c r="Y174" s="44">
        <f t="shared" si="62"/>
        <v>0</v>
      </c>
      <c r="Z174" s="44">
        <f t="shared" si="63"/>
        <v>245957.98127653357</v>
      </c>
      <c r="AA174" s="522">
        <f t="shared" si="56"/>
        <v>155978.70517231393</v>
      </c>
      <c r="AB174" s="51">
        <f t="shared" si="64"/>
        <v>229931.73906378757</v>
      </c>
      <c r="AC174" s="44">
        <f t="shared" si="65"/>
        <v>145815.37363028317</v>
      </c>
      <c r="AD174" s="44">
        <f t="shared" si="66"/>
        <v>0</v>
      </c>
      <c r="AE174" s="44">
        <f t="shared" si="67"/>
        <v>0</v>
      </c>
      <c r="AF174" s="52">
        <f>HLOOKUP(I174,ElecAvoidedCostsWOCC!$A$5:$Q$50,G174+1,FALSE)</f>
        <v>0.61270729802506985</v>
      </c>
      <c r="AG174" s="44">
        <f t="shared" si="68"/>
        <v>48812.55231176324</v>
      </c>
      <c r="AH174" s="52">
        <f>HLOOKUP(I174,ElecAvoidedCostsWOCC!$A$5:$Q$50,T174+1,FALSE)</f>
        <v>1.6039068652152917</v>
      </c>
      <c r="AI174" s="44">
        <f t="shared" si="69"/>
        <v>63873.987000333771</v>
      </c>
      <c r="AJ174" s="44">
        <f t="shared" si="70"/>
        <v>112686.53931209701</v>
      </c>
      <c r="AK174" s="44">
        <f>HLOOKUP(I174,ElecAvoidedCostsWOCC!$A$5:$Q$50,G174+1,FALSE)*J174*L174</f>
        <v>24400.455436550383</v>
      </c>
      <c r="AL174" s="44">
        <f t="shared" si="71"/>
        <v>88286.083875546625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88286.083875546625</v>
      </c>
      <c r="AN174" s="48">
        <f t="shared" si="72"/>
        <v>97114.6922631013</v>
      </c>
      <c r="AO174" s="47">
        <f t="shared" si="73"/>
        <v>0.38396649473022226</v>
      </c>
      <c r="AP174" s="47">
        <f t="shared" si="74"/>
        <v>0.66601133917015432</v>
      </c>
      <c r="AQ174">
        <v>2021</v>
      </c>
    </row>
    <row r="175" spans="2:43">
      <c r="B175" s="97" t="s">
        <v>74</v>
      </c>
      <c r="C175" s="100">
        <v>18230611</v>
      </c>
      <c r="D175" s="100" t="s">
        <v>75</v>
      </c>
      <c r="E175" s="38" t="s">
        <v>1674</v>
      </c>
      <c r="F175" s="39" t="s">
        <v>1675</v>
      </c>
      <c r="G175" s="39">
        <v>6</v>
      </c>
      <c r="H175" s="39">
        <v>12</v>
      </c>
      <c r="I175" s="40" t="s">
        <v>268</v>
      </c>
      <c r="J175" s="41">
        <v>12</v>
      </c>
      <c r="K175" s="41">
        <v>4566</v>
      </c>
      <c r="L175" s="41">
        <v>2283</v>
      </c>
      <c r="M175" s="42">
        <v>6453.87</v>
      </c>
      <c r="N175" s="42">
        <v>6453.87</v>
      </c>
      <c r="O175" s="43">
        <v>54792</v>
      </c>
      <c r="P175" s="44">
        <v>103077.36</v>
      </c>
      <c r="Q175" s="44">
        <v>103077.36</v>
      </c>
      <c r="R175" s="45">
        <v>0</v>
      </c>
      <c r="S175" s="46">
        <v>0</v>
      </c>
      <c r="T175" s="39">
        <f t="shared" si="57"/>
        <v>18</v>
      </c>
      <c r="U175" s="47">
        <f t="shared" si="58"/>
        <v>0.42734119665526871</v>
      </c>
      <c r="V175" s="48">
        <f t="shared" si="59"/>
        <v>0</v>
      </c>
      <c r="W175" s="49">
        <f t="shared" si="60"/>
        <v>2.3741177591959373E-2</v>
      </c>
      <c r="X175" s="44">
        <f t="shared" si="61"/>
        <v>6310.6046672463535</v>
      </c>
      <c r="Y175" s="44">
        <f t="shared" si="62"/>
        <v>0</v>
      </c>
      <c r="Z175" s="44">
        <f t="shared" si="63"/>
        <v>169160.75301070491</v>
      </c>
      <c r="AA175" s="522">
        <f t="shared" si="56"/>
        <v>112636.21580255848</v>
      </c>
      <c r="AB175" s="51">
        <f t="shared" si="64"/>
        <v>158138.49958932868</v>
      </c>
      <c r="AC175" s="44">
        <f t="shared" si="65"/>
        <v>105297.01393153078</v>
      </c>
      <c r="AD175" s="44">
        <f t="shared" si="66"/>
        <v>0</v>
      </c>
      <c r="AE175" s="44">
        <f t="shared" si="67"/>
        <v>0</v>
      </c>
      <c r="AF175" s="52">
        <f>HLOOKUP(I175,ElecAvoidedCostsWOCC!$A$5:$Q$50,G175+1,FALSE)</f>
        <v>0.61270729802506985</v>
      </c>
      <c r="AG175" s="44">
        <f t="shared" si="68"/>
        <v>33571.458273389624</v>
      </c>
      <c r="AH175" s="52">
        <f>HLOOKUP(I175,ElecAvoidedCostsWOCC!$A$5:$Q$50,T175+1,FALSE)</f>
        <v>1.6039068652152917</v>
      </c>
      <c r="AI175" s="44">
        <f t="shared" si="69"/>
        <v>43940.632479438129</v>
      </c>
      <c r="AJ175" s="44">
        <f t="shared" si="70"/>
        <v>77512.09075282776</v>
      </c>
      <c r="AK175" s="44">
        <f>HLOOKUP(I175,ElecAvoidedCostsWOCC!$A$5:$Q$50,G175+1,FALSE)*J175*L175</f>
        <v>16785.729136694812</v>
      </c>
      <c r="AL175" s="44">
        <f t="shared" si="71"/>
        <v>60726.361616132948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60726.361616132941</v>
      </c>
      <c r="AN175" s="48">
        <f t="shared" si="72"/>
        <v>66798.997777746234</v>
      </c>
      <c r="AO175" s="47">
        <f t="shared" si="73"/>
        <v>0.3840074477362172</v>
      </c>
      <c r="AP175" s="47">
        <f t="shared" si="74"/>
        <v>0.63438643968747477</v>
      </c>
      <c r="AQ175">
        <v>2021</v>
      </c>
    </row>
    <row r="176" spans="2:43">
      <c r="B176" s="97" t="s">
        <v>74</v>
      </c>
      <c r="C176" s="61">
        <v>18230611</v>
      </c>
      <c r="D176" s="61" t="s">
        <v>75</v>
      </c>
      <c r="E176" s="38" t="s">
        <v>1676</v>
      </c>
      <c r="F176" s="39" t="s">
        <v>1677</v>
      </c>
      <c r="G176" s="39"/>
      <c r="H176" s="39"/>
      <c r="I176" s="40"/>
      <c r="J176" s="41">
        <v>6</v>
      </c>
      <c r="K176" s="41">
        <v>0</v>
      </c>
      <c r="L176" s="41"/>
      <c r="M176" s="42">
        <v>50.038333333333334</v>
      </c>
      <c r="N176" s="42">
        <v>50.038333333333334</v>
      </c>
      <c r="O176" s="43">
        <v>0</v>
      </c>
      <c r="P176" s="44">
        <v>300.23</v>
      </c>
      <c r="Q176" s="44">
        <v>300.23</v>
      </c>
      <c r="R176" s="45">
        <v>0</v>
      </c>
      <c r="S176" s="46">
        <v>0</v>
      </c>
      <c r="T176" s="39">
        <f t="shared" si="57"/>
        <v>0</v>
      </c>
      <c r="U176" s="47">
        <f t="shared" si="58"/>
        <v>0</v>
      </c>
      <c r="V176" s="48">
        <f t="shared" si="59"/>
        <v>0</v>
      </c>
      <c r="W176" s="49">
        <f t="shared" si="60"/>
        <v>0</v>
      </c>
      <c r="X176" s="44">
        <f t="shared" si="61"/>
        <v>0</v>
      </c>
      <c r="Y176" s="44">
        <f t="shared" si="62"/>
        <v>0</v>
      </c>
      <c r="Z176" s="44">
        <f t="shared" si="63"/>
        <v>0</v>
      </c>
      <c r="AA176" s="522">
        <f t="shared" si="56"/>
        <v>309.69107310426614</v>
      </c>
      <c r="AB176" s="51">
        <f t="shared" si="64"/>
        <v>0</v>
      </c>
      <c r="AC176" s="44">
        <f t="shared" si="65"/>
        <v>289.51208105475001</v>
      </c>
      <c r="AD176" s="44">
        <f t="shared" si="66"/>
        <v>0</v>
      </c>
      <c r="AE176" s="44">
        <f t="shared" si="67"/>
        <v>0</v>
      </c>
      <c r="AF176" s="52" t="e">
        <f>HLOOKUP(I176,ElecAvoidedCostsWOCC!$A$5:$Q$50,G176+1,FALSE)</f>
        <v>#N/A</v>
      </c>
      <c r="AG176" s="44" t="e">
        <f t="shared" si="68"/>
        <v>#N/A</v>
      </c>
      <c r="AH176" s="52" t="e">
        <f>HLOOKUP(I176,ElecAvoidedCostsWOCC!$A$5:$Q$50,T176+1,FALSE)</f>
        <v>#N/A</v>
      </c>
      <c r="AI176" s="44" t="e">
        <f t="shared" si="69"/>
        <v>#N/A</v>
      </c>
      <c r="AJ176" s="44" t="e">
        <f t="shared" si="70"/>
        <v>#N/A</v>
      </c>
      <c r="AK176" s="44" t="e">
        <f>HLOOKUP(I176,ElecAvoidedCostsWOCC!$A$5:$Q$50,G176+1,FALSE)*J176*L176</f>
        <v>#N/A</v>
      </c>
      <c r="AL176" s="44" t="e">
        <f t="shared" si="71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72"/>
        <v>0</v>
      </c>
      <c r="AO176" s="47">
        <f t="shared" si="73"/>
        <v>0</v>
      </c>
      <c r="AP176" s="47">
        <f t="shared" si="74"/>
        <v>0</v>
      </c>
      <c r="AQ176">
        <v>2021</v>
      </c>
    </row>
    <row r="177" spans="2:43">
      <c r="B177" s="97" t="s">
        <v>74</v>
      </c>
      <c r="C177" s="61">
        <v>18230612</v>
      </c>
      <c r="D177" s="61" t="s">
        <v>75</v>
      </c>
      <c r="E177" s="38" t="s">
        <v>1678</v>
      </c>
      <c r="F177" s="39" t="s">
        <v>1679</v>
      </c>
      <c r="G177" s="39"/>
      <c r="H177" s="39"/>
      <c r="I177" s="40"/>
      <c r="J177" s="41">
        <v>25</v>
      </c>
      <c r="K177" s="41">
        <v>0</v>
      </c>
      <c r="L177" s="41"/>
      <c r="M177" s="42">
        <v>20.735199999999999</v>
      </c>
      <c r="N177" s="42">
        <v>20.735199999999999</v>
      </c>
      <c r="O177" s="43">
        <v>0</v>
      </c>
      <c r="P177" s="44">
        <v>518.38</v>
      </c>
      <c r="Q177" s="44">
        <v>518.38</v>
      </c>
      <c r="R177" s="45">
        <v>0</v>
      </c>
      <c r="S177" s="46">
        <v>0</v>
      </c>
      <c r="T177" s="39">
        <f t="shared" si="57"/>
        <v>0</v>
      </c>
      <c r="U177" s="47">
        <f t="shared" si="58"/>
        <v>0</v>
      </c>
      <c r="V177" s="48">
        <f t="shared" si="59"/>
        <v>0</v>
      </c>
      <c r="W177" s="49">
        <f t="shared" si="60"/>
        <v>0</v>
      </c>
      <c r="X177" s="44">
        <f t="shared" si="61"/>
        <v>0</v>
      </c>
      <c r="Y177" s="44">
        <f t="shared" si="62"/>
        <v>0</v>
      </c>
      <c r="Z177" s="44">
        <f t="shared" si="63"/>
        <v>0</v>
      </c>
      <c r="AA177" s="522">
        <f t="shared" si="56"/>
        <v>534.71557964157307</v>
      </c>
      <c r="AB177" s="51">
        <f t="shared" si="64"/>
        <v>0</v>
      </c>
      <c r="AC177" s="44">
        <f t="shared" si="65"/>
        <v>499.87433826453491</v>
      </c>
      <c r="AD177" s="44">
        <f t="shared" si="66"/>
        <v>0</v>
      </c>
      <c r="AE177" s="44">
        <f t="shared" si="67"/>
        <v>0</v>
      </c>
      <c r="AF177" s="52" t="e">
        <f>HLOOKUP(I177,ElecAvoidedCostsWOCC!$A$5:$Q$50,G177+1,FALSE)</f>
        <v>#N/A</v>
      </c>
      <c r="AG177" s="44" t="e">
        <f t="shared" si="68"/>
        <v>#N/A</v>
      </c>
      <c r="AH177" s="52" t="e">
        <f>HLOOKUP(I177,ElecAvoidedCostsWOCC!$A$5:$Q$50,T177+1,FALSE)</f>
        <v>#N/A</v>
      </c>
      <c r="AI177" s="44" t="e">
        <f t="shared" si="69"/>
        <v>#N/A</v>
      </c>
      <c r="AJ177" s="44" t="e">
        <f t="shared" si="70"/>
        <v>#N/A</v>
      </c>
      <c r="AK177" s="44" t="e">
        <f>HLOOKUP(I177,ElecAvoidedCostsWOCC!$A$5:$Q$50,G177+1,FALSE)*J177*L177</f>
        <v>#N/A</v>
      </c>
      <c r="AL177" s="44" t="e">
        <f t="shared" si="71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72"/>
        <v>0</v>
      </c>
      <c r="AO177" s="47">
        <f t="shared" si="73"/>
        <v>0</v>
      </c>
      <c r="AP177" s="47">
        <f t="shared" si="74"/>
        <v>0</v>
      </c>
      <c r="AQ177">
        <v>2021</v>
      </c>
    </row>
    <row r="178" spans="2:43">
      <c r="B178" s="97" t="s">
        <v>74</v>
      </c>
      <c r="C178" s="61">
        <v>18230613</v>
      </c>
      <c r="D178" s="61" t="s">
        <v>75</v>
      </c>
      <c r="E178" s="38" t="s">
        <v>1682</v>
      </c>
      <c r="F178" s="39" t="s">
        <v>1683</v>
      </c>
      <c r="G178" s="39">
        <v>30</v>
      </c>
      <c r="H178" s="39"/>
      <c r="I178" s="40" t="s">
        <v>269</v>
      </c>
      <c r="J178" s="41">
        <v>1</v>
      </c>
      <c r="K178" s="41">
        <v>48185</v>
      </c>
      <c r="L178" s="41"/>
      <c r="M178" s="42">
        <v>12000</v>
      </c>
      <c r="N178" s="42">
        <v>12000</v>
      </c>
      <c r="O178" s="43">
        <v>48185</v>
      </c>
      <c r="P178" s="44">
        <v>12000</v>
      </c>
      <c r="Q178" s="44">
        <v>12000</v>
      </c>
      <c r="R178" s="45">
        <v>0</v>
      </c>
      <c r="S178" s="46">
        <v>0</v>
      </c>
      <c r="T178" s="39">
        <f t="shared" si="57"/>
        <v>30</v>
      </c>
      <c r="U178" s="47">
        <f t="shared" si="58"/>
        <v>0.62635164381765351</v>
      </c>
      <c r="V178" s="48">
        <f t="shared" si="59"/>
        <v>0</v>
      </c>
      <c r="W178" s="49">
        <f t="shared" si="60"/>
        <v>2.0878388127255117E-2</v>
      </c>
      <c r="X178" s="44">
        <f t="shared" si="61"/>
        <v>5549.6511514685635</v>
      </c>
      <c r="Y178" s="44">
        <f t="shared" si="62"/>
        <v>0</v>
      </c>
      <c r="Z178" s="44">
        <f t="shared" si="63"/>
        <v>148762.79171814895</v>
      </c>
      <c r="AA178" s="522">
        <f t="shared" si="56"/>
        <v>17927.804158333947</v>
      </c>
      <c r="AB178" s="51">
        <f t="shared" si="64"/>
        <v>139069.63795283626</v>
      </c>
      <c r="AC178" s="44">
        <f t="shared" si="65"/>
        <v>16759.656126328828</v>
      </c>
      <c r="AD178" s="44">
        <f t="shared" si="66"/>
        <v>0</v>
      </c>
      <c r="AE178" s="44">
        <f t="shared" si="67"/>
        <v>0</v>
      </c>
      <c r="AF178" s="52">
        <f>HLOOKUP(I178,ElecAvoidedCostsWOCC!$A$5:$Q$50,G178+1,FALSE)</f>
        <v>2.3666688857668672</v>
      </c>
      <c r="AG178" s="44">
        <f t="shared" si="68"/>
        <v>114037.94026067649</v>
      </c>
      <c r="AH178" s="52">
        <f>HLOOKUP(I178,ElecAvoidedCostsWOCC!$A$5:$Q$50,T178+1,FALSE)</f>
        <v>2.3666688857668672</v>
      </c>
      <c r="AI178" s="44">
        <f t="shared" si="69"/>
        <v>0</v>
      </c>
      <c r="AJ178" s="44">
        <f t="shared" si="70"/>
        <v>114037.94026067649</v>
      </c>
      <c r="AK178" s="44">
        <f>HLOOKUP(I178,ElecAvoidedCostsWOCC!$A$5:$Q$50,G178+1,FALSE)*J178*L178</f>
        <v>0</v>
      </c>
      <c r="AL178" s="44">
        <f t="shared" si="71"/>
        <v>114037.94026067649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114037.94026067649</v>
      </c>
      <c r="AN178" s="48">
        <f t="shared" si="72"/>
        <v>125441.73428674415</v>
      </c>
      <c r="AO178" s="47">
        <f t="shared" si="73"/>
        <v>0.82000601956949826</v>
      </c>
      <c r="AP178" s="47">
        <f t="shared" si="74"/>
        <v>7.4847439196368484</v>
      </c>
      <c r="AQ178">
        <v>2021</v>
      </c>
    </row>
    <row r="179" spans="2:43">
      <c r="B179" s="97" t="s">
        <v>2572</v>
      </c>
      <c r="C179" s="61">
        <v>18230614</v>
      </c>
      <c r="D179" s="61" t="s">
        <v>75</v>
      </c>
      <c r="E179" s="38" t="s">
        <v>1584</v>
      </c>
      <c r="F179" s="39" t="s">
        <v>1585</v>
      </c>
      <c r="G179" s="39">
        <v>25</v>
      </c>
      <c r="H179" s="39"/>
      <c r="I179" s="40" t="s">
        <v>269</v>
      </c>
      <c r="J179" s="41">
        <v>80858</v>
      </c>
      <c r="K179" s="41">
        <v>0.34</v>
      </c>
      <c r="L179" s="41"/>
      <c r="M179" s="42">
        <v>1.1499999999999999</v>
      </c>
      <c r="N179" s="42">
        <v>1.1499999999999999</v>
      </c>
      <c r="O179" s="43">
        <v>27491.72</v>
      </c>
      <c r="P179" s="44">
        <v>113097.33</v>
      </c>
      <c r="Q179" s="44">
        <v>113097.33</v>
      </c>
      <c r="R179" s="45">
        <v>0</v>
      </c>
      <c r="S179" s="46">
        <v>0</v>
      </c>
      <c r="T179" s="39">
        <f t="shared" si="57"/>
        <v>25</v>
      </c>
      <c r="U179" s="47">
        <f t="shared" si="58"/>
        <v>0.29780159823898622</v>
      </c>
      <c r="V179" s="48">
        <f t="shared" si="59"/>
        <v>0</v>
      </c>
      <c r="W179" s="49">
        <f t="shared" si="60"/>
        <v>1.1912063929559449E-2</v>
      </c>
      <c r="X179" s="44">
        <f t="shared" si="61"/>
        <v>3166.3267729345507</v>
      </c>
      <c r="Y179" s="44">
        <f t="shared" si="62"/>
        <v>0</v>
      </c>
      <c r="Z179" s="44">
        <f t="shared" si="63"/>
        <v>84875.895327045131</v>
      </c>
      <c r="AA179" s="522">
        <f t="shared" si="56"/>
        <v>119827.66472359677</v>
      </c>
      <c r="AB179" s="51">
        <f t="shared" si="64"/>
        <v>79345.513066322455</v>
      </c>
      <c r="AC179" s="44">
        <f t="shared" si="65"/>
        <v>112019.87914704754</v>
      </c>
      <c r="AD179" s="44">
        <f t="shared" si="66"/>
        <v>0</v>
      </c>
      <c r="AE179" s="44">
        <f t="shared" si="67"/>
        <v>0</v>
      </c>
      <c r="AF179" s="52">
        <f>HLOOKUP(I179,ElecAvoidedCostsWOCC!$A$5:$Q$50,G179+1,FALSE)</f>
        <v>2.0508206305871441</v>
      </c>
      <c r="AG179" s="44">
        <f t="shared" si="68"/>
        <v>56380.586546325205</v>
      </c>
      <c r="AH179" s="52">
        <f>HLOOKUP(I179,ElecAvoidedCostsWOCC!$A$5:$Q$50,T179+1,FALSE)</f>
        <v>2.0508206305871441</v>
      </c>
      <c r="AI179" s="44">
        <f t="shared" si="69"/>
        <v>0</v>
      </c>
      <c r="AJ179" s="44">
        <f t="shared" si="70"/>
        <v>56380.586546325205</v>
      </c>
      <c r="AK179" s="44">
        <f>HLOOKUP(I179,ElecAvoidedCostsWOCC!$A$5:$Q$50,G179+1,FALSE)*J179*L179</f>
        <v>0</v>
      </c>
      <c r="AL179" s="44">
        <f t="shared" si="71"/>
        <v>56380.586546325205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56380.586546325205</v>
      </c>
      <c r="AN179" s="48">
        <f t="shared" si="72"/>
        <v>62018.645200957733</v>
      </c>
      <c r="AO179" s="47">
        <f t="shared" si="73"/>
        <v>0.71057057125836998</v>
      </c>
      <c r="AP179" s="47">
        <f t="shared" si="74"/>
        <v>0.55363963676077876</v>
      </c>
      <c r="AQ179">
        <v>2021</v>
      </c>
    </row>
    <row r="180" spans="2:43">
      <c r="B180" s="97" t="s">
        <v>2573</v>
      </c>
      <c r="C180" s="61">
        <v>18230615</v>
      </c>
      <c r="D180" s="61" t="s">
        <v>75</v>
      </c>
      <c r="E180" s="38" t="s">
        <v>1588</v>
      </c>
      <c r="F180" s="39" t="s">
        <v>1589</v>
      </c>
      <c r="G180" s="39">
        <v>15</v>
      </c>
      <c r="H180" s="39"/>
      <c r="I180" s="40" t="s">
        <v>269</v>
      </c>
      <c r="J180" s="41">
        <v>28434</v>
      </c>
      <c r="K180" s="41">
        <v>0.13</v>
      </c>
      <c r="L180" s="41"/>
      <c r="M180" s="42">
        <v>1.32</v>
      </c>
      <c r="N180" s="42">
        <v>1.32</v>
      </c>
      <c r="O180" s="43">
        <v>3696.42</v>
      </c>
      <c r="P180" s="44">
        <v>43514.080000000002</v>
      </c>
      <c r="Q180" s="44">
        <v>43514.080000000002</v>
      </c>
      <c r="R180" s="45">
        <v>0</v>
      </c>
      <c r="S180" s="46">
        <v>0</v>
      </c>
      <c r="T180" s="39">
        <f t="shared" si="57"/>
        <v>15</v>
      </c>
      <c r="U180" s="47">
        <f t="shared" si="58"/>
        <v>2.402468344132459E-2</v>
      </c>
      <c r="V180" s="48">
        <f t="shared" si="59"/>
        <v>0</v>
      </c>
      <c r="W180" s="49">
        <f t="shared" si="60"/>
        <v>1.6016455627549727E-3</v>
      </c>
      <c r="X180" s="44">
        <f t="shared" si="61"/>
        <v>425.73086041945476</v>
      </c>
      <c r="Y180" s="44">
        <f t="shared" si="62"/>
        <v>0</v>
      </c>
      <c r="Z180" s="44">
        <f t="shared" si="63"/>
        <v>11412.052683673344</v>
      </c>
      <c r="AA180" s="522">
        <f t="shared" si="56"/>
        <v>45311.059209834522</v>
      </c>
      <c r="AB180" s="51">
        <f t="shared" si="64"/>
        <v>10668.460955102686</v>
      </c>
      <c r="AC180" s="44">
        <f t="shared" si="65"/>
        <v>42358.660568228959</v>
      </c>
      <c r="AD180" s="44">
        <f t="shared" si="66"/>
        <v>0</v>
      </c>
      <c r="AE180" s="44">
        <f t="shared" si="67"/>
        <v>0</v>
      </c>
      <c r="AF180" s="52">
        <f>HLOOKUP(I180,ElecAvoidedCostsWOCC!$A$5:$Q$50,G180+1,FALSE)</f>
        <v>1.3893373920773078</v>
      </c>
      <c r="AG180" s="44">
        <f t="shared" si="68"/>
        <v>5135.5745228224023</v>
      </c>
      <c r="AH180" s="52">
        <f>HLOOKUP(I180,ElecAvoidedCostsWOCC!$A$5:$Q$50,T180+1,FALSE)</f>
        <v>1.3893373920773078</v>
      </c>
      <c r="AI180" s="44">
        <f t="shared" si="69"/>
        <v>0</v>
      </c>
      <c r="AJ180" s="44">
        <f t="shared" si="70"/>
        <v>5135.5745228224023</v>
      </c>
      <c r="AK180" s="44">
        <f>HLOOKUP(I180,ElecAvoidedCostsWOCC!$A$5:$Q$50,G180+1,FALSE)*J180*L180</f>
        <v>0</v>
      </c>
      <c r="AL180" s="44">
        <f t="shared" si="71"/>
        <v>5135.5745228224023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5135.5745228224023</v>
      </c>
      <c r="AN180" s="48">
        <f t="shared" si="72"/>
        <v>5649.1319751046431</v>
      </c>
      <c r="AO180" s="47">
        <f t="shared" si="73"/>
        <v>0.48137913654415876</v>
      </c>
      <c r="AP180" s="47">
        <f t="shared" si="74"/>
        <v>0.13336427307481399</v>
      </c>
      <c r="AQ180">
        <v>2021</v>
      </c>
    </row>
    <row r="181" spans="2:43">
      <c r="B181" s="97" t="s">
        <v>2574</v>
      </c>
      <c r="C181" s="61">
        <v>18230616</v>
      </c>
      <c r="D181" s="61" t="s">
        <v>75</v>
      </c>
      <c r="E181" s="38" t="s">
        <v>1471</v>
      </c>
      <c r="F181" s="39" t="s">
        <v>1472</v>
      </c>
      <c r="G181" s="39">
        <v>15</v>
      </c>
      <c r="H181" s="39"/>
      <c r="I181" s="40" t="s">
        <v>269</v>
      </c>
      <c r="J181" s="41">
        <v>49</v>
      </c>
      <c r="K181" s="41">
        <v>52.938775510204081</v>
      </c>
      <c r="L181" s="41"/>
      <c r="M181" s="42">
        <v>0</v>
      </c>
      <c r="N181" s="42">
        <v>1352.0122448979594</v>
      </c>
      <c r="O181" s="43">
        <v>2594</v>
      </c>
      <c r="P181" s="44">
        <v>0</v>
      </c>
      <c r="Q181" s="44">
        <v>66248.600000000006</v>
      </c>
      <c r="R181" s="45">
        <v>0</v>
      </c>
      <c r="S181" s="46">
        <v>0</v>
      </c>
      <c r="T181" s="39">
        <f t="shared" si="57"/>
        <v>15</v>
      </c>
      <c r="U181" s="47">
        <f t="shared" si="58"/>
        <v>1.6859563806817406E-2</v>
      </c>
      <c r="V181" s="48">
        <f t="shared" si="59"/>
        <v>1352.0122448979594</v>
      </c>
      <c r="W181" s="49">
        <f t="shared" si="60"/>
        <v>1.1239709204544936E-3</v>
      </c>
      <c r="X181" s="44">
        <f t="shared" si="61"/>
        <v>298.76092325224562</v>
      </c>
      <c r="Y181" s="44">
        <f t="shared" si="62"/>
        <v>66248.600000000006</v>
      </c>
      <c r="Z181" s="44">
        <f t="shared" si="63"/>
        <v>8008.5230199621947</v>
      </c>
      <c r="AA181" s="522">
        <f t="shared" si="56"/>
        <v>68635.036530804078</v>
      </c>
      <c r="AB181" s="51">
        <f t="shared" si="64"/>
        <v>7486.7000280099037</v>
      </c>
      <c r="AC181" s="44">
        <f t="shared" si="65"/>
        <v>64162.883547540499</v>
      </c>
      <c r="AD181" s="44">
        <f t="shared" si="66"/>
        <v>0</v>
      </c>
      <c r="AE181" s="44">
        <f t="shared" si="67"/>
        <v>0</v>
      </c>
      <c r="AF181" s="52">
        <f>HLOOKUP(I181,ElecAvoidedCostsWOCC!$A$5:$Q$50,G181+1,FALSE)</f>
        <v>1.3893373920773078</v>
      </c>
      <c r="AG181" s="44">
        <f t="shared" si="68"/>
        <v>3603.9411950485364</v>
      </c>
      <c r="AH181" s="52">
        <f>HLOOKUP(I181,ElecAvoidedCostsWOCC!$A$5:$Q$50,T181+1,FALSE)</f>
        <v>1.3893373920773078</v>
      </c>
      <c r="AI181" s="44">
        <f t="shared" si="69"/>
        <v>0</v>
      </c>
      <c r="AJ181" s="44">
        <f t="shared" si="70"/>
        <v>3603.9411950485364</v>
      </c>
      <c r="AK181" s="44">
        <f>HLOOKUP(I181,ElecAvoidedCostsWOCC!$A$5:$Q$50,G181+1,FALSE)*J181*L181</f>
        <v>0</v>
      </c>
      <c r="AL181" s="44">
        <f t="shared" si="71"/>
        <v>3603.9411950485364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3603.941195048536</v>
      </c>
      <c r="AN181" s="48">
        <f t="shared" si="72"/>
        <v>3964.3353145533897</v>
      </c>
      <c r="AO181" s="47">
        <f t="shared" si="73"/>
        <v>0.48137913654415865</v>
      </c>
      <c r="AP181" s="47">
        <f t="shared" si="74"/>
        <v>6.178549178850537E-2</v>
      </c>
      <c r="AQ181">
        <v>2021</v>
      </c>
    </row>
    <row r="182" spans="2:43">
      <c r="B182" s="9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7"/>
        <v>0</v>
      </c>
      <c r="U182" s="47">
        <f t="shared" si="58"/>
        <v>0</v>
      </c>
      <c r="V182" s="48">
        <f t="shared" si="59"/>
        <v>0</v>
      </c>
      <c r="W182" s="49">
        <f t="shared" si="60"/>
        <v>0</v>
      </c>
      <c r="X182" s="44">
        <f t="shared" si="61"/>
        <v>0</v>
      </c>
      <c r="Y182" s="44">
        <f t="shared" si="62"/>
        <v>0</v>
      </c>
      <c r="Z182" s="44">
        <f t="shared" si="63"/>
        <v>0</v>
      </c>
      <c r="AA182" s="522">
        <f t="shared" si="56"/>
        <v>0</v>
      </c>
      <c r="AB182" s="51">
        <f t="shared" si="64"/>
        <v>0</v>
      </c>
      <c r="AC182" s="44">
        <f t="shared" si="65"/>
        <v>0</v>
      </c>
      <c r="AD182" s="44">
        <f t="shared" si="66"/>
        <v>0</v>
      </c>
      <c r="AE182" s="44">
        <f t="shared" si="67"/>
        <v>0</v>
      </c>
      <c r="AF182" s="52" t="e">
        <f>HLOOKUP(I182,ElecAvoidedCostsWOCC!$A$5:$Q$50,G182+1,FALSE)</f>
        <v>#N/A</v>
      </c>
      <c r="AG182" s="44" t="e">
        <f t="shared" si="68"/>
        <v>#N/A</v>
      </c>
      <c r="AH182" s="52" t="e">
        <f>HLOOKUP(I182,ElecAvoidedCostsWOCC!$A$5:$Q$50,T182+1,FALSE)</f>
        <v>#N/A</v>
      </c>
      <c r="AI182" s="44" t="e">
        <f t="shared" si="69"/>
        <v>#N/A</v>
      </c>
      <c r="AJ182" s="44" t="e">
        <f t="shared" si="70"/>
        <v>#N/A</v>
      </c>
      <c r="AK182" s="44" t="e">
        <f>HLOOKUP(I182,ElecAvoidedCostsWOCC!$A$5:$Q$50,G182+1,FALSE)*J182*L182</f>
        <v>#N/A</v>
      </c>
      <c r="AL182" s="44" t="e">
        <f t="shared" si="71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72"/>
        <v>0</v>
      </c>
      <c r="AO182" s="47">
        <f t="shared" si="73"/>
        <v>0</v>
      </c>
      <c r="AP182" s="47" t="e">
        <f t="shared" si="74"/>
        <v>#DIV/0!</v>
      </c>
    </row>
    <row r="183" spans="2:43">
      <c r="B183" s="9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7"/>
        <v>0</v>
      </c>
      <c r="U183" s="47">
        <f t="shared" si="58"/>
        <v>0</v>
      </c>
      <c r="V183" s="48">
        <f t="shared" si="59"/>
        <v>0</v>
      </c>
      <c r="W183" s="49">
        <f t="shared" si="60"/>
        <v>0</v>
      </c>
      <c r="X183" s="44">
        <f t="shared" si="61"/>
        <v>0</v>
      </c>
      <c r="Y183" s="44">
        <f t="shared" si="62"/>
        <v>0</v>
      </c>
      <c r="Z183" s="44">
        <f t="shared" si="63"/>
        <v>0</v>
      </c>
      <c r="AA183" s="522">
        <f t="shared" si="56"/>
        <v>0</v>
      </c>
      <c r="AB183" s="51">
        <f t="shared" si="64"/>
        <v>0</v>
      </c>
      <c r="AC183" s="44">
        <f t="shared" si="65"/>
        <v>0</v>
      </c>
      <c r="AD183" s="44">
        <f t="shared" si="66"/>
        <v>0</v>
      </c>
      <c r="AE183" s="44">
        <f t="shared" si="67"/>
        <v>0</v>
      </c>
      <c r="AF183" s="52" t="e">
        <f>HLOOKUP(I183,ElecAvoidedCostsWOCC!$A$5:$Q$50,G183+1,FALSE)</f>
        <v>#N/A</v>
      </c>
      <c r="AG183" s="44" t="e">
        <f t="shared" si="68"/>
        <v>#N/A</v>
      </c>
      <c r="AH183" s="52" t="e">
        <f>HLOOKUP(I183,ElecAvoidedCostsWOCC!$A$5:$Q$50,T183+1,FALSE)</f>
        <v>#N/A</v>
      </c>
      <c r="AI183" s="44" t="e">
        <f t="shared" si="69"/>
        <v>#N/A</v>
      </c>
      <c r="AJ183" s="44" t="e">
        <f t="shared" si="70"/>
        <v>#N/A</v>
      </c>
      <c r="AK183" s="44" t="e">
        <f>HLOOKUP(I183,ElecAvoidedCostsWOCC!$A$5:$Q$50,G183+1,FALSE)*J183*L183</f>
        <v>#N/A</v>
      </c>
      <c r="AL183" s="44" t="e">
        <f t="shared" si="71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72"/>
        <v>0</v>
      </c>
      <c r="AO183" s="47">
        <f t="shared" si="73"/>
        <v>0</v>
      </c>
      <c r="AP183" s="47" t="e">
        <f t="shared" si="74"/>
        <v>#DIV/0!</v>
      </c>
    </row>
    <row r="184" spans="2:43">
      <c r="B184" s="9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7"/>
        <v>0</v>
      </c>
      <c r="U184" s="47">
        <f t="shared" si="58"/>
        <v>0</v>
      </c>
      <c r="V184" s="48">
        <f t="shared" si="59"/>
        <v>0</v>
      </c>
      <c r="W184" s="49">
        <f t="shared" si="60"/>
        <v>0</v>
      </c>
      <c r="X184" s="44">
        <f t="shared" si="61"/>
        <v>0</v>
      </c>
      <c r="Y184" s="44">
        <f t="shared" si="62"/>
        <v>0</v>
      </c>
      <c r="Z184" s="44">
        <f t="shared" si="63"/>
        <v>0</v>
      </c>
      <c r="AA184" s="522">
        <f t="shared" si="56"/>
        <v>0</v>
      </c>
      <c r="AB184" s="51">
        <f t="shared" si="64"/>
        <v>0</v>
      </c>
      <c r="AC184" s="44">
        <f t="shared" si="65"/>
        <v>0</v>
      </c>
      <c r="AD184" s="44">
        <f t="shared" si="66"/>
        <v>0</v>
      </c>
      <c r="AE184" s="44">
        <f t="shared" si="67"/>
        <v>0</v>
      </c>
      <c r="AF184" s="52" t="e">
        <f>HLOOKUP(I184,ElecAvoidedCostsWOCC!$A$5:$Q$50,G184+1,FALSE)</f>
        <v>#N/A</v>
      </c>
      <c r="AG184" s="44" t="e">
        <f t="shared" si="68"/>
        <v>#N/A</v>
      </c>
      <c r="AH184" s="52" t="e">
        <f>HLOOKUP(I184,ElecAvoidedCostsWOCC!$A$5:$Q$50,T184+1,FALSE)</f>
        <v>#N/A</v>
      </c>
      <c r="AI184" s="44" t="e">
        <f t="shared" si="69"/>
        <v>#N/A</v>
      </c>
      <c r="AJ184" s="44" t="e">
        <f t="shared" si="70"/>
        <v>#N/A</v>
      </c>
      <c r="AK184" s="44" t="e">
        <f>HLOOKUP(I184,ElecAvoidedCostsWOCC!$A$5:$Q$50,G184+1,FALSE)*J184*L184</f>
        <v>#N/A</v>
      </c>
      <c r="AL184" s="44" t="e">
        <f t="shared" si="71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72"/>
        <v>0</v>
      </c>
      <c r="AO184" s="47">
        <f t="shared" si="73"/>
        <v>0</v>
      </c>
      <c r="AP184" s="47" t="e">
        <f t="shared" si="74"/>
        <v>#DIV/0!</v>
      </c>
    </row>
    <row r="185" spans="2:43">
      <c r="B185" s="9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7"/>
        <v>0</v>
      </c>
      <c r="U185" s="47">
        <f t="shared" si="58"/>
        <v>0</v>
      </c>
      <c r="V185" s="48">
        <f t="shared" si="59"/>
        <v>0</v>
      </c>
      <c r="W185" s="49">
        <f t="shared" si="60"/>
        <v>0</v>
      </c>
      <c r="X185" s="44">
        <f t="shared" si="61"/>
        <v>0</v>
      </c>
      <c r="Y185" s="44">
        <f t="shared" si="62"/>
        <v>0</v>
      </c>
      <c r="Z185" s="44">
        <f t="shared" si="63"/>
        <v>0</v>
      </c>
      <c r="AA185" s="522">
        <f t="shared" si="56"/>
        <v>0</v>
      </c>
      <c r="AB185" s="51">
        <f t="shared" si="64"/>
        <v>0</v>
      </c>
      <c r="AC185" s="44">
        <f t="shared" si="65"/>
        <v>0</v>
      </c>
      <c r="AD185" s="44">
        <f t="shared" si="66"/>
        <v>0</v>
      </c>
      <c r="AE185" s="44">
        <f t="shared" si="67"/>
        <v>0</v>
      </c>
      <c r="AF185" s="52" t="e">
        <f>HLOOKUP(I185,ElecAvoidedCostsWOCC!$A$5:$Q$50,G185+1,FALSE)</f>
        <v>#N/A</v>
      </c>
      <c r="AG185" s="44" t="e">
        <f t="shared" si="68"/>
        <v>#N/A</v>
      </c>
      <c r="AH185" s="52" t="e">
        <f>HLOOKUP(I185,ElecAvoidedCostsWOCC!$A$5:$Q$50,T185+1,FALSE)</f>
        <v>#N/A</v>
      </c>
      <c r="AI185" s="44" t="e">
        <f t="shared" si="69"/>
        <v>#N/A</v>
      </c>
      <c r="AJ185" s="44" t="e">
        <f t="shared" si="70"/>
        <v>#N/A</v>
      </c>
      <c r="AK185" s="44" t="e">
        <f>HLOOKUP(I185,ElecAvoidedCostsWOCC!$A$5:$Q$50,G185+1,FALSE)*J185*L185</f>
        <v>#N/A</v>
      </c>
      <c r="AL185" s="44" t="e">
        <f t="shared" si="71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72"/>
        <v>0</v>
      </c>
      <c r="AO185" s="47">
        <f t="shared" si="73"/>
        <v>0</v>
      </c>
      <c r="AP185" s="47" t="e">
        <f t="shared" si="74"/>
        <v>#DIV/0!</v>
      </c>
    </row>
    <row r="186" spans="2:43">
      <c r="B186" s="9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7"/>
        <v>0</v>
      </c>
      <c r="U186" s="47">
        <f t="shared" si="58"/>
        <v>0</v>
      </c>
      <c r="V186" s="48">
        <f t="shared" si="59"/>
        <v>0</v>
      </c>
      <c r="W186" s="49">
        <f t="shared" si="60"/>
        <v>0</v>
      </c>
      <c r="X186" s="44">
        <f t="shared" si="61"/>
        <v>0</v>
      </c>
      <c r="Y186" s="44">
        <f t="shared" si="62"/>
        <v>0</v>
      </c>
      <c r="Z186" s="44">
        <f t="shared" si="63"/>
        <v>0</v>
      </c>
      <c r="AA186" s="522">
        <f t="shared" si="56"/>
        <v>0</v>
      </c>
      <c r="AB186" s="51">
        <f t="shared" si="64"/>
        <v>0</v>
      </c>
      <c r="AC186" s="44">
        <f t="shared" si="65"/>
        <v>0</v>
      </c>
      <c r="AD186" s="44">
        <f t="shared" si="66"/>
        <v>0</v>
      </c>
      <c r="AE186" s="44">
        <f t="shared" si="67"/>
        <v>0</v>
      </c>
      <c r="AF186" s="52" t="e">
        <f>HLOOKUP(I186,ElecAvoidedCostsWOCC!$A$5:$Q$50,G186+1,FALSE)</f>
        <v>#N/A</v>
      </c>
      <c r="AG186" s="44" t="e">
        <f t="shared" si="68"/>
        <v>#N/A</v>
      </c>
      <c r="AH186" s="52" t="e">
        <f>HLOOKUP(I186,ElecAvoidedCostsWOCC!$A$5:$Q$50,T186+1,FALSE)</f>
        <v>#N/A</v>
      </c>
      <c r="AI186" s="44" t="e">
        <f t="shared" si="69"/>
        <v>#N/A</v>
      </c>
      <c r="AJ186" s="44" t="e">
        <f t="shared" si="70"/>
        <v>#N/A</v>
      </c>
      <c r="AK186" s="44" t="e">
        <f>HLOOKUP(I186,ElecAvoidedCostsWOCC!$A$5:$Q$50,G186+1,FALSE)*J186*L186</f>
        <v>#N/A</v>
      </c>
      <c r="AL186" s="44" t="e">
        <f t="shared" si="71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72"/>
        <v>0</v>
      </c>
      <c r="AO186" s="47">
        <f t="shared" si="73"/>
        <v>0</v>
      </c>
      <c r="AP186" s="47" t="e">
        <f t="shared" si="74"/>
        <v>#DIV/0!</v>
      </c>
    </row>
    <row r="187" spans="2:43">
      <c r="B187" s="9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7"/>
        <v>0</v>
      </c>
      <c r="U187" s="47">
        <f t="shared" si="58"/>
        <v>0</v>
      </c>
      <c r="V187" s="48">
        <f t="shared" si="59"/>
        <v>0</v>
      </c>
      <c r="W187" s="49">
        <f t="shared" si="60"/>
        <v>0</v>
      </c>
      <c r="X187" s="44">
        <f t="shared" si="61"/>
        <v>0</v>
      </c>
      <c r="Y187" s="44">
        <f t="shared" si="62"/>
        <v>0</v>
      </c>
      <c r="Z187" s="44">
        <f t="shared" si="63"/>
        <v>0</v>
      </c>
      <c r="AA187" s="522">
        <f t="shared" si="56"/>
        <v>0</v>
      </c>
      <c r="AB187" s="51">
        <f t="shared" si="64"/>
        <v>0</v>
      </c>
      <c r="AC187" s="44">
        <f t="shared" si="65"/>
        <v>0</v>
      </c>
      <c r="AD187" s="44">
        <f t="shared" si="66"/>
        <v>0</v>
      </c>
      <c r="AE187" s="44">
        <f t="shared" si="67"/>
        <v>0</v>
      </c>
      <c r="AF187" s="52" t="e">
        <f>HLOOKUP(I187,ElecAvoidedCostsWOCC!$A$5:$Q$50,G187+1,FALSE)</f>
        <v>#N/A</v>
      </c>
      <c r="AG187" s="44" t="e">
        <f t="shared" si="68"/>
        <v>#N/A</v>
      </c>
      <c r="AH187" s="52" t="e">
        <f>HLOOKUP(I187,ElecAvoidedCostsWOCC!$A$5:$Q$50,T187+1,FALSE)</f>
        <v>#N/A</v>
      </c>
      <c r="AI187" s="44" t="e">
        <f t="shared" si="69"/>
        <v>#N/A</v>
      </c>
      <c r="AJ187" s="44" t="e">
        <f t="shared" si="70"/>
        <v>#N/A</v>
      </c>
      <c r="AK187" s="44" t="e">
        <f>HLOOKUP(I187,ElecAvoidedCostsWOCC!$A$5:$Q$50,G187+1,FALSE)*J187*L187</f>
        <v>#N/A</v>
      </c>
      <c r="AL187" s="44" t="e">
        <f t="shared" si="71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72"/>
        <v>0</v>
      </c>
      <c r="AO187" s="47">
        <f t="shared" si="73"/>
        <v>0</v>
      </c>
      <c r="AP187" s="47" t="e">
        <f t="shared" si="74"/>
        <v>#DIV/0!</v>
      </c>
    </row>
    <row r="188" spans="2:43">
      <c r="B188" s="9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57"/>
        <v>0</v>
      </c>
      <c r="U188" s="47">
        <f t="shared" si="58"/>
        <v>0</v>
      </c>
      <c r="V188" s="48">
        <f t="shared" si="59"/>
        <v>0</v>
      </c>
      <c r="W188" s="49">
        <f t="shared" si="60"/>
        <v>0</v>
      </c>
      <c r="X188" s="44">
        <f t="shared" si="61"/>
        <v>0</v>
      </c>
      <c r="Y188" s="44">
        <f t="shared" si="62"/>
        <v>0</v>
      </c>
      <c r="Z188" s="44">
        <f t="shared" si="63"/>
        <v>0</v>
      </c>
      <c r="AA188" s="522">
        <f t="shared" si="56"/>
        <v>0</v>
      </c>
      <c r="AB188" s="51">
        <f t="shared" si="64"/>
        <v>0</v>
      </c>
      <c r="AC188" s="44">
        <f t="shared" si="65"/>
        <v>0</v>
      </c>
      <c r="AD188" s="44">
        <f t="shared" si="66"/>
        <v>0</v>
      </c>
      <c r="AE188" s="44">
        <f t="shared" si="67"/>
        <v>0</v>
      </c>
      <c r="AF188" s="52" t="e">
        <f>HLOOKUP(I188,ElecAvoidedCostsWOCC!$A$5:$Q$50,G188+1,FALSE)</f>
        <v>#N/A</v>
      </c>
      <c r="AG188" s="44" t="e">
        <f t="shared" si="68"/>
        <v>#N/A</v>
      </c>
      <c r="AH188" s="52" t="e">
        <f>HLOOKUP(I188,ElecAvoidedCostsWOCC!$A$5:$Q$50,T188+1,FALSE)</f>
        <v>#N/A</v>
      </c>
      <c r="AI188" s="44" t="e">
        <f t="shared" si="69"/>
        <v>#N/A</v>
      </c>
      <c r="AJ188" s="44" t="e">
        <f t="shared" si="70"/>
        <v>#N/A</v>
      </c>
      <c r="AK188" s="44" t="e">
        <f>HLOOKUP(I188,ElecAvoidedCostsWOCC!$A$5:$Q$50,G188+1,FALSE)*J188*L188</f>
        <v>#N/A</v>
      </c>
      <c r="AL188" s="44" t="e">
        <f t="shared" si="71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72"/>
        <v>0</v>
      </c>
      <c r="AO188" s="47">
        <f t="shared" si="73"/>
        <v>0</v>
      </c>
      <c r="AP188" s="47" t="e">
        <f t="shared" si="74"/>
        <v>#DIV/0!</v>
      </c>
    </row>
    <row r="189" spans="2:43">
      <c r="B189" s="9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7"/>
        <v>0</v>
      </c>
      <c r="U189" s="47">
        <f t="shared" si="58"/>
        <v>0</v>
      </c>
      <c r="V189" s="48">
        <f t="shared" si="59"/>
        <v>0</v>
      </c>
      <c r="W189" s="49">
        <f t="shared" si="60"/>
        <v>0</v>
      </c>
      <c r="X189" s="44">
        <f t="shared" si="61"/>
        <v>0</v>
      </c>
      <c r="Y189" s="44">
        <f t="shared" si="62"/>
        <v>0</v>
      </c>
      <c r="Z189" s="44">
        <f t="shared" si="63"/>
        <v>0</v>
      </c>
      <c r="AA189" s="522">
        <f t="shared" si="56"/>
        <v>0</v>
      </c>
      <c r="AB189" s="51">
        <f t="shared" si="64"/>
        <v>0</v>
      </c>
      <c r="AC189" s="44">
        <f t="shared" si="65"/>
        <v>0</v>
      </c>
      <c r="AD189" s="44">
        <f t="shared" si="66"/>
        <v>0</v>
      </c>
      <c r="AE189" s="44">
        <f t="shared" si="67"/>
        <v>0</v>
      </c>
      <c r="AF189" s="52" t="e">
        <f>HLOOKUP(I189,ElecAvoidedCostsWOCC!$A$5:$Q$50,G189+1,FALSE)</f>
        <v>#N/A</v>
      </c>
      <c r="AG189" s="44" t="e">
        <f t="shared" si="68"/>
        <v>#N/A</v>
      </c>
      <c r="AH189" s="52" t="e">
        <f>HLOOKUP(I189,ElecAvoidedCostsWOCC!$A$5:$Q$50,T189+1,FALSE)</f>
        <v>#N/A</v>
      </c>
      <c r="AI189" s="44" t="e">
        <f t="shared" si="69"/>
        <v>#N/A</v>
      </c>
      <c r="AJ189" s="44" t="e">
        <f t="shared" si="70"/>
        <v>#N/A</v>
      </c>
      <c r="AK189" s="44" t="e">
        <f>HLOOKUP(I189,ElecAvoidedCostsWOCC!$A$5:$Q$50,G189+1,FALSE)*J189*L189</f>
        <v>#N/A</v>
      </c>
      <c r="AL189" s="44" t="e">
        <f t="shared" si="71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2"/>
        <v>0</v>
      </c>
      <c r="AO189" s="47">
        <f t="shared" si="73"/>
        <v>0</v>
      </c>
      <c r="AP189" s="47" t="e">
        <f t="shared" si="74"/>
        <v>#DIV/0!</v>
      </c>
    </row>
    <row r="190" spans="2:43">
      <c r="B190" s="9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7"/>
        <v>0</v>
      </c>
      <c r="U190" s="47">
        <f t="shared" si="58"/>
        <v>0</v>
      </c>
      <c r="V190" s="48">
        <f t="shared" si="59"/>
        <v>0</v>
      </c>
      <c r="W190" s="49">
        <f t="shared" si="60"/>
        <v>0</v>
      </c>
      <c r="X190" s="44">
        <f t="shared" si="61"/>
        <v>0</v>
      </c>
      <c r="Y190" s="44">
        <f t="shared" si="62"/>
        <v>0</v>
      </c>
      <c r="Z190" s="44">
        <f t="shared" si="63"/>
        <v>0</v>
      </c>
      <c r="AA190" s="522">
        <f t="shared" si="56"/>
        <v>0</v>
      </c>
      <c r="AB190" s="51">
        <f t="shared" si="64"/>
        <v>0</v>
      </c>
      <c r="AC190" s="44">
        <f t="shared" si="65"/>
        <v>0</v>
      </c>
      <c r="AD190" s="44">
        <f t="shared" si="66"/>
        <v>0</v>
      </c>
      <c r="AE190" s="44">
        <f t="shared" si="67"/>
        <v>0</v>
      </c>
      <c r="AF190" s="52" t="e">
        <f>HLOOKUP(I190,ElecAvoidedCostsWOCC!$A$5:$Q$50,G190+1,FALSE)</f>
        <v>#N/A</v>
      </c>
      <c r="AG190" s="44" t="e">
        <f t="shared" si="68"/>
        <v>#N/A</v>
      </c>
      <c r="AH190" s="52" t="e">
        <f>HLOOKUP(I190,ElecAvoidedCostsWOCC!$A$5:$Q$50,T190+1,FALSE)</f>
        <v>#N/A</v>
      </c>
      <c r="AI190" s="44" t="e">
        <f t="shared" si="69"/>
        <v>#N/A</v>
      </c>
      <c r="AJ190" s="44" t="e">
        <f t="shared" si="70"/>
        <v>#N/A</v>
      </c>
      <c r="AK190" s="44" t="e">
        <f>HLOOKUP(I190,ElecAvoidedCostsWOCC!$A$5:$Q$50,G190+1,FALSE)*J190*L190</f>
        <v>#N/A</v>
      </c>
      <c r="AL190" s="44" t="e">
        <f t="shared" si="71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2"/>
        <v>0</v>
      </c>
      <c r="AO190" s="47">
        <f t="shared" si="73"/>
        <v>0</v>
      </c>
      <c r="AP190" s="47" t="e">
        <f t="shared" si="74"/>
        <v>#DIV/0!</v>
      </c>
    </row>
    <row r="191" spans="2:43">
      <c r="B191" s="9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7"/>
        <v>0</v>
      </c>
      <c r="U191" s="47">
        <f t="shared" si="58"/>
        <v>0</v>
      </c>
      <c r="V191" s="48">
        <f t="shared" si="59"/>
        <v>0</v>
      </c>
      <c r="W191" s="49">
        <f t="shared" si="60"/>
        <v>0</v>
      </c>
      <c r="X191" s="44">
        <f t="shared" si="61"/>
        <v>0</v>
      </c>
      <c r="Y191" s="44">
        <f t="shared" si="62"/>
        <v>0</v>
      </c>
      <c r="Z191" s="44">
        <f t="shared" si="63"/>
        <v>0</v>
      </c>
      <c r="AA191" s="522">
        <f t="shared" si="56"/>
        <v>0</v>
      </c>
      <c r="AB191" s="51">
        <f t="shared" si="64"/>
        <v>0</v>
      </c>
      <c r="AC191" s="44">
        <f t="shared" si="65"/>
        <v>0</v>
      </c>
      <c r="AD191" s="44">
        <f t="shared" si="66"/>
        <v>0</v>
      </c>
      <c r="AE191" s="44">
        <f t="shared" si="67"/>
        <v>0</v>
      </c>
      <c r="AF191" s="52" t="e">
        <f>HLOOKUP(I191,ElecAvoidedCostsWOCC!$A$5:$Q$50,G191+1,FALSE)</f>
        <v>#N/A</v>
      </c>
      <c r="AG191" s="44" t="e">
        <f t="shared" si="68"/>
        <v>#N/A</v>
      </c>
      <c r="AH191" s="52" t="e">
        <f>HLOOKUP(I191,ElecAvoidedCostsWOCC!$A$5:$Q$50,T191+1,FALSE)</f>
        <v>#N/A</v>
      </c>
      <c r="AI191" s="44" t="e">
        <f t="shared" si="69"/>
        <v>#N/A</v>
      </c>
      <c r="AJ191" s="44" t="e">
        <f t="shared" si="70"/>
        <v>#N/A</v>
      </c>
      <c r="AK191" s="44" t="e">
        <f>HLOOKUP(I191,ElecAvoidedCostsWOCC!$A$5:$Q$50,G191+1,FALSE)*J191*L191</f>
        <v>#N/A</v>
      </c>
      <c r="AL191" s="44" t="e">
        <f t="shared" si="71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2"/>
        <v>0</v>
      </c>
      <c r="AO191" s="47">
        <f t="shared" si="73"/>
        <v>0</v>
      </c>
      <c r="AP191" s="47" t="e">
        <f t="shared" si="74"/>
        <v>#DIV/0!</v>
      </c>
    </row>
    <row r="192" spans="2:43">
      <c r="B192" s="9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7"/>
        <v>0</v>
      </c>
      <c r="U192" s="47">
        <f t="shared" si="58"/>
        <v>0</v>
      </c>
      <c r="V192" s="48">
        <f t="shared" si="59"/>
        <v>0</v>
      </c>
      <c r="W192" s="49">
        <f t="shared" si="60"/>
        <v>0</v>
      </c>
      <c r="X192" s="44">
        <f t="shared" si="61"/>
        <v>0</v>
      </c>
      <c r="Y192" s="44">
        <f t="shared" si="62"/>
        <v>0</v>
      </c>
      <c r="Z192" s="44">
        <f t="shared" si="63"/>
        <v>0</v>
      </c>
      <c r="AA192" s="522">
        <f t="shared" si="56"/>
        <v>0</v>
      </c>
      <c r="AB192" s="51">
        <f t="shared" si="64"/>
        <v>0</v>
      </c>
      <c r="AC192" s="44">
        <f t="shared" si="65"/>
        <v>0</v>
      </c>
      <c r="AD192" s="44">
        <f t="shared" si="66"/>
        <v>0</v>
      </c>
      <c r="AE192" s="44">
        <f t="shared" si="67"/>
        <v>0</v>
      </c>
      <c r="AF192" s="52" t="e">
        <f>HLOOKUP(I192,ElecAvoidedCostsWOCC!$A$5:$Q$50,G192+1,FALSE)</f>
        <v>#N/A</v>
      </c>
      <c r="AG192" s="44" t="e">
        <f t="shared" si="68"/>
        <v>#N/A</v>
      </c>
      <c r="AH192" s="52" t="e">
        <f>HLOOKUP(I192,ElecAvoidedCostsWOCC!$A$5:$Q$50,T192+1,FALSE)</f>
        <v>#N/A</v>
      </c>
      <c r="AI192" s="44" t="e">
        <f t="shared" si="69"/>
        <v>#N/A</v>
      </c>
      <c r="AJ192" s="44" t="e">
        <f t="shared" si="70"/>
        <v>#N/A</v>
      </c>
      <c r="AK192" s="44" t="e">
        <f>HLOOKUP(I192,ElecAvoidedCostsWOCC!$A$5:$Q$50,G192+1,FALSE)*J192*L192</f>
        <v>#N/A</v>
      </c>
      <c r="AL192" s="44" t="e">
        <f t="shared" si="71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2"/>
        <v>0</v>
      </c>
      <c r="AO192" s="47">
        <f t="shared" si="73"/>
        <v>0</v>
      </c>
      <c r="AP192" s="47" t="e">
        <f t="shared" si="74"/>
        <v>#DIV/0!</v>
      </c>
    </row>
    <row r="193" spans="2:42">
      <c r="B193" s="9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7"/>
        <v>0</v>
      </c>
      <c r="U193" s="47">
        <f t="shared" si="58"/>
        <v>0</v>
      </c>
      <c r="V193" s="48">
        <f t="shared" si="59"/>
        <v>0</v>
      </c>
      <c r="W193" s="49">
        <f t="shared" si="60"/>
        <v>0</v>
      </c>
      <c r="X193" s="44">
        <f t="shared" si="61"/>
        <v>0</v>
      </c>
      <c r="Y193" s="44">
        <f t="shared" si="62"/>
        <v>0</v>
      </c>
      <c r="Z193" s="44">
        <f t="shared" si="63"/>
        <v>0</v>
      </c>
      <c r="AA193" s="522">
        <f t="shared" si="56"/>
        <v>0</v>
      </c>
      <c r="AB193" s="51">
        <f t="shared" si="64"/>
        <v>0</v>
      </c>
      <c r="AC193" s="44">
        <f t="shared" si="65"/>
        <v>0</v>
      </c>
      <c r="AD193" s="44">
        <f t="shared" si="66"/>
        <v>0</v>
      </c>
      <c r="AE193" s="44">
        <f t="shared" si="67"/>
        <v>0</v>
      </c>
      <c r="AF193" s="52" t="e">
        <f>HLOOKUP(I193,ElecAvoidedCostsWOCC!$A$5:$Q$50,G193+1,FALSE)</f>
        <v>#N/A</v>
      </c>
      <c r="AG193" s="44" t="e">
        <f t="shared" si="68"/>
        <v>#N/A</v>
      </c>
      <c r="AH193" s="52" t="e">
        <f>HLOOKUP(I193,ElecAvoidedCostsWOCC!$A$5:$Q$50,T193+1,FALSE)</f>
        <v>#N/A</v>
      </c>
      <c r="AI193" s="44" t="e">
        <f t="shared" si="69"/>
        <v>#N/A</v>
      </c>
      <c r="AJ193" s="44" t="e">
        <f t="shared" si="70"/>
        <v>#N/A</v>
      </c>
      <c r="AK193" s="44" t="e">
        <f>HLOOKUP(I193,ElecAvoidedCostsWOCC!$A$5:$Q$50,G193+1,FALSE)*J193*L193</f>
        <v>#N/A</v>
      </c>
      <c r="AL193" s="44" t="e">
        <f t="shared" si="71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2"/>
        <v>0</v>
      </c>
      <c r="AO193" s="47">
        <f t="shared" si="73"/>
        <v>0</v>
      </c>
      <c r="AP193" s="47" t="e">
        <f t="shared" si="74"/>
        <v>#DIV/0!</v>
      </c>
    </row>
    <row r="194" spans="2:42">
      <c r="B194" s="9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7"/>
        <v>0</v>
      </c>
      <c r="U194" s="47">
        <f t="shared" si="58"/>
        <v>0</v>
      </c>
      <c r="V194" s="48">
        <f t="shared" si="59"/>
        <v>0</v>
      </c>
      <c r="W194" s="49">
        <f t="shared" si="60"/>
        <v>0</v>
      </c>
      <c r="X194" s="44">
        <f t="shared" si="61"/>
        <v>0</v>
      </c>
      <c r="Y194" s="44">
        <f t="shared" si="62"/>
        <v>0</v>
      </c>
      <c r="Z194" s="44">
        <f t="shared" si="63"/>
        <v>0</v>
      </c>
      <c r="AA194" s="522">
        <f t="shared" si="56"/>
        <v>0</v>
      </c>
      <c r="AB194" s="51">
        <f t="shared" si="64"/>
        <v>0</v>
      </c>
      <c r="AC194" s="44">
        <f t="shared" si="65"/>
        <v>0</v>
      </c>
      <c r="AD194" s="44">
        <f t="shared" si="66"/>
        <v>0</v>
      </c>
      <c r="AE194" s="44">
        <f t="shared" si="67"/>
        <v>0</v>
      </c>
      <c r="AF194" s="52" t="e">
        <f>HLOOKUP(I194,ElecAvoidedCostsWOCC!$A$5:$Q$50,G194+1,FALSE)</f>
        <v>#N/A</v>
      </c>
      <c r="AG194" s="44" t="e">
        <f t="shared" si="68"/>
        <v>#N/A</v>
      </c>
      <c r="AH194" s="52" t="e">
        <f>HLOOKUP(I194,ElecAvoidedCostsWOCC!$A$5:$Q$50,T194+1,FALSE)</f>
        <v>#N/A</v>
      </c>
      <c r="AI194" s="44" t="e">
        <f t="shared" si="69"/>
        <v>#N/A</v>
      </c>
      <c r="AJ194" s="44" t="e">
        <f t="shared" si="70"/>
        <v>#N/A</v>
      </c>
      <c r="AK194" s="44" t="e">
        <f>HLOOKUP(I194,ElecAvoidedCostsWOCC!$A$5:$Q$50,G194+1,FALSE)*J194*L194</f>
        <v>#N/A</v>
      </c>
      <c r="AL194" s="44" t="e">
        <f t="shared" si="71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2"/>
        <v>0</v>
      </c>
      <c r="AO194" s="47">
        <f t="shared" si="73"/>
        <v>0</v>
      </c>
      <c r="AP194" s="47" t="e">
        <f t="shared" si="74"/>
        <v>#DIV/0!</v>
      </c>
    </row>
    <row r="195" spans="2:42">
      <c r="B195" s="9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7"/>
        <v>0</v>
      </c>
      <c r="U195" s="47">
        <f t="shared" si="58"/>
        <v>0</v>
      </c>
      <c r="V195" s="48">
        <f t="shared" si="59"/>
        <v>0</v>
      </c>
      <c r="W195" s="49">
        <f t="shared" si="60"/>
        <v>0</v>
      </c>
      <c r="X195" s="44">
        <f t="shared" si="61"/>
        <v>0</v>
      </c>
      <c r="Y195" s="44">
        <f t="shared" si="62"/>
        <v>0</v>
      </c>
      <c r="Z195" s="44">
        <f t="shared" si="63"/>
        <v>0</v>
      </c>
      <c r="AA195" s="522">
        <f t="shared" si="56"/>
        <v>0</v>
      </c>
      <c r="AB195" s="51">
        <f t="shared" si="64"/>
        <v>0</v>
      </c>
      <c r="AC195" s="44">
        <f t="shared" si="65"/>
        <v>0</v>
      </c>
      <c r="AD195" s="44">
        <f t="shared" si="66"/>
        <v>0</v>
      </c>
      <c r="AE195" s="44">
        <f t="shared" si="67"/>
        <v>0</v>
      </c>
      <c r="AF195" s="52" t="e">
        <f>HLOOKUP(I195,ElecAvoidedCostsWOCC!$A$5:$Q$50,G195+1,FALSE)</f>
        <v>#N/A</v>
      </c>
      <c r="AG195" s="44" t="e">
        <f t="shared" si="68"/>
        <v>#N/A</v>
      </c>
      <c r="AH195" s="52" t="e">
        <f>HLOOKUP(I195,ElecAvoidedCostsWOCC!$A$5:$Q$50,T195+1,FALSE)</f>
        <v>#N/A</v>
      </c>
      <c r="AI195" s="44" t="e">
        <f t="shared" si="69"/>
        <v>#N/A</v>
      </c>
      <c r="AJ195" s="44" t="e">
        <f t="shared" si="70"/>
        <v>#N/A</v>
      </c>
      <c r="AK195" s="44" t="e">
        <f>HLOOKUP(I195,ElecAvoidedCostsWOCC!$A$5:$Q$50,G195+1,FALSE)*J195*L195</f>
        <v>#N/A</v>
      </c>
      <c r="AL195" s="44" t="e">
        <f t="shared" si="71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2"/>
        <v>0</v>
      </c>
      <c r="AO195" s="47">
        <f t="shared" si="73"/>
        <v>0</v>
      </c>
      <c r="AP195" s="47" t="e">
        <f t="shared" si="74"/>
        <v>#DIV/0!</v>
      </c>
    </row>
    <row r="196" spans="2:42">
      <c r="B196" s="9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si="57"/>
        <v>0</v>
      </c>
      <c r="U196" s="47">
        <f t="shared" si="58"/>
        <v>0</v>
      </c>
      <c r="V196" s="48">
        <f t="shared" si="59"/>
        <v>0</v>
      </c>
      <c r="W196" s="49">
        <f t="shared" si="60"/>
        <v>0</v>
      </c>
      <c r="X196" s="44">
        <f t="shared" si="61"/>
        <v>0</v>
      </c>
      <c r="Y196" s="44">
        <f t="shared" si="62"/>
        <v>0</v>
      </c>
      <c r="Z196" s="44">
        <f t="shared" si="63"/>
        <v>0</v>
      </c>
      <c r="AA196" s="522">
        <f t="shared" si="56"/>
        <v>0</v>
      </c>
      <c r="AB196" s="51">
        <f t="shared" si="64"/>
        <v>0</v>
      </c>
      <c r="AC196" s="44">
        <f t="shared" si="65"/>
        <v>0</v>
      </c>
      <c r="AD196" s="44">
        <f t="shared" si="66"/>
        <v>0</v>
      </c>
      <c r="AE196" s="44">
        <f t="shared" si="67"/>
        <v>0</v>
      </c>
      <c r="AF196" s="52" t="e">
        <f>HLOOKUP(I196,ElecAvoidedCostsWOCC!$A$5:$Q$50,G196+1,FALSE)</f>
        <v>#N/A</v>
      </c>
      <c r="AG196" s="44" t="e">
        <f t="shared" si="68"/>
        <v>#N/A</v>
      </c>
      <c r="AH196" s="52" t="e">
        <f>HLOOKUP(I196,ElecAvoidedCostsWOCC!$A$5:$Q$50,T196+1,FALSE)</f>
        <v>#N/A</v>
      </c>
      <c r="AI196" s="44" t="e">
        <f t="shared" si="69"/>
        <v>#N/A</v>
      </c>
      <c r="AJ196" s="44" t="e">
        <f t="shared" si="70"/>
        <v>#N/A</v>
      </c>
      <c r="AK196" s="44" t="e">
        <f>HLOOKUP(I196,ElecAvoidedCostsWOCC!$A$5:$Q$50,G196+1,FALSE)*J196*L196</f>
        <v>#N/A</v>
      </c>
      <c r="AL196" s="44" t="e">
        <f t="shared" si="71"/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si="72"/>
        <v>0</v>
      </c>
      <c r="AO196" s="47">
        <f t="shared" si="73"/>
        <v>0</v>
      </c>
      <c r="AP196" s="47" t="e">
        <f t="shared" si="74"/>
        <v>#DIV/0!</v>
      </c>
    </row>
    <row r="197" spans="2:42">
      <c r="B197" s="9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57"/>
        <v>0</v>
      </c>
      <c r="U197" s="47">
        <f t="shared" si="58"/>
        <v>0</v>
      </c>
      <c r="V197" s="48">
        <f t="shared" si="59"/>
        <v>0</v>
      </c>
      <c r="W197" s="49">
        <f t="shared" si="60"/>
        <v>0</v>
      </c>
      <c r="X197" s="44">
        <f t="shared" si="61"/>
        <v>0</v>
      </c>
      <c r="Y197" s="44">
        <f t="shared" si="62"/>
        <v>0</v>
      </c>
      <c r="Z197" s="44">
        <f t="shared" si="63"/>
        <v>0</v>
      </c>
      <c r="AA197" s="522">
        <f t="shared" si="56"/>
        <v>0</v>
      </c>
      <c r="AB197" s="51">
        <f t="shared" si="64"/>
        <v>0</v>
      </c>
      <c r="AC197" s="44">
        <f t="shared" si="65"/>
        <v>0</v>
      </c>
      <c r="AD197" s="44">
        <f t="shared" si="66"/>
        <v>0</v>
      </c>
      <c r="AE197" s="44">
        <f t="shared" si="67"/>
        <v>0</v>
      </c>
      <c r="AF197" s="52" t="e">
        <f>HLOOKUP(I197,ElecAvoidedCostsWOCC!$A$5:$Q$50,G197+1,FALSE)</f>
        <v>#N/A</v>
      </c>
      <c r="AG197" s="44" t="e">
        <f t="shared" si="68"/>
        <v>#N/A</v>
      </c>
      <c r="AH197" s="52" t="e">
        <f>HLOOKUP(I197,ElecAvoidedCostsWOCC!$A$5:$Q$50,T197+1,FALSE)</f>
        <v>#N/A</v>
      </c>
      <c r="AI197" s="44" t="e">
        <f t="shared" si="69"/>
        <v>#N/A</v>
      </c>
      <c r="AJ197" s="44" t="e">
        <f t="shared" si="70"/>
        <v>#N/A</v>
      </c>
      <c r="AK197" s="44" t="e">
        <f>HLOOKUP(I197,ElecAvoidedCostsWOCC!$A$5:$Q$50,G197+1,FALSE)*J197*L197</f>
        <v>#N/A</v>
      </c>
      <c r="AL197" s="44" t="e">
        <f t="shared" si="71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72"/>
        <v>0</v>
      </c>
      <c r="AO197" s="47">
        <f t="shared" si="73"/>
        <v>0</v>
      </c>
      <c r="AP197" s="47" t="e">
        <f t="shared" si="74"/>
        <v>#DIV/0!</v>
      </c>
    </row>
    <row r="198" spans="2:42">
      <c r="B198" s="9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57"/>
        <v>0</v>
      </c>
      <c r="U198" s="47">
        <f t="shared" si="58"/>
        <v>0</v>
      </c>
      <c r="V198" s="48">
        <f t="shared" si="59"/>
        <v>0</v>
      </c>
      <c r="W198" s="49">
        <f t="shared" si="60"/>
        <v>0</v>
      </c>
      <c r="X198" s="44">
        <f t="shared" si="61"/>
        <v>0</v>
      </c>
      <c r="Y198" s="44">
        <f t="shared" si="62"/>
        <v>0</v>
      </c>
      <c r="Z198" s="44">
        <f t="shared" si="63"/>
        <v>0</v>
      </c>
      <c r="AA198" s="522">
        <f t="shared" si="56"/>
        <v>0</v>
      </c>
      <c r="AB198" s="51">
        <f t="shared" si="64"/>
        <v>0</v>
      </c>
      <c r="AC198" s="44">
        <f t="shared" si="65"/>
        <v>0</v>
      </c>
      <c r="AD198" s="44">
        <f t="shared" si="66"/>
        <v>0</v>
      </c>
      <c r="AE198" s="44">
        <f t="shared" si="67"/>
        <v>0</v>
      </c>
      <c r="AF198" s="52" t="e">
        <f>HLOOKUP(I198,ElecAvoidedCostsWOCC!$A$5:$Q$50,G198+1,FALSE)</f>
        <v>#N/A</v>
      </c>
      <c r="AG198" s="44" t="e">
        <f t="shared" si="68"/>
        <v>#N/A</v>
      </c>
      <c r="AH198" s="52" t="e">
        <f>HLOOKUP(I198,ElecAvoidedCostsWOCC!$A$5:$Q$50,T198+1,FALSE)</f>
        <v>#N/A</v>
      </c>
      <c r="AI198" s="44" t="e">
        <f t="shared" si="69"/>
        <v>#N/A</v>
      </c>
      <c r="AJ198" s="44" t="e">
        <f t="shared" si="70"/>
        <v>#N/A</v>
      </c>
      <c r="AK198" s="44" t="e">
        <f>HLOOKUP(I198,ElecAvoidedCostsWOCC!$A$5:$Q$50,G198+1,FALSE)*J198*L198</f>
        <v>#N/A</v>
      </c>
      <c r="AL198" s="44" t="e">
        <f t="shared" si="71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72"/>
        <v>0</v>
      </c>
      <c r="AO198" s="47">
        <f t="shared" si="73"/>
        <v>0</v>
      </c>
      <c r="AP198" s="47" t="e">
        <f t="shared" si="74"/>
        <v>#DIV/0!</v>
      </c>
    </row>
    <row r="199" spans="2:42">
      <c r="B199" s="9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57"/>
        <v>0</v>
      </c>
      <c r="U199" s="47">
        <f t="shared" si="58"/>
        <v>0</v>
      </c>
      <c r="V199" s="48">
        <f t="shared" si="59"/>
        <v>0</v>
      </c>
      <c r="W199" s="49">
        <f t="shared" si="60"/>
        <v>0</v>
      </c>
      <c r="X199" s="44">
        <f t="shared" si="61"/>
        <v>0</v>
      </c>
      <c r="Y199" s="44">
        <f t="shared" si="62"/>
        <v>0</v>
      </c>
      <c r="Z199" s="44">
        <f t="shared" si="63"/>
        <v>0</v>
      </c>
      <c r="AA199" s="522">
        <f t="shared" ref="AA199:AA232" si="75">((Q199/A$12)*A$6)+X199</f>
        <v>0</v>
      </c>
      <c r="AB199" s="51">
        <f t="shared" si="64"/>
        <v>0</v>
      </c>
      <c r="AC199" s="44">
        <f t="shared" si="65"/>
        <v>0</v>
      </c>
      <c r="AD199" s="44">
        <f t="shared" si="66"/>
        <v>0</v>
      </c>
      <c r="AE199" s="44">
        <f t="shared" si="67"/>
        <v>0</v>
      </c>
      <c r="AF199" s="52" t="e">
        <f>HLOOKUP(I199,ElecAvoidedCostsWOCC!$A$5:$Q$50,G199+1,FALSE)</f>
        <v>#N/A</v>
      </c>
      <c r="AG199" s="44" t="e">
        <f t="shared" si="68"/>
        <v>#N/A</v>
      </c>
      <c r="AH199" s="52" t="e">
        <f>HLOOKUP(I199,ElecAvoidedCostsWOCC!$A$5:$Q$50,T199+1,FALSE)</f>
        <v>#N/A</v>
      </c>
      <c r="AI199" s="44" t="e">
        <f t="shared" si="69"/>
        <v>#N/A</v>
      </c>
      <c r="AJ199" s="44" t="e">
        <f t="shared" si="70"/>
        <v>#N/A</v>
      </c>
      <c r="AK199" s="44" t="e">
        <f>HLOOKUP(I199,ElecAvoidedCostsWOCC!$A$5:$Q$50,G199+1,FALSE)*J199*L199</f>
        <v>#N/A</v>
      </c>
      <c r="AL199" s="44" t="e">
        <f t="shared" si="71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72"/>
        <v>0</v>
      </c>
      <c r="AO199" s="47">
        <f t="shared" si="73"/>
        <v>0</v>
      </c>
      <c r="AP199" s="47" t="e">
        <f t="shared" si="74"/>
        <v>#DIV/0!</v>
      </c>
    </row>
    <row r="200" spans="2:42">
      <c r="B200" s="9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57"/>
        <v>0</v>
      </c>
      <c r="U200" s="47">
        <f t="shared" si="58"/>
        <v>0</v>
      </c>
      <c r="V200" s="48">
        <f t="shared" si="59"/>
        <v>0</v>
      </c>
      <c r="W200" s="49">
        <f t="shared" si="60"/>
        <v>0</v>
      </c>
      <c r="X200" s="44">
        <f t="shared" si="61"/>
        <v>0</v>
      </c>
      <c r="Y200" s="44">
        <f t="shared" si="62"/>
        <v>0</v>
      </c>
      <c r="Z200" s="44">
        <f t="shared" si="63"/>
        <v>0</v>
      </c>
      <c r="AA200" s="522">
        <f t="shared" si="75"/>
        <v>0</v>
      </c>
      <c r="AB200" s="51">
        <f t="shared" si="64"/>
        <v>0</v>
      </c>
      <c r="AC200" s="44">
        <f t="shared" si="65"/>
        <v>0</v>
      </c>
      <c r="AD200" s="44">
        <f t="shared" si="66"/>
        <v>0</v>
      </c>
      <c r="AE200" s="44">
        <f t="shared" si="67"/>
        <v>0</v>
      </c>
      <c r="AF200" s="52" t="e">
        <f>HLOOKUP(I200,ElecAvoidedCostsWOCC!$A$5:$Q$50,G200+1,FALSE)</f>
        <v>#N/A</v>
      </c>
      <c r="AG200" s="44" t="e">
        <f t="shared" si="68"/>
        <v>#N/A</v>
      </c>
      <c r="AH200" s="52" t="e">
        <f>HLOOKUP(I200,ElecAvoidedCostsWOCC!$A$5:$Q$50,T200+1,FALSE)</f>
        <v>#N/A</v>
      </c>
      <c r="AI200" s="44" t="e">
        <f t="shared" si="69"/>
        <v>#N/A</v>
      </c>
      <c r="AJ200" s="44" t="e">
        <f t="shared" si="70"/>
        <v>#N/A</v>
      </c>
      <c r="AK200" s="44" t="e">
        <f>HLOOKUP(I200,ElecAvoidedCostsWOCC!$A$5:$Q$50,G200+1,FALSE)*J200*L200</f>
        <v>#N/A</v>
      </c>
      <c r="AL200" s="44" t="e">
        <f t="shared" si="71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72"/>
        <v>0</v>
      </c>
      <c r="AO200" s="47">
        <f t="shared" si="73"/>
        <v>0</v>
      </c>
      <c r="AP200" s="47" t="e">
        <f t="shared" si="74"/>
        <v>#DIV/0!</v>
      </c>
    </row>
    <row r="201" spans="2:42">
      <c r="B201" s="9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57"/>
        <v>0</v>
      </c>
      <c r="U201" s="47">
        <f t="shared" si="58"/>
        <v>0</v>
      </c>
      <c r="V201" s="48">
        <f t="shared" si="59"/>
        <v>0</v>
      </c>
      <c r="W201" s="49">
        <f t="shared" si="60"/>
        <v>0</v>
      </c>
      <c r="X201" s="44">
        <f t="shared" si="61"/>
        <v>0</v>
      </c>
      <c r="Y201" s="44">
        <f t="shared" si="62"/>
        <v>0</v>
      </c>
      <c r="Z201" s="44">
        <f t="shared" si="63"/>
        <v>0</v>
      </c>
      <c r="AA201" s="522">
        <f t="shared" si="75"/>
        <v>0</v>
      </c>
      <c r="AB201" s="51">
        <f t="shared" si="64"/>
        <v>0</v>
      </c>
      <c r="AC201" s="44">
        <f t="shared" si="65"/>
        <v>0</v>
      </c>
      <c r="AD201" s="44">
        <f t="shared" si="66"/>
        <v>0</v>
      </c>
      <c r="AE201" s="44">
        <f t="shared" si="67"/>
        <v>0</v>
      </c>
      <c r="AF201" s="52" t="e">
        <f>HLOOKUP(I201,ElecAvoidedCostsWOCC!$A$5:$Q$50,G201+1,FALSE)</f>
        <v>#N/A</v>
      </c>
      <c r="AG201" s="44" t="e">
        <f t="shared" si="68"/>
        <v>#N/A</v>
      </c>
      <c r="AH201" s="52" t="e">
        <f>HLOOKUP(I201,ElecAvoidedCostsWOCC!$A$5:$Q$50,T201+1,FALSE)</f>
        <v>#N/A</v>
      </c>
      <c r="AI201" s="44" t="e">
        <f t="shared" si="69"/>
        <v>#N/A</v>
      </c>
      <c r="AJ201" s="44" t="e">
        <f t="shared" si="70"/>
        <v>#N/A</v>
      </c>
      <c r="AK201" s="44" t="e">
        <f>HLOOKUP(I201,ElecAvoidedCostsWOCC!$A$5:$Q$50,G201+1,FALSE)*J201*L201</f>
        <v>#N/A</v>
      </c>
      <c r="AL201" s="44" t="e">
        <f t="shared" si="71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72"/>
        <v>0</v>
      </c>
      <c r="AO201" s="47">
        <f t="shared" si="73"/>
        <v>0</v>
      </c>
      <c r="AP201" s="47" t="e">
        <f t="shared" si="74"/>
        <v>#DIV/0!</v>
      </c>
    </row>
    <row r="202" spans="2:42">
      <c r="B202" s="9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57"/>
        <v>0</v>
      </c>
      <c r="U202" s="47">
        <f t="shared" si="58"/>
        <v>0</v>
      </c>
      <c r="V202" s="48">
        <f t="shared" si="59"/>
        <v>0</v>
      </c>
      <c r="W202" s="49">
        <f t="shared" si="60"/>
        <v>0</v>
      </c>
      <c r="X202" s="44">
        <f t="shared" si="61"/>
        <v>0</v>
      </c>
      <c r="Y202" s="44">
        <f t="shared" si="62"/>
        <v>0</v>
      </c>
      <c r="Z202" s="44">
        <f t="shared" si="63"/>
        <v>0</v>
      </c>
      <c r="AA202" s="522">
        <f t="shared" si="75"/>
        <v>0</v>
      </c>
      <c r="AB202" s="51">
        <f t="shared" si="64"/>
        <v>0</v>
      </c>
      <c r="AC202" s="44">
        <f t="shared" si="65"/>
        <v>0</v>
      </c>
      <c r="AD202" s="44">
        <f t="shared" si="66"/>
        <v>0</v>
      </c>
      <c r="AE202" s="44">
        <f t="shared" si="67"/>
        <v>0</v>
      </c>
      <c r="AF202" s="52" t="e">
        <f>HLOOKUP(I202,ElecAvoidedCostsWOCC!$A$5:$Q$50,G202+1,FALSE)</f>
        <v>#N/A</v>
      </c>
      <c r="AG202" s="44" t="e">
        <f t="shared" si="68"/>
        <v>#N/A</v>
      </c>
      <c r="AH202" s="52" t="e">
        <f>HLOOKUP(I202,ElecAvoidedCostsWOCC!$A$5:$Q$50,T202+1,FALSE)</f>
        <v>#N/A</v>
      </c>
      <c r="AI202" s="44" t="e">
        <f t="shared" si="69"/>
        <v>#N/A</v>
      </c>
      <c r="AJ202" s="44" t="e">
        <f t="shared" si="70"/>
        <v>#N/A</v>
      </c>
      <c r="AK202" s="44" t="e">
        <f>HLOOKUP(I202,ElecAvoidedCostsWOCC!$A$5:$Q$50,G202+1,FALSE)*J202*L202</f>
        <v>#N/A</v>
      </c>
      <c r="AL202" s="44" t="e">
        <f t="shared" si="71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72"/>
        <v>0</v>
      </c>
      <c r="AO202" s="47">
        <f t="shared" si="73"/>
        <v>0</v>
      </c>
      <c r="AP202" s="47" t="e">
        <f t="shared" si="74"/>
        <v>#DIV/0!</v>
      </c>
    </row>
    <row r="203" spans="2:42">
      <c r="B203" s="9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57"/>
        <v>0</v>
      </c>
      <c r="U203" s="47">
        <f t="shared" si="58"/>
        <v>0</v>
      </c>
      <c r="V203" s="48">
        <f t="shared" si="59"/>
        <v>0</v>
      </c>
      <c r="W203" s="49">
        <f t="shared" si="60"/>
        <v>0</v>
      </c>
      <c r="X203" s="44">
        <f t="shared" si="61"/>
        <v>0</v>
      </c>
      <c r="Y203" s="44">
        <f t="shared" si="62"/>
        <v>0</v>
      </c>
      <c r="Z203" s="44">
        <f t="shared" si="63"/>
        <v>0</v>
      </c>
      <c r="AA203" s="522">
        <f t="shared" si="75"/>
        <v>0</v>
      </c>
      <c r="AB203" s="51">
        <f t="shared" si="64"/>
        <v>0</v>
      </c>
      <c r="AC203" s="44">
        <f t="shared" si="65"/>
        <v>0</v>
      </c>
      <c r="AD203" s="44">
        <f t="shared" si="66"/>
        <v>0</v>
      </c>
      <c r="AE203" s="44">
        <f t="shared" si="67"/>
        <v>0</v>
      </c>
      <c r="AF203" s="52" t="e">
        <f>HLOOKUP(I203,ElecAvoidedCostsWOCC!$A$5:$Q$50,G203+1,FALSE)</f>
        <v>#N/A</v>
      </c>
      <c r="AG203" s="44" t="e">
        <f t="shared" si="68"/>
        <v>#N/A</v>
      </c>
      <c r="AH203" s="52" t="e">
        <f>HLOOKUP(I203,ElecAvoidedCostsWOCC!$A$5:$Q$50,T203+1,FALSE)</f>
        <v>#N/A</v>
      </c>
      <c r="AI203" s="44" t="e">
        <f t="shared" si="69"/>
        <v>#N/A</v>
      </c>
      <c r="AJ203" s="44" t="e">
        <f t="shared" si="70"/>
        <v>#N/A</v>
      </c>
      <c r="AK203" s="44" t="e">
        <f>HLOOKUP(I203,ElecAvoidedCostsWOCC!$A$5:$Q$50,G203+1,FALSE)*J203*L203</f>
        <v>#N/A</v>
      </c>
      <c r="AL203" s="44" t="e">
        <f t="shared" si="71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72"/>
        <v>0</v>
      </c>
      <c r="AO203" s="47">
        <f t="shared" si="73"/>
        <v>0</v>
      </c>
      <c r="AP203" s="47" t="e">
        <f t="shared" si="74"/>
        <v>#DIV/0!</v>
      </c>
    </row>
    <row r="204" spans="2:42">
      <c r="B204" s="9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57"/>
        <v>0</v>
      </c>
      <c r="U204" s="47">
        <f t="shared" si="58"/>
        <v>0</v>
      </c>
      <c r="V204" s="48">
        <f t="shared" si="59"/>
        <v>0</v>
      </c>
      <c r="W204" s="49">
        <f t="shared" si="60"/>
        <v>0</v>
      </c>
      <c r="X204" s="44">
        <f t="shared" si="61"/>
        <v>0</v>
      </c>
      <c r="Y204" s="44">
        <f t="shared" si="62"/>
        <v>0</v>
      </c>
      <c r="Z204" s="44">
        <f t="shared" si="63"/>
        <v>0</v>
      </c>
      <c r="AA204" s="522">
        <f t="shared" si="75"/>
        <v>0</v>
      </c>
      <c r="AB204" s="51">
        <f t="shared" si="64"/>
        <v>0</v>
      </c>
      <c r="AC204" s="44">
        <f t="shared" si="65"/>
        <v>0</v>
      </c>
      <c r="AD204" s="44">
        <f t="shared" si="66"/>
        <v>0</v>
      </c>
      <c r="AE204" s="44">
        <f t="shared" si="67"/>
        <v>0</v>
      </c>
      <c r="AF204" s="52" t="e">
        <f>HLOOKUP(I204,ElecAvoidedCostsWOCC!$A$5:$Q$50,G204+1,FALSE)</f>
        <v>#N/A</v>
      </c>
      <c r="AG204" s="44" t="e">
        <f t="shared" si="68"/>
        <v>#N/A</v>
      </c>
      <c r="AH204" s="52" t="e">
        <f>HLOOKUP(I204,ElecAvoidedCostsWOCC!$A$5:$Q$50,T204+1,FALSE)</f>
        <v>#N/A</v>
      </c>
      <c r="AI204" s="44" t="e">
        <f t="shared" si="69"/>
        <v>#N/A</v>
      </c>
      <c r="AJ204" s="44" t="e">
        <f t="shared" si="70"/>
        <v>#N/A</v>
      </c>
      <c r="AK204" s="44" t="e">
        <f>HLOOKUP(I204,ElecAvoidedCostsWOCC!$A$5:$Q$50,G204+1,FALSE)*J204*L204</f>
        <v>#N/A</v>
      </c>
      <c r="AL204" s="44" t="e">
        <f t="shared" si="71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72"/>
        <v>0</v>
      </c>
      <c r="AO204" s="47">
        <f t="shared" si="73"/>
        <v>0</v>
      </c>
      <c r="AP204" s="47" t="e">
        <f t="shared" si="74"/>
        <v>#DIV/0!</v>
      </c>
    </row>
    <row r="205" spans="2:42">
      <c r="B205" s="9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57"/>
        <v>0</v>
      </c>
      <c r="U205" s="47">
        <f t="shared" si="58"/>
        <v>0</v>
      </c>
      <c r="V205" s="48">
        <f t="shared" si="59"/>
        <v>0</v>
      </c>
      <c r="W205" s="49">
        <f t="shared" si="60"/>
        <v>0</v>
      </c>
      <c r="X205" s="44">
        <f t="shared" si="61"/>
        <v>0</v>
      </c>
      <c r="Y205" s="44">
        <f t="shared" si="62"/>
        <v>0</v>
      </c>
      <c r="Z205" s="44">
        <f t="shared" si="63"/>
        <v>0</v>
      </c>
      <c r="AA205" s="522">
        <f t="shared" si="75"/>
        <v>0</v>
      </c>
      <c r="AB205" s="51">
        <f t="shared" si="64"/>
        <v>0</v>
      </c>
      <c r="AC205" s="44">
        <f t="shared" si="65"/>
        <v>0</v>
      </c>
      <c r="AD205" s="44">
        <f t="shared" si="66"/>
        <v>0</v>
      </c>
      <c r="AE205" s="44">
        <f t="shared" si="67"/>
        <v>0</v>
      </c>
      <c r="AF205" s="52" t="e">
        <f>HLOOKUP(I205,ElecAvoidedCostsWOCC!$A$5:$Q$50,G205+1,FALSE)</f>
        <v>#N/A</v>
      </c>
      <c r="AG205" s="44" t="e">
        <f t="shared" si="68"/>
        <v>#N/A</v>
      </c>
      <c r="AH205" s="52" t="e">
        <f>HLOOKUP(I205,ElecAvoidedCostsWOCC!$A$5:$Q$50,T205+1,FALSE)</f>
        <v>#N/A</v>
      </c>
      <c r="AI205" s="44" t="e">
        <f t="shared" si="69"/>
        <v>#N/A</v>
      </c>
      <c r="AJ205" s="44" t="e">
        <f t="shared" si="70"/>
        <v>#N/A</v>
      </c>
      <c r="AK205" s="44" t="e">
        <f>HLOOKUP(I205,ElecAvoidedCostsWOCC!$A$5:$Q$50,G205+1,FALSE)*J205*L205</f>
        <v>#N/A</v>
      </c>
      <c r="AL205" s="44" t="e">
        <f t="shared" si="71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72"/>
        <v>0</v>
      </c>
      <c r="AO205" s="47">
        <f t="shared" si="73"/>
        <v>0</v>
      </c>
      <c r="AP205" s="47" t="e">
        <f t="shared" si="74"/>
        <v>#DIV/0!</v>
      </c>
    </row>
    <row r="206" spans="2:42">
      <c r="B206" s="9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57"/>
        <v>0</v>
      </c>
      <c r="U206" s="47">
        <f t="shared" si="58"/>
        <v>0</v>
      </c>
      <c r="V206" s="48">
        <f t="shared" si="59"/>
        <v>0</v>
      </c>
      <c r="W206" s="49">
        <f t="shared" si="60"/>
        <v>0</v>
      </c>
      <c r="X206" s="44">
        <f t="shared" si="61"/>
        <v>0</v>
      </c>
      <c r="Y206" s="44">
        <f t="shared" si="62"/>
        <v>0</v>
      </c>
      <c r="Z206" s="44">
        <f t="shared" si="63"/>
        <v>0</v>
      </c>
      <c r="AA206" s="522">
        <f t="shared" si="75"/>
        <v>0</v>
      </c>
      <c r="AB206" s="51">
        <f t="shared" si="64"/>
        <v>0</v>
      </c>
      <c r="AC206" s="44">
        <f t="shared" si="65"/>
        <v>0</v>
      </c>
      <c r="AD206" s="44">
        <f t="shared" si="66"/>
        <v>0</v>
      </c>
      <c r="AE206" s="44">
        <f t="shared" si="67"/>
        <v>0</v>
      </c>
      <c r="AF206" s="52" t="e">
        <f>HLOOKUP(I206,ElecAvoidedCostsWOCC!$A$5:$Q$50,G206+1,FALSE)</f>
        <v>#N/A</v>
      </c>
      <c r="AG206" s="44" t="e">
        <f t="shared" si="68"/>
        <v>#N/A</v>
      </c>
      <c r="AH206" s="52" t="e">
        <f>HLOOKUP(I206,ElecAvoidedCostsWOCC!$A$5:$Q$50,T206+1,FALSE)</f>
        <v>#N/A</v>
      </c>
      <c r="AI206" s="44" t="e">
        <f t="shared" si="69"/>
        <v>#N/A</v>
      </c>
      <c r="AJ206" s="44" t="e">
        <f t="shared" si="70"/>
        <v>#N/A</v>
      </c>
      <c r="AK206" s="44" t="e">
        <f>HLOOKUP(I206,ElecAvoidedCostsWOCC!$A$5:$Q$50,G206+1,FALSE)*J206*L206</f>
        <v>#N/A</v>
      </c>
      <c r="AL206" s="44" t="e">
        <f t="shared" si="71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72"/>
        <v>0</v>
      </c>
      <c r="AO206" s="47">
        <f t="shared" si="73"/>
        <v>0</v>
      </c>
      <c r="AP206" s="47" t="e">
        <f t="shared" si="74"/>
        <v>#DIV/0!</v>
      </c>
    </row>
    <row r="207" spans="2:42">
      <c r="B207" s="9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57"/>
        <v>0</v>
      </c>
      <c r="U207" s="47">
        <f t="shared" si="58"/>
        <v>0</v>
      </c>
      <c r="V207" s="48">
        <f t="shared" si="59"/>
        <v>0</v>
      </c>
      <c r="W207" s="49">
        <f t="shared" si="60"/>
        <v>0</v>
      </c>
      <c r="X207" s="44">
        <f t="shared" si="61"/>
        <v>0</v>
      </c>
      <c r="Y207" s="44">
        <f t="shared" si="62"/>
        <v>0</v>
      </c>
      <c r="Z207" s="44">
        <f t="shared" si="63"/>
        <v>0</v>
      </c>
      <c r="AA207" s="522">
        <f t="shared" si="75"/>
        <v>0</v>
      </c>
      <c r="AB207" s="51">
        <f t="shared" si="64"/>
        <v>0</v>
      </c>
      <c r="AC207" s="44">
        <f t="shared" si="65"/>
        <v>0</v>
      </c>
      <c r="AD207" s="44">
        <f t="shared" si="66"/>
        <v>0</v>
      </c>
      <c r="AE207" s="44">
        <f t="shared" si="67"/>
        <v>0</v>
      </c>
      <c r="AF207" s="52" t="e">
        <f>HLOOKUP(I207,ElecAvoidedCostsWOCC!$A$5:$Q$50,G207+1,FALSE)</f>
        <v>#N/A</v>
      </c>
      <c r="AG207" s="44" t="e">
        <f t="shared" si="68"/>
        <v>#N/A</v>
      </c>
      <c r="AH207" s="52" t="e">
        <f>HLOOKUP(I207,ElecAvoidedCostsWOCC!$A$5:$Q$50,T207+1,FALSE)</f>
        <v>#N/A</v>
      </c>
      <c r="AI207" s="44" t="e">
        <f t="shared" si="69"/>
        <v>#N/A</v>
      </c>
      <c r="AJ207" s="44" t="e">
        <f t="shared" si="70"/>
        <v>#N/A</v>
      </c>
      <c r="AK207" s="44" t="e">
        <f>HLOOKUP(I207,ElecAvoidedCostsWOCC!$A$5:$Q$50,G207+1,FALSE)*J207*L207</f>
        <v>#N/A</v>
      </c>
      <c r="AL207" s="44" t="e">
        <f t="shared" si="71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72"/>
        <v>0</v>
      </c>
      <c r="AO207" s="47">
        <f t="shared" si="73"/>
        <v>0</v>
      </c>
      <c r="AP207" s="47" t="e">
        <f t="shared" si="74"/>
        <v>#DIV/0!</v>
      </c>
    </row>
    <row r="208" spans="2:42">
      <c r="B208" s="9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57"/>
        <v>0</v>
      </c>
      <c r="U208" s="47">
        <f t="shared" si="58"/>
        <v>0</v>
      </c>
      <c r="V208" s="48">
        <f t="shared" si="59"/>
        <v>0</v>
      </c>
      <c r="W208" s="49">
        <f t="shared" si="60"/>
        <v>0</v>
      </c>
      <c r="X208" s="44">
        <f t="shared" si="61"/>
        <v>0</v>
      </c>
      <c r="Y208" s="44">
        <f t="shared" si="62"/>
        <v>0</v>
      </c>
      <c r="Z208" s="44">
        <f t="shared" si="63"/>
        <v>0</v>
      </c>
      <c r="AA208" s="522">
        <f t="shared" si="75"/>
        <v>0</v>
      </c>
      <c r="AB208" s="51">
        <f t="shared" si="64"/>
        <v>0</v>
      </c>
      <c r="AC208" s="44">
        <f t="shared" si="65"/>
        <v>0</v>
      </c>
      <c r="AD208" s="44">
        <f t="shared" si="66"/>
        <v>0</v>
      </c>
      <c r="AE208" s="44">
        <f t="shared" si="67"/>
        <v>0</v>
      </c>
      <c r="AF208" s="52" t="e">
        <f>HLOOKUP(I208,ElecAvoidedCostsWOCC!$A$5:$Q$50,G208+1,FALSE)</f>
        <v>#N/A</v>
      </c>
      <c r="AG208" s="44" t="e">
        <f t="shared" si="68"/>
        <v>#N/A</v>
      </c>
      <c r="AH208" s="52" t="e">
        <f>HLOOKUP(I208,ElecAvoidedCostsWOCC!$A$5:$Q$50,T208+1,FALSE)</f>
        <v>#N/A</v>
      </c>
      <c r="AI208" s="44" t="e">
        <f t="shared" si="69"/>
        <v>#N/A</v>
      </c>
      <c r="AJ208" s="44" t="e">
        <f t="shared" si="70"/>
        <v>#N/A</v>
      </c>
      <c r="AK208" s="44" t="e">
        <f>HLOOKUP(I208,ElecAvoidedCostsWOCC!$A$5:$Q$50,G208+1,FALSE)*J208*L208</f>
        <v>#N/A</v>
      </c>
      <c r="AL208" s="44" t="e">
        <f t="shared" si="71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72"/>
        <v>0</v>
      </c>
      <c r="AO208" s="47">
        <f t="shared" si="73"/>
        <v>0</v>
      </c>
      <c r="AP208" s="47" t="e">
        <f t="shared" si="74"/>
        <v>#DIV/0!</v>
      </c>
    </row>
    <row r="209" spans="2:42">
      <c r="B209" s="9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57"/>
        <v>0</v>
      </c>
      <c r="U209" s="47">
        <f t="shared" si="58"/>
        <v>0</v>
      </c>
      <c r="V209" s="48">
        <f t="shared" si="59"/>
        <v>0</v>
      </c>
      <c r="W209" s="49">
        <f t="shared" si="60"/>
        <v>0</v>
      </c>
      <c r="X209" s="44">
        <f t="shared" si="61"/>
        <v>0</v>
      </c>
      <c r="Y209" s="44">
        <f t="shared" si="62"/>
        <v>0</v>
      </c>
      <c r="Z209" s="44">
        <f t="shared" si="63"/>
        <v>0</v>
      </c>
      <c r="AA209" s="522">
        <f t="shared" si="75"/>
        <v>0</v>
      </c>
      <c r="AB209" s="51">
        <f t="shared" si="64"/>
        <v>0</v>
      </c>
      <c r="AC209" s="44">
        <f t="shared" si="65"/>
        <v>0</v>
      </c>
      <c r="AD209" s="44">
        <f t="shared" si="66"/>
        <v>0</v>
      </c>
      <c r="AE209" s="44">
        <f t="shared" si="67"/>
        <v>0</v>
      </c>
      <c r="AF209" s="52" t="e">
        <f>HLOOKUP(I209,ElecAvoidedCostsWOCC!$A$5:$Q$50,G209+1,FALSE)</f>
        <v>#N/A</v>
      </c>
      <c r="AG209" s="44" t="e">
        <f t="shared" si="68"/>
        <v>#N/A</v>
      </c>
      <c r="AH209" s="52" t="e">
        <f>HLOOKUP(I209,ElecAvoidedCostsWOCC!$A$5:$Q$50,T209+1,FALSE)</f>
        <v>#N/A</v>
      </c>
      <c r="AI209" s="44" t="e">
        <f t="shared" si="69"/>
        <v>#N/A</v>
      </c>
      <c r="AJ209" s="44" t="e">
        <f t="shared" si="70"/>
        <v>#N/A</v>
      </c>
      <c r="AK209" s="44" t="e">
        <f>HLOOKUP(I209,ElecAvoidedCostsWOCC!$A$5:$Q$50,G209+1,FALSE)*J209*L209</f>
        <v>#N/A</v>
      </c>
      <c r="AL209" s="44" t="e">
        <f t="shared" si="71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72"/>
        <v>0</v>
      </c>
      <c r="AO209" s="47">
        <f t="shared" si="73"/>
        <v>0</v>
      </c>
      <c r="AP209" s="47" t="e">
        <f t="shared" si="74"/>
        <v>#DIV/0!</v>
      </c>
    </row>
    <row r="210" spans="2:42">
      <c r="B210" s="9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57"/>
        <v>0</v>
      </c>
      <c r="U210" s="47">
        <f t="shared" si="58"/>
        <v>0</v>
      </c>
      <c r="V210" s="48">
        <f t="shared" si="59"/>
        <v>0</v>
      </c>
      <c r="W210" s="49">
        <f t="shared" si="60"/>
        <v>0</v>
      </c>
      <c r="X210" s="44">
        <f t="shared" si="61"/>
        <v>0</v>
      </c>
      <c r="Y210" s="44">
        <f t="shared" si="62"/>
        <v>0</v>
      </c>
      <c r="Z210" s="44">
        <f t="shared" si="63"/>
        <v>0</v>
      </c>
      <c r="AA210" s="522">
        <f t="shared" si="75"/>
        <v>0</v>
      </c>
      <c r="AB210" s="51">
        <f t="shared" si="64"/>
        <v>0</v>
      </c>
      <c r="AC210" s="44">
        <f t="shared" si="65"/>
        <v>0</v>
      </c>
      <c r="AD210" s="44">
        <f t="shared" si="66"/>
        <v>0</v>
      </c>
      <c r="AE210" s="44">
        <f t="shared" si="67"/>
        <v>0</v>
      </c>
      <c r="AF210" s="52" t="e">
        <f>HLOOKUP(I210,ElecAvoidedCostsWOCC!$A$5:$Q$50,G210+1,FALSE)</f>
        <v>#N/A</v>
      </c>
      <c r="AG210" s="44" t="e">
        <f t="shared" si="68"/>
        <v>#N/A</v>
      </c>
      <c r="AH210" s="52" t="e">
        <f>HLOOKUP(I210,ElecAvoidedCostsWOCC!$A$5:$Q$50,T210+1,FALSE)</f>
        <v>#N/A</v>
      </c>
      <c r="AI210" s="44" t="e">
        <f t="shared" si="69"/>
        <v>#N/A</v>
      </c>
      <c r="AJ210" s="44" t="e">
        <f t="shared" si="70"/>
        <v>#N/A</v>
      </c>
      <c r="AK210" s="44" t="e">
        <f>HLOOKUP(I210,ElecAvoidedCostsWOCC!$A$5:$Q$50,G210+1,FALSE)*J210*L210</f>
        <v>#N/A</v>
      </c>
      <c r="AL210" s="44" t="e">
        <f t="shared" si="71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72"/>
        <v>0</v>
      </c>
      <c r="AO210" s="47">
        <f t="shared" si="73"/>
        <v>0</v>
      </c>
      <c r="AP210" s="47" t="e">
        <f t="shared" si="74"/>
        <v>#DIV/0!</v>
      </c>
    </row>
    <row r="211" spans="2:42">
      <c r="B211" s="9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57"/>
        <v>0</v>
      </c>
      <c r="U211" s="47">
        <f t="shared" si="58"/>
        <v>0</v>
      </c>
      <c r="V211" s="48">
        <f t="shared" si="59"/>
        <v>0</v>
      </c>
      <c r="W211" s="49">
        <f t="shared" si="60"/>
        <v>0</v>
      </c>
      <c r="X211" s="44">
        <f t="shared" si="61"/>
        <v>0</v>
      </c>
      <c r="Y211" s="44">
        <f t="shared" si="62"/>
        <v>0</v>
      </c>
      <c r="Z211" s="44">
        <f t="shared" si="63"/>
        <v>0</v>
      </c>
      <c r="AA211" s="522">
        <f t="shared" si="75"/>
        <v>0</v>
      </c>
      <c r="AB211" s="51">
        <f t="shared" si="64"/>
        <v>0</v>
      </c>
      <c r="AC211" s="44">
        <f t="shared" si="65"/>
        <v>0</v>
      </c>
      <c r="AD211" s="44">
        <f t="shared" si="66"/>
        <v>0</v>
      </c>
      <c r="AE211" s="44">
        <f t="shared" si="67"/>
        <v>0</v>
      </c>
      <c r="AF211" s="52" t="e">
        <f>HLOOKUP(I211,ElecAvoidedCostsWOCC!$A$5:$Q$50,G211+1,FALSE)</f>
        <v>#N/A</v>
      </c>
      <c r="AG211" s="44" t="e">
        <f t="shared" si="68"/>
        <v>#N/A</v>
      </c>
      <c r="AH211" s="52" t="e">
        <f>HLOOKUP(I211,ElecAvoidedCostsWOCC!$A$5:$Q$50,T211+1,FALSE)</f>
        <v>#N/A</v>
      </c>
      <c r="AI211" s="44" t="e">
        <f t="shared" si="69"/>
        <v>#N/A</v>
      </c>
      <c r="AJ211" s="44" t="e">
        <f t="shared" si="70"/>
        <v>#N/A</v>
      </c>
      <c r="AK211" s="44" t="e">
        <f>HLOOKUP(I211,ElecAvoidedCostsWOCC!$A$5:$Q$50,G211+1,FALSE)*J211*L211</f>
        <v>#N/A</v>
      </c>
      <c r="AL211" s="44" t="e">
        <f t="shared" si="71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72"/>
        <v>0</v>
      </c>
      <c r="AO211" s="47">
        <f t="shared" si="73"/>
        <v>0</v>
      </c>
      <c r="AP211" s="47" t="e">
        <f t="shared" si="74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57"/>
        <v>0</v>
      </c>
      <c r="U212" s="47">
        <f t="shared" si="58"/>
        <v>0</v>
      </c>
      <c r="V212" s="48">
        <f t="shared" si="59"/>
        <v>0</v>
      </c>
      <c r="W212" s="49">
        <f t="shared" si="60"/>
        <v>0</v>
      </c>
      <c r="X212" s="44">
        <f t="shared" si="61"/>
        <v>0</v>
      </c>
      <c r="Y212" s="44">
        <f t="shared" si="62"/>
        <v>0</v>
      </c>
      <c r="Z212" s="44">
        <f t="shared" si="63"/>
        <v>0</v>
      </c>
      <c r="AA212" s="522">
        <f t="shared" si="75"/>
        <v>0</v>
      </c>
      <c r="AB212" s="51">
        <f t="shared" si="64"/>
        <v>0</v>
      </c>
      <c r="AC212" s="44">
        <f t="shared" si="65"/>
        <v>0</v>
      </c>
      <c r="AD212" s="44">
        <f t="shared" si="66"/>
        <v>0</v>
      </c>
      <c r="AE212" s="44">
        <f t="shared" si="67"/>
        <v>0</v>
      </c>
      <c r="AF212" s="52" t="e">
        <f>HLOOKUP(I212,ElecAvoidedCostsWOCC!$A$5:$Q$50,G212+1,FALSE)</f>
        <v>#N/A</v>
      </c>
      <c r="AG212" s="44" t="e">
        <f t="shared" si="68"/>
        <v>#N/A</v>
      </c>
      <c r="AH212" s="52" t="e">
        <f>HLOOKUP(I212,ElecAvoidedCostsWOCC!$A$5:$Q$50,T212+1,FALSE)</f>
        <v>#N/A</v>
      </c>
      <c r="AI212" s="44" t="e">
        <f t="shared" si="69"/>
        <v>#N/A</v>
      </c>
      <c r="AJ212" s="44" t="e">
        <f t="shared" si="70"/>
        <v>#N/A</v>
      </c>
      <c r="AK212" s="44" t="e">
        <f>HLOOKUP(I212,ElecAvoidedCostsWOCC!$A$5:$Q$50,G212+1,FALSE)*J212*L212</f>
        <v>#N/A</v>
      </c>
      <c r="AL212" s="44" t="e">
        <f t="shared" si="71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72"/>
        <v>0</v>
      </c>
      <c r="AO212" s="47">
        <f t="shared" si="73"/>
        <v>0</v>
      </c>
      <c r="AP212" s="47" t="e">
        <f t="shared" si="74"/>
        <v>#DIV/0!</v>
      </c>
    </row>
    <row r="213" spans="2:42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57"/>
        <v>0</v>
      </c>
      <c r="U213" s="47">
        <f t="shared" si="58"/>
        <v>0</v>
      </c>
      <c r="V213" s="48">
        <f t="shared" si="59"/>
        <v>0</v>
      </c>
      <c r="W213" s="49">
        <f t="shared" si="60"/>
        <v>0</v>
      </c>
      <c r="X213" s="44">
        <f t="shared" si="61"/>
        <v>0</v>
      </c>
      <c r="Y213" s="44">
        <f t="shared" si="62"/>
        <v>0</v>
      </c>
      <c r="Z213" s="44">
        <f t="shared" si="63"/>
        <v>0</v>
      </c>
      <c r="AA213" s="522">
        <f t="shared" si="75"/>
        <v>0</v>
      </c>
      <c r="AB213" s="51">
        <f t="shared" si="64"/>
        <v>0</v>
      </c>
      <c r="AC213" s="44">
        <f t="shared" si="65"/>
        <v>0</v>
      </c>
      <c r="AD213" s="44">
        <f t="shared" si="66"/>
        <v>0</v>
      </c>
      <c r="AE213" s="44">
        <f t="shared" si="67"/>
        <v>0</v>
      </c>
      <c r="AF213" s="52" t="e">
        <f>HLOOKUP(I213,ElecAvoidedCostsWOCC!$A$5:$Q$50,G213+1,FALSE)</f>
        <v>#N/A</v>
      </c>
      <c r="AG213" s="44" t="e">
        <f t="shared" si="68"/>
        <v>#N/A</v>
      </c>
      <c r="AH213" s="52" t="e">
        <f>HLOOKUP(I213,ElecAvoidedCostsWOCC!$A$5:$Q$50,T213+1,FALSE)</f>
        <v>#N/A</v>
      </c>
      <c r="AI213" s="44" t="e">
        <f t="shared" si="69"/>
        <v>#N/A</v>
      </c>
      <c r="AJ213" s="44" t="e">
        <f t="shared" si="70"/>
        <v>#N/A</v>
      </c>
      <c r="AK213" s="44" t="e">
        <f>HLOOKUP(I213,ElecAvoidedCostsWOCC!$A$5:$Q$50,G213+1,FALSE)*J213*L213</f>
        <v>#N/A</v>
      </c>
      <c r="AL213" s="44" t="e">
        <f t="shared" si="71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72"/>
        <v>0</v>
      </c>
      <c r="AO213" s="47">
        <f t="shared" si="73"/>
        <v>0</v>
      </c>
      <c r="AP213" s="47" t="e">
        <f t="shared" si="74"/>
        <v>#DIV/0!</v>
      </c>
    </row>
    <row r="214" spans="2:42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57"/>
        <v>0</v>
      </c>
      <c r="U214" s="47">
        <f t="shared" si="58"/>
        <v>0</v>
      </c>
      <c r="V214" s="48">
        <f t="shared" si="59"/>
        <v>0</v>
      </c>
      <c r="W214" s="49">
        <f t="shared" si="60"/>
        <v>0</v>
      </c>
      <c r="X214" s="44">
        <f t="shared" si="61"/>
        <v>0</v>
      </c>
      <c r="Y214" s="44">
        <f t="shared" si="62"/>
        <v>0</v>
      </c>
      <c r="Z214" s="44">
        <f t="shared" si="63"/>
        <v>0</v>
      </c>
      <c r="AA214" s="522">
        <f t="shared" si="75"/>
        <v>0</v>
      </c>
      <c r="AB214" s="51">
        <f t="shared" si="64"/>
        <v>0</v>
      </c>
      <c r="AC214" s="44">
        <f t="shared" si="65"/>
        <v>0</v>
      </c>
      <c r="AD214" s="44">
        <f t="shared" si="66"/>
        <v>0</v>
      </c>
      <c r="AE214" s="44">
        <f t="shared" si="67"/>
        <v>0</v>
      </c>
      <c r="AF214" s="52" t="e">
        <f>HLOOKUP(I214,ElecAvoidedCostsWOCC!$A$5:$Q$50,G214+1,FALSE)</f>
        <v>#N/A</v>
      </c>
      <c r="AG214" s="44" t="e">
        <f t="shared" si="68"/>
        <v>#N/A</v>
      </c>
      <c r="AH214" s="52" t="e">
        <f>HLOOKUP(I214,ElecAvoidedCostsWOCC!$A$5:$Q$50,T214+1,FALSE)</f>
        <v>#N/A</v>
      </c>
      <c r="AI214" s="44" t="e">
        <f t="shared" si="69"/>
        <v>#N/A</v>
      </c>
      <c r="AJ214" s="44" t="e">
        <f t="shared" si="70"/>
        <v>#N/A</v>
      </c>
      <c r="AK214" s="44" t="e">
        <f>HLOOKUP(I214,ElecAvoidedCostsWOCC!$A$5:$Q$50,G214+1,FALSE)*J214*L214</f>
        <v>#N/A</v>
      </c>
      <c r="AL214" s="44" t="e">
        <f t="shared" si="71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72"/>
        <v>0</v>
      </c>
      <c r="AO214" s="47">
        <f t="shared" si="73"/>
        <v>0</v>
      </c>
      <c r="AP214" s="47" t="e">
        <f t="shared" si="74"/>
        <v>#DIV/0!</v>
      </c>
    </row>
    <row r="215" spans="2:42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57"/>
        <v>0</v>
      </c>
      <c r="U215" s="47">
        <f t="shared" si="58"/>
        <v>0</v>
      </c>
      <c r="V215" s="48">
        <f t="shared" si="59"/>
        <v>0</v>
      </c>
      <c r="W215" s="49">
        <f t="shared" si="60"/>
        <v>0</v>
      </c>
      <c r="X215" s="44">
        <f t="shared" si="61"/>
        <v>0</v>
      </c>
      <c r="Y215" s="44">
        <f t="shared" si="62"/>
        <v>0</v>
      </c>
      <c r="Z215" s="44">
        <f t="shared" si="63"/>
        <v>0</v>
      </c>
      <c r="AA215" s="522">
        <f t="shared" si="75"/>
        <v>0</v>
      </c>
      <c r="AB215" s="51">
        <f t="shared" si="64"/>
        <v>0</v>
      </c>
      <c r="AC215" s="44">
        <f t="shared" si="65"/>
        <v>0</v>
      </c>
      <c r="AD215" s="44">
        <f t="shared" si="66"/>
        <v>0</v>
      </c>
      <c r="AE215" s="44">
        <f t="shared" si="67"/>
        <v>0</v>
      </c>
      <c r="AF215" s="52" t="e">
        <f>HLOOKUP(I215,ElecAvoidedCostsWOCC!$A$5:$Q$50,G215+1,FALSE)</f>
        <v>#N/A</v>
      </c>
      <c r="AG215" s="44" t="e">
        <f t="shared" si="68"/>
        <v>#N/A</v>
      </c>
      <c r="AH215" s="52" t="e">
        <f>HLOOKUP(I215,ElecAvoidedCostsWOCC!$A$5:$Q$50,T215+1,FALSE)</f>
        <v>#N/A</v>
      </c>
      <c r="AI215" s="44" t="e">
        <f t="shared" si="69"/>
        <v>#N/A</v>
      </c>
      <c r="AJ215" s="44" t="e">
        <f t="shared" si="70"/>
        <v>#N/A</v>
      </c>
      <c r="AK215" s="44" t="e">
        <f>HLOOKUP(I215,ElecAvoidedCostsWOCC!$A$5:$Q$50,G215+1,FALSE)*J215*L215</f>
        <v>#N/A</v>
      </c>
      <c r="AL215" s="44" t="e">
        <f t="shared" si="71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72"/>
        <v>0</v>
      </c>
      <c r="AO215" s="47">
        <f t="shared" si="73"/>
        <v>0</v>
      </c>
      <c r="AP215" s="47" t="e">
        <f t="shared" si="74"/>
        <v>#DIV/0!</v>
      </c>
    </row>
    <row r="216" spans="2:42">
      <c r="B216" s="37"/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ref="T216:T232" si="76">G216+H216</f>
        <v>0</v>
      </c>
      <c r="U216" s="47">
        <f t="shared" ref="U216:U232" si="77">(O216/$A$10)*T216</f>
        <v>0</v>
      </c>
      <c r="V216" s="48">
        <f t="shared" ref="V216:V232" si="78">N216-M216</f>
        <v>0</v>
      </c>
      <c r="W216" s="49">
        <f t="shared" ref="W216:W232" si="79">(O216/A$10)</f>
        <v>0</v>
      </c>
      <c r="X216" s="44">
        <f t="shared" ref="X216:X232" si="80">W216*A$8</f>
        <v>0</v>
      </c>
      <c r="Y216" s="44">
        <f t="shared" ref="Y216:Y232" si="81">Q216-P216</f>
        <v>0</v>
      </c>
      <c r="Z216" s="44">
        <f t="shared" ref="Z216:Z232" si="82">X216+(A$6*W216)</f>
        <v>0</v>
      </c>
      <c r="AA216" s="522">
        <f t="shared" si="75"/>
        <v>0</v>
      </c>
      <c r="AB216" s="51">
        <f t="shared" ref="AB216:AB232" si="83">Z216/(1+ElecDiscountRate)^1</f>
        <v>0</v>
      </c>
      <c r="AC216" s="44">
        <f t="shared" ref="AC216:AC232" si="84">AA216/(1+ElecDiscountRate)^1</f>
        <v>0</v>
      </c>
      <c r="AD216" s="44">
        <f t="shared" ref="AD216:AD232" si="85">-PV(ElecDiscountRate,T216,R216)*J216</f>
        <v>0</v>
      </c>
      <c r="AE216" s="44">
        <f t="shared" ref="AE216:AE232" si="86">-PV(ElecDiscountRate,T216,S216)*J216</f>
        <v>0</v>
      </c>
      <c r="AF216" s="52" t="e">
        <f>HLOOKUP(I216,ElecAvoidedCostsWOCC!$A$5:$Q$50,G216+1,FALSE)</f>
        <v>#N/A</v>
      </c>
      <c r="AG216" s="44" t="e">
        <f t="shared" ref="AG216:AG232" si="87">AF216*J216*K216</f>
        <v>#N/A</v>
      </c>
      <c r="AH216" s="52" t="e">
        <f>HLOOKUP(I216,ElecAvoidedCostsWOCC!$A$5:$Q$50,T216+1,FALSE)</f>
        <v>#N/A</v>
      </c>
      <c r="AI216" s="44" t="e">
        <f t="shared" ref="AI216:AI232" si="88">AH216*J216*L216</f>
        <v>#N/A</v>
      </c>
      <c r="AJ216" s="44" t="e">
        <f t="shared" ref="AJ216:AJ232" si="89">AG216+AI216</f>
        <v>#N/A</v>
      </c>
      <c r="AK216" s="44" t="e">
        <f>HLOOKUP(I216,ElecAvoidedCostsWOCC!$A$5:$Q$50,G216+1,FALSE)*J216*L216</f>
        <v>#N/A</v>
      </c>
      <c r="AL216" s="44" t="e">
        <f t="shared" ref="AL216:AL232" si="90">AG216+AI216-AK216</f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ref="AN216:AN232" si="91">AM216*1.1+AD216+AE216</f>
        <v>0</v>
      </c>
      <c r="AO216" s="47">
        <f t="shared" ref="AO216:AO232" si="92">IFERROR(AM216/AB216,0)</f>
        <v>0</v>
      </c>
      <c r="AP216" s="47" t="e">
        <f t="shared" ref="AP216:AP232" si="93">AN216/AC216</f>
        <v>#DIV/0!</v>
      </c>
    </row>
    <row r="217" spans="2:42">
      <c r="B217" s="37"/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si="76"/>
        <v>0</v>
      </c>
      <c r="U217" s="47">
        <f t="shared" si="77"/>
        <v>0</v>
      </c>
      <c r="V217" s="48">
        <f t="shared" si="78"/>
        <v>0</v>
      </c>
      <c r="W217" s="49">
        <f t="shared" si="79"/>
        <v>0</v>
      </c>
      <c r="X217" s="44">
        <f t="shared" si="80"/>
        <v>0</v>
      </c>
      <c r="Y217" s="44">
        <f t="shared" si="81"/>
        <v>0</v>
      </c>
      <c r="Z217" s="44">
        <f t="shared" si="82"/>
        <v>0</v>
      </c>
      <c r="AA217" s="522">
        <f t="shared" si="75"/>
        <v>0</v>
      </c>
      <c r="AB217" s="51">
        <f t="shared" si="83"/>
        <v>0</v>
      </c>
      <c r="AC217" s="44">
        <f t="shared" si="84"/>
        <v>0</v>
      </c>
      <c r="AD217" s="44">
        <f t="shared" si="85"/>
        <v>0</v>
      </c>
      <c r="AE217" s="44">
        <f t="shared" si="86"/>
        <v>0</v>
      </c>
      <c r="AF217" s="52" t="e">
        <f>HLOOKUP(I217,ElecAvoidedCostsWOCC!$A$5:$Q$50,G217+1,FALSE)</f>
        <v>#N/A</v>
      </c>
      <c r="AG217" s="44" t="e">
        <f t="shared" si="87"/>
        <v>#N/A</v>
      </c>
      <c r="AH217" s="52" t="e">
        <f>HLOOKUP(I217,ElecAvoidedCostsWOCC!$A$5:$Q$50,T217+1,FALSE)</f>
        <v>#N/A</v>
      </c>
      <c r="AI217" s="44" t="e">
        <f t="shared" si="88"/>
        <v>#N/A</v>
      </c>
      <c r="AJ217" s="44" t="e">
        <f t="shared" si="89"/>
        <v>#N/A</v>
      </c>
      <c r="AK217" s="44" t="e">
        <f>HLOOKUP(I217,ElecAvoidedCostsWOCC!$A$5:$Q$50,G217+1,FALSE)*J217*L217</f>
        <v>#N/A</v>
      </c>
      <c r="AL217" s="44" t="e">
        <f t="shared" si="90"/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si="91"/>
        <v>0</v>
      </c>
      <c r="AO217" s="47">
        <f t="shared" si="92"/>
        <v>0</v>
      </c>
      <c r="AP217" s="47" t="e">
        <f t="shared" si="93"/>
        <v>#DIV/0!</v>
      </c>
    </row>
    <row r="218" spans="2:42">
      <c r="B218" s="37"/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76"/>
        <v>0</v>
      </c>
      <c r="U218" s="47">
        <f t="shared" si="77"/>
        <v>0</v>
      </c>
      <c r="V218" s="48">
        <f t="shared" si="78"/>
        <v>0</v>
      </c>
      <c r="W218" s="49">
        <f t="shared" si="79"/>
        <v>0</v>
      </c>
      <c r="X218" s="44">
        <f t="shared" si="80"/>
        <v>0</v>
      </c>
      <c r="Y218" s="44">
        <f t="shared" si="81"/>
        <v>0</v>
      </c>
      <c r="Z218" s="44">
        <f t="shared" si="82"/>
        <v>0</v>
      </c>
      <c r="AA218" s="522">
        <f t="shared" si="75"/>
        <v>0</v>
      </c>
      <c r="AB218" s="51">
        <f t="shared" si="83"/>
        <v>0</v>
      </c>
      <c r="AC218" s="44">
        <f t="shared" si="84"/>
        <v>0</v>
      </c>
      <c r="AD218" s="44">
        <f t="shared" si="85"/>
        <v>0</v>
      </c>
      <c r="AE218" s="44">
        <f t="shared" si="86"/>
        <v>0</v>
      </c>
      <c r="AF218" s="52" t="e">
        <f>HLOOKUP(I218,ElecAvoidedCostsWOCC!$A$5:$Q$50,G218+1,FALSE)</f>
        <v>#N/A</v>
      </c>
      <c r="AG218" s="44" t="e">
        <f t="shared" si="87"/>
        <v>#N/A</v>
      </c>
      <c r="AH218" s="52" t="e">
        <f>HLOOKUP(I218,ElecAvoidedCostsWOCC!$A$5:$Q$50,T218+1,FALSE)</f>
        <v>#N/A</v>
      </c>
      <c r="AI218" s="44" t="e">
        <f t="shared" si="88"/>
        <v>#N/A</v>
      </c>
      <c r="AJ218" s="44" t="e">
        <f t="shared" si="89"/>
        <v>#N/A</v>
      </c>
      <c r="AK218" s="44" t="e">
        <f>HLOOKUP(I218,ElecAvoidedCostsWOCC!$A$5:$Q$50,G218+1,FALSE)*J218*L218</f>
        <v>#N/A</v>
      </c>
      <c r="AL218" s="44" t="e">
        <f t="shared" si="90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1"/>
        <v>0</v>
      </c>
      <c r="AO218" s="47">
        <f t="shared" si="92"/>
        <v>0</v>
      </c>
      <c r="AP218" s="47" t="e">
        <f t="shared" si="93"/>
        <v>#DIV/0!</v>
      </c>
    </row>
    <row r="219" spans="2:42">
      <c r="B219" s="37"/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76"/>
        <v>0</v>
      </c>
      <c r="U219" s="47">
        <f t="shared" si="77"/>
        <v>0</v>
      </c>
      <c r="V219" s="48">
        <f t="shared" si="78"/>
        <v>0</v>
      </c>
      <c r="W219" s="49">
        <f t="shared" si="79"/>
        <v>0</v>
      </c>
      <c r="X219" s="44">
        <f t="shared" si="80"/>
        <v>0</v>
      </c>
      <c r="Y219" s="44">
        <f t="shared" si="81"/>
        <v>0</v>
      </c>
      <c r="Z219" s="44">
        <f t="shared" si="82"/>
        <v>0</v>
      </c>
      <c r="AA219" s="522">
        <f t="shared" si="75"/>
        <v>0</v>
      </c>
      <c r="AB219" s="51">
        <f t="shared" si="83"/>
        <v>0</v>
      </c>
      <c r="AC219" s="44">
        <f t="shared" si="84"/>
        <v>0</v>
      </c>
      <c r="AD219" s="44">
        <f t="shared" si="85"/>
        <v>0</v>
      </c>
      <c r="AE219" s="44">
        <f t="shared" si="86"/>
        <v>0</v>
      </c>
      <c r="AF219" s="52" t="e">
        <f>HLOOKUP(I219,ElecAvoidedCostsWOCC!$A$5:$Q$50,G219+1,FALSE)</f>
        <v>#N/A</v>
      </c>
      <c r="AG219" s="44" t="e">
        <f t="shared" si="87"/>
        <v>#N/A</v>
      </c>
      <c r="AH219" s="52" t="e">
        <f>HLOOKUP(I219,ElecAvoidedCostsWOCC!$A$5:$Q$50,T219+1,FALSE)</f>
        <v>#N/A</v>
      </c>
      <c r="AI219" s="44" t="e">
        <f t="shared" si="88"/>
        <v>#N/A</v>
      </c>
      <c r="AJ219" s="44" t="e">
        <f t="shared" si="89"/>
        <v>#N/A</v>
      </c>
      <c r="AK219" s="44" t="e">
        <f>HLOOKUP(I219,ElecAvoidedCostsWOCC!$A$5:$Q$50,G219+1,FALSE)*J219*L219</f>
        <v>#N/A</v>
      </c>
      <c r="AL219" s="44" t="e">
        <f t="shared" si="90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1"/>
        <v>0</v>
      </c>
      <c r="AO219" s="47">
        <f t="shared" si="92"/>
        <v>0</v>
      </c>
      <c r="AP219" s="47" t="e">
        <f t="shared" si="93"/>
        <v>#DIV/0!</v>
      </c>
    </row>
    <row r="220" spans="2:42">
      <c r="B220" s="37"/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76"/>
        <v>0</v>
      </c>
      <c r="U220" s="47">
        <f t="shared" si="77"/>
        <v>0</v>
      </c>
      <c r="V220" s="48">
        <f t="shared" si="78"/>
        <v>0</v>
      </c>
      <c r="W220" s="49">
        <f t="shared" si="79"/>
        <v>0</v>
      </c>
      <c r="X220" s="44">
        <f t="shared" si="80"/>
        <v>0</v>
      </c>
      <c r="Y220" s="44">
        <f t="shared" si="81"/>
        <v>0</v>
      </c>
      <c r="Z220" s="44">
        <f t="shared" si="82"/>
        <v>0</v>
      </c>
      <c r="AA220" s="522">
        <f t="shared" si="75"/>
        <v>0</v>
      </c>
      <c r="AB220" s="51">
        <f t="shared" si="83"/>
        <v>0</v>
      </c>
      <c r="AC220" s="44">
        <f t="shared" si="84"/>
        <v>0</v>
      </c>
      <c r="AD220" s="44">
        <f t="shared" si="85"/>
        <v>0</v>
      </c>
      <c r="AE220" s="44">
        <f t="shared" si="86"/>
        <v>0</v>
      </c>
      <c r="AF220" s="52" t="e">
        <f>HLOOKUP(I220,ElecAvoidedCostsWOCC!$A$5:$Q$50,G220+1,FALSE)</f>
        <v>#N/A</v>
      </c>
      <c r="AG220" s="44" t="e">
        <f t="shared" si="87"/>
        <v>#N/A</v>
      </c>
      <c r="AH220" s="52" t="e">
        <f>HLOOKUP(I220,ElecAvoidedCostsWOCC!$A$5:$Q$50,T220+1,FALSE)</f>
        <v>#N/A</v>
      </c>
      <c r="AI220" s="44" t="e">
        <f t="shared" si="88"/>
        <v>#N/A</v>
      </c>
      <c r="AJ220" s="44" t="e">
        <f t="shared" si="89"/>
        <v>#N/A</v>
      </c>
      <c r="AK220" s="44" t="e">
        <f>HLOOKUP(I220,ElecAvoidedCostsWOCC!$A$5:$Q$50,G220+1,FALSE)*J220*L220</f>
        <v>#N/A</v>
      </c>
      <c r="AL220" s="44" t="e">
        <f t="shared" si="90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1"/>
        <v>0</v>
      </c>
      <c r="AO220" s="47">
        <f t="shared" si="92"/>
        <v>0</v>
      </c>
      <c r="AP220" s="47" t="e">
        <f t="shared" si="93"/>
        <v>#DIV/0!</v>
      </c>
    </row>
    <row r="221" spans="2:42">
      <c r="B221" s="37"/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76"/>
        <v>0</v>
      </c>
      <c r="U221" s="47">
        <f t="shared" si="77"/>
        <v>0</v>
      </c>
      <c r="V221" s="48">
        <f t="shared" si="78"/>
        <v>0</v>
      </c>
      <c r="W221" s="49">
        <f t="shared" si="79"/>
        <v>0</v>
      </c>
      <c r="X221" s="44">
        <f t="shared" si="80"/>
        <v>0</v>
      </c>
      <c r="Y221" s="44">
        <f t="shared" si="81"/>
        <v>0</v>
      </c>
      <c r="Z221" s="44">
        <f t="shared" si="82"/>
        <v>0</v>
      </c>
      <c r="AA221" s="522">
        <f t="shared" si="75"/>
        <v>0</v>
      </c>
      <c r="AB221" s="51">
        <f t="shared" si="83"/>
        <v>0</v>
      </c>
      <c r="AC221" s="44">
        <f t="shared" si="84"/>
        <v>0</v>
      </c>
      <c r="AD221" s="44">
        <f t="shared" si="85"/>
        <v>0</v>
      </c>
      <c r="AE221" s="44">
        <f t="shared" si="86"/>
        <v>0</v>
      </c>
      <c r="AF221" s="52" t="e">
        <f>HLOOKUP(I221,ElecAvoidedCostsWOCC!$A$5:$Q$50,G221+1,FALSE)</f>
        <v>#N/A</v>
      </c>
      <c r="AG221" s="44" t="e">
        <f t="shared" si="87"/>
        <v>#N/A</v>
      </c>
      <c r="AH221" s="52" t="e">
        <f>HLOOKUP(I221,ElecAvoidedCostsWOCC!$A$5:$Q$50,T221+1,FALSE)</f>
        <v>#N/A</v>
      </c>
      <c r="AI221" s="44" t="e">
        <f t="shared" si="88"/>
        <v>#N/A</v>
      </c>
      <c r="AJ221" s="44" t="e">
        <f t="shared" si="89"/>
        <v>#N/A</v>
      </c>
      <c r="AK221" s="44" t="e">
        <f>HLOOKUP(I221,ElecAvoidedCostsWOCC!$A$5:$Q$50,G221+1,FALSE)*J221*L221</f>
        <v>#N/A</v>
      </c>
      <c r="AL221" s="44" t="e">
        <f t="shared" si="90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1"/>
        <v>0</v>
      </c>
      <c r="AO221" s="47">
        <f t="shared" si="92"/>
        <v>0</v>
      </c>
      <c r="AP221" s="47" t="e">
        <f t="shared" si="93"/>
        <v>#DIV/0!</v>
      </c>
    </row>
    <row r="222" spans="2:42">
      <c r="B222" s="37"/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76"/>
        <v>0</v>
      </c>
      <c r="U222" s="47">
        <f t="shared" si="77"/>
        <v>0</v>
      </c>
      <c r="V222" s="48">
        <f t="shared" si="78"/>
        <v>0</v>
      </c>
      <c r="W222" s="49">
        <f t="shared" si="79"/>
        <v>0</v>
      </c>
      <c r="X222" s="44">
        <f t="shared" si="80"/>
        <v>0</v>
      </c>
      <c r="Y222" s="44">
        <f t="shared" si="81"/>
        <v>0</v>
      </c>
      <c r="Z222" s="44">
        <f t="shared" si="82"/>
        <v>0</v>
      </c>
      <c r="AA222" s="522">
        <f t="shared" si="75"/>
        <v>0</v>
      </c>
      <c r="AB222" s="51">
        <f t="shared" si="83"/>
        <v>0</v>
      </c>
      <c r="AC222" s="44">
        <f t="shared" si="84"/>
        <v>0</v>
      </c>
      <c r="AD222" s="44">
        <f t="shared" si="85"/>
        <v>0</v>
      </c>
      <c r="AE222" s="44">
        <f t="shared" si="86"/>
        <v>0</v>
      </c>
      <c r="AF222" s="52" t="e">
        <f>HLOOKUP(I222,ElecAvoidedCostsWOCC!$A$5:$Q$50,G222+1,FALSE)</f>
        <v>#N/A</v>
      </c>
      <c r="AG222" s="44" t="e">
        <f t="shared" si="87"/>
        <v>#N/A</v>
      </c>
      <c r="AH222" s="52" t="e">
        <f>HLOOKUP(I222,ElecAvoidedCostsWOCC!$A$5:$Q$50,T222+1,FALSE)</f>
        <v>#N/A</v>
      </c>
      <c r="AI222" s="44" t="e">
        <f t="shared" si="88"/>
        <v>#N/A</v>
      </c>
      <c r="AJ222" s="44" t="e">
        <f t="shared" si="89"/>
        <v>#N/A</v>
      </c>
      <c r="AK222" s="44" t="e">
        <f>HLOOKUP(I222,ElecAvoidedCostsWOCC!$A$5:$Q$50,G222+1,FALSE)*J222*L222</f>
        <v>#N/A</v>
      </c>
      <c r="AL222" s="44" t="e">
        <f t="shared" si="90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1"/>
        <v>0</v>
      </c>
      <c r="AO222" s="47">
        <f t="shared" si="92"/>
        <v>0</v>
      </c>
      <c r="AP222" s="47" t="e">
        <f t="shared" si="93"/>
        <v>#DIV/0!</v>
      </c>
    </row>
    <row r="223" spans="2:42">
      <c r="B223" s="37"/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76"/>
        <v>0</v>
      </c>
      <c r="U223" s="47">
        <f t="shared" si="77"/>
        <v>0</v>
      </c>
      <c r="V223" s="48">
        <f t="shared" si="78"/>
        <v>0</v>
      </c>
      <c r="W223" s="49">
        <f t="shared" si="79"/>
        <v>0</v>
      </c>
      <c r="X223" s="44">
        <f t="shared" si="80"/>
        <v>0</v>
      </c>
      <c r="Y223" s="44">
        <f t="shared" si="81"/>
        <v>0</v>
      </c>
      <c r="Z223" s="44">
        <f t="shared" si="82"/>
        <v>0</v>
      </c>
      <c r="AA223" s="522">
        <f t="shared" si="75"/>
        <v>0</v>
      </c>
      <c r="AB223" s="51">
        <f t="shared" si="83"/>
        <v>0</v>
      </c>
      <c r="AC223" s="44">
        <f t="shared" si="84"/>
        <v>0</v>
      </c>
      <c r="AD223" s="44">
        <f t="shared" si="85"/>
        <v>0</v>
      </c>
      <c r="AE223" s="44">
        <f t="shared" si="86"/>
        <v>0</v>
      </c>
      <c r="AF223" s="52" t="e">
        <f>HLOOKUP(I223,ElecAvoidedCostsWOCC!$A$5:$Q$50,G223+1,FALSE)</f>
        <v>#N/A</v>
      </c>
      <c r="AG223" s="44" t="e">
        <f t="shared" si="87"/>
        <v>#N/A</v>
      </c>
      <c r="AH223" s="52" t="e">
        <f>HLOOKUP(I223,ElecAvoidedCostsWOCC!$A$5:$Q$50,T223+1,FALSE)</f>
        <v>#N/A</v>
      </c>
      <c r="AI223" s="44" t="e">
        <f t="shared" si="88"/>
        <v>#N/A</v>
      </c>
      <c r="AJ223" s="44" t="e">
        <f t="shared" si="89"/>
        <v>#N/A</v>
      </c>
      <c r="AK223" s="44" t="e">
        <f>HLOOKUP(I223,ElecAvoidedCostsWOCC!$A$5:$Q$50,G223+1,FALSE)*J223*L223</f>
        <v>#N/A</v>
      </c>
      <c r="AL223" s="44" t="e">
        <f t="shared" si="90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1"/>
        <v>0</v>
      </c>
      <c r="AO223" s="47">
        <f t="shared" si="92"/>
        <v>0</v>
      </c>
      <c r="AP223" s="47" t="e">
        <f t="shared" si="93"/>
        <v>#DIV/0!</v>
      </c>
    </row>
    <row r="224" spans="2:42">
      <c r="B224" s="37"/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76"/>
        <v>0</v>
      </c>
      <c r="U224" s="47">
        <f t="shared" si="77"/>
        <v>0</v>
      </c>
      <c r="V224" s="48">
        <f t="shared" si="78"/>
        <v>0</v>
      </c>
      <c r="W224" s="49">
        <f t="shared" si="79"/>
        <v>0</v>
      </c>
      <c r="X224" s="44">
        <f t="shared" si="80"/>
        <v>0</v>
      </c>
      <c r="Y224" s="44">
        <f t="shared" si="81"/>
        <v>0</v>
      </c>
      <c r="Z224" s="44">
        <f t="shared" si="82"/>
        <v>0</v>
      </c>
      <c r="AA224" s="522">
        <f t="shared" si="75"/>
        <v>0</v>
      </c>
      <c r="AB224" s="51">
        <f t="shared" si="83"/>
        <v>0</v>
      </c>
      <c r="AC224" s="44">
        <f t="shared" si="84"/>
        <v>0</v>
      </c>
      <c r="AD224" s="44">
        <f t="shared" si="85"/>
        <v>0</v>
      </c>
      <c r="AE224" s="44">
        <f t="shared" si="86"/>
        <v>0</v>
      </c>
      <c r="AF224" s="52" t="e">
        <f>HLOOKUP(I224,ElecAvoidedCostsWOCC!$A$5:$Q$50,G224+1,FALSE)</f>
        <v>#N/A</v>
      </c>
      <c r="AG224" s="44" t="e">
        <f t="shared" si="87"/>
        <v>#N/A</v>
      </c>
      <c r="AH224" s="52" t="e">
        <f>HLOOKUP(I224,ElecAvoidedCostsWOCC!$A$5:$Q$50,T224+1,FALSE)</f>
        <v>#N/A</v>
      </c>
      <c r="AI224" s="44" t="e">
        <f t="shared" si="88"/>
        <v>#N/A</v>
      </c>
      <c r="AJ224" s="44" t="e">
        <f t="shared" si="89"/>
        <v>#N/A</v>
      </c>
      <c r="AK224" s="44" t="e">
        <f>HLOOKUP(I224,ElecAvoidedCostsWOCC!$A$5:$Q$50,G224+1,FALSE)*J224*L224</f>
        <v>#N/A</v>
      </c>
      <c r="AL224" s="44" t="e">
        <f t="shared" si="90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1"/>
        <v>0</v>
      </c>
      <c r="AO224" s="47">
        <f t="shared" si="92"/>
        <v>0</v>
      </c>
      <c r="AP224" s="47" t="e">
        <f t="shared" si="93"/>
        <v>#DIV/0!</v>
      </c>
    </row>
    <row r="225" spans="2:42">
      <c r="B225" s="37"/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76"/>
        <v>0</v>
      </c>
      <c r="U225" s="47">
        <f t="shared" si="77"/>
        <v>0</v>
      </c>
      <c r="V225" s="48">
        <f t="shared" si="78"/>
        <v>0</v>
      </c>
      <c r="W225" s="49">
        <f t="shared" si="79"/>
        <v>0</v>
      </c>
      <c r="X225" s="44">
        <f t="shared" si="80"/>
        <v>0</v>
      </c>
      <c r="Y225" s="44">
        <f t="shared" si="81"/>
        <v>0</v>
      </c>
      <c r="Z225" s="44">
        <f t="shared" si="82"/>
        <v>0</v>
      </c>
      <c r="AA225" s="522">
        <f t="shared" si="75"/>
        <v>0</v>
      </c>
      <c r="AB225" s="51">
        <f t="shared" si="83"/>
        <v>0</v>
      </c>
      <c r="AC225" s="44">
        <f t="shared" si="84"/>
        <v>0</v>
      </c>
      <c r="AD225" s="44">
        <f t="shared" si="85"/>
        <v>0</v>
      </c>
      <c r="AE225" s="44">
        <f t="shared" si="86"/>
        <v>0</v>
      </c>
      <c r="AF225" s="52" t="e">
        <f>HLOOKUP(I225,ElecAvoidedCostsWOCC!$A$5:$Q$50,G225+1,FALSE)</f>
        <v>#N/A</v>
      </c>
      <c r="AG225" s="44" t="e">
        <f t="shared" si="87"/>
        <v>#N/A</v>
      </c>
      <c r="AH225" s="52" t="e">
        <f>HLOOKUP(I225,ElecAvoidedCostsWOCC!$A$5:$Q$50,T225+1,FALSE)</f>
        <v>#N/A</v>
      </c>
      <c r="AI225" s="44" t="e">
        <f t="shared" si="88"/>
        <v>#N/A</v>
      </c>
      <c r="AJ225" s="44" t="e">
        <f t="shared" si="89"/>
        <v>#N/A</v>
      </c>
      <c r="AK225" s="44" t="e">
        <f>HLOOKUP(I225,ElecAvoidedCostsWOCC!$A$5:$Q$50,G225+1,FALSE)*J225*L225</f>
        <v>#N/A</v>
      </c>
      <c r="AL225" s="44" t="e">
        <f t="shared" si="90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1"/>
        <v>0</v>
      </c>
      <c r="AO225" s="47">
        <f t="shared" si="92"/>
        <v>0</v>
      </c>
      <c r="AP225" s="47" t="e">
        <f t="shared" si="93"/>
        <v>#DIV/0!</v>
      </c>
    </row>
    <row r="226" spans="2:42">
      <c r="B226" s="37"/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76"/>
        <v>0</v>
      </c>
      <c r="U226" s="47">
        <f t="shared" si="77"/>
        <v>0</v>
      </c>
      <c r="V226" s="48">
        <f t="shared" si="78"/>
        <v>0</v>
      </c>
      <c r="W226" s="49">
        <f t="shared" si="79"/>
        <v>0</v>
      </c>
      <c r="X226" s="44">
        <f t="shared" si="80"/>
        <v>0</v>
      </c>
      <c r="Y226" s="44">
        <f t="shared" si="81"/>
        <v>0</v>
      </c>
      <c r="Z226" s="44">
        <f t="shared" si="82"/>
        <v>0</v>
      </c>
      <c r="AA226" s="522">
        <f t="shared" si="75"/>
        <v>0</v>
      </c>
      <c r="AB226" s="51">
        <f t="shared" si="83"/>
        <v>0</v>
      </c>
      <c r="AC226" s="44">
        <f t="shared" si="84"/>
        <v>0</v>
      </c>
      <c r="AD226" s="44">
        <f t="shared" si="85"/>
        <v>0</v>
      </c>
      <c r="AE226" s="44">
        <f t="shared" si="86"/>
        <v>0</v>
      </c>
      <c r="AF226" s="52" t="e">
        <f>HLOOKUP(I226,ElecAvoidedCostsWOCC!$A$5:$Q$50,G226+1,FALSE)</f>
        <v>#N/A</v>
      </c>
      <c r="AG226" s="44" t="e">
        <f t="shared" si="87"/>
        <v>#N/A</v>
      </c>
      <c r="AH226" s="52" t="e">
        <f>HLOOKUP(I226,ElecAvoidedCostsWOCC!$A$5:$Q$50,T226+1,FALSE)</f>
        <v>#N/A</v>
      </c>
      <c r="AI226" s="44" t="e">
        <f t="shared" si="88"/>
        <v>#N/A</v>
      </c>
      <c r="AJ226" s="44" t="e">
        <f t="shared" si="89"/>
        <v>#N/A</v>
      </c>
      <c r="AK226" s="44" t="e">
        <f>HLOOKUP(I226,ElecAvoidedCostsWOCC!$A$5:$Q$50,G226+1,FALSE)*J226*L226</f>
        <v>#N/A</v>
      </c>
      <c r="AL226" s="44" t="e">
        <f t="shared" si="90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1"/>
        <v>0</v>
      </c>
      <c r="AO226" s="47">
        <f t="shared" si="92"/>
        <v>0</v>
      </c>
      <c r="AP226" s="47" t="e">
        <f t="shared" si="93"/>
        <v>#DIV/0!</v>
      </c>
    </row>
    <row r="227" spans="2:42">
      <c r="B227" s="37"/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76"/>
        <v>0</v>
      </c>
      <c r="U227" s="47">
        <f t="shared" si="77"/>
        <v>0</v>
      </c>
      <c r="V227" s="48">
        <f t="shared" si="78"/>
        <v>0</v>
      </c>
      <c r="W227" s="49">
        <f t="shared" si="79"/>
        <v>0</v>
      </c>
      <c r="X227" s="44">
        <f t="shared" si="80"/>
        <v>0</v>
      </c>
      <c r="Y227" s="44">
        <f t="shared" si="81"/>
        <v>0</v>
      </c>
      <c r="Z227" s="44">
        <f t="shared" si="82"/>
        <v>0</v>
      </c>
      <c r="AA227" s="522">
        <f t="shared" si="75"/>
        <v>0</v>
      </c>
      <c r="AB227" s="51">
        <f t="shared" si="83"/>
        <v>0</v>
      </c>
      <c r="AC227" s="44">
        <f t="shared" si="84"/>
        <v>0</v>
      </c>
      <c r="AD227" s="44">
        <f t="shared" si="85"/>
        <v>0</v>
      </c>
      <c r="AE227" s="44">
        <f t="shared" si="86"/>
        <v>0</v>
      </c>
      <c r="AF227" s="52" t="e">
        <f>HLOOKUP(I227,ElecAvoidedCostsWOCC!$A$5:$Q$50,G227+1,FALSE)</f>
        <v>#N/A</v>
      </c>
      <c r="AG227" s="44" t="e">
        <f t="shared" si="87"/>
        <v>#N/A</v>
      </c>
      <c r="AH227" s="52" t="e">
        <f>HLOOKUP(I227,ElecAvoidedCostsWOCC!$A$5:$Q$50,T227+1,FALSE)</f>
        <v>#N/A</v>
      </c>
      <c r="AI227" s="44" t="e">
        <f t="shared" si="88"/>
        <v>#N/A</v>
      </c>
      <c r="AJ227" s="44" t="e">
        <f t="shared" si="89"/>
        <v>#N/A</v>
      </c>
      <c r="AK227" s="44" t="e">
        <f>HLOOKUP(I227,ElecAvoidedCostsWOCC!$A$5:$Q$50,G227+1,FALSE)*J227*L227</f>
        <v>#N/A</v>
      </c>
      <c r="AL227" s="44" t="e">
        <f t="shared" si="90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1"/>
        <v>0</v>
      </c>
      <c r="AO227" s="47">
        <f t="shared" si="92"/>
        <v>0</v>
      </c>
      <c r="AP227" s="47" t="e">
        <f t="shared" si="93"/>
        <v>#DIV/0!</v>
      </c>
    </row>
    <row r="228" spans="2:42">
      <c r="B228" s="37"/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76"/>
        <v>0</v>
      </c>
      <c r="U228" s="47">
        <f t="shared" si="77"/>
        <v>0</v>
      </c>
      <c r="V228" s="48">
        <f t="shared" si="78"/>
        <v>0</v>
      </c>
      <c r="W228" s="49">
        <f t="shared" si="79"/>
        <v>0</v>
      </c>
      <c r="X228" s="44">
        <f t="shared" si="80"/>
        <v>0</v>
      </c>
      <c r="Y228" s="44">
        <f t="shared" si="81"/>
        <v>0</v>
      </c>
      <c r="Z228" s="44">
        <f t="shared" si="82"/>
        <v>0</v>
      </c>
      <c r="AA228" s="522">
        <f t="shared" si="75"/>
        <v>0</v>
      </c>
      <c r="AB228" s="51">
        <f t="shared" si="83"/>
        <v>0</v>
      </c>
      <c r="AC228" s="44">
        <f t="shared" si="84"/>
        <v>0</v>
      </c>
      <c r="AD228" s="44">
        <f t="shared" si="85"/>
        <v>0</v>
      </c>
      <c r="AE228" s="44">
        <f t="shared" si="86"/>
        <v>0</v>
      </c>
      <c r="AF228" s="52" t="e">
        <f>HLOOKUP(I228,ElecAvoidedCostsWOCC!$A$5:$Q$50,G228+1,FALSE)</f>
        <v>#N/A</v>
      </c>
      <c r="AG228" s="44" t="e">
        <f t="shared" si="87"/>
        <v>#N/A</v>
      </c>
      <c r="AH228" s="52" t="e">
        <f>HLOOKUP(I228,ElecAvoidedCostsWOCC!$A$5:$Q$50,T228+1,FALSE)</f>
        <v>#N/A</v>
      </c>
      <c r="AI228" s="44" t="e">
        <f t="shared" si="88"/>
        <v>#N/A</v>
      </c>
      <c r="AJ228" s="44" t="e">
        <f t="shared" si="89"/>
        <v>#N/A</v>
      </c>
      <c r="AK228" s="44" t="e">
        <f>HLOOKUP(I228,ElecAvoidedCostsWOCC!$A$5:$Q$50,G228+1,FALSE)*J228*L228</f>
        <v>#N/A</v>
      </c>
      <c r="AL228" s="44" t="e">
        <f t="shared" si="90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1"/>
        <v>0</v>
      </c>
      <c r="AO228" s="47">
        <f t="shared" si="92"/>
        <v>0</v>
      </c>
      <c r="AP228" s="47" t="e">
        <f t="shared" si="93"/>
        <v>#DIV/0!</v>
      </c>
    </row>
    <row r="229" spans="2:42">
      <c r="B229" s="37"/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76"/>
        <v>0</v>
      </c>
      <c r="U229" s="47">
        <f t="shared" si="77"/>
        <v>0</v>
      </c>
      <c r="V229" s="48">
        <f t="shared" si="78"/>
        <v>0</v>
      </c>
      <c r="W229" s="49">
        <f t="shared" si="79"/>
        <v>0</v>
      </c>
      <c r="X229" s="44">
        <f t="shared" si="80"/>
        <v>0</v>
      </c>
      <c r="Y229" s="44">
        <f t="shared" si="81"/>
        <v>0</v>
      </c>
      <c r="Z229" s="44">
        <f t="shared" si="82"/>
        <v>0</v>
      </c>
      <c r="AA229" s="522">
        <f t="shared" si="75"/>
        <v>0</v>
      </c>
      <c r="AB229" s="51">
        <f t="shared" si="83"/>
        <v>0</v>
      </c>
      <c r="AC229" s="44">
        <f t="shared" si="84"/>
        <v>0</v>
      </c>
      <c r="AD229" s="44">
        <f t="shared" si="85"/>
        <v>0</v>
      </c>
      <c r="AE229" s="44">
        <f t="shared" si="86"/>
        <v>0</v>
      </c>
      <c r="AF229" s="52" t="e">
        <f>HLOOKUP(I229,ElecAvoidedCostsWOCC!$A$5:$Q$50,G229+1,FALSE)</f>
        <v>#N/A</v>
      </c>
      <c r="AG229" s="44" t="e">
        <f t="shared" si="87"/>
        <v>#N/A</v>
      </c>
      <c r="AH229" s="52" t="e">
        <f>HLOOKUP(I229,ElecAvoidedCostsWOCC!$A$5:$Q$50,T229+1,FALSE)</f>
        <v>#N/A</v>
      </c>
      <c r="AI229" s="44" t="e">
        <f t="shared" si="88"/>
        <v>#N/A</v>
      </c>
      <c r="AJ229" s="44" t="e">
        <f t="shared" si="89"/>
        <v>#N/A</v>
      </c>
      <c r="AK229" s="44" t="e">
        <f>HLOOKUP(I229,ElecAvoidedCostsWOCC!$A$5:$Q$50,G229+1,FALSE)*J229*L229</f>
        <v>#N/A</v>
      </c>
      <c r="AL229" s="44" t="e">
        <f t="shared" si="90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1"/>
        <v>0</v>
      </c>
      <c r="AO229" s="47">
        <f t="shared" si="92"/>
        <v>0</v>
      </c>
      <c r="AP229" s="47" t="e">
        <f t="shared" si="93"/>
        <v>#DIV/0!</v>
      </c>
    </row>
    <row r="230" spans="2:42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76"/>
        <v>0</v>
      </c>
      <c r="U230" s="47">
        <f t="shared" si="77"/>
        <v>0</v>
      </c>
      <c r="V230" s="48">
        <f t="shared" si="78"/>
        <v>0</v>
      </c>
      <c r="W230" s="49">
        <f t="shared" si="79"/>
        <v>0</v>
      </c>
      <c r="X230" s="44">
        <f t="shared" si="80"/>
        <v>0</v>
      </c>
      <c r="Y230" s="44">
        <f t="shared" si="81"/>
        <v>0</v>
      </c>
      <c r="Z230" s="44">
        <f t="shared" si="82"/>
        <v>0</v>
      </c>
      <c r="AA230" s="522">
        <f t="shared" si="75"/>
        <v>0</v>
      </c>
      <c r="AB230" s="51">
        <f t="shared" si="83"/>
        <v>0</v>
      </c>
      <c r="AC230" s="44">
        <f t="shared" si="84"/>
        <v>0</v>
      </c>
      <c r="AD230" s="44">
        <f t="shared" si="85"/>
        <v>0</v>
      </c>
      <c r="AE230" s="44">
        <f t="shared" si="86"/>
        <v>0</v>
      </c>
      <c r="AF230" s="52" t="e">
        <f>HLOOKUP(I230,ElecAvoidedCostsWOCC!$A$5:$Q$50,G230+1,FALSE)</f>
        <v>#N/A</v>
      </c>
      <c r="AG230" s="44" t="e">
        <f t="shared" si="87"/>
        <v>#N/A</v>
      </c>
      <c r="AH230" s="52" t="e">
        <f>HLOOKUP(I230,ElecAvoidedCostsWOCC!$A$5:$Q$50,T230+1,FALSE)</f>
        <v>#N/A</v>
      </c>
      <c r="AI230" s="44" t="e">
        <f t="shared" si="88"/>
        <v>#N/A</v>
      </c>
      <c r="AJ230" s="44" t="e">
        <f t="shared" si="89"/>
        <v>#N/A</v>
      </c>
      <c r="AK230" s="44" t="e">
        <f>HLOOKUP(I230,ElecAvoidedCostsWOCC!$A$5:$Q$50,G230+1,FALSE)*J230*L230</f>
        <v>#N/A</v>
      </c>
      <c r="AL230" s="44" t="e">
        <f t="shared" si="90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1"/>
        <v>0</v>
      </c>
      <c r="AO230" s="47">
        <f t="shared" si="92"/>
        <v>0</v>
      </c>
      <c r="AP230" s="47" t="e">
        <f t="shared" si="93"/>
        <v>#DIV/0!</v>
      </c>
    </row>
    <row r="231" spans="2:42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76"/>
        <v>0</v>
      </c>
      <c r="U231" s="47">
        <f t="shared" si="77"/>
        <v>0</v>
      </c>
      <c r="V231" s="48">
        <f t="shared" si="78"/>
        <v>0</v>
      </c>
      <c r="W231" s="49">
        <f t="shared" si="79"/>
        <v>0</v>
      </c>
      <c r="X231" s="44">
        <f t="shared" si="80"/>
        <v>0</v>
      </c>
      <c r="Y231" s="44">
        <f t="shared" si="81"/>
        <v>0</v>
      </c>
      <c r="Z231" s="44">
        <f t="shared" si="82"/>
        <v>0</v>
      </c>
      <c r="AA231" s="522">
        <f t="shared" si="75"/>
        <v>0</v>
      </c>
      <c r="AB231" s="51">
        <f t="shared" si="83"/>
        <v>0</v>
      </c>
      <c r="AC231" s="44">
        <f t="shared" si="84"/>
        <v>0</v>
      </c>
      <c r="AD231" s="44">
        <f t="shared" si="85"/>
        <v>0</v>
      </c>
      <c r="AE231" s="44">
        <f t="shared" si="86"/>
        <v>0</v>
      </c>
      <c r="AF231" s="52" t="e">
        <f>HLOOKUP(I231,ElecAvoidedCostsWOCC!$A$5:$Q$50,G231+1,FALSE)</f>
        <v>#N/A</v>
      </c>
      <c r="AG231" s="44" t="e">
        <f t="shared" si="87"/>
        <v>#N/A</v>
      </c>
      <c r="AH231" s="52" t="e">
        <f>HLOOKUP(I231,ElecAvoidedCostsWOCC!$A$5:$Q$50,T231+1,FALSE)</f>
        <v>#N/A</v>
      </c>
      <c r="AI231" s="44" t="e">
        <f t="shared" si="88"/>
        <v>#N/A</v>
      </c>
      <c r="AJ231" s="44" t="e">
        <f t="shared" si="89"/>
        <v>#N/A</v>
      </c>
      <c r="AK231" s="44" t="e">
        <f>HLOOKUP(I231,ElecAvoidedCostsWOCC!$A$5:$Q$50,G231+1,FALSE)*J231*L231</f>
        <v>#N/A</v>
      </c>
      <c r="AL231" s="44" t="e">
        <f t="shared" si="90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1"/>
        <v>0</v>
      </c>
      <c r="AO231" s="47">
        <f t="shared" si="92"/>
        <v>0</v>
      </c>
      <c r="AP231" s="47" t="e">
        <f t="shared" si="93"/>
        <v>#DIV/0!</v>
      </c>
    </row>
    <row r="232" spans="2:42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76"/>
        <v>0</v>
      </c>
      <c r="U232" s="47">
        <f t="shared" si="77"/>
        <v>0</v>
      </c>
      <c r="V232" s="48">
        <f t="shared" si="78"/>
        <v>0</v>
      </c>
      <c r="W232" s="49">
        <f t="shared" si="79"/>
        <v>0</v>
      </c>
      <c r="X232" s="44">
        <f t="shared" si="80"/>
        <v>0</v>
      </c>
      <c r="Y232" s="44">
        <f t="shared" si="81"/>
        <v>0</v>
      </c>
      <c r="Z232" s="44">
        <f t="shared" si="82"/>
        <v>0</v>
      </c>
      <c r="AA232" s="522">
        <f t="shared" si="75"/>
        <v>0</v>
      </c>
      <c r="AB232" s="51">
        <f t="shared" si="83"/>
        <v>0</v>
      </c>
      <c r="AC232" s="44">
        <f t="shared" si="84"/>
        <v>0</v>
      </c>
      <c r="AD232" s="44">
        <f t="shared" si="85"/>
        <v>0</v>
      </c>
      <c r="AE232" s="44">
        <f t="shared" si="86"/>
        <v>0</v>
      </c>
      <c r="AF232" s="52" t="e">
        <f>HLOOKUP(I232,ElecAvoidedCostsWOCC!$A$5:$Q$50,G232+1,FALSE)</f>
        <v>#N/A</v>
      </c>
      <c r="AG232" s="44" t="e">
        <f t="shared" si="87"/>
        <v>#N/A</v>
      </c>
      <c r="AH232" s="52" t="e">
        <f>HLOOKUP(I232,ElecAvoidedCostsWOCC!$A$5:$Q$50,T232+1,FALSE)</f>
        <v>#N/A</v>
      </c>
      <c r="AI232" s="44" t="e">
        <f t="shared" si="88"/>
        <v>#N/A</v>
      </c>
      <c r="AJ232" s="44" t="e">
        <f t="shared" si="89"/>
        <v>#N/A</v>
      </c>
      <c r="AK232" s="44" t="e">
        <f>HLOOKUP(I232,ElecAvoidedCostsWOCC!$A$5:$Q$50,G232+1,FALSE)*J232*L232</f>
        <v>#N/A</v>
      </c>
      <c r="AL232" s="44" t="e">
        <f t="shared" si="90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1"/>
        <v>0</v>
      </c>
      <c r="AO232" s="47">
        <f t="shared" si="92"/>
        <v>0</v>
      </c>
      <c r="AP232" s="47" t="e">
        <f t="shared" si="93"/>
        <v>#DIV/0!</v>
      </c>
    </row>
  </sheetData>
  <autoFilter ref="B4:AQ232"/>
  <conditionalFormatting sqref="R5:S232">
    <cfRule type="expression" dxfId="324" priority="1">
      <formula>"istext($AB17)"</formula>
    </cfRule>
  </conditionalFormatting>
  <conditionalFormatting sqref="J5:L232">
    <cfRule type="expression" dxfId="323" priority="4">
      <formula>ISTEXT(J5)</formula>
    </cfRule>
    <cfRule type="notContainsBlanks" dxfId="322" priority="5">
      <formula>LEN(TRIM(J5))&gt;0</formula>
    </cfRule>
  </conditionalFormatting>
  <conditionalFormatting sqref="M5:N232 R5:S232">
    <cfRule type="expression" dxfId="321" priority="2">
      <formula>ISTEXT(M5)</formula>
    </cfRule>
  </conditionalFormatting>
  <conditionalFormatting sqref="M5:N232 R5:S232">
    <cfRule type="notContainsBlanks" dxfId="320" priority="3">
      <formula>LEN(TRIM(M5))&gt;0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B9" sqref="B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18230218</v>
      </c>
      <c r="D2" s="20" t="s">
        <v>178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/>
      <c r="C5" s="98">
        <v>18230218</v>
      </c>
      <c r="D5" s="61" t="s">
        <v>178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10978.16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10978.16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10978.16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" priority="4">
      <formula>ISTEXT(J5)</formula>
    </cfRule>
    <cfRule type="notContainsBlanks" dxfId="3" priority="5">
      <formula>LEN(TRIM(J5))&gt;0</formula>
    </cfRule>
  </conditionalFormatting>
  <conditionalFormatting sqref="M5:N24 R5:S24">
    <cfRule type="expression" dxfId="2" priority="2">
      <formula>ISTEXT(M5)</formula>
    </cfRule>
  </conditionalFormatting>
  <conditionalFormatting sqref="M5:N24 R5:S24">
    <cfRule type="notContainsBlanks" dxfId="1" priority="3">
      <formula>LEN(TRIM(M5))&gt;0</formula>
    </cfRule>
  </conditionalFormatting>
  <conditionalFormatting sqref="R5:S24">
    <cfRule type="expression" dxfId="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Q50"/>
  <sheetViews>
    <sheetView workbookViewId="0">
      <selection activeCell="D29" sqref="D29"/>
    </sheetView>
  </sheetViews>
  <sheetFormatPr defaultRowHeight="12.75"/>
  <cols>
    <col min="1" max="1" width="9.140625" style="62"/>
    <col min="2" max="15" width="23.28515625" style="62" customWidth="1"/>
    <col min="16" max="16" width="20.140625" style="62" customWidth="1"/>
    <col min="17" max="17" width="18.7109375" style="62" customWidth="1"/>
    <col min="18" max="16384" width="9.140625" style="62"/>
  </cols>
  <sheetData>
    <row r="1" spans="1:17" ht="15">
      <c r="A1" s="78" t="s">
        <v>288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2"/>
      <c r="Q1" s="72"/>
    </row>
    <row r="2" spans="1:17">
      <c r="A2" s="76"/>
      <c r="B2" s="75" t="s">
        <v>287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2"/>
      <c r="Q2" s="72"/>
    </row>
    <row r="3" spans="1:17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2"/>
    </row>
    <row r="4" spans="1:17" ht="26.25" thickBot="1">
      <c r="A4" s="71" t="s">
        <v>286</v>
      </c>
      <c r="B4" s="70" t="s">
        <v>285</v>
      </c>
      <c r="C4" s="70" t="s">
        <v>284</v>
      </c>
      <c r="D4" s="70" t="s">
        <v>283</v>
      </c>
      <c r="E4" s="70" t="s">
        <v>282</v>
      </c>
      <c r="F4" s="70" t="s">
        <v>281</v>
      </c>
      <c r="G4" s="70" t="s">
        <v>280</v>
      </c>
      <c r="H4" s="70" t="s">
        <v>279</v>
      </c>
      <c r="I4" s="70" t="s">
        <v>278</v>
      </c>
      <c r="J4" s="70" t="s">
        <v>277</v>
      </c>
      <c r="K4" s="70" t="s">
        <v>276</v>
      </c>
      <c r="L4" s="70" t="s">
        <v>275</v>
      </c>
      <c r="M4" s="70" t="s">
        <v>274</v>
      </c>
      <c r="N4" s="70" t="s">
        <v>273</v>
      </c>
      <c r="O4" s="70" t="s">
        <v>272</v>
      </c>
      <c r="P4" s="70" t="s">
        <v>271</v>
      </c>
      <c r="Q4" s="70" t="s">
        <v>270</v>
      </c>
    </row>
    <row r="5" spans="1:17">
      <c r="A5" s="69"/>
      <c r="B5" s="68" t="s">
        <v>269</v>
      </c>
      <c r="C5" s="67" t="s">
        <v>268</v>
      </c>
      <c r="D5" s="67" t="s">
        <v>267</v>
      </c>
      <c r="E5" s="67" t="s">
        <v>266</v>
      </c>
      <c r="F5" s="67" t="s">
        <v>265</v>
      </c>
      <c r="G5" s="67" t="s">
        <v>264</v>
      </c>
      <c r="H5" s="67" t="s">
        <v>263</v>
      </c>
      <c r="I5" s="67" t="s">
        <v>248</v>
      </c>
      <c r="J5" s="67" t="s">
        <v>262</v>
      </c>
      <c r="K5" s="67" t="s">
        <v>261</v>
      </c>
      <c r="L5" s="67" t="s">
        <v>260</v>
      </c>
      <c r="M5" s="67" t="s">
        <v>259</v>
      </c>
      <c r="N5" s="67" t="s">
        <v>258</v>
      </c>
      <c r="O5" s="67" t="s">
        <v>257</v>
      </c>
      <c r="P5" s="67" t="s">
        <v>256</v>
      </c>
      <c r="Q5" s="66" t="s">
        <v>255</v>
      </c>
    </row>
    <row r="6" spans="1:17">
      <c r="A6" s="64">
        <v>1</v>
      </c>
      <c r="B6" s="62">
        <v>0.11346597036450218</v>
      </c>
      <c r="C6" s="62">
        <v>0.11387496675462558</v>
      </c>
      <c r="D6" s="62">
        <v>0.11346597036450218</v>
      </c>
      <c r="E6" s="62">
        <v>0.11387496675462558</v>
      </c>
      <c r="F6" s="62">
        <v>8.3631370621697371E-2</v>
      </c>
      <c r="G6" s="62">
        <v>7.7405164539773114E-2</v>
      </c>
      <c r="H6" s="62">
        <v>8.2316125950390312E-2</v>
      </c>
      <c r="I6" s="62">
        <v>8.6279755452712409E-2</v>
      </c>
      <c r="J6" s="62">
        <v>8.3298552706473628E-2</v>
      </c>
      <c r="K6" s="62">
        <v>0.11299907486110987</v>
      </c>
      <c r="L6" s="62">
        <v>7.622943776213785E-2</v>
      </c>
      <c r="M6" s="62">
        <v>6.3992702615348868E-2</v>
      </c>
      <c r="N6" s="62">
        <v>7.7010130700230536E-2</v>
      </c>
      <c r="O6" s="62">
        <v>8.1625385732676276E-2</v>
      </c>
      <c r="P6" s="62">
        <v>7.9031636554116616E-2</v>
      </c>
      <c r="Q6" s="62">
        <v>7.8527663387552293E-2</v>
      </c>
    </row>
    <row r="7" spans="1:17">
      <c r="A7" s="64">
        <v>2</v>
      </c>
      <c r="B7" s="62">
        <v>0.21937348911677185</v>
      </c>
      <c r="C7" s="62">
        <v>0.22030838198156094</v>
      </c>
      <c r="D7" s="62">
        <v>0.21937348911677185</v>
      </c>
      <c r="E7" s="62">
        <v>0.22030838198156094</v>
      </c>
      <c r="F7" s="62">
        <v>0.16142044515903836</v>
      </c>
      <c r="G7" s="62">
        <v>0.149367174939739</v>
      </c>
      <c r="H7" s="62">
        <v>0.15890451284406654</v>
      </c>
      <c r="I7" s="62">
        <v>0.1666205195275525</v>
      </c>
      <c r="J7" s="62">
        <v>0.16073308155139382</v>
      </c>
      <c r="K7" s="62">
        <v>0.21836706843187448</v>
      </c>
      <c r="L7" s="62">
        <v>0.14708544377165197</v>
      </c>
      <c r="M7" s="62">
        <v>0.12332111952111227</v>
      </c>
      <c r="N7" s="62">
        <v>0.14859945171395519</v>
      </c>
      <c r="O7" s="62">
        <v>0.1574935324526324</v>
      </c>
      <c r="P7" s="62">
        <v>0.15248045289693693</v>
      </c>
      <c r="Q7" s="62">
        <v>0.15137554382629118</v>
      </c>
    </row>
    <row r="8" spans="1:17">
      <c r="A8" s="64">
        <v>3</v>
      </c>
      <c r="B8" s="62">
        <v>0.31843323544299679</v>
      </c>
      <c r="C8" s="62">
        <v>0.31980953960181135</v>
      </c>
      <c r="D8" s="62">
        <v>0.31843323544299679</v>
      </c>
      <c r="E8" s="62">
        <v>0.31980953960181135</v>
      </c>
      <c r="F8" s="62">
        <v>0.2337612554483032</v>
      </c>
      <c r="G8" s="62">
        <v>0.2161772674846652</v>
      </c>
      <c r="H8" s="62">
        <v>0.23010212679371728</v>
      </c>
      <c r="I8" s="62">
        <v>0.24138780440564739</v>
      </c>
      <c r="J8" s="62">
        <v>0.23271044985700728</v>
      </c>
      <c r="K8" s="62">
        <v>0.31684706098619264</v>
      </c>
      <c r="L8" s="62">
        <v>0.21282847571974173</v>
      </c>
      <c r="M8" s="62">
        <v>0.17809103940691265</v>
      </c>
      <c r="N8" s="62">
        <v>0.21501282162971197</v>
      </c>
      <c r="O8" s="62">
        <v>0.22797487781098191</v>
      </c>
      <c r="P8" s="62">
        <v>0.22068555405687484</v>
      </c>
      <c r="Q8" s="62">
        <v>0.21899548458231755</v>
      </c>
    </row>
    <row r="9" spans="1:17">
      <c r="A9" s="64">
        <v>4</v>
      </c>
      <c r="B9" s="62">
        <v>0.4111422795728093</v>
      </c>
      <c r="C9" s="62">
        <v>0.41304045563165137</v>
      </c>
      <c r="D9" s="62">
        <v>0.4111422795728093</v>
      </c>
      <c r="E9" s="62">
        <v>0.41304045563165137</v>
      </c>
      <c r="F9" s="62">
        <v>0.30143949576005902</v>
      </c>
      <c r="G9" s="62">
        <v>0.27872832181966667</v>
      </c>
      <c r="H9" s="62">
        <v>0.29675644721194466</v>
      </c>
      <c r="I9" s="62">
        <v>0.3113864815950908</v>
      </c>
      <c r="J9" s="62">
        <v>0.30008189154577647</v>
      </c>
      <c r="K9" s="62">
        <v>0.40917201342524967</v>
      </c>
      <c r="L9" s="62">
        <v>0.2743813694159819</v>
      </c>
      <c r="M9" s="62">
        <v>0.22937898929244518</v>
      </c>
      <c r="N9" s="62">
        <v>0.27721531501171726</v>
      </c>
      <c r="O9" s="62">
        <v>0.29396008134293522</v>
      </c>
      <c r="P9" s="62">
        <v>0.28454679420867346</v>
      </c>
      <c r="Q9" s="62">
        <v>0.28227359464993806</v>
      </c>
    </row>
    <row r="10" spans="1:17">
      <c r="A10" s="64">
        <v>5</v>
      </c>
      <c r="B10" s="62">
        <v>0.5120569885699936</v>
      </c>
      <c r="C10" s="62">
        <v>0.51447718193978242</v>
      </c>
      <c r="D10" s="62">
        <v>0.5120569885699936</v>
      </c>
      <c r="E10" s="62">
        <v>0.51447718193978242</v>
      </c>
      <c r="F10" s="62">
        <v>0.37856131754674538</v>
      </c>
      <c r="G10" s="62">
        <v>0.35099237831359642</v>
      </c>
      <c r="H10" s="62">
        <v>0.37292142124911032</v>
      </c>
      <c r="I10" s="62">
        <v>0.39072699921335124</v>
      </c>
      <c r="J10" s="62">
        <v>0.37687330752522202</v>
      </c>
      <c r="K10" s="62">
        <v>0.50968749479849773</v>
      </c>
      <c r="L10" s="62">
        <v>0.34568878046554885</v>
      </c>
      <c r="M10" s="62">
        <v>0.29089505927686699</v>
      </c>
      <c r="N10" s="62">
        <v>0.3491057005720789</v>
      </c>
      <c r="O10" s="62">
        <v>0.3694540986241362</v>
      </c>
      <c r="P10" s="62">
        <v>0.35807218478063102</v>
      </c>
      <c r="Q10" s="62">
        <v>0.35517642819497425</v>
      </c>
    </row>
    <row r="11" spans="1:17">
      <c r="A11" s="64">
        <v>6</v>
      </c>
      <c r="B11" s="62">
        <v>0.60976652420599242</v>
      </c>
      <c r="C11" s="62">
        <v>0.61270729802506985</v>
      </c>
      <c r="D11" s="62">
        <v>0.60976652420599242</v>
      </c>
      <c r="E11" s="62">
        <v>0.61270729802506985</v>
      </c>
      <c r="F11" s="62">
        <v>0.45384279930690541</v>
      </c>
      <c r="G11" s="62">
        <v>0.42167853068679217</v>
      </c>
      <c r="H11" s="62">
        <v>0.44730340466758733</v>
      </c>
      <c r="I11" s="62">
        <v>0.46810298835971731</v>
      </c>
      <c r="J11" s="62">
        <v>0.45179220074172122</v>
      </c>
      <c r="K11" s="62">
        <v>0.60680455542630773</v>
      </c>
      <c r="L11" s="62">
        <v>0.41548049467366566</v>
      </c>
      <c r="M11" s="62">
        <v>0.3513877671706257</v>
      </c>
      <c r="N11" s="62">
        <v>0.41944774912254634</v>
      </c>
      <c r="O11" s="62">
        <v>0.4430821939611036</v>
      </c>
      <c r="P11" s="62">
        <v>0.42988163236698351</v>
      </c>
      <c r="Q11" s="62">
        <v>0.42624268212184618</v>
      </c>
    </row>
    <row r="12" spans="1:17">
      <c r="A12" s="64">
        <v>7</v>
      </c>
      <c r="B12" s="62">
        <v>0.7043251165933837</v>
      </c>
      <c r="C12" s="62">
        <v>0.70773035468138679</v>
      </c>
      <c r="D12" s="62">
        <v>0.7043251165933837</v>
      </c>
      <c r="E12" s="62">
        <v>0.70773035468138679</v>
      </c>
      <c r="F12" s="62">
        <v>0.52715961557091651</v>
      </c>
      <c r="G12" s="62">
        <v>0.49059485220801513</v>
      </c>
      <c r="H12" s="62">
        <v>0.51973499802668954</v>
      </c>
      <c r="I12" s="62">
        <v>0.54338401243646561</v>
      </c>
      <c r="J12" s="62">
        <v>0.52471561037132775</v>
      </c>
      <c r="K12" s="62">
        <v>0.70059179485856848</v>
      </c>
      <c r="L12" s="62">
        <v>0.48355313618961449</v>
      </c>
      <c r="M12" s="62">
        <v>0.41056899773065392</v>
      </c>
      <c r="N12" s="62">
        <v>0.48802822233241516</v>
      </c>
      <c r="O12" s="62">
        <v>0.51471879727314174</v>
      </c>
      <c r="P12" s="62">
        <v>0.49980838947667638</v>
      </c>
      <c r="Q12" s="62">
        <v>0.49535790410884928</v>
      </c>
    </row>
    <row r="13" spans="1:17">
      <c r="A13" s="64">
        <v>8</v>
      </c>
      <c r="B13" s="62">
        <v>0.79534095290176876</v>
      </c>
      <c r="C13" s="62">
        <v>0.7992082925538273</v>
      </c>
      <c r="D13" s="62">
        <v>0.79534095290176876</v>
      </c>
      <c r="E13" s="62">
        <v>0.7992082925538273</v>
      </c>
      <c r="F13" s="62">
        <v>0.59800021117913194</v>
      </c>
      <c r="G13" s="62">
        <v>0.55726899070008873</v>
      </c>
      <c r="H13" s="62">
        <v>0.58974843627012963</v>
      </c>
      <c r="I13" s="62">
        <v>0.61612523902310556</v>
      </c>
      <c r="J13" s="62">
        <v>0.59513363232038374</v>
      </c>
      <c r="K13" s="62">
        <v>0.7908078529442224</v>
      </c>
      <c r="L13" s="62">
        <v>0.54943330654964595</v>
      </c>
      <c r="M13" s="62">
        <v>0.46813703387647171</v>
      </c>
      <c r="N13" s="62">
        <v>0.5543711425330069</v>
      </c>
      <c r="O13" s="62">
        <v>0.58391809411479234</v>
      </c>
      <c r="P13" s="62">
        <v>0.56740959348952413</v>
      </c>
      <c r="Q13" s="62">
        <v>0.56211249640298877</v>
      </c>
    </row>
    <row r="14" spans="1:17">
      <c r="A14" s="64">
        <v>9</v>
      </c>
      <c r="B14" s="62">
        <v>0.88672253650987409</v>
      </c>
      <c r="C14" s="62">
        <v>0.89106376899172124</v>
      </c>
      <c r="D14" s="62">
        <v>0.88672253650987409</v>
      </c>
      <c r="E14" s="62">
        <v>0.89106376899172124</v>
      </c>
      <c r="F14" s="62">
        <v>0.67039238128665235</v>
      </c>
      <c r="G14" s="62">
        <v>0.6257563556647765</v>
      </c>
      <c r="H14" s="62">
        <v>0.66137860838277285</v>
      </c>
      <c r="I14" s="62">
        <v>0.69032168448332065</v>
      </c>
      <c r="J14" s="62">
        <v>0.66715157524196678</v>
      </c>
      <c r="K14" s="62">
        <v>0.88147832607293553</v>
      </c>
      <c r="L14" s="62">
        <v>0.61718384746064658</v>
      </c>
      <c r="M14" s="62">
        <v>0.5281697661731829</v>
      </c>
      <c r="N14" s="62">
        <v>0.6225483172653048</v>
      </c>
      <c r="O14" s="62">
        <v>0.65481470397677688</v>
      </c>
      <c r="P14" s="62">
        <v>0.63677272899882087</v>
      </c>
      <c r="Q14" s="62">
        <v>0.63067426586663022</v>
      </c>
    </row>
    <row r="15" spans="1:17">
      <c r="A15" s="64">
        <v>10</v>
      </c>
      <c r="B15" s="62">
        <v>0.97914245877446338</v>
      </c>
      <c r="C15" s="62">
        <v>0.9838493984213923</v>
      </c>
      <c r="D15" s="62">
        <v>0.97914245877446338</v>
      </c>
      <c r="E15" s="62">
        <v>0.9838493984213923</v>
      </c>
      <c r="F15" s="62">
        <v>0.74487332198138856</v>
      </c>
      <c r="G15" s="62">
        <v>0.6965404421505117</v>
      </c>
      <c r="H15" s="62">
        <v>0.73512510012695687</v>
      </c>
      <c r="I15" s="62">
        <v>0.76647885044822628</v>
      </c>
      <c r="J15" s="62">
        <v>0.74127756603433959</v>
      </c>
      <c r="K15" s="62">
        <v>0.97334887994043018</v>
      </c>
      <c r="L15" s="62">
        <v>0.68726615252653023</v>
      </c>
      <c r="M15" s="62">
        <v>0.59096484204288513</v>
      </c>
      <c r="N15" s="62">
        <v>0.69303218561010682</v>
      </c>
      <c r="O15" s="62">
        <v>0.7278724357900942</v>
      </c>
      <c r="P15" s="62">
        <v>0.70839718084543712</v>
      </c>
      <c r="Q15" s="62">
        <v>0.70152531155702258</v>
      </c>
    </row>
    <row r="16" spans="1:17">
      <c r="A16" s="64">
        <v>11</v>
      </c>
      <c r="B16" s="62">
        <v>1.0685556528500126</v>
      </c>
      <c r="C16" s="62">
        <v>1.0736898858027524</v>
      </c>
      <c r="D16" s="62">
        <v>1.0685556528500126</v>
      </c>
      <c r="E16" s="62">
        <v>1.0736898858027524</v>
      </c>
      <c r="F16" s="62">
        <v>0.8172509089581883</v>
      </c>
      <c r="G16" s="62">
        <v>0.76540557817739974</v>
      </c>
      <c r="H16" s="62">
        <v>0.80681766023891099</v>
      </c>
      <c r="I16" s="62">
        <v>0.84047616627897226</v>
      </c>
      <c r="J16" s="62">
        <v>0.81326691865178358</v>
      </c>
      <c r="K16" s="62">
        <v>1.0620406084732614</v>
      </c>
      <c r="L16" s="62">
        <v>0.7554673826096483</v>
      </c>
      <c r="M16" s="62">
        <v>0.65212871094171776</v>
      </c>
      <c r="N16" s="62">
        <v>0.76159758226618912</v>
      </c>
      <c r="O16" s="62">
        <v>0.79881822463794228</v>
      </c>
      <c r="P16" s="62">
        <v>0.7780237387897877</v>
      </c>
      <c r="Q16" s="62">
        <v>0.77028780322599566</v>
      </c>
    </row>
    <row r="17" spans="1:17">
      <c r="A17" s="64">
        <v>12</v>
      </c>
      <c r="B17" s="62">
        <v>1.1537621052924141</v>
      </c>
      <c r="C17" s="62">
        <v>1.1592850537786947</v>
      </c>
      <c r="D17" s="62">
        <v>1.1537621052924141</v>
      </c>
      <c r="E17" s="62">
        <v>1.1592850537786947</v>
      </c>
      <c r="F17" s="62">
        <v>0.88639082630881583</v>
      </c>
      <c r="G17" s="62">
        <v>0.83123172987324878</v>
      </c>
      <c r="H17" s="62">
        <v>0.87531038854853971</v>
      </c>
      <c r="I17" s="65">
        <v>0.91115730059915656</v>
      </c>
      <c r="J17" s="62">
        <v>0.88198561703128164</v>
      </c>
      <c r="K17" s="62">
        <v>1.1463412930553369</v>
      </c>
      <c r="L17" s="62">
        <v>0.82065637928828472</v>
      </c>
      <c r="M17" s="62">
        <v>0.71073706887370403</v>
      </c>
      <c r="N17" s="62">
        <v>0.82713841420343059</v>
      </c>
      <c r="O17" s="62">
        <v>0.86650348716649883</v>
      </c>
      <c r="P17" s="62">
        <v>0.84449631507500578</v>
      </c>
      <c r="Q17" s="62">
        <v>0.835847548595963</v>
      </c>
    </row>
    <row r="18" spans="1:17">
      <c r="A18" s="64">
        <v>13</v>
      </c>
      <c r="B18" s="62">
        <v>1.2355998064547065</v>
      </c>
      <c r="C18" s="62">
        <v>1.2415348311091223</v>
      </c>
      <c r="D18" s="62">
        <v>1.2355998064547065</v>
      </c>
      <c r="E18" s="62">
        <v>1.2415348311091223</v>
      </c>
      <c r="F18" s="62">
        <v>0.95298626106018935</v>
      </c>
      <c r="G18" s="62">
        <v>0.8946789095685046</v>
      </c>
      <c r="H18" s="62">
        <v>0.94128938224089076</v>
      </c>
      <c r="I18" s="62">
        <v>0.97922284710644303</v>
      </c>
      <c r="J18" s="62">
        <v>0.94815052613360395</v>
      </c>
      <c r="K18" s="62">
        <v>1.2271360773669615</v>
      </c>
      <c r="L18" s="62">
        <v>0.8834938236572627</v>
      </c>
      <c r="M18" s="62">
        <v>0.76720832462047284</v>
      </c>
      <c r="N18" s="62">
        <v>0.89029519874474028</v>
      </c>
      <c r="O18" s="62">
        <v>0.93164439687846989</v>
      </c>
      <c r="P18" s="62">
        <v>0.90851002629939792</v>
      </c>
      <c r="Q18" s="62">
        <v>0.89891227810813734</v>
      </c>
    </row>
    <row r="19" spans="1:17">
      <c r="A19" s="64">
        <v>14</v>
      </c>
      <c r="B19" s="62">
        <v>1.3140494518552419</v>
      </c>
      <c r="C19" s="62">
        <v>1.3204252938504277</v>
      </c>
      <c r="D19" s="62">
        <v>1.3140494518552419</v>
      </c>
      <c r="E19" s="62">
        <v>1.3204252938504277</v>
      </c>
      <c r="F19" s="62">
        <v>1.0169996824506593</v>
      </c>
      <c r="G19" s="62">
        <v>0.95571306589158567</v>
      </c>
      <c r="H19" s="62">
        <v>1.0047320133395758</v>
      </c>
      <c r="I19" s="62">
        <v>1.0446510728050395</v>
      </c>
      <c r="J19" s="62">
        <v>1.0117333828377828</v>
      </c>
      <c r="K19" s="62">
        <v>1.3044897362603671</v>
      </c>
      <c r="L19" s="62">
        <v>0.94395804278868956</v>
      </c>
      <c r="M19" s="62">
        <v>0.82164364285029401</v>
      </c>
      <c r="N19" s="62">
        <v>0.95104750547101391</v>
      </c>
      <c r="O19" s="62">
        <v>0.99426126995605024</v>
      </c>
      <c r="P19" s="62">
        <v>0.97006802319197261</v>
      </c>
      <c r="Q19" s="62">
        <v>0.95950544756604983</v>
      </c>
    </row>
    <row r="20" spans="1:17">
      <c r="A20" s="64">
        <v>15</v>
      </c>
      <c r="B20" s="62">
        <v>1.3893373920773078</v>
      </c>
      <c r="C20" s="62">
        <v>1.3961506916040443</v>
      </c>
      <c r="D20" s="62">
        <v>1.3893373920773078</v>
      </c>
      <c r="E20" s="62">
        <v>1.3961506916040443</v>
      </c>
      <c r="F20" s="62">
        <v>1.0786528141421943</v>
      </c>
      <c r="G20" s="62">
        <v>1.0145610536023009</v>
      </c>
      <c r="H20" s="62">
        <v>1.0658531479330287</v>
      </c>
      <c r="I20" s="62">
        <v>1.107650050703576</v>
      </c>
      <c r="J20" s="62">
        <v>1.0729703453104968</v>
      </c>
      <c r="K20" s="62">
        <v>1.3787827893853604</v>
      </c>
      <c r="L20" s="62">
        <v>1.0022793952581226</v>
      </c>
      <c r="M20" s="62">
        <v>0.87434433269888556</v>
      </c>
      <c r="N20" s="62">
        <v>1.0096153045728067</v>
      </c>
      <c r="O20" s="62">
        <v>1.0545904948077327</v>
      </c>
      <c r="P20" s="62">
        <v>1.0293963841416951</v>
      </c>
      <c r="Q20" s="62">
        <v>1.0178775471043147</v>
      </c>
    </row>
    <row r="21" spans="1:17">
      <c r="A21" s="64">
        <v>16</v>
      </c>
      <c r="B21" s="62">
        <v>1.4614179886156067</v>
      </c>
      <c r="C21" s="62">
        <v>1.4685918186277869</v>
      </c>
      <c r="D21" s="62">
        <v>1.4614179886156067</v>
      </c>
      <c r="E21" s="62">
        <v>1.4685918186277869</v>
      </c>
      <c r="F21" s="62">
        <v>1.137956234378382</v>
      </c>
      <c r="G21" s="62">
        <v>1.0712369802660349</v>
      </c>
      <c r="H21" s="62">
        <v>1.1246571706464352</v>
      </c>
      <c r="I21" s="62">
        <v>1.1682097645081346</v>
      </c>
      <c r="J21" s="62">
        <v>1.131854895481861</v>
      </c>
      <c r="K21" s="62">
        <v>1.4500413486881529</v>
      </c>
      <c r="L21" s="62">
        <v>1.0584620545896066</v>
      </c>
      <c r="M21" s="62">
        <v>0.92534614590012765</v>
      </c>
      <c r="N21" s="62">
        <v>1.0660429228808574</v>
      </c>
      <c r="O21" s="62">
        <v>1.1126010938169359</v>
      </c>
      <c r="P21" s="62">
        <v>1.0864945381630928</v>
      </c>
      <c r="Q21" s="62">
        <v>1.0740267761046329</v>
      </c>
    </row>
    <row r="22" spans="1:17">
      <c r="A22" s="64">
        <v>17</v>
      </c>
      <c r="B22" s="62">
        <v>1.5299423057397425</v>
      </c>
      <c r="C22" s="62">
        <v>1.537495349961661</v>
      </c>
      <c r="D22" s="62">
        <v>1.5299423057397425</v>
      </c>
      <c r="E22" s="62">
        <v>1.537495349961661</v>
      </c>
      <c r="F22" s="62">
        <v>1.1942317622594061</v>
      </c>
      <c r="G22" s="62">
        <v>1.1249879119644357</v>
      </c>
      <c r="H22" s="62">
        <v>1.1804635028442583</v>
      </c>
      <c r="I22" s="62">
        <v>1.2257226421199747</v>
      </c>
      <c r="J22" s="62">
        <v>1.1876611088655276</v>
      </c>
      <c r="K22" s="62">
        <v>1.5174137396840446</v>
      </c>
      <c r="L22" s="62">
        <v>1.1117298499840651</v>
      </c>
      <c r="M22" s="62">
        <v>0.97359560731553174</v>
      </c>
      <c r="N22" s="62">
        <v>1.1195274332113125</v>
      </c>
      <c r="O22" s="62">
        <v>1.1675084352039682</v>
      </c>
      <c r="P22" s="62">
        <v>1.1405819519836158</v>
      </c>
      <c r="Q22" s="62">
        <v>1.1270608650777909</v>
      </c>
    </row>
    <row r="23" spans="1:17">
      <c r="A23" s="64">
        <v>18</v>
      </c>
      <c r="B23" s="62">
        <v>1.5960324064820535</v>
      </c>
      <c r="C23" s="62">
        <v>1.6039068652152917</v>
      </c>
      <c r="D23" s="62">
        <v>1.5960324064820535</v>
      </c>
      <c r="E23" s="62">
        <v>1.6039068652152917</v>
      </c>
      <c r="F23" s="62">
        <v>1.2486512648957062</v>
      </c>
      <c r="G23" s="62">
        <v>1.1770068771926026</v>
      </c>
      <c r="H23" s="62">
        <v>1.2344396160468942</v>
      </c>
      <c r="I23" s="62">
        <v>1.2813416948955851</v>
      </c>
      <c r="J23" s="62">
        <v>1.2415764367310531</v>
      </c>
      <c r="K23" s="62">
        <v>1.5822157278927651</v>
      </c>
      <c r="L23" s="62">
        <v>1.1632687857892603</v>
      </c>
      <c r="M23" s="62">
        <v>1.020326989661049</v>
      </c>
      <c r="N23" s="62">
        <v>1.1712658497966799</v>
      </c>
      <c r="O23" s="62">
        <v>1.2205357682002123</v>
      </c>
      <c r="P23" s="62">
        <v>1.1928645855245585</v>
      </c>
      <c r="Q23" s="62">
        <v>1.1782589239640844</v>
      </c>
    </row>
    <row r="24" spans="1:17">
      <c r="A24" s="64">
        <v>19</v>
      </c>
      <c r="B24" s="62">
        <v>1.6621973891935435</v>
      </c>
      <c r="C24" s="62">
        <v>1.6673509897950178</v>
      </c>
      <c r="D24" s="62">
        <v>1.6591828111779963</v>
      </c>
      <c r="E24" s="62">
        <v>1.6673509897950178</v>
      </c>
      <c r="F24" s="62">
        <v>1.3007461798733397</v>
      </c>
      <c r="G24" s="62">
        <v>1.2268166615041292</v>
      </c>
      <c r="H24" s="62">
        <v>1.2861062322843642</v>
      </c>
      <c r="I24" s="62">
        <v>1.3345694838129847</v>
      </c>
      <c r="J24" s="62">
        <v>1.2931570429095793</v>
      </c>
      <c r="K24" s="62">
        <v>1.6439905012568317</v>
      </c>
      <c r="L24" s="62">
        <v>1.2126247477020637</v>
      </c>
      <c r="M24" s="62">
        <v>1.0650934182913792</v>
      </c>
      <c r="N24" s="62">
        <v>1.2208099222050377</v>
      </c>
      <c r="O24" s="62">
        <v>1.2712443780420335</v>
      </c>
      <c r="P24" s="62">
        <v>1.2428875405236686</v>
      </c>
      <c r="Q24" s="62">
        <v>1.2271648613161124</v>
      </c>
    </row>
    <row r="25" spans="1:17">
      <c r="A25" s="64">
        <v>20</v>
      </c>
      <c r="B25" s="62">
        <v>1.727945421646023</v>
      </c>
      <c r="C25" s="62">
        <v>1.7274981440970447</v>
      </c>
      <c r="D25" s="62">
        <v>1.7190157326757642</v>
      </c>
      <c r="E25" s="62">
        <v>1.7274981440970447</v>
      </c>
      <c r="F25" s="62">
        <v>1.3500153127049974</v>
      </c>
      <c r="G25" s="62">
        <v>1.2739012432032253</v>
      </c>
      <c r="H25" s="62">
        <v>1.3349757696485991</v>
      </c>
      <c r="I25" s="62">
        <v>1.3849268187848305</v>
      </c>
      <c r="J25" s="62">
        <v>1.3419578357419619</v>
      </c>
      <c r="K25" s="62">
        <v>1.7025958820263232</v>
      </c>
      <c r="L25" s="62">
        <v>1.2592865625776986</v>
      </c>
      <c r="M25" s="62">
        <v>1.1073323783937479</v>
      </c>
      <c r="N25" s="62">
        <v>1.2676380533923397</v>
      </c>
      <c r="O25" s="62">
        <v>1.3192527795896587</v>
      </c>
      <c r="P25" s="62">
        <v>1.2902164218576104</v>
      </c>
      <c r="Q25" s="62">
        <v>1.2734662051561068</v>
      </c>
    </row>
    <row r="26" spans="1:17">
      <c r="A26" s="64">
        <v>21</v>
      </c>
      <c r="B26" s="62">
        <v>1.7932472678363109</v>
      </c>
      <c r="C26" s="62">
        <v>1.7844093600211435</v>
      </c>
      <c r="D26" s="62">
        <v>1.7756275273657769</v>
      </c>
      <c r="E26" s="62">
        <v>1.7844093600211435</v>
      </c>
      <c r="F26" s="62">
        <v>1.396617566699845</v>
      </c>
      <c r="G26" s="62">
        <v>1.3184323582747222</v>
      </c>
      <c r="H26" s="62">
        <v>1.3811995465223077</v>
      </c>
      <c r="I26" s="62">
        <v>1.4325617153040873</v>
      </c>
      <c r="J26" s="62">
        <v>1.3881106317228553</v>
      </c>
      <c r="K26" s="62">
        <v>1.7580288636243124</v>
      </c>
      <c r="L26" s="62">
        <v>1.3034176331750587</v>
      </c>
      <c r="M26" s="62">
        <v>1.1472730405884133</v>
      </c>
      <c r="N26" s="62">
        <v>1.3119236897496331</v>
      </c>
      <c r="O26" s="62">
        <v>1.3646511220474842</v>
      </c>
      <c r="P26" s="62">
        <v>1.3349742737149062</v>
      </c>
      <c r="Q26" s="62">
        <v>1.3172368807105317</v>
      </c>
    </row>
    <row r="27" spans="1:17">
      <c r="A27" s="64">
        <v>22</v>
      </c>
      <c r="B27" s="62">
        <v>1.8581474236204181</v>
      </c>
      <c r="C27" s="62">
        <v>1.8382468137293575</v>
      </c>
      <c r="D27" s="62">
        <v>1.8291796359163963</v>
      </c>
      <c r="E27" s="62">
        <v>1.8382468137293575</v>
      </c>
      <c r="F27" s="62">
        <v>1.4406838281980758</v>
      </c>
      <c r="G27" s="62">
        <v>1.3605346991686462</v>
      </c>
      <c r="H27" s="62">
        <v>1.4249072776492195</v>
      </c>
      <c r="I27" s="62">
        <v>1.4776080483339165</v>
      </c>
      <c r="J27" s="62">
        <v>1.4317455515209485</v>
      </c>
      <c r="K27" s="62">
        <v>1.810448958819741</v>
      </c>
      <c r="L27" s="62">
        <v>1.3451413731416253</v>
      </c>
      <c r="M27" s="62">
        <v>1.1850259852955183</v>
      </c>
      <c r="N27" s="62">
        <v>1.3537910390001633</v>
      </c>
      <c r="O27" s="62">
        <v>1.4075676105678099</v>
      </c>
      <c r="P27" s="62">
        <v>1.377286986274098</v>
      </c>
      <c r="Q27" s="62">
        <v>1.3586012085910089</v>
      </c>
    </row>
    <row r="28" spans="1:17">
      <c r="A28" s="64">
        <v>23</v>
      </c>
      <c r="B28" s="62">
        <v>1.9226861837244864</v>
      </c>
      <c r="C28" s="62">
        <v>1.8891650491814471</v>
      </c>
      <c r="D28" s="62">
        <v>1.8798259054041622</v>
      </c>
      <c r="E28" s="62">
        <v>1.8891650491814471</v>
      </c>
      <c r="F28" s="62">
        <v>1.4823391502118994</v>
      </c>
      <c r="G28" s="62">
        <v>1.4003274791387623</v>
      </c>
      <c r="H28" s="62">
        <v>1.4662229122851422</v>
      </c>
      <c r="I28" s="62">
        <v>1.5201936907788962</v>
      </c>
      <c r="J28" s="62">
        <v>1.4729869138092859</v>
      </c>
      <c r="K28" s="62">
        <v>1.8600081626509364</v>
      </c>
      <c r="L28" s="62">
        <v>1.3845757918168762</v>
      </c>
      <c r="M28" s="62">
        <v>1.2206971288451205</v>
      </c>
      <c r="N28" s="62">
        <v>1.393358852019656</v>
      </c>
      <c r="O28" s="62">
        <v>1.4481247504956132</v>
      </c>
      <c r="P28" s="62">
        <v>1.4172748908588155</v>
      </c>
      <c r="Q28" s="62">
        <v>1.3976780105483655</v>
      </c>
    </row>
    <row r="29" spans="1:17">
      <c r="A29" s="64">
        <v>24</v>
      </c>
      <c r="B29" s="62">
        <v>1.9868998008258254</v>
      </c>
      <c r="C29" s="62">
        <v>1.9373113078913706</v>
      </c>
      <c r="D29" s="62">
        <v>1.9277129169324159</v>
      </c>
      <c r="E29" s="62">
        <v>1.9373113078913706</v>
      </c>
      <c r="F29" s="62">
        <v>1.521702974916282</v>
      </c>
      <c r="G29" s="62">
        <v>1.4379246337043825</v>
      </c>
      <c r="H29" s="62">
        <v>1.5052648526217638</v>
      </c>
      <c r="I29" s="62">
        <v>1.560440745898839</v>
      </c>
      <c r="J29" s="62">
        <v>1.5119534564556349</v>
      </c>
      <c r="K29" s="62">
        <v>1.9068512770864423</v>
      </c>
      <c r="L29" s="62">
        <v>1.4218336911672664</v>
      </c>
      <c r="M29" s="62">
        <v>1.2543878761648146</v>
      </c>
      <c r="N29" s="62">
        <v>1.4307406232125415</v>
      </c>
      <c r="O29" s="62">
        <v>1.4864395628207754</v>
      </c>
      <c r="P29" s="62">
        <v>1.4550529666330916</v>
      </c>
      <c r="Q29" s="62">
        <v>1.4345808139443847</v>
      </c>
    </row>
    <row r="30" spans="1:17">
      <c r="A30" s="64">
        <v>25</v>
      </c>
      <c r="B30" s="62">
        <v>2.0508206305871441</v>
      </c>
      <c r="C30" s="62">
        <v>1.9828258466868594</v>
      </c>
      <c r="D30" s="62">
        <v>1.9729803013769738</v>
      </c>
      <c r="E30" s="62">
        <v>1.9828258466868594</v>
      </c>
      <c r="F30" s="62">
        <v>1.5588893507196038</v>
      </c>
      <c r="G30" s="62">
        <v>1.4734350179776501</v>
      </c>
      <c r="H30" s="62">
        <v>1.5421461670406742</v>
      </c>
      <c r="I30" s="62">
        <v>1.5984657737000998</v>
      </c>
      <c r="J30" s="62">
        <v>1.5487585523479008</v>
      </c>
      <c r="K30" s="62">
        <v>1.9511162239264295</v>
      </c>
      <c r="L30" s="62">
        <v>1.4570228588668952</v>
      </c>
      <c r="M30" s="62">
        <v>1.2861952723307042</v>
      </c>
      <c r="N30" s="62">
        <v>1.4660447868095086</v>
      </c>
      <c r="O30" s="62">
        <v>1.5226237946017875</v>
      </c>
      <c r="P30" s="62">
        <v>1.4907310428203235</v>
      </c>
      <c r="Q30" s="62">
        <v>1.4694180518248878</v>
      </c>
    </row>
    <row r="31" spans="1:17">
      <c r="A31" s="64">
        <v>26</v>
      </c>
      <c r="B31" s="62">
        <v>2.1144772633650293</v>
      </c>
      <c r="C31" s="62">
        <v>2.025842243707578</v>
      </c>
      <c r="D31" s="62">
        <v>2.0157610434868842</v>
      </c>
      <c r="E31" s="62">
        <v>2.025842243707578</v>
      </c>
      <c r="F31" s="62">
        <v>1.594007143738297</v>
      </c>
      <c r="G31" s="62">
        <v>1.5069625996000928</v>
      </c>
      <c r="H31" s="62">
        <v>1.576974798005965</v>
      </c>
      <c r="I31" s="62">
        <v>1.6343800111658675</v>
      </c>
      <c r="J31" s="62">
        <v>1.5835104196762333</v>
      </c>
      <c r="K31" s="62">
        <v>1.9929343461684659</v>
      </c>
      <c r="L31" s="62">
        <v>1.490246257250015</v>
      </c>
      <c r="M31" s="62">
        <v>1.3162121525376664</v>
      </c>
      <c r="N31" s="62">
        <v>1.499374908827146</v>
      </c>
      <c r="O31" s="62">
        <v>1.5567841241621863</v>
      </c>
      <c r="P31" s="62">
        <v>1.524413996211941</v>
      </c>
      <c r="Q31" s="62">
        <v>1.5022932583578268</v>
      </c>
    </row>
    <row r="32" spans="1:17">
      <c r="A32" s="64">
        <v>27</v>
      </c>
      <c r="B32" s="62">
        <v>2.1778504294704781</v>
      </c>
      <c r="C32" s="62">
        <v>2.0664635827507225</v>
      </c>
      <c r="D32" s="62">
        <v>2.0561576644421331</v>
      </c>
      <c r="E32" s="62">
        <v>2.0664635827507225</v>
      </c>
      <c r="F32" s="62">
        <v>1.6271361333989891</v>
      </c>
      <c r="G32" s="62">
        <v>1.5385825369368069</v>
      </c>
      <c r="H32" s="62">
        <v>1.6098296543042325</v>
      </c>
      <c r="I32" s="62">
        <v>1.6682654760840347</v>
      </c>
      <c r="J32" s="62">
        <v>1.616288216393061</v>
      </c>
      <c r="K32" s="62">
        <v>2.0324065879354389</v>
      </c>
      <c r="L32" s="62">
        <v>1.5215780977672144</v>
      </c>
      <c r="M32" s="62">
        <v>1.3445031799613403</v>
      </c>
      <c r="N32" s="62">
        <v>1.5308057643351602</v>
      </c>
      <c r="O32" s="62">
        <v>1.5889982507618232</v>
      </c>
      <c r="P32" s="62">
        <v>1.5561778336349628</v>
      </c>
      <c r="Q32" s="62">
        <v>1.5332811493032297</v>
      </c>
    </row>
    <row r="33" spans="1:17">
      <c r="A33" s="64">
        <v>28</v>
      </c>
      <c r="B33" s="62">
        <v>2.2409914071323271</v>
      </c>
      <c r="C33" s="62">
        <v>2.1048293275112382</v>
      </c>
      <c r="D33" s="62">
        <v>2.0943090944089144</v>
      </c>
      <c r="E33" s="62">
        <v>2.1048293275112382</v>
      </c>
      <c r="F33" s="62">
        <v>1.6583938033544321</v>
      </c>
      <c r="G33" s="62">
        <v>1.5684079536441227</v>
      </c>
      <c r="H33" s="62">
        <v>1.6408273988044988</v>
      </c>
      <c r="I33" s="62">
        <v>1.7002417656917825</v>
      </c>
      <c r="J33" s="62">
        <v>1.647208830035128</v>
      </c>
      <c r="K33" s="62">
        <v>2.0696703645022954</v>
      </c>
      <c r="L33" s="62">
        <v>1.5511306120456767</v>
      </c>
      <c r="M33" s="62">
        <v>1.3711715824629505</v>
      </c>
      <c r="N33" s="62">
        <v>1.5604501111443221</v>
      </c>
      <c r="O33" s="62">
        <v>1.6193816799091045</v>
      </c>
      <c r="P33" s="62">
        <v>1.5861364705137575</v>
      </c>
      <c r="Q33" s="62">
        <v>1.5624943986480324</v>
      </c>
    </row>
    <row r="34" spans="1:17">
      <c r="A34" s="64">
        <v>29</v>
      </c>
      <c r="B34" s="62">
        <v>2.3039156533582736</v>
      </c>
      <c r="C34" s="62">
        <v>2.141054197583717</v>
      </c>
      <c r="D34" s="62">
        <v>2.1303297485936405</v>
      </c>
      <c r="E34" s="62">
        <v>2.141054197583717</v>
      </c>
      <c r="F34" s="62">
        <v>1.687875568084785</v>
      </c>
      <c r="G34" s="62">
        <v>1.5965305223976181</v>
      </c>
      <c r="H34" s="62">
        <v>1.6700627034497799</v>
      </c>
      <c r="I34" s="62">
        <v>1.730406012823249</v>
      </c>
      <c r="J34" s="62">
        <v>1.6763677186114339</v>
      </c>
      <c r="K34" s="62">
        <v>2.1048403239441691</v>
      </c>
      <c r="L34" s="62">
        <v>1.5789946280960532</v>
      </c>
      <c r="M34" s="62">
        <v>1.3963001715634773</v>
      </c>
      <c r="N34" s="62">
        <v>1.5883995472884491</v>
      </c>
      <c r="O34" s="62">
        <v>1.6480290105209232</v>
      </c>
      <c r="P34" s="62">
        <v>1.6143827577163363</v>
      </c>
      <c r="Q34" s="62">
        <v>1.5900261187057052</v>
      </c>
    </row>
    <row r="35" spans="1:17" ht="13.5" thickBot="1">
      <c r="A35" s="63">
        <v>30</v>
      </c>
      <c r="B35" s="62">
        <v>2.3666688857668672</v>
      </c>
      <c r="C35" s="62">
        <v>2.1752626882935764</v>
      </c>
      <c r="D35" s="62">
        <v>2.1643436258224993</v>
      </c>
      <c r="E35" s="62">
        <v>2.1752626882935764</v>
      </c>
      <c r="F35" s="62">
        <v>1.7156862448291281</v>
      </c>
      <c r="G35" s="62">
        <v>1.6230511470069839</v>
      </c>
      <c r="H35" s="62">
        <v>1.6976396531393543</v>
      </c>
      <c r="I35" s="62">
        <v>1.7588649427872318</v>
      </c>
      <c r="J35" s="62">
        <v>1.7038691005896749</v>
      </c>
      <c r="K35" s="62">
        <v>2.1380389294172497</v>
      </c>
      <c r="L35" s="62">
        <v>1.6052702581437983</v>
      </c>
      <c r="M35" s="62">
        <v>1.4199810111296074</v>
      </c>
      <c r="N35" s="62">
        <v>1.6147546207347183</v>
      </c>
      <c r="O35" s="62">
        <v>1.6750431830611827</v>
      </c>
      <c r="P35" s="62">
        <v>1.6410182524900265</v>
      </c>
      <c r="Q35" s="62">
        <v>1.6159766001539988</v>
      </c>
    </row>
    <row r="36" spans="1:17" ht="13.5" thickBot="1">
      <c r="A36" s="63">
        <v>31</v>
      </c>
      <c r="B36" s="62">
        <v>2.425835607911039</v>
      </c>
      <c r="C36" s="62">
        <v>2.2296442555009159</v>
      </c>
      <c r="D36" s="62">
        <v>2.2184522164680618</v>
      </c>
      <c r="E36" s="62">
        <v>2.2296442555009159</v>
      </c>
      <c r="F36" s="62">
        <v>1.7585784009498564</v>
      </c>
      <c r="G36" s="62">
        <v>1.6636274256821586</v>
      </c>
      <c r="H36" s="62">
        <v>1.7400806444678381</v>
      </c>
      <c r="I36" s="62">
        <v>1.8028365663569126</v>
      </c>
      <c r="J36" s="62">
        <v>1.7464658281044168</v>
      </c>
      <c r="K36" s="62">
        <v>2.1914899026526808</v>
      </c>
      <c r="L36" s="62">
        <v>1.6454020145973933</v>
      </c>
      <c r="M36" s="62">
        <v>1.4554805364078476</v>
      </c>
      <c r="N36" s="62">
        <v>1.6551234862530864</v>
      </c>
      <c r="O36" s="62">
        <v>1.7169192626377123</v>
      </c>
      <c r="P36" s="62">
        <v>1.6820437088022773</v>
      </c>
      <c r="Q36" s="62">
        <v>1.6563760151578488</v>
      </c>
    </row>
    <row r="37" spans="1:17" ht="13.5" thickBot="1">
      <c r="A37" s="63">
        <v>32</v>
      </c>
      <c r="B37" s="62">
        <v>2.486481498108815</v>
      </c>
      <c r="C37" s="62">
        <v>2.285385361888439</v>
      </c>
      <c r="D37" s="62">
        <v>2.2739135218797633</v>
      </c>
      <c r="E37" s="62">
        <v>2.285385361888439</v>
      </c>
      <c r="F37" s="62">
        <v>1.8025428609736027</v>
      </c>
      <c r="G37" s="62">
        <v>1.7052181113242126</v>
      </c>
      <c r="H37" s="62">
        <v>1.783582660579534</v>
      </c>
      <c r="I37" s="62">
        <v>1.8479074805158353</v>
      </c>
      <c r="J37" s="62">
        <v>1.7901274738070272</v>
      </c>
      <c r="K37" s="62">
        <v>2.2462771502189978</v>
      </c>
      <c r="L37" s="62">
        <v>1.6865370649623281</v>
      </c>
      <c r="M37" s="62">
        <v>1.4918675498180438</v>
      </c>
      <c r="N37" s="62">
        <v>1.6965015734094135</v>
      </c>
      <c r="O37" s="62">
        <v>1.7598422442036552</v>
      </c>
      <c r="P37" s="62">
        <v>1.7240948015223343</v>
      </c>
      <c r="Q37" s="62">
        <v>1.6977854155367951</v>
      </c>
    </row>
    <row r="38" spans="1:17" ht="13.5" thickBot="1">
      <c r="A38" s="63">
        <v>33</v>
      </c>
      <c r="B38" s="62">
        <v>2.5486435355615353</v>
      </c>
      <c r="C38" s="62">
        <v>2.3425199959356497</v>
      </c>
      <c r="D38" s="62">
        <v>2.3307613599267571</v>
      </c>
      <c r="E38" s="62">
        <v>2.3425199959356497</v>
      </c>
      <c r="F38" s="62">
        <v>1.8476064324979429</v>
      </c>
      <c r="G38" s="62">
        <v>1.747848564107318</v>
      </c>
      <c r="H38" s="62">
        <v>1.8281722270940224</v>
      </c>
      <c r="I38" s="62">
        <v>1.8941051675287313</v>
      </c>
      <c r="J38" s="62">
        <v>1.8348806606522028</v>
      </c>
      <c r="K38" s="62">
        <v>2.3024340789744726</v>
      </c>
      <c r="L38" s="62">
        <v>1.7287004915863864</v>
      </c>
      <c r="M38" s="62">
        <v>1.5291642385634949</v>
      </c>
      <c r="N38" s="62">
        <v>1.7389141127446488</v>
      </c>
      <c r="O38" s="62">
        <v>1.8038383003087466</v>
      </c>
      <c r="P38" s="62">
        <v>1.7671971715603927</v>
      </c>
      <c r="Q38" s="62">
        <v>1.7402300509252149</v>
      </c>
    </row>
    <row r="39" spans="1:17" ht="13.5" thickBot="1">
      <c r="A39" s="63">
        <v>34</v>
      </c>
      <c r="B39" s="62">
        <v>2.6123596239505735</v>
      </c>
      <c r="C39" s="62">
        <v>2.4010829958340412</v>
      </c>
      <c r="D39" s="62">
        <v>2.389030393924926</v>
      </c>
      <c r="E39" s="62">
        <v>2.4010829958340412</v>
      </c>
      <c r="F39" s="62">
        <v>1.8937965933103915</v>
      </c>
      <c r="G39" s="62">
        <v>1.7915447782100009</v>
      </c>
      <c r="H39" s="62">
        <v>1.8738765327713729</v>
      </c>
      <c r="I39" s="62">
        <v>1.9414577967169495</v>
      </c>
      <c r="J39" s="62">
        <v>1.8807526771685079</v>
      </c>
      <c r="K39" s="62">
        <v>2.3599949309488344</v>
      </c>
      <c r="L39" s="62">
        <v>1.771918003876046</v>
      </c>
      <c r="M39" s="62">
        <v>1.5673933445275823</v>
      </c>
      <c r="N39" s="62">
        <v>1.7823869655632649</v>
      </c>
      <c r="O39" s="62">
        <v>1.8489342578164654</v>
      </c>
      <c r="P39" s="62">
        <v>1.8113771008494024</v>
      </c>
      <c r="Q39" s="62">
        <v>1.7837358021983452</v>
      </c>
    </row>
    <row r="40" spans="1:17" ht="13.5" thickBot="1">
      <c r="A40" s="63">
        <v>35</v>
      </c>
      <c r="B40" s="62">
        <v>2.6776686145493378</v>
      </c>
      <c r="C40" s="62">
        <v>2.4611100707298923</v>
      </c>
      <c r="D40" s="62">
        <v>2.4487561537730493</v>
      </c>
      <c r="E40" s="62">
        <v>2.4611100707298923</v>
      </c>
      <c r="F40" s="62">
        <v>1.9411415081431513</v>
      </c>
      <c r="G40" s="62">
        <v>1.8363333976652509</v>
      </c>
      <c r="H40" s="62">
        <v>1.9207234460906573</v>
      </c>
      <c r="I40" s="62">
        <v>1.9899942416348733</v>
      </c>
      <c r="J40" s="62">
        <v>1.9277714940977206</v>
      </c>
      <c r="K40" s="62">
        <v>2.4189948042225553</v>
      </c>
      <c r="L40" s="62">
        <v>1.8162159539729472</v>
      </c>
      <c r="M40" s="62">
        <v>1.6065781781407718</v>
      </c>
      <c r="N40" s="62">
        <v>1.8269466397023466</v>
      </c>
      <c r="O40" s="62">
        <v>1.8951576142618769</v>
      </c>
      <c r="P40" s="62">
        <v>1.8566615283706374</v>
      </c>
      <c r="Q40" s="62">
        <v>1.8283291972533038</v>
      </c>
    </row>
    <row r="41" spans="1:17" ht="13.5" thickBot="1">
      <c r="A41" s="63">
        <v>36</v>
      </c>
      <c r="B41" s="62">
        <v>2.7446103299130713</v>
      </c>
      <c r="C41" s="62">
        <v>2.5226378224981394</v>
      </c>
      <c r="D41" s="62">
        <v>2.5099750576173756</v>
      </c>
      <c r="E41" s="62">
        <v>2.5226378224981394</v>
      </c>
      <c r="F41" s="62">
        <v>1.9896700458467302</v>
      </c>
      <c r="G41" s="62">
        <v>1.8822417326068823</v>
      </c>
      <c r="H41" s="62">
        <v>1.9687415322429236</v>
      </c>
      <c r="I41" s="62">
        <v>2.039744097675745</v>
      </c>
      <c r="J41" s="62">
        <v>1.9759657814501637</v>
      </c>
      <c r="K41" s="62">
        <v>2.479469674328119</v>
      </c>
      <c r="L41" s="62">
        <v>1.8616213528222709</v>
      </c>
      <c r="M41" s="62">
        <v>1.6467426325942911</v>
      </c>
      <c r="N41" s="62">
        <v>1.8726203056949053</v>
      </c>
      <c r="O41" s="62">
        <v>1.9425365546184239</v>
      </c>
      <c r="P41" s="62">
        <v>1.9030780665799032</v>
      </c>
      <c r="Q41" s="62">
        <v>1.8740374271846363</v>
      </c>
    </row>
    <row r="42" spans="1:17" ht="13.5" thickBot="1">
      <c r="A42" s="63">
        <v>37</v>
      </c>
      <c r="B42" s="62">
        <v>2.8132255881608983</v>
      </c>
      <c r="C42" s="62">
        <v>2.585703768060593</v>
      </c>
      <c r="D42" s="62">
        <v>2.5727244340578102</v>
      </c>
      <c r="E42" s="62">
        <v>2.585703768060593</v>
      </c>
      <c r="F42" s="62">
        <v>2.0394117969928987</v>
      </c>
      <c r="G42" s="62">
        <v>1.9292977759220544</v>
      </c>
      <c r="H42" s="62">
        <v>2.0179600705489968</v>
      </c>
      <c r="I42" s="62">
        <v>2.0907377001176388</v>
      </c>
      <c r="J42" s="62">
        <v>2.0253649259864179</v>
      </c>
      <c r="K42" s="62">
        <v>2.541456416186322</v>
      </c>
      <c r="L42" s="62">
        <v>1.9081618866428276</v>
      </c>
      <c r="M42" s="62">
        <v>1.6879111984091484</v>
      </c>
      <c r="N42" s="62">
        <v>1.919435813337278</v>
      </c>
      <c r="O42" s="62">
        <v>1.9910999684838846</v>
      </c>
      <c r="P42" s="62">
        <v>1.9506550182444007</v>
      </c>
      <c r="Q42" s="62">
        <v>1.9208883628642521</v>
      </c>
    </row>
    <row r="43" spans="1:17" ht="13.5" thickBot="1">
      <c r="A43" s="63">
        <v>38</v>
      </c>
      <c r="B43" s="62">
        <v>2.8835562278649207</v>
      </c>
      <c r="C43" s="62">
        <v>2.6503463622621077</v>
      </c>
      <c r="D43" s="62">
        <v>2.6370425449092556</v>
      </c>
      <c r="E43" s="62">
        <v>2.6503463622621077</v>
      </c>
      <c r="F43" s="62">
        <v>2.0903970919177213</v>
      </c>
      <c r="G43" s="62">
        <v>1.9775302203201057</v>
      </c>
      <c r="H43" s="62">
        <v>2.068409072312722</v>
      </c>
      <c r="I43" s="62">
        <v>2.14300614262058</v>
      </c>
      <c r="J43" s="62">
        <v>2.0759990491360782</v>
      </c>
      <c r="K43" s="62">
        <v>2.6049928265909799</v>
      </c>
      <c r="L43" s="62">
        <v>1.9558659338088984</v>
      </c>
      <c r="M43" s="62">
        <v>1.730108978369377</v>
      </c>
      <c r="N43" s="62">
        <v>1.96742170867071</v>
      </c>
      <c r="O43" s="62">
        <v>2.0408774676959816</v>
      </c>
      <c r="P43" s="62">
        <v>1.9994213937005108</v>
      </c>
      <c r="Q43" s="62">
        <v>1.9689105719358584</v>
      </c>
    </row>
    <row r="44" spans="1:17" ht="13.5" thickBot="1">
      <c r="A44" s="63">
        <v>39</v>
      </c>
      <c r="B44" s="62">
        <v>2.9556451335615437</v>
      </c>
      <c r="C44" s="62">
        <v>2.7166050213186606</v>
      </c>
      <c r="D44" s="62">
        <v>2.7029686085319868</v>
      </c>
      <c r="E44" s="62">
        <v>2.7166050213186606</v>
      </c>
      <c r="F44" s="62">
        <v>2.1426570192156644</v>
      </c>
      <c r="G44" s="62">
        <v>2.0269684758281086</v>
      </c>
      <c r="H44" s="62">
        <v>2.1201192991205402</v>
      </c>
      <c r="I44" s="62">
        <v>2.1965812961860944</v>
      </c>
      <c r="J44" s="62">
        <v>2.1278990253644801</v>
      </c>
      <c r="K44" s="62">
        <v>2.6701176472557542</v>
      </c>
      <c r="L44" s="62">
        <v>2.0047625821541208</v>
      </c>
      <c r="M44" s="62">
        <v>1.7733617028286115</v>
      </c>
      <c r="N44" s="62">
        <v>2.0166072513874775</v>
      </c>
      <c r="O44" s="62">
        <v>2.0918994043883812</v>
      </c>
      <c r="P44" s="62">
        <v>2.0494069285430236</v>
      </c>
      <c r="Q44" s="62">
        <v>2.0181333362342548</v>
      </c>
    </row>
    <row r="45" spans="1:17" ht="13.5" thickBot="1">
      <c r="A45" s="63">
        <v>40</v>
      </c>
      <c r="B45" s="62">
        <v>3.0295362619005823</v>
      </c>
      <c r="C45" s="62">
        <v>2.784520146851627</v>
      </c>
      <c r="D45" s="62">
        <v>2.7705428237452865</v>
      </c>
      <c r="E45" s="62">
        <v>2.784520146851627</v>
      </c>
      <c r="F45" s="62">
        <v>2.1962234446960562</v>
      </c>
      <c r="G45" s="62">
        <v>2.0776426877238112</v>
      </c>
      <c r="H45" s="62">
        <v>2.1731222815985536</v>
      </c>
      <c r="I45" s="62">
        <v>2.2514958285907469</v>
      </c>
      <c r="J45" s="62">
        <v>2.1810965009985921</v>
      </c>
      <c r="K45" s="62">
        <v>2.736870588437148</v>
      </c>
      <c r="L45" s="62">
        <v>2.0548816467079738</v>
      </c>
      <c r="M45" s="62">
        <v>1.8176957453993268</v>
      </c>
      <c r="N45" s="62">
        <v>2.0670224326721645</v>
      </c>
      <c r="O45" s="62">
        <v>2.1441968894980907</v>
      </c>
      <c r="P45" s="62">
        <v>2.1006421017565993</v>
      </c>
      <c r="Q45" s="62">
        <v>2.0685866696401112</v>
      </c>
    </row>
    <row r="46" spans="1:17" ht="13.5" thickBot="1">
      <c r="A46" s="63">
        <v>41</v>
      </c>
      <c r="B46" s="62">
        <v>3.105274668448097</v>
      </c>
      <c r="C46" s="62">
        <v>2.8541331505229177</v>
      </c>
      <c r="D46" s="62">
        <v>2.8398063943389187</v>
      </c>
      <c r="E46" s="62">
        <v>2.8541331505229177</v>
      </c>
      <c r="F46" s="62">
        <v>2.2511290308134577</v>
      </c>
      <c r="G46" s="62">
        <v>2.1295837549169065</v>
      </c>
      <c r="H46" s="62">
        <v>2.2274503386385174</v>
      </c>
      <c r="I46" s="62">
        <v>2.3077832243055156</v>
      </c>
      <c r="J46" s="62">
        <v>2.2356239135235567</v>
      </c>
      <c r="K46" s="62">
        <v>2.8052923531480767</v>
      </c>
      <c r="L46" s="62">
        <v>2.106253687875673</v>
      </c>
      <c r="M46" s="62">
        <v>1.86313813903431</v>
      </c>
      <c r="N46" s="62">
        <v>2.1186979934889685</v>
      </c>
      <c r="O46" s="62">
        <v>2.1978018117355429</v>
      </c>
      <c r="P46" s="62">
        <v>2.153158154300514</v>
      </c>
      <c r="Q46" s="62">
        <v>2.1203013363811141</v>
      </c>
    </row>
    <row r="47" spans="1:17" ht="13.5" thickBot="1">
      <c r="A47" s="63">
        <v>42</v>
      </c>
      <c r="B47" s="62">
        <v>3.1829065351592996</v>
      </c>
      <c r="C47" s="62">
        <v>2.9254864792859907</v>
      </c>
      <c r="D47" s="62">
        <v>2.9108015541973917</v>
      </c>
      <c r="E47" s="62">
        <v>2.9254864792859907</v>
      </c>
      <c r="F47" s="62">
        <v>2.3074072565837942</v>
      </c>
      <c r="G47" s="62">
        <v>2.1828233487898294</v>
      </c>
      <c r="H47" s="62">
        <v>2.2831365971044804</v>
      </c>
      <c r="I47" s="62">
        <v>2.3654778049131537</v>
      </c>
      <c r="J47" s="62">
        <v>2.2915145113616457</v>
      </c>
      <c r="K47" s="62">
        <v>2.8754246619767785</v>
      </c>
      <c r="L47" s="62">
        <v>2.158910030072565</v>
      </c>
      <c r="M47" s="62">
        <v>1.9097165925101678</v>
      </c>
      <c r="N47" s="62">
        <v>2.1716654433261926</v>
      </c>
      <c r="O47" s="62">
        <v>2.2527468570289315</v>
      </c>
      <c r="P47" s="62">
        <v>2.2069871081580268</v>
      </c>
      <c r="Q47" s="62">
        <v>2.1733088697906418</v>
      </c>
    </row>
    <row r="48" spans="1:17" ht="13.5" thickBot="1">
      <c r="A48" s="63">
        <v>43</v>
      </c>
      <c r="B48" s="62">
        <v>3.2624791985382822</v>
      </c>
      <c r="C48" s="62">
        <v>2.9986236412681406</v>
      </c>
      <c r="D48" s="62">
        <v>2.9835715930523263</v>
      </c>
      <c r="E48" s="62">
        <v>2.9986236412681406</v>
      </c>
      <c r="F48" s="62">
        <v>2.3650924379983889</v>
      </c>
      <c r="G48" s="62">
        <v>2.2373939325095753</v>
      </c>
      <c r="H48" s="62">
        <v>2.3402150120320924</v>
      </c>
      <c r="I48" s="62">
        <v>2.4246147500359827</v>
      </c>
      <c r="J48" s="62">
        <v>2.3488023741456869</v>
      </c>
      <c r="K48" s="62">
        <v>2.947310278526198</v>
      </c>
      <c r="L48" s="62">
        <v>2.2128827808243789</v>
      </c>
      <c r="M48" s="62">
        <v>1.957459507322922</v>
      </c>
      <c r="N48" s="62">
        <v>2.2259570794093473</v>
      </c>
      <c r="O48" s="62">
        <v>2.3090655284546546</v>
      </c>
      <c r="P48" s="62">
        <v>2.2621617858619776</v>
      </c>
      <c r="Q48" s="62">
        <v>2.227641591535408</v>
      </c>
    </row>
    <row r="49" spans="1:17" ht="13.5" thickBot="1">
      <c r="A49" s="63">
        <v>44</v>
      </c>
      <c r="B49" s="62">
        <v>3.3440411785017394</v>
      </c>
      <c r="C49" s="62">
        <v>3.0735892322998444</v>
      </c>
      <c r="D49" s="62">
        <v>3.0581608828786346</v>
      </c>
      <c r="E49" s="62">
        <v>3.0735892322998444</v>
      </c>
      <c r="F49" s="62">
        <v>2.4242197489483486</v>
      </c>
      <c r="G49" s="62">
        <v>2.2933287808223146</v>
      </c>
      <c r="H49" s="62">
        <v>2.3987203873328946</v>
      </c>
      <c r="I49" s="62">
        <v>2.4852301187868822</v>
      </c>
      <c r="J49" s="62">
        <v>2.407522433499329</v>
      </c>
      <c r="K49" s="62">
        <v>3.0209930354893531</v>
      </c>
      <c r="L49" s="62">
        <v>2.2682048503449885</v>
      </c>
      <c r="M49" s="62">
        <v>2.0063959950059949</v>
      </c>
      <c r="N49" s="62">
        <v>2.2816060063945809</v>
      </c>
      <c r="O49" s="62">
        <v>2.3667921666660208</v>
      </c>
      <c r="P49" s="62">
        <v>2.3187158305085269</v>
      </c>
      <c r="Q49" s="62">
        <v>2.2833326313237934</v>
      </c>
    </row>
    <row r="50" spans="1:17" ht="13.5" thickBot="1">
      <c r="A50" s="63">
        <v>45</v>
      </c>
      <c r="B50" s="62">
        <v>3.4276422079642828</v>
      </c>
      <c r="C50" s="62">
        <v>3.1504289631073403</v>
      </c>
      <c r="D50" s="62">
        <v>3.1346149049506007</v>
      </c>
      <c r="E50" s="62">
        <v>3.1504289631073403</v>
      </c>
      <c r="F50" s="62">
        <v>2.4848252426720574</v>
      </c>
      <c r="G50" s="62">
        <v>2.3506620003428726</v>
      </c>
      <c r="H50" s="62">
        <v>2.4586883970162168</v>
      </c>
      <c r="I50" s="62">
        <v>2.5473608717565543</v>
      </c>
      <c r="J50" s="62">
        <v>2.4677104943368122</v>
      </c>
      <c r="K50" s="62">
        <v>3.0965178613765869</v>
      </c>
      <c r="L50" s="62">
        <v>2.3249099716036135</v>
      </c>
      <c r="M50" s="62">
        <v>2.0565558948811447</v>
      </c>
      <c r="N50" s="62">
        <v>2.3386461565544456</v>
      </c>
      <c r="O50" s="62">
        <v>2.4259619708326712</v>
      </c>
      <c r="P50" s="62">
        <v>2.3766837262712399</v>
      </c>
      <c r="Q50" s="62">
        <v>2.3404159471068882</v>
      </c>
    </row>
  </sheetData>
  <pageMargins left="0.7" right="0.7" top="0.75" bottom="0.75" header="0.3" footer="0.3"/>
  <pageSetup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50"/>
  <sheetViews>
    <sheetView workbookViewId="0">
      <selection activeCell="C8" sqref="C8"/>
    </sheetView>
  </sheetViews>
  <sheetFormatPr defaultRowHeight="12.75"/>
  <cols>
    <col min="1" max="1" width="9.140625" style="62"/>
    <col min="2" max="2" width="26.5703125" style="62" customWidth="1"/>
    <col min="3" max="7" width="23.42578125" style="62" customWidth="1"/>
    <col min="8" max="16384" width="9.140625" style="62"/>
  </cols>
  <sheetData>
    <row r="1" spans="1:7" ht="15">
      <c r="A1" s="96" t="s">
        <v>296</v>
      </c>
      <c r="B1" s="91"/>
      <c r="C1" s="91"/>
      <c r="D1" s="91"/>
      <c r="E1" s="91"/>
      <c r="F1" s="92"/>
      <c r="G1" s="92"/>
    </row>
    <row r="2" spans="1:7">
      <c r="A2" s="95"/>
      <c r="B2" s="94" t="s">
        <v>295</v>
      </c>
      <c r="C2" s="93"/>
      <c r="D2" s="91"/>
      <c r="E2" s="91"/>
      <c r="F2" s="92"/>
      <c r="G2" s="92"/>
    </row>
    <row r="3" spans="1:7">
      <c r="A3" s="91"/>
      <c r="B3" s="91"/>
      <c r="C3" s="91"/>
      <c r="D3" s="91" t="s">
        <v>294</v>
      </c>
      <c r="E3" s="91"/>
      <c r="F3" s="91" t="s">
        <v>294</v>
      </c>
      <c r="G3" s="91" t="s">
        <v>294</v>
      </c>
    </row>
    <row r="4" spans="1:7" ht="25.5">
      <c r="A4" s="90" t="s">
        <v>286</v>
      </c>
      <c r="B4" s="90" t="s">
        <v>285</v>
      </c>
      <c r="C4" s="90" t="s">
        <v>293</v>
      </c>
      <c r="D4" s="89" t="s">
        <v>292</v>
      </c>
      <c r="E4" s="89" t="s">
        <v>291</v>
      </c>
      <c r="F4" s="89" t="s">
        <v>290</v>
      </c>
      <c r="G4" s="89" t="s">
        <v>289</v>
      </c>
    </row>
    <row r="5" spans="1:7">
      <c r="A5" s="88"/>
      <c r="B5" s="87" t="s">
        <v>269</v>
      </c>
      <c r="C5" s="87" t="s">
        <v>265</v>
      </c>
      <c r="D5" s="87" t="s">
        <v>261</v>
      </c>
      <c r="E5" s="87" t="s">
        <v>258</v>
      </c>
      <c r="F5" s="87" t="s">
        <v>255</v>
      </c>
      <c r="G5" s="87" t="s">
        <v>256</v>
      </c>
    </row>
    <row r="6" spans="1:7">
      <c r="A6" s="85">
        <v>1</v>
      </c>
      <c r="B6" s="86">
        <v>0.87909634590853636</v>
      </c>
      <c r="C6" s="86">
        <v>0.80879994487576856</v>
      </c>
      <c r="D6" s="86">
        <v>0.93782572600582692</v>
      </c>
      <c r="E6" s="86">
        <v>0.8007032017788982</v>
      </c>
      <c r="F6" s="86">
        <v>0.8025600681674252</v>
      </c>
      <c r="G6" s="86">
        <v>0.75279734741565907</v>
      </c>
    </row>
    <row r="7" spans="1:7">
      <c r="A7" s="85">
        <v>2</v>
      </c>
      <c r="B7" s="83">
        <v>1.7063808368356981</v>
      </c>
      <c r="C7" s="83">
        <v>1.5739315627100203</v>
      </c>
      <c r="D7" s="83">
        <v>1.8197642644921905</v>
      </c>
      <c r="E7" s="83">
        <v>1.5581899192486897</v>
      </c>
      <c r="F7" s="83">
        <v>1.5617942619908158</v>
      </c>
      <c r="G7" s="83">
        <v>1.4660852927678054</v>
      </c>
    </row>
    <row r="8" spans="1:7">
      <c r="A8" s="85">
        <v>3</v>
      </c>
      <c r="B8" s="83">
        <v>2.4967345581335034</v>
      </c>
      <c r="C8" s="83">
        <v>2.3114255322367177</v>
      </c>
      <c r="D8" s="83">
        <v>2.6658883639788167</v>
      </c>
      <c r="E8" s="83">
        <v>2.2884448844947785</v>
      </c>
      <c r="F8" s="83">
        <v>2.2937223121429668</v>
      </c>
      <c r="G8" s="83">
        <v>2.1538280272303849</v>
      </c>
    </row>
    <row r="9" spans="1:7">
      <c r="A9" s="85">
        <v>4</v>
      </c>
      <c r="B9" s="83">
        <v>3.2623206345340323</v>
      </c>
      <c r="C9" s="83">
        <v>3.0289543176041711</v>
      </c>
      <c r="D9" s="83">
        <v>3.4832228551029862</v>
      </c>
      <c r="E9" s="83">
        <v>2.9992970552966449</v>
      </c>
      <c r="F9" s="83">
        <v>3.0061022623657823</v>
      </c>
      <c r="G9" s="83">
        <v>2.825087932991202</v>
      </c>
    </row>
    <row r="10" spans="1:7">
      <c r="A10" s="85">
        <v>5</v>
      </c>
      <c r="B10" s="83">
        <v>4.0176254580215796</v>
      </c>
      <c r="C10" s="83">
        <v>3.7400588176123066</v>
      </c>
      <c r="D10" s="83">
        <v>4.2860542828659476</v>
      </c>
      <c r="E10" s="83">
        <v>3.7042048523168711</v>
      </c>
      <c r="F10" s="83">
        <v>3.7123971411743133</v>
      </c>
      <c r="G10" s="83">
        <v>3.4931246605117878</v>
      </c>
    </row>
    <row r="11" spans="1:7">
      <c r="A11" s="85">
        <v>6</v>
      </c>
      <c r="B11" s="83">
        <v>4.7682330222490155</v>
      </c>
      <c r="C11" s="83">
        <v>4.4500175512815057</v>
      </c>
      <c r="D11" s="83">
        <v>5.0803045399237643</v>
      </c>
      <c r="E11" s="83">
        <v>4.4084116659181474</v>
      </c>
      <c r="F11" s="83">
        <v>4.4178577866202948</v>
      </c>
      <c r="G11" s="83">
        <v>4.1629939737757153</v>
      </c>
    </row>
    <row r="12" spans="1:7">
      <c r="A12" s="85">
        <v>7</v>
      </c>
      <c r="B12" s="83">
        <v>5.505926556938963</v>
      </c>
      <c r="C12" s="83">
        <v>5.1503369135818806</v>
      </c>
      <c r="D12" s="83">
        <v>5.8580628482175126</v>
      </c>
      <c r="E12" s="83">
        <v>5.1033918689562139</v>
      </c>
      <c r="F12" s="83">
        <v>5.1139736733164778</v>
      </c>
      <c r="G12" s="83">
        <v>4.8259964174090673</v>
      </c>
    </row>
    <row r="13" spans="1:7">
      <c r="A13" s="85">
        <v>8</v>
      </c>
      <c r="B13" s="83">
        <v>6.2212243440043924</v>
      </c>
      <c r="C13" s="83">
        <v>5.8332019969135853</v>
      </c>
      <c r="D13" s="83">
        <v>6.6137008302155866</v>
      </c>
      <c r="E13" s="83">
        <v>5.7813923585782359</v>
      </c>
      <c r="F13" s="83">
        <v>5.7929936852458477</v>
      </c>
      <c r="G13" s="83">
        <v>5.4724888787307391</v>
      </c>
    </row>
    <row r="14" spans="1:7">
      <c r="A14" s="85">
        <v>9</v>
      </c>
      <c r="B14" s="83">
        <v>6.9107601204758593</v>
      </c>
      <c r="C14" s="83">
        <v>6.4932622834809077</v>
      </c>
      <c r="D14" s="83">
        <v>7.3408128616999075</v>
      </c>
      <c r="E14" s="83">
        <v>6.436925049949811</v>
      </c>
      <c r="F14" s="83">
        <v>6.4494571041992401</v>
      </c>
      <c r="G14" s="83">
        <v>6.0986665540704008</v>
      </c>
    </row>
    <row r="15" spans="1:7">
      <c r="A15" s="85">
        <v>10</v>
      </c>
      <c r="B15" s="83">
        <v>7.5853860432631368</v>
      </c>
      <c r="C15" s="83">
        <v>7.1400454873872068</v>
      </c>
      <c r="D15" s="83">
        <v>8.0513997654936151</v>
      </c>
      <c r="E15" s="83">
        <v>7.0792452083475723</v>
      </c>
      <c r="F15" s="83">
        <v>7.0926897466576637</v>
      </c>
      <c r="G15" s="83">
        <v>6.7137963033615717</v>
      </c>
    </row>
    <row r="16" spans="1:7">
      <c r="A16" s="85">
        <v>11</v>
      </c>
      <c r="B16" s="83">
        <v>8.2477691503723172</v>
      </c>
      <c r="C16" s="83">
        <v>7.7753923101190736</v>
      </c>
      <c r="D16" s="83">
        <v>8.7475563713992077</v>
      </c>
      <c r="E16" s="83">
        <v>7.7104878424291998</v>
      </c>
      <c r="F16" s="83">
        <v>7.724742887417281</v>
      </c>
      <c r="G16" s="83">
        <v>7.3193422206406353</v>
      </c>
    </row>
    <row r="17" spans="1:7">
      <c r="A17" s="85">
        <v>12</v>
      </c>
      <c r="B17" s="83">
        <v>8.8943080778623855</v>
      </c>
      <c r="C17" s="83">
        <v>8.396268999043075</v>
      </c>
      <c r="D17" s="83">
        <v>9.42580007302886</v>
      </c>
      <c r="E17" s="83">
        <v>8.327477491955495</v>
      </c>
      <c r="F17" s="83">
        <v>8.3424875934578129</v>
      </c>
      <c r="G17" s="83">
        <v>7.9122854916731828</v>
      </c>
    </row>
    <row r="18" spans="1:7">
      <c r="A18" s="85">
        <v>13</v>
      </c>
      <c r="B18" s="83">
        <v>9.5263825239287421</v>
      </c>
      <c r="C18" s="83">
        <v>9.0054306682141867</v>
      </c>
      <c r="D18" s="83">
        <v>10.090343105320532</v>
      </c>
      <c r="E18" s="83">
        <v>8.932863553680285</v>
      </c>
      <c r="F18" s="83">
        <v>8.9486059557464035</v>
      </c>
      <c r="G18" s="83">
        <v>8.4942013584975058</v>
      </c>
    </row>
    <row r="19" spans="1:7">
      <c r="A19" s="85">
        <v>14</v>
      </c>
      <c r="B19" s="83">
        <v>10.148208105420661</v>
      </c>
      <c r="C19" s="83">
        <v>9.6059277231229743</v>
      </c>
      <c r="D19" s="83">
        <v>10.74287103382764</v>
      </c>
      <c r="E19" s="83">
        <v>9.5297418053463154</v>
      </c>
      <c r="F19" s="83">
        <v>9.5461836283457391</v>
      </c>
      <c r="G19" s="83">
        <v>9.069217774863688</v>
      </c>
    </row>
    <row r="20" spans="1:7">
      <c r="A20" s="85">
        <v>15</v>
      </c>
      <c r="B20" s="83">
        <v>10.768151117636117</v>
      </c>
      <c r="C20" s="83">
        <v>10.206458422347051</v>
      </c>
      <c r="D20" s="83">
        <v>11.391867070276401</v>
      </c>
      <c r="E20" s="83">
        <v>10.126781237717944</v>
      </c>
      <c r="F20" s="83">
        <v>10.143887193159781</v>
      </c>
      <c r="G20" s="83">
        <v>9.6460139924167869</v>
      </c>
    </row>
    <row r="21" spans="1:7">
      <c r="A21" s="85">
        <v>16</v>
      </c>
      <c r="B21" s="83">
        <v>11.38990139068852</v>
      </c>
      <c r="C21" s="83">
        <v>10.810363613671282</v>
      </c>
      <c r="D21" s="83">
        <v>12.040092488992912</v>
      </c>
      <c r="E21" s="83">
        <v>10.727507988742586</v>
      </c>
      <c r="F21" s="83">
        <v>10.745180160229392</v>
      </c>
      <c r="G21" s="83">
        <v>10.227800638519026</v>
      </c>
    </row>
    <row r="22" spans="1:7">
      <c r="A22" s="85">
        <v>17</v>
      </c>
      <c r="B22" s="83">
        <v>11.998617464479235</v>
      </c>
      <c r="C22" s="83">
        <v>11.400830173370327</v>
      </c>
      <c r="D22" s="83">
        <v>12.674063997420898</v>
      </c>
      <c r="E22" s="83">
        <v>11.314924969014434</v>
      </c>
      <c r="F22" s="83">
        <v>11.333131340368201</v>
      </c>
      <c r="G22" s="83">
        <v>10.79733088347934</v>
      </c>
    </row>
    <row r="23" spans="1:7">
      <c r="A23" s="85">
        <v>18</v>
      </c>
      <c r="B23" s="83">
        <v>12.598768311384578</v>
      </c>
      <c r="C23" s="83">
        <v>11.982404646273636</v>
      </c>
      <c r="D23" s="83">
        <v>13.300641717041833</v>
      </c>
      <c r="E23" s="83">
        <v>11.893360461442162</v>
      </c>
      <c r="F23" s="83">
        <v>11.912097879808208</v>
      </c>
      <c r="G23" s="83">
        <v>11.358092534929881</v>
      </c>
    </row>
    <row r="24" spans="1:7">
      <c r="A24" s="85">
        <v>19</v>
      </c>
      <c r="B24" s="83">
        <v>13.189553259000297</v>
      </c>
      <c r="C24" s="83">
        <v>12.555895686124995</v>
      </c>
      <c r="D24" s="83">
        <v>13.916235501683493</v>
      </c>
      <c r="E24" s="83">
        <v>12.463909459447487</v>
      </c>
      <c r="F24" s="83">
        <v>12.483131400250116</v>
      </c>
      <c r="G24" s="83">
        <v>11.912108830411297</v>
      </c>
    </row>
    <row r="25" spans="1:7">
      <c r="A25" s="85">
        <v>20</v>
      </c>
      <c r="B25" s="83">
        <v>13.765480191058694</v>
      </c>
      <c r="C25" s="83">
        <v>13.114573164368423</v>
      </c>
      <c r="D25" s="83">
        <v>14.515628599783957</v>
      </c>
      <c r="E25" s="83">
        <v>13.019808647625348</v>
      </c>
      <c r="F25" s="83">
        <v>13.039482845378327</v>
      </c>
      <c r="G25" s="83">
        <v>12.452380783934862</v>
      </c>
    </row>
    <row r="26" spans="1:7">
      <c r="A26" s="85">
        <v>21</v>
      </c>
      <c r="B26" s="83">
        <v>14.327308837541789</v>
      </c>
      <c r="C26" s="83">
        <v>13.660260536010043</v>
      </c>
      <c r="D26" s="83">
        <v>15.099602657043096</v>
      </c>
      <c r="E26" s="83">
        <v>13.562867466727571</v>
      </c>
      <c r="F26" s="83">
        <v>13.582957371809792</v>
      </c>
      <c r="G26" s="83">
        <v>12.980844465419775</v>
      </c>
    </row>
    <row r="27" spans="1:7">
      <c r="A27" s="85">
        <v>22</v>
      </c>
      <c r="B27" s="83">
        <v>14.878573460212433</v>
      </c>
      <c r="C27" s="83">
        <v>14.195933410532216</v>
      </c>
      <c r="D27" s="83">
        <v>15.671841820464962</v>
      </c>
      <c r="E27" s="83">
        <v>14.096024063816603</v>
      </c>
      <c r="F27" s="83">
        <v>14.116501675696696</v>
      </c>
      <c r="G27" s="83">
        <v>13.50032054069688</v>
      </c>
    </row>
    <row r="28" spans="1:7">
      <c r="A28" s="85">
        <v>23</v>
      </c>
      <c r="B28" s="83">
        <v>15.419638082513364</v>
      </c>
      <c r="C28" s="83">
        <v>14.722568496784808</v>
      </c>
      <c r="D28" s="83">
        <v>16.234260159296561</v>
      </c>
      <c r="E28" s="83">
        <v>14.620193931046842</v>
      </c>
      <c r="F28" s="83">
        <v>14.641049302572451</v>
      </c>
      <c r="G28" s="83">
        <v>14.011077015272125</v>
      </c>
    </row>
    <row r="29" spans="1:7">
      <c r="A29" s="85">
        <v>24</v>
      </c>
      <c r="B29" s="83">
        <v>15.950852825768843</v>
      </c>
      <c r="C29" s="83">
        <v>15.23980175793282</v>
      </c>
      <c r="D29" s="83">
        <v>16.785698132496019</v>
      </c>
      <c r="E29" s="83">
        <v>15.135064983914102</v>
      </c>
      <c r="F29" s="83">
        <v>15.156272556848696</v>
      </c>
      <c r="G29" s="83">
        <v>14.513373957631339</v>
      </c>
    </row>
    <row r="30" spans="1:7">
      <c r="A30" s="85">
        <v>25</v>
      </c>
      <c r="B30" s="83">
        <v>16.472554524074432</v>
      </c>
      <c r="C30" s="83">
        <v>15.747945536570867</v>
      </c>
      <c r="D30" s="83">
        <v>17.326560987660688</v>
      </c>
      <c r="E30" s="83">
        <v>15.64094349757398</v>
      </c>
      <c r="F30" s="83">
        <v>15.662479368599179</v>
      </c>
      <c r="G30" s="83">
        <v>15.007463737618295</v>
      </c>
    </row>
    <row r="31" spans="1:7">
      <c r="A31" s="85">
        <v>26</v>
      </c>
      <c r="B31" s="83">
        <v>16.985067307841081</v>
      </c>
      <c r="C31" s="83">
        <v>16.247300861059543</v>
      </c>
      <c r="D31" s="83">
        <v>17.857237033766307</v>
      </c>
      <c r="E31" s="83">
        <v>16.138124800262556</v>
      </c>
      <c r="F31" s="83">
        <v>16.159966616035089</v>
      </c>
      <c r="G31" s="83">
        <v>15.493591257491659</v>
      </c>
    </row>
    <row r="32" spans="1:7">
      <c r="A32" s="85">
        <v>27</v>
      </c>
      <c r="B32" s="83">
        <v>17.4887031577709</v>
      </c>
      <c r="C32" s="83">
        <v>16.738157917584633</v>
      </c>
      <c r="D32" s="83">
        <v>18.378098461777469</v>
      </c>
      <c r="E32" s="83">
        <v>16.626893722592598</v>
      </c>
      <c r="F32" s="83">
        <v>16.649020581448205</v>
      </c>
      <c r="G32" s="83">
        <v>15.971994175894034</v>
      </c>
    </row>
    <row r="33" spans="1:7">
      <c r="A33" s="85">
        <v>28</v>
      </c>
      <c r="B33" s="83">
        <v>17.983762430934416</v>
      </c>
      <c r="C33" s="83">
        <v>17.221278808634477</v>
      </c>
      <c r="D33" s="83">
        <v>18.890611262692524</v>
      </c>
      <c r="E33" s="83">
        <v>17.107966397817872</v>
      </c>
      <c r="F33" s="83">
        <v>17.130370936884063</v>
      </c>
      <c r="G33" s="83">
        <v>16.442903124958484</v>
      </c>
    </row>
    <row r="34" spans="1:7">
      <c r="A34" s="85">
        <v>29</v>
      </c>
      <c r="B34" s="83">
        <v>18.470534360518272</v>
      </c>
      <c r="C34" s="83">
        <v>17.696893052875179</v>
      </c>
      <c r="D34" s="83">
        <v>19.395024980027024</v>
      </c>
      <c r="E34" s="83">
        <v>17.581571036784482</v>
      </c>
      <c r="F34" s="83">
        <v>17.604246148677834</v>
      </c>
      <c r="G34" s="83">
        <v>16.906541920770309</v>
      </c>
    </row>
    <row r="35" spans="1:7">
      <c r="A35" s="84">
        <v>30</v>
      </c>
      <c r="B35" s="83">
        <v>18.94929753071774</v>
      </c>
      <c r="C35" s="83">
        <v>18.16522340046145</v>
      </c>
      <c r="D35" s="83">
        <v>19.891581658424165</v>
      </c>
      <c r="E35" s="83">
        <v>18.04792912952508</v>
      </c>
      <c r="F35" s="83">
        <v>18.070867952017871</v>
      </c>
      <c r="G35" s="83">
        <v>17.363127767394488</v>
      </c>
    </row>
    <row r="36" spans="1:7" ht="13.5" thickBot="1">
      <c r="A36" s="82">
        <v>31</v>
      </c>
      <c r="B36" s="81">
        <v>19.423029968985684</v>
      </c>
      <c r="C36" s="81">
        <v>18.619353985472987</v>
      </c>
      <c r="D36" s="81">
        <v>20.388871199884768</v>
      </c>
      <c r="E36" s="81">
        <v>18.499127357763207</v>
      </c>
      <c r="F36" s="81">
        <v>18.522639650818316</v>
      </c>
      <c r="G36" s="81">
        <v>17.797205961579351</v>
      </c>
    </row>
    <row r="37" spans="1:7" ht="13.5" thickBot="1">
      <c r="A37" s="80">
        <v>32</v>
      </c>
      <c r="B37" s="79">
        <v>19.908605718210325</v>
      </c>
      <c r="C37" s="79">
        <v>19.084837835109813</v>
      </c>
      <c r="D37" s="79">
        <v>20.898592979881887</v>
      </c>
      <c r="E37" s="79">
        <v>18.961605541707286</v>
      </c>
      <c r="F37" s="79">
        <v>18.985705642088774</v>
      </c>
      <c r="G37" s="79">
        <v>18.242136110618834</v>
      </c>
    </row>
    <row r="38" spans="1:7" ht="13.5" thickBot="1">
      <c r="A38" s="80">
        <v>33</v>
      </c>
      <c r="B38" s="79">
        <v>20.406320861165582</v>
      </c>
      <c r="C38" s="79">
        <v>19.56195878098756</v>
      </c>
      <c r="D38" s="79">
        <v>21.421057804378933</v>
      </c>
      <c r="E38" s="79">
        <v>19.435645680249969</v>
      </c>
      <c r="F38" s="79">
        <v>19.460348283140995</v>
      </c>
      <c r="G38" s="79">
        <v>18.698189513384303</v>
      </c>
    </row>
    <row r="39" spans="1:7" ht="13.5" thickBot="1">
      <c r="A39" s="80">
        <v>34</v>
      </c>
      <c r="B39" s="79">
        <v>20.916478882694722</v>
      </c>
      <c r="C39" s="79">
        <v>20.051007750512248</v>
      </c>
      <c r="D39" s="79">
        <v>21.956584249488404</v>
      </c>
      <c r="E39" s="79">
        <v>19.921536822256218</v>
      </c>
      <c r="F39" s="79">
        <v>19.946856990219519</v>
      </c>
      <c r="G39" s="79">
        <v>19.165644251218911</v>
      </c>
    </row>
    <row r="40" spans="1:7" ht="13.5" thickBot="1">
      <c r="A40" s="80">
        <v>35</v>
      </c>
      <c r="B40" s="79">
        <v>21.439390854762092</v>
      </c>
      <c r="C40" s="79">
        <v>20.552282944275053</v>
      </c>
      <c r="D40" s="79">
        <v>22.505498855725616</v>
      </c>
      <c r="E40" s="79">
        <v>20.419575242812623</v>
      </c>
      <c r="F40" s="79">
        <v>20.445528414975009</v>
      </c>
      <c r="G40" s="79">
        <v>19.644785357499384</v>
      </c>
    </row>
    <row r="41" spans="1:7" ht="13.5" thickBot="1">
      <c r="A41" s="80">
        <v>36</v>
      </c>
      <c r="B41" s="79">
        <v>21.975375626131143</v>
      </c>
      <c r="C41" s="79">
        <v>21.06609001788193</v>
      </c>
      <c r="D41" s="79">
        <v>23.068136327118758</v>
      </c>
      <c r="E41" s="79">
        <v>20.930064623882938</v>
      </c>
      <c r="F41" s="79">
        <v>20.956666625349385</v>
      </c>
      <c r="G41" s="79">
        <v>20.135904991436867</v>
      </c>
    </row>
    <row r="42" spans="1:7" ht="13.5" thickBot="1">
      <c r="A42" s="80">
        <v>37</v>
      </c>
      <c r="B42" s="79">
        <v>22.524760016784423</v>
      </c>
      <c r="C42" s="79">
        <v>21.592742268328976</v>
      </c>
      <c r="D42" s="79">
        <v>23.644839735296728</v>
      </c>
      <c r="E42" s="79">
        <v>21.45331623948001</v>
      </c>
      <c r="F42" s="79">
        <v>21.48058329098312</v>
      </c>
      <c r="G42" s="79">
        <v>20.639302616222789</v>
      </c>
    </row>
    <row r="43" spans="1:7" ht="13.5" thickBot="1">
      <c r="A43" s="80">
        <v>38</v>
      </c>
      <c r="B43" s="79">
        <v>23.087879017204035</v>
      </c>
      <c r="C43" s="79">
        <v>22.132560825037199</v>
      </c>
      <c r="D43" s="79">
        <v>24.235960728679146</v>
      </c>
      <c r="E43" s="79">
        <v>21.989649145467009</v>
      </c>
      <c r="F43" s="79">
        <v>22.017597873257699</v>
      </c>
      <c r="G43" s="79">
        <v>21.155285181628358</v>
      </c>
    </row>
    <row r="44" spans="1:7" ht="13.5" thickBot="1">
      <c r="A44" s="80">
        <v>39</v>
      </c>
      <c r="B44" s="79">
        <v>23.665075992634137</v>
      </c>
      <c r="C44" s="79">
        <v>22.685874845663129</v>
      </c>
      <c r="D44" s="79">
        <v>24.841859746896123</v>
      </c>
      <c r="E44" s="79">
        <v>22.539390374103686</v>
      </c>
      <c r="F44" s="79">
        <v>22.568037820089142</v>
      </c>
      <c r="G44" s="79">
        <v>21.684167311169066</v>
      </c>
    </row>
    <row r="45" spans="1:7" ht="13.5" thickBot="1">
      <c r="A45" s="80">
        <v>40</v>
      </c>
      <c r="B45" s="79">
        <v>24.25670289244999</v>
      </c>
      <c r="C45" s="79">
        <v>23.253021716804707</v>
      </c>
      <c r="D45" s="79">
        <v>25.462906240568525</v>
      </c>
      <c r="E45" s="79">
        <v>23.102875133456276</v>
      </c>
      <c r="F45" s="79">
        <v>23.132238765591371</v>
      </c>
      <c r="G45" s="79">
        <v>22.226271493948293</v>
      </c>
    </row>
    <row r="46" spans="1:7" ht="13.5" thickBot="1">
      <c r="A46" s="80">
        <v>41</v>
      </c>
      <c r="B46" s="79">
        <v>24.863120464761241</v>
      </c>
      <c r="C46" s="79">
        <v>23.834347259724826</v>
      </c>
      <c r="D46" s="79">
        <v>26.099478896582738</v>
      </c>
      <c r="E46" s="79">
        <v>23.680447011792683</v>
      </c>
      <c r="F46" s="79">
        <v>23.710544734731155</v>
      </c>
      <c r="G46" s="79">
        <v>22.781928281296999</v>
      </c>
    </row>
    <row r="47" spans="1:7" ht="13.5" thickBot="1">
      <c r="A47" s="80">
        <v>42</v>
      </c>
      <c r="B47" s="79">
        <v>25.484698476380274</v>
      </c>
      <c r="C47" s="79">
        <v>24.430205941217945</v>
      </c>
      <c r="D47" s="79">
        <v>26.751965868997306</v>
      </c>
      <c r="E47" s="79">
        <v>24.272458187087501</v>
      </c>
      <c r="F47" s="79">
        <v>24.303308353099432</v>
      </c>
      <c r="G47" s="79">
        <v>23.351476488329425</v>
      </c>
    </row>
    <row r="48" spans="1:7" ht="13.5" thickBot="1">
      <c r="A48" s="80">
        <v>43</v>
      </c>
      <c r="B48" s="79">
        <v>26.121815938289782</v>
      </c>
      <c r="C48" s="79">
        <v>25.040961089748393</v>
      </c>
      <c r="D48" s="79">
        <v>27.420765015722239</v>
      </c>
      <c r="E48" s="79">
        <v>24.87926964176469</v>
      </c>
      <c r="F48" s="79">
        <v>24.910891061926918</v>
      </c>
      <c r="G48" s="79">
        <v>23.935263400537661</v>
      </c>
    </row>
    <row r="49" spans="1:7" ht="13.5" thickBot="1">
      <c r="A49" s="80">
        <v>44</v>
      </c>
      <c r="B49" s="79">
        <v>26.774861336747026</v>
      </c>
      <c r="C49" s="79">
        <v>25.666985116992102</v>
      </c>
      <c r="D49" s="79">
        <v>28.106284141115296</v>
      </c>
      <c r="E49" s="79">
        <v>25.501251382808807</v>
      </c>
      <c r="F49" s="79">
        <v>25.53366333847509</v>
      </c>
      <c r="G49" s="79">
        <v>24.533644985551103</v>
      </c>
    </row>
    <row r="50" spans="1:7" ht="13.5" thickBot="1">
      <c r="A50" s="80">
        <v>45</v>
      </c>
      <c r="B50" s="79">
        <v>27.444232870165703</v>
      </c>
      <c r="C50" s="79">
        <v>26.308659744916906</v>
      </c>
      <c r="D50" s="79">
        <v>28.808941244643179</v>
      </c>
      <c r="E50" s="79">
        <v>26.138782667379026</v>
      </c>
      <c r="F50" s="79">
        <v>26.172004921936967</v>
      </c>
      <c r="G50" s="79">
        <v>25.146986110189879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3399"/>
  </sheetPr>
  <dimension ref="A1:AQ351"/>
  <sheetViews>
    <sheetView zoomScale="85" zoomScaleNormal="85" workbookViewId="0">
      <selection activeCell="A24" sqref="A24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18230440</v>
      </c>
      <c r="D2" s="20" t="s">
        <v>53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100">
        <v>18230440</v>
      </c>
      <c r="D5" s="100" t="s">
        <v>53</v>
      </c>
      <c r="E5" s="38" t="s">
        <v>528</v>
      </c>
      <c r="F5" s="39" t="s">
        <v>529</v>
      </c>
      <c r="G5" s="39">
        <v>15</v>
      </c>
      <c r="H5" s="39"/>
      <c r="I5" s="40" t="s">
        <v>248</v>
      </c>
      <c r="J5" s="41">
        <v>4370</v>
      </c>
      <c r="K5" s="41">
        <v>5.8</v>
      </c>
      <c r="L5" s="41"/>
      <c r="M5" s="42">
        <v>4</v>
      </c>
      <c r="N5" s="42">
        <v>1.29</v>
      </c>
      <c r="O5" s="43">
        <v>25345.999999999902</v>
      </c>
      <c r="P5" s="44">
        <v>17480</v>
      </c>
      <c r="Q5" s="44">
        <v>5637.2999999999602</v>
      </c>
      <c r="R5" s="45">
        <v>0</v>
      </c>
      <c r="S5" s="46">
        <v>0</v>
      </c>
      <c r="T5" s="39">
        <f t="shared" ref="T5:T23" si="0">G5+H5</f>
        <v>15</v>
      </c>
      <c r="U5" s="47">
        <f t="shared" ref="U5:U23" si="1">(O5/$A$10)*T5</f>
        <v>1.4785220987568791E-2</v>
      </c>
      <c r="V5" s="48">
        <f t="shared" ref="V5:V23" si="2">N5-M5</f>
        <v>-2.71</v>
      </c>
      <c r="W5" s="49">
        <f t="shared" ref="W5:W23" si="3">(O5/A$10)</f>
        <v>9.8568139917125266E-4</v>
      </c>
      <c r="X5" s="44">
        <f t="shared" ref="X5:X23" si="4">W5*A$8</f>
        <v>1288.0736770728192</v>
      </c>
      <c r="Y5" s="44">
        <f t="shared" ref="Y5:Y23" si="5">Q5-P5</f>
        <v>-11842.700000000041</v>
      </c>
      <c r="Z5" s="44">
        <f t="shared" ref="Z5:Z23" si="6">X5+(A$6*W5)</f>
        <v>4861.5159159142122</v>
      </c>
      <c r="AA5" s="50">
        <f t="shared" ref="AA5:AA23" si="7">Q5+X5</f>
        <v>6925.3736770727792</v>
      </c>
      <c r="AB5" s="51">
        <f t="shared" ref="AB5:AC20" si="8">Z5/(1+ElecDiscountRate)^1</f>
        <v>4544.747046755363</v>
      </c>
      <c r="AC5" s="44">
        <f t="shared" si="8"/>
        <v>6474.1270235325592</v>
      </c>
      <c r="AD5" s="44">
        <f t="shared" ref="AD5:AD23" si="9">-PV(ElecDiscountRate,T5,R5)*J5</f>
        <v>0</v>
      </c>
      <c r="AE5" s="44">
        <v>0</v>
      </c>
      <c r="AF5" s="52">
        <f>HLOOKUP(I5,ElecAvoidedCostsWOCC!$A$5:$Q$50,G5+1,FALSE)</f>
        <v>1.107650050703576</v>
      </c>
      <c r="AG5" s="44">
        <f t="shared" ref="AG5:AG23" si="10">AF5*J5*K5</f>
        <v>28074.498185132838</v>
      </c>
      <c r="AH5" s="52">
        <f>HLOOKUP(I5,ElecAvoidedCostsWOCC!$A$5:$Q$50,T5+1,FALSE)</f>
        <v>1.107650050703576</v>
      </c>
      <c r="AI5" s="44">
        <f t="shared" ref="AI5:AI23" si="11">AH5*J5*L5</f>
        <v>0</v>
      </c>
      <c r="AJ5" s="44">
        <f>AG5+AI5</f>
        <v>28074.498185132838</v>
      </c>
      <c r="AK5" s="44">
        <f>HLOOKUP(I5,ElecAvoidedCostsWOCC!$A$5:$Q$50,G5+1,FALSE)*J5*L5</f>
        <v>0</v>
      </c>
      <c r="AL5" s="44">
        <f>AG5+AI5-AK5</f>
        <v>28074.498185132838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28074.498185132838</v>
      </c>
      <c r="AN5" s="48">
        <f>AM5*1.1+AD5+AE5</f>
        <v>30881.948003646125</v>
      </c>
      <c r="AO5" s="47">
        <f>IFERROR(AM5/AB5,0)</f>
        <v>6.1773511036606754</v>
      </c>
      <c r="AP5" s="47">
        <f>AN5/AC5</f>
        <v>4.770055930536194</v>
      </c>
      <c r="AQ5">
        <v>2021</v>
      </c>
    </row>
    <row r="6" spans="1:43" ht="13.5" customHeight="1">
      <c r="A6" s="53">
        <f>SUMIF('Program Costs'!D:D,C2,'Program Costs'!L:L)</f>
        <v>3625352.21</v>
      </c>
      <c r="B6" s="97" t="s">
        <v>15</v>
      </c>
      <c r="C6" s="100">
        <v>18230440</v>
      </c>
      <c r="D6" s="100" t="s">
        <v>53</v>
      </c>
      <c r="E6" s="38" t="s">
        <v>530</v>
      </c>
      <c r="F6" s="39" t="s">
        <v>529</v>
      </c>
      <c r="G6" s="39">
        <v>15</v>
      </c>
      <c r="H6" s="39"/>
      <c r="I6" s="40" t="s">
        <v>248</v>
      </c>
      <c r="J6" s="41">
        <v>53517</v>
      </c>
      <c r="K6" s="41">
        <v>5.0999999999999996</v>
      </c>
      <c r="L6" s="41"/>
      <c r="M6" s="42">
        <v>5</v>
      </c>
      <c r="N6" s="42">
        <v>1.29</v>
      </c>
      <c r="O6" s="43">
        <v>272936.70000001002</v>
      </c>
      <c r="P6" s="44">
        <v>267018</v>
      </c>
      <c r="Q6" s="44">
        <v>69036.930000004504</v>
      </c>
      <c r="R6" s="45">
        <v>0</v>
      </c>
      <c r="S6" s="46">
        <v>0</v>
      </c>
      <c r="T6" s="39">
        <f t="shared" si="0"/>
        <v>15</v>
      </c>
      <c r="U6" s="47">
        <f t="shared" si="1"/>
        <v>0.15921365995099543</v>
      </c>
      <c r="V6" s="48">
        <f t="shared" si="2"/>
        <v>-3.71</v>
      </c>
      <c r="W6" s="49">
        <f t="shared" si="3"/>
        <v>1.0614243996733028E-2</v>
      </c>
      <c r="X6" s="44">
        <f t="shared" si="4"/>
        <v>13870.534947413207</v>
      </c>
      <c r="Y6" s="44">
        <f t="shared" si="5"/>
        <v>-197981.0699999955</v>
      </c>
      <c r="Z6" s="44">
        <f t="shared" si="6"/>
        <v>52350.907878448525</v>
      </c>
      <c r="AA6" s="50">
        <f t="shared" si="7"/>
        <v>82907.464947417713</v>
      </c>
      <c r="AB6" s="51">
        <f t="shared" si="8"/>
        <v>48939.803569644311</v>
      </c>
      <c r="AC6" s="44">
        <f t="shared" si="8"/>
        <v>77505.342570269888</v>
      </c>
      <c r="AD6" s="44">
        <f t="shared" si="9"/>
        <v>0</v>
      </c>
      <c r="AE6" s="44">
        <v>0</v>
      </c>
      <c r="AF6" s="52">
        <f>HLOOKUP(I6,ElecAvoidedCostsWOCC!$A$5:$Q$50,G6+1,FALSE)</f>
        <v>1.107650050703576</v>
      </c>
      <c r="AG6" s="44">
        <f t="shared" si="10"/>
        <v>302318.34959386667</v>
      </c>
      <c r="AH6" s="52">
        <f>HLOOKUP(I6,ElecAvoidedCostsWOCC!$A$5:$Q$50,T6+1,FALSE)</f>
        <v>1.107650050703576</v>
      </c>
      <c r="AI6" s="44">
        <f t="shared" si="11"/>
        <v>0</v>
      </c>
      <c r="AJ6" s="44">
        <f t="shared" ref="AJ6:AJ23" si="12">AG6+AI6</f>
        <v>302318.34959386667</v>
      </c>
      <c r="AK6" s="44">
        <f>HLOOKUP(I6,ElecAvoidedCostsWOCC!$A$5:$Q$50,G6+1,FALSE)*J6*L6</f>
        <v>0</v>
      </c>
      <c r="AL6" s="44">
        <f t="shared" ref="AL6:AL23" si="13">AG6+AI6-AK6</f>
        <v>302318.34959386667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302318.34959386667</v>
      </c>
      <c r="AN6" s="48">
        <f t="shared" ref="AN6:AN23" si="14">AM6*1.1+AD6+AE6</f>
        <v>332550.18455325335</v>
      </c>
      <c r="AO6" s="47">
        <f t="shared" ref="AO6:AO23" si="15">IFERROR(AM6/AB6,0)</f>
        <v>6.1773511036604249</v>
      </c>
      <c r="AP6" s="47">
        <f t="shared" ref="AP6:AP23" si="16">AN6/AC6</f>
        <v>4.2906743396656575</v>
      </c>
      <c r="AQ6">
        <v>2021</v>
      </c>
    </row>
    <row r="7" spans="1:43" ht="13.5" customHeight="1">
      <c r="A7" s="36" t="s">
        <v>249</v>
      </c>
      <c r="B7" s="97" t="s">
        <v>15</v>
      </c>
      <c r="C7" s="100">
        <v>18230440</v>
      </c>
      <c r="D7" s="100" t="s">
        <v>53</v>
      </c>
      <c r="E7" s="38" t="s">
        <v>531</v>
      </c>
      <c r="F7" s="39" t="s">
        <v>532</v>
      </c>
      <c r="G7" s="39">
        <v>15</v>
      </c>
      <c r="H7" s="39"/>
      <c r="I7" s="40" t="s">
        <v>248</v>
      </c>
      <c r="J7" s="41">
        <v>2547</v>
      </c>
      <c r="K7" s="41">
        <v>18.5</v>
      </c>
      <c r="L7" s="41"/>
      <c r="M7" s="42">
        <v>5</v>
      </c>
      <c r="N7" s="42">
        <v>2.19</v>
      </c>
      <c r="O7" s="43">
        <v>47119.5</v>
      </c>
      <c r="P7" s="44">
        <v>12735</v>
      </c>
      <c r="Q7" s="44">
        <v>5577.9299999999903</v>
      </c>
      <c r="R7" s="45">
        <v>0</v>
      </c>
      <c r="S7" s="46">
        <v>0</v>
      </c>
      <c r="T7" s="39">
        <f t="shared" si="0"/>
        <v>15</v>
      </c>
      <c r="U7" s="47">
        <f t="shared" si="1"/>
        <v>2.7486475985313275E-2</v>
      </c>
      <c r="V7" s="48">
        <f t="shared" si="2"/>
        <v>-2.81</v>
      </c>
      <c r="W7" s="49">
        <f t="shared" si="3"/>
        <v>1.8324317323542183E-3</v>
      </c>
      <c r="X7" s="44">
        <f t="shared" si="4"/>
        <v>2394.5943196888243</v>
      </c>
      <c r="Y7" s="44">
        <f t="shared" si="5"/>
        <v>-7157.0700000000097</v>
      </c>
      <c r="Z7" s="44">
        <f t="shared" si="6"/>
        <v>9037.8047502533173</v>
      </c>
      <c r="AA7" s="50">
        <f t="shared" si="7"/>
        <v>7972.524319688815</v>
      </c>
      <c r="AB7" s="51">
        <f t="shared" si="8"/>
        <v>8448.9153503349698</v>
      </c>
      <c r="AC7" s="44">
        <f t="shared" si="8"/>
        <v>7453.0469474514484</v>
      </c>
      <c r="AD7" s="44">
        <f t="shared" si="9"/>
        <v>0</v>
      </c>
      <c r="AE7" s="44">
        <v>0</v>
      </c>
      <c r="AF7" s="52">
        <f>HLOOKUP(I7,ElecAvoidedCostsWOCC!$A$5:$Q$50,G7+1,FALSE)</f>
        <v>1.107650050703576</v>
      </c>
      <c r="AG7" s="44">
        <f t="shared" si="10"/>
        <v>52191.916564127147</v>
      </c>
      <c r="AH7" s="52">
        <f>HLOOKUP(I7,ElecAvoidedCostsWOCC!$A$5:$Q$50,T7+1,FALSE)</f>
        <v>1.107650050703576</v>
      </c>
      <c r="AI7" s="44">
        <f t="shared" si="11"/>
        <v>0</v>
      </c>
      <c r="AJ7" s="44">
        <f t="shared" si="12"/>
        <v>52191.916564127147</v>
      </c>
      <c r="AK7" s="44">
        <f>HLOOKUP(I7,ElecAvoidedCostsWOCC!$A$5:$Q$50,G7+1,FALSE)*J7*L7</f>
        <v>0</v>
      </c>
      <c r="AL7" s="44">
        <f t="shared" si="13"/>
        <v>52191.916564127147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52191.916564127154</v>
      </c>
      <c r="AN7" s="48">
        <f t="shared" si="14"/>
        <v>57411.108220539871</v>
      </c>
      <c r="AO7" s="47">
        <f t="shared" si="15"/>
        <v>6.1773511036606523</v>
      </c>
      <c r="AP7" s="47">
        <f t="shared" si="16"/>
        <v>7.7030385861411297</v>
      </c>
      <c r="AQ7">
        <v>2021</v>
      </c>
    </row>
    <row r="8" spans="1:43" ht="13.5" customHeight="1">
      <c r="A8" s="53">
        <f>SUMIF('Program Costs'!D:D,C2,'Program Costs'!O:O)</f>
        <v>1306785.0099999998</v>
      </c>
      <c r="B8" s="97" t="s">
        <v>15</v>
      </c>
      <c r="C8" s="100">
        <v>18230440</v>
      </c>
      <c r="D8" s="100" t="s">
        <v>53</v>
      </c>
      <c r="E8" s="38" t="s">
        <v>533</v>
      </c>
      <c r="F8" s="39" t="s">
        <v>532</v>
      </c>
      <c r="G8" s="39">
        <v>15</v>
      </c>
      <c r="H8" s="39"/>
      <c r="I8" s="40" t="s">
        <v>248</v>
      </c>
      <c r="J8" s="41">
        <v>29944</v>
      </c>
      <c r="K8" s="41">
        <v>16.2</v>
      </c>
      <c r="L8" s="41"/>
      <c r="M8" s="42">
        <v>10</v>
      </c>
      <c r="N8" s="42">
        <v>2.19</v>
      </c>
      <c r="O8" s="43">
        <v>485092.80000000598</v>
      </c>
      <c r="P8" s="44">
        <v>301470</v>
      </c>
      <c r="Q8" s="44">
        <v>65577.36</v>
      </c>
      <c r="R8" s="45">
        <v>0</v>
      </c>
      <c r="S8" s="46">
        <v>0</v>
      </c>
      <c r="T8" s="39">
        <f t="shared" si="0"/>
        <v>15</v>
      </c>
      <c r="U8" s="47">
        <f t="shared" si="1"/>
        <v>0.2829718396385475</v>
      </c>
      <c r="V8" s="48">
        <f t="shared" si="2"/>
        <v>-7.8100000000000005</v>
      </c>
      <c r="W8" s="49">
        <f t="shared" si="3"/>
        <v>1.8864789309236501E-2</v>
      </c>
      <c r="X8" s="44">
        <f t="shared" si="4"/>
        <v>24652.223886118511</v>
      </c>
      <c r="Y8" s="44">
        <f t="shared" si="5"/>
        <v>-235892.64</v>
      </c>
      <c r="Z8" s="44">
        <f t="shared" si="6"/>
        <v>93043.729499543435</v>
      </c>
      <c r="AA8" s="50">
        <f t="shared" si="7"/>
        <v>90229.583886118518</v>
      </c>
      <c r="AB8" s="51">
        <f t="shared" si="8"/>
        <v>86981.143778202691</v>
      </c>
      <c r="AC8" s="44">
        <f t="shared" si="8"/>
        <v>84350.363546899607</v>
      </c>
      <c r="AD8" s="44">
        <f t="shared" si="9"/>
        <v>0</v>
      </c>
      <c r="AE8" s="44">
        <v>0</v>
      </c>
      <c r="AF8" s="52">
        <f>HLOOKUP(I8,ElecAvoidedCostsWOCC!$A$5:$Q$50,G8+1,FALSE)</f>
        <v>1.107650050703576</v>
      </c>
      <c r="AG8" s="44">
        <f t="shared" si="10"/>
        <v>537313.06451593968</v>
      </c>
      <c r="AH8" s="52">
        <f>HLOOKUP(I8,ElecAvoidedCostsWOCC!$A$5:$Q$50,T8+1,FALSE)</f>
        <v>1.107650050703576</v>
      </c>
      <c r="AI8" s="44">
        <f t="shared" si="11"/>
        <v>0</v>
      </c>
      <c r="AJ8" s="44">
        <f t="shared" si="12"/>
        <v>537313.06451593968</v>
      </c>
      <c r="AK8" s="44">
        <f>HLOOKUP(I8,ElecAvoidedCostsWOCC!$A$5:$Q$50,G8+1,FALSE)*J8*L8</f>
        <v>0</v>
      </c>
      <c r="AL8" s="44">
        <f t="shared" si="13"/>
        <v>537313.06451593968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537313.06451593968</v>
      </c>
      <c r="AN8" s="48">
        <f t="shared" si="14"/>
        <v>591044.37096753367</v>
      </c>
      <c r="AO8" s="47">
        <f t="shared" si="15"/>
        <v>6.1773511036605768</v>
      </c>
      <c r="AP8" s="47">
        <f t="shared" si="16"/>
        <v>7.0070162843922699</v>
      </c>
      <c r="AQ8">
        <v>2021</v>
      </c>
    </row>
    <row r="9" spans="1:43" ht="13.5" customHeight="1">
      <c r="A9" s="36" t="s">
        <v>250</v>
      </c>
      <c r="B9" s="97" t="s">
        <v>15</v>
      </c>
      <c r="C9" s="100">
        <v>18230440</v>
      </c>
      <c r="D9" s="100" t="s">
        <v>53</v>
      </c>
      <c r="E9" s="38" t="s">
        <v>534</v>
      </c>
      <c r="F9" s="39" t="s">
        <v>535</v>
      </c>
      <c r="G9" s="39">
        <v>12</v>
      </c>
      <c r="H9" s="39"/>
      <c r="I9" s="40" t="s">
        <v>248</v>
      </c>
      <c r="J9" s="41">
        <v>261</v>
      </c>
      <c r="K9" s="41">
        <v>10.199999999999999</v>
      </c>
      <c r="L9" s="41"/>
      <c r="M9" s="42">
        <v>2.5</v>
      </c>
      <c r="N9" s="42">
        <v>4.12</v>
      </c>
      <c r="O9" s="43">
        <v>2662.2</v>
      </c>
      <c r="P9" s="44">
        <v>652.5</v>
      </c>
      <c r="Q9" s="44">
        <v>1075.32</v>
      </c>
      <c r="R9" s="45">
        <v>0</v>
      </c>
      <c r="S9" s="46">
        <v>0</v>
      </c>
      <c r="T9" s="39">
        <f t="shared" si="0"/>
        <v>12</v>
      </c>
      <c r="U9" s="47">
        <f t="shared" si="1"/>
        <v>1.2423645644474325E-3</v>
      </c>
      <c r="V9" s="48">
        <f t="shared" si="2"/>
        <v>1.62</v>
      </c>
      <c r="W9" s="49">
        <f t="shared" si="3"/>
        <v>1.0353038037061937E-4</v>
      </c>
      <c r="X9" s="44">
        <f t="shared" si="4"/>
        <v>135.29194914792362</v>
      </c>
      <c r="Y9" s="44">
        <f t="shared" si="5"/>
        <v>422.81999999999994</v>
      </c>
      <c r="Z9" s="44">
        <f t="shared" si="6"/>
        <v>510.62604242668914</v>
      </c>
      <c r="AA9" s="50">
        <f t="shared" si="7"/>
        <v>1210.6119491479235</v>
      </c>
      <c r="AB9" s="51">
        <f t="shared" si="8"/>
        <v>477.35443809169777</v>
      </c>
      <c r="AC9" s="44">
        <f t="shared" si="8"/>
        <v>1131.7303441599734</v>
      </c>
      <c r="AD9" s="44">
        <f t="shared" si="9"/>
        <v>0</v>
      </c>
      <c r="AE9" s="44">
        <f t="shared" ref="AE9:AE23" si="17">-PV(ElecDiscountRate,T9,S9)*J9</f>
        <v>0</v>
      </c>
      <c r="AF9" s="52">
        <f>HLOOKUP(I9,ElecAvoidedCostsWOCC!$A$5:$Q$50,G9+1,FALSE)</f>
        <v>0.91115730059915656</v>
      </c>
      <c r="AG9" s="44">
        <f t="shared" si="10"/>
        <v>2425.6829656550744</v>
      </c>
      <c r="AH9" s="52">
        <f>HLOOKUP(I9,ElecAvoidedCostsWOCC!$A$5:$Q$50,T9+1,FALSE)</f>
        <v>0.91115730059915656</v>
      </c>
      <c r="AI9" s="44">
        <f t="shared" si="11"/>
        <v>0</v>
      </c>
      <c r="AJ9" s="44">
        <f t="shared" si="12"/>
        <v>2425.6829656550744</v>
      </c>
      <c r="AK9" s="44">
        <f>HLOOKUP(I9,ElecAvoidedCostsWOCC!$A$5:$Q$50,G9+1,FALSE)*J9*L9</f>
        <v>0</v>
      </c>
      <c r="AL9" s="44">
        <f t="shared" si="13"/>
        <v>2425.6829656550744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2425.6829656550744</v>
      </c>
      <c r="AN9" s="48">
        <f t="shared" si="14"/>
        <v>2668.2512622205822</v>
      </c>
      <c r="AO9" s="47">
        <f t="shared" si="15"/>
        <v>5.0815133831208055</v>
      </c>
      <c r="AP9" s="47">
        <f t="shared" si="16"/>
        <v>2.3576740484069032</v>
      </c>
      <c r="AQ9">
        <v>2021</v>
      </c>
    </row>
    <row r="10" spans="1:43" ht="13.5" customHeight="1">
      <c r="A10" s="54">
        <f>SUM(O5:O999)</f>
        <v>25714191.239999529</v>
      </c>
      <c r="B10" s="97" t="s">
        <v>15</v>
      </c>
      <c r="C10" s="100">
        <v>18230440</v>
      </c>
      <c r="D10" s="100" t="s">
        <v>53</v>
      </c>
      <c r="E10" s="38" t="s">
        <v>536</v>
      </c>
      <c r="F10" s="39" t="s">
        <v>535</v>
      </c>
      <c r="G10" s="39">
        <v>12</v>
      </c>
      <c r="H10" s="39"/>
      <c r="I10" s="40" t="s">
        <v>248</v>
      </c>
      <c r="J10" s="41">
        <v>2282</v>
      </c>
      <c r="K10" s="41">
        <v>9</v>
      </c>
      <c r="L10" s="41"/>
      <c r="M10" s="42">
        <v>2</v>
      </c>
      <c r="N10" s="42">
        <v>4.12</v>
      </c>
      <c r="O10" s="43">
        <v>20538</v>
      </c>
      <c r="P10" s="44">
        <v>4601</v>
      </c>
      <c r="Q10" s="44">
        <v>9401.8399999999892</v>
      </c>
      <c r="R10" s="45">
        <v>0</v>
      </c>
      <c r="S10" s="46">
        <v>0</v>
      </c>
      <c r="T10" s="39">
        <f t="shared" si="0"/>
        <v>12</v>
      </c>
      <c r="U10" s="47">
        <f t="shared" si="1"/>
        <v>9.5844352132151492E-3</v>
      </c>
      <c r="V10" s="48">
        <f t="shared" si="2"/>
        <v>2.12</v>
      </c>
      <c r="W10" s="49">
        <f t="shared" si="3"/>
        <v>7.9870293443459577E-4</v>
      </c>
      <c r="X10" s="44">
        <f t="shared" si="4"/>
        <v>1043.7330221621423</v>
      </c>
      <c r="Y10" s="44">
        <f t="shared" si="5"/>
        <v>4800.8399999999892</v>
      </c>
      <c r="Z10" s="44">
        <f t="shared" si="6"/>
        <v>3939.3124706480889</v>
      </c>
      <c r="AA10" s="50">
        <f t="shared" si="7"/>
        <v>10445.573022162131</v>
      </c>
      <c r="AB10" s="51">
        <f t="shared" si="8"/>
        <v>3682.6329537702986</v>
      </c>
      <c r="AC10" s="44">
        <f t="shared" si="8"/>
        <v>9764.9556157447223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0.91115730059915656</v>
      </c>
      <c r="AG10" s="44">
        <f t="shared" si="10"/>
        <v>18713.348639705477</v>
      </c>
      <c r="AH10" s="52">
        <f>HLOOKUP(I10,ElecAvoidedCostsWOCC!$A$5:$Q$50,T10+1,FALSE)</f>
        <v>0.91115730059915656</v>
      </c>
      <c r="AI10" s="44">
        <f t="shared" si="11"/>
        <v>0</v>
      </c>
      <c r="AJ10" s="44">
        <f t="shared" si="12"/>
        <v>18713.348639705477</v>
      </c>
      <c r="AK10" s="44">
        <f>HLOOKUP(I10,ElecAvoidedCostsWOCC!$A$5:$Q$50,G10+1,FALSE)*J10*L10</f>
        <v>0</v>
      </c>
      <c r="AL10" s="44">
        <f t="shared" si="13"/>
        <v>18713.348639705477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18713.348639705477</v>
      </c>
      <c r="AN10" s="48">
        <f t="shared" si="14"/>
        <v>20584.683503676028</v>
      </c>
      <c r="AO10" s="47">
        <f t="shared" si="15"/>
        <v>5.0815133831208064</v>
      </c>
      <c r="AP10" s="47">
        <f t="shared" si="16"/>
        <v>2.1080160846287823</v>
      </c>
      <c r="AQ10">
        <v>2021</v>
      </c>
    </row>
    <row r="11" spans="1:43" ht="13.5" customHeight="1">
      <c r="A11" s="36" t="s">
        <v>251</v>
      </c>
      <c r="B11" s="97" t="s">
        <v>15</v>
      </c>
      <c r="C11" s="100">
        <v>18230440</v>
      </c>
      <c r="D11" s="100" t="s">
        <v>53</v>
      </c>
      <c r="E11" s="38" t="s">
        <v>537</v>
      </c>
      <c r="F11" s="39" t="s">
        <v>538</v>
      </c>
      <c r="G11" s="39">
        <v>15</v>
      </c>
      <c r="H11" s="39"/>
      <c r="I11" s="40" t="s">
        <v>248</v>
      </c>
      <c r="J11" s="41">
        <v>522</v>
      </c>
      <c r="K11" s="41">
        <v>2.5</v>
      </c>
      <c r="L11" s="41"/>
      <c r="M11" s="42">
        <v>1.5</v>
      </c>
      <c r="N11" s="42">
        <v>1.1000000000000001</v>
      </c>
      <c r="O11" s="43">
        <v>1305</v>
      </c>
      <c r="P11" s="44">
        <v>783</v>
      </c>
      <c r="Q11" s="44">
        <v>574.20000000000005</v>
      </c>
      <c r="R11" s="45">
        <v>0</v>
      </c>
      <c r="S11" s="46">
        <v>0</v>
      </c>
      <c r="T11" s="39">
        <f t="shared" si="0"/>
        <v>15</v>
      </c>
      <c r="U11" s="47">
        <f t="shared" si="1"/>
        <v>7.6125279684278947E-4</v>
      </c>
      <c r="V11" s="48">
        <f t="shared" si="2"/>
        <v>-0.39999999999999991</v>
      </c>
      <c r="W11" s="49">
        <f t="shared" si="3"/>
        <v>5.0750186456185968E-5</v>
      </c>
      <c r="X11" s="44">
        <f t="shared" si="4"/>
        <v>66.319582915648837</v>
      </c>
      <c r="Y11" s="44">
        <f t="shared" si="5"/>
        <v>-208.79999999999995</v>
      </c>
      <c r="Z11" s="44">
        <f t="shared" si="6"/>
        <v>250.30688354249469</v>
      </c>
      <c r="AA11" s="50">
        <f t="shared" si="7"/>
        <v>640.51958291564893</v>
      </c>
      <c r="AB11" s="51">
        <f t="shared" si="8"/>
        <v>233.99727357436166</v>
      </c>
      <c r="AC11" s="44">
        <f t="shared" si="8"/>
        <v>598.78431608455537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1.107650050703576</v>
      </c>
      <c r="AG11" s="44">
        <f t="shared" si="10"/>
        <v>1445.4833161681668</v>
      </c>
      <c r="AH11" s="52">
        <f>HLOOKUP(I11,ElecAvoidedCostsWOCC!$A$5:$Q$50,T11+1,FALSE)</f>
        <v>1.107650050703576</v>
      </c>
      <c r="AI11" s="44">
        <f t="shared" si="11"/>
        <v>0</v>
      </c>
      <c r="AJ11" s="44">
        <f t="shared" si="12"/>
        <v>1445.4833161681668</v>
      </c>
      <c r="AK11" s="44">
        <f>HLOOKUP(I11,ElecAvoidedCostsWOCC!$A$5:$Q$50,G11+1,FALSE)*J11*L11</f>
        <v>0</v>
      </c>
      <c r="AL11" s="44">
        <f t="shared" si="13"/>
        <v>1445.4833161681668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1445.4833161681668</v>
      </c>
      <c r="AN11" s="48">
        <f t="shared" si="14"/>
        <v>1590.0316477849835</v>
      </c>
      <c r="AO11" s="47">
        <f t="shared" si="15"/>
        <v>6.1773511036606532</v>
      </c>
      <c r="AP11" s="47">
        <f t="shared" si="16"/>
        <v>2.6554330250033678</v>
      </c>
      <c r="AQ11">
        <v>2021</v>
      </c>
    </row>
    <row r="12" spans="1:43" ht="13.5" customHeight="1">
      <c r="A12" s="55">
        <f>SUM(P5:P1000)</f>
        <v>3323248.1599999974</v>
      </c>
      <c r="B12" s="97" t="s">
        <v>15</v>
      </c>
      <c r="C12" s="100">
        <v>18230440</v>
      </c>
      <c r="D12" s="100" t="s">
        <v>53</v>
      </c>
      <c r="E12" s="38" t="s">
        <v>539</v>
      </c>
      <c r="F12" s="39" t="s">
        <v>538</v>
      </c>
      <c r="G12" s="39">
        <v>15</v>
      </c>
      <c r="H12" s="39"/>
      <c r="I12" s="40" t="s">
        <v>248</v>
      </c>
      <c r="J12" s="41">
        <v>17880</v>
      </c>
      <c r="K12" s="41">
        <v>2.2000000000000002</v>
      </c>
      <c r="L12" s="41"/>
      <c r="M12" s="42">
        <v>2.5</v>
      </c>
      <c r="N12" s="42">
        <v>1.1000000000000001</v>
      </c>
      <c r="O12" s="43">
        <v>39336</v>
      </c>
      <c r="P12" s="44">
        <v>35760</v>
      </c>
      <c r="Q12" s="44">
        <v>19668</v>
      </c>
      <c r="R12" s="45">
        <v>0</v>
      </c>
      <c r="S12" s="46">
        <v>0</v>
      </c>
      <c r="T12" s="39">
        <f t="shared" si="0"/>
        <v>15</v>
      </c>
      <c r="U12" s="47">
        <f t="shared" si="1"/>
        <v>2.2946084303914153E-2</v>
      </c>
      <c r="V12" s="48">
        <f t="shared" si="2"/>
        <v>-1.4</v>
      </c>
      <c r="W12" s="49">
        <f t="shared" si="3"/>
        <v>1.5297389535942768E-3</v>
      </c>
      <c r="X12" s="44">
        <f t="shared" si="4"/>
        <v>1999.0399337700862</v>
      </c>
      <c r="Y12" s="44">
        <f t="shared" si="5"/>
        <v>-16092</v>
      </c>
      <c r="Z12" s="44">
        <f t="shared" si="6"/>
        <v>7544.8824299061853</v>
      </c>
      <c r="AA12" s="50">
        <f t="shared" si="7"/>
        <v>21667.039933770087</v>
      </c>
      <c r="AB12" s="51">
        <f t="shared" si="8"/>
        <v>7053.2695427747822</v>
      </c>
      <c r="AC12" s="44">
        <f t="shared" si="8"/>
        <v>20255.249073357096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1.107650050703576</v>
      </c>
      <c r="AG12" s="44">
        <f t="shared" si="10"/>
        <v>43570.522394475869</v>
      </c>
      <c r="AH12" s="52">
        <f>HLOOKUP(I12,ElecAvoidedCostsWOCC!$A$5:$Q$50,T12+1,FALSE)</f>
        <v>1.107650050703576</v>
      </c>
      <c r="AI12" s="44">
        <f t="shared" si="11"/>
        <v>0</v>
      </c>
      <c r="AJ12" s="44">
        <f t="shared" si="12"/>
        <v>43570.522394475869</v>
      </c>
      <c r="AK12" s="44">
        <f>HLOOKUP(I12,ElecAvoidedCostsWOCC!$A$5:$Q$50,G12+1,FALSE)*J12*L12</f>
        <v>0</v>
      </c>
      <c r="AL12" s="44">
        <f t="shared" si="13"/>
        <v>43570.522394475869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43570.522394475869</v>
      </c>
      <c r="AN12" s="48">
        <f t="shared" si="14"/>
        <v>47927.574633923461</v>
      </c>
      <c r="AO12" s="47">
        <f t="shared" si="15"/>
        <v>6.1773511036606532</v>
      </c>
      <c r="AP12" s="47">
        <f t="shared" si="16"/>
        <v>2.3661804631652434</v>
      </c>
      <c r="AQ12">
        <v>2021</v>
      </c>
    </row>
    <row r="13" spans="1:43" ht="13.5" customHeight="1">
      <c r="A13" s="56" t="s">
        <v>252</v>
      </c>
      <c r="B13" s="97" t="s">
        <v>15</v>
      </c>
      <c r="C13" s="100">
        <v>18230440</v>
      </c>
      <c r="D13" s="100" t="s">
        <v>53</v>
      </c>
      <c r="E13" s="38" t="s">
        <v>540</v>
      </c>
      <c r="F13" s="39" t="s">
        <v>541</v>
      </c>
      <c r="G13" s="39">
        <v>12</v>
      </c>
      <c r="H13" s="39"/>
      <c r="I13" s="40" t="s">
        <v>248</v>
      </c>
      <c r="J13" s="41">
        <v>3153</v>
      </c>
      <c r="K13" s="41">
        <v>6.6</v>
      </c>
      <c r="L13" s="41"/>
      <c r="M13" s="42">
        <v>3</v>
      </c>
      <c r="N13" s="42">
        <v>2.87</v>
      </c>
      <c r="O13" s="43">
        <v>20809.8</v>
      </c>
      <c r="P13" s="44">
        <v>9459</v>
      </c>
      <c r="Q13" s="44">
        <v>9049.11</v>
      </c>
      <c r="R13" s="45">
        <v>0</v>
      </c>
      <c r="S13" s="46">
        <v>0</v>
      </c>
      <c r="T13" s="39">
        <f t="shared" si="0"/>
        <v>12</v>
      </c>
      <c r="U13" s="47">
        <f t="shared" si="1"/>
        <v>9.7112756792270237E-3</v>
      </c>
      <c r="V13" s="48">
        <f t="shared" si="2"/>
        <v>-0.12999999999999989</v>
      </c>
      <c r="W13" s="49">
        <f t="shared" si="3"/>
        <v>8.0927297326891857E-4</v>
      </c>
      <c r="X13" s="44">
        <f t="shared" si="4"/>
        <v>1057.5457904659534</v>
      </c>
      <c r="Y13" s="44">
        <f t="shared" si="5"/>
        <v>-409.88999999999942</v>
      </c>
      <c r="Z13" s="44">
        <f t="shared" si="6"/>
        <v>3991.4453525996983</v>
      </c>
      <c r="AA13" s="50">
        <f t="shared" si="7"/>
        <v>10106.655790465953</v>
      </c>
      <c r="AB13" s="51">
        <f t="shared" si="8"/>
        <v>3731.3689376457864</v>
      </c>
      <c r="AC13" s="44">
        <f t="shared" si="8"/>
        <v>9448.1217074562519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0.91115730059915656</v>
      </c>
      <c r="AG13" s="44">
        <f t="shared" si="10"/>
        <v>18961.001194008328</v>
      </c>
      <c r="AH13" s="52">
        <f>HLOOKUP(I13,ElecAvoidedCostsWOCC!$A$5:$Q$50,T13+1,FALSE)</f>
        <v>0.91115730059915656</v>
      </c>
      <c r="AI13" s="44">
        <f t="shared" si="11"/>
        <v>0</v>
      </c>
      <c r="AJ13" s="44">
        <f t="shared" si="12"/>
        <v>18961.001194008328</v>
      </c>
      <c r="AK13" s="44">
        <f>HLOOKUP(I13,ElecAvoidedCostsWOCC!$A$5:$Q$50,G13+1,FALSE)*J13*L13</f>
        <v>0</v>
      </c>
      <c r="AL13" s="44">
        <f t="shared" si="13"/>
        <v>18961.001194008328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18961.001194008328</v>
      </c>
      <c r="AN13" s="48">
        <f t="shared" si="14"/>
        <v>20857.101313409163</v>
      </c>
      <c r="AO13" s="47">
        <f t="shared" si="15"/>
        <v>5.0815133831208055</v>
      </c>
      <c r="AP13" s="47">
        <f t="shared" si="16"/>
        <v>2.2075394410879774</v>
      </c>
      <c r="AQ13">
        <v>2021</v>
      </c>
    </row>
    <row r="14" spans="1:43" ht="13.5" customHeight="1">
      <c r="A14" s="55">
        <f>SUM(Y5:Y1000)</f>
        <v>2806821.7099999543</v>
      </c>
      <c r="B14" s="97" t="s">
        <v>15</v>
      </c>
      <c r="C14" s="100">
        <v>18230440</v>
      </c>
      <c r="D14" s="100" t="s">
        <v>53</v>
      </c>
      <c r="E14" s="38" t="s">
        <v>542</v>
      </c>
      <c r="F14" s="39" t="s">
        <v>541</v>
      </c>
      <c r="G14" s="39">
        <v>12</v>
      </c>
      <c r="H14" s="39"/>
      <c r="I14" s="40" t="s">
        <v>248</v>
      </c>
      <c r="J14" s="41">
        <v>42692</v>
      </c>
      <c r="K14" s="41">
        <v>5.8</v>
      </c>
      <c r="L14" s="41"/>
      <c r="M14" s="42">
        <v>5</v>
      </c>
      <c r="N14" s="42">
        <v>2.87</v>
      </c>
      <c r="O14" s="43">
        <v>247613.6</v>
      </c>
      <c r="P14" s="44">
        <v>213460</v>
      </c>
      <c r="Q14" s="44">
        <v>122526.04</v>
      </c>
      <c r="R14" s="45">
        <v>0</v>
      </c>
      <c r="S14" s="46">
        <v>0</v>
      </c>
      <c r="T14" s="39">
        <f t="shared" si="0"/>
        <v>12</v>
      </c>
      <c r="U14" s="47">
        <f t="shared" si="1"/>
        <v>0.11555343787666622</v>
      </c>
      <c r="V14" s="48">
        <f t="shared" si="2"/>
        <v>-2.13</v>
      </c>
      <c r="W14" s="49">
        <f t="shared" si="3"/>
        <v>9.6294531563888511E-3</v>
      </c>
      <c r="X14" s="44">
        <f t="shared" si="4"/>
        <v>12583.625039266135</v>
      </c>
      <c r="Y14" s="44">
        <f t="shared" si="5"/>
        <v>-90933.96</v>
      </c>
      <c r="Z14" s="44">
        <f t="shared" si="6"/>
        <v>47493.784320871928</v>
      </c>
      <c r="AA14" s="50">
        <f t="shared" si="7"/>
        <v>135109.66503926614</v>
      </c>
      <c r="AB14" s="51">
        <f t="shared" si="8"/>
        <v>44399.162681940659</v>
      </c>
      <c r="AC14" s="44">
        <f t="shared" si="8"/>
        <v>126306.12792303087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0.91115730059915656</v>
      </c>
      <c r="AG14" s="44">
        <f t="shared" si="10"/>
        <v>225614.93936763931</v>
      </c>
      <c r="AH14" s="52">
        <f>HLOOKUP(I14,ElecAvoidedCostsWOCC!$A$5:$Q$50,T14+1,FALSE)</f>
        <v>0.91115730059915656</v>
      </c>
      <c r="AI14" s="44">
        <f t="shared" si="11"/>
        <v>0</v>
      </c>
      <c r="AJ14" s="44">
        <f t="shared" si="12"/>
        <v>225614.93936763931</v>
      </c>
      <c r="AK14" s="44">
        <f>HLOOKUP(I14,ElecAvoidedCostsWOCC!$A$5:$Q$50,G14+1,FALSE)*J14*L14</f>
        <v>0</v>
      </c>
      <c r="AL14" s="44">
        <f t="shared" si="13"/>
        <v>225614.93936763931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225614.93936763931</v>
      </c>
      <c r="AN14" s="48">
        <f t="shared" si="14"/>
        <v>248176.43330440327</v>
      </c>
      <c r="AO14" s="47">
        <f t="shared" si="15"/>
        <v>5.0815133831208055</v>
      </c>
      <c r="AP14" s="47">
        <f t="shared" si="16"/>
        <v>1.9648803853415442</v>
      </c>
      <c r="AQ14">
        <v>2021</v>
      </c>
    </row>
    <row r="15" spans="1:43" ht="13.5" customHeight="1">
      <c r="A15" s="57" t="s">
        <v>253</v>
      </c>
      <c r="B15" s="97" t="s">
        <v>15</v>
      </c>
      <c r="C15" s="100">
        <v>18230440</v>
      </c>
      <c r="D15" s="100" t="s">
        <v>53</v>
      </c>
      <c r="E15" s="38" t="s">
        <v>1836</v>
      </c>
      <c r="F15" s="39" t="s">
        <v>529</v>
      </c>
      <c r="G15" s="39">
        <v>12</v>
      </c>
      <c r="H15" s="39"/>
      <c r="I15" s="40" t="s">
        <v>248</v>
      </c>
      <c r="J15" s="41">
        <v>13079</v>
      </c>
      <c r="K15" s="41">
        <v>18.23</v>
      </c>
      <c r="L15" s="41"/>
      <c r="M15" s="42">
        <v>5</v>
      </c>
      <c r="N15" s="42">
        <v>0</v>
      </c>
      <c r="O15" s="43">
        <v>238430.170000001</v>
      </c>
      <c r="P15" s="44">
        <v>65382.5</v>
      </c>
      <c r="Q15" s="44">
        <v>0</v>
      </c>
      <c r="R15" s="45">
        <v>0</v>
      </c>
      <c r="S15" s="46">
        <v>0</v>
      </c>
      <c r="T15" s="39">
        <f t="shared" si="0"/>
        <v>12</v>
      </c>
      <c r="U15" s="47">
        <f t="shared" si="1"/>
        <v>0.11126782146464523</v>
      </c>
      <c r="V15" s="48">
        <f t="shared" si="2"/>
        <v>-5</v>
      </c>
      <c r="W15" s="49">
        <f t="shared" si="3"/>
        <v>9.2723184553871029E-3</v>
      </c>
      <c r="X15" s="44">
        <f t="shared" si="4"/>
        <v>12116.926765446218</v>
      </c>
      <c r="Y15" s="44">
        <f t="shared" si="5"/>
        <v>-65382.5</v>
      </c>
      <c r="Z15" s="44">
        <f t="shared" si="6"/>
        <v>45732.346969507635</v>
      </c>
      <c r="AA15" s="50">
        <f t="shared" si="7"/>
        <v>12116.926765446218</v>
      </c>
      <c r="AB15" s="51">
        <f t="shared" si="8"/>
        <v>42752.497868100989</v>
      </c>
      <c r="AC15" s="44">
        <f t="shared" si="8"/>
        <v>11327.406530285331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0.91115730059915656</v>
      </c>
      <c r="AG15" s="44">
        <f t="shared" si="10"/>
        <v>217247.39007859802</v>
      </c>
      <c r="AH15" s="52">
        <f>HLOOKUP(I15,ElecAvoidedCostsWOCC!$A$5:$Q$50,T15+1,FALSE)</f>
        <v>0.91115730059915656</v>
      </c>
      <c r="AI15" s="44">
        <f t="shared" si="11"/>
        <v>0</v>
      </c>
      <c r="AJ15" s="44">
        <f t="shared" si="12"/>
        <v>217247.39007859802</v>
      </c>
      <c r="AK15" s="44">
        <f>HLOOKUP(I15,ElecAvoidedCostsWOCC!$A$5:$Q$50,G15+1,FALSE)*J15*L15</f>
        <v>0</v>
      </c>
      <c r="AL15" s="44">
        <f t="shared" si="13"/>
        <v>217247.39007859802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217247.39007859799</v>
      </c>
      <c r="AN15" s="48">
        <f t="shared" si="14"/>
        <v>238972.1290864578</v>
      </c>
      <c r="AO15" s="47">
        <f t="shared" si="15"/>
        <v>5.081513383120785</v>
      </c>
      <c r="AP15" s="47">
        <f t="shared" si="16"/>
        <v>21.096808739717602</v>
      </c>
      <c r="AQ15">
        <v>2020</v>
      </c>
    </row>
    <row r="16" spans="1:43" ht="13.5" customHeight="1">
      <c r="A16" s="54">
        <f>SUM(U5:U999)</f>
        <v>11.290984535743851</v>
      </c>
      <c r="B16" s="97" t="s">
        <v>15</v>
      </c>
      <c r="C16" s="100">
        <v>18230440</v>
      </c>
      <c r="D16" s="100" t="s">
        <v>53</v>
      </c>
      <c r="E16" s="38" t="s">
        <v>528</v>
      </c>
      <c r="F16" s="39" t="s">
        <v>529</v>
      </c>
      <c r="G16" s="39">
        <v>15</v>
      </c>
      <c r="H16" s="39"/>
      <c r="I16" s="40" t="s">
        <v>248</v>
      </c>
      <c r="J16" s="41">
        <v>36281</v>
      </c>
      <c r="K16" s="41">
        <v>5.8</v>
      </c>
      <c r="L16" s="41"/>
      <c r="M16" s="42">
        <v>4</v>
      </c>
      <c r="N16" s="42">
        <v>1.29</v>
      </c>
      <c r="O16" s="43">
        <v>210429.799999999</v>
      </c>
      <c r="P16" s="44">
        <v>142932</v>
      </c>
      <c r="Q16" s="44">
        <v>46802.490000002697</v>
      </c>
      <c r="R16" s="45">
        <v>0</v>
      </c>
      <c r="S16" s="46">
        <v>0</v>
      </c>
      <c r="T16" s="39">
        <f t="shared" si="0"/>
        <v>15</v>
      </c>
      <c r="U16" s="47">
        <f t="shared" si="1"/>
        <v>0.12275116765445829</v>
      </c>
      <c r="V16" s="48">
        <f t="shared" si="2"/>
        <v>-2.71</v>
      </c>
      <c r="W16" s="49">
        <f t="shared" si="3"/>
        <v>8.1834111769638861E-3</v>
      </c>
      <c r="X16" s="44">
        <f t="shared" si="4"/>
        <v>10693.959056722862</v>
      </c>
      <c r="Y16" s="44">
        <f t="shared" si="5"/>
        <v>-96129.509999997303</v>
      </c>
      <c r="Z16" s="44">
        <f t="shared" si="6"/>
        <v>40361.706852467585</v>
      </c>
      <c r="AA16" s="50">
        <f t="shared" si="7"/>
        <v>57496.449056725556</v>
      </c>
      <c r="AB16" s="51">
        <f t="shared" si="8"/>
        <v>37731.800366894997</v>
      </c>
      <c r="AC16" s="44">
        <f t="shared" si="8"/>
        <v>53750.069231303685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1.107650050703576</v>
      </c>
      <c r="AG16" s="44">
        <f t="shared" si="10"/>
        <v>233082.57863954335</v>
      </c>
      <c r="AH16" s="52">
        <f>HLOOKUP(I16,ElecAvoidedCostsWOCC!$A$5:$Q$50,T16+1,FALSE)</f>
        <v>1.107650050703576</v>
      </c>
      <c r="AI16" s="44">
        <f t="shared" si="11"/>
        <v>0</v>
      </c>
      <c r="AJ16" s="44">
        <f t="shared" si="12"/>
        <v>233082.57863954335</v>
      </c>
      <c r="AK16" s="44">
        <f>HLOOKUP(I16,ElecAvoidedCostsWOCC!$A$5:$Q$50,G16+1,FALSE)*J16*L16</f>
        <v>0</v>
      </c>
      <c r="AL16" s="44">
        <f t="shared" si="13"/>
        <v>233082.57863954335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233082.57863954335</v>
      </c>
      <c r="AN16" s="48">
        <f t="shared" si="14"/>
        <v>256390.8365034977</v>
      </c>
      <c r="AO16" s="47">
        <f t="shared" si="15"/>
        <v>6.1773511036606825</v>
      </c>
      <c r="AP16" s="47">
        <f t="shared" si="16"/>
        <v>4.7700559305359436</v>
      </c>
      <c r="AQ16">
        <v>2020</v>
      </c>
    </row>
    <row r="17" spans="1:43" ht="13.5" customHeight="1">
      <c r="A17" s="58" t="s">
        <v>254</v>
      </c>
      <c r="B17" s="97" t="s">
        <v>15</v>
      </c>
      <c r="C17" s="100">
        <v>18230440</v>
      </c>
      <c r="D17" s="100" t="s">
        <v>53</v>
      </c>
      <c r="E17" s="38" t="s">
        <v>531</v>
      </c>
      <c r="F17" s="39" t="s">
        <v>532</v>
      </c>
      <c r="G17" s="39">
        <v>15</v>
      </c>
      <c r="H17" s="39"/>
      <c r="I17" s="40" t="s">
        <v>248</v>
      </c>
      <c r="J17" s="41">
        <v>16074</v>
      </c>
      <c r="K17" s="41">
        <v>18.5</v>
      </c>
      <c r="L17" s="41"/>
      <c r="M17" s="42">
        <v>5</v>
      </c>
      <c r="N17" s="42">
        <v>2.19</v>
      </c>
      <c r="O17" s="43">
        <v>297369</v>
      </c>
      <c r="P17" s="44">
        <v>80370</v>
      </c>
      <c r="Q17" s="44">
        <v>35202.059999999903</v>
      </c>
      <c r="R17" s="45">
        <v>0</v>
      </c>
      <c r="S17" s="46">
        <v>0</v>
      </c>
      <c r="T17" s="39">
        <f t="shared" si="0"/>
        <v>15</v>
      </c>
      <c r="U17" s="47">
        <f t="shared" si="1"/>
        <v>0.17346588731367318</v>
      </c>
      <c r="V17" s="48">
        <f t="shared" si="2"/>
        <v>-2.81</v>
      </c>
      <c r="W17" s="49">
        <f t="shared" si="3"/>
        <v>1.1564392487578212E-2</v>
      </c>
      <c r="X17" s="44">
        <f t="shared" si="4"/>
        <v>15112.174752523815</v>
      </c>
      <c r="Y17" s="44">
        <f t="shared" si="5"/>
        <v>-45167.940000000097</v>
      </c>
      <c r="Z17" s="44">
        <f t="shared" si="6"/>
        <v>57037.170614672883</v>
      </c>
      <c r="AA17" s="50">
        <f t="shared" si="7"/>
        <v>50314.23475252372</v>
      </c>
      <c r="AB17" s="51">
        <f t="shared" si="8"/>
        <v>53320.716663244719</v>
      </c>
      <c r="AC17" s="44">
        <f t="shared" si="8"/>
        <v>47035.836919251858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1.107650050703576</v>
      </c>
      <c r="AG17" s="44">
        <f t="shared" si="10"/>
        <v>329380.78792767174</v>
      </c>
      <c r="AH17" s="52">
        <f>HLOOKUP(I17,ElecAvoidedCostsWOCC!$A$5:$Q$50,T17+1,FALSE)</f>
        <v>1.107650050703576</v>
      </c>
      <c r="AI17" s="44">
        <f t="shared" si="11"/>
        <v>0</v>
      </c>
      <c r="AJ17" s="44">
        <f t="shared" si="12"/>
        <v>329380.78792767174</v>
      </c>
      <c r="AK17" s="44">
        <f>HLOOKUP(I17,ElecAvoidedCostsWOCC!$A$5:$Q$50,G17+1,FALSE)*J17*L17</f>
        <v>0</v>
      </c>
      <c r="AL17" s="44">
        <f t="shared" si="13"/>
        <v>329380.78792767174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329380.78792767168</v>
      </c>
      <c r="AN17" s="48">
        <f t="shared" si="14"/>
        <v>362318.86672043888</v>
      </c>
      <c r="AO17" s="47">
        <f t="shared" si="15"/>
        <v>6.1773511036606523</v>
      </c>
      <c r="AP17" s="47">
        <f t="shared" si="16"/>
        <v>7.7030385861411359</v>
      </c>
      <c r="AQ17">
        <v>2020</v>
      </c>
    </row>
    <row r="18" spans="1:43" ht="13.5" customHeight="1">
      <c r="A18" s="59">
        <f>A6+A8</f>
        <v>4932137.22</v>
      </c>
      <c r="B18" s="97" t="s">
        <v>15</v>
      </c>
      <c r="C18" s="100">
        <v>18230440</v>
      </c>
      <c r="D18" s="100" t="s">
        <v>53</v>
      </c>
      <c r="E18" s="38" t="s">
        <v>1837</v>
      </c>
      <c r="F18" s="39" t="s">
        <v>1838</v>
      </c>
      <c r="G18" s="39">
        <v>12</v>
      </c>
      <c r="H18" s="39"/>
      <c r="I18" s="40" t="s">
        <v>248</v>
      </c>
      <c r="J18" s="41">
        <v>112155</v>
      </c>
      <c r="K18" s="41">
        <v>25.61</v>
      </c>
      <c r="L18" s="41"/>
      <c r="M18" s="42">
        <v>5.25</v>
      </c>
      <c r="N18" s="42">
        <v>2.08</v>
      </c>
      <c r="O18" s="43">
        <v>2872289.55</v>
      </c>
      <c r="P18" s="44">
        <v>366320</v>
      </c>
      <c r="Q18" s="44">
        <v>233282.4</v>
      </c>
      <c r="R18" s="45">
        <v>0</v>
      </c>
      <c r="S18" s="46">
        <v>0</v>
      </c>
      <c r="T18" s="39">
        <f t="shared" si="0"/>
        <v>12</v>
      </c>
      <c r="U18" s="47">
        <f t="shared" si="1"/>
        <v>1.3404067146542942</v>
      </c>
      <c r="V18" s="48">
        <f t="shared" si="2"/>
        <v>-3.17</v>
      </c>
      <c r="W18" s="49">
        <f t="shared" si="3"/>
        <v>0.11170055955452451</v>
      </c>
      <c r="X18" s="44">
        <f t="shared" si="4"/>
        <v>145968.61683446489</v>
      </c>
      <c r="Y18" s="44">
        <f t="shared" si="5"/>
        <v>-133037.6</v>
      </c>
      <c r="Z18" s="44">
        <f t="shared" si="6"/>
        <v>550922.48727369693</v>
      </c>
      <c r="AA18" s="50">
        <f t="shared" si="7"/>
        <v>379251.01683446486</v>
      </c>
      <c r="AB18" s="51">
        <f t="shared" si="8"/>
        <v>515025.22882462083</v>
      </c>
      <c r="AC18" s="44">
        <f t="shared" si="8"/>
        <v>354539.60627696064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0.91115730059915656</v>
      </c>
      <c r="AG18" s="44">
        <f t="shared" si="10"/>
        <v>2617107.5929171662</v>
      </c>
      <c r="AH18" s="52">
        <f>HLOOKUP(I18,ElecAvoidedCostsWOCC!$A$5:$Q$50,T18+1,FALSE)</f>
        <v>0.91115730059915656</v>
      </c>
      <c r="AI18" s="44">
        <f t="shared" si="11"/>
        <v>0</v>
      </c>
      <c r="AJ18" s="44">
        <f t="shared" si="12"/>
        <v>2617107.5929171662</v>
      </c>
      <c r="AK18" s="44">
        <f>HLOOKUP(I18,ElecAvoidedCostsWOCC!$A$5:$Q$50,G18+1,FALSE)*J18*L18</f>
        <v>0</v>
      </c>
      <c r="AL18" s="44">
        <f t="shared" si="13"/>
        <v>2617107.5929171662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2617107.5929171657</v>
      </c>
      <c r="AN18" s="48">
        <f t="shared" si="14"/>
        <v>2878818.3522088826</v>
      </c>
      <c r="AO18" s="47">
        <f t="shared" si="15"/>
        <v>5.0815133831208046</v>
      </c>
      <c r="AP18" s="47">
        <f t="shared" si="16"/>
        <v>8.1198780086645552</v>
      </c>
      <c r="AQ18">
        <v>2020</v>
      </c>
    </row>
    <row r="19" spans="1:43" ht="13.5" customHeight="1">
      <c r="A19" s="58" t="s">
        <v>231</v>
      </c>
      <c r="B19" s="97" t="s">
        <v>15</v>
      </c>
      <c r="C19" s="100">
        <v>18230440</v>
      </c>
      <c r="D19" s="100" t="s">
        <v>53</v>
      </c>
      <c r="E19" s="38" t="s">
        <v>1839</v>
      </c>
      <c r="F19" s="39" t="s">
        <v>1840</v>
      </c>
      <c r="G19" s="39">
        <v>12</v>
      </c>
      <c r="H19" s="39"/>
      <c r="I19" s="40" t="s">
        <v>248</v>
      </c>
      <c r="J19" s="41">
        <v>550825.06000000006</v>
      </c>
      <c r="K19" s="41">
        <v>11.32</v>
      </c>
      <c r="L19" s="41"/>
      <c r="M19" s="42">
        <v>1.75</v>
      </c>
      <c r="N19" s="42">
        <v>1.59</v>
      </c>
      <c r="O19" s="43">
        <v>6235339.6699996702</v>
      </c>
      <c r="P19" s="44">
        <v>585190.21</v>
      </c>
      <c r="Q19" s="44">
        <v>875811.72999996401</v>
      </c>
      <c r="R19" s="45">
        <v>0</v>
      </c>
      <c r="S19" s="46">
        <v>0</v>
      </c>
      <c r="T19" s="39">
        <f t="shared" si="0"/>
        <v>12</v>
      </c>
      <c r="U19" s="47">
        <f t="shared" si="1"/>
        <v>2.9098358700702196</v>
      </c>
      <c r="V19" s="48">
        <f t="shared" si="2"/>
        <v>-0.15999999999999992</v>
      </c>
      <c r="W19" s="49">
        <f t="shared" si="3"/>
        <v>0.24248632250585161</v>
      </c>
      <c r="X19" s="44">
        <f t="shared" si="4"/>
        <v>316877.49138067249</v>
      </c>
      <c r="Y19" s="44">
        <f t="shared" si="5"/>
        <v>290621.51999996405</v>
      </c>
      <c r="Z19" s="44">
        <f t="shared" si="6"/>
        <v>1195975.8165720343</v>
      </c>
      <c r="AA19" s="50">
        <f t="shared" si="7"/>
        <v>1192689.2213806366</v>
      </c>
      <c r="AB19" s="51">
        <f t="shared" si="8"/>
        <v>1118047.8793792971</v>
      </c>
      <c r="AC19" s="44">
        <f t="shared" si="8"/>
        <v>1114975.4336548906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0.91115730059915656</v>
      </c>
      <c r="AG19" s="44">
        <f t="shared" si="10"/>
        <v>5681375.2704186831</v>
      </c>
      <c r="AH19" s="52">
        <f>HLOOKUP(I19,ElecAvoidedCostsWOCC!$A$5:$Q$50,T19+1,FALSE)</f>
        <v>0.91115730059915656</v>
      </c>
      <c r="AI19" s="44">
        <f t="shared" si="11"/>
        <v>0</v>
      </c>
      <c r="AJ19" s="44">
        <f t="shared" si="12"/>
        <v>5681375.2704186831</v>
      </c>
      <c r="AK19" s="44">
        <f>HLOOKUP(I19,ElecAvoidedCostsWOCC!$A$5:$Q$50,G19+1,FALSE)*J19*L19</f>
        <v>0</v>
      </c>
      <c r="AL19" s="44">
        <f t="shared" si="13"/>
        <v>5681375.2704186831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5681375.2704186831</v>
      </c>
      <c r="AN19" s="48">
        <f t="shared" si="14"/>
        <v>6249512.7974605523</v>
      </c>
      <c r="AO19" s="47">
        <f t="shared" si="15"/>
        <v>5.0815133906186496</v>
      </c>
      <c r="AP19" s="47">
        <f t="shared" si="16"/>
        <v>5.605067707164312</v>
      </c>
      <c r="AQ19">
        <v>2020</v>
      </c>
    </row>
    <row r="20" spans="1:43" ht="13.5" customHeight="1">
      <c r="A20" s="59">
        <f>A8+SUM(Q5:Q906)</f>
        <v>7436854.8799999496</v>
      </c>
      <c r="B20" s="97" t="s">
        <v>15</v>
      </c>
      <c r="C20" s="100">
        <v>18230440</v>
      </c>
      <c r="D20" s="100" t="s">
        <v>53</v>
      </c>
      <c r="E20" s="38" t="s">
        <v>1841</v>
      </c>
      <c r="F20" s="39" t="s">
        <v>1842</v>
      </c>
      <c r="G20" s="39">
        <v>11</v>
      </c>
      <c r="H20" s="39"/>
      <c r="I20" s="40" t="s">
        <v>248</v>
      </c>
      <c r="J20" s="41">
        <v>76723.03</v>
      </c>
      <c r="K20" s="41">
        <v>22.49</v>
      </c>
      <c r="L20" s="41"/>
      <c r="M20" s="42">
        <v>2</v>
      </c>
      <c r="N20" s="42">
        <v>2.92</v>
      </c>
      <c r="O20" s="43">
        <v>1725500.9399999301</v>
      </c>
      <c r="P20" s="44">
        <v>102904.45</v>
      </c>
      <c r="Q20" s="44">
        <v>224031.25999999599</v>
      </c>
      <c r="R20" s="45">
        <v>0</v>
      </c>
      <c r="S20" s="46">
        <v>0</v>
      </c>
      <c r="T20" s="39">
        <f t="shared" si="0"/>
        <v>11</v>
      </c>
      <c r="U20" s="47">
        <f t="shared" si="1"/>
        <v>0.73813366956975235</v>
      </c>
      <c r="V20" s="48">
        <f t="shared" si="2"/>
        <v>0.91999999999999993</v>
      </c>
      <c r="W20" s="49">
        <f t="shared" si="3"/>
        <v>6.7103060869977485E-2</v>
      </c>
      <c r="X20" s="44">
        <f t="shared" si="4"/>
        <v>87689.274070004118</v>
      </c>
      <c r="Y20" s="44">
        <f t="shared" si="5"/>
        <v>121126.809999996</v>
      </c>
      <c r="Z20" s="44">
        <f t="shared" si="6"/>
        <v>330961.50409274152</v>
      </c>
      <c r="AA20" s="50">
        <f t="shared" si="7"/>
        <v>311720.53407000011</v>
      </c>
      <c r="AB20" s="51">
        <f t="shared" si="8"/>
        <v>309396.56360918155</v>
      </c>
      <c r="AC20" s="44">
        <f t="shared" si="8"/>
        <v>291409.3054781715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0.84047616627897226</v>
      </c>
      <c r="AG20" s="44">
        <f t="shared" si="10"/>
        <v>1450242.4189122007</v>
      </c>
      <c r="AH20" s="52">
        <f>HLOOKUP(I20,ElecAvoidedCostsWOCC!$A$5:$Q$50,T20+1,FALSE)</f>
        <v>0.84047616627897226</v>
      </c>
      <c r="AI20" s="44">
        <f t="shared" si="11"/>
        <v>0</v>
      </c>
      <c r="AJ20" s="44">
        <f t="shared" si="12"/>
        <v>1450242.4189122007</v>
      </c>
      <c r="AK20" s="44">
        <f>HLOOKUP(I20,ElecAvoidedCostsWOCC!$A$5:$Q$50,G20+1,FALSE)*J20*L20</f>
        <v>0</v>
      </c>
      <c r="AL20" s="44">
        <f t="shared" si="13"/>
        <v>1450242.4189122007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1450242.4189122007</v>
      </c>
      <c r="AN20" s="48">
        <f t="shared" si="14"/>
        <v>1595266.6608034209</v>
      </c>
      <c r="AO20" s="47">
        <f t="shared" si="15"/>
        <v>4.6873255539582983</v>
      </c>
      <c r="AP20" s="47">
        <f t="shared" si="16"/>
        <v>5.474316127914169</v>
      </c>
      <c r="AQ20">
        <v>2020</v>
      </c>
    </row>
    <row r="21" spans="1:43" ht="13.5" customHeight="1">
      <c r="A21" s="58" t="s">
        <v>245</v>
      </c>
      <c r="B21" s="97" t="s">
        <v>15</v>
      </c>
      <c r="C21" s="100">
        <v>18230440</v>
      </c>
      <c r="D21" s="100" t="s">
        <v>53</v>
      </c>
      <c r="E21" s="38" t="s">
        <v>1843</v>
      </c>
      <c r="F21" s="39" t="s">
        <v>1844</v>
      </c>
      <c r="G21" s="39">
        <v>12</v>
      </c>
      <c r="H21" s="39"/>
      <c r="I21" s="40" t="s">
        <v>248</v>
      </c>
      <c r="J21" s="41">
        <v>51574.52</v>
      </c>
      <c r="K21" s="41">
        <v>12.93</v>
      </c>
      <c r="L21" s="41"/>
      <c r="M21" s="42">
        <v>2.5</v>
      </c>
      <c r="N21" s="42">
        <v>3.68</v>
      </c>
      <c r="O21" s="43">
        <v>666858.54999998095</v>
      </c>
      <c r="P21" s="44">
        <v>75033.819999999701</v>
      </c>
      <c r="Q21" s="44">
        <v>189794.21999999401</v>
      </c>
      <c r="R21" s="45">
        <v>0</v>
      </c>
      <c r="S21" s="46">
        <v>0</v>
      </c>
      <c r="T21" s="39">
        <f t="shared" si="0"/>
        <v>12</v>
      </c>
      <c r="U21" s="47">
        <f t="shared" si="1"/>
        <v>0.31120180002207676</v>
      </c>
      <c r="V21" s="48">
        <f t="shared" si="2"/>
        <v>1.1800000000000002</v>
      </c>
      <c r="W21" s="49">
        <f t="shared" si="3"/>
        <v>2.5933483335173063E-2</v>
      </c>
      <c r="X21" s="44">
        <f t="shared" si="4"/>
        <v>33889.48727948896</v>
      </c>
      <c r="Y21" s="44">
        <f t="shared" si="5"/>
        <v>114760.3999999943</v>
      </c>
      <c r="Z21" s="44">
        <f t="shared" si="6"/>
        <v>127907.49840165681</v>
      </c>
      <c r="AA21" s="50">
        <f t="shared" si="7"/>
        <v>223683.70727948297</v>
      </c>
      <c r="AB21" s="51">
        <f t="shared" ref="AB21:AC23" si="18">Z21/(1+ElecDiscountRate)^1</f>
        <v>119573.24334080283</v>
      </c>
      <c r="AC21" s="44">
        <f t="shared" si="18"/>
        <v>209108.8223609264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0.91115730059915656</v>
      </c>
      <c r="AG21" s="44">
        <f t="shared" si="10"/>
        <v>607613.03046806087</v>
      </c>
      <c r="AH21" s="52">
        <f>HLOOKUP(I21,ElecAvoidedCostsWOCC!$A$5:$Q$50,T21+1,FALSE)</f>
        <v>0.91115730059915656</v>
      </c>
      <c r="AI21" s="44">
        <f t="shared" si="11"/>
        <v>0</v>
      </c>
      <c r="AJ21" s="44">
        <f t="shared" si="12"/>
        <v>607613.03046806087</v>
      </c>
      <c r="AK21" s="44">
        <f>HLOOKUP(I21,ElecAvoidedCostsWOCC!$A$5:$Q$50,G21+1,FALSE)*J21*L21</f>
        <v>0</v>
      </c>
      <c r="AL21" s="44">
        <f t="shared" si="13"/>
        <v>607613.03046806087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607613.03046806087</v>
      </c>
      <c r="AN21" s="48">
        <f t="shared" si="14"/>
        <v>668374.333514867</v>
      </c>
      <c r="AO21" s="47">
        <f t="shared" si="15"/>
        <v>5.0815133343524579</v>
      </c>
      <c r="AP21" s="47">
        <f t="shared" si="16"/>
        <v>3.1962990655709316</v>
      </c>
      <c r="AQ21">
        <v>2020</v>
      </c>
    </row>
    <row r="22" spans="1:43" ht="13.5" customHeight="1">
      <c r="A22" s="60">
        <f>(SUM(AM5:AM1000)/(SUM(AB5:AB1000)))</f>
        <v>4.7836238375662141</v>
      </c>
      <c r="B22" s="97" t="s">
        <v>15</v>
      </c>
      <c r="C22" s="100">
        <v>18230440</v>
      </c>
      <c r="D22" s="100" t="s">
        <v>53</v>
      </c>
      <c r="E22" s="38" t="s">
        <v>1845</v>
      </c>
      <c r="F22" s="39" t="s">
        <v>1846</v>
      </c>
      <c r="G22" s="39">
        <v>12</v>
      </c>
      <c r="H22" s="39"/>
      <c r="I22" s="40" t="s">
        <v>248</v>
      </c>
      <c r="J22" s="41">
        <v>4813</v>
      </c>
      <c r="K22" s="41">
        <v>20.190000000000001</v>
      </c>
      <c r="L22" s="41"/>
      <c r="M22" s="42">
        <v>2</v>
      </c>
      <c r="N22" s="42">
        <v>1.75</v>
      </c>
      <c r="O22" s="43">
        <v>97174.470000000394</v>
      </c>
      <c r="P22" s="44">
        <v>9650.5</v>
      </c>
      <c r="Q22" s="44">
        <v>8422.75</v>
      </c>
      <c r="R22" s="45">
        <v>0</v>
      </c>
      <c r="S22" s="46">
        <v>0</v>
      </c>
      <c r="T22" s="39">
        <f t="shared" si="0"/>
        <v>12</v>
      </c>
      <c r="U22" s="47">
        <f t="shared" si="1"/>
        <v>4.5348252609481103E-2</v>
      </c>
      <c r="V22" s="48">
        <f t="shared" si="2"/>
        <v>-0.25</v>
      </c>
      <c r="W22" s="49">
        <f t="shared" si="3"/>
        <v>3.7790210507900918E-3</v>
      </c>
      <c r="X22" s="44">
        <f t="shared" si="4"/>
        <v>4938.3680616469401</v>
      </c>
      <c r="Y22" s="44">
        <f t="shared" si="5"/>
        <v>-1227.75</v>
      </c>
      <c r="Z22" s="44">
        <f t="shared" si="6"/>
        <v>18638.65037976532</v>
      </c>
      <c r="AA22" s="50">
        <f t="shared" si="7"/>
        <v>13361.118061646939</v>
      </c>
      <c r="AB22" s="51">
        <f t="shared" si="18"/>
        <v>17424.184705772943</v>
      </c>
      <c r="AC22" s="44">
        <f t="shared" si="18"/>
        <v>12490.528243102681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0.91115730059915656</v>
      </c>
      <c r="AG22" s="44">
        <f t="shared" si="10"/>
        <v>88541.227772353726</v>
      </c>
      <c r="AH22" s="52">
        <f>HLOOKUP(I22,ElecAvoidedCostsWOCC!$A$5:$Q$50,T22+1,FALSE)</f>
        <v>0.91115730059915656</v>
      </c>
      <c r="AI22" s="44">
        <f t="shared" si="11"/>
        <v>0</v>
      </c>
      <c r="AJ22" s="44">
        <f t="shared" si="12"/>
        <v>88541.227772353726</v>
      </c>
      <c r="AK22" s="44">
        <f>HLOOKUP(I22,ElecAvoidedCostsWOCC!$A$5:$Q$50,G22+1,FALSE)*J22*L22</f>
        <v>0</v>
      </c>
      <c r="AL22" s="44">
        <f t="shared" si="13"/>
        <v>88541.227772353726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88541.227772353726</v>
      </c>
      <c r="AN22" s="48">
        <f t="shared" si="14"/>
        <v>97395.3505495891</v>
      </c>
      <c r="AO22" s="47">
        <f t="shared" si="15"/>
        <v>5.0815133831207859</v>
      </c>
      <c r="AP22" s="47">
        <f t="shared" si="16"/>
        <v>7.7975365536178343</v>
      </c>
      <c r="AQ22">
        <v>2020</v>
      </c>
    </row>
    <row r="23" spans="1:43" ht="13.5" customHeight="1">
      <c r="A23" s="58" t="s">
        <v>246</v>
      </c>
      <c r="B23" s="97" t="s">
        <v>15</v>
      </c>
      <c r="C23" s="100">
        <v>18230440</v>
      </c>
      <c r="D23" s="100" t="s">
        <v>53</v>
      </c>
      <c r="E23" s="38" t="s">
        <v>1847</v>
      </c>
      <c r="F23" s="39" t="s">
        <v>1848</v>
      </c>
      <c r="G23" s="39">
        <v>9</v>
      </c>
      <c r="H23" s="39"/>
      <c r="I23" s="40" t="s">
        <v>248</v>
      </c>
      <c r="J23" s="41">
        <v>249581.85</v>
      </c>
      <c r="K23" s="41">
        <v>28.05</v>
      </c>
      <c r="L23" s="41"/>
      <c r="M23" s="42">
        <v>3.25</v>
      </c>
      <c r="N23" s="42">
        <v>2.08</v>
      </c>
      <c r="O23" s="43">
        <v>7000770.8999999296</v>
      </c>
      <c r="P23" s="44">
        <v>511087.76999999699</v>
      </c>
      <c r="Q23" s="44">
        <v>519130.22999999003</v>
      </c>
      <c r="R23" s="45">
        <v>0</v>
      </c>
      <c r="S23" s="46">
        <v>0</v>
      </c>
      <c r="T23" s="39">
        <f t="shared" si="0"/>
        <v>9</v>
      </c>
      <c r="U23" s="47">
        <f t="shared" si="1"/>
        <v>2.4502788173243952</v>
      </c>
      <c r="V23" s="48">
        <f t="shared" si="2"/>
        <v>-1.17</v>
      </c>
      <c r="W23" s="49">
        <f t="shared" si="3"/>
        <v>0.2722532019249328</v>
      </c>
      <c r="X23" s="44">
        <f t="shared" si="4"/>
        <v>355776.40320000524</v>
      </c>
      <c r="Y23" s="44">
        <f t="shared" si="5"/>
        <v>8042.459999993036</v>
      </c>
      <c r="Z23" s="44">
        <f t="shared" si="6"/>
        <v>1342790.1504781365</v>
      </c>
      <c r="AA23" s="50">
        <f t="shared" si="7"/>
        <v>874906.63319999527</v>
      </c>
      <c r="AB23" s="51">
        <f t="shared" si="18"/>
        <v>1255296.0180220029</v>
      </c>
      <c r="AC23" s="44">
        <f t="shared" si="18"/>
        <v>817899.06814994407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0.69032168448332065</v>
      </c>
      <c r="AG23" s="44">
        <f t="shared" si="10"/>
        <v>4832783.9551924001</v>
      </c>
      <c r="AH23" s="52">
        <f>HLOOKUP(I23,ElecAvoidedCostsWOCC!$A$5:$Q$50,T23+1,FALSE)</f>
        <v>0.69032168448332065</v>
      </c>
      <c r="AI23" s="44">
        <f t="shared" si="11"/>
        <v>0</v>
      </c>
      <c r="AJ23" s="44">
        <f t="shared" si="12"/>
        <v>4832783.9551924001</v>
      </c>
      <c r="AK23" s="44">
        <f>HLOOKUP(I23,ElecAvoidedCostsWOCC!$A$5:$Q$50,G23+1,FALSE)*J23*L23</f>
        <v>0</v>
      </c>
      <c r="AL23" s="44">
        <f t="shared" si="13"/>
        <v>4832783.9551924001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4832783.9551924001</v>
      </c>
      <c r="AN23" s="48">
        <f t="shared" si="14"/>
        <v>5316062.3507116409</v>
      </c>
      <c r="AO23" s="47">
        <f t="shared" si="15"/>
        <v>3.849915785447581</v>
      </c>
      <c r="AP23" s="47">
        <f t="shared" si="16"/>
        <v>6.4996557126985941</v>
      </c>
      <c r="AQ23">
        <v>2020</v>
      </c>
    </row>
    <row r="24" spans="1:43" ht="13.5" customHeight="1">
      <c r="A24" s="60">
        <f>(SUM(AN5:AN1000)/SUM(AC5:AC1000))</f>
        <v>3.489759920300298</v>
      </c>
      <c r="B24" s="97" t="s">
        <v>15</v>
      </c>
      <c r="C24" s="100">
        <v>18230440</v>
      </c>
      <c r="D24" s="100" t="s">
        <v>53</v>
      </c>
      <c r="E24" s="38" t="s">
        <v>1849</v>
      </c>
      <c r="F24" s="39" t="s">
        <v>1850</v>
      </c>
      <c r="G24" s="39">
        <v>12</v>
      </c>
      <c r="H24" s="39"/>
      <c r="I24" s="40" t="s">
        <v>248</v>
      </c>
      <c r="J24" s="41">
        <v>2479</v>
      </c>
      <c r="K24" s="41">
        <v>0</v>
      </c>
      <c r="L24" s="41"/>
      <c r="M24" s="42">
        <v>1.75</v>
      </c>
      <c r="N24" s="42">
        <v>1.59</v>
      </c>
      <c r="O24" s="43">
        <v>0</v>
      </c>
      <c r="P24" s="44">
        <v>8501</v>
      </c>
      <c r="Q24" s="44">
        <v>3941.61</v>
      </c>
      <c r="R24" s="45">
        <v>0</v>
      </c>
      <c r="S24" s="46">
        <v>0</v>
      </c>
      <c r="T24" s="39">
        <f t="shared" ref="T24:T34" si="19">G24+H24</f>
        <v>12</v>
      </c>
      <c r="U24" s="47">
        <f t="shared" ref="U24:U34" si="20">(O24/$A$10)*T24</f>
        <v>0</v>
      </c>
      <c r="V24" s="48">
        <f t="shared" ref="V24:V34" si="21">N24-M24</f>
        <v>-0.15999999999999992</v>
      </c>
      <c r="W24" s="49">
        <f t="shared" ref="W24:W34" si="22">(O24/A$10)</f>
        <v>0</v>
      </c>
      <c r="X24" s="44">
        <f t="shared" ref="X24:X34" si="23">W24*A$8</f>
        <v>0</v>
      </c>
      <c r="Y24" s="44">
        <f t="shared" ref="Y24:Y34" si="24">Q24-P24</f>
        <v>-4559.3899999999994</v>
      </c>
      <c r="Z24" s="44">
        <f t="shared" ref="Z24:Z34" si="25">X24+(A$6*W24)</f>
        <v>0</v>
      </c>
      <c r="AA24" s="50">
        <f t="shared" ref="AA24:AA34" si="26">Q24+X24</f>
        <v>3941.61</v>
      </c>
      <c r="AB24" s="51">
        <f t="shared" ref="AB24:AB34" si="27">Z24/(1+ElecDiscountRate)^1</f>
        <v>0</v>
      </c>
      <c r="AC24" s="44">
        <f t="shared" ref="AC24:AC34" si="28">AA24/(1+ElecDiscountRate)^1</f>
        <v>3684.7807796578477</v>
      </c>
      <c r="AD24" s="44">
        <f t="shared" ref="AD24:AD34" si="29">-PV(ElecDiscountRate,T24,R24)*J24</f>
        <v>0</v>
      </c>
      <c r="AE24" s="44">
        <f t="shared" ref="AE24:AE34" si="30">-PV(ElecDiscountRate,T24,S24)*J24</f>
        <v>0</v>
      </c>
      <c r="AF24" s="52">
        <f>HLOOKUP(I24,ElecAvoidedCostsWOCC!$A$5:$Q$50,G24+1,FALSE)</f>
        <v>0.91115730059915656</v>
      </c>
      <c r="AG24" s="44">
        <f t="shared" ref="AG24:AG34" si="31">AF24*J24*K24</f>
        <v>0</v>
      </c>
      <c r="AH24" s="52">
        <f>HLOOKUP(I24,ElecAvoidedCostsWOCC!$A$5:$Q$50,T24+1,FALSE)</f>
        <v>0.91115730059915656</v>
      </c>
      <c r="AI24" s="44">
        <f t="shared" ref="AI24:AI34" si="32">AH24*J24*L24</f>
        <v>0</v>
      </c>
      <c r="AJ24" s="44">
        <f t="shared" ref="AJ24:AJ34" si="33">AG24+AI24</f>
        <v>0</v>
      </c>
      <c r="AK24" s="44">
        <f>HLOOKUP(I24,ElecAvoidedCostsWOCC!$A$5:$Q$50,G24+1,FALSE)*J24*L24</f>
        <v>0</v>
      </c>
      <c r="AL24" s="44">
        <f t="shared" ref="AL24:AL34" si="34">AG24+AI24-AK24</f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ref="AN24:AN34" si="35">AM24*1.1+AD24+AE24</f>
        <v>0</v>
      </c>
      <c r="AO24" s="47">
        <f t="shared" ref="AO24:AO34" si="36">IFERROR(AM24/AB24,0)</f>
        <v>0</v>
      </c>
      <c r="AP24" s="47">
        <f t="shared" ref="AP24:AP34" si="37">AN24/AC24</f>
        <v>0</v>
      </c>
      <c r="AQ24">
        <v>2020</v>
      </c>
    </row>
    <row r="25" spans="1:43" ht="13.5" customHeight="1">
      <c r="B25" s="97" t="s">
        <v>15</v>
      </c>
      <c r="C25" s="100">
        <v>18230440</v>
      </c>
      <c r="D25" s="100" t="s">
        <v>53</v>
      </c>
      <c r="E25" s="38" t="s">
        <v>1851</v>
      </c>
      <c r="F25" s="39" t="s">
        <v>1852</v>
      </c>
      <c r="G25" s="39">
        <v>11</v>
      </c>
      <c r="H25" s="39"/>
      <c r="I25" s="40" t="s">
        <v>248</v>
      </c>
      <c r="J25" s="41">
        <v>78</v>
      </c>
      <c r="K25" s="41">
        <v>0</v>
      </c>
      <c r="L25" s="41"/>
      <c r="M25" s="42">
        <v>2</v>
      </c>
      <c r="N25" s="42">
        <v>2.92</v>
      </c>
      <c r="O25" s="43">
        <v>0</v>
      </c>
      <c r="P25" s="44">
        <v>234</v>
      </c>
      <c r="Q25" s="44">
        <v>227.76</v>
      </c>
      <c r="R25" s="45">
        <v>0</v>
      </c>
      <c r="S25" s="46">
        <v>0</v>
      </c>
      <c r="T25" s="39">
        <f t="shared" si="19"/>
        <v>11</v>
      </c>
      <c r="U25" s="47">
        <f t="shared" si="20"/>
        <v>0</v>
      </c>
      <c r="V25" s="48">
        <f t="shared" si="21"/>
        <v>0.91999999999999993</v>
      </c>
      <c r="W25" s="49">
        <f t="shared" si="22"/>
        <v>0</v>
      </c>
      <c r="X25" s="44">
        <f t="shared" si="23"/>
        <v>0</v>
      </c>
      <c r="Y25" s="44">
        <f t="shared" si="24"/>
        <v>-6.2400000000000091</v>
      </c>
      <c r="Z25" s="44">
        <f t="shared" si="25"/>
        <v>0</v>
      </c>
      <c r="AA25" s="50">
        <f t="shared" si="26"/>
        <v>227.76</v>
      </c>
      <c r="AB25" s="51">
        <f t="shared" si="27"/>
        <v>0</v>
      </c>
      <c r="AC25" s="44">
        <f t="shared" si="28"/>
        <v>212.91951014303072</v>
      </c>
      <c r="AD25" s="44">
        <f t="shared" si="29"/>
        <v>0</v>
      </c>
      <c r="AE25" s="44">
        <f t="shared" si="30"/>
        <v>0</v>
      </c>
      <c r="AF25" s="52">
        <f>HLOOKUP(I25,ElecAvoidedCostsWOCC!$A$5:$Q$50,G25+1,FALSE)</f>
        <v>0.84047616627897226</v>
      </c>
      <c r="AG25" s="44">
        <f t="shared" si="31"/>
        <v>0</v>
      </c>
      <c r="AH25" s="52">
        <f>HLOOKUP(I25,ElecAvoidedCostsWOCC!$A$5:$Q$50,T25+1,FALSE)</f>
        <v>0.84047616627897226</v>
      </c>
      <c r="AI25" s="44">
        <f t="shared" si="32"/>
        <v>0</v>
      </c>
      <c r="AJ25" s="44">
        <f t="shared" si="33"/>
        <v>0</v>
      </c>
      <c r="AK25" s="44">
        <f>HLOOKUP(I25,ElecAvoidedCostsWOCC!$A$5:$Q$50,G25+1,FALSE)*J25*L25</f>
        <v>0</v>
      </c>
      <c r="AL25" s="44">
        <f t="shared" si="34"/>
        <v>0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>
        <f t="shared" si="37"/>
        <v>0</v>
      </c>
      <c r="AQ25">
        <v>2020</v>
      </c>
    </row>
    <row r="26" spans="1:43" ht="13.5" customHeight="1">
      <c r="B26" s="97" t="s">
        <v>15</v>
      </c>
      <c r="C26" s="100">
        <v>18230440</v>
      </c>
      <c r="D26" s="100" t="s">
        <v>53</v>
      </c>
      <c r="E26" s="38" t="s">
        <v>1853</v>
      </c>
      <c r="F26" s="39" t="s">
        <v>1854</v>
      </c>
      <c r="G26" s="39">
        <v>12</v>
      </c>
      <c r="H26" s="39"/>
      <c r="I26" s="40" t="s">
        <v>248</v>
      </c>
      <c r="J26" s="41">
        <v>78</v>
      </c>
      <c r="K26" s="41">
        <v>0</v>
      </c>
      <c r="L26" s="41"/>
      <c r="M26" s="42">
        <v>2.5</v>
      </c>
      <c r="N26" s="42">
        <v>3.68</v>
      </c>
      <c r="O26" s="43">
        <v>0</v>
      </c>
      <c r="P26" s="44">
        <v>234</v>
      </c>
      <c r="Q26" s="44">
        <v>287.04000000000002</v>
      </c>
      <c r="R26" s="45">
        <v>0</v>
      </c>
      <c r="S26" s="46">
        <v>0</v>
      </c>
      <c r="T26" s="39">
        <f t="shared" si="19"/>
        <v>12</v>
      </c>
      <c r="U26" s="47">
        <f t="shared" si="20"/>
        <v>0</v>
      </c>
      <c r="V26" s="48">
        <f t="shared" si="21"/>
        <v>1.1800000000000002</v>
      </c>
      <c r="W26" s="49">
        <f t="shared" si="22"/>
        <v>0</v>
      </c>
      <c r="X26" s="44">
        <f t="shared" si="23"/>
        <v>0</v>
      </c>
      <c r="Y26" s="44">
        <f t="shared" si="24"/>
        <v>53.04000000000002</v>
      </c>
      <c r="Z26" s="44">
        <f t="shared" si="25"/>
        <v>0</v>
      </c>
      <c r="AA26" s="50">
        <f t="shared" si="26"/>
        <v>287.04000000000002</v>
      </c>
      <c r="AB26" s="51">
        <f t="shared" si="27"/>
        <v>0</v>
      </c>
      <c r="AC26" s="44">
        <f t="shared" si="28"/>
        <v>268.33691689258671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0.91115730059915656</v>
      </c>
      <c r="AG26" s="44">
        <f t="shared" si="31"/>
        <v>0</v>
      </c>
      <c r="AH26" s="52">
        <f>HLOOKUP(I26,ElecAvoidedCostsWOCC!$A$5:$Q$50,T26+1,FALSE)</f>
        <v>0.91115730059915656</v>
      </c>
      <c r="AI26" s="44">
        <f t="shared" si="32"/>
        <v>0</v>
      </c>
      <c r="AJ26" s="44">
        <f t="shared" si="33"/>
        <v>0</v>
      </c>
      <c r="AK26" s="44">
        <f>HLOOKUP(I26,ElecAvoidedCostsWOCC!$A$5:$Q$50,G26+1,FALSE)*J26*L26</f>
        <v>0</v>
      </c>
      <c r="AL26" s="44">
        <f t="shared" si="34"/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>
        <f t="shared" si="37"/>
        <v>0</v>
      </c>
      <c r="AQ26">
        <v>2020</v>
      </c>
    </row>
    <row r="27" spans="1:43" ht="13.5" customHeight="1">
      <c r="B27" s="97" t="s">
        <v>15</v>
      </c>
      <c r="C27" s="100">
        <v>18230440</v>
      </c>
      <c r="D27" s="100" t="s">
        <v>53</v>
      </c>
      <c r="E27" s="38" t="s">
        <v>1855</v>
      </c>
      <c r="F27" s="39" t="s">
        <v>1856</v>
      </c>
      <c r="G27" s="39">
        <v>9</v>
      </c>
      <c r="H27" s="39"/>
      <c r="I27" s="40" t="s">
        <v>248</v>
      </c>
      <c r="J27" s="41">
        <v>244</v>
      </c>
      <c r="K27" s="41">
        <v>0</v>
      </c>
      <c r="L27" s="41"/>
      <c r="M27" s="42">
        <v>3.25</v>
      </c>
      <c r="N27" s="42">
        <v>2.08</v>
      </c>
      <c r="O27" s="43">
        <v>0</v>
      </c>
      <c r="P27" s="44">
        <v>966.25</v>
      </c>
      <c r="Q27" s="44">
        <v>507.52</v>
      </c>
      <c r="R27" s="45">
        <v>0</v>
      </c>
      <c r="S27" s="46">
        <v>0</v>
      </c>
      <c r="T27" s="39">
        <f t="shared" si="19"/>
        <v>9</v>
      </c>
      <c r="U27" s="47">
        <f t="shared" si="20"/>
        <v>0</v>
      </c>
      <c r="V27" s="48">
        <f t="shared" si="21"/>
        <v>-1.17</v>
      </c>
      <c r="W27" s="49">
        <f t="shared" si="22"/>
        <v>0</v>
      </c>
      <c r="X27" s="44">
        <f t="shared" si="23"/>
        <v>0</v>
      </c>
      <c r="Y27" s="44">
        <f t="shared" si="24"/>
        <v>-458.73</v>
      </c>
      <c r="Z27" s="44">
        <f t="shared" si="25"/>
        <v>0</v>
      </c>
      <c r="AA27" s="50">
        <f t="shared" si="26"/>
        <v>507.52</v>
      </c>
      <c r="AB27" s="51">
        <f t="shared" si="27"/>
        <v>0</v>
      </c>
      <c r="AC27" s="44">
        <f t="shared" si="28"/>
        <v>474.45078059268945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0.69032168448332065</v>
      </c>
      <c r="AG27" s="44">
        <f t="shared" si="31"/>
        <v>0</v>
      </c>
      <c r="AH27" s="52">
        <f>HLOOKUP(I27,ElecAvoidedCostsWOCC!$A$5:$Q$50,T27+1,FALSE)</f>
        <v>0.69032168448332065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>
        <f t="shared" si="37"/>
        <v>0</v>
      </c>
      <c r="AQ27">
        <v>2020</v>
      </c>
    </row>
    <row r="28" spans="1:43" ht="13.5" customHeight="1">
      <c r="B28" s="97" t="s">
        <v>15</v>
      </c>
      <c r="C28" s="100">
        <v>18230440</v>
      </c>
      <c r="D28" s="100" t="s">
        <v>53</v>
      </c>
      <c r="E28" s="38" t="s">
        <v>1857</v>
      </c>
      <c r="F28" s="39" t="s">
        <v>535</v>
      </c>
      <c r="G28" s="39">
        <v>12</v>
      </c>
      <c r="H28" s="39"/>
      <c r="I28" s="40" t="s">
        <v>248</v>
      </c>
      <c r="J28" s="41">
        <v>14691</v>
      </c>
      <c r="K28" s="41">
        <v>7.98</v>
      </c>
      <c r="L28" s="41"/>
      <c r="M28" s="42">
        <v>2.5</v>
      </c>
      <c r="N28" s="42">
        <v>2.56</v>
      </c>
      <c r="O28" s="43">
        <v>117234.18</v>
      </c>
      <c r="P28" s="44">
        <v>18262</v>
      </c>
      <c r="Q28" s="44">
        <v>37608.959999999999</v>
      </c>
      <c r="R28" s="45">
        <v>0</v>
      </c>
      <c r="S28" s="46">
        <v>0</v>
      </c>
      <c r="T28" s="39">
        <f t="shared" si="19"/>
        <v>12</v>
      </c>
      <c r="U28" s="47">
        <f t="shared" si="20"/>
        <v>5.4709485002648897E-2</v>
      </c>
      <c r="V28" s="48">
        <f t="shared" si="21"/>
        <v>6.0000000000000053E-2</v>
      </c>
      <c r="W28" s="49">
        <f t="shared" si="22"/>
        <v>4.5591237502207414E-3</v>
      </c>
      <c r="X28" s="44">
        <f t="shared" si="23"/>
        <v>5957.7945755234477</v>
      </c>
      <c r="Y28" s="44">
        <f t="shared" si="24"/>
        <v>19346.96</v>
      </c>
      <c r="Z28" s="44">
        <f t="shared" si="25"/>
        <v>22486.223939049698</v>
      </c>
      <c r="AA28" s="50">
        <f t="shared" si="26"/>
        <v>43566.754575523446</v>
      </c>
      <c r="AB28" s="51">
        <f t="shared" si="27"/>
        <v>21021.056313966248</v>
      </c>
      <c r="AC28" s="44">
        <f t="shared" si="28"/>
        <v>40728.012130058371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0.91115730059915656</v>
      </c>
      <c r="AG28" s="44">
        <f t="shared" si="31"/>
        <v>106818.77898675563</v>
      </c>
      <c r="AH28" s="52">
        <f>HLOOKUP(I28,ElecAvoidedCostsWOCC!$A$5:$Q$50,T28+1,FALSE)</f>
        <v>0.91115730059915656</v>
      </c>
      <c r="AI28" s="44">
        <f t="shared" si="32"/>
        <v>0</v>
      </c>
      <c r="AJ28" s="44">
        <f t="shared" si="33"/>
        <v>106818.77898675563</v>
      </c>
      <c r="AK28" s="44">
        <f>HLOOKUP(I28,ElecAvoidedCostsWOCC!$A$5:$Q$50,G28+1,FALSE)*J28*L28</f>
        <v>0</v>
      </c>
      <c r="AL28" s="44">
        <f t="shared" si="34"/>
        <v>106818.77898675563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106818.77898675563</v>
      </c>
      <c r="AN28" s="48">
        <f t="shared" si="35"/>
        <v>117500.65688543121</v>
      </c>
      <c r="AO28" s="47">
        <f t="shared" si="36"/>
        <v>5.0815133831208072</v>
      </c>
      <c r="AP28" s="47">
        <f t="shared" si="37"/>
        <v>2.8850083944733593</v>
      </c>
      <c r="AQ28">
        <v>2020</v>
      </c>
    </row>
    <row r="29" spans="1:43">
      <c r="B29" s="97" t="s">
        <v>15</v>
      </c>
      <c r="C29" s="100">
        <v>18230440</v>
      </c>
      <c r="D29" s="100" t="s">
        <v>53</v>
      </c>
      <c r="E29" s="38" t="s">
        <v>534</v>
      </c>
      <c r="F29" s="39" t="s">
        <v>535</v>
      </c>
      <c r="G29" s="39">
        <v>12</v>
      </c>
      <c r="H29" s="39"/>
      <c r="I29" s="40" t="s">
        <v>248</v>
      </c>
      <c r="J29" s="41">
        <v>46824</v>
      </c>
      <c r="K29" s="41">
        <v>10.199999999999999</v>
      </c>
      <c r="L29" s="41"/>
      <c r="M29" s="42">
        <v>2.5</v>
      </c>
      <c r="N29" s="42">
        <v>4.12</v>
      </c>
      <c r="O29" s="43">
        <v>477604.8</v>
      </c>
      <c r="P29" s="44">
        <v>117059.5</v>
      </c>
      <c r="Q29" s="44">
        <v>192914.88</v>
      </c>
      <c r="R29" s="45">
        <v>0</v>
      </c>
      <c r="S29" s="46">
        <v>0</v>
      </c>
      <c r="T29" s="39">
        <f t="shared" si="19"/>
        <v>12</v>
      </c>
      <c r="U29" s="47">
        <f t="shared" si="20"/>
        <v>0.22288305887236237</v>
      </c>
      <c r="V29" s="48">
        <f t="shared" si="21"/>
        <v>1.62</v>
      </c>
      <c r="W29" s="49">
        <f t="shared" si="22"/>
        <v>1.8573588239363531E-2</v>
      </c>
      <c r="X29" s="44">
        <f t="shared" si="23"/>
        <v>24271.686693112551</v>
      </c>
      <c r="Y29" s="44">
        <f t="shared" si="24"/>
        <v>75855.38</v>
      </c>
      <c r="Z29" s="44">
        <f t="shared" si="25"/>
        <v>91607.48586431914</v>
      </c>
      <c r="AA29" s="50">
        <f t="shared" si="26"/>
        <v>217186.56669311255</v>
      </c>
      <c r="AB29" s="51">
        <f t="shared" si="27"/>
        <v>85638.483560174936</v>
      </c>
      <c r="AC29" s="44">
        <f t="shared" si="28"/>
        <v>203035.02542125131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0.91115730059915656</v>
      </c>
      <c r="AG29" s="44">
        <f t="shared" si="31"/>
        <v>435173.10032119998</v>
      </c>
      <c r="AH29" s="52">
        <f>HLOOKUP(I29,ElecAvoidedCostsWOCC!$A$5:$Q$50,T29+1,FALSE)</f>
        <v>0.91115730059915656</v>
      </c>
      <c r="AI29" s="44">
        <f t="shared" si="32"/>
        <v>0</v>
      </c>
      <c r="AJ29" s="44">
        <f t="shared" si="33"/>
        <v>435173.10032119998</v>
      </c>
      <c r="AK29" s="44">
        <f>HLOOKUP(I29,ElecAvoidedCostsWOCC!$A$5:$Q$50,G29+1,FALSE)*J29*L29</f>
        <v>0</v>
      </c>
      <c r="AL29" s="44">
        <f t="shared" si="34"/>
        <v>435173.10032119998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435173.10032120004</v>
      </c>
      <c r="AN29" s="48">
        <f t="shared" si="35"/>
        <v>478690.41035332007</v>
      </c>
      <c r="AO29" s="47">
        <f t="shared" si="36"/>
        <v>5.0815133831208055</v>
      </c>
      <c r="AP29" s="47">
        <f t="shared" si="37"/>
        <v>2.3576740484069032</v>
      </c>
      <c r="AQ29">
        <v>2020</v>
      </c>
    </row>
    <row r="30" spans="1:43">
      <c r="B30" s="97" t="s">
        <v>15</v>
      </c>
      <c r="C30" s="100">
        <v>18230440</v>
      </c>
      <c r="D30" s="100" t="s">
        <v>53</v>
      </c>
      <c r="E30" s="38" t="s">
        <v>1858</v>
      </c>
      <c r="F30" s="39" t="s">
        <v>538</v>
      </c>
      <c r="G30" s="39">
        <v>12</v>
      </c>
      <c r="H30" s="39"/>
      <c r="I30" s="40" t="s">
        <v>248</v>
      </c>
      <c r="J30" s="41">
        <v>109891</v>
      </c>
      <c r="K30" s="41">
        <v>28.63</v>
      </c>
      <c r="L30" s="41"/>
      <c r="M30" s="42">
        <v>5</v>
      </c>
      <c r="N30" s="42">
        <v>24.19</v>
      </c>
      <c r="O30" s="43">
        <v>3146179.33</v>
      </c>
      <c r="P30" s="44">
        <v>142695</v>
      </c>
      <c r="Q30" s="44">
        <v>2658263.29</v>
      </c>
      <c r="R30" s="45">
        <v>0</v>
      </c>
      <c r="S30" s="46">
        <v>0</v>
      </c>
      <c r="T30" s="39">
        <f t="shared" si="19"/>
        <v>12</v>
      </c>
      <c r="U30" s="47">
        <f t="shared" si="20"/>
        <v>1.468222414915846</v>
      </c>
      <c r="V30" s="48">
        <f t="shared" si="21"/>
        <v>19.190000000000001</v>
      </c>
      <c r="W30" s="49">
        <f t="shared" si="22"/>
        <v>0.12235186790965383</v>
      </c>
      <c r="X30" s="44">
        <f t="shared" si="23"/>
        <v>159887.58692983564</v>
      </c>
      <c r="Y30" s="44">
        <f t="shared" si="24"/>
        <v>2515568.29</v>
      </c>
      <c r="Z30" s="44">
        <f t="shared" si="25"/>
        <v>603456.20165372721</v>
      </c>
      <c r="AA30" s="50">
        <f t="shared" si="26"/>
        <v>2818150.8769298359</v>
      </c>
      <c r="AB30" s="51">
        <f t="shared" si="27"/>
        <v>564135.92750652251</v>
      </c>
      <c r="AC30" s="44">
        <f t="shared" si="28"/>
        <v>2634524.5180235915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0.91115730059915656</v>
      </c>
      <c r="AG30" s="44">
        <f t="shared" si="31"/>
        <v>2866664.2655236633</v>
      </c>
      <c r="AH30" s="52">
        <f>HLOOKUP(I30,ElecAvoidedCostsWOCC!$A$5:$Q$50,T30+1,FALSE)</f>
        <v>0.91115730059915656</v>
      </c>
      <c r="AI30" s="44">
        <f t="shared" si="32"/>
        <v>0</v>
      </c>
      <c r="AJ30" s="44">
        <f t="shared" si="33"/>
        <v>2866664.2655236633</v>
      </c>
      <c r="AK30" s="44">
        <f>HLOOKUP(I30,ElecAvoidedCostsWOCC!$A$5:$Q$50,G30+1,FALSE)*J30*L30</f>
        <v>0</v>
      </c>
      <c r="AL30" s="44">
        <f t="shared" si="34"/>
        <v>2866664.2655236633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2866664.2655236628</v>
      </c>
      <c r="AN30" s="48">
        <f t="shared" si="35"/>
        <v>3153330.6920760293</v>
      </c>
      <c r="AO30" s="47">
        <f t="shared" si="36"/>
        <v>5.0815133831208055</v>
      </c>
      <c r="AP30" s="47">
        <f t="shared" si="37"/>
        <v>1.1969259236356031</v>
      </c>
      <c r="AQ30">
        <v>2020</v>
      </c>
    </row>
    <row r="31" spans="1:43">
      <c r="B31" s="97" t="s">
        <v>15</v>
      </c>
      <c r="C31" s="100">
        <v>18230440</v>
      </c>
      <c r="D31" s="100" t="s">
        <v>53</v>
      </c>
      <c r="E31" s="38" t="s">
        <v>537</v>
      </c>
      <c r="F31" s="39" t="s">
        <v>538</v>
      </c>
      <c r="G31" s="39">
        <v>15</v>
      </c>
      <c r="H31" s="39"/>
      <c r="I31" s="40" t="s">
        <v>248</v>
      </c>
      <c r="J31" s="41">
        <v>47900</v>
      </c>
      <c r="K31" s="41">
        <v>2.5</v>
      </c>
      <c r="L31" s="41"/>
      <c r="M31" s="42">
        <v>1.5</v>
      </c>
      <c r="N31" s="42">
        <v>1.1000000000000001</v>
      </c>
      <c r="O31" s="43">
        <v>119750</v>
      </c>
      <c r="P31" s="44">
        <v>71551.5</v>
      </c>
      <c r="Q31" s="44">
        <v>52690</v>
      </c>
      <c r="R31" s="45">
        <v>0</v>
      </c>
      <c r="S31" s="46">
        <v>0</v>
      </c>
      <c r="T31" s="39">
        <f t="shared" si="19"/>
        <v>15</v>
      </c>
      <c r="U31" s="47">
        <f t="shared" si="20"/>
        <v>6.9854423311819194E-2</v>
      </c>
      <c r="V31" s="48">
        <f t="shared" si="21"/>
        <v>-0.39999999999999991</v>
      </c>
      <c r="W31" s="49">
        <f t="shared" si="22"/>
        <v>4.6569615541212795E-3</v>
      </c>
      <c r="X31" s="44">
        <f t="shared" si="23"/>
        <v>6085.6475510719911</v>
      </c>
      <c r="Y31" s="44">
        <f t="shared" si="24"/>
        <v>-18861.5</v>
      </c>
      <c r="Z31" s="44">
        <f t="shared" si="25"/>
        <v>22968.773413190604</v>
      </c>
      <c r="AA31" s="50">
        <f t="shared" si="26"/>
        <v>58775.64755107199</v>
      </c>
      <c r="AB31" s="51">
        <f t="shared" si="27"/>
        <v>21472.163609601386</v>
      </c>
      <c r="AC31" s="44">
        <f t="shared" si="28"/>
        <v>54945.917127299232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1.107650050703576</v>
      </c>
      <c r="AG31" s="44">
        <f t="shared" si="31"/>
        <v>132641.09357175324</v>
      </c>
      <c r="AH31" s="52">
        <f>HLOOKUP(I31,ElecAvoidedCostsWOCC!$A$5:$Q$50,T31+1,FALSE)</f>
        <v>1.107650050703576</v>
      </c>
      <c r="AI31" s="44">
        <f t="shared" si="32"/>
        <v>0</v>
      </c>
      <c r="AJ31" s="44">
        <f t="shared" si="33"/>
        <v>132641.09357175324</v>
      </c>
      <c r="AK31" s="44">
        <f>HLOOKUP(I31,ElecAvoidedCostsWOCC!$A$5:$Q$50,G31+1,FALSE)*J31*L31</f>
        <v>0</v>
      </c>
      <c r="AL31" s="44">
        <f t="shared" si="34"/>
        <v>132641.09357175324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132641.09357175324</v>
      </c>
      <c r="AN31" s="48">
        <f t="shared" si="35"/>
        <v>145905.20292892857</v>
      </c>
      <c r="AO31" s="47">
        <f t="shared" si="36"/>
        <v>6.1773511036606532</v>
      </c>
      <c r="AP31" s="47">
        <f t="shared" si="37"/>
        <v>2.6554330250033682</v>
      </c>
      <c r="AQ31">
        <v>2020</v>
      </c>
    </row>
    <row r="32" spans="1:43">
      <c r="B32" s="97" t="s">
        <v>15</v>
      </c>
      <c r="C32" s="100">
        <v>18230440</v>
      </c>
      <c r="D32" s="100" t="s">
        <v>53</v>
      </c>
      <c r="E32" s="38" t="s">
        <v>1859</v>
      </c>
      <c r="F32" s="39" t="s">
        <v>541</v>
      </c>
      <c r="G32" s="39">
        <v>12</v>
      </c>
      <c r="H32" s="39"/>
      <c r="I32" s="40" t="s">
        <v>248</v>
      </c>
      <c r="J32" s="41">
        <v>31876</v>
      </c>
      <c r="K32" s="41">
        <v>34.270000000000003</v>
      </c>
      <c r="L32" s="41"/>
      <c r="M32" s="42">
        <v>10</v>
      </c>
      <c r="N32" s="42">
        <v>20</v>
      </c>
      <c r="O32" s="43">
        <v>1092390.52</v>
      </c>
      <c r="P32" s="44">
        <v>48300</v>
      </c>
      <c r="Q32" s="44">
        <v>637520</v>
      </c>
      <c r="R32" s="45">
        <v>0</v>
      </c>
      <c r="S32" s="46">
        <v>0</v>
      </c>
      <c r="T32" s="39">
        <f t="shared" si="19"/>
        <v>12</v>
      </c>
      <c r="U32" s="47">
        <f t="shared" si="20"/>
        <v>0.50978411561351678</v>
      </c>
      <c r="V32" s="48">
        <f t="shared" si="21"/>
        <v>10</v>
      </c>
      <c r="W32" s="49">
        <f t="shared" si="22"/>
        <v>4.2482009634459729E-2</v>
      </c>
      <c r="X32" s="44">
        <f t="shared" si="23"/>
        <v>55514.853384987546</v>
      </c>
      <c r="Y32" s="44">
        <f t="shared" si="24"/>
        <v>589220</v>
      </c>
      <c r="Z32" s="44">
        <f t="shared" si="25"/>
        <v>209527.10089851741</v>
      </c>
      <c r="AA32" s="50">
        <f t="shared" si="26"/>
        <v>693034.85338498757</v>
      </c>
      <c r="AB32" s="51">
        <f t="shared" si="27"/>
        <v>195874.63858887294</v>
      </c>
      <c r="AC32" s="44">
        <f t="shared" si="28"/>
        <v>647877.77263250214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0.91115730059915656</v>
      </c>
      <c r="AG32" s="44">
        <f t="shared" si="31"/>
        <v>995339.59740330896</v>
      </c>
      <c r="AH32" s="52">
        <f>HLOOKUP(I32,ElecAvoidedCostsWOCC!$A$5:$Q$50,T32+1,FALSE)</f>
        <v>0.91115730059915656</v>
      </c>
      <c r="AI32" s="44">
        <f t="shared" si="32"/>
        <v>0</v>
      </c>
      <c r="AJ32" s="44">
        <f t="shared" si="33"/>
        <v>995339.59740330896</v>
      </c>
      <c r="AK32" s="44">
        <f>HLOOKUP(I32,ElecAvoidedCostsWOCC!$A$5:$Q$50,G32+1,FALSE)*J32*L32</f>
        <v>0</v>
      </c>
      <c r="AL32" s="44">
        <f t="shared" si="34"/>
        <v>995339.59740330896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995339.59740330908</v>
      </c>
      <c r="AN32" s="48">
        <f t="shared" si="35"/>
        <v>1094873.55714364</v>
      </c>
      <c r="AO32" s="47">
        <f t="shared" si="36"/>
        <v>5.0815133831208064</v>
      </c>
      <c r="AP32" s="47">
        <f t="shared" si="37"/>
        <v>1.689938447332239</v>
      </c>
      <c r="AQ32">
        <v>2020</v>
      </c>
    </row>
    <row r="33" spans="2:43">
      <c r="B33" s="97" t="s">
        <v>15</v>
      </c>
      <c r="C33" s="100">
        <v>18230440</v>
      </c>
      <c r="D33" s="100" t="s">
        <v>53</v>
      </c>
      <c r="E33" s="38" t="s">
        <v>540</v>
      </c>
      <c r="F33" s="39" t="s">
        <v>541</v>
      </c>
      <c r="G33" s="39">
        <v>12</v>
      </c>
      <c r="H33" s="39"/>
      <c r="I33" s="40" t="s">
        <v>248</v>
      </c>
      <c r="J33" s="41">
        <v>35572</v>
      </c>
      <c r="K33" s="41">
        <v>6.6</v>
      </c>
      <c r="L33" s="41"/>
      <c r="M33" s="42">
        <v>3</v>
      </c>
      <c r="N33" s="42">
        <v>2.87</v>
      </c>
      <c r="O33" s="43">
        <v>234775.2</v>
      </c>
      <c r="P33" s="44">
        <v>106716</v>
      </c>
      <c r="Q33" s="44">
        <v>102091.64</v>
      </c>
      <c r="R33" s="45">
        <v>0</v>
      </c>
      <c r="S33" s="46">
        <v>0</v>
      </c>
      <c r="T33" s="39">
        <f t="shared" si="19"/>
        <v>12</v>
      </c>
      <c r="U33" s="47">
        <f t="shared" si="20"/>
        <v>0.10956216253138716</v>
      </c>
      <c r="V33" s="48">
        <f t="shared" si="21"/>
        <v>-0.12999999999999989</v>
      </c>
      <c r="W33" s="49">
        <f t="shared" si="22"/>
        <v>9.1301802109489301E-3</v>
      </c>
      <c r="X33" s="44">
        <f t="shared" si="23"/>
        <v>11931.182638266697</v>
      </c>
      <c r="Y33" s="44">
        <f t="shared" si="24"/>
        <v>-4624.3600000000006</v>
      </c>
      <c r="Z33" s="44">
        <f t="shared" si="25"/>
        <v>45031.301643728671</v>
      </c>
      <c r="AA33" s="50">
        <f t="shared" si="26"/>
        <v>114022.82263826669</v>
      </c>
      <c r="AB33" s="51">
        <f t="shared" si="27"/>
        <v>42097.131573084669</v>
      </c>
      <c r="AC33" s="44">
        <f t="shared" si="28"/>
        <v>106593.27160724191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0.91115730059915656</v>
      </c>
      <c r="AG33" s="44">
        <f t="shared" si="31"/>
        <v>213917.1374796271</v>
      </c>
      <c r="AH33" s="52">
        <f>HLOOKUP(I33,ElecAvoidedCostsWOCC!$A$5:$Q$50,T33+1,FALSE)</f>
        <v>0.91115730059915656</v>
      </c>
      <c r="AI33" s="44">
        <f t="shared" si="32"/>
        <v>0</v>
      </c>
      <c r="AJ33" s="44">
        <f t="shared" si="33"/>
        <v>213917.1374796271</v>
      </c>
      <c r="AK33" s="44">
        <f>HLOOKUP(I33,ElecAvoidedCostsWOCC!$A$5:$Q$50,G33+1,FALSE)*J33*L33</f>
        <v>0</v>
      </c>
      <c r="AL33" s="44">
        <f t="shared" si="34"/>
        <v>213917.1374796271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213917.1374796271</v>
      </c>
      <c r="AN33" s="48">
        <f t="shared" si="35"/>
        <v>235308.85122758982</v>
      </c>
      <c r="AO33" s="47">
        <f t="shared" si="36"/>
        <v>5.0815133831208046</v>
      </c>
      <c r="AP33" s="47">
        <f t="shared" si="37"/>
        <v>2.2075394410879778</v>
      </c>
      <c r="AQ33">
        <v>2020</v>
      </c>
    </row>
    <row r="34" spans="2:43">
      <c r="B34" s="97" t="s">
        <v>15</v>
      </c>
      <c r="C34" s="100">
        <v>18230440</v>
      </c>
      <c r="D34" s="100" t="s">
        <v>53</v>
      </c>
      <c r="E34" s="38" t="s">
        <v>1860</v>
      </c>
      <c r="F34" s="39" t="s">
        <v>1861</v>
      </c>
      <c r="G34" s="39">
        <v>12</v>
      </c>
      <c r="H34" s="39"/>
      <c r="I34" s="40" t="s">
        <v>248</v>
      </c>
      <c r="J34" s="41">
        <v>1708</v>
      </c>
      <c r="K34" s="41">
        <v>11.32</v>
      </c>
      <c r="L34" s="41"/>
      <c r="M34" s="42">
        <v>2</v>
      </c>
      <c r="N34" s="42">
        <v>2</v>
      </c>
      <c r="O34" s="43">
        <v>19334.559999999801</v>
      </c>
      <c r="P34" s="44">
        <v>6439.1599999999698</v>
      </c>
      <c r="Q34" s="44">
        <v>3416</v>
      </c>
      <c r="R34" s="45">
        <v>0</v>
      </c>
      <c r="S34" s="46">
        <v>0</v>
      </c>
      <c r="T34" s="39">
        <f t="shared" si="19"/>
        <v>12</v>
      </c>
      <c r="U34" s="47">
        <f t="shared" si="20"/>
        <v>9.0228278165361379E-3</v>
      </c>
      <c r="V34" s="48">
        <f t="shared" si="21"/>
        <v>0</v>
      </c>
      <c r="W34" s="49">
        <f t="shared" si="22"/>
        <v>7.5190231804467809E-4</v>
      </c>
      <c r="X34" s="44">
        <f t="shared" si="23"/>
        <v>982.57467820503769</v>
      </c>
      <c r="Y34" s="44">
        <f t="shared" si="24"/>
        <v>-3023.1599999999698</v>
      </c>
      <c r="Z34" s="44">
        <f t="shared" si="25"/>
        <v>3708.4854086324344</v>
      </c>
      <c r="AA34" s="50">
        <f t="shared" si="26"/>
        <v>4398.5746782050373</v>
      </c>
      <c r="AB34" s="51">
        <f t="shared" si="27"/>
        <v>3466.8462266359111</v>
      </c>
      <c r="AC34" s="44">
        <f t="shared" si="28"/>
        <v>4111.9703451482073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0.91115730059915656</v>
      </c>
      <c r="AG34" s="44">
        <f t="shared" si="31"/>
        <v>17616.825497872429</v>
      </c>
      <c r="AH34" s="52">
        <f>HLOOKUP(I34,ElecAvoidedCostsWOCC!$A$5:$Q$50,T34+1,FALSE)</f>
        <v>0.91115730059915656</v>
      </c>
      <c r="AI34" s="44">
        <f t="shared" si="32"/>
        <v>0</v>
      </c>
      <c r="AJ34" s="44">
        <f t="shared" si="33"/>
        <v>17616.825497872429</v>
      </c>
      <c r="AK34" s="44">
        <f>HLOOKUP(I34,ElecAvoidedCostsWOCC!$A$5:$Q$50,G34+1,FALSE)*J34*L34</f>
        <v>0</v>
      </c>
      <c r="AL34" s="44">
        <f t="shared" si="34"/>
        <v>17616.825497872429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17616.825497872429</v>
      </c>
      <c r="AN34" s="48">
        <f t="shared" si="35"/>
        <v>19378.508047659674</v>
      </c>
      <c r="AO34" s="47">
        <f t="shared" si="36"/>
        <v>5.0815133831208579</v>
      </c>
      <c r="AP34" s="47">
        <f t="shared" si="37"/>
        <v>4.7127061775931205</v>
      </c>
      <c r="AQ34">
        <v>2020</v>
      </c>
    </row>
    <row r="35" spans="2:43">
      <c r="B35" s="97" t="s">
        <v>15</v>
      </c>
      <c r="C35" s="100"/>
      <c r="D35" s="100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ref="T35:T38" si="38">G35+H35</f>
        <v>0</v>
      </c>
      <c r="U35" s="47">
        <f t="shared" ref="U35:U38" si="39">(O35/$A$10)*T35</f>
        <v>0</v>
      </c>
      <c r="V35" s="48">
        <f t="shared" ref="V35:V38" si="40">N35-M35</f>
        <v>0</v>
      </c>
      <c r="W35" s="49">
        <f t="shared" ref="W35:W38" si="41">(O35/A$10)</f>
        <v>0</v>
      </c>
      <c r="X35" s="44">
        <f t="shared" ref="X35:X38" si="42">W35*A$8</f>
        <v>0</v>
      </c>
      <c r="Y35" s="44">
        <f t="shared" ref="Y35:Y38" si="43">Q35-P35</f>
        <v>0</v>
      </c>
      <c r="Z35" s="44">
        <f t="shared" ref="Z35:Z38" si="44">X35+(A$6*W35)</f>
        <v>0</v>
      </c>
      <c r="AA35" s="50">
        <f t="shared" ref="AA35:AA38" si="45">Q35+X35</f>
        <v>0</v>
      </c>
      <c r="AB35" s="51">
        <f t="shared" ref="AB35:AB38" si="46">Z35/(1+ElecDiscountRate)^1</f>
        <v>0</v>
      </c>
      <c r="AC35" s="44">
        <f t="shared" ref="AC35:AC38" si="47">AA35/(1+ElecDiscountRate)^1</f>
        <v>0</v>
      </c>
      <c r="AD35" s="44">
        <f t="shared" ref="AD35:AD38" si="48">-PV(ElecDiscountRate,T35,R35)*J35</f>
        <v>0</v>
      </c>
      <c r="AE35" s="44">
        <f t="shared" ref="AE35:AE38" si="49">-PV(ElecDiscountRate,T35,S35)*J35</f>
        <v>0</v>
      </c>
      <c r="AF35" s="52" t="e">
        <f>HLOOKUP(I35,ElecAvoidedCostsWOCC!$A$5:$Q$50,G35+1,FALSE)</f>
        <v>#N/A</v>
      </c>
      <c r="AG35" s="44" t="e">
        <f t="shared" ref="AG35:AG38" si="50">AF35*J35*K35</f>
        <v>#N/A</v>
      </c>
      <c r="AH35" s="52" t="e">
        <f>HLOOKUP(I35,ElecAvoidedCostsWOCC!$A$5:$Q$50,T35+1,FALSE)</f>
        <v>#N/A</v>
      </c>
      <c r="AI35" s="44" t="e">
        <f t="shared" ref="AI35:AI38" si="51">AH35*J35*L35</f>
        <v>#N/A</v>
      </c>
      <c r="AJ35" s="44" t="e">
        <f t="shared" ref="AJ35:AJ38" si="52">AG35+AI35</f>
        <v>#N/A</v>
      </c>
      <c r="AK35" s="44" t="e">
        <f>HLOOKUP(I35,ElecAvoidedCostsWOCC!$A$5:$Q$50,G35+1,FALSE)*J35*L35</f>
        <v>#N/A</v>
      </c>
      <c r="AL35" s="44" t="e">
        <f t="shared" ref="AL35:AL38" si="53">AG35+AI35-AK35</f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ref="AN35:AN38" si="54">AM35*1.1+AD35+AE35</f>
        <v>0</v>
      </c>
      <c r="AO35" s="47">
        <f t="shared" ref="AO35:AO38" si="55">IFERROR(AM35/AB35,0)</f>
        <v>0</v>
      </c>
      <c r="AP35" s="47" t="e">
        <f t="shared" ref="AP35:AP38" si="56">AN35/AC35</f>
        <v>#DIV/0!</v>
      </c>
    </row>
    <row r="36" spans="2:43">
      <c r="B36" s="97" t="s">
        <v>15</v>
      </c>
      <c r="C36" s="100"/>
      <c r="D36" s="100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38"/>
        <v>0</v>
      </c>
      <c r="U36" s="47">
        <f t="shared" si="39"/>
        <v>0</v>
      </c>
      <c r="V36" s="48">
        <f t="shared" si="40"/>
        <v>0</v>
      </c>
      <c r="W36" s="49">
        <f t="shared" si="41"/>
        <v>0</v>
      </c>
      <c r="X36" s="44">
        <f t="shared" si="42"/>
        <v>0</v>
      </c>
      <c r="Y36" s="44">
        <f t="shared" si="43"/>
        <v>0</v>
      </c>
      <c r="Z36" s="44">
        <f t="shared" si="44"/>
        <v>0</v>
      </c>
      <c r="AA36" s="50">
        <f t="shared" si="45"/>
        <v>0</v>
      </c>
      <c r="AB36" s="51">
        <f t="shared" si="46"/>
        <v>0</v>
      </c>
      <c r="AC36" s="44">
        <f t="shared" si="47"/>
        <v>0</v>
      </c>
      <c r="AD36" s="44">
        <f t="shared" si="48"/>
        <v>0</v>
      </c>
      <c r="AE36" s="44">
        <f t="shared" si="49"/>
        <v>0</v>
      </c>
      <c r="AF36" s="52" t="e">
        <f>HLOOKUP(I36,ElecAvoidedCostsWOCC!$A$5:$Q$50,G36+1,FALSE)</f>
        <v>#N/A</v>
      </c>
      <c r="AG36" s="44" t="e">
        <f t="shared" si="50"/>
        <v>#N/A</v>
      </c>
      <c r="AH36" s="52" t="e">
        <f>HLOOKUP(I36,ElecAvoidedCostsWOCC!$A$5:$Q$50,T36+1,FALSE)</f>
        <v>#N/A</v>
      </c>
      <c r="AI36" s="44" t="e">
        <f t="shared" si="51"/>
        <v>#N/A</v>
      </c>
      <c r="AJ36" s="44" t="e">
        <f t="shared" si="52"/>
        <v>#N/A</v>
      </c>
      <c r="AK36" s="44" t="e">
        <f>HLOOKUP(I36,ElecAvoidedCostsWOCC!$A$5:$Q$50,G36+1,FALSE)*J36*L36</f>
        <v>#N/A</v>
      </c>
      <c r="AL36" s="44" t="e">
        <f t="shared" si="53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54"/>
        <v>0</v>
      </c>
      <c r="AO36" s="47">
        <f t="shared" si="55"/>
        <v>0</v>
      </c>
      <c r="AP36" s="47" t="e">
        <f t="shared" si="56"/>
        <v>#DIV/0!</v>
      </c>
    </row>
    <row r="37" spans="2:43">
      <c r="B37" s="97" t="s">
        <v>15</v>
      </c>
      <c r="C37" s="100"/>
      <c r="D37" s="100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38"/>
        <v>0</v>
      </c>
      <c r="U37" s="47">
        <f t="shared" si="39"/>
        <v>0</v>
      </c>
      <c r="V37" s="48">
        <f t="shared" si="40"/>
        <v>0</v>
      </c>
      <c r="W37" s="49">
        <f t="shared" si="41"/>
        <v>0</v>
      </c>
      <c r="X37" s="44">
        <f t="shared" si="42"/>
        <v>0</v>
      </c>
      <c r="Y37" s="44">
        <f t="shared" si="43"/>
        <v>0</v>
      </c>
      <c r="Z37" s="44">
        <f t="shared" si="44"/>
        <v>0</v>
      </c>
      <c r="AA37" s="50">
        <f t="shared" si="45"/>
        <v>0</v>
      </c>
      <c r="AB37" s="51">
        <f t="shared" si="46"/>
        <v>0</v>
      </c>
      <c r="AC37" s="44">
        <f t="shared" si="47"/>
        <v>0</v>
      </c>
      <c r="AD37" s="44">
        <f t="shared" si="48"/>
        <v>0</v>
      </c>
      <c r="AE37" s="44">
        <f t="shared" si="49"/>
        <v>0</v>
      </c>
      <c r="AF37" s="52" t="e">
        <f>HLOOKUP(I37,ElecAvoidedCostsWOCC!$A$5:$Q$50,G37+1,FALSE)</f>
        <v>#N/A</v>
      </c>
      <c r="AG37" s="44" t="e">
        <f t="shared" si="50"/>
        <v>#N/A</v>
      </c>
      <c r="AH37" s="52" t="e">
        <f>HLOOKUP(I37,ElecAvoidedCostsWOCC!$A$5:$Q$50,T37+1,FALSE)</f>
        <v>#N/A</v>
      </c>
      <c r="AI37" s="44" t="e">
        <f t="shared" si="51"/>
        <v>#N/A</v>
      </c>
      <c r="AJ37" s="44" t="e">
        <f t="shared" si="52"/>
        <v>#N/A</v>
      </c>
      <c r="AK37" s="44" t="e">
        <f>HLOOKUP(I37,ElecAvoidedCostsWOCC!$A$5:$Q$50,G37+1,FALSE)*J37*L37</f>
        <v>#N/A</v>
      </c>
      <c r="AL37" s="44" t="e">
        <f t="shared" si="53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54"/>
        <v>0</v>
      </c>
      <c r="AO37" s="47">
        <f t="shared" si="55"/>
        <v>0</v>
      </c>
      <c r="AP37" s="47" t="e">
        <f t="shared" si="56"/>
        <v>#DIV/0!</v>
      </c>
    </row>
    <row r="38" spans="2:43">
      <c r="B38" s="97" t="s">
        <v>15</v>
      </c>
      <c r="C38" s="100"/>
      <c r="D38" s="100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38"/>
        <v>0</v>
      </c>
      <c r="U38" s="47">
        <f t="shared" si="39"/>
        <v>0</v>
      </c>
      <c r="V38" s="48">
        <f t="shared" si="40"/>
        <v>0</v>
      </c>
      <c r="W38" s="49">
        <f t="shared" si="41"/>
        <v>0</v>
      </c>
      <c r="X38" s="44">
        <f t="shared" si="42"/>
        <v>0</v>
      </c>
      <c r="Y38" s="44">
        <f t="shared" si="43"/>
        <v>0</v>
      </c>
      <c r="Z38" s="44">
        <f t="shared" si="44"/>
        <v>0</v>
      </c>
      <c r="AA38" s="50">
        <f t="shared" si="45"/>
        <v>0</v>
      </c>
      <c r="AB38" s="51">
        <f t="shared" si="46"/>
        <v>0</v>
      </c>
      <c r="AC38" s="44">
        <f t="shared" si="47"/>
        <v>0</v>
      </c>
      <c r="AD38" s="44">
        <f t="shared" si="48"/>
        <v>0</v>
      </c>
      <c r="AE38" s="44">
        <f t="shared" si="49"/>
        <v>0</v>
      </c>
      <c r="AF38" s="52" t="e">
        <f>HLOOKUP(I38,ElecAvoidedCostsWOCC!$A$5:$Q$50,G38+1,FALSE)</f>
        <v>#N/A</v>
      </c>
      <c r="AG38" s="44" t="e">
        <f t="shared" si="50"/>
        <v>#N/A</v>
      </c>
      <c r="AH38" s="52" t="e">
        <f>HLOOKUP(I38,ElecAvoidedCostsWOCC!$A$5:$Q$50,T38+1,FALSE)</f>
        <v>#N/A</v>
      </c>
      <c r="AI38" s="44" t="e">
        <f t="shared" si="51"/>
        <v>#N/A</v>
      </c>
      <c r="AJ38" s="44" t="e">
        <f t="shared" si="52"/>
        <v>#N/A</v>
      </c>
      <c r="AK38" s="44" t="e">
        <f>HLOOKUP(I38,ElecAvoidedCostsWOCC!$A$5:$Q$50,G38+1,FALSE)*J38*L38</f>
        <v>#N/A</v>
      </c>
      <c r="AL38" s="44" t="e">
        <f t="shared" si="53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54"/>
        <v>0</v>
      </c>
      <c r="AO38" s="47">
        <f t="shared" si="55"/>
        <v>0</v>
      </c>
      <c r="AP38" s="47" t="e">
        <f t="shared" si="56"/>
        <v>#DIV/0!</v>
      </c>
    </row>
    <row r="39" spans="2:43">
      <c r="B39" s="97" t="s">
        <v>15</v>
      </c>
      <c r="C39" s="100"/>
      <c r="D39" s="100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ref="T39:T102" si="57">G39+H39</f>
        <v>0</v>
      </c>
      <c r="U39" s="47">
        <f t="shared" ref="U39:U102" si="58">(O39/$A$10)*T39</f>
        <v>0</v>
      </c>
      <c r="V39" s="48">
        <f t="shared" ref="V39:V102" si="59">N39-M39</f>
        <v>0</v>
      </c>
      <c r="W39" s="49">
        <f t="shared" ref="W39:W102" si="60">(O39/A$10)</f>
        <v>0</v>
      </c>
      <c r="X39" s="44">
        <f t="shared" ref="X39:X102" si="61">W39*A$8</f>
        <v>0</v>
      </c>
      <c r="Y39" s="44">
        <f t="shared" ref="Y39:Y102" si="62">Q39-P39</f>
        <v>0</v>
      </c>
      <c r="Z39" s="44">
        <f t="shared" ref="Z39:Z102" si="63">X39+(A$6*W39)</f>
        <v>0</v>
      </c>
      <c r="AA39" s="50">
        <f t="shared" ref="AA39:AA102" si="64">Q39+X39</f>
        <v>0</v>
      </c>
      <c r="AB39" s="51">
        <f t="shared" ref="AB39:AB102" si="65">Z39/(1+ElecDiscountRate)^1</f>
        <v>0</v>
      </c>
      <c r="AC39" s="44">
        <f t="shared" ref="AC39:AC102" si="66">AA39/(1+ElecDiscountRate)^1</f>
        <v>0</v>
      </c>
      <c r="AD39" s="44">
        <f t="shared" ref="AD39:AD102" si="67">-PV(ElecDiscountRate,T39,R39)*J39</f>
        <v>0</v>
      </c>
      <c r="AE39" s="44">
        <f t="shared" ref="AE39:AE102" si="68">-PV(ElecDiscountRate,T39,S39)*J39</f>
        <v>0</v>
      </c>
      <c r="AF39" s="52" t="e">
        <f>HLOOKUP(I39,ElecAvoidedCostsWOCC!$A$5:$Q$50,G39+1,FALSE)</f>
        <v>#N/A</v>
      </c>
      <c r="AG39" s="44" t="e">
        <f t="shared" ref="AG39:AG102" si="69">AF39*J39*K39</f>
        <v>#N/A</v>
      </c>
      <c r="AH39" s="52" t="e">
        <f>HLOOKUP(I39,ElecAvoidedCostsWOCC!$A$5:$Q$50,T39+1,FALSE)</f>
        <v>#N/A</v>
      </c>
      <c r="AI39" s="44" t="e">
        <f t="shared" ref="AI39:AI102" si="70">AH39*J39*L39</f>
        <v>#N/A</v>
      </c>
      <c r="AJ39" s="44" t="e">
        <f t="shared" ref="AJ39:AJ102" si="71">AG39+AI39</f>
        <v>#N/A</v>
      </c>
      <c r="AK39" s="44" t="e">
        <f>HLOOKUP(I39,ElecAvoidedCostsWOCC!$A$5:$Q$50,G39+1,FALSE)*J39*L39</f>
        <v>#N/A</v>
      </c>
      <c r="AL39" s="44" t="e">
        <f t="shared" ref="AL39:AL102" si="72">AG39+AI39-AK39</f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ref="AN39:AN102" si="73">AM39*1.1+AD39+AE39</f>
        <v>0</v>
      </c>
      <c r="AO39" s="47">
        <f t="shared" ref="AO39:AO102" si="74">IFERROR(AM39/AB39,0)</f>
        <v>0</v>
      </c>
      <c r="AP39" s="47" t="e">
        <f t="shared" ref="AP39:AP102" si="75">AN39/AC39</f>
        <v>#DIV/0!</v>
      </c>
    </row>
    <row r="40" spans="2:43">
      <c r="B40" s="97" t="s">
        <v>15</v>
      </c>
      <c r="C40" s="100"/>
      <c r="D40" s="100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57"/>
        <v>0</v>
      </c>
      <c r="U40" s="47">
        <f t="shared" si="58"/>
        <v>0</v>
      </c>
      <c r="V40" s="48">
        <f t="shared" si="59"/>
        <v>0</v>
      </c>
      <c r="W40" s="49">
        <f t="shared" si="60"/>
        <v>0</v>
      </c>
      <c r="X40" s="44">
        <f t="shared" si="61"/>
        <v>0</v>
      </c>
      <c r="Y40" s="44">
        <f t="shared" si="62"/>
        <v>0</v>
      </c>
      <c r="Z40" s="44">
        <f t="shared" si="63"/>
        <v>0</v>
      </c>
      <c r="AA40" s="50">
        <f t="shared" si="64"/>
        <v>0</v>
      </c>
      <c r="AB40" s="51">
        <f t="shared" si="65"/>
        <v>0</v>
      </c>
      <c r="AC40" s="44">
        <f t="shared" si="66"/>
        <v>0</v>
      </c>
      <c r="AD40" s="44">
        <f t="shared" si="67"/>
        <v>0</v>
      </c>
      <c r="AE40" s="44">
        <f t="shared" si="68"/>
        <v>0</v>
      </c>
      <c r="AF40" s="52" t="e">
        <f>HLOOKUP(I40,ElecAvoidedCostsWOCC!$A$5:$Q$50,G40+1,FALSE)</f>
        <v>#N/A</v>
      </c>
      <c r="AG40" s="44" t="e">
        <f t="shared" si="69"/>
        <v>#N/A</v>
      </c>
      <c r="AH40" s="52" t="e">
        <f>HLOOKUP(I40,ElecAvoidedCostsWOCC!$A$5:$Q$50,T40+1,FALSE)</f>
        <v>#N/A</v>
      </c>
      <c r="AI40" s="44" t="e">
        <f t="shared" si="70"/>
        <v>#N/A</v>
      </c>
      <c r="AJ40" s="44" t="e">
        <f t="shared" si="71"/>
        <v>#N/A</v>
      </c>
      <c r="AK40" s="44" t="e">
        <f>HLOOKUP(I40,ElecAvoidedCostsWOCC!$A$5:$Q$50,G40+1,FALSE)*J40*L40</f>
        <v>#N/A</v>
      </c>
      <c r="AL40" s="44" t="e">
        <f t="shared" si="72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73"/>
        <v>0</v>
      </c>
      <c r="AO40" s="47">
        <f t="shared" si="74"/>
        <v>0</v>
      </c>
      <c r="AP40" s="47" t="e">
        <f t="shared" si="75"/>
        <v>#DIV/0!</v>
      </c>
    </row>
    <row r="41" spans="2:43">
      <c r="B41" s="97" t="s">
        <v>15</v>
      </c>
      <c r="C41" s="100"/>
      <c r="D41" s="100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57"/>
        <v>0</v>
      </c>
      <c r="U41" s="47">
        <f t="shared" si="58"/>
        <v>0</v>
      </c>
      <c r="V41" s="48">
        <f t="shared" si="59"/>
        <v>0</v>
      </c>
      <c r="W41" s="49">
        <f t="shared" si="60"/>
        <v>0</v>
      </c>
      <c r="X41" s="44">
        <f t="shared" si="61"/>
        <v>0</v>
      </c>
      <c r="Y41" s="44">
        <f t="shared" si="62"/>
        <v>0</v>
      </c>
      <c r="Z41" s="44">
        <f t="shared" si="63"/>
        <v>0</v>
      </c>
      <c r="AA41" s="50">
        <f t="shared" si="64"/>
        <v>0</v>
      </c>
      <c r="AB41" s="51">
        <f t="shared" si="65"/>
        <v>0</v>
      </c>
      <c r="AC41" s="44">
        <f t="shared" si="66"/>
        <v>0</v>
      </c>
      <c r="AD41" s="44">
        <f t="shared" si="67"/>
        <v>0</v>
      </c>
      <c r="AE41" s="44">
        <f t="shared" si="68"/>
        <v>0</v>
      </c>
      <c r="AF41" s="52" t="e">
        <f>HLOOKUP(I41,ElecAvoidedCostsWOCC!$A$5:$Q$50,G41+1,FALSE)</f>
        <v>#N/A</v>
      </c>
      <c r="AG41" s="44" t="e">
        <f t="shared" si="69"/>
        <v>#N/A</v>
      </c>
      <c r="AH41" s="52" t="e">
        <f>HLOOKUP(I41,ElecAvoidedCostsWOCC!$A$5:$Q$50,T41+1,FALSE)</f>
        <v>#N/A</v>
      </c>
      <c r="AI41" s="44" t="e">
        <f t="shared" si="70"/>
        <v>#N/A</v>
      </c>
      <c r="AJ41" s="44" t="e">
        <f t="shared" si="71"/>
        <v>#N/A</v>
      </c>
      <c r="AK41" s="44" t="e">
        <f>HLOOKUP(I41,ElecAvoidedCostsWOCC!$A$5:$Q$50,G41+1,FALSE)*J41*L41</f>
        <v>#N/A</v>
      </c>
      <c r="AL41" s="44" t="e">
        <f t="shared" si="72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73"/>
        <v>0</v>
      </c>
      <c r="AO41" s="47">
        <f t="shared" si="74"/>
        <v>0</v>
      </c>
      <c r="AP41" s="47" t="e">
        <f t="shared" si="75"/>
        <v>#DIV/0!</v>
      </c>
    </row>
    <row r="42" spans="2:43">
      <c r="B42" s="97" t="s">
        <v>15</v>
      </c>
      <c r="C42" s="100"/>
      <c r="D42" s="100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57"/>
        <v>0</v>
      </c>
      <c r="U42" s="47">
        <f t="shared" si="58"/>
        <v>0</v>
      </c>
      <c r="V42" s="48">
        <f t="shared" si="59"/>
        <v>0</v>
      </c>
      <c r="W42" s="49">
        <f t="shared" si="60"/>
        <v>0</v>
      </c>
      <c r="X42" s="44">
        <f t="shared" si="61"/>
        <v>0</v>
      </c>
      <c r="Y42" s="44">
        <f t="shared" si="62"/>
        <v>0</v>
      </c>
      <c r="Z42" s="44">
        <f t="shared" si="63"/>
        <v>0</v>
      </c>
      <c r="AA42" s="50">
        <f t="shared" si="64"/>
        <v>0</v>
      </c>
      <c r="AB42" s="51">
        <f t="shared" si="65"/>
        <v>0</v>
      </c>
      <c r="AC42" s="44">
        <f t="shared" si="66"/>
        <v>0</v>
      </c>
      <c r="AD42" s="44">
        <f t="shared" si="67"/>
        <v>0</v>
      </c>
      <c r="AE42" s="44">
        <f t="shared" si="68"/>
        <v>0</v>
      </c>
      <c r="AF42" s="52" t="e">
        <f>HLOOKUP(I42,ElecAvoidedCostsWOCC!$A$5:$Q$50,G42+1,FALSE)</f>
        <v>#N/A</v>
      </c>
      <c r="AG42" s="44" t="e">
        <f t="shared" si="69"/>
        <v>#N/A</v>
      </c>
      <c r="AH42" s="52" t="e">
        <f>HLOOKUP(I42,ElecAvoidedCostsWOCC!$A$5:$Q$50,T42+1,FALSE)</f>
        <v>#N/A</v>
      </c>
      <c r="AI42" s="44" t="e">
        <f t="shared" si="70"/>
        <v>#N/A</v>
      </c>
      <c r="AJ42" s="44" t="e">
        <f t="shared" si="71"/>
        <v>#N/A</v>
      </c>
      <c r="AK42" s="44" t="e">
        <f>HLOOKUP(I42,ElecAvoidedCostsWOCC!$A$5:$Q$50,G42+1,FALSE)*J42*L42</f>
        <v>#N/A</v>
      </c>
      <c r="AL42" s="44" t="e">
        <f t="shared" si="72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73"/>
        <v>0</v>
      </c>
      <c r="AO42" s="47">
        <f t="shared" si="74"/>
        <v>0</v>
      </c>
      <c r="AP42" s="47" t="e">
        <f t="shared" si="75"/>
        <v>#DIV/0!</v>
      </c>
    </row>
    <row r="43" spans="2:43">
      <c r="B43" s="97" t="s">
        <v>15</v>
      </c>
      <c r="C43" s="100"/>
      <c r="D43" s="100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57"/>
        <v>0</v>
      </c>
      <c r="U43" s="47">
        <f t="shared" si="58"/>
        <v>0</v>
      </c>
      <c r="V43" s="48">
        <f t="shared" si="59"/>
        <v>0</v>
      </c>
      <c r="W43" s="49">
        <f t="shared" si="60"/>
        <v>0</v>
      </c>
      <c r="X43" s="44">
        <f t="shared" si="61"/>
        <v>0</v>
      </c>
      <c r="Y43" s="44">
        <f t="shared" si="62"/>
        <v>0</v>
      </c>
      <c r="Z43" s="44">
        <f t="shared" si="63"/>
        <v>0</v>
      </c>
      <c r="AA43" s="50">
        <f t="shared" si="64"/>
        <v>0</v>
      </c>
      <c r="AB43" s="51">
        <f t="shared" si="65"/>
        <v>0</v>
      </c>
      <c r="AC43" s="44">
        <f t="shared" si="66"/>
        <v>0</v>
      </c>
      <c r="AD43" s="44">
        <f t="shared" si="67"/>
        <v>0</v>
      </c>
      <c r="AE43" s="44">
        <f t="shared" si="68"/>
        <v>0</v>
      </c>
      <c r="AF43" s="52" t="e">
        <f>HLOOKUP(I43,ElecAvoidedCostsWOCC!$A$5:$Q$50,G43+1,FALSE)</f>
        <v>#N/A</v>
      </c>
      <c r="AG43" s="44" t="e">
        <f t="shared" si="69"/>
        <v>#N/A</v>
      </c>
      <c r="AH43" s="52" t="e">
        <f>HLOOKUP(I43,ElecAvoidedCostsWOCC!$A$5:$Q$50,T43+1,FALSE)</f>
        <v>#N/A</v>
      </c>
      <c r="AI43" s="44" t="e">
        <f t="shared" si="70"/>
        <v>#N/A</v>
      </c>
      <c r="AJ43" s="44" t="e">
        <f t="shared" si="71"/>
        <v>#N/A</v>
      </c>
      <c r="AK43" s="44" t="e">
        <f>HLOOKUP(I43,ElecAvoidedCostsWOCC!$A$5:$Q$50,G43+1,FALSE)*J43*L43</f>
        <v>#N/A</v>
      </c>
      <c r="AL43" s="44" t="e">
        <f t="shared" si="72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73"/>
        <v>0</v>
      </c>
      <c r="AO43" s="47">
        <f t="shared" si="74"/>
        <v>0</v>
      </c>
      <c r="AP43" s="47" t="e">
        <f t="shared" si="75"/>
        <v>#DIV/0!</v>
      </c>
    </row>
    <row r="44" spans="2:43">
      <c r="B44" s="97" t="s">
        <v>15</v>
      </c>
      <c r="C44" s="100"/>
      <c r="D44" s="100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57"/>
        <v>0</v>
      </c>
      <c r="U44" s="47">
        <f t="shared" si="58"/>
        <v>0</v>
      </c>
      <c r="V44" s="48">
        <f t="shared" si="59"/>
        <v>0</v>
      </c>
      <c r="W44" s="49">
        <f t="shared" si="60"/>
        <v>0</v>
      </c>
      <c r="X44" s="44">
        <f t="shared" si="61"/>
        <v>0</v>
      </c>
      <c r="Y44" s="44">
        <f t="shared" si="62"/>
        <v>0</v>
      </c>
      <c r="Z44" s="44">
        <f t="shared" si="63"/>
        <v>0</v>
      </c>
      <c r="AA44" s="50">
        <f t="shared" si="64"/>
        <v>0</v>
      </c>
      <c r="AB44" s="51">
        <f t="shared" si="65"/>
        <v>0</v>
      </c>
      <c r="AC44" s="44">
        <f t="shared" si="66"/>
        <v>0</v>
      </c>
      <c r="AD44" s="44">
        <f t="shared" si="67"/>
        <v>0</v>
      </c>
      <c r="AE44" s="44">
        <f t="shared" si="68"/>
        <v>0</v>
      </c>
      <c r="AF44" s="52" t="e">
        <f>HLOOKUP(I44,ElecAvoidedCostsWOCC!$A$5:$Q$50,G44+1,FALSE)</f>
        <v>#N/A</v>
      </c>
      <c r="AG44" s="44" t="e">
        <f t="shared" si="69"/>
        <v>#N/A</v>
      </c>
      <c r="AH44" s="52" t="e">
        <f>HLOOKUP(I44,ElecAvoidedCostsWOCC!$A$5:$Q$50,T44+1,FALSE)</f>
        <v>#N/A</v>
      </c>
      <c r="AI44" s="44" t="e">
        <f t="shared" si="70"/>
        <v>#N/A</v>
      </c>
      <c r="AJ44" s="44" t="e">
        <f t="shared" si="71"/>
        <v>#N/A</v>
      </c>
      <c r="AK44" s="44" t="e">
        <f>HLOOKUP(I44,ElecAvoidedCostsWOCC!$A$5:$Q$50,G44+1,FALSE)*J44*L44</f>
        <v>#N/A</v>
      </c>
      <c r="AL44" s="44" t="e">
        <f t="shared" si="72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73"/>
        <v>0</v>
      </c>
      <c r="AO44" s="47">
        <f t="shared" si="74"/>
        <v>0</v>
      </c>
      <c r="AP44" s="47" t="e">
        <f t="shared" si="75"/>
        <v>#DIV/0!</v>
      </c>
    </row>
    <row r="45" spans="2:43">
      <c r="B45" s="97" t="s">
        <v>15</v>
      </c>
      <c r="C45" s="100"/>
      <c r="D45" s="100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57"/>
        <v>0</v>
      </c>
      <c r="U45" s="47">
        <f t="shared" si="58"/>
        <v>0</v>
      </c>
      <c r="V45" s="48">
        <f t="shared" si="59"/>
        <v>0</v>
      </c>
      <c r="W45" s="49">
        <f t="shared" si="60"/>
        <v>0</v>
      </c>
      <c r="X45" s="44">
        <f t="shared" si="61"/>
        <v>0</v>
      </c>
      <c r="Y45" s="44">
        <f t="shared" si="62"/>
        <v>0</v>
      </c>
      <c r="Z45" s="44">
        <f t="shared" si="63"/>
        <v>0</v>
      </c>
      <c r="AA45" s="50">
        <f t="shared" si="64"/>
        <v>0</v>
      </c>
      <c r="AB45" s="51">
        <f t="shared" si="65"/>
        <v>0</v>
      </c>
      <c r="AC45" s="44">
        <f t="shared" si="66"/>
        <v>0</v>
      </c>
      <c r="AD45" s="44">
        <f t="shared" si="67"/>
        <v>0</v>
      </c>
      <c r="AE45" s="44">
        <f t="shared" si="68"/>
        <v>0</v>
      </c>
      <c r="AF45" s="52" t="e">
        <f>HLOOKUP(I45,ElecAvoidedCostsWOCC!$A$5:$Q$50,G45+1,FALSE)</f>
        <v>#N/A</v>
      </c>
      <c r="AG45" s="44" t="e">
        <f t="shared" si="69"/>
        <v>#N/A</v>
      </c>
      <c r="AH45" s="52" t="e">
        <f>HLOOKUP(I45,ElecAvoidedCostsWOCC!$A$5:$Q$50,T45+1,FALSE)</f>
        <v>#N/A</v>
      </c>
      <c r="AI45" s="44" t="e">
        <f t="shared" si="70"/>
        <v>#N/A</v>
      </c>
      <c r="AJ45" s="44" t="e">
        <f t="shared" si="71"/>
        <v>#N/A</v>
      </c>
      <c r="AK45" s="44" t="e">
        <f>HLOOKUP(I45,ElecAvoidedCostsWOCC!$A$5:$Q$50,G45+1,FALSE)*J45*L45</f>
        <v>#N/A</v>
      </c>
      <c r="AL45" s="44" t="e">
        <f t="shared" si="72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73"/>
        <v>0</v>
      </c>
      <c r="AO45" s="47">
        <f t="shared" si="74"/>
        <v>0</v>
      </c>
      <c r="AP45" s="47" t="e">
        <f t="shared" si="75"/>
        <v>#DIV/0!</v>
      </c>
    </row>
    <row r="46" spans="2:43">
      <c r="B46" s="97" t="s">
        <v>15</v>
      </c>
      <c r="C46" s="100"/>
      <c r="D46" s="100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57"/>
        <v>0</v>
      </c>
      <c r="U46" s="47">
        <f t="shared" si="58"/>
        <v>0</v>
      </c>
      <c r="V46" s="48">
        <f t="shared" si="59"/>
        <v>0</v>
      </c>
      <c r="W46" s="49">
        <f t="shared" si="60"/>
        <v>0</v>
      </c>
      <c r="X46" s="44">
        <f t="shared" si="61"/>
        <v>0</v>
      </c>
      <c r="Y46" s="44">
        <f t="shared" si="62"/>
        <v>0</v>
      </c>
      <c r="Z46" s="44">
        <f t="shared" si="63"/>
        <v>0</v>
      </c>
      <c r="AA46" s="50">
        <f t="shared" si="64"/>
        <v>0</v>
      </c>
      <c r="AB46" s="51">
        <f t="shared" si="65"/>
        <v>0</v>
      </c>
      <c r="AC46" s="44">
        <f t="shared" si="66"/>
        <v>0</v>
      </c>
      <c r="AD46" s="44">
        <f t="shared" si="67"/>
        <v>0</v>
      </c>
      <c r="AE46" s="44">
        <f t="shared" si="68"/>
        <v>0</v>
      </c>
      <c r="AF46" s="52" t="e">
        <f>HLOOKUP(I46,ElecAvoidedCostsWOCC!$A$5:$Q$50,G46+1,FALSE)</f>
        <v>#N/A</v>
      </c>
      <c r="AG46" s="44" t="e">
        <f t="shared" si="69"/>
        <v>#N/A</v>
      </c>
      <c r="AH46" s="52" t="e">
        <f>HLOOKUP(I46,ElecAvoidedCostsWOCC!$A$5:$Q$50,T46+1,FALSE)</f>
        <v>#N/A</v>
      </c>
      <c r="AI46" s="44" t="e">
        <f t="shared" si="70"/>
        <v>#N/A</v>
      </c>
      <c r="AJ46" s="44" t="e">
        <f t="shared" si="71"/>
        <v>#N/A</v>
      </c>
      <c r="AK46" s="44" t="e">
        <f>HLOOKUP(I46,ElecAvoidedCostsWOCC!$A$5:$Q$50,G46+1,FALSE)*J46*L46</f>
        <v>#N/A</v>
      </c>
      <c r="AL46" s="44" t="e">
        <f t="shared" si="72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73"/>
        <v>0</v>
      </c>
      <c r="AO46" s="47">
        <f t="shared" si="74"/>
        <v>0</v>
      </c>
      <c r="AP46" s="47" t="e">
        <f t="shared" si="75"/>
        <v>#DIV/0!</v>
      </c>
    </row>
    <row r="47" spans="2:43">
      <c r="B47" s="97" t="s">
        <v>15</v>
      </c>
      <c r="C47" s="100"/>
      <c r="D47" s="100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57"/>
        <v>0</v>
      </c>
      <c r="U47" s="47">
        <f t="shared" si="58"/>
        <v>0</v>
      </c>
      <c r="V47" s="48">
        <f t="shared" si="59"/>
        <v>0</v>
      </c>
      <c r="W47" s="49">
        <f t="shared" si="60"/>
        <v>0</v>
      </c>
      <c r="X47" s="44">
        <f t="shared" si="61"/>
        <v>0</v>
      </c>
      <c r="Y47" s="44">
        <f t="shared" si="62"/>
        <v>0</v>
      </c>
      <c r="Z47" s="44">
        <f t="shared" si="63"/>
        <v>0</v>
      </c>
      <c r="AA47" s="50">
        <f t="shared" si="64"/>
        <v>0</v>
      </c>
      <c r="AB47" s="51">
        <f t="shared" si="65"/>
        <v>0</v>
      </c>
      <c r="AC47" s="44">
        <f t="shared" si="66"/>
        <v>0</v>
      </c>
      <c r="AD47" s="44">
        <f t="shared" si="67"/>
        <v>0</v>
      </c>
      <c r="AE47" s="44">
        <f t="shared" si="68"/>
        <v>0</v>
      </c>
      <c r="AF47" s="52" t="e">
        <f>HLOOKUP(I47,ElecAvoidedCostsWOCC!$A$5:$Q$50,G47+1,FALSE)</f>
        <v>#N/A</v>
      </c>
      <c r="AG47" s="44" t="e">
        <f t="shared" si="69"/>
        <v>#N/A</v>
      </c>
      <c r="AH47" s="52" t="e">
        <f>HLOOKUP(I47,ElecAvoidedCostsWOCC!$A$5:$Q$50,T47+1,FALSE)</f>
        <v>#N/A</v>
      </c>
      <c r="AI47" s="44" t="e">
        <f t="shared" si="70"/>
        <v>#N/A</v>
      </c>
      <c r="AJ47" s="44" t="e">
        <f t="shared" si="71"/>
        <v>#N/A</v>
      </c>
      <c r="AK47" s="44" t="e">
        <f>HLOOKUP(I47,ElecAvoidedCostsWOCC!$A$5:$Q$50,G47+1,FALSE)*J47*L47</f>
        <v>#N/A</v>
      </c>
      <c r="AL47" s="44" t="e">
        <f t="shared" si="72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73"/>
        <v>0</v>
      </c>
      <c r="AO47" s="47">
        <f t="shared" si="74"/>
        <v>0</v>
      </c>
      <c r="AP47" s="47" t="e">
        <f t="shared" si="75"/>
        <v>#DIV/0!</v>
      </c>
    </row>
    <row r="48" spans="2:43">
      <c r="B48" s="97" t="s">
        <v>15</v>
      </c>
      <c r="C48" s="100"/>
      <c r="D48" s="100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57"/>
        <v>0</v>
      </c>
      <c r="U48" s="47">
        <f t="shared" si="58"/>
        <v>0</v>
      </c>
      <c r="V48" s="48">
        <f t="shared" si="59"/>
        <v>0</v>
      </c>
      <c r="W48" s="49">
        <f t="shared" si="60"/>
        <v>0</v>
      </c>
      <c r="X48" s="44">
        <f t="shared" si="61"/>
        <v>0</v>
      </c>
      <c r="Y48" s="44">
        <f t="shared" si="62"/>
        <v>0</v>
      </c>
      <c r="Z48" s="44">
        <f t="shared" si="63"/>
        <v>0</v>
      </c>
      <c r="AA48" s="50">
        <f t="shared" si="64"/>
        <v>0</v>
      </c>
      <c r="AB48" s="51">
        <f t="shared" si="65"/>
        <v>0</v>
      </c>
      <c r="AC48" s="44">
        <f t="shared" si="66"/>
        <v>0</v>
      </c>
      <c r="AD48" s="44">
        <f t="shared" si="67"/>
        <v>0</v>
      </c>
      <c r="AE48" s="44">
        <f t="shared" si="68"/>
        <v>0</v>
      </c>
      <c r="AF48" s="52" t="e">
        <f>HLOOKUP(I48,ElecAvoidedCostsWOCC!$A$5:$Q$50,G48+1,FALSE)</f>
        <v>#N/A</v>
      </c>
      <c r="AG48" s="44" t="e">
        <f t="shared" si="69"/>
        <v>#N/A</v>
      </c>
      <c r="AH48" s="52" t="e">
        <f>HLOOKUP(I48,ElecAvoidedCostsWOCC!$A$5:$Q$50,T48+1,FALSE)</f>
        <v>#N/A</v>
      </c>
      <c r="AI48" s="44" t="e">
        <f t="shared" si="70"/>
        <v>#N/A</v>
      </c>
      <c r="AJ48" s="44" t="e">
        <f t="shared" si="71"/>
        <v>#N/A</v>
      </c>
      <c r="AK48" s="44" t="e">
        <f>HLOOKUP(I48,ElecAvoidedCostsWOCC!$A$5:$Q$50,G48+1,FALSE)*J48*L48</f>
        <v>#N/A</v>
      </c>
      <c r="AL48" s="44" t="e">
        <f t="shared" si="72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73"/>
        <v>0</v>
      </c>
      <c r="AO48" s="47">
        <f t="shared" si="74"/>
        <v>0</v>
      </c>
      <c r="AP48" s="47" t="e">
        <f t="shared" si="75"/>
        <v>#DIV/0!</v>
      </c>
    </row>
    <row r="49" spans="2:42">
      <c r="B49" s="97" t="s">
        <v>15</v>
      </c>
      <c r="C49" s="100"/>
      <c r="D49" s="100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57"/>
        <v>0</v>
      </c>
      <c r="U49" s="47">
        <f t="shared" si="58"/>
        <v>0</v>
      </c>
      <c r="V49" s="48">
        <f t="shared" si="59"/>
        <v>0</v>
      </c>
      <c r="W49" s="49">
        <f t="shared" si="60"/>
        <v>0</v>
      </c>
      <c r="X49" s="44">
        <f t="shared" si="61"/>
        <v>0</v>
      </c>
      <c r="Y49" s="44">
        <f t="shared" si="62"/>
        <v>0</v>
      </c>
      <c r="Z49" s="44">
        <f t="shared" si="63"/>
        <v>0</v>
      </c>
      <c r="AA49" s="50">
        <f t="shared" si="64"/>
        <v>0</v>
      </c>
      <c r="AB49" s="51">
        <f t="shared" si="65"/>
        <v>0</v>
      </c>
      <c r="AC49" s="44">
        <f t="shared" si="66"/>
        <v>0</v>
      </c>
      <c r="AD49" s="44">
        <f t="shared" si="67"/>
        <v>0</v>
      </c>
      <c r="AE49" s="44">
        <f t="shared" si="68"/>
        <v>0</v>
      </c>
      <c r="AF49" s="52" t="e">
        <f>HLOOKUP(I49,ElecAvoidedCostsWOCC!$A$5:$Q$50,G49+1,FALSE)</f>
        <v>#N/A</v>
      </c>
      <c r="AG49" s="44" t="e">
        <f t="shared" si="69"/>
        <v>#N/A</v>
      </c>
      <c r="AH49" s="52" t="e">
        <f>HLOOKUP(I49,ElecAvoidedCostsWOCC!$A$5:$Q$50,T49+1,FALSE)</f>
        <v>#N/A</v>
      </c>
      <c r="AI49" s="44" t="e">
        <f t="shared" si="70"/>
        <v>#N/A</v>
      </c>
      <c r="AJ49" s="44" t="e">
        <f t="shared" si="71"/>
        <v>#N/A</v>
      </c>
      <c r="AK49" s="44" t="e">
        <f>HLOOKUP(I49,ElecAvoidedCostsWOCC!$A$5:$Q$50,G49+1,FALSE)*J49*L49</f>
        <v>#N/A</v>
      </c>
      <c r="AL49" s="44" t="e">
        <f t="shared" si="72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73"/>
        <v>0</v>
      </c>
      <c r="AO49" s="47">
        <f t="shared" si="74"/>
        <v>0</v>
      </c>
      <c r="AP49" s="47" t="e">
        <f t="shared" si="75"/>
        <v>#DIV/0!</v>
      </c>
    </row>
    <row r="50" spans="2:42">
      <c r="B50" s="97" t="s">
        <v>15</v>
      </c>
      <c r="C50" s="100"/>
      <c r="D50" s="100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57"/>
        <v>0</v>
      </c>
      <c r="U50" s="47">
        <f t="shared" si="58"/>
        <v>0</v>
      </c>
      <c r="V50" s="48">
        <f t="shared" si="59"/>
        <v>0</v>
      </c>
      <c r="W50" s="49">
        <f t="shared" si="60"/>
        <v>0</v>
      </c>
      <c r="X50" s="44">
        <f t="shared" si="61"/>
        <v>0</v>
      </c>
      <c r="Y50" s="44">
        <f t="shared" si="62"/>
        <v>0</v>
      </c>
      <c r="Z50" s="44">
        <f t="shared" si="63"/>
        <v>0</v>
      </c>
      <c r="AA50" s="50">
        <f t="shared" si="64"/>
        <v>0</v>
      </c>
      <c r="AB50" s="51">
        <f t="shared" si="65"/>
        <v>0</v>
      </c>
      <c r="AC50" s="44">
        <f t="shared" si="66"/>
        <v>0</v>
      </c>
      <c r="AD50" s="44">
        <f t="shared" si="67"/>
        <v>0</v>
      </c>
      <c r="AE50" s="44">
        <f t="shared" si="68"/>
        <v>0</v>
      </c>
      <c r="AF50" s="52" t="e">
        <f>HLOOKUP(I50,ElecAvoidedCostsWOCC!$A$5:$Q$50,G50+1,FALSE)</f>
        <v>#N/A</v>
      </c>
      <c r="AG50" s="44" t="e">
        <f t="shared" si="69"/>
        <v>#N/A</v>
      </c>
      <c r="AH50" s="52" t="e">
        <f>HLOOKUP(I50,ElecAvoidedCostsWOCC!$A$5:$Q$50,T50+1,FALSE)</f>
        <v>#N/A</v>
      </c>
      <c r="AI50" s="44" t="e">
        <f t="shared" si="70"/>
        <v>#N/A</v>
      </c>
      <c r="AJ50" s="44" t="e">
        <f t="shared" si="71"/>
        <v>#N/A</v>
      </c>
      <c r="AK50" s="44" t="e">
        <f>HLOOKUP(I50,ElecAvoidedCostsWOCC!$A$5:$Q$50,G50+1,FALSE)*J50*L50</f>
        <v>#N/A</v>
      </c>
      <c r="AL50" s="44" t="e">
        <f t="shared" si="72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73"/>
        <v>0</v>
      </c>
      <c r="AO50" s="47">
        <f t="shared" si="74"/>
        <v>0</v>
      </c>
      <c r="AP50" s="47" t="e">
        <f t="shared" si="75"/>
        <v>#DIV/0!</v>
      </c>
    </row>
    <row r="51" spans="2:42">
      <c r="B51" s="97" t="s">
        <v>15</v>
      </c>
      <c r="C51" s="100"/>
      <c r="D51" s="100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57"/>
        <v>0</v>
      </c>
      <c r="U51" s="47">
        <f t="shared" si="58"/>
        <v>0</v>
      </c>
      <c r="V51" s="48">
        <f t="shared" si="59"/>
        <v>0</v>
      </c>
      <c r="W51" s="49">
        <f t="shared" si="60"/>
        <v>0</v>
      </c>
      <c r="X51" s="44">
        <f t="shared" si="61"/>
        <v>0</v>
      </c>
      <c r="Y51" s="44">
        <f t="shared" si="62"/>
        <v>0</v>
      </c>
      <c r="Z51" s="44">
        <f t="shared" si="63"/>
        <v>0</v>
      </c>
      <c r="AA51" s="50">
        <f t="shared" si="64"/>
        <v>0</v>
      </c>
      <c r="AB51" s="51">
        <f t="shared" si="65"/>
        <v>0</v>
      </c>
      <c r="AC51" s="44">
        <f t="shared" si="66"/>
        <v>0</v>
      </c>
      <c r="AD51" s="44">
        <f t="shared" si="67"/>
        <v>0</v>
      </c>
      <c r="AE51" s="44">
        <f t="shared" si="68"/>
        <v>0</v>
      </c>
      <c r="AF51" s="52" t="e">
        <f>HLOOKUP(I51,ElecAvoidedCostsWOCC!$A$5:$Q$50,G51+1,FALSE)</f>
        <v>#N/A</v>
      </c>
      <c r="AG51" s="44" t="e">
        <f t="shared" si="69"/>
        <v>#N/A</v>
      </c>
      <c r="AH51" s="52" t="e">
        <f>HLOOKUP(I51,ElecAvoidedCostsWOCC!$A$5:$Q$50,T51+1,FALSE)</f>
        <v>#N/A</v>
      </c>
      <c r="AI51" s="44" t="e">
        <f t="shared" si="70"/>
        <v>#N/A</v>
      </c>
      <c r="AJ51" s="44" t="e">
        <f t="shared" si="71"/>
        <v>#N/A</v>
      </c>
      <c r="AK51" s="44" t="e">
        <f>HLOOKUP(I51,ElecAvoidedCostsWOCC!$A$5:$Q$50,G51+1,FALSE)*J51*L51</f>
        <v>#N/A</v>
      </c>
      <c r="AL51" s="44" t="e">
        <f t="shared" si="72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73"/>
        <v>0</v>
      </c>
      <c r="AO51" s="47">
        <f t="shared" si="74"/>
        <v>0</v>
      </c>
      <c r="AP51" s="47" t="e">
        <f t="shared" si="75"/>
        <v>#DIV/0!</v>
      </c>
    </row>
    <row r="52" spans="2:42">
      <c r="B52" s="97" t="s">
        <v>15</v>
      </c>
      <c r="C52" s="100"/>
      <c r="D52" s="100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57"/>
        <v>0</v>
      </c>
      <c r="U52" s="47">
        <f t="shared" si="58"/>
        <v>0</v>
      </c>
      <c r="V52" s="48">
        <f t="shared" si="59"/>
        <v>0</v>
      </c>
      <c r="W52" s="49">
        <f t="shared" si="60"/>
        <v>0</v>
      </c>
      <c r="X52" s="44">
        <f t="shared" si="61"/>
        <v>0</v>
      </c>
      <c r="Y52" s="44">
        <f t="shared" si="62"/>
        <v>0</v>
      </c>
      <c r="Z52" s="44">
        <f t="shared" si="63"/>
        <v>0</v>
      </c>
      <c r="AA52" s="50">
        <f t="shared" si="64"/>
        <v>0</v>
      </c>
      <c r="AB52" s="51">
        <f t="shared" si="65"/>
        <v>0</v>
      </c>
      <c r="AC52" s="44">
        <f t="shared" si="66"/>
        <v>0</v>
      </c>
      <c r="AD52" s="44">
        <f t="shared" si="67"/>
        <v>0</v>
      </c>
      <c r="AE52" s="44">
        <f t="shared" si="68"/>
        <v>0</v>
      </c>
      <c r="AF52" s="52" t="e">
        <f>HLOOKUP(I52,ElecAvoidedCostsWOCC!$A$5:$Q$50,G52+1,FALSE)</f>
        <v>#N/A</v>
      </c>
      <c r="AG52" s="44" t="e">
        <f t="shared" si="69"/>
        <v>#N/A</v>
      </c>
      <c r="AH52" s="52" t="e">
        <f>HLOOKUP(I52,ElecAvoidedCostsWOCC!$A$5:$Q$50,T52+1,FALSE)</f>
        <v>#N/A</v>
      </c>
      <c r="AI52" s="44" t="e">
        <f t="shared" si="70"/>
        <v>#N/A</v>
      </c>
      <c r="AJ52" s="44" t="e">
        <f t="shared" si="71"/>
        <v>#N/A</v>
      </c>
      <c r="AK52" s="44" t="e">
        <f>HLOOKUP(I52,ElecAvoidedCostsWOCC!$A$5:$Q$50,G52+1,FALSE)*J52*L52</f>
        <v>#N/A</v>
      </c>
      <c r="AL52" s="44" t="e">
        <f t="shared" si="72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73"/>
        <v>0</v>
      </c>
      <c r="AO52" s="47">
        <f t="shared" si="74"/>
        <v>0</v>
      </c>
      <c r="AP52" s="47" t="e">
        <f t="shared" si="75"/>
        <v>#DIV/0!</v>
      </c>
    </row>
    <row r="53" spans="2:42">
      <c r="B53" s="97" t="s">
        <v>15</v>
      </c>
      <c r="C53" s="100"/>
      <c r="D53" s="100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57"/>
        <v>0</v>
      </c>
      <c r="U53" s="47">
        <f t="shared" si="58"/>
        <v>0</v>
      </c>
      <c r="V53" s="48">
        <f t="shared" si="59"/>
        <v>0</v>
      </c>
      <c r="W53" s="49">
        <f t="shared" si="60"/>
        <v>0</v>
      </c>
      <c r="X53" s="44">
        <f t="shared" si="61"/>
        <v>0</v>
      </c>
      <c r="Y53" s="44">
        <f t="shared" si="62"/>
        <v>0</v>
      </c>
      <c r="Z53" s="44">
        <f t="shared" si="63"/>
        <v>0</v>
      </c>
      <c r="AA53" s="50">
        <f t="shared" si="64"/>
        <v>0</v>
      </c>
      <c r="AB53" s="51">
        <f t="shared" si="65"/>
        <v>0</v>
      </c>
      <c r="AC53" s="44">
        <f t="shared" si="66"/>
        <v>0</v>
      </c>
      <c r="AD53" s="44">
        <f t="shared" si="67"/>
        <v>0</v>
      </c>
      <c r="AE53" s="44">
        <f t="shared" si="68"/>
        <v>0</v>
      </c>
      <c r="AF53" s="52" t="e">
        <f>HLOOKUP(I53,ElecAvoidedCostsWOCC!$A$5:$Q$50,G53+1,FALSE)</f>
        <v>#N/A</v>
      </c>
      <c r="AG53" s="44" t="e">
        <f t="shared" si="69"/>
        <v>#N/A</v>
      </c>
      <c r="AH53" s="52" t="e">
        <f>HLOOKUP(I53,ElecAvoidedCostsWOCC!$A$5:$Q$50,T53+1,FALSE)</f>
        <v>#N/A</v>
      </c>
      <c r="AI53" s="44" t="e">
        <f t="shared" si="70"/>
        <v>#N/A</v>
      </c>
      <c r="AJ53" s="44" t="e">
        <f t="shared" si="71"/>
        <v>#N/A</v>
      </c>
      <c r="AK53" s="44" t="e">
        <f>HLOOKUP(I53,ElecAvoidedCostsWOCC!$A$5:$Q$50,G53+1,FALSE)*J53*L53</f>
        <v>#N/A</v>
      </c>
      <c r="AL53" s="44" t="e">
        <f t="shared" si="72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73"/>
        <v>0</v>
      </c>
      <c r="AO53" s="47">
        <f t="shared" si="74"/>
        <v>0</v>
      </c>
      <c r="AP53" s="47" t="e">
        <f t="shared" si="75"/>
        <v>#DIV/0!</v>
      </c>
    </row>
    <row r="54" spans="2:42">
      <c r="B54" s="97" t="s">
        <v>15</v>
      </c>
      <c r="C54" s="100"/>
      <c r="D54" s="100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57"/>
        <v>0</v>
      </c>
      <c r="U54" s="47">
        <f t="shared" si="58"/>
        <v>0</v>
      </c>
      <c r="V54" s="48">
        <f t="shared" si="59"/>
        <v>0</v>
      </c>
      <c r="W54" s="49">
        <f t="shared" si="60"/>
        <v>0</v>
      </c>
      <c r="X54" s="44">
        <f t="shared" si="61"/>
        <v>0</v>
      </c>
      <c r="Y54" s="44">
        <f t="shared" si="62"/>
        <v>0</v>
      </c>
      <c r="Z54" s="44">
        <f t="shared" si="63"/>
        <v>0</v>
      </c>
      <c r="AA54" s="50">
        <f t="shared" si="64"/>
        <v>0</v>
      </c>
      <c r="AB54" s="51">
        <f t="shared" si="65"/>
        <v>0</v>
      </c>
      <c r="AC54" s="44">
        <f t="shared" si="66"/>
        <v>0</v>
      </c>
      <c r="AD54" s="44">
        <f t="shared" si="67"/>
        <v>0</v>
      </c>
      <c r="AE54" s="44">
        <f t="shared" si="68"/>
        <v>0</v>
      </c>
      <c r="AF54" s="52" t="e">
        <f>HLOOKUP(I54,ElecAvoidedCostsWOCC!$A$5:$Q$50,G54+1,FALSE)</f>
        <v>#N/A</v>
      </c>
      <c r="AG54" s="44" t="e">
        <f t="shared" si="69"/>
        <v>#N/A</v>
      </c>
      <c r="AH54" s="52" t="e">
        <f>HLOOKUP(I54,ElecAvoidedCostsWOCC!$A$5:$Q$50,T54+1,FALSE)</f>
        <v>#N/A</v>
      </c>
      <c r="AI54" s="44" t="e">
        <f t="shared" si="70"/>
        <v>#N/A</v>
      </c>
      <c r="AJ54" s="44" t="e">
        <f t="shared" si="71"/>
        <v>#N/A</v>
      </c>
      <c r="AK54" s="44" t="e">
        <f>HLOOKUP(I54,ElecAvoidedCostsWOCC!$A$5:$Q$50,G54+1,FALSE)*J54*L54</f>
        <v>#N/A</v>
      </c>
      <c r="AL54" s="44" t="e">
        <f t="shared" si="72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73"/>
        <v>0</v>
      </c>
      <c r="AO54" s="47">
        <f t="shared" si="74"/>
        <v>0</v>
      </c>
      <c r="AP54" s="47" t="e">
        <f t="shared" si="75"/>
        <v>#DIV/0!</v>
      </c>
    </row>
    <row r="55" spans="2:42">
      <c r="B55" s="97" t="s">
        <v>15</v>
      </c>
      <c r="C55" s="100"/>
      <c r="D55" s="100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57"/>
        <v>0</v>
      </c>
      <c r="U55" s="47">
        <f t="shared" si="58"/>
        <v>0</v>
      </c>
      <c r="V55" s="48">
        <f t="shared" si="59"/>
        <v>0</v>
      </c>
      <c r="W55" s="49">
        <f t="shared" si="60"/>
        <v>0</v>
      </c>
      <c r="X55" s="44">
        <f t="shared" si="61"/>
        <v>0</v>
      </c>
      <c r="Y55" s="44">
        <f t="shared" si="62"/>
        <v>0</v>
      </c>
      <c r="Z55" s="44">
        <f t="shared" si="63"/>
        <v>0</v>
      </c>
      <c r="AA55" s="50">
        <f t="shared" si="64"/>
        <v>0</v>
      </c>
      <c r="AB55" s="51">
        <f t="shared" si="65"/>
        <v>0</v>
      </c>
      <c r="AC55" s="44">
        <f t="shared" si="66"/>
        <v>0</v>
      </c>
      <c r="AD55" s="44">
        <f t="shared" si="67"/>
        <v>0</v>
      </c>
      <c r="AE55" s="44">
        <f t="shared" si="68"/>
        <v>0</v>
      </c>
      <c r="AF55" s="52" t="e">
        <f>HLOOKUP(I55,ElecAvoidedCostsWOCC!$A$5:$Q$50,G55+1,FALSE)</f>
        <v>#N/A</v>
      </c>
      <c r="AG55" s="44" t="e">
        <f t="shared" si="69"/>
        <v>#N/A</v>
      </c>
      <c r="AH55" s="52" t="e">
        <f>HLOOKUP(I55,ElecAvoidedCostsWOCC!$A$5:$Q$50,T55+1,FALSE)</f>
        <v>#N/A</v>
      </c>
      <c r="AI55" s="44" t="e">
        <f t="shared" si="70"/>
        <v>#N/A</v>
      </c>
      <c r="AJ55" s="44" t="e">
        <f t="shared" si="71"/>
        <v>#N/A</v>
      </c>
      <c r="AK55" s="44" t="e">
        <f>HLOOKUP(I55,ElecAvoidedCostsWOCC!$A$5:$Q$50,G55+1,FALSE)*J55*L55</f>
        <v>#N/A</v>
      </c>
      <c r="AL55" s="44" t="e">
        <f t="shared" si="72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73"/>
        <v>0</v>
      </c>
      <c r="AO55" s="47">
        <f t="shared" si="74"/>
        <v>0</v>
      </c>
      <c r="AP55" s="47" t="e">
        <f t="shared" si="75"/>
        <v>#DIV/0!</v>
      </c>
    </row>
    <row r="56" spans="2:42">
      <c r="B56" s="97" t="s">
        <v>15</v>
      </c>
      <c r="C56" s="100"/>
      <c r="D56" s="100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57"/>
        <v>0</v>
      </c>
      <c r="U56" s="47">
        <f t="shared" si="58"/>
        <v>0</v>
      </c>
      <c r="V56" s="48">
        <f t="shared" si="59"/>
        <v>0</v>
      </c>
      <c r="W56" s="49">
        <f t="shared" si="60"/>
        <v>0</v>
      </c>
      <c r="X56" s="44">
        <f t="shared" si="61"/>
        <v>0</v>
      </c>
      <c r="Y56" s="44">
        <f t="shared" si="62"/>
        <v>0</v>
      </c>
      <c r="Z56" s="44">
        <f t="shared" si="63"/>
        <v>0</v>
      </c>
      <c r="AA56" s="50">
        <f t="shared" si="64"/>
        <v>0</v>
      </c>
      <c r="AB56" s="51">
        <f t="shared" si="65"/>
        <v>0</v>
      </c>
      <c r="AC56" s="44">
        <f t="shared" si="66"/>
        <v>0</v>
      </c>
      <c r="AD56" s="44">
        <f t="shared" si="67"/>
        <v>0</v>
      </c>
      <c r="AE56" s="44">
        <f t="shared" si="68"/>
        <v>0</v>
      </c>
      <c r="AF56" s="52" t="e">
        <f>HLOOKUP(I56,ElecAvoidedCostsWOCC!$A$5:$Q$50,G56+1,FALSE)</f>
        <v>#N/A</v>
      </c>
      <c r="AG56" s="44" t="e">
        <f t="shared" si="69"/>
        <v>#N/A</v>
      </c>
      <c r="AH56" s="52" t="e">
        <f>HLOOKUP(I56,ElecAvoidedCostsWOCC!$A$5:$Q$50,T56+1,FALSE)</f>
        <v>#N/A</v>
      </c>
      <c r="AI56" s="44" t="e">
        <f t="shared" si="70"/>
        <v>#N/A</v>
      </c>
      <c r="AJ56" s="44" t="e">
        <f t="shared" si="71"/>
        <v>#N/A</v>
      </c>
      <c r="AK56" s="44" t="e">
        <f>HLOOKUP(I56,ElecAvoidedCostsWOCC!$A$5:$Q$50,G56+1,FALSE)*J56*L56</f>
        <v>#N/A</v>
      </c>
      <c r="AL56" s="44" t="e">
        <f t="shared" si="72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73"/>
        <v>0</v>
      </c>
      <c r="AO56" s="47">
        <f t="shared" si="74"/>
        <v>0</v>
      </c>
      <c r="AP56" s="47" t="e">
        <f t="shared" si="75"/>
        <v>#DIV/0!</v>
      </c>
    </row>
    <row r="57" spans="2:42">
      <c r="B57" s="97" t="s">
        <v>15</v>
      </c>
      <c r="C57" s="100"/>
      <c r="D57" s="100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57"/>
        <v>0</v>
      </c>
      <c r="U57" s="47">
        <f t="shared" si="58"/>
        <v>0</v>
      </c>
      <c r="V57" s="48">
        <f t="shared" si="59"/>
        <v>0</v>
      </c>
      <c r="W57" s="49">
        <f t="shared" si="60"/>
        <v>0</v>
      </c>
      <c r="X57" s="44">
        <f t="shared" si="61"/>
        <v>0</v>
      </c>
      <c r="Y57" s="44">
        <f t="shared" si="62"/>
        <v>0</v>
      </c>
      <c r="Z57" s="44">
        <f t="shared" si="63"/>
        <v>0</v>
      </c>
      <c r="AA57" s="50">
        <f t="shared" si="64"/>
        <v>0</v>
      </c>
      <c r="AB57" s="51">
        <f t="shared" si="65"/>
        <v>0</v>
      </c>
      <c r="AC57" s="44">
        <f t="shared" si="66"/>
        <v>0</v>
      </c>
      <c r="AD57" s="44">
        <f t="shared" si="67"/>
        <v>0</v>
      </c>
      <c r="AE57" s="44">
        <f t="shared" si="68"/>
        <v>0</v>
      </c>
      <c r="AF57" s="52" t="e">
        <f>HLOOKUP(I57,ElecAvoidedCostsWOCC!$A$5:$Q$50,G57+1,FALSE)</f>
        <v>#N/A</v>
      </c>
      <c r="AG57" s="44" t="e">
        <f t="shared" si="69"/>
        <v>#N/A</v>
      </c>
      <c r="AH57" s="52" t="e">
        <f>HLOOKUP(I57,ElecAvoidedCostsWOCC!$A$5:$Q$50,T57+1,FALSE)</f>
        <v>#N/A</v>
      </c>
      <c r="AI57" s="44" t="e">
        <f t="shared" si="70"/>
        <v>#N/A</v>
      </c>
      <c r="AJ57" s="44" t="e">
        <f t="shared" si="71"/>
        <v>#N/A</v>
      </c>
      <c r="AK57" s="44" t="e">
        <f>HLOOKUP(I57,ElecAvoidedCostsWOCC!$A$5:$Q$50,G57+1,FALSE)*J57*L57</f>
        <v>#N/A</v>
      </c>
      <c r="AL57" s="44" t="e">
        <f t="shared" si="72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73"/>
        <v>0</v>
      </c>
      <c r="AO57" s="47">
        <f t="shared" si="74"/>
        <v>0</v>
      </c>
      <c r="AP57" s="47" t="e">
        <f t="shared" si="75"/>
        <v>#DIV/0!</v>
      </c>
    </row>
    <row r="58" spans="2:42">
      <c r="B58" s="97" t="s">
        <v>15</v>
      </c>
      <c r="C58" s="100"/>
      <c r="D58" s="100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57"/>
        <v>0</v>
      </c>
      <c r="U58" s="47">
        <f t="shared" si="58"/>
        <v>0</v>
      </c>
      <c r="V58" s="48">
        <f t="shared" si="59"/>
        <v>0</v>
      </c>
      <c r="W58" s="49">
        <f t="shared" si="60"/>
        <v>0</v>
      </c>
      <c r="X58" s="44">
        <f t="shared" si="61"/>
        <v>0</v>
      </c>
      <c r="Y58" s="44">
        <f t="shared" si="62"/>
        <v>0</v>
      </c>
      <c r="Z58" s="44">
        <f t="shared" si="63"/>
        <v>0</v>
      </c>
      <c r="AA58" s="50">
        <f t="shared" si="64"/>
        <v>0</v>
      </c>
      <c r="AB58" s="51">
        <f t="shared" si="65"/>
        <v>0</v>
      </c>
      <c r="AC58" s="44">
        <f t="shared" si="66"/>
        <v>0</v>
      </c>
      <c r="AD58" s="44">
        <f t="shared" si="67"/>
        <v>0</v>
      </c>
      <c r="AE58" s="44">
        <f t="shared" si="68"/>
        <v>0</v>
      </c>
      <c r="AF58" s="52" t="e">
        <f>HLOOKUP(I58,ElecAvoidedCostsWOCC!$A$5:$Q$50,G58+1,FALSE)</f>
        <v>#N/A</v>
      </c>
      <c r="AG58" s="44" t="e">
        <f t="shared" si="69"/>
        <v>#N/A</v>
      </c>
      <c r="AH58" s="52" t="e">
        <f>HLOOKUP(I58,ElecAvoidedCostsWOCC!$A$5:$Q$50,T58+1,FALSE)</f>
        <v>#N/A</v>
      </c>
      <c r="AI58" s="44" t="e">
        <f t="shared" si="70"/>
        <v>#N/A</v>
      </c>
      <c r="AJ58" s="44" t="e">
        <f t="shared" si="71"/>
        <v>#N/A</v>
      </c>
      <c r="AK58" s="44" t="e">
        <f>HLOOKUP(I58,ElecAvoidedCostsWOCC!$A$5:$Q$50,G58+1,FALSE)*J58*L58</f>
        <v>#N/A</v>
      </c>
      <c r="AL58" s="44" t="e">
        <f t="shared" si="72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73"/>
        <v>0</v>
      </c>
      <c r="AO58" s="47">
        <f t="shared" si="74"/>
        <v>0</v>
      </c>
      <c r="AP58" s="47" t="e">
        <f t="shared" si="75"/>
        <v>#DIV/0!</v>
      </c>
    </row>
    <row r="59" spans="2:42">
      <c r="B59" s="97" t="s">
        <v>15</v>
      </c>
      <c r="C59" s="100"/>
      <c r="D59" s="100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57"/>
        <v>0</v>
      </c>
      <c r="U59" s="47">
        <f t="shared" si="58"/>
        <v>0</v>
      </c>
      <c r="V59" s="48">
        <f t="shared" si="59"/>
        <v>0</v>
      </c>
      <c r="W59" s="49">
        <f t="shared" si="60"/>
        <v>0</v>
      </c>
      <c r="X59" s="44">
        <f t="shared" si="61"/>
        <v>0</v>
      </c>
      <c r="Y59" s="44">
        <f t="shared" si="62"/>
        <v>0</v>
      </c>
      <c r="Z59" s="44">
        <f t="shared" si="63"/>
        <v>0</v>
      </c>
      <c r="AA59" s="50">
        <f t="shared" si="64"/>
        <v>0</v>
      </c>
      <c r="AB59" s="51">
        <f t="shared" si="65"/>
        <v>0</v>
      </c>
      <c r="AC59" s="44">
        <f t="shared" si="66"/>
        <v>0</v>
      </c>
      <c r="AD59" s="44">
        <f t="shared" si="67"/>
        <v>0</v>
      </c>
      <c r="AE59" s="44">
        <f t="shared" si="68"/>
        <v>0</v>
      </c>
      <c r="AF59" s="52" t="e">
        <f>HLOOKUP(I59,ElecAvoidedCostsWOCC!$A$5:$Q$50,G59+1,FALSE)</f>
        <v>#N/A</v>
      </c>
      <c r="AG59" s="44" t="e">
        <f t="shared" si="69"/>
        <v>#N/A</v>
      </c>
      <c r="AH59" s="52" t="e">
        <f>HLOOKUP(I59,ElecAvoidedCostsWOCC!$A$5:$Q$50,T59+1,FALSE)</f>
        <v>#N/A</v>
      </c>
      <c r="AI59" s="44" t="e">
        <f t="shared" si="70"/>
        <v>#N/A</v>
      </c>
      <c r="AJ59" s="44" t="e">
        <f t="shared" si="71"/>
        <v>#N/A</v>
      </c>
      <c r="AK59" s="44" t="e">
        <f>HLOOKUP(I59,ElecAvoidedCostsWOCC!$A$5:$Q$50,G59+1,FALSE)*J59*L59</f>
        <v>#N/A</v>
      </c>
      <c r="AL59" s="44" t="e">
        <f t="shared" si="72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73"/>
        <v>0</v>
      </c>
      <c r="AO59" s="47">
        <f t="shared" si="74"/>
        <v>0</v>
      </c>
      <c r="AP59" s="47" t="e">
        <f t="shared" si="75"/>
        <v>#DIV/0!</v>
      </c>
    </row>
    <row r="60" spans="2:42">
      <c r="B60" s="97" t="s">
        <v>15</v>
      </c>
      <c r="C60" s="100"/>
      <c r="D60" s="100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57"/>
        <v>0</v>
      </c>
      <c r="U60" s="47">
        <f t="shared" si="58"/>
        <v>0</v>
      </c>
      <c r="V60" s="48">
        <f t="shared" si="59"/>
        <v>0</v>
      </c>
      <c r="W60" s="49">
        <f t="shared" si="60"/>
        <v>0</v>
      </c>
      <c r="X60" s="44">
        <f t="shared" si="61"/>
        <v>0</v>
      </c>
      <c r="Y60" s="44">
        <f t="shared" si="62"/>
        <v>0</v>
      </c>
      <c r="Z60" s="44">
        <f t="shared" si="63"/>
        <v>0</v>
      </c>
      <c r="AA60" s="50">
        <f t="shared" si="64"/>
        <v>0</v>
      </c>
      <c r="AB60" s="51">
        <f t="shared" si="65"/>
        <v>0</v>
      </c>
      <c r="AC60" s="44">
        <f t="shared" si="66"/>
        <v>0</v>
      </c>
      <c r="AD60" s="44">
        <f t="shared" si="67"/>
        <v>0</v>
      </c>
      <c r="AE60" s="44">
        <f t="shared" si="68"/>
        <v>0</v>
      </c>
      <c r="AF60" s="52" t="e">
        <f>HLOOKUP(I60,ElecAvoidedCostsWOCC!$A$5:$Q$50,G60+1,FALSE)</f>
        <v>#N/A</v>
      </c>
      <c r="AG60" s="44" t="e">
        <f t="shared" si="69"/>
        <v>#N/A</v>
      </c>
      <c r="AH60" s="52" t="e">
        <f>HLOOKUP(I60,ElecAvoidedCostsWOCC!$A$5:$Q$50,T60+1,FALSE)</f>
        <v>#N/A</v>
      </c>
      <c r="AI60" s="44" t="e">
        <f t="shared" si="70"/>
        <v>#N/A</v>
      </c>
      <c r="AJ60" s="44" t="e">
        <f t="shared" si="71"/>
        <v>#N/A</v>
      </c>
      <c r="AK60" s="44" t="e">
        <f>HLOOKUP(I60,ElecAvoidedCostsWOCC!$A$5:$Q$50,G60+1,FALSE)*J60*L60</f>
        <v>#N/A</v>
      </c>
      <c r="AL60" s="44" t="e">
        <f t="shared" si="72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73"/>
        <v>0</v>
      </c>
      <c r="AO60" s="47">
        <f t="shared" si="74"/>
        <v>0</v>
      </c>
      <c r="AP60" s="47" t="e">
        <f t="shared" si="75"/>
        <v>#DIV/0!</v>
      </c>
    </row>
    <row r="61" spans="2:42">
      <c r="B61" s="97" t="s">
        <v>15</v>
      </c>
      <c r="C61" s="100"/>
      <c r="D61" s="100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57"/>
        <v>0</v>
      </c>
      <c r="U61" s="47">
        <f t="shared" si="58"/>
        <v>0</v>
      </c>
      <c r="V61" s="48">
        <f t="shared" si="59"/>
        <v>0</v>
      </c>
      <c r="W61" s="49">
        <f t="shared" si="60"/>
        <v>0</v>
      </c>
      <c r="X61" s="44">
        <f t="shared" si="61"/>
        <v>0</v>
      </c>
      <c r="Y61" s="44">
        <f t="shared" si="62"/>
        <v>0</v>
      </c>
      <c r="Z61" s="44">
        <f t="shared" si="63"/>
        <v>0</v>
      </c>
      <c r="AA61" s="50">
        <f t="shared" si="64"/>
        <v>0</v>
      </c>
      <c r="AB61" s="51">
        <f t="shared" si="65"/>
        <v>0</v>
      </c>
      <c r="AC61" s="44">
        <f t="shared" si="66"/>
        <v>0</v>
      </c>
      <c r="AD61" s="44">
        <f t="shared" si="67"/>
        <v>0</v>
      </c>
      <c r="AE61" s="44">
        <f t="shared" si="68"/>
        <v>0</v>
      </c>
      <c r="AF61" s="52" t="e">
        <f>HLOOKUP(I61,ElecAvoidedCostsWOCC!$A$5:$Q$50,G61+1,FALSE)</f>
        <v>#N/A</v>
      </c>
      <c r="AG61" s="44" t="e">
        <f t="shared" si="69"/>
        <v>#N/A</v>
      </c>
      <c r="AH61" s="52" t="e">
        <f>HLOOKUP(I61,ElecAvoidedCostsWOCC!$A$5:$Q$50,T61+1,FALSE)</f>
        <v>#N/A</v>
      </c>
      <c r="AI61" s="44" t="e">
        <f t="shared" si="70"/>
        <v>#N/A</v>
      </c>
      <c r="AJ61" s="44" t="e">
        <f t="shared" si="71"/>
        <v>#N/A</v>
      </c>
      <c r="AK61" s="44" t="e">
        <f>HLOOKUP(I61,ElecAvoidedCostsWOCC!$A$5:$Q$50,G61+1,FALSE)*J61*L61</f>
        <v>#N/A</v>
      </c>
      <c r="AL61" s="44" t="e">
        <f t="shared" si="72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73"/>
        <v>0</v>
      </c>
      <c r="AO61" s="47">
        <f t="shared" si="74"/>
        <v>0</v>
      </c>
      <c r="AP61" s="47" t="e">
        <f t="shared" si="75"/>
        <v>#DIV/0!</v>
      </c>
    </row>
    <row r="62" spans="2:42">
      <c r="B62" s="97" t="s">
        <v>15</v>
      </c>
      <c r="C62" s="100"/>
      <c r="D62" s="100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57"/>
        <v>0</v>
      </c>
      <c r="U62" s="47">
        <f t="shared" si="58"/>
        <v>0</v>
      </c>
      <c r="V62" s="48">
        <f t="shared" si="59"/>
        <v>0</v>
      </c>
      <c r="W62" s="49">
        <f t="shared" si="60"/>
        <v>0</v>
      </c>
      <c r="X62" s="44">
        <f t="shared" si="61"/>
        <v>0</v>
      </c>
      <c r="Y62" s="44">
        <f t="shared" si="62"/>
        <v>0</v>
      </c>
      <c r="Z62" s="44">
        <f t="shared" si="63"/>
        <v>0</v>
      </c>
      <c r="AA62" s="50">
        <f t="shared" si="64"/>
        <v>0</v>
      </c>
      <c r="AB62" s="51">
        <f t="shared" si="65"/>
        <v>0</v>
      </c>
      <c r="AC62" s="44">
        <f t="shared" si="66"/>
        <v>0</v>
      </c>
      <c r="AD62" s="44">
        <f t="shared" si="67"/>
        <v>0</v>
      </c>
      <c r="AE62" s="44">
        <f t="shared" si="68"/>
        <v>0</v>
      </c>
      <c r="AF62" s="52" t="e">
        <f>HLOOKUP(I62,ElecAvoidedCostsWOCC!$A$5:$Q$50,G62+1,FALSE)</f>
        <v>#N/A</v>
      </c>
      <c r="AG62" s="44" t="e">
        <f t="shared" si="69"/>
        <v>#N/A</v>
      </c>
      <c r="AH62" s="52" t="e">
        <f>HLOOKUP(I62,ElecAvoidedCostsWOCC!$A$5:$Q$50,T62+1,FALSE)</f>
        <v>#N/A</v>
      </c>
      <c r="AI62" s="44" t="e">
        <f t="shared" si="70"/>
        <v>#N/A</v>
      </c>
      <c r="AJ62" s="44" t="e">
        <f t="shared" si="71"/>
        <v>#N/A</v>
      </c>
      <c r="AK62" s="44" t="e">
        <f>HLOOKUP(I62,ElecAvoidedCostsWOCC!$A$5:$Q$50,G62+1,FALSE)*J62*L62</f>
        <v>#N/A</v>
      </c>
      <c r="AL62" s="44" t="e">
        <f t="shared" si="72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73"/>
        <v>0</v>
      </c>
      <c r="AO62" s="47">
        <f t="shared" si="74"/>
        <v>0</v>
      </c>
      <c r="AP62" s="47" t="e">
        <f t="shared" si="75"/>
        <v>#DIV/0!</v>
      </c>
    </row>
    <row r="63" spans="2:42">
      <c r="B63" s="97" t="s">
        <v>15</v>
      </c>
      <c r="C63" s="100"/>
      <c r="D63" s="100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57"/>
        <v>0</v>
      </c>
      <c r="U63" s="47">
        <f t="shared" si="58"/>
        <v>0</v>
      </c>
      <c r="V63" s="48">
        <f t="shared" si="59"/>
        <v>0</v>
      </c>
      <c r="W63" s="49">
        <f t="shared" si="60"/>
        <v>0</v>
      </c>
      <c r="X63" s="44">
        <f t="shared" si="61"/>
        <v>0</v>
      </c>
      <c r="Y63" s="44">
        <f t="shared" si="62"/>
        <v>0</v>
      </c>
      <c r="Z63" s="44">
        <f t="shared" si="63"/>
        <v>0</v>
      </c>
      <c r="AA63" s="50">
        <f t="shared" si="64"/>
        <v>0</v>
      </c>
      <c r="AB63" s="51">
        <f t="shared" si="65"/>
        <v>0</v>
      </c>
      <c r="AC63" s="44">
        <f t="shared" si="66"/>
        <v>0</v>
      </c>
      <c r="AD63" s="44">
        <f t="shared" si="67"/>
        <v>0</v>
      </c>
      <c r="AE63" s="44">
        <f t="shared" si="68"/>
        <v>0</v>
      </c>
      <c r="AF63" s="52" t="e">
        <f>HLOOKUP(I63,ElecAvoidedCostsWOCC!$A$5:$Q$50,G63+1,FALSE)</f>
        <v>#N/A</v>
      </c>
      <c r="AG63" s="44" t="e">
        <f t="shared" si="69"/>
        <v>#N/A</v>
      </c>
      <c r="AH63" s="52" t="e">
        <f>HLOOKUP(I63,ElecAvoidedCostsWOCC!$A$5:$Q$50,T63+1,FALSE)</f>
        <v>#N/A</v>
      </c>
      <c r="AI63" s="44" t="e">
        <f t="shared" si="70"/>
        <v>#N/A</v>
      </c>
      <c r="AJ63" s="44" t="e">
        <f t="shared" si="71"/>
        <v>#N/A</v>
      </c>
      <c r="AK63" s="44" t="e">
        <f>HLOOKUP(I63,ElecAvoidedCostsWOCC!$A$5:$Q$50,G63+1,FALSE)*J63*L63</f>
        <v>#N/A</v>
      </c>
      <c r="AL63" s="44" t="e">
        <f t="shared" si="72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73"/>
        <v>0</v>
      </c>
      <c r="AO63" s="47">
        <f t="shared" si="74"/>
        <v>0</v>
      </c>
      <c r="AP63" s="47" t="e">
        <f t="shared" si="75"/>
        <v>#DIV/0!</v>
      </c>
    </row>
    <row r="64" spans="2:42">
      <c r="B64" s="97" t="s">
        <v>15</v>
      </c>
      <c r="C64" s="100"/>
      <c r="D64" s="100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57"/>
        <v>0</v>
      </c>
      <c r="U64" s="47">
        <f t="shared" si="58"/>
        <v>0</v>
      </c>
      <c r="V64" s="48">
        <f t="shared" si="59"/>
        <v>0</v>
      </c>
      <c r="W64" s="49">
        <f t="shared" si="60"/>
        <v>0</v>
      </c>
      <c r="X64" s="44">
        <f t="shared" si="61"/>
        <v>0</v>
      </c>
      <c r="Y64" s="44">
        <f t="shared" si="62"/>
        <v>0</v>
      </c>
      <c r="Z64" s="44">
        <f t="shared" si="63"/>
        <v>0</v>
      </c>
      <c r="AA64" s="50">
        <f t="shared" si="64"/>
        <v>0</v>
      </c>
      <c r="AB64" s="51">
        <f t="shared" si="65"/>
        <v>0</v>
      </c>
      <c r="AC64" s="44">
        <f t="shared" si="66"/>
        <v>0</v>
      </c>
      <c r="AD64" s="44">
        <f t="shared" si="67"/>
        <v>0</v>
      </c>
      <c r="AE64" s="44">
        <f t="shared" si="68"/>
        <v>0</v>
      </c>
      <c r="AF64" s="52" t="e">
        <f>HLOOKUP(I64,ElecAvoidedCostsWOCC!$A$5:$Q$50,G64+1,FALSE)</f>
        <v>#N/A</v>
      </c>
      <c r="AG64" s="44" t="e">
        <f t="shared" si="69"/>
        <v>#N/A</v>
      </c>
      <c r="AH64" s="52" t="e">
        <f>HLOOKUP(I64,ElecAvoidedCostsWOCC!$A$5:$Q$50,T64+1,FALSE)</f>
        <v>#N/A</v>
      </c>
      <c r="AI64" s="44" t="e">
        <f t="shared" si="70"/>
        <v>#N/A</v>
      </c>
      <c r="AJ64" s="44" t="e">
        <f t="shared" si="71"/>
        <v>#N/A</v>
      </c>
      <c r="AK64" s="44" t="e">
        <f>HLOOKUP(I64,ElecAvoidedCostsWOCC!$A$5:$Q$50,G64+1,FALSE)*J64*L64</f>
        <v>#N/A</v>
      </c>
      <c r="AL64" s="44" t="e">
        <f t="shared" si="72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73"/>
        <v>0</v>
      </c>
      <c r="AO64" s="47">
        <f t="shared" si="74"/>
        <v>0</v>
      </c>
      <c r="AP64" s="47" t="e">
        <f t="shared" si="75"/>
        <v>#DIV/0!</v>
      </c>
    </row>
    <row r="65" spans="2:42">
      <c r="B65" s="97" t="s">
        <v>15</v>
      </c>
      <c r="C65" s="100"/>
      <c r="D65" s="100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57"/>
        <v>0</v>
      </c>
      <c r="U65" s="47">
        <f t="shared" si="58"/>
        <v>0</v>
      </c>
      <c r="V65" s="48">
        <f t="shared" si="59"/>
        <v>0</v>
      </c>
      <c r="W65" s="49">
        <f t="shared" si="60"/>
        <v>0</v>
      </c>
      <c r="X65" s="44">
        <f t="shared" si="61"/>
        <v>0</v>
      </c>
      <c r="Y65" s="44">
        <f t="shared" si="62"/>
        <v>0</v>
      </c>
      <c r="Z65" s="44">
        <f t="shared" si="63"/>
        <v>0</v>
      </c>
      <c r="AA65" s="50">
        <f t="shared" si="64"/>
        <v>0</v>
      </c>
      <c r="AB65" s="51">
        <f t="shared" si="65"/>
        <v>0</v>
      </c>
      <c r="AC65" s="44">
        <f t="shared" si="66"/>
        <v>0</v>
      </c>
      <c r="AD65" s="44">
        <f t="shared" si="67"/>
        <v>0</v>
      </c>
      <c r="AE65" s="44">
        <f t="shared" si="68"/>
        <v>0</v>
      </c>
      <c r="AF65" s="52" t="e">
        <f>HLOOKUP(I65,ElecAvoidedCostsWOCC!$A$5:$Q$50,G65+1,FALSE)</f>
        <v>#N/A</v>
      </c>
      <c r="AG65" s="44" t="e">
        <f t="shared" si="69"/>
        <v>#N/A</v>
      </c>
      <c r="AH65" s="52" t="e">
        <f>HLOOKUP(I65,ElecAvoidedCostsWOCC!$A$5:$Q$50,T65+1,FALSE)</f>
        <v>#N/A</v>
      </c>
      <c r="AI65" s="44" t="e">
        <f t="shared" si="70"/>
        <v>#N/A</v>
      </c>
      <c r="AJ65" s="44" t="e">
        <f t="shared" si="71"/>
        <v>#N/A</v>
      </c>
      <c r="AK65" s="44" t="e">
        <f>HLOOKUP(I65,ElecAvoidedCostsWOCC!$A$5:$Q$50,G65+1,FALSE)*J65*L65</f>
        <v>#N/A</v>
      </c>
      <c r="AL65" s="44" t="e">
        <f t="shared" si="72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73"/>
        <v>0</v>
      </c>
      <c r="AO65" s="47">
        <f t="shared" si="74"/>
        <v>0</v>
      </c>
      <c r="AP65" s="47" t="e">
        <f t="shared" si="75"/>
        <v>#DIV/0!</v>
      </c>
    </row>
    <row r="66" spans="2:42">
      <c r="B66" s="97" t="s">
        <v>15</v>
      </c>
      <c r="C66" s="100"/>
      <c r="D66" s="100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57"/>
        <v>0</v>
      </c>
      <c r="U66" s="47">
        <f t="shared" si="58"/>
        <v>0</v>
      </c>
      <c r="V66" s="48">
        <f t="shared" si="59"/>
        <v>0</v>
      </c>
      <c r="W66" s="49">
        <f t="shared" si="60"/>
        <v>0</v>
      </c>
      <c r="X66" s="44">
        <f t="shared" si="61"/>
        <v>0</v>
      </c>
      <c r="Y66" s="44">
        <f t="shared" si="62"/>
        <v>0</v>
      </c>
      <c r="Z66" s="44">
        <f t="shared" si="63"/>
        <v>0</v>
      </c>
      <c r="AA66" s="50">
        <f t="shared" si="64"/>
        <v>0</v>
      </c>
      <c r="AB66" s="51">
        <f t="shared" si="65"/>
        <v>0</v>
      </c>
      <c r="AC66" s="44">
        <f t="shared" si="66"/>
        <v>0</v>
      </c>
      <c r="AD66" s="44">
        <f t="shared" si="67"/>
        <v>0</v>
      </c>
      <c r="AE66" s="44">
        <f t="shared" si="68"/>
        <v>0</v>
      </c>
      <c r="AF66" s="52" t="e">
        <f>HLOOKUP(I66,ElecAvoidedCostsWOCC!$A$5:$Q$50,G66+1,FALSE)</f>
        <v>#N/A</v>
      </c>
      <c r="AG66" s="44" t="e">
        <f t="shared" si="69"/>
        <v>#N/A</v>
      </c>
      <c r="AH66" s="52" t="e">
        <f>HLOOKUP(I66,ElecAvoidedCostsWOCC!$A$5:$Q$50,T66+1,FALSE)</f>
        <v>#N/A</v>
      </c>
      <c r="AI66" s="44" t="e">
        <f t="shared" si="70"/>
        <v>#N/A</v>
      </c>
      <c r="AJ66" s="44" t="e">
        <f t="shared" si="71"/>
        <v>#N/A</v>
      </c>
      <c r="AK66" s="44" t="e">
        <f>HLOOKUP(I66,ElecAvoidedCostsWOCC!$A$5:$Q$50,G66+1,FALSE)*J66*L66</f>
        <v>#N/A</v>
      </c>
      <c r="AL66" s="44" t="e">
        <f t="shared" si="72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73"/>
        <v>0</v>
      </c>
      <c r="AO66" s="47">
        <f t="shared" si="74"/>
        <v>0</v>
      </c>
      <c r="AP66" s="47" t="e">
        <f t="shared" si="75"/>
        <v>#DIV/0!</v>
      </c>
    </row>
    <row r="67" spans="2:42">
      <c r="B67" s="97" t="s">
        <v>15</v>
      </c>
      <c r="C67" s="100"/>
      <c r="D67" s="100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57"/>
        <v>0</v>
      </c>
      <c r="U67" s="47">
        <f t="shared" si="58"/>
        <v>0</v>
      </c>
      <c r="V67" s="48">
        <f t="shared" si="59"/>
        <v>0</v>
      </c>
      <c r="W67" s="49">
        <f t="shared" si="60"/>
        <v>0</v>
      </c>
      <c r="X67" s="44">
        <f t="shared" si="61"/>
        <v>0</v>
      </c>
      <c r="Y67" s="44">
        <f t="shared" si="62"/>
        <v>0</v>
      </c>
      <c r="Z67" s="44">
        <f t="shared" si="63"/>
        <v>0</v>
      </c>
      <c r="AA67" s="50">
        <f t="shared" si="64"/>
        <v>0</v>
      </c>
      <c r="AB67" s="51">
        <f t="shared" si="65"/>
        <v>0</v>
      </c>
      <c r="AC67" s="44">
        <f t="shared" si="66"/>
        <v>0</v>
      </c>
      <c r="AD67" s="44">
        <f t="shared" si="67"/>
        <v>0</v>
      </c>
      <c r="AE67" s="44">
        <f t="shared" si="68"/>
        <v>0</v>
      </c>
      <c r="AF67" s="52" t="e">
        <f>HLOOKUP(I67,ElecAvoidedCostsWOCC!$A$5:$Q$50,G67+1,FALSE)</f>
        <v>#N/A</v>
      </c>
      <c r="AG67" s="44" t="e">
        <f t="shared" si="69"/>
        <v>#N/A</v>
      </c>
      <c r="AH67" s="52" t="e">
        <f>HLOOKUP(I67,ElecAvoidedCostsWOCC!$A$5:$Q$50,T67+1,FALSE)</f>
        <v>#N/A</v>
      </c>
      <c r="AI67" s="44" t="e">
        <f t="shared" si="70"/>
        <v>#N/A</v>
      </c>
      <c r="AJ67" s="44" t="e">
        <f t="shared" si="71"/>
        <v>#N/A</v>
      </c>
      <c r="AK67" s="44" t="e">
        <f>HLOOKUP(I67,ElecAvoidedCostsWOCC!$A$5:$Q$50,G67+1,FALSE)*J67*L67</f>
        <v>#N/A</v>
      </c>
      <c r="AL67" s="44" t="e">
        <f t="shared" si="72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73"/>
        <v>0</v>
      </c>
      <c r="AO67" s="47">
        <f t="shared" si="74"/>
        <v>0</v>
      </c>
      <c r="AP67" s="47" t="e">
        <f t="shared" si="75"/>
        <v>#DIV/0!</v>
      </c>
    </row>
    <row r="68" spans="2:42">
      <c r="B68" s="97" t="s">
        <v>15</v>
      </c>
      <c r="C68" s="100"/>
      <c r="D68" s="100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57"/>
        <v>0</v>
      </c>
      <c r="U68" s="47">
        <f t="shared" si="58"/>
        <v>0</v>
      </c>
      <c r="V68" s="48">
        <f t="shared" si="59"/>
        <v>0</v>
      </c>
      <c r="W68" s="49">
        <f t="shared" si="60"/>
        <v>0</v>
      </c>
      <c r="X68" s="44">
        <f t="shared" si="61"/>
        <v>0</v>
      </c>
      <c r="Y68" s="44">
        <f t="shared" si="62"/>
        <v>0</v>
      </c>
      <c r="Z68" s="44">
        <f t="shared" si="63"/>
        <v>0</v>
      </c>
      <c r="AA68" s="50">
        <f t="shared" si="64"/>
        <v>0</v>
      </c>
      <c r="AB68" s="51">
        <f t="shared" si="65"/>
        <v>0</v>
      </c>
      <c r="AC68" s="44">
        <f t="shared" si="66"/>
        <v>0</v>
      </c>
      <c r="AD68" s="44">
        <f t="shared" si="67"/>
        <v>0</v>
      </c>
      <c r="AE68" s="44">
        <f t="shared" si="68"/>
        <v>0</v>
      </c>
      <c r="AF68" s="52" t="e">
        <f>HLOOKUP(I68,ElecAvoidedCostsWOCC!$A$5:$Q$50,G68+1,FALSE)</f>
        <v>#N/A</v>
      </c>
      <c r="AG68" s="44" t="e">
        <f t="shared" si="69"/>
        <v>#N/A</v>
      </c>
      <c r="AH68" s="52" t="e">
        <f>HLOOKUP(I68,ElecAvoidedCostsWOCC!$A$5:$Q$50,T68+1,FALSE)</f>
        <v>#N/A</v>
      </c>
      <c r="AI68" s="44" t="e">
        <f t="shared" si="70"/>
        <v>#N/A</v>
      </c>
      <c r="AJ68" s="44" t="e">
        <f t="shared" si="71"/>
        <v>#N/A</v>
      </c>
      <c r="AK68" s="44" t="e">
        <f>HLOOKUP(I68,ElecAvoidedCostsWOCC!$A$5:$Q$50,G68+1,FALSE)*J68*L68</f>
        <v>#N/A</v>
      </c>
      <c r="AL68" s="44" t="e">
        <f t="shared" si="72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73"/>
        <v>0</v>
      </c>
      <c r="AO68" s="47">
        <f t="shared" si="74"/>
        <v>0</v>
      </c>
      <c r="AP68" s="47" t="e">
        <f t="shared" si="75"/>
        <v>#DIV/0!</v>
      </c>
    </row>
    <row r="69" spans="2:42">
      <c r="B69" s="97" t="s">
        <v>15</v>
      </c>
      <c r="C69" s="100"/>
      <c r="D69" s="100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57"/>
        <v>0</v>
      </c>
      <c r="U69" s="47">
        <f t="shared" si="58"/>
        <v>0</v>
      </c>
      <c r="V69" s="48">
        <f t="shared" si="59"/>
        <v>0</v>
      </c>
      <c r="W69" s="49">
        <f t="shared" si="60"/>
        <v>0</v>
      </c>
      <c r="X69" s="44">
        <f t="shared" si="61"/>
        <v>0</v>
      </c>
      <c r="Y69" s="44">
        <f t="shared" si="62"/>
        <v>0</v>
      </c>
      <c r="Z69" s="44">
        <f t="shared" si="63"/>
        <v>0</v>
      </c>
      <c r="AA69" s="50">
        <f t="shared" si="64"/>
        <v>0</v>
      </c>
      <c r="AB69" s="51">
        <f t="shared" si="65"/>
        <v>0</v>
      </c>
      <c r="AC69" s="44">
        <f t="shared" si="66"/>
        <v>0</v>
      </c>
      <c r="AD69" s="44">
        <f t="shared" si="67"/>
        <v>0</v>
      </c>
      <c r="AE69" s="44">
        <f t="shared" si="68"/>
        <v>0</v>
      </c>
      <c r="AF69" s="52" t="e">
        <f>HLOOKUP(I69,ElecAvoidedCostsWOCC!$A$5:$Q$50,G69+1,FALSE)</f>
        <v>#N/A</v>
      </c>
      <c r="AG69" s="44" t="e">
        <f t="shared" si="69"/>
        <v>#N/A</v>
      </c>
      <c r="AH69" s="52" t="e">
        <f>HLOOKUP(I69,ElecAvoidedCostsWOCC!$A$5:$Q$50,T69+1,FALSE)</f>
        <v>#N/A</v>
      </c>
      <c r="AI69" s="44" t="e">
        <f t="shared" si="70"/>
        <v>#N/A</v>
      </c>
      <c r="AJ69" s="44" t="e">
        <f t="shared" si="71"/>
        <v>#N/A</v>
      </c>
      <c r="AK69" s="44" t="e">
        <f>HLOOKUP(I69,ElecAvoidedCostsWOCC!$A$5:$Q$50,G69+1,FALSE)*J69*L69</f>
        <v>#N/A</v>
      </c>
      <c r="AL69" s="44" t="e">
        <f t="shared" si="72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73"/>
        <v>0</v>
      </c>
      <c r="AO69" s="47">
        <f t="shared" si="74"/>
        <v>0</v>
      </c>
      <c r="AP69" s="47" t="e">
        <f t="shared" si="75"/>
        <v>#DIV/0!</v>
      </c>
    </row>
    <row r="70" spans="2:42">
      <c r="B70" s="97" t="s">
        <v>15</v>
      </c>
      <c r="C70" s="100"/>
      <c r="D70" s="100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57"/>
        <v>0</v>
      </c>
      <c r="U70" s="47">
        <f t="shared" si="58"/>
        <v>0</v>
      </c>
      <c r="V70" s="48">
        <f t="shared" si="59"/>
        <v>0</v>
      </c>
      <c r="W70" s="49">
        <f t="shared" si="60"/>
        <v>0</v>
      </c>
      <c r="X70" s="44">
        <f t="shared" si="61"/>
        <v>0</v>
      </c>
      <c r="Y70" s="44">
        <f t="shared" si="62"/>
        <v>0</v>
      </c>
      <c r="Z70" s="44">
        <f t="shared" si="63"/>
        <v>0</v>
      </c>
      <c r="AA70" s="50">
        <f t="shared" si="64"/>
        <v>0</v>
      </c>
      <c r="AB70" s="51">
        <f t="shared" si="65"/>
        <v>0</v>
      </c>
      <c r="AC70" s="44">
        <f t="shared" si="66"/>
        <v>0</v>
      </c>
      <c r="AD70" s="44">
        <f t="shared" si="67"/>
        <v>0</v>
      </c>
      <c r="AE70" s="44">
        <f t="shared" si="68"/>
        <v>0</v>
      </c>
      <c r="AF70" s="52" t="e">
        <f>HLOOKUP(I70,ElecAvoidedCostsWOCC!$A$5:$Q$50,G70+1,FALSE)</f>
        <v>#N/A</v>
      </c>
      <c r="AG70" s="44" t="e">
        <f t="shared" si="69"/>
        <v>#N/A</v>
      </c>
      <c r="AH70" s="52" t="e">
        <f>HLOOKUP(I70,ElecAvoidedCostsWOCC!$A$5:$Q$50,T70+1,FALSE)</f>
        <v>#N/A</v>
      </c>
      <c r="AI70" s="44" t="e">
        <f t="shared" si="70"/>
        <v>#N/A</v>
      </c>
      <c r="AJ70" s="44" t="e">
        <f t="shared" si="71"/>
        <v>#N/A</v>
      </c>
      <c r="AK70" s="44" t="e">
        <f>HLOOKUP(I70,ElecAvoidedCostsWOCC!$A$5:$Q$50,G70+1,FALSE)*J70*L70</f>
        <v>#N/A</v>
      </c>
      <c r="AL70" s="44" t="e">
        <f t="shared" si="72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73"/>
        <v>0</v>
      </c>
      <c r="AO70" s="47">
        <f t="shared" si="74"/>
        <v>0</v>
      </c>
      <c r="AP70" s="47" t="e">
        <f t="shared" si="75"/>
        <v>#DIV/0!</v>
      </c>
    </row>
    <row r="71" spans="2:42">
      <c r="B71" s="97" t="s">
        <v>15</v>
      </c>
      <c r="C71" s="100"/>
      <c r="D71" s="100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57"/>
        <v>0</v>
      </c>
      <c r="U71" s="47">
        <f t="shared" si="58"/>
        <v>0</v>
      </c>
      <c r="V71" s="48">
        <f t="shared" si="59"/>
        <v>0</v>
      </c>
      <c r="W71" s="49">
        <f t="shared" si="60"/>
        <v>0</v>
      </c>
      <c r="X71" s="44">
        <f t="shared" si="61"/>
        <v>0</v>
      </c>
      <c r="Y71" s="44">
        <f t="shared" si="62"/>
        <v>0</v>
      </c>
      <c r="Z71" s="44">
        <f t="shared" si="63"/>
        <v>0</v>
      </c>
      <c r="AA71" s="50">
        <f t="shared" si="64"/>
        <v>0</v>
      </c>
      <c r="AB71" s="51">
        <f t="shared" si="65"/>
        <v>0</v>
      </c>
      <c r="AC71" s="44">
        <f t="shared" si="66"/>
        <v>0</v>
      </c>
      <c r="AD71" s="44">
        <f t="shared" si="67"/>
        <v>0</v>
      </c>
      <c r="AE71" s="44">
        <f t="shared" si="68"/>
        <v>0</v>
      </c>
      <c r="AF71" s="52" t="e">
        <f>HLOOKUP(I71,ElecAvoidedCostsWOCC!$A$5:$Q$50,G71+1,FALSE)</f>
        <v>#N/A</v>
      </c>
      <c r="AG71" s="44" t="e">
        <f t="shared" si="69"/>
        <v>#N/A</v>
      </c>
      <c r="AH71" s="52" t="e">
        <f>HLOOKUP(I71,ElecAvoidedCostsWOCC!$A$5:$Q$50,T71+1,FALSE)</f>
        <v>#N/A</v>
      </c>
      <c r="AI71" s="44" t="e">
        <f t="shared" si="70"/>
        <v>#N/A</v>
      </c>
      <c r="AJ71" s="44" t="e">
        <f t="shared" si="71"/>
        <v>#N/A</v>
      </c>
      <c r="AK71" s="44" t="e">
        <f>HLOOKUP(I71,ElecAvoidedCostsWOCC!$A$5:$Q$50,G71+1,FALSE)*J71*L71</f>
        <v>#N/A</v>
      </c>
      <c r="AL71" s="44" t="e">
        <f t="shared" si="72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73"/>
        <v>0</v>
      </c>
      <c r="AO71" s="47">
        <f t="shared" si="74"/>
        <v>0</v>
      </c>
      <c r="AP71" s="47" t="e">
        <f t="shared" si="75"/>
        <v>#DIV/0!</v>
      </c>
    </row>
    <row r="72" spans="2:42">
      <c r="B72" s="97" t="s">
        <v>15</v>
      </c>
      <c r="C72" s="100"/>
      <c r="D72" s="100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57"/>
        <v>0</v>
      </c>
      <c r="U72" s="47">
        <f t="shared" si="58"/>
        <v>0</v>
      </c>
      <c r="V72" s="48">
        <f t="shared" si="59"/>
        <v>0</v>
      </c>
      <c r="W72" s="49">
        <f t="shared" si="60"/>
        <v>0</v>
      </c>
      <c r="X72" s="44">
        <f t="shared" si="61"/>
        <v>0</v>
      </c>
      <c r="Y72" s="44">
        <f t="shared" si="62"/>
        <v>0</v>
      </c>
      <c r="Z72" s="44">
        <f t="shared" si="63"/>
        <v>0</v>
      </c>
      <c r="AA72" s="50">
        <f t="shared" si="64"/>
        <v>0</v>
      </c>
      <c r="AB72" s="51">
        <f t="shared" si="65"/>
        <v>0</v>
      </c>
      <c r="AC72" s="44">
        <f t="shared" si="66"/>
        <v>0</v>
      </c>
      <c r="AD72" s="44">
        <f t="shared" si="67"/>
        <v>0</v>
      </c>
      <c r="AE72" s="44">
        <f t="shared" si="68"/>
        <v>0</v>
      </c>
      <c r="AF72" s="52" t="e">
        <f>HLOOKUP(I72,ElecAvoidedCostsWOCC!$A$5:$Q$50,G72+1,FALSE)</f>
        <v>#N/A</v>
      </c>
      <c r="AG72" s="44" t="e">
        <f t="shared" si="69"/>
        <v>#N/A</v>
      </c>
      <c r="AH72" s="52" t="e">
        <f>HLOOKUP(I72,ElecAvoidedCostsWOCC!$A$5:$Q$50,T72+1,FALSE)</f>
        <v>#N/A</v>
      </c>
      <c r="AI72" s="44" t="e">
        <f t="shared" si="70"/>
        <v>#N/A</v>
      </c>
      <c r="AJ72" s="44" t="e">
        <f t="shared" si="71"/>
        <v>#N/A</v>
      </c>
      <c r="AK72" s="44" t="e">
        <f>HLOOKUP(I72,ElecAvoidedCostsWOCC!$A$5:$Q$50,G72+1,FALSE)*J72*L72</f>
        <v>#N/A</v>
      </c>
      <c r="AL72" s="44" t="e">
        <f t="shared" si="72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73"/>
        <v>0</v>
      </c>
      <c r="AO72" s="47">
        <f t="shared" si="74"/>
        <v>0</v>
      </c>
      <c r="AP72" s="47" t="e">
        <f t="shared" si="75"/>
        <v>#DIV/0!</v>
      </c>
    </row>
    <row r="73" spans="2:42">
      <c r="B73" s="97" t="s">
        <v>15</v>
      </c>
      <c r="C73" s="100"/>
      <c r="D73" s="100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57"/>
        <v>0</v>
      </c>
      <c r="U73" s="47">
        <f t="shared" si="58"/>
        <v>0</v>
      </c>
      <c r="V73" s="48">
        <f t="shared" si="59"/>
        <v>0</v>
      </c>
      <c r="W73" s="49">
        <f t="shared" si="60"/>
        <v>0</v>
      </c>
      <c r="X73" s="44">
        <f t="shared" si="61"/>
        <v>0</v>
      </c>
      <c r="Y73" s="44">
        <f t="shared" si="62"/>
        <v>0</v>
      </c>
      <c r="Z73" s="44">
        <f t="shared" si="63"/>
        <v>0</v>
      </c>
      <c r="AA73" s="50">
        <f t="shared" si="64"/>
        <v>0</v>
      </c>
      <c r="AB73" s="51">
        <f t="shared" si="65"/>
        <v>0</v>
      </c>
      <c r="AC73" s="44">
        <f t="shared" si="66"/>
        <v>0</v>
      </c>
      <c r="AD73" s="44">
        <f t="shared" si="67"/>
        <v>0</v>
      </c>
      <c r="AE73" s="44">
        <f t="shared" si="68"/>
        <v>0</v>
      </c>
      <c r="AF73" s="52" t="e">
        <f>HLOOKUP(I73,ElecAvoidedCostsWOCC!$A$5:$Q$50,G73+1,FALSE)</f>
        <v>#N/A</v>
      </c>
      <c r="AG73" s="44" t="e">
        <f t="shared" si="69"/>
        <v>#N/A</v>
      </c>
      <c r="AH73" s="52" t="e">
        <f>HLOOKUP(I73,ElecAvoidedCostsWOCC!$A$5:$Q$50,T73+1,FALSE)</f>
        <v>#N/A</v>
      </c>
      <c r="AI73" s="44" t="e">
        <f t="shared" si="70"/>
        <v>#N/A</v>
      </c>
      <c r="AJ73" s="44" t="e">
        <f t="shared" si="71"/>
        <v>#N/A</v>
      </c>
      <c r="AK73" s="44" t="e">
        <f>HLOOKUP(I73,ElecAvoidedCostsWOCC!$A$5:$Q$50,G73+1,FALSE)*J73*L73</f>
        <v>#N/A</v>
      </c>
      <c r="AL73" s="44" t="e">
        <f t="shared" si="72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73"/>
        <v>0</v>
      </c>
      <c r="AO73" s="47">
        <f t="shared" si="74"/>
        <v>0</v>
      </c>
      <c r="AP73" s="47" t="e">
        <f t="shared" si="75"/>
        <v>#DIV/0!</v>
      </c>
    </row>
    <row r="74" spans="2:42">
      <c r="B74" s="97" t="s">
        <v>15</v>
      </c>
      <c r="C74" s="100"/>
      <c r="D74" s="100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57"/>
        <v>0</v>
      </c>
      <c r="U74" s="47">
        <f t="shared" si="58"/>
        <v>0</v>
      </c>
      <c r="V74" s="48">
        <f t="shared" si="59"/>
        <v>0</v>
      </c>
      <c r="W74" s="49">
        <f t="shared" si="60"/>
        <v>0</v>
      </c>
      <c r="X74" s="44">
        <f t="shared" si="61"/>
        <v>0</v>
      </c>
      <c r="Y74" s="44">
        <f t="shared" si="62"/>
        <v>0</v>
      </c>
      <c r="Z74" s="44">
        <f t="shared" si="63"/>
        <v>0</v>
      </c>
      <c r="AA74" s="50">
        <f t="shared" si="64"/>
        <v>0</v>
      </c>
      <c r="AB74" s="51">
        <f t="shared" si="65"/>
        <v>0</v>
      </c>
      <c r="AC74" s="44">
        <f t="shared" si="66"/>
        <v>0</v>
      </c>
      <c r="AD74" s="44">
        <f t="shared" si="67"/>
        <v>0</v>
      </c>
      <c r="AE74" s="44">
        <f t="shared" si="68"/>
        <v>0</v>
      </c>
      <c r="AF74" s="52" t="e">
        <f>HLOOKUP(I74,ElecAvoidedCostsWOCC!$A$5:$Q$50,G74+1,FALSE)</f>
        <v>#N/A</v>
      </c>
      <c r="AG74" s="44" t="e">
        <f t="shared" si="69"/>
        <v>#N/A</v>
      </c>
      <c r="AH74" s="52" t="e">
        <f>HLOOKUP(I74,ElecAvoidedCostsWOCC!$A$5:$Q$50,T74+1,FALSE)</f>
        <v>#N/A</v>
      </c>
      <c r="AI74" s="44" t="e">
        <f t="shared" si="70"/>
        <v>#N/A</v>
      </c>
      <c r="AJ74" s="44" t="e">
        <f t="shared" si="71"/>
        <v>#N/A</v>
      </c>
      <c r="AK74" s="44" t="e">
        <f>HLOOKUP(I74,ElecAvoidedCostsWOCC!$A$5:$Q$50,G74+1,FALSE)*J74*L74</f>
        <v>#N/A</v>
      </c>
      <c r="AL74" s="44" t="e">
        <f t="shared" si="72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73"/>
        <v>0</v>
      </c>
      <c r="AO74" s="47">
        <f t="shared" si="74"/>
        <v>0</v>
      </c>
      <c r="AP74" s="47" t="e">
        <f t="shared" si="75"/>
        <v>#DIV/0!</v>
      </c>
    </row>
    <row r="75" spans="2:42">
      <c r="B75" s="97" t="s">
        <v>15</v>
      </c>
      <c r="C75" s="100"/>
      <c r="D75" s="100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57"/>
        <v>0</v>
      </c>
      <c r="U75" s="47">
        <f t="shared" si="58"/>
        <v>0</v>
      </c>
      <c r="V75" s="48">
        <f t="shared" si="59"/>
        <v>0</v>
      </c>
      <c r="W75" s="49">
        <f t="shared" si="60"/>
        <v>0</v>
      </c>
      <c r="X75" s="44">
        <f t="shared" si="61"/>
        <v>0</v>
      </c>
      <c r="Y75" s="44">
        <f t="shared" si="62"/>
        <v>0</v>
      </c>
      <c r="Z75" s="44">
        <f t="shared" si="63"/>
        <v>0</v>
      </c>
      <c r="AA75" s="50">
        <f t="shared" si="64"/>
        <v>0</v>
      </c>
      <c r="AB75" s="51">
        <f t="shared" si="65"/>
        <v>0</v>
      </c>
      <c r="AC75" s="44">
        <f t="shared" si="66"/>
        <v>0</v>
      </c>
      <c r="AD75" s="44">
        <f t="shared" si="67"/>
        <v>0</v>
      </c>
      <c r="AE75" s="44">
        <f t="shared" si="68"/>
        <v>0</v>
      </c>
      <c r="AF75" s="52" t="e">
        <f>HLOOKUP(I75,ElecAvoidedCostsWOCC!$A$5:$Q$50,G75+1,FALSE)</f>
        <v>#N/A</v>
      </c>
      <c r="AG75" s="44" t="e">
        <f t="shared" si="69"/>
        <v>#N/A</v>
      </c>
      <c r="AH75" s="52" t="e">
        <f>HLOOKUP(I75,ElecAvoidedCostsWOCC!$A$5:$Q$50,T75+1,FALSE)</f>
        <v>#N/A</v>
      </c>
      <c r="AI75" s="44" t="e">
        <f t="shared" si="70"/>
        <v>#N/A</v>
      </c>
      <c r="AJ75" s="44" t="e">
        <f t="shared" si="71"/>
        <v>#N/A</v>
      </c>
      <c r="AK75" s="44" t="e">
        <f>HLOOKUP(I75,ElecAvoidedCostsWOCC!$A$5:$Q$50,G75+1,FALSE)*J75*L75</f>
        <v>#N/A</v>
      </c>
      <c r="AL75" s="44" t="e">
        <f t="shared" si="72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73"/>
        <v>0</v>
      </c>
      <c r="AO75" s="47">
        <f t="shared" si="74"/>
        <v>0</v>
      </c>
      <c r="AP75" s="47" t="e">
        <f t="shared" si="75"/>
        <v>#DIV/0!</v>
      </c>
    </row>
    <row r="76" spans="2:42">
      <c r="B76" s="97" t="s">
        <v>15</v>
      </c>
      <c r="C76" s="100"/>
      <c r="D76" s="100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57"/>
        <v>0</v>
      </c>
      <c r="U76" s="47">
        <f t="shared" si="58"/>
        <v>0</v>
      </c>
      <c r="V76" s="48">
        <f t="shared" si="59"/>
        <v>0</v>
      </c>
      <c r="W76" s="49">
        <f t="shared" si="60"/>
        <v>0</v>
      </c>
      <c r="X76" s="44">
        <f t="shared" si="61"/>
        <v>0</v>
      </c>
      <c r="Y76" s="44">
        <f t="shared" si="62"/>
        <v>0</v>
      </c>
      <c r="Z76" s="44">
        <f t="shared" si="63"/>
        <v>0</v>
      </c>
      <c r="AA76" s="50">
        <f t="shared" si="64"/>
        <v>0</v>
      </c>
      <c r="AB76" s="51">
        <f t="shared" si="65"/>
        <v>0</v>
      </c>
      <c r="AC76" s="44">
        <f t="shared" si="66"/>
        <v>0</v>
      </c>
      <c r="AD76" s="44">
        <f t="shared" si="67"/>
        <v>0</v>
      </c>
      <c r="AE76" s="44">
        <f t="shared" si="68"/>
        <v>0</v>
      </c>
      <c r="AF76" s="52" t="e">
        <f>HLOOKUP(I76,ElecAvoidedCostsWOCC!$A$5:$Q$50,G76+1,FALSE)</f>
        <v>#N/A</v>
      </c>
      <c r="AG76" s="44" t="e">
        <f t="shared" si="69"/>
        <v>#N/A</v>
      </c>
      <c r="AH76" s="52" t="e">
        <f>HLOOKUP(I76,ElecAvoidedCostsWOCC!$A$5:$Q$50,T76+1,FALSE)</f>
        <v>#N/A</v>
      </c>
      <c r="AI76" s="44" t="e">
        <f t="shared" si="70"/>
        <v>#N/A</v>
      </c>
      <c r="AJ76" s="44" t="e">
        <f t="shared" si="71"/>
        <v>#N/A</v>
      </c>
      <c r="AK76" s="44" t="e">
        <f>HLOOKUP(I76,ElecAvoidedCostsWOCC!$A$5:$Q$50,G76+1,FALSE)*J76*L76</f>
        <v>#N/A</v>
      </c>
      <c r="AL76" s="44" t="e">
        <f t="shared" si="72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73"/>
        <v>0</v>
      </c>
      <c r="AO76" s="47">
        <f t="shared" si="74"/>
        <v>0</v>
      </c>
      <c r="AP76" s="47" t="e">
        <f t="shared" si="75"/>
        <v>#DIV/0!</v>
      </c>
    </row>
    <row r="77" spans="2:42">
      <c r="B77" s="97" t="s">
        <v>15</v>
      </c>
      <c r="C77" s="100"/>
      <c r="D77" s="100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57"/>
        <v>0</v>
      </c>
      <c r="U77" s="47">
        <f t="shared" si="58"/>
        <v>0</v>
      </c>
      <c r="V77" s="48">
        <f t="shared" si="59"/>
        <v>0</v>
      </c>
      <c r="W77" s="49">
        <f t="shared" si="60"/>
        <v>0</v>
      </c>
      <c r="X77" s="44">
        <f t="shared" si="61"/>
        <v>0</v>
      </c>
      <c r="Y77" s="44">
        <f t="shared" si="62"/>
        <v>0</v>
      </c>
      <c r="Z77" s="44">
        <f t="shared" si="63"/>
        <v>0</v>
      </c>
      <c r="AA77" s="50">
        <f t="shared" si="64"/>
        <v>0</v>
      </c>
      <c r="AB77" s="51">
        <f t="shared" si="65"/>
        <v>0</v>
      </c>
      <c r="AC77" s="44">
        <f t="shared" si="66"/>
        <v>0</v>
      </c>
      <c r="AD77" s="44">
        <f t="shared" si="67"/>
        <v>0</v>
      </c>
      <c r="AE77" s="44">
        <f t="shared" si="68"/>
        <v>0</v>
      </c>
      <c r="AF77" s="52" t="e">
        <f>HLOOKUP(I77,ElecAvoidedCostsWOCC!$A$5:$Q$50,G77+1,FALSE)</f>
        <v>#N/A</v>
      </c>
      <c r="AG77" s="44" t="e">
        <f t="shared" si="69"/>
        <v>#N/A</v>
      </c>
      <c r="AH77" s="52" t="e">
        <f>HLOOKUP(I77,ElecAvoidedCostsWOCC!$A$5:$Q$50,T77+1,FALSE)</f>
        <v>#N/A</v>
      </c>
      <c r="AI77" s="44" t="e">
        <f t="shared" si="70"/>
        <v>#N/A</v>
      </c>
      <c r="AJ77" s="44" t="e">
        <f t="shared" si="71"/>
        <v>#N/A</v>
      </c>
      <c r="AK77" s="44" t="e">
        <f>HLOOKUP(I77,ElecAvoidedCostsWOCC!$A$5:$Q$50,G77+1,FALSE)*J77*L77</f>
        <v>#N/A</v>
      </c>
      <c r="AL77" s="44" t="e">
        <f t="shared" si="72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73"/>
        <v>0</v>
      </c>
      <c r="AO77" s="47">
        <f t="shared" si="74"/>
        <v>0</v>
      </c>
      <c r="AP77" s="47" t="e">
        <f t="shared" si="75"/>
        <v>#DIV/0!</v>
      </c>
    </row>
    <row r="78" spans="2:42">
      <c r="B78" s="97" t="s">
        <v>15</v>
      </c>
      <c r="C78" s="100"/>
      <c r="D78" s="100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57"/>
        <v>0</v>
      </c>
      <c r="U78" s="47">
        <f t="shared" si="58"/>
        <v>0</v>
      </c>
      <c r="V78" s="48">
        <f t="shared" si="59"/>
        <v>0</v>
      </c>
      <c r="W78" s="49">
        <f t="shared" si="60"/>
        <v>0</v>
      </c>
      <c r="X78" s="44">
        <f t="shared" si="61"/>
        <v>0</v>
      </c>
      <c r="Y78" s="44">
        <f t="shared" si="62"/>
        <v>0</v>
      </c>
      <c r="Z78" s="44">
        <f t="shared" si="63"/>
        <v>0</v>
      </c>
      <c r="AA78" s="50">
        <f t="shared" si="64"/>
        <v>0</v>
      </c>
      <c r="AB78" s="51">
        <f t="shared" si="65"/>
        <v>0</v>
      </c>
      <c r="AC78" s="44">
        <f t="shared" si="66"/>
        <v>0</v>
      </c>
      <c r="AD78" s="44">
        <f t="shared" si="67"/>
        <v>0</v>
      </c>
      <c r="AE78" s="44">
        <f t="shared" si="68"/>
        <v>0</v>
      </c>
      <c r="AF78" s="52" t="e">
        <f>HLOOKUP(I78,ElecAvoidedCostsWOCC!$A$5:$Q$50,G78+1,FALSE)</f>
        <v>#N/A</v>
      </c>
      <c r="AG78" s="44" t="e">
        <f t="shared" si="69"/>
        <v>#N/A</v>
      </c>
      <c r="AH78" s="52" t="e">
        <f>HLOOKUP(I78,ElecAvoidedCostsWOCC!$A$5:$Q$50,T78+1,FALSE)</f>
        <v>#N/A</v>
      </c>
      <c r="AI78" s="44" t="e">
        <f t="shared" si="70"/>
        <v>#N/A</v>
      </c>
      <c r="AJ78" s="44" t="e">
        <f t="shared" si="71"/>
        <v>#N/A</v>
      </c>
      <c r="AK78" s="44" t="e">
        <f>HLOOKUP(I78,ElecAvoidedCostsWOCC!$A$5:$Q$50,G78+1,FALSE)*J78*L78</f>
        <v>#N/A</v>
      </c>
      <c r="AL78" s="44" t="e">
        <f t="shared" si="72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73"/>
        <v>0</v>
      </c>
      <c r="AO78" s="47">
        <f t="shared" si="74"/>
        <v>0</v>
      </c>
      <c r="AP78" s="47" t="e">
        <f t="shared" si="75"/>
        <v>#DIV/0!</v>
      </c>
    </row>
    <row r="79" spans="2:42">
      <c r="B79" s="97" t="s">
        <v>15</v>
      </c>
      <c r="C79" s="100"/>
      <c r="D79" s="100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57"/>
        <v>0</v>
      </c>
      <c r="U79" s="47">
        <f t="shared" si="58"/>
        <v>0</v>
      </c>
      <c r="V79" s="48">
        <f t="shared" si="59"/>
        <v>0</v>
      </c>
      <c r="W79" s="49">
        <f t="shared" si="60"/>
        <v>0</v>
      </c>
      <c r="X79" s="44">
        <f t="shared" si="61"/>
        <v>0</v>
      </c>
      <c r="Y79" s="44">
        <f t="shared" si="62"/>
        <v>0</v>
      </c>
      <c r="Z79" s="44">
        <f t="shared" si="63"/>
        <v>0</v>
      </c>
      <c r="AA79" s="50">
        <f t="shared" si="64"/>
        <v>0</v>
      </c>
      <c r="AB79" s="51">
        <f t="shared" si="65"/>
        <v>0</v>
      </c>
      <c r="AC79" s="44">
        <f t="shared" si="66"/>
        <v>0</v>
      </c>
      <c r="AD79" s="44">
        <f t="shared" si="67"/>
        <v>0</v>
      </c>
      <c r="AE79" s="44">
        <f t="shared" si="68"/>
        <v>0</v>
      </c>
      <c r="AF79" s="52" t="e">
        <f>HLOOKUP(I79,ElecAvoidedCostsWOCC!$A$5:$Q$50,G79+1,FALSE)</f>
        <v>#N/A</v>
      </c>
      <c r="AG79" s="44" t="e">
        <f t="shared" si="69"/>
        <v>#N/A</v>
      </c>
      <c r="AH79" s="52" t="e">
        <f>HLOOKUP(I79,ElecAvoidedCostsWOCC!$A$5:$Q$50,T79+1,FALSE)</f>
        <v>#N/A</v>
      </c>
      <c r="AI79" s="44" t="e">
        <f t="shared" si="70"/>
        <v>#N/A</v>
      </c>
      <c r="AJ79" s="44" t="e">
        <f t="shared" si="71"/>
        <v>#N/A</v>
      </c>
      <c r="AK79" s="44" t="e">
        <f>HLOOKUP(I79,ElecAvoidedCostsWOCC!$A$5:$Q$50,G79+1,FALSE)*J79*L79</f>
        <v>#N/A</v>
      </c>
      <c r="AL79" s="44" t="e">
        <f t="shared" si="72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73"/>
        <v>0</v>
      </c>
      <c r="AO79" s="47">
        <f t="shared" si="74"/>
        <v>0</v>
      </c>
      <c r="AP79" s="47" t="e">
        <f t="shared" si="75"/>
        <v>#DIV/0!</v>
      </c>
    </row>
    <row r="80" spans="2:42">
      <c r="B80" s="97" t="s">
        <v>15</v>
      </c>
      <c r="C80" s="100"/>
      <c r="D80" s="100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57"/>
        <v>0</v>
      </c>
      <c r="U80" s="47">
        <f t="shared" si="58"/>
        <v>0</v>
      </c>
      <c r="V80" s="48">
        <f t="shared" si="59"/>
        <v>0</v>
      </c>
      <c r="W80" s="49">
        <f t="shared" si="60"/>
        <v>0</v>
      </c>
      <c r="X80" s="44">
        <f t="shared" si="61"/>
        <v>0</v>
      </c>
      <c r="Y80" s="44">
        <f t="shared" si="62"/>
        <v>0</v>
      </c>
      <c r="Z80" s="44">
        <f t="shared" si="63"/>
        <v>0</v>
      </c>
      <c r="AA80" s="50">
        <f t="shared" si="64"/>
        <v>0</v>
      </c>
      <c r="AB80" s="51">
        <f t="shared" si="65"/>
        <v>0</v>
      </c>
      <c r="AC80" s="44">
        <f t="shared" si="66"/>
        <v>0</v>
      </c>
      <c r="AD80" s="44">
        <f t="shared" si="67"/>
        <v>0</v>
      </c>
      <c r="AE80" s="44">
        <f t="shared" si="68"/>
        <v>0</v>
      </c>
      <c r="AF80" s="52" t="e">
        <f>HLOOKUP(I80,ElecAvoidedCostsWOCC!$A$5:$Q$50,G80+1,FALSE)</f>
        <v>#N/A</v>
      </c>
      <c r="AG80" s="44" t="e">
        <f t="shared" si="69"/>
        <v>#N/A</v>
      </c>
      <c r="AH80" s="52" t="e">
        <f>HLOOKUP(I80,ElecAvoidedCostsWOCC!$A$5:$Q$50,T80+1,FALSE)</f>
        <v>#N/A</v>
      </c>
      <c r="AI80" s="44" t="e">
        <f t="shared" si="70"/>
        <v>#N/A</v>
      </c>
      <c r="AJ80" s="44" t="e">
        <f t="shared" si="71"/>
        <v>#N/A</v>
      </c>
      <c r="AK80" s="44" t="e">
        <f>HLOOKUP(I80,ElecAvoidedCostsWOCC!$A$5:$Q$50,G80+1,FALSE)*J80*L80</f>
        <v>#N/A</v>
      </c>
      <c r="AL80" s="44" t="e">
        <f t="shared" si="72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73"/>
        <v>0</v>
      </c>
      <c r="AO80" s="47">
        <f t="shared" si="74"/>
        <v>0</v>
      </c>
      <c r="AP80" s="47" t="e">
        <f t="shared" si="75"/>
        <v>#DIV/0!</v>
      </c>
    </row>
    <row r="81" spans="2:42">
      <c r="B81" s="97" t="s">
        <v>15</v>
      </c>
      <c r="C81" s="100"/>
      <c r="D81" s="100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57"/>
        <v>0</v>
      </c>
      <c r="U81" s="47">
        <f t="shared" si="58"/>
        <v>0</v>
      </c>
      <c r="V81" s="48">
        <f t="shared" si="59"/>
        <v>0</v>
      </c>
      <c r="W81" s="49">
        <f t="shared" si="60"/>
        <v>0</v>
      </c>
      <c r="X81" s="44">
        <f t="shared" si="61"/>
        <v>0</v>
      </c>
      <c r="Y81" s="44">
        <f t="shared" si="62"/>
        <v>0</v>
      </c>
      <c r="Z81" s="44">
        <f t="shared" si="63"/>
        <v>0</v>
      </c>
      <c r="AA81" s="50">
        <f t="shared" si="64"/>
        <v>0</v>
      </c>
      <c r="AB81" s="51">
        <f t="shared" si="65"/>
        <v>0</v>
      </c>
      <c r="AC81" s="44">
        <f t="shared" si="66"/>
        <v>0</v>
      </c>
      <c r="AD81" s="44">
        <f t="shared" si="67"/>
        <v>0</v>
      </c>
      <c r="AE81" s="44">
        <f t="shared" si="68"/>
        <v>0</v>
      </c>
      <c r="AF81" s="52" t="e">
        <f>HLOOKUP(I81,ElecAvoidedCostsWOCC!$A$5:$Q$50,G81+1,FALSE)</f>
        <v>#N/A</v>
      </c>
      <c r="AG81" s="44" t="e">
        <f t="shared" si="69"/>
        <v>#N/A</v>
      </c>
      <c r="AH81" s="52" t="e">
        <f>HLOOKUP(I81,ElecAvoidedCostsWOCC!$A$5:$Q$50,T81+1,FALSE)</f>
        <v>#N/A</v>
      </c>
      <c r="AI81" s="44" t="e">
        <f t="shared" si="70"/>
        <v>#N/A</v>
      </c>
      <c r="AJ81" s="44" t="e">
        <f t="shared" si="71"/>
        <v>#N/A</v>
      </c>
      <c r="AK81" s="44" t="e">
        <f>HLOOKUP(I81,ElecAvoidedCostsWOCC!$A$5:$Q$50,G81+1,FALSE)*J81*L81</f>
        <v>#N/A</v>
      </c>
      <c r="AL81" s="44" t="e">
        <f t="shared" si="72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73"/>
        <v>0</v>
      </c>
      <c r="AO81" s="47">
        <f t="shared" si="74"/>
        <v>0</v>
      </c>
      <c r="AP81" s="47" t="e">
        <f t="shared" si="75"/>
        <v>#DIV/0!</v>
      </c>
    </row>
    <row r="82" spans="2:42">
      <c r="B82" s="97" t="s">
        <v>15</v>
      </c>
      <c r="C82" s="100"/>
      <c r="D82" s="100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57"/>
        <v>0</v>
      </c>
      <c r="U82" s="47">
        <f t="shared" si="58"/>
        <v>0</v>
      </c>
      <c r="V82" s="48">
        <f t="shared" si="59"/>
        <v>0</v>
      </c>
      <c r="W82" s="49">
        <f t="shared" si="60"/>
        <v>0</v>
      </c>
      <c r="X82" s="44">
        <f t="shared" si="61"/>
        <v>0</v>
      </c>
      <c r="Y82" s="44">
        <f t="shared" si="62"/>
        <v>0</v>
      </c>
      <c r="Z82" s="44">
        <f t="shared" si="63"/>
        <v>0</v>
      </c>
      <c r="AA82" s="50">
        <f t="shared" si="64"/>
        <v>0</v>
      </c>
      <c r="AB82" s="51">
        <f t="shared" si="65"/>
        <v>0</v>
      </c>
      <c r="AC82" s="44">
        <f t="shared" si="66"/>
        <v>0</v>
      </c>
      <c r="AD82" s="44">
        <f t="shared" si="67"/>
        <v>0</v>
      </c>
      <c r="AE82" s="44">
        <f t="shared" si="68"/>
        <v>0</v>
      </c>
      <c r="AF82" s="52" t="e">
        <f>HLOOKUP(I82,ElecAvoidedCostsWOCC!$A$5:$Q$50,G82+1,FALSE)</f>
        <v>#N/A</v>
      </c>
      <c r="AG82" s="44" t="e">
        <f t="shared" si="69"/>
        <v>#N/A</v>
      </c>
      <c r="AH82" s="52" t="e">
        <f>HLOOKUP(I82,ElecAvoidedCostsWOCC!$A$5:$Q$50,T82+1,FALSE)</f>
        <v>#N/A</v>
      </c>
      <c r="AI82" s="44" t="e">
        <f t="shared" si="70"/>
        <v>#N/A</v>
      </c>
      <c r="AJ82" s="44" t="e">
        <f t="shared" si="71"/>
        <v>#N/A</v>
      </c>
      <c r="AK82" s="44" t="e">
        <f>HLOOKUP(I82,ElecAvoidedCostsWOCC!$A$5:$Q$50,G82+1,FALSE)*J82*L82</f>
        <v>#N/A</v>
      </c>
      <c r="AL82" s="44" t="e">
        <f t="shared" si="72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73"/>
        <v>0</v>
      </c>
      <c r="AO82" s="47">
        <f t="shared" si="74"/>
        <v>0</v>
      </c>
      <c r="AP82" s="47" t="e">
        <f t="shared" si="75"/>
        <v>#DIV/0!</v>
      </c>
    </row>
    <row r="83" spans="2:42">
      <c r="B83" s="97" t="s">
        <v>15</v>
      </c>
      <c r="C83" s="100"/>
      <c r="D83" s="100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57"/>
        <v>0</v>
      </c>
      <c r="U83" s="47">
        <f t="shared" si="58"/>
        <v>0</v>
      </c>
      <c r="V83" s="48">
        <f t="shared" si="59"/>
        <v>0</v>
      </c>
      <c r="W83" s="49">
        <f t="shared" si="60"/>
        <v>0</v>
      </c>
      <c r="X83" s="44">
        <f t="shared" si="61"/>
        <v>0</v>
      </c>
      <c r="Y83" s="44">
        <f t="shared" si="62"/>
        <v>0</v>
      </c>
      <c r="Z83" s="44">
        <f t="shared" si="63"/>
        <v>0</v>
      </c>
      <c r="AA83" s="50">
        <f t="shared" si="64"/>
        <v>0</v>
      </c>
      <c r="AB83" s="51">
        <f t="shared" si="65"/>
        <v>0</v>
      </c>
      <c r="AC83" s="44">
        <f t="shared" si="66"/>
        <v>0</v>
      </c>
      <c r="AD83" s="44">
        <f t="shared" si="67"/>
        <v>0</v>
      </c>
      <c r="AE83" s="44">
        <f t="shared" si="68"/>
        <v>0</v>
      </c>
      <c r="AF83" s="52" t="e">
        <f>HLOOKUP(I83,ElecAvoidedCostsWOCC!$A$5:$Q$50,G83+1,FALSE)</f>
        <v>#N/A</v>
      </c>
      <c r="AG83" s="44" t="e">
        <f t="shared" si="69"/>
        <v>#N/A</v>
      </c>
      <c r="AH83" s="52" t="e">
        <f>HLOOKUP(I83,ElecAvoidedCostsWOCC!$A$5:$Q$50,T83+1,FALSE)</f>
        <v>#N/A</v>
      </c>
      <c r="AI83" s="44" t="e">
        <f t="shared" si="70"/>
        <v>#N/A</v>
      </c>
      <c r="AJ83" s="44" t="e">
        <f t="shared" si="71"/>
        <v>#N/A</v>
      </c>
      <c r="AK83" s="44" t="e">
        <f>HLOOKUP(I83,ElecAvoidedCostsWOCC!$A$5:$Q$50,G83+1,FALSE)*J83*L83</f>
        <v>#N/A</v>
      </c>
      <c r="AL83" s="44" t="e">
        <f t="shared" si="72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73"/>
        <v>0</v>
      </c>
      <c r="AO83" s="47">
        <f t="shared" si="74"/>
        <v>0</v>
      </c>
      <c r="AP83" s="47" t="e">
        <f t="shared" si="75"/>
        <v>#DIV/0!</v>
      </c>
    </row>
    <row r="84" spans="2:42">
      <c r="B84" s="97" t="s">
        <v>15</v>
      </c>
      <c r="C84" s="100"/>
      <c r="D84" s="100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57"/>
        <v>0</v>
      </c>
      <c r="U84" s="47">
        <f t="shared" si="58"/>
        <v>0</v>
      </c>
      <c r="V84" s="48">
        <f t="shared" si="59"/>
        <v>0</v>
      </c>
      <c r="W84" s="49">
        <f t="shared" si="60"/>
        <v>0</v>
      </c>
      <c r="X84" s="44">
        <f t="shared" si="61"/>
        <v>0</v>
      </c>
      <c r="Y84" s="44">
        <f t="shared" si="62"/>
        <v>0</v>
      </c>
      <c r="Z84" s="44">
        <f t="shared" si="63"/>
        <v>0</v>
      </c>
      <c r="AA84" s="50">
        <f t="shared" si="64"/>
        <v>0</v>
      </c>
      <c r="AB84" s="51">
        <f t="shared" si="65"/>
        <v>0</v>
      </c>
      <c r="AC84" s="44">
        <f t="shared" si="66"/>
        <v>0</v>
      </c>
      <c r="AD84" s="44">
        <f t="shared" si="67"/>
        <v>0</v>
      </c>
      <c r="AE84" s="44">
        <f t="shared" si="68"/>
        <v>0</v>
      </c>
      <c r="AF84" s="52" t="e">
        <f>HLOOKUP(I84,ElecAvoidedCostsWOCC!$A$5:$Q$50,G84+1,FALSE)</f>
        <v>#N/A</v>
      </c>
      <c r="AG84" s="44" t="e">
        <f t="shared" si="69"/>
        <v>#N/A</v>
      </c>
      <c r="AH84" s="52" t="e">
        <f>HLOOKUP(I84,ElecAvoidedCostsWOCC!$A$5:$Q$50,T84+1,FALSE)</f>
        <v>#N/A</v>
      </c>
      <c r="AI84" s="44" t="e">
        <f t="shared" si="70"/>
        <v>#N/A</v>
      </c>
      <c r="AJ84" s="44" t="e">
        <f t="shared" si="71"/>
        <v>#N/A</v>
      </c>
      <c r="AK84" s="44" t="e">
        <f>HLOOKUP(I84,ElecAvoidedCostsWOCC!$A$5:$Q$50,G84+1,FALSE)*J84*L84</f>
        <v>#N/A</v>
      </c>
      <c r="AL84" s="44" t="e">
        <f t="shared" si="72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73"/>
        <v>0</v>
      </c>
      <c r="AO84" s="47">
        <f t="shared" si="74"/>
        <v>0</v>
      </c>
      <c r="AP84" s="47" t="e">
        <f t="shared" si="75"/>
        <v>#DIV/0!</v>
      </c>
    </row>
    <row r="85" spans="2:42">
      <c r="B85" s="97" t="s">
        <v>15</v>
      </c>
      <c r="C85" s="100"/>
      <c r="D85" s="100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57"/>
        <v>0</v>
      </c>
      <c r="U85" s="47">
        <f t="shared" si="58"/>
        <v>0</v>
      </c>
      <c r="V85" s="48">
        <f t="shared" si="59"/>
        <v>0</v>
      </c>
      <c r="W85" s="49">
        <f t="shared" si="60"/>
        <v>0</v>
      </c>
      <c r="X85" s="44">
        <f t="shared" si="61"/>
        <v>0</v>
      </c>
      <c r="Y85" s="44">
        <f t="shared" si="62"/>
        <v>0</v>
      </c>
      <c r="Z85" s="44">
        <f t="shared" si="63"/>
        <v>0</v>
      </c>
      <c r="AA85" s="50">
        <f t="shared" si="64"/>
        <v>0</v>
      </c>
      <c r="AB85" s="51">
        <f t="shared" si="65"/>
        <v>0</v>
      </c>
      <c r="AC85" s="44">
        <f t="shared" si="66"/>
        <v>0</v>
      </c>
      <c r="AD85" s="44">
        <f t="shared" si="67"/>
        <v>0</v>
      </c>
      <c r="AE85" s="44">
        <f t="shared" si="68"/>
        <v>0</v>
      </c>
      <c r="AF85" s="52" t="e">
        <f>HLOOKUP(I85,ElecAvoidedCostsWOCC!$A$5:$Q$50,G85+1,FALSE)</f>
        <v>#N/A</v>
      </c>
      <c r="AG85" s="44" t="e">
        <f t="shared" si="69"/>
        <v>#N/A</v>
      </c>
      <c r="AH85" s="52" t="e">
        <f>HLOOKUP(I85,ElecAvoidedCostsWOCC!$A$5:$Q$50,T85+1,FALSE)</f>
        <v>#N/A</v>
      </c>
      <c r="AI85" s="44" t="e">
        <f t="shared" si="70"/>
        <v>#N/A</v>
      </c>
      <c r="AJ85" s="44" t="e">
        <f t="shared" si="71"/>
        <v>#N/A</v>
      </c>
      <c r="AK85" s="44" t="e">
        <f>HLOOKUP(I85,ElecAvoidedCostsWOCC!$A$5:$Q$50,G85+1,FALSE)*J85*L85</f>
        <v>#N/A</v>
      </c>
      <c r="AL85" s="44" t="e">
        <f t="shared" si="72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73"/>
        <v>0</v>
      </c>
      <c r="AO85" s="47">
        <f t="shared" si="74"/>
        <v>0</v>
      </c>
      <c r="AP85" s="47" t="e">
        <f t="shared" si="75"/>
        <v>#DIV/0!</v>
      </c>
    </row>
    <row r="86" spans="2:42">
      <c r="B86" s="97" t="s">
        <v>15</v>
      </c>
      <c r="C86" s="100"/>
      <c r="D86" s="100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57"/>
        <v>0</v>
      </c>
      <c r="U86" s="47">
        <f t="shared" si="58"/>
        <v>0</v>
      </c>
      <c r="V86" s="48">
        <f t="shared" si="59"/>
        <v>0</v>
      </c>
      <c r="W86" s="49">
        <f t="shared" si="60"/>
        <v>0</v>
      </c>
      <c r="X86" s="44">
        <f t="shared" si="61"/>
        <v>0</v>
      </c>
      <c r="Y86" s="44">
        <f t="shared" si="62"/>
        <v>0</v>
      </c>
      <c r="Z86" s="44">
        <f t="shared" si="63"/>
        <v>0</v>
      </c>
      <c r="AA86" s="50">
        <f t="shared" si="64"/>
        <v>0</v>
      </c>
      <c r="AB86" s="51">
        <f t="shared" si="65"/>
        <v>0</v>
      </c>
      <c r="AC86" s="44">
        <f t="shared" si="66"/>
        <v>0</v>
      </c>
      <c r="AD86" s="44">
        <f t="shared" si="67"/>
        <v>0</v>
      </c>
      <c r="AE86" s="44">
        <f t="shared" si="68"/>
        <v>0</v>
      </c>
      <c r="AF86" s="52" t="e">
        <f>HLOOKUP(I86,ElecAvoidedCostsWOCC!$A$5:$Q$50,G86+1,FALSE)</f>
        <v>#N/A</v>
      </c>
      <c r="AG86" s="44" t="e">
        <f t="shared" si="69"/>
        <v>#N/A</v>
      </c>
      <c r="AH86" s="52" t="e">
        <f>HLOOKUP(I86,ElecAvoidedCostsWOCC!$A$5:$Q$50,T86+1,FALSE)</f>
        <v>#N/A</v>
      </c>
      <c r="AI86" s="44" t="e">
        <f t="shared" si="70"/>
        <v>#N/A</v>
      </c>
      <c r="AJ86" s="44" t="e">
        <f t="shared" si="71"/>
        <v>#N/A</v>
      </c>
      <c r="AK86" s="44" t="e">
        <f>HLOOKUP(I86,ElecAvoidedCostsWOCC!$A$5:$Q$50,G86+1,FALSE)*J86*L86</f>
        <v>#N/A</v>
      </c>
      <c r="AL86" s="44" t="e">
        <f t="shared" si="72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73"/>
        <v>0</v>
      </c>
      <c r="AO86" s="47">
        <f t="shared" si="74"/>
        <v>0</v>
      </c>
      <c r="AP86" s="47" t="e">
        <f t="shared" si="75"/>
        <v>#DIV/0!</v>
      </c>
    </row>
    <row r="87" spans="2:42">
      <c r="B87" s="97" t="s">
        <v>15</v>
      </c>
      <c r="C87" s="100"/>
      <c r="D87" s="100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57"/>
        <v>0</v>
      </c>
      <c r="U87" s="47">
        <f t="shared" si="58"/>
        <v>0</v>
      </c>
      <c r="V87" s="48">
        <f t="shared" si="59"/>
        <v>0</v>
      </c>
      <c r="W87" s="49">
        <f t="shared" si="60"/>
        <v>0</v>
      </c>
      <c r="X87" s="44">
        <f t="shared" si="61"/>
        <v>0</v>
      </c>
      <c r="Y87" s="44">
        <f t="shared" si="62"/>
        <v>0</v>
      </c>
      <c r="Z87" s="44">
        <f t="shared" si="63"/>
        <v>0</v>
      </c>
      <c r="AA87" s="50">
        <f t="shared" si="64"/>
        <v>0</v>
      </c>
      <c r="AB87" s="51">
        <f t="shared" si="65"/>
        <v>0</v>
      </c>
      <c r="AC87" s="44">
        <f t="shared" si="66"/>
        <v>0</v>
      </c>
      <c r="AD87" s="44">
        <f t="shared" si="67"/>
        <v>0</v>
      </c>
      <c r="AE87" s="44">
        <f t="shared" si="68"/>
        <v>0</v>
      </c>
      <c r="AF87" s="52" t="e">
        <f>HLOOKUP(I87,ElecAvoidedCostsWOCC!$A$5:$Q$50,G87+1,FALSE)</f>
        <v>#N/A</v>
      </c>
      <c r="AG87" s="44" t="e">
        <f t="shared" si="69"/>
        <v>#N/A</v>
      </c>
      <c r="AH87" s="52" t="e">
        <f>HLOOKUP(I87,ElecAvoidedCostsWOCC!$A$5:$Q$50,T87+1,FALSE)</f>
        <v>#N/A</v>
      </c>
      <c r="AI87" s="44" t="e">
        <f t="shared" si="70"/>
        <v>#N/A</v>
      </c>
      <c r="AJ87" s="44" t="e">
        <f t="shared" si="71"/>
        <v>#N/A</v>
      </c>
      <c r="AK87" s="44" t="e">
        <f>HLOOKUP(I87,ElecAvoidedCostsWOCC!$A$5:$Q$50,G87+1,FALSE)*J87*L87</f>
        <v>#N/A</v>
      </c>
      <c r="AL87" s="44" t="e">
        <f t="shared" si="72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73"/>
        <v>0</v>
      </c>
      <c r="AO87" s="47">
        <f t="shared" si="74"/>
        <v>0</v>
      </c>
      <c r="AP87" s="47" t="e">
        <f t="shared" si="75"/>
        <v>#DIV/0!</v>
      </c>
    </row>
    <row r="88" spans="2:42">
      <c r="B88" s="97" t="s">
        <v>15</v>
      </c>
      <c r="C88" s="100"/>
      <c r="D88" s="100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57"/>
        <v>0</v>
      </c>
      <c r="U88" s="47">
        <f t="shared" si="58"/>
        <v>0</v>
      </c>
      <c r="V88" s="48">
        <f t="shared" si="59"/>
        <v>0</v>
      </c>
      <c r="W88" s="49">
        <f t="shared" si="60"/>
        <v>0</v>
      </c>
      <c r="X88" s="44">
        <f t="shared" si="61"/>
        <v>0</v>
      </c>
      <c r="Y88" s="44">
        <f t="shared" si="62"/>
        <v>0</v>
      </c>
      <c r="Z88" s="44">
        <f t="shared" si="63"/>
        <v>0</v>
      </c>
      <c r="AA88" s="50">
        <f t="shared" si="64"/>
        <v>0</v>
      </c>
      <c r="AB88" s="51">
        <f t="shared" si="65"/>
        <v>0</v>
      </c>
      <c r="AC88" s="44">
        <f t="shared" si="66"/>
        <v>0</v>
      </c>
      <c r="AD88" s="44">
        <f t="shared" si="67"/>
        <v>0</v>
      </c>
      <c r="AE88" s="44">
        <f t="shared" si="68"/>
        <v>0</v>
      </c>
      <c r="AF88" s="52" t="e">
        <f>HLOOKUP(I88,ElecAvoidedCostsWOCC!$A$5:$Q$50,G88+1,FALSE)</f>
        <v>#N/A</v>
      </c>
      <c r="AG88" s="44" t="e">
        <f t="shared" si="69"/>
        <v>#N/A</v>
      </c>
      <c r="AH88" s="52" t="e">
        <f>HLOOKUP(I88,ElecAvoidedCostsWOCC!$A$5:$Q$50,T88+1,FALSE)</f>
        <v>#N/A</v>
      </c>
      <c r="AI88" s="44" t="e">
        <f t="shared" si="70"/>
        <v>#N/A</v>
      </c>
      <c r="AJ88" s="44" t="e">
        <f t="shared" si="71"/>
        <v>#N/A</v>
      </c>
      <c r="AK88" s="44" t="e">
        <f>HLOOKUP(I88,ElecAvoidedCostsWOCC!$A$5:$Q$50,G88+1,FALSE)*J88*L88</f>
        <v>#N/A</v>
      </c>
      <c r="AL88" s="44" t="e">
        <f t="shared" si="72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73"/>
        <v>0</v>
      </c>
      <c r="AO88" s="47">
        <f t="shared" si="74"/>
        <v>0</v>
      </c>
      <c r="AP88" s="47" t="e">
        <f t="shared" si="75"/>
        <v>#DIV/0!</v>
      </c>
    </row>
    <row r="89" spans="2:42">
      <c r="B89" s="97" t="s">
        <v>15</v>
      </c>
      <c r="C89" s="100"/>
      <c r="D89" s="100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57"/>
        <v>0</v>
      </c>
      <c r="U89" s="47">
        <f t="shared" si="58"/>
        <v>0</v>
      </c>
      <c r="V89" s="48">
        <f t="shared" si="59"/>
        <v>0</v>
      </c>
      <c r="W89" s="49">
        <f t="shared" si="60"/>
        <v>0</v>
      </c>
      <c r="X89" s="44">
        <f t="shared" si="61"/>
        <v>0</v>
      </c>
      <c r="Y89" s="44">
        <f t="shared" si="62"/>
        <v>0</v>
      </c>
      <c r="Z89" s="44">
        <f t="shared" si="63"/>
        <v>0</v>
      </c>
      <c r="AA89" s="50">
        <f t="shared" si="64"/>
        <v>0</v>
      </c>
      <c r="AB89" s="51">
        <f t="shared" si="65"/>
        <v>0</v>
      </c>
      <c r="AC89" s="44">
        <f t="shared" si="66"/>
        <v>0</v>
      </c>
      <c r="AD89" s="44">
        <f t="shared" si="67"/>
        <v>0</v>
      </c>
      <c r="AE89" s="44">
        <f t="shared" si="68"/>
        <v>0</v>
      </c>
      <c r="AF89" s="52" t="e">
        <f>HLOOKUP(I89,ElecAvoidedCostsWOCC!$A$5:$Q$50,G89+1,FALSE)</f>
        <v>#N/A</v>
      </c>
      <c r="AG89" s="44" t="e">
        <f t="shared" si="69"/>
        <v>#N/A</v>
      </c>
      <c r="AH89" s="52" t="e">
        <f>HLOOKUP(I89,ElecAvoidedCostsWOCC!$A$5:$Q$50,T89+1,FALSE)</f>
        <v>#N/A</v>
      </c>
      <c r="AI89" s="44" t="e">
        <f t="shared" si="70"/>
        <v>#N/A</v>
      </c>
      <c r="AJ89" s="44" t="e">
        <f t="shared" si="71"/>
        <v>#N/A</v>
      </c>
      <c r="AK89" s="44" t="e">
        <f>HLOOKUP(I89,ElecAvoidedCostsWOCC!$A$5:$Q$50,G89+1,FALSE)*J89*L89</f>
        <v>#N/A</v>
      </c>
      <c r="AL89" s="44" t="e">
        <f t="shared" si="72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73"/>
        <v>0</v>
      </c>
      <c r="AO89" s="47">
        <f t="shared" si="74"/>
        <v>0</v>
      </c>
      <c r="AP89" s="47" t="e">
        <f t="shared" si="75"/>
        <v>#DIV/0!</v>
      </c>
    </row>
    <row r="90" spans="2:42">
      <c r="B90" s="97" t="s">
        <v>15</v>
      </c>
      <c r="C90" s="100"/>
      <c r="D90" s="100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57"/>
        <v>0</v>
      </c>
      <c r="U90" s="47">
        <f t="shared" si="58"/>
        <v>0</v>
      </c>
      <c r="V90" s="48">
        <f t="shared" si="59"/>
        <v>0</v>
      </c>
      <c r="W90" s="49">
        <f t="shared" si="60"/>
        <v>0</v>
      </c>
      <c r="X90" s="44">
        <f t="shared" si="61"/>
        <v>0</v>
      </c>
      <c r="Y90" s="44">
        <f t="shared" si="62"/>
        <v>0</v>
      </c>
      <c r="Z90" s="44">
        <f t="shared" si="63"/>
        <v>0</v>
      </c>
      <c r="AA90" s="50">
        <f t="shared" si="64"/>
        <v>0</v>
      </c>
      <c r="AB90" s="51">
        <f t="shared" si="65"/>
        <v>0</v>
      </c>
      <c r="AC90" s="44">
        <f t="shared" si="66"/>
        <v>0</v>
      </c>
      <c r="AD90" s="44">
        <f t="shared" si="67"/>
        <v>0</v>
      </c>
      <c r="AE90" s="44">
        <f t="shared" si="68"/>
        <v>0</v>
      </c>
      <c r="AF90" s="52" t="e">
        <f>HLOOKUP(I90,ElecAvoidedCostsWOCC!$A$5:$Q$50,G90+1,FALSE)</f>
        <v>#N/A</v>
      </c>
      <c r="AG90" s="44" t="e">
        <f t="shared" si="69"/>
        <v>#N/A</v>
      </c>
      <c r="AH90" s="52" t="e">
        <f>HLOOKUP(I90,ElecAvoidedCostsWOCC!$A$5:$Q$50,T90+1,FALSE)</f>
        <v>#N/A</v>
      </c>
      <c r="AI90" s="44" t="e">
        <f t="shared" si="70"/>
        <v>#N/A</v>
      </c>
      <c r="AJ90" s="44" t="e">
        <f t="shared" si="71"/>
        <v>#N/A</v>
      </c>
      <c r="AK90" s="44" t="e">
        <f>HLOOKUP(I90,ElecAvoidedCostsWOCC!$A$5:$Q$50,G90+1,FALSE)*J90*L90</f>
        <v>#N/A</v>
      </c>
      <c r="AL90" s="44" t="e">
        <f t="shared" si="72"/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 t="shared" si="73"/>
        <v>0</v>
      </c>
      <c r="AO90" s="47">
        <f t="shared" si="74"/>
        <v>0</v>
      </c>
      <c r="AP90" s="47" t="e">
        <f t="shared" si="75"/>
        <v>#DIV/0!</v>
      </c>
    </row>
    <row r="91" spans="2:42">
      <c r="B91" s="97" t="s">
        <v>15</v>
      </c>
      <c r="C91" s="100"/>
      <c r="D91" s="100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57"/>
        <v>0</v>
      </c>
      <c r="U91" s="47">
        <f t="shared" si="58"/>
        <v>0</v>
      </c>
      <c r="V91" s="48">
        <f t="shared" si="59"/>
        <v>0</v>
      </c>
      <c r="W91" s="49">
        <f t="shared" si="60"/>
        <v>0</v>
      </c>
      <c r="X91" s="44">
        <f t="shared" si="61"/>
        <v>0</v>
      </c>
      <c r="Y91" s="44">
        <f t="shared" si="62"/>
        <v>0</v>
      </c>
      <c r="Z91" s="44">
        <f t="shared" si="63"/>
        <v>0</v>
      </c>
      <c r="AA91" s="50">
        <f t="shared" si="64"/>
        <v>0</v>
      </c>
      <c r="AB91" s="51">
        <f t="shared" si="65"/>
        <v>0</v>
      </c>
      <c r="AC91" s="44">
        <f t="shared" si="66"/>
        <v>0</v>
      </c>
      <c r="AD91" s="44">
        <f t="shared" si="67"/>
        <v>0</v>
      </c>
      <c r="AE91" s="44">
        <f t="shared" si="68"/>
        <v>0</v>
      </c>
      <c r="AF91" s="52" t="e">
        <f>HLOOKUP(I91,ElecAvoidedCostsWOCC!$A$5:$Q$50,G91+1,FALSE)</f>
        <v>#N/A</v>
      </c>
      <c r="AG91" s="44" t="e">
        <f t="shared" si="69"/>
        <v>#N/A</v>
      </c>
      <c r="AH91" s="52" t="e">
        <f>HLOOKUP(I91,ElecAvoidedCostsWOCC!$A$5:$Q$50,T91+1,FALSE)</f>
        <v>#N/A</v>
      </c>
      <c r="AI91" s="44" t="e">
        <f t="shared" si="70"/>
        <v>#N/A</v>
      </c>
      <c r="AJ91" s="44" t="e">
        <f t="shared" si="71"/>
        <v>#N/A</v>
      </c>
      <c r="AK91" s="44" t="e">
        <f>HLOOKUP(I91,ElecAvoidedCostsWOCC!$A$5:$Q$50,G91+1,FALSE)*J91*L91</f>
        <v>#N/A</v>
      </c>
      <c r="AL91" s="44" t="e">
        <f t="shared" si="72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73"/>
        <v>0</v>
      </c>
      <c r="AO91" s="47">
        <f t="shared" si="74"/>
        <v>0</v>
      </c>
      <c r="AP91" s="47" t="e">
        <f t="shared" si="75"/>
        <v>#DIV/0!</v>
      </c>
    </row>
    <row r="92" spans="2:42">
      <c r="B92" s="97" t="s">
        <v>15</v>
      </c>
      <c r="C92" s="100"/>
      <c r="D92" s="100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57"/>
        <v>0</v>
      </c>
      <c r="U92" s="47">
        <f t="shared" si="58"/>
        <v>0</v>
      </c>
      <c r="V92" s="48">
        <f t="shared" si="59"/>
        <v>0</v>
      </c>
      <c r="W92" s="49">
        <f t="shared" si="60"/>
        <v>0</v>
      </c>
      <c r="X92" s="44">
        <f t="shared" si="61"/>
        <v>0</v>
      </c>
      <c r="Y92" s="44">
        <f t="shared" si="62"/>
        <v>0</v>
      </c>
      <c r="Z92" s="44">
        <f t="shared" si="63"/>
        <v>0</v>
      </c>
      <c r="AA92" s="50">
        <f t="shared" si="64"/>
        <v>0</v>
      </c>
      <c r="AB92" s="51">
        <f t="shared" si="65"/>
        <v>0</v>
      </c>
      <c r="AC92" s="44">
        <f t="shared" si="66"/>
        <v>0</v>
      </c>
      <c r="AD92" s="44">
        <f t="shared" si="67"/>
        <v>0</v>
      </c>
      <c r="AE92" s="44">
        <f t="shared" si="68"/>
        <v>0</v>
      </c>
      <c r="AF92" s="52" t="e">
        <f>HLOOKUP(I92,ElecAvoidedCostsWOCC!$A$5:$Q$50,G92+1,FALSE)</f>
        <v>#N/A</v>
      </c>
      <c r="AG92" s="44" t="e">
        <f t="shared" si="69"/>
        <v>#N/A</v>
      </c>
      <c r="AH92" s="52" t="e">
        <f>HLOOKUP(I92,ElecAvoidedCostsWOCC!$A$5:$Q$50,T92+1,FALSE)</f>
        <v>#N/A</v>
      </c>
      <c r="AI92" s="44" t="e">
        <f t="shared" si="70"/>
        <v>#N/A</v>
      </c>
      <c r="AJ92" s="44" t="e">
        <f t="shared" si="71"/>
        <v>#N/A</v>
      </c>
      <c r="AK92" s="44" t="e">
        <f>HLOOKUP(I92,ElecAvoidedCostsWOCC!$A$5:$Q$50,G92+1,FALSE)*J92*L92</f>
        <v>#N/A</v>
      </c>
      <c r="AL92" s="44" t="e">
        <f t="shared" si="72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73"/>
        <v>0</v>
      </c>
      <c r="AO92" s="47">
        <f t="shared" si="74"/>
        <v>0</v>
      </c>
      <c r="AP92" s="47" t="e">
        <f t="shared" si="75"/>
        <v>#DIV/0!</v>
      </c>
    </row>
    <row r="93" spans="2:42">
      <c r="B93" s="97" t="s">
        <v>15</v>
      </c>
      <c r="C93" s="100"/>
      <c r="D93" s="100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57"/>
        <v>0</v>
      </c>
      <c r="U93" s="47">
        <f t="shared" si="58"/>
        <v>0</v>
      </c>
      <c r="V93" s="48">
        <f t="shared" si="59"/>
        <v>0</v>
      </c>
      <c r="W93" s="49">
        <f t="shared" si="60"/>
        <v>0</v>
      </c>
      <c r="X93" s="44">
        <f t="shared" si="61"/>
        <v>0</v>
      </c>
      <c r="Y93" s="44">
        <f t="shared" si="62"/>
        <v>0</v>
      </c>
      <c r="Z93" s="44">
        <f t="shared" si="63"/>
        <v>0</v>
      </c>
      <c r="AA93" s="50">
        <f t="shared" si="64"/>
        <v>0</v>
      </c>
      <c r="AB93" s="51">
        <f t="shared" si="65"/>
        <v>0</v>
      </c>
      <c r="AC93" s="44">
        <f t="shared" si="66"/>
        <v>0</v>
      </c>
      <c r="AD93" s="44">
        <f t="shared" si="67"/>
        <v>0</v>
      </c>
      <c r="AE93" s="44">
        <f t="shared" si="68"/>
        <v>0</v>
      </c>
      <c r="AF93" s="52" t="e">
        <f>HLOOKUP(I93,ElecAvoidedCostsWOCC!$A$5:$Q$50,G93+1,FALSE)</f>
        <v>#N/A</v>
      </c>
      <c r="AG93" s="44" t="e">
        <f t="shared" si="69"/>
        <v>#N/A</v>
      </c>
      <c r="AH93" s="52" t="e">
        <f>HLOOKUP(I93,ElecAvoidedCostsWOCC!$A$5:$Q$50,T93+1,FALSE)</f>
        <v>#N/A</v>
      </c>
      <c r="AI93" s="44" t="e">
        <f t="shared" si="70"/>
        <v>#N/A</v>
      </c>
      <c r="AJ93" s="44" t="e">
        <f t="shared" si="71"/>
        <v>#N/A</v>
      </c>
      <c r="AK93" s="44" t="e">
        <f>HLOOKUP(I93,ElecAvoidedCostsWOCC!$A$5:$Q$50,G93+1,FALSE)*J93*L93</f>
        <v>#N/A</v>
      </c>
      <c r="AL93" s="44" t="e">
        <f t="shared" si="72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73"/>
        <v>0</v>
      </c>
      <c r="AO93" s="47">
        <f t="shared" si="74"/>
        <v>0</v>
      </c>
      <c r="AP93" s="47" t="e">
        <f t="shared" si="75"/>
        <v>#DIV/0!</v>
      </c>
    </row>
    <row r="94" spans="2:42">
      <c r="B94" s="97" t="s">
        <v>15</v>
      </c>
      <c r="C94" s="100"/>
      <c r="D94" s="100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57"/>
        <v>0</v>
      </c>
      <c r="U94" s="47">
        <f t="shared" si="58"/>
        <v>0</v>
      </c>
      <c r="V94" s="48">
        <f t="shared" si="59"/>
        <v>0</v>
      </c>
      <c r="W94" s="49">
        <f t="shared" si="60"/>
        <v>0</v>
      </c>
      <c r="X94" s="44">
        <f t="shared" si="61"/>
        <v>0</v>
      </c>
      <c r="Y94" s="44">
        <f t="shared" si="62"/>
        <v>0</v>
      </c>
      <c r="Z94" s="44">
        <f t="shared" si="63"/>
        <v>0</v>
      </c>
      <c r="AA94" s="50">
        <f t="shared" si="64"/>
        <v>0</v>
      </c>
      <c r="AB94" s="51">
        <f t="shared" si="65"/>
        <v>0</v>
      </c>
      <c r="AC94" s="44">
        <f t="shared" si="66"/>
        <v>0</v>
      </c>
      <c r="AD94" s="44">
        <f t="shared" si="67"/>
        <v>0</v>
      </c>
      <c r="AE94" s="44">
        <f t="shared" si="68"/>
        <v>0</v>
      </c>
      <c r="AF94" s="52" t="e">
        <f>HLOOKUP(I94,ElecAvoidedCostsWOCC!$A$5:$Q$50,G94+1,FALSE)</f>
        <v>#N/A</v>
      </c>
      <c r="AG94" s="44" t="e">
        <f t="shared" si="69"/>
        <v>#N/A</v>
      </c>
      <c r="AH94" s="52" t="e">
        <f>HLOOKUP(I94,ElecAvoidedCostsWOCC!$A$5:$Q$50,T94+1,FALSE)</f>
        <v>#N/A</v>
      </c>
      <c r="AI94" s="44" t="e">
        <f t="shared" si="70"/>
        <v>#N/A</v>
      </c>
      <c r="AJ94" s="44" t="e">
        <f t="shared" si="71"/>
        <v>#N/A</v>
      </c>
      <c r="AK94" s="44" t="e">
        <f>HLOOKUP(I94,ElecAvoidedCostsWOCC!$A$5:$Q$50,G94+1,FALSE)*J94*L94</f>
        <v>#N/A</v>
      </c>
      <c r="AL94" s="44" t="e">
        <f t="shared" si="72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73"/>
        <v>0</v>
      </c>
      <c r="AO94" s="47">
        <f t="shared" si="74"/>
        <v>0</v>
      </c>
      <c r="AP94" s="47" t="e">
        <f t="shared" si="75"/>
        <v>#DIV/0!</v>
      </c>
    </row>
    <row r="95" spans="2:42">
      <c r="B95" s="97" t="s">
        <v>15</v>
      </c>
      <c r="C95" s="100"/>
      <c r="D95" s="100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57"/>
        <v>0</v>
      </c>
      <c r="U95" s="47">
        <f t="shared" si="58"/>
        <v>0</v>
      </c>
      <c r="V95" s="48">
        <f t="shared" si="59"/>
        <v>0</v>
      </c>
      <c r="W95" s="49">
        <f t="shared" si="60"/>
        <v>0</v>
      </c>
      <c r="X95" s="44">
        <f t="shared" si="61"/>
        <v>0</v>
      </c>
      <c r="Y95" s="44">
        <f t="shared" si="62"/>
        <v>0</v>
      </c>
      <c r="Z95" s="44">
        <f t="shared" si="63"/>
        <v>0</v>
      </c>
      <c r="AA95" s="50">
        <f t="shared" si="64"/>
        <v>0</v>
      </c>
      <c r="AB95" s="51">
        <f t="shared" si="65"/>
        <v>0</v>
      </c>
      <c r="AC95" s="44">
        <f t="shared" si="66"/>
        <v>0</v>
      </c>
      <c r="AD95" s="44">
        <f t="shared" si="67"/>
        <v>0</v>
      </c>
      <c r="AE95" s="44">
        <f t="shared" si="68"/>
        <v>0</v>
      </c>
      <c r="AF95" s="52" t="e">
        <f>HLOOKUP(I95,ElecAvoidedCostsWOCC!$A$5:$Q$50,G95+1,FALSE)</f>
        <v>#N/A</v>
      </c>
      <c r="AG95" s="44" t="e">
        <f t="shared" si="69"/>
        <v>#N/A</v>
      </c>
      <c r="AH95" s="52" t="e">
        <f>HLOOKUP(I95,ElecAvoidedCostsWOCC!$A$5:$Q$50,T95+1,FALSE)</f>
        <v>#N/A</v>
      </c>
      <c r="AI95" s="44" t="e">
        <f t="shared" si="70"/>
        <v>#N/A</v>
      </c>
      <c r="AJ95" s="44" t="e">
        <f t="shared" si="71"/>
        <v>#N/A</v>
      </c>
      <c r="AK95" s="44" t="e">
        <f>HLOOKUP(I95,ElecAvoidedCostsWOCC!$A$5:$Q$50,G95+1,FALSE)*J95*L95</f>
        <v>#N/A</v>
      </c>
      <c r="AL95" s="44" t="e">
        <f t="shared" si="72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73"/>
        <v>0</v>
      </c>
      <c r="AO95" s="47">
        <f t="shared" si="74"/>
        <v>0</v>
      </c>
      <c r="AP95" s="47" t="e">
        <f t="shared" si="75"/>
        <v>#DIV/0!</v>
      </c>
    </row>
    <row r="96" spans="2:42">
      <c r="B96" s="97" t="s">
        <v>15</v>
      </c>
      <c r="C96" s="100"/>
      <c r="D96" s="100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57"/>
        <v>0</v>
      </c>
      <c r="U96" s="47">
        <f t="shared" si="58"/>
        <v>0</v>
      </c>
      <c r="V96" s="48">
        <f t="shared" si="59"/>
        <v>0</v>
      </c>
      <c r="W96" s="49">
        <f t="shared" si="60"/>
        <v>0</v>
      </c>
      <c r="X96" s="44">
        <f t="shared" si="61"/>
        <v>0</v>
      </c>
      <c r="Y96" s="44">
        <f t="shared" si="62"/>
        <v>0</v>
      </c>
      <c r="Z96" s="44">
        <f t="shared" si="63"/>
        <v>0</v>
      </c>
      <c r="AA96" s="50">
        <f t="shared" si="64"/>
        <v>0</v>
      </c>
      <c r="AB96" s="51">
        <f t="shared" si="65"/>
        <v>0</v>
      </c>
      <c r="AC96" s="44">
        <f t="shared" si="66"/>
        <v>0</v>
      </c>
      <c r="AD96" s="44">
        <f t="shared" si="67"/>
        <v>0</v>
      </c>
      <c r="AE96" s="44">
        <f t="shared" si="68"/>
        <v>0</v>
      </c>
      <c r="AF96" s="52" t="e">
        <f>HLOOKUP(I96,ElecAvoidedCostsWOCC!$A$5:$Q$50,G96+1,FALSE)</f>
        <v>#N/A</v>
      </c>
      <c r="AG96" s="44" t="e">
        <f t="shared" si="69"/>
        <v>#N/A</v>
      </c>
      <c r="AH96" s="52" t="e">
        <f>HLOOKUP(I96,ElecAvoidedCostsWOCC!$A$5:$Q$50,T96+1,FALSE)</f>
        <v>#N/A</v>
      </c>
      <c r="AI96" s="44" t="e">
        <f t="shared" si="70"/>
        <v>#N/A</v>
      </c>
      <c r="AJ96" s="44" t="e">
        <f t="shared" si="71"/>
        <v>#N/A</v>
      </c>
      <c r="AK96" s="44" t="e">
        <f>HLOOKUP(I96,ElecAvoidedCostsWOCC!$A$5:$Q$50,G96+1,FALSE)*J96*L96</f>
        <v>#N/A</v>
      </c>
      <c r="AL96" s="44" t="e">
        <f t="shared" si="72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73"/>
        <v>0</v>
      </c>
      <c r="AO96" s="47">
        <f t="shared" si="74"/>
        <v>0</v>
      </c>
      <c r="AP96" s="47" t="e">
        <f t="shared" si="75"/>
        <v>#DIV/0!</v>
      </c>
    </row>
    <row r="97" spans="2:42">
      <c r="B97" s="97" t="s">
        <v>15</v>
      </c>
      <c r="C97" s="100"/>
      <c r="D97" s="100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57"/>
        <v>0</v>
      </c>
      <c r="U97" s="47">
        <f t="shared" si="58"/>
        <v>0</v>
      </c>
      <c r="V97" s="48">
        <f t="shared" si="59"/>
        <v>0</v>
      </c>
      <c r="W97" s="49">
        <f t="shared" si="60"/>
        <v>0</v>
      </c>
      <c r="X97" s="44">
        <f t="shared" si="61"/>
        <v>0</v>
      </c>
      <c r="Y97" s="44">
        <f t="shared" si="62"/>
        <v>0</v>
      </c>
      <c r="Z97" s="44">
        <f t="shared" si="63"/>
        <v>0</v>
      </c>
      <c r="AA97" s="50">
        <f t="shared" si="64"/>
        <v>0</v>
      </c>
      <c r="AB97" s="51">
        <f t="shared" si="65"/>
        <v>0</v>
      </c>
      <c r="AC97" s="44">
        <f t="shared" si="66"/>
        <v>0</v>
      </c>
      <c r="AD97" s="44">
        <f t="shared" si="67"/>
        <v>0</v>
      </c>
      <c r="AE97" s="44">
        <f t="shared" si="68"/>
        <v>0</v>
      </c>
      <c r="AF97" s="52" t="e">
        <f>HLOOKUP(I97,ElecAvoidedCostsWOCC!$A$5:$Q$50,G97+1,FALSE)</f>
        <v>#N/A</v>
      </c>
      <c r="AG97" s="44" t="e">
        <f t="shared" si="69"/>
        <v>#N/A</v>
      </c>
      <c r="AH97" s="52" t="e">
        <f>HLOOKUP(I97,ElecAvoidedCostsWOCC!$A$5:$Q$50,T97+1,FALSE)</f>
        <v>#N/A</v>
      </c>
      <c r="AI97" s="44" t="e">
        <f t="shared" si="70"/>
        <v>#N/A</v>
      </c>
      <c r="AJ97" s="44" t="e">
        <f t="shared" si="71"/>
        <v>#N/A</v>
      </c>
      <c r="AK97" s="44" t="e">
        <f>HLOOKUP(I97,ElecAvoidedCostsWOCC!$A$5:$Q$50,G97+1,FALSE)*J97*L97</f>
        <v>#N/A</v>
      </c>
      <c r="AL97" s="44" t="e">
        <f t="shared" si="72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73"/>
        <v>0</v>
      </c>
      <c r="AO97" s="47">
        <f t="shared" si="74"/>
        <v>0</v>
      </c>
      <c r="AP97" s="47" t="e">
        <f t="shared" si="75"/>
        <v>#DIV/0!</v>
      </c>
    </row>
    <row r="98" spans="2:42">
      <c r="B98" s="97" t="s">
        <v>15</v>
      </c>
      <c r="C98" s="100"/>
      <c r="D98" s="100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57"/>
        <v>0</v>
      </c>
      <c r="U98" s="47">
        <f t="shared" si="58"/>
        <v>0</v>
      </c>
      <c r="V98" s="48">
        <f t="shared" si="59"/>
        <v>0</v>
      </c>
      <c r="W98" s="49">
        <f t="shared" si="60"/>
        <v>0</v>
      </c>
      <c r="X98" s="44">
        <f t="shared" si="61"/>
        <v>0</v>
      </c>
      <c r="Y98" s="44">
        <f t="shared" si="62"/>
        <v>0</v>
      </c>
      <c r="Z98" s="44">
        <f t="shared" si="63"/>
        <v>0</v>
      </c>
      <c r="AA98" s="50">
        <f t="shared" si="64"/>
        <v>0</v>
      </c>
      <c r="AB98" s="51">
        <f t="shared" si="65"/>
        <v>0</v>
      </c>
      <c r="AC98" s="44">
        <f t="shared" si="66"/>
        <v>0</v>
      </c>
      <c r="AD98" s="44">
        <f t="shared" si="67"/>
        <v>0</v>
      </c>
      <c r="AE98" s="44">
        <f t="shared" si="68"/>
        <v>0</v>
      </c>
      <c r="AF98" s="52" t="e">
        <f>HLOOKUP(I98,ElecAvoidedCostsWOCC!$A$5:$Q$50,G98+1,FALSE)</f>
        <v>#N/A</v>
      </c>
      <c r="AG98" s="44" t="e">
        <f t="shared" si="69"/>
        <v>#N/A</v>
      </c>
      <c r="AH98" s="52" t="e">
        <f>HLOOKUP(I98,ElecAvoidedCostsWOCC!$A$5:$Q$50,T98+1,FALSE)</f>
        <v>#N/A</v>
      </c>
      <c r="AI98" s="44" t="e">
        <f t="shared" si="70"/>
        <v>#N/A</v>
      </c>
      <c r="AJ98" s="44" t="e">
        <f t="shared" si="71"/>
        <v>#N/A</v>
      </c>
      <c r="AK98" s="44" t="e">
        <f>HLOOKUP(I98,ElecAvoidedCostsWOCC!$A$5:$Q$50,G98+1,FALSE)*J98*L98</f>
        <v>#N/A</v>
      </c>
      <c r="AL98" s="44" t="e">
        <f t="shared" si="72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73"/>
        <v>0</v>
      </c>
      <c r="AO98" s="47">
        <f t="shared" si="74"/>
        <v>0</v>
      </c>
      <c r="AP98" s="47" t="e">
        <f t="shared" si="75"/>
        <v>#DIV/0!</v>
      </c>
    </row>
    <row r="99" spans="2:42">
      <c r="B99" s="97" t="s">
        <v>15</v>
      </c>
      <c r="C99" s="100"/>
      <c r="D99" s="100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57"/>
        <v>0</v>
      </c>
      <c r="U99" s="47">
        <f t="shared" si="58"/>
        <v>0</v>
      </c>
      <c r="V99" s="48">
        <f t="shared" si="59"/>
        <v>0</v>
      </c>
      <c r="W99" s="49">
        <f t="shared" si="60"/>
        <v>0</v>
      </c>
      <c r="X99" s="44">
        <f t="shared" si="61"/>
        <v>0</v>
      </c>
      <c r="Y99" s="44">
        <f t="shared" si="62"/>
        <v>0</v>
      </c>
      <c r="Z99" s="44">
        <f t="shared" si="63"/>
        <v>0</v>
      </c>
      <c r="AA99" s="50">
        <f t="shared" si="64"/>
        <v>0</v>
      </c>
      <c r="AB99" s="51">
        <f t="shared" si="65"/>
        <v>0</v>
      </c>
      <c r="AC99" s="44">
        <f t="shared" si="66"/>
        <v>0</v>
      </c>
      <c r="AD99" s="44">
        <f t="shared" si="67"/>
        <v>0</v>
      </c>
      <c r="AE99" s="44">
        <f t="shared" si="68"/>
        <v>0</v>
      </c>
      <c r="AF99" s="52" t="e">
        <f>HLOOKUP(I99,ElecAvoidedCostsWOCC!$A$5:$Q$50,G99+1,FALSE)</f>
        <v>#N/A</v>
      </c>
      <c r="AG99" s="44" t="e">
        <f t="shared" si="69"/>
        <v>#N/A</v>
      </c>
      <c r="AH99" s="52" t="e">
        <f>HLOOKUP(I99,ElecAvoidedCostsWOCC!$A$5:$Q$50,T99+1,FALSE)</f>
        <v>#N/A</v>
      </c>
      <c r="AI99" s="44" t="e">
        <f t="shared" si="70"/>
        <v>#N/A</v>
      </c>
      <c r="AJ99" s="44" t="e">
        <f t="shared" si="71"/>
        <v>#N/A</v>
      </c>
      <c r="AK99" s="44" t="e">
        <f>HLOOKUP(I99,ElecAvoidedCostsWOCC!$A$5:$Q$50,G99+1,FALSE)*J99*L99</f>
        <v>#N/A</v>
      </c>
      <c r="AL99" s="44" t="e">
        <f t="shared" si="72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73"/>
        <v>0</v>
      </c>
      <c r="AO99" s="47">
        <f t="shared" si="74"/>
        <v>0</v>
      </c>
      <c r="AP99" s="47" t="e">
        <f t="shared" si="75"/>
        <v>#DIV/0!</v>
      </c>
    </row>
    <row r="100" spans="2:42">
      <c r="B100" s="97" t="s">
        <v>15</v>
      </c>
      <c r="C100" s="100"/>
      <c r="D100" s="100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57"/>
        <v>0</v>
      </c>
      <c r="U100" s="47">
        <f t="shared" si="58"/>
        <v>0</v>
      </c>
      <c r="V100" s="48">
        <f t="shared" si="59"/>
        <v>0</v>
      </c>
      <c r="W100" s="49">
        <f t="shared" si="60"/>
        <v>0</v>
      </c>
      <c r="X100" s="44">
        <f t="shared" si="61"/>
        <v>0</v>
      </c>
      <c r="Y100" s="44">
        <f t="shared" si="62"/>
        <v>0</v>
      </c>
      <c r="Z100" s="44">
        <f t="shared" si="63"/>
        <v>0</v>
      </c>
      <c r="AA100" s="50">
        <f t="shared" si="64"/>
        <v>0</v>
      </c>
      <c r="AB100" s="51">
        <f t="shared" si="65"/>
        <v>0</v>
      </c>
      <c r="AC100" s="44">
        <f t="shared" si="66"/>
        <v>0</v>
      </c>
      <c r="AD100" s="44">
        <f t="shared" si="67"/>
        <v>0</v>
      </c>
      <c r="AE100" s="44">
        <f t="shared" si="68"/>
        <v>0</v>
      </c>
      <c r="AF100" s="52" t="e">
        <f>HLOOKUP(I100,ElecAvoidedCostsWOCC!$A$5:$Q$50,G100+1,FALSE)</f>
        <v>#N/A</v>
      </c>
      <c r="AG100" s="44" t="e">
        <f t="shared" si="69"/>
        <v>#N/A</v>
      </c>
      <c r="AH100" s="52" t="e">
        <f>HLOOKUP(I100,ElecAvoidedCostsWOCC!$A$5:$Q$50,T100+1,FALSE)</f>
        <v>#N/A</v>
      </c>
      <c r="AI100" s="44" t="e">
        <f t="shared" si="70"/>
        <v>#N/A</v>
      </c>
      <c r="AJ100" s="44" t="e">
        <f t="shared" si="71"/>
        <v>#N/A</v>
      </c>
      <c r="AK100" s="44" t="e">
        <f>HLOOKUP(I100,ElecAvoidedCostsWOCC!$A$5:$Q$50,G100+1,FALSE)*J100*L100</f>
        <v>#N/A</v>
      </c>
      <c r="AL100" s="44" t="e">
        <f t="shared" si="72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73"/>
        <v>0</v>
      </c>
      <c r="AO100" s="47">
        <f t="shared" si="74"/>
        <v>0</v>
      </c>
      <c r="AP100" s="47" t="e">
        <f t="shared" si="75"/>
        <v>#DIV/0!</v>
      </c>
    </row>
    <row r="101" spans="2:42">
      <c r="B101" s="97" t="s">
        <v>15</v>
      </c>
      <c r="C101" s="100"/>
      <c r="D101" s="100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57"/>
        <v>0</v>
      </c>
      <c r="U101" s="47">
        <f t="shared" si="58"/>
        <v>0</v>
      </c>
      <c r="V101" s="48">
        <f t="shared" si="59"/>
        <v>0</v>
      </c>
      <c r="W101" s="49">
        <f t="shared" si="60"/>
        <v>0</v>
      </c>
      <c r="X101" s="44">
        <f t="shared" si="61"/>
        <v>0</v>
      </c>
      <c r="Y101" s="44">
        <f t="shared" si="62"/>
        <v>0</v>
      </c>
      <c r="Z101" s="44">
        <f t="shared" si="63"/>
        <v>0</v>
      </c>
      <c r="AA101" s="50">
        <f t="shared" si="64"/>
        <v>0</v>
      </c>
      <c r="AB101" s="51">
        <f t="shared" si="65"/>
        <v>0</v>
      </c>
      <c r="AC101" s="44">
        <f t="shared" si="66"/>
        <v>0</v>
      </c>
      <c r="AD101" s="44">
        <f t="shared" si="67"/>
        <v>0</v>
      </c>
      <c r="AE101" s="44">
        <f t="shared" si="68"/>
        <v>0</v>
      </c>
      <c r="AF101" s="52" t="e">
        <f>HLOOKUP(I101,ElecAvoidedCostsWOCC!$A$5:$Q$50,G101+1,FALSE)</f>
        <v>#N/A</v>
      </c>
      <c r="AG101" s="44" t="e">
        <f t="shared" si="69"/>
        <v>#N/A</v>
      </c>
      <c r="AH101" s="52" t="e">
        <f>HLOOKUP(I101,ElecAvoidedCostsWOCC!$A$5:$Q$50,T101+1,FALSE)</f>
        <v>#N/A</v>
      </c>
      <c r="AI101" s="44" t="e">
        <f t="shared" si="70"/>
        <v>#N/A</v>
      </c>
      <c r="AJ101" s="44" t="e">
        <f t="shared" si="71"/>
        <v>#N/A</v>
      </c>
      <c r="AK101" s="44" t="e">
        <f>HLOOKUP(I101,ElecAvoidedCostsWOCC!$A$5:$Q$50,G101+1,FALSE)*J101*L101</f>
        <v>#N/A</v>
      </c>
      <c r="AL101" s="44" t="e">
        <f t="shared" si="72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73"/>
        <v>0</v>
      </c>
      <c r="AO101" s="47">
        <f t="shared" si="74"/>
        <v>0</v>
      </c>
      <c r="AP101" s="47" t="e">
        <f t="shared" si="75"/>
        <v>#DIV/0!</v>
      </c>
    </row>
    <row r="102" spans="2:42">
      <c r="B102" s="97" t="s">
        <v>15</v>
      </c>
      <c r="C102" s="100"/>
      <c r="D102" s="100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57"/>
        <v>0</v>
      </c>
      <c r="U102" s="47">
        <f t="shared" si="58"/>
        <v>0</v>
      </c>
      <c r="V102" s="48">
        <f t="shared" si="59"/>
        <v>0</v>
      </c>
      <c r="W102" s="49">
        <f t="shared" si="60"/>
        <v>0</v>
      </c>
      <c r="X102" s="44">
        <f t="shared" si="61"/>
        <v>0</v>
      </c>
      <c r="Y102" s="44">
        <f t="shared" si="62"/>
        <v>0</v>
      </c>
      <c r="Z102" s="44">
        <f t="shared" si="63"/>
        <v>0</v>
      </c>
      <c r="AA102" s="50">
        <f t="shared" si="64"/>
        <v>0</v>
      </c>
      <c r="AB102" s="51">
        <f t="shared" si="65"/>
        <v>0</v>
      </c>
      <c r="AC102" s="44">
        <f t="shared" si="66"/>
        <v>0</v>
      </c>
      <c r="AD102" s="44">
        <f t="shared" si="67"/>
        <v>0</v>
      </c>
      <c r="AE102" s="44">
        <f t="shared" si="68"/>
        <v>0</v>
      </c>
      <c r="AF102" s="52" t="e">
        <f>HLOOKUP(I102,ElecAvoidedCostsWOCC!$A$5:$Q$50,G102+1,FALSE)</f>
        <v>#N/A</v>
      </c>
      <c r="AG102" s="44" t="e">
        <f t="shared" si="69"/>
        <v>#N/A</v>
      </c>
      <c r="AH102" s="52" t="e">
        <f>HLOOKUP(I102,ElecAvoidedCostsWOCC!$A$5:$Q$50,T102+1,FALSE)</f>
        <v>#N/A</v>
      </c>
      <c r="AI102" s="44" t="e">
        <f t="shared" si="70"/>
        <v>#N/A</v>
      </c>
      <c r="AJ102" s="44" t="e">
        <f t="shared" si="71"/>
        <v>#N/A</v>
      </c>
      <c r="AK102" s="44" t="e">
        <f>HLOOKUP(I102,ElecAvoidedCostsWOCC!$A$5:$Q$50,G102+1,FALSE)*J102*L102</f>
        <v>#N/A</v>
      </c>
      <c r="AL102" s="44" t="e">
        <f t="shared" si="72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73"/>
        <v>0</v>
      </c>
      <c r="AO102" s="47">
        <f t="shared" si="74"/>
        <v>0</v>
      </c>
      <c r="AP102" s="47" t="e">
        <f t="shared" si="75"/>
        <v>#DIV/0!</v>
      </c>
    </row>
    <row r="103" spans="2:42">
      <c r="B103" s="97" t="s">
        <v>15</v>
      </c>
      <c r="C103" s="100"/>
      <c r="D103" s="100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ref="T103:T166" si="76">G103+H103</f>
        <v>0</v>
      </c>
      <c r="U103" s="47">
        <f t="shared" ref="U103:U166" si="77">(O103/$A$10)*T103</f>
        <v>0</v>
      </c>
      <c r="V103" s="48">
        <f t="shared" ref="V103:V166" si="78">N103-M103</f>
        <v>0</v>
      </c>
      <c r="W103" s="49">
        <f t="shared" ref="W103:W166" si="79">(O103/A$10)</f>
        <v>0</v>
      </c>
      <c r="X103" s="44">
        <f t="shared" ref="X103:X166" si="80">W103*A$8</f>
        <v>0</v>
      </c>
      <c r="Y103" s="44">
        <f t="shared" ref="Y103:Y166" si="81">Q103-P103</f>
        <v>0</v>
      </c>
      <c r="Z103" s="44">
        <f t="shared" ref="Z103:Z166" si="82">X103+(A$6*W103)</f>
        <v>0</v>
      </c>
      <c r="AA103" s="50">
        <f t="shared" ref="AA103:AA166" si="83">Q103+X103</f>
        <v>0</v>
      </c>
      <c r="AB103" s="51">
        <f t="shared" ref="AB103:AB166" si="84">Z103/(1+ElecDiscountRate)^1</f>
        <v>0</v>
      </c>
      <c r="AC103" s="44">
        <f t="shared" ref="AC103:AC166" si="85">AA103/(1+ElecDiscountRate)^1</f>
        <v>0</v>
      </c>
      <c r="AD103" s="44">
        <f t="shared" ref="AD103:AD166" si="86">-PV(ElecDiscountRate,T103,R103)*J103</f>
        <v>0</v>
      </c>
      <c r="AE103" s="44">
        <f t="shared" ref="AE103:AE166" si="87">-PV(ElecDiscountRate,T103,S103)*J103</f>
        <v>0</v>
      </c>
      <c r="AF103" s="52" t="e">
        <f>HLOOKUP(I103,ElecAvoidedCostsWOCC!$A$5:$Q$50,G103+1,FALSE)</f>
        <v>#N/A</v>
      </c>
      <c r="AG103" s="44" t="e">
        <f t="shared" ref="AG103:AG166" si="88">AF103*J103*K103</f>
        <v>#N/A</v>
      </c>
      <c r="AH103" s="52" t="e">
        <f>HLOOKUP(I103,ElecAvoidedCostsWOCC!$A$5:$Q$50,T103+1,FALSE)</f>
        <v>#N/A</v>
      </c>
      <c r="AI103" s="44" t="e">
        <f t="shared" ref="AI103:AI166" si="89">AH103*J103*L103</f>
        <v>#N/A</v>
      </c>
      <c r="AJ103" s="44" t="e">
        <f t="shared" ref="AJ103:AJ166" si="90">AG103+AI103</f>
        <v>#N/A</v>
      </c>
      <c r="AK103" s="44" t="e">
        <f>HLOOKUP(I103,ElecAvoidedCostsWOCC!$A$5:$Q$50,G103+1,FALSE)*J103*L103</f>
        <v>#N/A</v>
      </c>
      <c r="AL103" s="44" t="e">
        <f t="shared" ref="AL103:AL166" si="91">AG103+AI103-AK103</f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ref="AN103:AN166" si="92">AM103*1.1+AD103+AE103</f>
        <v>0</v>
      </c>
      <c r="AO103" s="47">
        <f t="shared" ref="AO103:AO166" si="93">IFERROR(AM103/AB103,0)</f>
        <v>0</v>
      </c>
      <c r="AP103" s="47" t="e">
        <f t="shared" ref="AP103:AP166" si="94">AN103/AC103</f>
        <v>#DIV/0!</v>
      </c>
    </row>
    <row r="104" spans="2:42">
      <c r="B104" s="97" t="s">
        <v>15</v>
      </c>
      <c r="C104" s="100"/>
      <c r="D104" s="100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76"/>
        <v>0</v>
      </c>
      <c r="U104" s="47">
        <f t="shared" si="77"/>
        <v>0</v>
      </c>
      <c r="V104" s="48">
        <f t="shared" si="78"/>
        <v>0</v>
      </c>
      <c r="W104" s="49">
        <f t="shared" si="79"/>
        <v>0</v>
      </c>
      <c r="X104" s="44">
        <f t="shared" si="80"/>
        <v>0</v>
      </c>
      <c r="Y104" s="44">
        <f t="shared" si="81"/>
        <v>0</v>
      </c>
      <c r="Z104" s="44">
        <f t="shared" si="82"/>
        <v>0</v>
      </c>
      <c r="AA104" s="50">
        <f t="shared" si="83"/>
        <v>0</v>
      </c>
      <c r="AB104" s="51">
        <f t="shared" si="84"/>
        <v>0</v>
      </c>
      <c r="AC104" s="44">
        <f t="shared" si="85"/>
        <v>0</v>
      </c>
      <c r="AD104" s="44">
        <f t="shared" si="86"/>
        <v>0</v>
      </c>
      <c r="AE104" s="44">
        <f t="shared" si="87"/>
        <v>0</v>
      </c>
      <c r="AF104" s="52" t="e">
        <f>HLOOKUP(I104,ElecAvoidedCostsWOCC!$A$5:$Q$50,G104+1,FALSE)</f>
        <v>#N/A</v>
      </c>
      <c r="AG104" s="44" t="e">
        <f t="shared" si="88"/>
        <v>#N/A</v>
      </c>
      <c r="AH104" s="52" t="e">
        <f>HLOOKUP(I104,ElecAvoidedCostsWOCC!$A$5:$Q$50,T104+1,FALSE)</f>
        <v>#N/A</v>
      </c>
      <c r="AI104" s="44" t="e">
        <f t="shared" si="89"/>
        <v>#N/A</v>
      </c>
      <c r="AJ104" s="44" t="e">
        <f t="shared" si="90"/>
        <v>#N/A</v>
      </c>
      <c r="AK104" s="44" t="e">
        <f>HLOOKUP(I104,ElecAvoidedCostsWOCC!$A$5:$Q$50,G104+1,FALSE)*J104*L104</f>
        <v>#N/A</v>
      </c>
      <c r="AL104" s="44" t="e">
        <f t="shared" si="91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92"/>
        <v>0</v>
      </c>
      <c r="AO104" s="47">
        <f t="shared" si="93"/>
        <v>0</v>
      </c>
      <c r="AP104" s="47" t="e">
        <f t="shared" si="94"/>
        <v>#DIV/0!</v>
      </c>
    </row>
    <row r="105" spans="2:42">
      <c r="B105" s="97" t="s">
        <v>15</v>
      </c>
      <c r="C105" s="100"/>
      <c r="D105" s="100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76"/>
        <v>0</v>
      </c>
      <c r="U105" s="47">
        <f t="shared" si="77"/>
        <v>0</v>
      </c>
      <c r="V105" s="48">
        <f t="shared" si="78"/>
        <v>0</v>
      </c>
      <c r="W105" s="49">
        <f t="shared" si="79"/>
        <v>0</v>
      </c>
      <c r="X105" s="44">
        <f t="shared" si="80"/>
        <v>0</v>
      </c>
      <c r="Y105" s="44">
        <f t="shared" si="81"/>
        <v>0</v>
      </c>
      <c r="Z105" s="44">
        <f t="shared" si="82"/>
        <v>0</v>
      </c>
      <c r="AA105" s="50">
        <f t="shared" si="83"/>
        <v>0</v>
      </c>
      <c r="AB105" s="51">
        <f t="shared" si="84"/>
        <v>0</v>
      </c>
      <c r="AC105" s="44">
        <f t="shared" si="85"/>
        <v>0</v>
      </c>
      <c r="AD105" s="44">
        <f t="shared" si="86"/>
        <v>0</v>
      </c>
      <c r="AE105" s="44">
        <f t="shared" si="87"/>
        <v>0</v>
      </c>
      <c r="AF105" s="52" t="e">
        <f>HLOOKUP(I105,ElecAvoidedCostsWOCC!$A$5:$Q$50,G105+1,FALSE)</f>
        <v>#N/A</v>
      </c>
      <c r="AG105" s="44" t="e">
        <f t="shared" si="88"/>
        <v>#N/A</v>
      </c>
      <c r="AH105" s="52" t="e">
        <f>HLOOKUP(I105,ElecAvoidedCostsWOCC!$A$5:$Q$50,T105+1,FALSE)</f>
        <v>#N/A</v>
      </c>
      <c r="AI105" s="44" t="e">
        <f t="shared" si="89"/>
        <v>#N/A</v>
      </c>
      <c r="AJ105" s="44" t="e">
        <f t="shared" si="90"/>
        <v>#N/A</v>
      </c>
      <c r="AK105" s="44" t="e">
        <f>HLOOKUP(I105,ElecAvoidedCostsWOCC!$A$5:$Q$50,G105+1,FALSE)*J105*L105</f>
        <v>#N/A</v>
      </c>
      <c r="AL105" s="44" t="e">
        <f t="shared" si="91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92"/>
        <v>0</v>
      </c>
      <c r="AO105" s="47">
        <f t="shared" si="93"/>
        <v>0</v>
      </c>
      <c r="AP105" s="47" t="e">
        <f t="shared" si="94"/>
        <v>#DIV/0!</v>
      </c>
    </row>
    <row r="106" spans="2:42">
      <c r="B106" s="97" t="s">
        <v>15</v>
      </c>
      <c r="C106" s="100"/>
      <c r="D106" s="100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76"/>
        <v>0</v>
      </c>
      <c r="U106" s="47">
        <f t="shared" si="77"/>
        <v>0</v>
      </c>
      <c r="V106" s="48">
        <f t="shared" si="78"/>
        <v>0</v>
      </c>
      <c r="W106" s="49">
        <f t="shared" si="79"/>
        <v>0</v>
      </c>
      <c r="X106" s="44">
        <f t="shared" si="80"/>
        <v>0</v>
      </c>
      <c r="Y106" s="44">
        <f t="shared" si="81"/>
        <v>0</v>
      </c>
      <c r="Z106" s="44">
        <f t="shared" si="82"/>
        <v>0</v>
      </c>
      <c r="AA106" s="50">
        <f t="shared" si="83"/>
        <v>0</v>
      </c>
      <c r="AB106" s="51">
        <f t="shared" si="84"/>
        <v>0</v>
      </c>
      <c r="AC106" s="44">
        <f t="shared" si="85"/>
        <v>0</v>
      </c>
      <c r="AD106" s="44">
        <f t="shared" si="86"/>
        <v>0</v>
      </c>
      <c r="AE106" s="44">
        <f t="shared" si="87"/>
        <v>0</v>
      </c>
      <c r="AF106" s="52" t="e">
        <f>HLOOKUP(I106,ElecAvoidedCostsWOCC!$A$5:$Q$50,G106+1,FALSE)</f>
        <v>#N/A</v>
      </c>
      <c r="AG106" s="44" t="e">
        <f t="shared" si="88"/>
        <v>#N/A</v>
      </c>
      <c r="AH106" s="52" t="e">
        <f>HLOOKUP(I106,ElecAvoidedCostsWOCC!$A$5:$Q$50,T106+1,FALSE)</f>
        <v>#N/A</v>
      </c>
      <c r="AI106" s="44" t="e">
        <f t="shared" si="89"/>
        <v>#N/A</v>
      </c>
      <c r="AJ106" s="44" t="e">
        <f t="shared" si="90"/>
        <v>#N/A</v>
      </c>
      <c r="AK106" s="44" t="e">
        <f>HLOOKUP(I106,ElecAvoidedCostsWOCC!$A$5:$Q$50,G106+1,FALSE)*J106*L106</f>
        <v>#N/A</v>
      </c>
      <c r="AL106" s="44" t="e">
        <f t="shared" si="91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92"/>
        <v>0</v>
      </c>
      <c r="AO106" s="47">
        <f t="shared" si="93"/>
        <v>0</v>
      </c>
      <c r="AP106" s="47" t="e">
        <f t="shared" si="94"/>
        <v>#DIV/0!</v>
      </c>
    </row>
    <row r="107" spans="2:42">
      <c r="B107" s="97" t="s">
        <v>15</v>
      </c>
      <c r="C107" s="100"/>
      <c r="D107" s="100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76"/>
        <v>0</v>
      </c>
      <c r="U107" s="47">
        <f t="shared" si="77"/>
        <v>0</v>
      </c>
      <c r="V107" s="48">
        <f t="shared" si="78"/>
        <v>0</v>
      </c>
      <c r="W107" s="49">
        <f t="shared" si="79"/>
        <v>0</v>
      </c>
      <c r="X107" s="44">
        <f t="shared" si="80"/>
        <v>0</v>
      </c>
      <c r="Y107" s="44">
        <f t="shared" si="81"/>
        <v>0</v>
      </c>
      <c r="Z107" s="44">
        <f t="shared" si="82"/>
        <v>0</v>
      </c>
      <c r="AA107" s="50">
        <f t="shared" si="83"/>
        <v>0</v>
      </c>
      <c r="AB107" s="51">
        <f t="shared" si="84"/>
        <v>0</v>
      </c>
      <c r="AC107" s="44">
        <f t="shared" si="85"/>
        <v>0</v>
      </c>
      <c r="AD107" s="44">
        <f t="shared" si="86"/>
        <v>0</v>
      </c>
      <c r="AE107" s="44">
        <f t="shared" si="87"/>
        <v>0</v>
      </c>
      <c r="AF107" s="52" t="e">
        <f>HLOOKUP(I107,ElecAvoidedCostsWOCC!$A$5:$Q$50,G107+1,FALSE)</f>
        <v>#N/A</v>
      </c>
      <c r="AG107" s="44" t="e">
        <f t="shared" si="88"/>
        <v>#N/A</v>
      </c>
      <c r="AH107" s="52" t="e">
        <f>HLOOKUP(I107,ElecAvoidedCostsWOCC!$A$5:$Q$50,T107+1,FALSE)</f>
        <v>#N/A</v>
      </c>
      <c r="AI107" s="44" t="e">
        <f t="shared" si="89"/>
        <v>#N/A</v>
      </c>
      <c r="AJ107" s="44" t="e">
        <f t="shared" si="90"/>
        <v>#N/A</v>
      </c>
      <c r="AK107" s="44" t="e">
        <f>HLOOKUP(I107,ElecAvoidedCostsWOCC!$A$5:$Q$50,G107+1,FALSE)*J107*L107</f>
        <v>#N/A</v>
      </c>
      <c r="AL107" s="44" t="e">
        <f t="shared" si="91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92"/>
        <v>0</v>
      </c>
      <c r="AO107" s="47">
        <f t="shared" si="93"/>
        <v>0</v>
      </c>
      <c r="AP107" s="47" t="e">
        <f t="shared" si="94"/>
        <v>#DIV/0!</v>
      </c>
    </row>
    <row r="108" spans="2:42">
      <c r="B108" s="97" t="s">
        <v>15</v>
      </c>
      <c r="C108" s="100"/>
      <c r="D108" s="100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76"/>
        <v>0</v>
      </c>
      <c r="U108" s="47">
        <f t="shared" si="77"/>
        <v>0</v>
      </c>
      <c r="V108" s="48">
        <f t="shared" si="78"/>
        <v>0</v>
      </c>
      <c r="W108" s="49">
        <f t="shared" si="79"/>
        <v>0</v>
      </c>
      <c r="X108" s="44">
        <f t="shared" si="80"/>
        <v>0</v>
      </c>
      <c r="Y108" s="44">
        <f t="shared" si="81"/>
        <v>0</v>
      </c>
      <c r="Z108" s="44">
        <f t="shared" si="82"/>
        <v>0</v>
      </c>
      <c r="AA108" s="50">
        <f t="shared" si="83"/>
        <v>0</v>
      </c>
      <c r="AB108" s="51">
        <f t="shared" si="84"/>
        <v>0</v>
      </c>
      <c r="AC108" s="44">
        <f t="shared" si="85"/>
        <v>0</v>
      </c>
      <c r="AD108" s="44">
        <f t="shared" si="86"/>
        <v>0</v>
      </c>
      <c r="AE108" s="44">
        <f t="shared" si="87"/>
        <v>0</v>
      </c>
      <c r="AF108" s="52" t="e">
        <f>HLOOKUP(I108,ElecAvoidedCostsWOCC!$A$5:$Q$50,G108+1,FALSE)</f>
        <v>#N/A</v>
      </c>
      <c r="AG108" s="44" t="e">
        <f t="shared" si="88"/>
        <v>#N/A</v>
      </c>
      <c r="AH108" s="52" t="e">
        <f>HLOOKUP(I108,ElecAvoidedCostsWOCC!$A$5:$Q$50,T108+1,FALSE)</f>
        <v>#N/A</v>
      </c>
      <c r="AI108" s="44" t="e">
        <f t="shared" si="89"/>
        <v>#N/A</v>
      </c>
      <c r="AJ108" s="44" t="e">
        <f t="shared" si="90"/>
        <v>#N/A</v>
      </c>
      <c r="AK108" s="44" t="e">
        <f>HLOOKUP(I108,ElecAvoidedCostsWOCC!$A$5:$Q$50,G108+1,FALSE)*J108*L108</f>
        <v>#N/A</v>
      </c>
      <c r="AL108" s="44" t="e">
        <f t="shared" si="91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92"/>
        <v>0</v>
      </c>
      <c r="AO108" s="47">
        <f t="shared" si="93"/>
        <v>0</v>
      </c>
      <c r="AP108" s="47" t="e">
        <f t="shared" si="94"/>
        <v>#DIV/0!</v>
      </c>
    </row>
    <row r="109" spans="2:42">
      <c r="B109" s="97" t="s">
        <v>15</v>
      </c>
      <c r="C109" s="100"/>
      <c r="D109" s="100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76"/>
        <v>0</v>
      </c>
      <c r="U109" s="47">
        <f t="shared" si="77"/>
        <v>0</v>
      </c>
      <c r="V109" s="48">
        <f t="shared" si="78"/>
        <v>0</v>
      </c>
      <c r="W109" s="49">
        <f t="shared" si="79"/>
        <v>0</v>
      </c>
      <c r="X109" s="44">
        <f t="shared" si="80"/>
        <v>0</v>
      </c>
      <c r="Y109" s="44">
        <f t="shared" si="81"/>
        <v>0</v>
      </c>
      <c r="Z109" s="44">
        <f t="shared" si="82"/>
        <v>0</v>
      </c>
      <c r="AA109" s="50">
        <f t="shared" si="83"/>
        <v>0</v>
      </c>
      <c r="AB109" s="51">
        <f t="shared" si="84"/>
        <v>0</v>
      </c>
      <c r="AC109" s="44">
        <f t="shared" si="85"/>
        <v>0</v>
      </c>
      <c r="AD109" s="44">
        <f t="shared" si="86"/>
        <v>0</v>
      </c>
      <c r="AE109" s="44">
        <f t="shared" si="87"/>
        <v>0</v>
      </c>
      <c r="AF109" s="52" t="e">
        <f>HLOOKUP(I109,ElecAvoidedCostsWOCC!$A$5:$Q$50,G109+1,FALSE)</f>
        <v>#N/A</v>
      </c>
      <c r="AG109" s="44" t="e">
        <f t="shared" si="88"/>
        <v>#N/A</v>
      </c>
      <c r="AH109" s="52" t="e">
        <f>HLOOKUP(I109,ElecAvoidedCostsWOCC!$A$5:$Q$50,T109+1,FALSE)</f>
        <v>#N/A</v>
      </c>
      <c r="AI109" s="44" t="e">
        <f t="shared" si="89"/>
        <v>#N/A</v>
      </c>
      <c r="AJ109" s="44" t="e">
        <f t="shared" si="90"/>
        <v>#N/A</v>
      </c>
      <c r="AK109" s="44" t="e">
        <f>HLOOKUP(I109,ElecAvoidedCostsWOCC!$A$5:$Q$50,G109+1,FALSE)*J109*L109</f>
        <v>#N/A</v>
      </c>
      <c r="AL109" s="44" t="e">
        <f t="shared" si="91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92"/>
        <v>0</v>
      </c>
      <c r="AO109" s="47">
        <f t="shared" si="93"/>
        <v>0</v>
      </c>
      <c r="AP109" s="47" t="e">
        <f t="shared" si="94"/>
        <v>#DIV/0!</v>
      </c>
    </row>
    <row r="110" spans="2:42">
      <c r="B110" s="97" t="s">
        <v>15</v>
      </c>
      <c r="C110" s="100"/>
      <c r="D110" s="100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76"/>
        <v>0</v>
      </c>
      <c r="U110" s="47">
        <f t="shared" si="77"/>
        <v>0</v>
      </c>
      <c r="V110" s="48">
        <f t="shared" si="78"/>
        <v>0</v>
      </c>
      <c r="W110" s="49">
        <f t="shared" si="79"/>
        <v>0</v>
      </c>
      <c r="X110" s="44">
        <f t="shared" si="80"/>
        <v>0</v>
      </c>
      <c r="Y110" s="44">
        <f t="shared" si="81"/>
        <v>0</v>
      </c>
      <c r="Z110" s="44">
        <f t="shared" si="82"/>
        <v>0</v>
      </c>
      <c r="AA110" s="50">
        <f t="shared" si="83"/>
        <v>0</v>
      </c>
      <c r="AB110" s="51">
        <f t="shared" si="84"/>
        <v>0</v>
      </c>
      <c r="AC110" s="44">
        <f t="shared" si="85"/>
        <v>0</v>
      </c>
      <c r="AD110" s="44">
        <f t="shared" si="86"/>
        <v>0</v>
      </c>
      <c r="AE110" s="44">
        <f t="shared" si="87"/>
        <v>0</v>
      </c>
      <c r="AF110" s="52" t="e">
        <f>HLOOKUP(I110,ElecAvoidedCostsWOCC!$A$5:$Q$50,G110+1,FALSE)</f>
        <v>#N/A</v>
      </c>
      <c r="AG110" s="44" t="e">
        <f t="shared" si="88"/>
        <v>#N/A</v>
      </c>
      <c r="AH110" s="52" t="e">
        <f>HLOOKUP(I110,ElecAvoidedCostsWOCC!$A$5:$Q$50,T110+1,FALSE)</f>
        <v>#N/A</v>
      </c>
      <c r="AI110" s="44" t="e">
        <f t="shared" si="89"/>
        <v>#N/A</v>
      </c>
      <c r="AJ110" s="44" t="e">
        <f t="shared" si="90"/>
        <v>#N/A</v>
      </c>
      <c r="AK110" s="44" t="e">
        <f>HLOOKUP(I110,ElecAvoidedCostsWOCC!$A$5:$Q$50,G110+1,FALSE)*J110*L110</f>
        <v>#N/A</v>
      </c>
      <c r="AL110" s="44" t="e">
        <f t="shared" si="91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92"/>
        <v>0</v>
      </c>
      <c r="AO110" s="47">
        <f t="shared" si="93"/>
        <v>0</v>
      </c>
      <c r="AP110" s="47" t="e">
        <f t="shared" si="94"/>
        <v>#DIV/0!</v>
      </c>
    </row>
    <row r="111" spans="2:42">
      <c r="B111" s="97" t="s">
        <v>15</v>
      </c>
      <c r="C111" s="100"/>
      <c r="D111" s="100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76"/>
        <v>0</v>
      </c>
      <c r="U111" s="47">
        <f t="shared" si="77"/>
        <v>0</v>
      </c>
      <c r="V111" s="48">
        <f t="shared" si="78"/>
        <v>0</v>
      </c>
      <c r="W111" s="49">
        <f t="shared" si="79"/>
        <v>0</v>
      </c>
      <c r="X111" s="44">
        <f t="shared" si="80"/>
        <v>0</v>
      </c>
      <c r="Y111" s="44">
        <f t="shared" si="81"/>
        <v>0</v>
      </c>
      <c r="Z111" s="44">
        <f t="shared" si="82"/>
        <v>0</v>
      </c>
      <c r="AA111" s="50">
        <f t="shared" si="83"/>
        <v>0</v>
      </c>
      <c r="AB111" s="51">
        <f t="shared" si="84"/>
        <v>0</v>
      </c>
      <c r="AC111" s="44">
        <f t="shared" si="85"/>
        <v>0</v>
      </c>
      <c r="AD111" s="44">
        <f t="shared" si="86"/>
        <v>0</v>
      </c>
      <c r="AE111" s="44">
        <f t="shared" si="87"/>
        <v>0</v>
      </c>
      <c r="AF111" s="52" t="e">
        <f>HLOOKUP(I111,ElecAvoidedCostsWOCC!$A$5:$Q$50,G111+1,FALSE)</f>
        <v>#N/A</v>
      </c>
      <c r="AG111" s="44" t="e">
        <f t="shared" si="88"/>
        <v>#N/A</v>
      </c>
      <c r="AH111" s="52" t="e">
        <f>HLOOKUP(I111,ElecAvoidedCostsWOCC!$A$5:$Q$50,T111+1,FALSE)</f>
        <v>#N/A</v>
      </c>
      <c r="AI111" s="44" t="e">
        <f t="shared" si="89"/>
        <v>#N/A</v>
      </c>
      <c r="AJ111" s="44" t="e">
        <f t="shared" si="90"/>
        <v>#N/A</v>
      </c>
      <c r="AK111" s="44" t="e">
        <f>HLOOKUP(I111,ElecAvoidedCostsWOCC!$A$5:$Q$50,G111+1,FALSE)*J111*L111</f>
        <v>#N/A</v>
      </c>
      <c r="AL111" s="44" t="e">
        <f t="shared" si="91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92"/>
        <v>0</v>
      </c>
      <c r="AO111" s="47">
        <f t="shared" si="93"/>
        <v>0</v>
      </c>
      <c r="AP111" s="47" t="e">
        <f t="shared" si="94"/>
        <v>#DIV/0!</v>
      </c>
    </row>
    <row r="112" spans="2:42">
      <c r="B112" s="97" t="s">
        <v>15</v>
      </c>
      <c r="C112" s="100"/>
      <c r="D112" s="100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76"/>
        <v>0</v>
      </c>
      <c r="U112" s="47">
        <f t="shared" si="77"/>
        <v>0</v>
      </c>
      <c r="V112" s="48">
        <f t="shared" si="78"/>
        <v>0</v>
      </c>
      <c r="W112" s="49">
        <f t="shared" si="79"/>
        <v>0</v>
      </c>
      <c r="X112" s="44">
        <f t="shared" si="80"/>
        <v>0</v>
      </c>
      <c r="Y112" s="44">
        <f t="shared" si="81"/>
        <v>0</v>
      </c>
      <c r="Z112" s="44">
        <f t="shared" si="82"/>
        <v>0</v>
      </c>
      <c r="AA112" s="50">
        <f t="shared" si="83"/>
        <v>0</v>
      </c>
      <c r="AB112" s="51">
        <f t="shared" si="84"/>
        <v>0</v>
      </c>
      <c r="AC112" s="44">
        <f t="shared" si="85"/>
        <v>0</v>
      </c>
      <c r="AD112" s="44">
        <f t="shared" si="86"/>
        <v>0</v>
      </c>
      <c r="AE112" s="44">
        <f t="shared" si="87"/>
        <v>0</v>
      </c>
      <c r="AF112" s="52" t="e">
        <f>HLOOKUP(I112,ElecAvoidedCostsWOCC!$A$5:$Q$50,G112+1,FALSE)</f>
        <v>#N/A</v>
      </c>
      <c r="AG112" s="44" t="e">
        <f t="shared" si="88"/>
        <v>#N/A</v>
      </c>
      <c r="AH112" s="52" t="e">
        <f>HLOOKUP(I112,ElecAvoidedCostsWOCC!$A$5:$Q$50,T112+1,FALSE)</f>
        <v>#N/A</v>
      </c>
      <c r="AI112" s="44" t="e">
        <f t="shared" si="89"/>
        <v>#N/A</v>
      </c>
      <c r="AJ112" s="44" t="e">
        <f t="shared" si="90"/>
        <v>#N/A</v>
      </c>
      <c r="AK112" s="44" t="e">
        <f>HLOOKUP(I112,ElecAvoidedCostsWOCC!$A$5:$Q$50,G112+1,FALSE)*J112*L112</f>
        <v>#N/A</v>
      </c>
      <c r="AL112" s="44" t="e">
        <f t="shared" si="91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92"/>
        <v>0</v>
      </c>
      <c r="AO112" s="47">
        <f t="shared" si="93"/>
        <v>0</v>
      </c>
      <c r="AP112" s="47" t="e">
        <f t="shared" si="94"/>
        <v>#DIV/0!</v>
      </c>
    </row>
    <row r="113" spans="2:42">
      <c r="B113" s="97" t="s">
        <v>15</v>
      </c>
      <c r="C113" s="100"/>
      <c r="D113" s="100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76"/>
        <v>0</v>
      </c>
      <c r="U113" s="47">
        <f t="shared" si="77"/>
        <v>0</v>
      </c>
      <c r="V113" s="48">
        <f t="shared" si="78"/>
        <v>0</v>
      </c>
      <c r="W113" s="49">
        <f t="shared" si="79"/>
        <v>0</v>
      </c>
      <c r="X113" s="44">
        <f t="shared" si="80"/>
        <v>0</v>
      </c>
      <c r="Y113" s="44">
        <f t="shared" si="81"/>
        <v>0</v>
      </c>
      <c r="Z113" s="44">
        <f t="shared" si="82"/>
        <v>0</v>
      </c>
      <c r="AA113" s="50">
        <f t="shared" si="83"/>
        <v>0</v>
      </c>
      <c r="AB113" s="51">
        <f t="shared" si="84"/>
        <v>0</v>
      </c>
      <c r="AC113" s="44">
        <f t="shared" si="85"/>
        <v>0</v>
      </c>
      <c r="AD113" s="44">
        <f t="shared" si="86"/>
        <v>0</v>
      </c>
      <c r="AE113" s="44">
        <f t="shared" si="87"/>
        <v>0</v>
      </c>
      <c r="AF113" s="52" t="e">
        <f>HLOOKUP(I113,ElecAvoidedCostsWOCC!$A$5:$Q$50,G113+1,FALSE)</f>
        <v>#N/A</v>
      </c>
      <c r="AG113" s="44" t="e">
        <f t="shared" si="88"/>
        <v>#N/A</v>
      </c>
      <c r="AH113" s="52" t="e">
        <f>HLOOKUP(I113,ElecAvoidedCostsWOCC!$A$5:$Q$50,T113+1,FALSE)</f>
        <v>#N/A</v>
      </c>
      <c r="AI113" s="44" t="e">
        <f t="shared" si="89"/>
        <v>#N/A</v>
      </c>
      <c r="AJ113" s="44" t="e">
        <f t="shared" si="90"/>
        <v>#N/A</v>
      </c>
      <c r="AK113" s="44" t="e">
        <f>HLOOKUP(I113,ElecAvoidedCostsWOCC!$A$5:$Q$50,G113+1,FALSE)*J113*L113</f>
        <v>#N/A</v>
      </c>
      <c r="AL113" s="44" t="e">
        <f t="shared" si="91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92"/>
        <v>0</v>
      </c>
      <c r="AO113" s="47">
        <f t="shared" si="93"/>
        <v>0</v>
      </c>
      <c r="AP113" s="47" t="e">
        <f t="shared" si="94"/>
        <v>#DIV/0!</v>
      </c>
    </row>
    <row r="114" spans="2:42">
      <c r="B114" s="97" t="s">
        <v>15</v>
      </c>
      <c r="C114" s="100"/>
      <c r="D114" s="100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76"/>
        <v>0</v>
      </c>
      <c r="U114" s="47">
        <f t="shared" si="77"/>
        <v>0</v>
      </c>
      <c r="V114" s="48">
        <f t="shared" si="78"/>
        <v>0</v>
      </c>
      <c r="W114" s="49">
        <f t="shared" si="79"/>
        <v>0</v>
      </c>
      <c r="X114" s="44">
        <f t="shared" si="80"/>
        <v>0</v>
      </c>
      <c r="Y114" s="44">
        <f t="shared" si="81"/>
        <v>0</v>
      </c>
      <c r="Z114" s="44">
        <f t="shared" si="82"/>
        <v>0</v>
      </c>
      <c r="AA114" s="50">
        <f t="shared" si="83"/>
        <v>0</v>
      </c>
      <c r="AB114" s="51">
        <f t="shared" si="84"/>
        <v>0</v>
      </c>
      <c r="AC114" s="44">
        <f t="shared" si="85"/>
        <v>0</v>
      </c>
      <c r="AD114" s="44">
        <f t="shared" si="86"/>
        <v>0</v>
      </c>
      <c r="AE114" s="44">
        <f t="shared" si="87"/>
        <v>0</v>
      </c>
      <c r="AF114" s="52" t="e">
        <f>HLOOKUP(I114,ElecAvoidedCostsWOCC!$A$5:$Q$50,G114+1,FALSE)</f>
        <v>#N/A</v>
      </c>
      <c r="AG114" s="44" t="e">
        <f t="shared" si="88"/>
        <v>#N/A</v>
      </c>
      <c r="AH114" s="52" t="e">
        <f>HLOOKUP(I114,ElecAvoidedCostsWOCC!$A$5:$Q$50,T114+1,FALSE)</f>
        <v>#N/A</v>
      </c>
      <c r="AI114" s="44" t="e">
        <f t="shared" si="89"/>
        <v>#N/A</v>
      </c>
      <c r="AJ114" s="44" t="e">
        <f t="shared" si="90"/>
        <v>#N/A</v>
      </c>
      <c r="AK114" s="44" t="e">
        <f>HLOOKUP(I114,ElecAvoidedCostsWOCC!$A$5:$Q$50,G114+1,FALSE)*J114*L114</f>
        <v>#N/A</v>
      </c>
      <c r="AL114" s="44" t="e">
        <f t="shared" si="91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92"/>
        <v>0</v>
      </c>
      <c r="AO114" s="47">
        <f t="shared" si="93"/>
        <v>0</v>
      </c>
      <c r="AP114" s="47" t="e">
        <f t="shared" si="94"/>
        <v>#DIV/0!</v>
      </c>
    </row>
    <row r="115" spans="2:42">
      <c r="B115" s="97" t="s">
        <v>15</v>
      </c>
      <c r="C115" s="100"/>
      <c r="D115" s="100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76"/>
        <v>0</v>
      </c>
      <c r="U115" s="47">
        <f t="shared" si="77"/>
        <v>0</v>
      </c>
      <c r="V115" s="48">
        <f t="shared" si="78"/>
        <v>0</v>
      </c>
      <c r="W115" s="49">
        <f t="shared" si="79"/>
        <v>0</v>
      </c>
      <c r="X115" s="44">
        <f t="shared" si="80"/>
        <v>0</v>
      </c>
      <c r="Y115" s="44">
        <f t="shared" si="81"/>
        <v>0</v>
      </c>
      <c r="Z115" s="44">
        <f t="shared" si="82"/>
        <v>0</v>
      </c>
      <c r="AA115" s="50">
        <f t="shared" si="83"/>
        <v>0</v>
      </c>
      <c r="AB115" s="51">
        <f t="shared" si="84"/>
        <v>0</v>
      </c>
      <c r="AC115" s="44">
        <f t="shared" si="85"/>
        <v>0</v>
      </c>
      <c r="AD115" s="44">
        <f t="shared" si="86"/>
        <v>0</v>
      </c>
      <c r="AE115" s="44">
        <f t="shared" si="87"/>
        <v>0</v>
      </c>
      <c r="AF115" s="52" t="e">
        <f>HLOOKUP(I115,ElecAvoidedCostsWOCC!$A$5:$Q$50,G115+1,FALSE)</f>
        <v>#N/A</v>
      </c>
      <c r="AG115" s="44" t="e">
        <f t="shared" si="88"/>
        <v>#N/A</v>
      </c>
      <c r="AH115" s="52" t="e">
        <f>HLOOKUP(I115,ElecAvoidedCostsWOCC!$A$5:$Q$50,T115+1,FALSE)</f>
        <v>#N/A</v>
      </c>
      <c r="AI115" s="44" t="e">
        <f t="shared" si="89"/>
        <v>#N/A</v>
      </c>
      <c r="AJ115" s="44" t="e">
        <f t="shared" si="90"/>
        <v>#N/A</v>
      </c>
      <c r="AK115" s="44" t="e">
        <f>HLOOKUP(I115,ElecAvoidedCostsWOCC!$A$5:$Q$50,G115+1,FALSE)*J115*L115</f>
        <v>#N/A</v>
      </c>
      <c r="AL115" s="44" t="e">
        <f t="shared" si="91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92"/>
        <v>0</v>
      </c>
      <c r="AO115" s="47">
        <f t="shared" si="93"/>
        <v>0</v>
      </c>
      <c r="AP115" s="47" t="e">
        <f t="shared" si="94"/>
        <v>#DIV/0!</v>
      </c>
    </row>
    <row r="116" spans="2:42">
      <c r="B116" s="97" t="s">
        <v>15</v>
      </c>
      <c r="C116" s="100"/>
      <c r="D116" s="100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76"/>
        <v>0</v>
      </c>
      <c r="U116" s="47">
        <f t="shared" si="77"/>
        <v>0</v>
      </c>
      <c r="V116" s="48">
        <f t="shared" si="78"/>
        <v>0</v>
      </c>
      <c r="W116" s="49">
        <f t="shared" si="79"/>
        <v>0</v>
      </c>
      <c r="X116" s="44">
        <f t="shared" si="80"/>
        <v>0</v>
      </c>
      <c r="Y116" s="44">
        <f t="shared" si="81"/>
        <v>0</v>
      </c>
      <c r="Z116" s="44">
        <f t="shared" si="82"/>
        <v>0</v>
      </c>
      <c r="AA116" s="50">
        <f t="shared" si="83"/>
        <v>0</v>
      </c>
      <c r="AB116" s="51">
        <f t="shared" si="84"/>
        <v>0</v>
      </c>
      <c r="AC116" s="44">
        <f t="shared" si="85"/>
        <v>0</v>
      </c>
      <c r="AD116" s="44">
        <f t="shared" si="86"/>
        <v>0</v>
      </c>
      <c r="AE116" s="44">
        <f t="shared" si="87"/>
        <v>0</v>
      </c>
      <c r="AF116" s="52" t="e">
        <f>HLOOKUP(I116,ElecAvoidedCostsWOCC!$A$5:$Q$50,G116+1,FALSE)</f>
        <v>#N/A</v>
      </c>
      <c r="AG116" s="44" t="e">
        <f t="shared" si="88"/>
        <v>#N/A</v>
      </c>
      <c r="AH116" s="52" t="e">
        <f>HLOOKUP(I116,ElecAvoidedCostsWOCC!$A$5:$Q$50,T116+1,FALSE)</f>
        <v>#N/A</v>
      </c>
      <c r="AI116" s="44" t="e">
        <f t="shared" si="89"/>
        <v>#N/A</v>
      </c>
      <c r="AJ116" s="44" t="e">
        <f t="shared" si="90"/>
        <v>#N/A</v>
      </c>
      <c r="AK116" s="44" t="e">
        <f>HLOOKUP(I116,ElecAvoidedCostsWOCC!$A$5:$Q$50,G116+1,FALSE)*J116*L116</f>
        <v>#N/A</v>
      </c>
      <c r="AL116" s="44" t="e">
        <f t="shared" si="91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92"/>
        <v>0</v>
      </c>
      <c r="AO116" s="47">
        <f t="shared" si="93"/>
        <v>0</v>
      </c>
      <c r="AP116" s="47" t="e">
        <f t="shared" si="94"/>
        <v>#DIV/0!</v>
      </c>
    </row>
    <row r="117" spans="2:42">
      <c r="B117" s="97" t="s">
        <v>15</v>
      </c>
      <c r="C117" s="100"/>
      <c r="D117" s="100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76"/>
        <v>0</v>
      </c>
      <c r="U117" s="47">
        <f t="shared" si="77"/>
        <v>0</v>
      </c>
      <c r="V117" s="48">
        <f t="shared" si="78"/>
        <v>0</v>
      </c>
      <c r="W117" s="49">
        <f t="shared" si="79"/>
        <v>0</v>
      </c>
      <c r="X117" s="44">
        <f t="shared" si="80"/>
        <v>0</v>
      </c>
      <c r="Y117" s="44">
        <f t="shared" si="81"/>
        <v>0</v>
      </c>
      <c r="Z117" s="44">
        <f t="shared" si="82"/>
        <v>0</v>
      </c>
      <c r="AA117" s="50">
        <f t="shared" si="83"/>
        <v>0</v>
      </c>
      <c r="AB117" s="51">
        <f t="shared" si="84"/>
        <v>0</v>
      </c>
      <c r="AC117" s="44">
        <f t="shared" si="85"/>
        <v>0</v>
      </c>
      <c r="AD117" s="44">
        <f t="shared" si="86"/>
        <v>0</v>
      </c>
      <c r="AE117" s="44">
        <f t="shared" si="87"/>
        <v>0</v>
      </c>
      <c r="AF117" s="52" t="e">
        <f>HLOOKUP(I117,ElecAvoidedCostsWOCC!$A$5:$Q$50,G117+1,FALSE)</f>
        <v>#N/A</v>
      </c>
      <c r="AG117" s="44" t="e">
        <f t="shared" si="88"/>
        <v>#N/A</v>
      </c>
      <c r="AH117" s="52" t="e">
        <f>HLOOKUP(I117,ElecAvoidedCostsWOCC!$A$5:$Q$50,T117+1,FALSE)</f>
        <v>#N/A</v>
      </c>
      <c r="AI117" s="44" t="e">
        <f t="shared" si="89"/>
        <v>#N/A</v>
      </c>
      <c r="AJ117" s="44" t="e">
        <f t="shared" si="90"/>
        <v>#N/A</v>
      </c>
      <c r="AK117" s="44" t="e">
        <f>HLOOKUP(I117,ElecAvoidedCostsWOCC!$A$5:$Q$50,G117+1,FALSE)*J117*L117</f>
        <v>#N/A</v>
      </c>
      <c r="AL117" s="44" t="e">
        <f t="shared" si="91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92"/>
        <v>0</v>
      </c>
      <c r="AO117" s="47">
        <f t="shared" si="93"/>
        <v>0</v>
      </c>
      <c r="AP117" s="47" t="e">
        <f t="shared" si="94"/>
        <v>#DIV/0!</v>
      </c>
    </row>
    <row r="118" spans="2:42">
      <c r="B118" s="97" t="s">
        <v>15</v>
      </c>
      <c r="C118" s="100"/>
      <c r="D118" s="100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76"/>
        <v>0</v>
      </c>
      <c r="U118" s="47">
        <f t="shared" si="77"/>
        <v>0</v>
      </c>
      <c r="V118" s="48">
        <f t="shared" si="78"/>
        <v>0</v>
      </c>
      <c r="W118" s="49">
        <f t="shared" si="79"/>
        <v>0</v>
      </c>
      <c r="X118" s="44">
        <f t="shared" si="80"/>
        <v>0</v>
      </c>
      <c r="Y118" s="44">
        <f t="shared" si="81"/>
        <v>0</v>
      </c>
      <c r="Z118" s="44">
        <f t="shared" si="82"/>
        <v>0</v>
      </c>
      <c r="AA118" s="50">
        <f t="shared" si="83"/>
        <v>0</v>
      </c>
      <c r="AB118" s="51">
        <f t="shared" si="84"/>
        <v>0</v>
      </c>
      <c r="AC118" s="44">
        <f t="shared" si="85"/>
        <v>0</v>
      </c>
      <c r="AD118" s="44">
        <f t="shared" si="86"/>
        <v>0</v>
      </c>
      <c r="AE118" s="44">
        <f t="shared" si="87"/>
        <v>0</v>
      </c>
      <c r="AF118" s="52" t="e">
        <f>HLOOKUP(I118,ElecAvoidedCostsWOCC!$A$5:$Q$50,G118+1,FALSE)</f>
        <v>#N/A</v>
      </c>
      <c r="AG118" s="44" t="e">
        <f t="shared" si="88"/>
        <v>#N/A</v>
      </c>
      <c r="AH118" s="52" t="e">
        <f>HLOOKUP(I118,ElecAvoidedCostsWOCC!$A$5:$Q$50,T118+1,FALSE)</f>
        <v>#N/A</v>
      </c>
      <c r="AI118" s="44" t="e">
        <f t="shared" si="89"/>
        <v>#N/A</v>
      </c>
      <c r="AJ118" s="44" t="e">
        <f t="shared" si="90"/>
        <v>#N/A</v>
      </c>
      <c r="AK118" s="44" t="e">
        <f>HLOOKUP(I118,ElecAvoidedCostsWOCC!$A$5:$Q$50,G118+1,FALSE)*J118*L118</f>
        <v>#N/A</v>
      </c>
      <c r="AL118" s="44" t="e">
        <f t="shared" si="91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92"/>
        <v>0</v>
      </c>
      <c r="AO118" s="47">
        <f t="shared" si="93"/>
        <v>0</v>
      </c>
      <c r="AP118" s="47" t="e">
        <f t="shared" si="94"/>
        <v>#DIV/0!</v>
      </c>
    </row>
    <row r="119" spans="2:42">
      <c r="B119" s="97" t="s">
        <v>15</v>
      </c>
      <c r="C119" s="100"/>
      <c r="D119" s="100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76"/>
        <v>0</v>
      </c>
      <c r="U119" s="47">
        <f t="shared" si="77"/>
        <v>0</v>
      </c>
      <c r="V119" s="48">
        <f t="shared" si="78"/>
        <v>0</v>
      </c>
      <c r="W119" s="49">
        <f t="shared" si="79"/>
        <v>0</v>
      </c>
      <c r="X119" s="44">
        <f t="shared" si="80"/>
        <v>0</v>
      </c>
      <c r="Y119" s="44">
        <f t="shared" si="81"/>
        <v>0</v>
      </c>
      <c r="Z119" s="44">
        <f t="shared" si="82"/>
        <v>0</v>
      </c>
      <c r="AA119" s="50">
        <f t="shared" si="83"/>
        <v>0</v>
      </c>
      <c r="AB119" s="51">
        <f t="shared" si="84"/>
        <v>0</v>
      </c>
      <c r="AC119" s="44">
        <f t="shared" si="85"/>
        <v>0</v>
      </c>
      <c r="AD119" s="44">
        <f t="shared" si="86"/>
        <v>0</v>
      </c>
      <c r="AE119" s="44">
        <f t="shared" si="87"/>
        <v>0</v>
      </c>
      <c r="AF119" s="52" t="e">
        <f>HLOOKUP(I119,ElecAvoidedCostsWOCC!$A$5:$Q$50,G119+1,FALSE)</f>
        <v>#N/A</v>
      </c>
      <c r="AG119" s="44" t="e">
        <f t="shared" si="88"/>
        <v>#N/A</v>
      </c>
      <c r="AH119" s="52" t="e">
        <f>HLOOKUP(I119,ElecAvoidedCostsWOCC!$A$5:$Q$50,T119+1,FALSE)</f>
        <v>#N/A</v>
      </c>
      <c r="AI119" s="44" t="e">
        <f t="shared" si="89"/>
        <v>#N/A</v>
      </c>
      <c r="AJ119" s="44" t="e">
        <f t="shared" si="90"/>
        <v>#N/A</v>
      </c>
      <c r="AK119" s="44" t="e">
        <f>HLOOKUP(I119,ElecAvoidedCostsWOCC!$A$5:$Q$50,G119+1,FALSE)*J119*L119</f>
        <v>#N/A</v>
      </c>
      <c r="AL119" s="44" t="e">
        <f t="shared" si="91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92"/>
        <v>0</v>
      </c>
      <c r="AO119" s="47">
        <f t="shared" si="93"/>
        <v>0</v>
      </c>
      <c r="AP119" s="47" t="e">
        <f t="shared" si="94"/>
        <v>#DIV/0!</v>
      </c>
    </row>
    <row r="120" spans="2:42">
      <c r="B120" s="97" t="s">
        <v>15</v>
      </c>
      <c r="C120" s="100"/>
      <c r="D120" s="100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76"/>
        <v>0</v>
      </c>
      <c r="U120" s="47">
        <f t="shared" si="77"/>
        <v>0</v>
      </c>
      <c r="V120" s="48">
        <f t="shared" si="78"/>
        <v>0</v>
      </c>
      <c r="W120" s="49">
        <f t="shared" si="79"/>
        <v>0</v>
      </c>
      <c r="X120" s="44">
        <f t="shared" si="80"/>
        <v>0</v>
      </c>
      <c r="Y120" s="44">
        <f t="shared" si="81"/>
        <v>0</v>
      </c>
      <c r="Z120" s="44">
        <f t="shared" si="82"/>
        <v>0</v>
      </c>
      <c r="AA120" s="50">
        <f t="shared" si="83"/>
        <v>0</v>
      </c>
      <c r="AB120" s="51">
        <f t="shared" si="84"/>
        <v>0</v>
      </c>
      <c r="AC120" s="44">
        <f t="shared" si="85"/>
        <v>0</v>
      </c>
      <c r="AD120" s="44">
        <f t="shared" si="86"/>
        <v>0</v>
      </c>
      <c r="AE120" s="44">
        <f t="shared" si="87"/>
        <v>0</v>
      </c>
      <c r="AF120" s="52" t="e">
        <f>HLOOKUP(I120,ElecAvoidedCostsWOCC!$A$5:$Q$50,G120+1,FALSE)</f>
        <v>#N/A</v>
      </c>
      <c r="AG120" s="44" t="e">
        <f t="shared" si="88"/>
        <v>#N/A</v>
      </c>
      <c r="AH120" s="52" t="e">
        <f>HLOOKUP(I120,ElecAvoidedCostsWOCC!$A$5:$Q$50,T120+1,FALSE)</f>
        <v>#N/A</v>
      </c>
      <c r="AI120" s="44" t="e">
        <f t="shared" si="89"/>
        <v>#N/A</v>
      </c>
      <c r="AJ120" s="44" t="e">
        <f t="shared" si="90"/>
        <v>#N/A</v>
      </c>
      <c r="AK120" s="44" t="e">
        <f>HLOOKUP(I120,ElecAvoidedCostsWOCC!$A$5:$Q$50,G120+1,FALSE)*J120*L120</f>
        <v>#N/A</v>
      </c>
      <c r="AL120" s="44" t="e">
        <f t="shared" si="91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92"/>
        <v>0</v>
      </c>
      <c r="AO120" s="47">
        <f t="shared" si="93"/>
        <v>0</v>
      </c>
      <c r="AP120" s="47" t="e">
        <f t="shared" si="94"/>
        <v>#DIV/0!</v>
      </c>
    </row>
    <row r="121" spans="2:42">
      <c r="B121" s="97" t="s">
        <v>15</v>
      </c>
      <c r="C121" s="100"/>
      <c r="D121" s="100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76"/>
        <v>0</v>
      </c>
      <c r="U121" s="47">
        <f t="shared" si="77"/>
        <v>0</v>
      </c>
      <c r="V121" s="48">
        <f t="shared" si="78"/>
        <v>0</v>
      </c>
      <c r="W121" s="49">
        <f t="shared" si="79"/>
        <v>0</v>
      </c>
      <c r="X121" s="44">
        <f t="shared" si="80"/>
        <v>0</v>
      </c>
      <c r="Y121" s="44">
        <f t="shared" si="81"/>
        <v>0</v>
      </c>
      <c r="Z121" s="44">
        <f t="shared" si="82"/>
        <v>0</v>
      </c>
      <c r="AA121" s="50">
        <f t="shared" si="83"/>
        <v>0</v>
      </c>
      <c r="AB121" s="51">
        <f t="shared" si="84"/>
        <v>0</v>
      </c>
      <c r="AC121" s="44">
        <f t="shared" si="85"/>
        <v>0</v>
      </c>
      <c r="AD121" s="44">
        <f t="shared" si="86"/>
        <v>0</v>
      </c>
      <c r="AE121" s="44">
        <f t="shared" si="87"/>
        <v>0</v>
      </c>
      <c r="AF121" s="52" t="e">
        <f>HLOOKUP(I121,ElecAvoidedCostsWOCC!$A$5:$Q$50,G121+1,FALSE)</f>
        <v>#N/A</v>
      </c>
      <c r="AG121" s="44" t="e">
        <f t="shared" si="88"/>
        <v>#N/A</v>
      </c>
      <c r="AH121" s="52" t="e">
        <f>HLOOKUP(I121,ElecAvoidedCostsWOCC!$A$5:$Q$50,T121+1,FALSE)</f>
        <v>#N/A</v>
      </c>
      <c r="AI121" s="44" t="e">
        <f t="shared" si="89"/>
        <v>#N/A</v>
      </c>
      <c r="AJ121" s="44" t="e">
        <f t="shared" si="90"/>
        <v>#N/A</v>
      </c>
      <c r="AK121" s="44" t="e">
        <f>HLOOKUP(I121,ElecAvoidedCostsWOCC!$A$5:$Q$50,G121+1,FALSE)*J121*L121</f>
        <v>#N/A</v>
      </c>
      <c r="AL121" s="44" t="e">
        <f t="shared" si="91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92"/>
        <v>0</v>
      </c>
      <c r="AO121" s="47">
        <f t="shared" si="93"/>
        <v>0</v>
      </c>
      <c r="AP121" s="47" t="e">
        <f t="shared" si="94"/>
        <v>#DIV/0!</v>
      </c>
    </row>
    <row r="122" spans="2:42">
      <c r="B122" s="97" t="s">
        <v>15</v>
      </c>
      <c r="C122" s="100"/>
      <c r="D122" s="100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76"/>
        <v>0</v>
      </c>
      <c r="U122" s="47">
        <f t="shared" si="77"/>
        <v>0</v>
      </c>
      <c r="V122" s="48">
        <f t="shared" si="78"/>
        <v>0</v>
      </c>
      <c r="W122" s="49">
        <f t="shared" si="79"/>
        <v>0</v>
      </c>
      <c r="X122" s="44">
        <f t="shared" si="80"/>
        <v>0</v>
      </c>
      <c r="Y122" s="44">
        <f t="shared" si="81"/>
        <v>0</v>
      </c>
      <c r="Z122" s="44">
        <f t="shared" si="82"/>
        <v>0</v>
      </c>
      <c r="AA122" s="50">
        <f t="shared" si="83"/>
        <v>0</v>
      </c>
      <c r="AB122" s="51">
        <f t="shared" si="84"/>
        <v>0</v>
      </c>
      <c r="AC122" s="44">
        <f t="shared" si="85"/>
        <v>0</v>
      </c>
      <c r="AD122" s="44">
        <f t="shared" si="86"/>
        <v>0</v>
      </c>
      <c r="AE122" s="44">
        <f t="shared" si="87"/>
        <v>0</v>
      </c>
      <c r="AF122" s="52" t="e">
        <f>HLOOKUP(I122,ElecAvoidedCostsWOCC!$A$5:$Q$50,G122+1,FALSE)</f>
        <v>#N/A</v>
      </c>
      <c r="AG122" s="44" t="e">
        <f t="shared" si="88"/>
        <v>#N/A</v>
      </c>
      <c r="AH122" s="52" t="e">
        <f>HLOOKUP(I122,ElecAvoidedCostsWOCC!$A$5:$Q$50,T122+1,FALSE)</f>
        <v>#N/A</v>
      </c>
      <c r="AI122" s="44" t="e">
        <f t="shared" si="89"/>
        <v>#N/A</v>
      </c>
      <c r="AJ122" s="44" t="e">
        <f t="shared" si="90"/>
        <v>#N/A</v>
      </c>
      <c r="AK122" s="44" t="e">
        <f>HLOOKUP(I122,ElecAvoidedCostsWOCC!$A$5:$Q$50,G122+1,FALSE)*J122*L122</f>
        <v>#N/A</v>
      </c>
      <c r="AL122" s="44" t="e">
        <f t="shared" si="91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92"/>
        <v>0</v>
      </c>
      <c r="AO122" s="47">
        <f t="shared" si="93"/>
        <v>0</v>
      </c>
      <c r="AP122" s="47" t="e">
        <f t="shared" si="94"/>
        <v>#DIV/0!</v>
      </c>
    </row>
    <row r="123" spans="2:42">
      <c r="B123" s="97" t="s">
        <v>15</v>
      </c>
      <c r="C123" s="100"/>
      <c r="D123" s="100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76"/>
        <v>0</v>
      </c>
      <c r="U123" s="47">
        <f t="shared" si="77"/>
        <v>0</v>
      </c>
      <c r="V123" s="48">
        <f t="shared" si="78"/>
        <v>0</v>
      </c>
      <c r="W123" s="49">
        <f t="shared" si="79"/>
        <v>0</v>
      </c>
      <c r="X123" s="44">
        <f t="shared" si="80"/>
        <v>0</v>
      </c>
      <c r="Y123" s="44">
        <f t="shared" si="81"/>
        <v>0</v>
      </c>
      <c r="Z123" s="44">
        <f t="shared" si="82"/>
        <v>0</v>
      </c>
      <c r="AA123" s="50">
        <f t="shared" si="83"/>
        <v>0</v>
      </c>
      <c r="AB123" s="51">
        <f t="shared" si="84"/>
        <v>0</v>
      </c>
      <c r="AC123" s="44">
        <f t="shared" si="85"/>
        <v>0</v>
      </c>
      <c r="AD123" s="44">
        <f t="shared" si="86"/>
        <v>0</v>
      </c>
      <c r="AE123" s="44">
        <f t="shared" si="87"/>
        <v>0</v>
      </c>
      <c r="AF123" s="52" t="e">
        <f>HLOOKUP(I123,ElecAvoidedCostsWOCC!$A$5:$Q$50,G123+1,FALSE)</f>
        <v>#N/A</v>
      </c>
      <c r="AG123" s="44" t="e">
        <f t="shared" si="88"/>
        <v>#N/A</v>
      </c>
      <c r="AH123" s="52" t="e">
        <f>HLOOKUP(I123,ElecAvoidedCostsWOCC!$A$5:$Q$50,T123+1,FALSE)</f>
        <v>#N/A</v>
      </c>
      <c r="AI123" s="44" t="e">
        <f t="shared" si="89"/>
        <v>#N/A</v>
      </c>
      <c r="AJ123" s="44" t="e">
        <f t="shared" si="90"/>
        <v>#N/A</v>
      </c>
      <c r="AK123" s="44" t="e">
        <f>HLOOKUP(I123,ElecAvoidedCostsWOCC!$A$5:$Q$50,G123+1,FALSE)*J123*L123</f>
        <v>#N/A</v>
      </c>
      <c r="AL123" s="44" t="e">
        <f t="shared" si="91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92"/>
        <v>0</v>
      </c>
      <c r="AO123" s="47">
        <f t="shared" si="93"/>
        <v>0</v>
      </c>
      <c r="AP123" s="47" t="e">
        <f t="shared" si="94"/>
        <v>#DIV/0!</v>
      </c>
    </row>
    <row r="124" spans="2:42">
      <c r="B124" s="97" t="s">
        <v>15</v>
      </c>
      <c r="C124" s="100"/>
      <c r="D124" s="100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76"/>
        <v>0</v>
      </c>
      <c r="U124" s="47">
        <f t="shared" si="77"/>
        <v>0</v>
      </c>
      <c r="V124" s="48">
        <f t="shared" si="78"/>
        <v>0</v>
      </c>
      <c r="W124" s="49">
        <f t="shared" si="79"/>
        <v>0</v>
      </c>
      <c r="X124" s="44">
        <f t="shared" si="80"/>
        <v>0</v>
      </c>
      <c r="Y124" s="44">
        <f t="shared" si="81"/>
        <v>0</v>
      </c>
      <c r="Z124" s="44">
        <f t="shared" si="82"/>
        <v>0</v>
      </c>
      <c r="AA124" s="50">
        <f t="shared" si="83"/>
        <v>0</v>
      </c>
      <c r="AB124" s="51">
        <f t="shared" si="84"/>
        <v>0</v>
      </c>
      <c r="AC124" s="44">
        <f t="shared" si="85"/>
        <v>0</v>
      </c>
      <c r="AD124" s="44">
        <f t="shared" si="86"/>
        <v>0</v>
      </c>
      <c r="AE124" s="44">
        <f t="shared" si="87"/>
        <v>0</v>
      </c>
      <c r="AF124" s="52" t="e">
        <f>HLOOKUP(I124,ElecAvoidedCostsWOCC!$A$5:$Q$50,G124+1,FALSE)</f>
        <v>#N/A</v>
      </c>
      <c r="AG124" s="44" t="e">
        <f t="shared" si="88"/>
        <v>#N/A</v>
      </c>
      <c r="AH124" s="52" t="e">
        <f>HLOOKUP(I124,ElecAvoidedCostsWOCC!$A$5:$Q$50,T124+1,FALSE)</f>
        <v>#N/A</v>
      </c>
      <c r="AI124" s="44" t="e">
        <f t="shared" si="89"/>
        <v>#N/A</v>
      </c>
      <c r="AJ124" s="44" t="e">
        <f t="shared" si="90"/>
        <v>#N/A</v>
      </c>
      <c r="AK124" s="44" t="e">
        <f>HLOOKUP(I124,ElecAvoidedCostsWOCC!$A$5:$Q$50,G124+1,FALSE)*J124*L124</f>
        <v>#N/A</v>
      </c>
      <c r="AL124" s="44" t="e">
        <f t="shared" si="91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92"/>
        <v>0</v>
      </c>
      <c r="AO124" s="47">
        <f t="shared" si="93"/>
        <v>0</v>
      </c>
      <c r="AP124" s="47" t="e">
        <f t="shared" si="94"/>
        <v>#DIV/0!</v>
      </c>
    </row>
    <row r="125" spans="2:42">
      <c r="B125" s="97" t="s">
        <v>15</v>
      </c>
      <c r="C125" s="100"/>
      <c r="D125" s="100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76"/>
        <v>0</v>
      </c>
      <c r="U125" s="47">
        <f t="shared" si="77"/>
        <v>0</v>
      </c>
      <c r="V125" s="48">
        <f t="shared" si="78"/>
        <v>0</v>
      </c>
      <c r="W125" s="49">
        <f t="shared" si="79"/>
        <v>0</v>
      </c>
      <c r="X125" s="44">
        <f t="shared" si="80"/>
        <v>0</v>
      </c>
      <c r="Y125" s="44">
        <f t="shared" si="81"/>
        <v>0</v>
      </c>
      <c r="Z125" s="44">
        <f t="shared" si="82"/>
        <v>0</v>
      </c>
      <c r="AA125" s="50">
        <f t="shared" si="83"/>
        <v>0</v>
      </c>
      <c r="AB125" s="51">
        <f t="shared" si="84"/>
        <v>0</v>
      </c>
      <c r="AC125" s="44">
        <f t="shared" si="85"/>
        <v>0</v>
      </c>
      <c r="AD125" s="44">
        <f t="shared" si="86"/>
        <v>0</v>
      </c>
      <c r="AE125" s="44">
        <f t="shared" si="87"/>
        <v>0</v>
      </c>
      <c r="AF125" s="52" t="e">
        <f>HLOOKUP(I125,ElecAvoidedCostsWOCC!$A$5:$Q$50,G125+1,FALSE)</f>
        <v>#N/A</v>
      </c>
      <c r="AG125" s="44" t="e">
        <f t="shared" si="88"/>
        <v>#N/A</v>
      </c>
      <c r="AH125" s="52" t="e">
        <f>HLOOKUP(I125,ElecAvoidedCostsWOCC!$A$5:$Q$50,T125+1,FALSE)</f>
        <v>#N/A</v>
      </c>
      <c r="AI125" s="44" t="e">
        <f t="shared" si="89"/>
        <v>#N/A</v>
      </c>
      <c r="AJ125" s="44" t="e">
        <f t="shared" si="90"/>
        <v>#N/A</v>
      </c>
      <c r="AK125" s="44" t="e">
        <f>HLOOKUP(I125,ElecAvoidedCostsWOCC!$A$5:$Q$50,G125+1,FALSE)*J125*L125</f>
        <v>#N/A</v>
      </c>
      <c r="AL125" s="44" t="e">
        <f t="shared" si="91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92"/>
        <v>0</v>
      </c>
      <c r="AO125" s="47">
        <f t="shared" si="93"/>
        <v>0</v>
      </c>
      <c r="AP125" s="47" t="e">
        <f t="shared" si="94"/>
        <v>#DIV/0!</v>
      </c>
    </row>
    <row r="126" spans="2:42">
      <c r="B126" s="97" t="s">
        <v>15</v>
      </c>
      <c r="C126" s="100"/>
      <c r="D126" s="100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76"/>
        <v>0</v>
      </c>
      <c r="U126" s="47">
        <f t="shared" si="77"/>
        <v>0</v>
      </c>
      <c r="V126" s="48">
        <f t="shared" si="78"/>
        <v>0</v>
      </c>
      <c r="W126" s="49">
        <f t="shared" si="79"/>
        <v>0</v>
      </c>
      <c r="X126" s="44">
        <f t="shared" si="80"/>
        <v>0</v>
      </c>
      <c r="Y126" s="44">
        <f t="shared" si="81"/>
        <v>0</v>
      </c>
      <c r="Z126" s="44">
        <f t="shared" si="82"/>
        <v>0</v>
      </c>
      <c r="AA126" s="50">
        <f t="shared" si="83"/>
        <v>0</v>
      </c>
      <c r="AB126" s="51">
        <f t="shared" si="84"/>
        <v>0</v>
      </c>
      <c r="AC126" s="44">
        <f t="shared" si="85"/>
        <v>0</v>
      </c>
      <c r="AD126" s="44">
        <f t="shared" si="86"/>
        <v>0</v>
      </c>
      <c r="AE126" s="44">
        <f t="shared" si="87"/>
        <v>0</v>
      </c>
      <c r="AF126" s="52" t="e">
        <f>HLOOKUP(I126,ElecAvoidedCostsWOCC!$A$5:$Q$50,G126+1,FALSE)</f>
        <v>#N/A</v>
      </c>
      <c r="AG126" s="44" t="e">
        <f t="shared" si="88"/>
        <v>#N/A</v>
      </c>
      <c r="AH126" s="52" t="e">
        <f>HLOOKUP(I126,ElecAvoidedCostsWOCC!$A$5:$Q$50,T126+1,FALSE)</f>
        <v>#N/A</v>
      </c>
      <c r="AI126" s="44" t="e">
        <f t="shared" si="89"/>
        <v>#N/A</v>
      </c>
      <c r="AJ126" s="44" t="e">
        <f t="shared" si="90"/>
        <v>#N/A</v>
      </c>
      <c r="AK126" s="44" t="e">
        <f>HLOOKUP(I126,ElecAvoidedCostsWOCC!$A$5:$Q$50,G126+1,FALSE)*J126*L126</f>
        <v>#N/A</v>
      </c>
      <c r="AL126" s="44" t="e">
        <f t="shared" si="91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92"/>
        <v>0</v>
      </c>
      <c r="AO126" s="47">
        <f t="shared" si="93"/>
        <v>0</v>
      </c>
      <c r="AP126" s="47" t="e">
        <f t="shared" si="94"/>
        <v>#DIV/0!</v>
      </c>
    </row>
    <row r="127" spans="2:42">
      <c r="B127" s="97" t="s">
        <v>15</v>
      </c>
      <c r="C127" s="100"/>
      <c r="D127" s="100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76"/>
        <v>0</v>
      </c>
      <c r="U127" s="47">
        <f t="shared" si="77"/>
        <v>0</v>
      </c>
      <c r="V127" s="48">
        <f t="shared" si="78"/>
        <v>0</v>
      </c>
      <c r="W127" s="49">
        <f t="shared" si="79"/>
        <v>0</v>
      </c>
      <c r="X127" s="44">
        <f t="shared" si="80"/>
        <v>0</v>
      </c>
      <c r="Y127" s="44">
        <f t="shared" si="81"/>
        <v>0</v>
      </c>
      <c r="Z127" s="44">
        <f t="shared" si="82"/>
        <v>0</v>
      </c>
      <c r="AA127" s="50">
        <f t="shared" si="83"/>
        <v>0</v>
      </c>
      <c r="AB127" s="51">
        <f t="shared" si="84"/>
        <v>0</v>
      </c>
      <c r="AC127" s="44">
        <f t="shared" si="85"/>
        <v>0</v>
      </c>
      <c r="AD127" s="44">
        <f t="shared" si="86"/>
        <v>0</v>
      </c>
      <c r="AE127" s="44">
        <f t="shared" si="87"/>
        <v>0</v>
      </c>
      <c r="AF127" s="52" t="e">
        <f>HLOOKUP(I127,ElecAvoidedCostsWOCC!$A$5:$Q$50,G127+1,FALSE)</f>
        <v>#N/A</v>
      </c>
      <c r="AG127" s="44" t="e">
        <f t="shared" si="88"/>
        <v>#N/A</v>
      </c>
      <c r="AH127" s="52" t="e">
        <f>HLOOKUP(I127,ElecAvoidedCostsWOCC!$A$5:$Q$50,T127+1,FALSE)</f>
        <v>#N/A</v>
      </c>
      <c r="AI127" s="44" t="e">
        <f t="shared" si="89"/>
        <v>#N/A</v>
      </c>
      <c r="AJ127" s="44" t="e">
        <f t="shared" si="90"/>
        <v>#N/A</v>
      </c>
      <c r="AK127" s="44" t="e">
        <f>HLOOKUP(I127,ElecAvoidedCostsWOCC!$A$5:$Q$50,G127+1,FALSE)*J127*L127</f>
        <v>#N/A</v>
      </c>
      <c r="AL127" s="44" t="e">
        <f t="shared" si="91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92"/>
        <v>0</v>
      </c>
      <c r="AO127" s="47">
        <f t="shared" si="93"/>
        <v>0</v>
      </c>
      <c r="AP127" s="47" t="e">
        <f t="shared" si="94"/>
        <v>#DIV/0!</v>
      </c>
    </row>
    <row r="128" spans="2:42">
      <c r="B128" s="97" t="s">
        <v>15</v>
      </c>
      <c r="C128" s="100"/>
      <c r="D128" s="100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76"/>
        <v>0</v>
      </c>
      <c r="U128" s="47">
        <f t="shared" si="77"/>
        <v>0</v>
      </c>
      <c r="V128" s="48">
        <f t="shared" si="78"/>
        <v>0</v>
      </c>
      <c r="W128" s="49">
        <f t="shared" si="79"/>
        <v>0</v>
      </c>
      <c r="X128" s="44">
        <f t="shared" si="80"/>
        <v>0</v>
      </c>
      <c r="Y128" s="44">
        <f t="shared" si="81"/>
        <v>0</v>
      </c>
      <c r="Z128" s="44">
        <f t="shared" si="82"/>
        <v>0</v>
      </c>
      <c r="AA128" s="50">
        <f t="shared" si="83"/>
        <v>0</v>
      </c>
      <c r="AB128" s="51">
        <f t="shared" si="84"/>
        <v>0</v>
      </c>
      <c r="AC128" s="44">
        <f t="shared" si="85"/>
        <v>0</v>
      </c>
      <c r="AD128" s="44">
        <f t="shared" si="86"/>
        <v>0</v>
      </c>
      <c r="AE128" s="44">
        <f t="shared" si="87"/>
        <v>0</v>
      </c>
      <c r="AF128" s="52" t="e">
        <f>HLOOKUP(I128,ElecAvoidedCostsWOCC!$A$5:$Q$50,G128+1,FALSE)</f>
        <v>#N/A</v>
      </c>
      <c r="AG128" s="44" t="e">
        <f t="shared" si="88"/>
        <v>#N/A</v>
      </c>
      <c r="AH128" s="52" t="e">
        <f>HLOOKUP(I128,ElecAvoidedCostsWOCC!$A$5:$Q$50,T128+1,FALSE)</f>
        <v>#N/A</v>
      </c>
      <c r="AI128" s="44" t="e">
        <f t="shared" si="89"/>
        <v>#N/A</v>
      </c>
      <c r="AJ128" s="44" t="e">
        <f t="shared" si="90"/>
        <v>#N/A</v>
      </c>
      <c r="AK128" s="44" t="e">
        <f>HLOOKUP(I128,ElecAvoidedCostsWOCC!$A$5:$Q$50,G128+1,FALSE)*J128*L128</f>
        <v>#N/A</v>
      </c>
      <c r="AL128" s="44" t="e">
        <f t="shared" si="91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92"/>
        <v>0</v>
      </c>
      <c r="AO128" s="47">
        <f t="shared" si="93"/>
        <v>0</v>
      </c>
      <c r="AP128" s="47" t="e">
        <f t="shared" si="94"/>
        <v>#DIV/0!</v>
      </c>
    </row>
    <row r="129" spans="2:42">
      <c r="B129" s="97" t="s">
        <v>15</v>
      </c>
      <c r="C129" s="100"/>
      <c r="D129" s="100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76"/>
        <v>0</v>
      </c>
      <c r="U129" s="47">
        <f t="shared" si="77"/>
        <v>0</v>
      </c>
      <c r="V129" s="48">
        <f t="shared" si="78"/>
        <v>0</v>
      </c>
      <c r="W129" s="49">
        <f t="shared" si="79"/>
        <v>0</v>
      </c>
      <c r="X129" s="44">
        <f t="shared" si="80"/>
        <v>0</v>
      </c>
      <c r="Y129" s="44">
        <f t="shared" si="81"/>
        <v>0</v>
      </c>
      <c r="Z129" s="44">
        <f t="shared" si="82"/>
        <v>0</v>
      </c>
      <c r="AA129" s="50">
        <f t="shared" si="83"/>
        <v>0</v>
      </c>
      <c r="AB129" s="51">
        <f t="shared" si="84"/>
        <v>0</v>
      </c>
      <c r="AC129" s="44">
        <f t="shared" si="85"/>
        <v>0</v>
      </c>
      <c r="AD129" s="44">
        <f t="shared" si="86"/>
        <v>0</v>
      </c>
      <c r="AE129" s="44">
        <f t="shared" si="87"/>
        <v>0</v>
      </c>
      <c r="AF129" s="52" t="e">
        <f>HLOOKUP(I129,ElecAvoidedCostsWOCC!$A$5:$Q$50,G129+1,FALSE)</f>
        <v>#N/A</v>
      </c>
      <c r="AG129" s="44" t="e">
        <f t="shared" si="88"/>
        <v>#N/A</v>
      </c>
      <c r="AH129" s="52" t="e">
        <f>HLOOKUP(I129,ElecAvoidedCostsWOCC!$A$5:$Q$50,T129+1,FALSE)</f>
        <v>#N/A</v>
      </c>
      <c r="AI129" s="44" t="e">
        <f t="shared" si="89"/>
        <v>#N/A</v>
      </c>
      <c r="AJ129" s="44" t="e">
        <f t="shared" si="90"/>
        <v>#N/A</v>
      </c>
      <c r="AK129" s="44" t="e">
        <f>HLOOKUP(I129,ElecAvoidedCostsWOCC!$A$5:$Q$50,G129+1,FALSE)*J129*L129</f>
        <v>#N/A</v>
      </c>
      <c r="AL129" s="44" t="e">
        <f t="shared" si="91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92"/>
        <v>0</v>
      </c>
      <c r="AO129" s="47">
        <f t="shared" si="93"/>
        <v>0</v>
      </c>
      <c r="AP129" s="47" t="e">
        <f t="shared" si="94"/>
        <v>#DIV/0!</v>
      </c>
    </row>
    <row r="130" spans="2:42">
      <c r="B130" s="97" t="s">
        <v>15</v>
      </c>
      <c r="C130" s="100"/>
      <c r="D130" s="100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76"/>
        <v>0</v>
      </c>
      <c r="U130" s="47">
        <f t="shared" si="77"/>
        <v>0</v>
      </c>
      <c r="V130" s="48">
        <f t="shared" si="78"/>
        <v>0</v>
      </c>
      <c r="W130" s="49">
        <f t="shared" si="79"/>
        <v>0</v>
      </c>
      <c r="X130" s="44">
        <f t="shared" si="80"/>
        <v>0</v>
      </c>
      <c r="Y130" s="44">
        <f t="shared" si="81"/>
        <v>0</v>
      </c>
      <c r="Z130" s="44">
        <f t="shared" si="82"/>
        <v>0</v>
      </c>
      <c r="AA130" s="50">
        <f t="shared" si="83"/>
        <v>0</v>
      </c>
      <c r="AB130" s="51">
        <f t="shared" si="84"/>
        <v>0</v>
      </c>
      <c r="AC130" s="44">
        <f t="shared" si="85"/>
        <v>0</v>
      </c>
      <c r="AD130" s="44">
        <f t="shared" si="86"/>
        <v>0</v>
      </c>
      <c r="AE130" s="44">
        <f t="shared" si="87"/>
        <v>0</v>
      </c>
      <c r="AF130" s="52" t="e">
        <f>HLOOKUP(I130,ElecAvoidedCostsWOCC!$A$5:$Q$50,G130+1,FALSE)</f>
        <v>#N/A</v>
      </c>
      <c r="AG130" s="44" t="e">
        <f t="shared" si="88"/>
        <v>#N/A</v>
      </c>
      <c r="AH130" s="52" t="e">
        <f>HLOOKUP(I130,ElecAvoidedCostsWOCC!$A$5:$Q$50,T130+1,FALSE)</f>
        <v>#N/A</v>
      </c>
      <c r="AI130" s="44" t="e">
        <f t="shared" si="89"/>
        <v>#N/A</v>
      </c>
      <c r="AJ130" s="44" t="e">
        <f t="shared" si="90"/>
        <v>#N/A</v>
      </c>
      <c r="AK130" s="44" t="e">
        <f>HLOOKUP(I130,ElecAvoidedCostsWOCC!$A$5:$Q$50,G130+1,FALSE)*J130*L130</f>
        <v>#N/A</v>
      </c>
      <c r="AL130" s="44" t="e">
        <f t="shared" si="91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92"/>
        <v>0</v>
      </c>
      <c r="AO130" s="47">
        <f t="shared" si="93"/>
        <v>0</v>
      </c>
      <c r="AP130" s="47" t="e">
        <f t="shared" si="94"/>
        <v>#DIV/0!</v>
      </c>
    </row>
    <row r="131" spans="2:42">
      <c r="B131" s="97" t="s">
        <v>15</v>
      </c>
      <c r="C131" s="100"/>
      <c r="D131" s="100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76"/>
        <v>0</v>
      </c>
      <c r="U131" s="47">
        <f t="shared" si="77"/>
        <v>0</v>
      </c>
      <c r="V131" s="48">
        <f t="shared" si="78"/>
        <v>0</v>
      </c>
      <c r="W131" s="49">
        <f t="shared" si="79"/>
        <v>0</v>
      </c>
      <c r="X131" s="44">
        <f t="shared" si="80"/>
        <v>0</v>
      </c>
      <c r="Y131" s="44">
        <f t="shared" si="81"/>
        <v>0</v>
      </c>
      <c r="Z131" s="44">
        <f t="shared" si="82"/>
        <v>0</v>
      </c>
      <c r="AA131" s="50">
        <f t="shared" si="83"/>
        <v>0</v>
      </c>
      <c r="AB131" s="51">
        <f t="shared" si="84"/>
        <v>0</v>
      </c>
      <c r="AC131" s="44">
        <f t="shared" si="85"/>
        <v>0</v>
      </c>
      <c r="AD131" s="44">
        <f t="shared" si="86"/>
        <v>0</v>
      </c>
      <c r="AE131" s="44">
        <f t="shared" si="87"/>
        <v>0</v>
      </c>
      <c r="AF131" s="52" t="e">
        <f>HLOOKUP(I131,ElecAvoidedCostsWOCC!$A$5:$Q$50,G131+1,FALSE)</f>
        <v>#N/A</v>
      </c>
      <c r="AG131" s="44" t="e">
        <f t="shared" si="88"/>
        <v>#N/A</v>
      </c>
      <c r="AH131" s="52" t="e">
        <f>HLOOKUP(I131,ElecAvoidedCostsWOCC!$A$5:$Q$50,T131+1,FALSE)</f>
        <v>#N/A</v>
      </c>
      <c r="AI131" s="44" t="e">
        <f t="shared" si="89"/>
        <v>#N/A</v>
      </c>
      <c r="AJ131" s="44" t="e">
        <f t="shared" si="90"/>
        <v>#N/A</v>
      </c>
      <c r="AK131" s="44" t="e">
        <f>HLOOKUP(I131,ElecAvoidedCostsWOCC!$A$5:$Q$50,G131+1,FALSE)*J131*L131</f>
        <v>#N/A</v>
      </c>
      <c r="AL131" s="44" t="e">
        <f t="shared" si="91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92"/>
        <v>0</v>
      </c>
      <c r="AO131" s="47">
        <f t="shared" si="93"/>
        <v>0</v>
      </c>
      <c r="AP131" s="47" t="e">
        <f t="shared" si="94"/>
        <v>#DIV/0!</v>
      </c>
    </row>
    <row r="132" spans="2:42">
      <c r="B132" s="97" t="s">
        <v>15</v>
      </c>
      <c r="C132" s="100"/>
      <c r="D132" s="100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76"/>
        <v>0</v>
      </c>
      <c r="U132" s="47">
        <f t="shared" si="77"/>
        <v>0</v>
      </c>
      <c r="V132" s="48">
        <f t="shared" si="78"/>
        <v>0</v>
      </c>
      <c r="W132" s="49">
        <f t="shared" si="79"/>
        <v>0</v>
      </c>
      <c r="X132" s="44">
        <f t="shared" si="80"/>
        <v>0</v>
      </c>
      <c r="Y132" s="44">
        <f t="shared" si="81"/>
        <v>0</v>
      </c>
      <c r="Z132" s="44">
        <f t="shared" si="82"/>
        <v>0</v>
      </c>
      <c r="AA132" s="50">
        <f t="shared" si="83"/>
        <v>0</v>
      </c>
      <c r="AB132" s="51">
        <f t="shared" si="84"/>
        <v>0</v>
      </c>
      <c r="AC132" s="44">
        <f t="shared" si="85"/>
        <v>0</v>
      </c>
      <c r="AD132" s="44">
        <f t="shared" si="86"/>
        <v>0</v>
      </c>
      <c r="AE132" s="44">
        <f t="shared" si="87"/>
        <v>0</v>
      </c>
      <c r="AF132" s="52" t="e">
        <f>HLOOKUP(I132,ElecAvoidedCostsWOCC!$A$5:$Q$50,G132+1,FALSE)</f>
        <v>#N/A</v>
      </c>
      <c r="AG132" s="44" t="e">
        <f t="shared" si="88"/>
        <v>#N/A</v>
      </c>
      <c r="AH132" s="52" t="e">
        <f>HLOOKUP(I132,ElecAvoidedCostsWOCC!$A$5:$Q$50,T132+1,FALSE)</f>
        <v>#N/A</v>
      </c>
      <c r="AI132" s="44" t="e">
        <f t="shared" si="89"/>
        <v>#N/A</v>
      </c>
      <c r="AJ132" s="44" t="e">
        <f t="shared" si="90"/>
        <v>#N/A</v>
      </c>
      <c r="AK132" s="44" t="e">
        <f>HLOOKUP(I132,ElecAvoidedCostsWOCC!$A$5:$Q$50,G132+1,FALSE)*J132*L132</f>
        <v>#N/A</v>
      </c>
      <c r="AL132" s="44" t="e">
        <f t="shared" si="91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92"/>
        <v>0</v>
      </c>
      <c r="AO132" s="47">
        <f t="shared" si="93"/>
        <v>0</v>
      </c>
      <c r="AP132" s="47" t="e">
        <f t="shared" si="94"/>
        <v>#DIV/0!</v>
      </c>
    </row>
    <row r="133" spans="2:42">
      <c r="B133" s="97" t="s">
        <v>15</v>
      </c>
      <c r="C133" s="100"/>
      <c r="D133" s="100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76"/>
        <v>0</v>
      </c>
      <c r="U133" s="47">
        <f t="shared" si="77"/>
        <v>0</v>
      </c>
      <c r="V133" s="48">
        <f t="shared" si="78"/>
        <v>0</v>
      </c>
      <c r="W133" s="49">
        <f t="shared" si="79"/>
        <v>0</v>
      </c>
      <c r="X133" s="44">
        <f t="shared" si="80"/>
        <v>0</v>
      </c>
      <c r="Y133" s="44">
        <f t="shared" si="81"/>
        <v>0</v>
      </c>
      <c r="Z133" s="44">
        <f t="shared" si="82"/>
        <v>0</v>
      </c>
      <c r="AA133" s="50">
        <f t="shared" si="83"/>
        <v>0</v>
      </c>
      <c r="AB133" s="51">
        <f t="shared" si="84"/>
        <v>0</v>
      </c>
      <c r="AC133" s="44">
        <f t="shared" si="85"/>
        <v>0</v>
      </c>
      <c r="AD133" s="44">
        <f t="shared" si="86"/>
        <v>0</v>
      </c>
      <c r="AE133" s="44">
        <f t="shared" si="87"/>
        <v>0</v>
      </c>
      <c r="AF133" s="52" t="e">
        <f>HLOOKUP(I133,ElecAvoidedCostsWOCC!$A$5:$Q$50,G133+1,FALSE)</f>
        <v>#N/A</v>
      </c>
      <c r="AG133" s="44" t="e">
        <f t="shared" si="88"/>
        <v>#N/A</v>
      </c>
      <c r="AH133" s="52" t="e">
        <f>HLOOKUP(I133,ElecAvoidedCostsWOCC!$A$5:$Q$50,T133+1,FALSE)</f>
        <v>#N/A</v>
      </c>
      <c r="AI133" s="44" t="e">
        <f t="shared" si="89"/>
        <v>#N/A</v>
      </c>
      <c r="AJ133" s="44" t="e">
        <f t="shared" si="90"/>
        <v>#N/A</v>
      </c>
      <c r="AK133" s="44" t="e">
        <f>HLOOKUP(I133,ElecAvoidedCostsWOCC!$A$5:$Q$50,G133+1,FALSE)*J133*L133</f>
        <v>#N/A</v>
      </c>
      <c r="AL133" s="44" t="e">
        <f t="shared" si="91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92"/>
        <v>0</v>
      </c>
      <c r="AO133" s="47">
        <f t="shared" si="93"/>
        <v>0</v>
      </c>
      <c r="AP133" s="47" t="e">
        <f t="shared" si="94"/>
        <v>#DIV/0!</v>
      </c>
    </row>
    <row r="134" spans="2:42">
      <c r="B134" s="97" t="s">
        <v>15</v>
      </c>
      <c r="C134" s="100"/>
      <c r="D134" s="100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76"/>
        <v>0</v>
      </c>
      <c r="U134" s="47">
        <f t="shared" si="77"/>
        <v>0</v>
      </c>
      <c r="V134" s="48">
        <f t="shared" si="78"/>
        <v>0</v>
      </c>
      <c r="W134" s="49">
        <f t="shared" si="79"/>
        <v>0</v>
      </c>
      <c r="X134" s="44">
        <f t="shared" si="80"/>
        <v>0</v>
      </c>
      <c r="Y134" s="44">
        <f t="shared" si="81"/>
        <v>0</v>
      </c>
      <c r="Z134" s="44">
        <f t="shared" si="82"/>
        <v>0</v>
      </c>
      <c r="AA134" s="50">
        <f t="shared" si="83"/>
        <v>0</v>
      </c>
      <c r="AB134" s="51">
        <f t="shared" si="84"/>
        <v>0</v>
      </c>
      <c r="AC134" s="44">
        <f t="shared" si="85"/>
        <v>0</v>
      </c>
      <c r="AD134" s="44">
        <f t="shared" si="86"/>
        <v>0</v>
      </c>
      <c r="AE134" s="44">
        <f t="shared" si="87"/>
        <v>0</v>
      </c>
      <c r="AF134" s="52" t="e">
        <f>HLOOKUP(I134,ElecAvoidedCostsWOCC!$A$5:$Q$50,G134+1,FALSE)</f>
        <v>#N/A</v>
      </c>
      <c r="AG134" s="44" t="e">
        <f t="shared" si="88"/>
        <v>#N/A</v>
      </c>
      <c r="AH134" s="52" t="e">
        <f>HLOOKUP(I134,ElecAvoidedCostsWOCC!$A$5:$Q$50,T134+1,FALSE)</f>
        <v>#N/A</v>
      </c>
      <c r="AI134" s="44" t="e">
        <f t="shared" si="89"/>
        <v>#N/A</v>
      </c>
      <c r="AJ134" s="44" t="e">
        <f t="shared" si="90"/>
        <v>#N/A</v>
      </c>
      <c r="AK134" s="44" t="e">
        <f>HLOOKUP(I134,ElecAvoidedCostsWOCC!$A$5:$Q$50,G134+1,FALSE)*J134*L134</f>
        <v>#N/A</v>
      </c>
      <c r="AL134" s="44" t="e">
        <f t="shared" si="91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92"/>
        <v>0</v>
      </c>
      <c r="AO134" s="47">
        <f t="shared" si="93"/>
        <v>0</v>
      </c>
      <c r="AP134" s="47" t="e">
        <f t="shared" si="94"/>
        <v>#DIV/0!</v>
      </c>
    </row>
    <row r="135" spans="2:42">
      <c r="B135" s="97" t="s">
        <v>15</v>
      </c>
      <c r="C135" s="100"/>
      <c r="D135" s="100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76"/>
        <v>0</v>
      </c>
      <c r="U135" s="47">
        <f t="shared" si="77"/>
        <v>0</v>
      </c>
      <c r="V135" s="48">
        <f t="shared" si="78"/>
        <v>0</v>
      </c>
      <c r="W135" s="49">
        <f t="shared" si="79"/>
        <v>0</v>
      </c>
      <c r="X135" s="44">
        <f t="shared" si="80"/>
        <v>0</v>
      </c>
      <c r="Y135" s="44">
        <f t="shared" si="81"/>
        <v>0</v>
      </c>
      <c r="Z135" s="44">
        <f t="shared" si="82"/>
        <v>0</v>
      </c>
      <c r="AA135" s="50">
        <f t="shared" si="83"/>
        <v>0</v>
      </c>
      <c r="AB135" s="51">
        <f t="shared" si="84"/>
        <v>0</v>
      </c>
      <c r="AC135" s="44">
        <f t="shared" si="85"/>
        <v>0</v>
      </c>
      <c r="AD135" s="44">
        <f t="shared" si="86"/>
        <v>0</v>
      </c>
      <c r="AE135" s="44">
        <f t="shared" si="87"/>
        <v>0</v>
      </c>
      <c r="AF135" s="52" t="e">
        <f>HLOOKUP(I135,ElecAvoidedCostsWOCC!$A$5:$Q$50,G135+1,FALSE)</f>
        <v>#N/A</v>
      </c>
      <c r="AG135" s="44" t="e">
        <f t="shared" si="88"/>
        <v>#N/A</v>
      </c>
      <c r="AH135" s="52" t="e">
        <f>HLOOKUP(I135,ElecAvoidedCostsWOCC!$A$5:$Q$50,T135+1,FALSE)</f>
        <v>#N/A</v>
      </c>
      <c r="AI135" s="44" t="e">
        <f t="shared" si="89"/>
        <v>#N/A</v>
      </c>
      <c r="AJ135" s="44" t="e">
        <f t="shared" si="90"/>
        <v>#N/A</v>
      </c>
      <c r="AK135" s="44" t="e">
        <f>HLOOKUP(I135,ElecAvoidedCostsWOCC!$A$5:$Q$50,G135+1,FALSE)*J135*L135</f>
        <v>#N/A</v>
      </c>
      <c r="AL135" s="44" t="e">
        <f t="shared" si="91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92"/>
        <v>0</v>
      </c>
      <c r="AO135" s="47">
        <f t="shared" si="93"/>
        <v>0</v>
      </c>
      <c r="AP135" s="47" t="e">
        <f t="shared" si="94"/>
        <v>#DIV/0!</v>
      </c>
    </row>
    <row r="136" spans="2:42">
      <c r="B136" s="97" t="s">
        <v>15</v>
      </c>
      <c r="C136" s="100"/>
      <c r="D136" s="100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76"/>
        <v>0</v>
      </c>
      <c r="U136" s="47">
        <f t="shared" si="77"/>
        <v>0</v>
      </c>
      <c r="V136" s="48">
        <f t="shared" si="78"/>
        <v>0</v>
      </c>
      <c r="W136" s="49">
        <f t="shared" si="79"/>
        <v>0</v>
      </c>
      <c r="X136" s="44">
        <f t="shared" si="80"/>
        <v>0</v>
      </c>
      <c r="Y136" s="44">
        <f t="shared" si="81"/>
        <v>0</v>
      </c>
      <c r="Z136" s="44">
        <f t="shared" si="82"/>
        <v>0</v>
      </c>
      <c r="AA136" s="50">
        <f t="shared" si="83"/>
        <v>0</v>
      </c>
      <c r="AB136" s="51">
        <f t="shared" si="84"/>
        <v>0</v>
      </c>
      <c r="AC136" s="44">
        <f t="shared" si="85"/>
        <v>0</v>
      </c>
      <c r="AD136" s="44">
        <f t="shared" si="86"/>
        <v>0</v>
      </c>
      <c r="AE136" s="44">
        <f t="shared" si="87"/>
        <v>0</v>
      </c>
      <c r="AF136" s="52" t="e">
        <f>HLOOKUP(I136,ElecAvoidedCostsWOCC!$A$5:$Q$50,G136+1,FALSE)</f>
        <v>#N/A</v>
      </c>
      <c r="AG136" s="44" t="e">
        <f t="shared" si="88"/>
        <v>#N/A</v>
      </c>
      <c r="AH136" s="52" t="e">
        <f>HLOOKUP(I136,ElecAvoidedCostsWOCC!$A$5:$Q$50,T136+1,FALSE)</f>
        <v>#N/A</v>
      </c>
      <c r="AI136" s="44" t="e">
        <f t="shared" si="89"/>
        <v>#N/A</v>
      </c>
      <c r="AJ136" s="44" t="e">
        <f t="shared" si="90"/>
        <v>#N/A</v>
      </c>
      <c r="AK136" s="44" t="e">
        <f>HLOOKUP(I136,ElecAvoidedCostsWOCC!$A$5:$Q$50,G136+1,FALSE)*J136*L136</f>
        <v>#N/A</v>
      </c>
      <c r="AL136" s="44" t="e">
        <f t="shared" si="91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92"/>
        <v>0</v>
      </c>
      <c r="AO136" s="47">
        <f t="shared" si="93"/>
        <v>0</v>
      </c>
      <c r="AP136" s="47" t="e">
        <f t="shared" si="94"/>
        <v>#DIV/0!</v>
      </c>
    </row>
    <row r="137" spans="2:42">
      <c r="B137" s="97" t="s">
        <v>15</v>
      </c>
      <c r="C137" s="100"/>
      <c r="D137" s="100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76"/>
        <v>0</v>
      </c>
      <c r="U137" s="47">
        <f t="shared" si="77"/>
        <v>0</v>
      </c>
      <c r="V137" s="48">
        <f t="shared" si="78"/>
        <v>0</v>
      </c>
      <c r="W137" s="49">
        <f t="shared" si="79"/>
        <v>0</v>
      </c>
      <c r="X137" s="44">
        <f t="shared" si="80"/>
        <v>0</v>
      </c>
      <c r="Y137" s="44">
        <f t="shared" si="81"/>
        <v>0</v>
      </c>
      <c r="Z137" s="44">
        <f t="shared" si="82"/>
        <v>0</v>
      </c>
      <c r="AA137" s="50">
        <f t="shared" si="83"/>
        <v>0</v>
      </c>
      <c r="AB137" s="51">
        <f t="shared" si="84"/>
        <v>0</v>
      </c>
      <c r="AC137" s="44">
        <f t="shared" si="85"/>
        <v>0</v>
      </c>
      <c r="AD137" s="44">
        <f t="shared" si="86"/>
        <v>0</v>
      </c>
      <c r="AE137" s="44">
        <f t="shared" si="87"/>
        <v>0</v>
      </c>
      <c r="AF137" s="52" t="e">
        <f>HLOOKUP(I137,ElecAvoidedCostsWOCC!$A$5:$Q$50,G137+1,FALSE)</f>
        <v>#N/A</v>
      </c>
      <c r="AG137" s="44" t="e">
        <f t="shared" si="88"/>
        <v>#N/A</v>
      </c>
      <c r="AH137" s="52" t="e">
        <f>HLOOKUP(I137,ElecAvoidedCostsWOCC!$A$5:$Q$50,T137+1,FALSE)</f>
        <v>#N/A</v>
      </c>
      <c r="AI137" s="44" t="e">
        <f t="shared" si="89"/>
        <v>#N/A</v>
      </c>
      <c r="AJ137" s="44" t="e">
        <f t="shared" si="90"/>
        <v>#N/A</v>
      </c>
      <c r="AK137" s="44" t="e">
        <f>HLOOKUP(I137,ElecAvoidedCostsWOCC!$A$5:$Q$50,G137+1,FALSE)*J137*L137</f>
        <v>#N/A</v>
      </c>
      <c r="AL137" s="44" t="e">
        <f t="shared" si="91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92"/>
        <v>0</v>
      </c>
      <c r="AO137" s="47">
        <f t="shared" si="93"/>
        <v>0</v>
      </c>
      <c r="AP137" s="47" t="e">
        <f t="shared" si="94"/>
        <v>#DIV/0!</v>
      </c>
    </row>
    <row r="138" spans="2:42">
      <c r="B138" s="97" t="s">
        <v>15</v>
      </c>
      <c r="C138" s="100"/>
      <c r="D138" s="100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76"/>
        <v>0</v>
      </c>
      <c r="U138" s="47">
        <f t="shared" si="77"/>
        <v>0</v>
      </c>
      <c r="V138" s="48">
        <f t="shared" si="78"/>
        <v>0</v>
      </c>
      <c r="W138" s="49">
        <f t="shared" si="79"/>
        <v>0</v>
      </c>
      <c r="X138" s="44">
        <f t="shared" si="80"/>
        <v>0</v>
      </c>
      <c r="Y138" s="44">
        <f t="shared" si="81"/>
        <v>0</v>
      </c>
      <c r="Z138" s="44">
        <f t="shared" si="82"/>
        <v>0</v>
      </c>
      <c r="AA138" s="50">
        <f t="shared" si="83"/>
        <v>0</v>
      </c>
      <c r="AB138" s="51">
        <f t="shared" si="84"/>
        <v>0</v>
      </c>
      <c r="AC138" s="44">
        <f t="shared" si="85"/>
        <v>0</v>
      </c>
      <c r="AD138" s="44">
        <f t="shared" si="86"/>
        <v>0</v>
      </c>
      <c r="AE138" s="44">
        <f t="shared" si="87"/>
        <v>0</v>
      </c>
      <c r="AF138" s="52" t="e">
        <f>HLOOKUP(I138,ElecAvoidedCostsWOCC!$A$5:$Q$50,G138+1,FALSE)</f>
        <v>#N/A</v>
      </c>
      <c r="AG138" s="44" t="e">
        <f t="shared" si="88"/>
        <v>#N/A</v>
      </c>
      <c r="AH138" s="52" t="e">
        <f>HLOOKUP(I138,ElecAvoidedCostsWOCC!$A$5:$Q$50,T138+1,FALSE)</f>
        <v>#N/A</v>
      </c>
      <c r="AI138" s="44" t="e">
        <f t="shared" si="89"/>
        <v>#N/A</v>
      </c>
      <c r="AJ138" s="44" t="e">
        <f t="shared" si="90"/>
        <v>#N/A</v>
      </c>
      <c r="AK138" s="44" t="e">
        <f>HLOOKUP(I138,ElecAvoidedCostsWOCC!$A$5:$Q$50,G138+1,FALSE)*J138*L138</f>
        <v>#N/A</v>
      </c>
      <c r="AL138" s="44" t="e">
        <f t="shared" si="91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92"/>
        <v>0</v>
      </c>
      <c r="AO138" s="47">
        <f t="shared" si="93"/>
        <v>0</v>
      </c>
      <c r="AP138" s="47" t="e">
        <f t="shared" si="94"/>
        <v>#DIV/0!</v>
      </c>
    </row>
    <row r="139" spans="2:42">
      <c r="B139" s="97" t="s">
        <v>15</v>
      </c>
      <c r="C139" s="100"/>
      <c r="D139" s="100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76"/>
        <v>0</v>
      </c>
      <c r="U139" s="47">
        <f t="shared" si="77"/>
        <v>0</v>
      </c>
      <c r="V139" s="48">
        <f t="shared" si="78"/>
        <v>0</v>
      </c>
      <c r="W139" s="49">
        <f t="shared" si="79"/>
        <v>0</v>
      </c>
      <c r="X139" s="44">
        <f t="shared" si="80"/>
        <v>0</v>
      </c>
      <c r="Y139" s="44">
        <f t="shared" si="81"/>
        <v>0</v>
      </c>
      <c r="Z139" s="44">
        <f t="shared" si="82"/>
        <v>0</v>
      </c>
      <c r="AA139" s="50">
        <f t="shared" si="83"/>
        <v>0</v>
      </c>
      <c r="AB139" s="51">
        <f t="shared" si="84"/>
        <v>0</v>
      </c>
      <c r="AC139" s="44">
        <f t="shared" si="85"/>
        <v>0</v>
      </c>
      <c r="AD139" s="44">
        <f t="shared" si="86"/>
        <v>0</v>
      </c>
      <c r="AE139" s="44">
        <f t="shared" si="87"/>
        <v>0</v>
      </c>
      <c r="AF139" s="52" t="e">
        <f>HLOOKUP(I139,ElecAvoidedCostsWOCC!$A$5:$Q$50,G139+1,FALSE)</f>
        <v>#N/A</v>
      </c>
      <c r="AG139" s="44" t="e">
        <f t="shared" si="88"/>
        <v>#N/A</v>
      </c>
      <c r="AH139" s="52" t="e">
        <f>HLOOKUP(I139,ElecAvoidedCostsWOCC!$A$5:$Q$50,T139+1,FALSE)</f>
        <v>#N/A</v>
      </c>
      <c r="AI139" s="44" t="e">
        <f t="shared" si="89"/>
        <v>#N/A</v>
      </c>
      <c r="AJ139" s="44" t="e">
        <f t="shared" si="90"/>
        <v>#N/A</v>
      </c>
      <c r="AK139" s="44" t="e">
        <f>HLOOKUP(I139,ElecAvoidedCostsWOCC!$A$5:$Q$50,G139+1,FALSE)*J139*L139</f>
        <v>#N/A</v>
      </c>
      <c r="AL139" s="44" t="e">
        <f t="shared" si="91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92"/>
        <v>0</v>
      </c>
      <c r="AO139" s="47">
        <f t="shared" si="93"/>
        <v>0</v>
      </c>
      <c r="AP139" s="47" t="e">
        <f t="shared" si="94"/>
        <v>#DIV/0!</v>
      </c>
    </row>
    <row r="140" spans="2:42">
      <c r="B140" s="97" t="s">
        <v>15</v>
      </c>
      <c r="C140" s="100"/>
      <c r="D140" s="100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76"/>
        <v>0</v>
      </c>
      <c r="U140" s="47">
        <f t="shared" si="77"/>
        <v>0</v>
      </c>
      <c r="V140" s="48">
        <f t="shared" si="78"/>
        <v>0</v>
      </c>
      <c r="W140" s="49">
        <f t="shared" si="79"/>
        <v>0</v>
      </c>
      <c r="X140" s="44">
        <f t="shared" si="80"/>
        <v>0</v>
      </c>
      <c r="Y140" s="44">
        <f t="shared" si="81"/>
        <v>0</v>
      </c>
      <c r="Z140" s="44">
        <f t="shared" si="82"/>
        <v>0</v>
      </c>
      <c r="AA140" s="50">
        <f t="shared" si="83"/>
        <v>0</v>
      </c>
      <c r="AB140" s="51">
        <f t="shared" si="84"/>
        <v>0</v>
      </c>
      <c r="AC140" s="44">
        <f t="shared" si="85"/>
        <v>0</v>
      </c>
      <c r="AD140" s="44">
        <f t="shared" si="86"/>
        <v>0</v>
      </c>
      <c r="AE140" s="44">
        <f t="shared" si="87"/>
        <v>0</v>
      </c>
      <c r="AF140" s="52" t="e">
        <f>HLOOKUP(I140,ElecAvoidedCostsWOCC!$A$5:$Q$50,G140+1,FALSE)</f>
        <v>#N/A</v>
      </c>
      <c r="AG140" s="44" t="e">
        <f t="shared" si="88"/>
        <v>#N/A</v>
      </c>
      <c r="AH140" s="52" t="e">
        <f>HLOOKUP(I140,ElecAvoidedCostsWOCC!$A$5:$Q$50,T140+1,FALSE)</f>
        <v>#N/A</v>
      </c>
      <c r="AI140" s="44" t="e">
        <f t="shared" si="89"/>
        <v>#N/A</v>
      </c>
      <c r="AJ140" s="44" t="e">
        <f t="shared" si="90"/>
        <v>#N/A</v>
      </c>
      <c r="AK140" s="44" t="e">
        <f>HLOOKUP(I140,ElecAvoidedCostsWOCC!$A$5:$Q$50,G140+1,FALSE)*J140*L140</f>
        <v>#N/A</v>
      </c>
      <c r="AL140" s="44" t="e">
        <f t="shared" si="91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92"/>
        <v>0</v>
      </c>
      <c r="AO140" s="47">
        <f t="shared" si="93"/>
        <v>0</v>
      </c>
      <c r="AP140" s="47" t="e">
        <f t="shared" si="94"/>
        <v>#DIV/0!</v>
      </c>
    </row>
    <row r="141" spans="2:42">
      <c r="B141" s="97" t="s">
        <v>15</v>
      </c>
      <c r="C141" s="100"/>
      <c r="D141" s="100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76"/>
        <v>0</v>
      </c>
      <c r="U141" s="47">
        <f t="shared" si="77"/>
        <v>0</v>
      </c>
      <c r="V141" s="48">
        <f t="shared" si="78"/>
        <v>0</v>
      </c>
      <c r="W141" s="49">
        <f t="shared" si="79"/>
        <v>0</v>
      </c>
      <c r="X141" s="44">
        <f t="shared" si="80"/>
        <v>0</v>
      </c>
      <c r="Y141" s="44">
        <f t="shared" si="81"/>
        <v>0</v>
      </c>
      <c r="Z141" s="44">
        <f t="shared" si="82"/>
        <v>0</v>
      </c>
      <c r="AA141" s="50">
        <f t="shared" si="83"/>
        <v>0</v>
      </c>
      <c r="AB141" s="51">
        <f t="shared" si="84"/>
        <v>0</v>
      </c>
      <c r="AC141" s="44">
        <f t="shared" si="85"/>
        <v>0</v>
      </c>
      <c r="AD141" s="44">
        <f t="shared" si="86"/>
        <v>0</v>
      </c>
      <c r="AE141" s="44">
        <f t="shared" si="87"/>
        <v>0</v>
      </c>
      <c r="AF141" s="52" t="e">
        <f>HLOOKUP(I141,ElecAvoidedCostsWOCC!$A$5:$Q$50,G141+1,FALSE)</f>
        <v>#N/A</v>
      </c>
      <c r="AG141" s="44" t="e">
        <f t="shared" si="88"/>
        <v>#N/A</v>
      </c>
      <c r="AH141" s="52" t="e">
        <f>HLOOKUP(I141,ElecAvoidedCostsWOCC!$A$5:$Q$50,T141+1,FALSE)</f>
        <v>#N/A</v>
      </c>
      <c r="AI141" s="44" t="e">
        <f t="shared" si="89"/>
        <v>#N/A</v>
      </c>
      <c r="AJ141" s="44" t="e">
        <f t="shared" si="90"/>
        <v>#N/A</v>
      </c>
      <c r="AK141" s="44" t="e">
        <f>HLOOKUP(I141,ElecAvoidedCostsWOCC!$A$5:$Q$50,G141+1,FALSE)*J141*L141</f>
        <v>#N/A</v>
      </c>
      <c r="AL141" s="44" t="e">
        <f t="shared" si="91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92"/>
        <v>0</v>
      </c>
      <c r="AO141" s="47">
        <f t="shared" si="93"/>
        <v>0</v>
      </c>
      <c r="AP141" s="47" t="e">
        <f t="shared" si="94"/>
        <v>#DIV/0!</v>
      </c>
    </row>
    <row r="142" spans="2:42">
      <c r="B142" s="97" t="s">
        <v>15</v>
      </c>
      <c r="C142" s="100"/>
      <c r="D142" s="100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76"/>
        <v>0</v>
      </c>
      <c r="U142" s="47">
        <f t="shared" si="77"/>
        <v>0</v>
      </c>
      <c r="V142" s="48">
        <f t="shared" si="78"/>
        <v>0</v>
      </c>
      <c r="W142" s="49">
        <f t="shared" si="79"/>
        <v>0</v>
      </c>
      <c r="X142" s="44">
        <f t="shared" si="80"/>
        <v>0</v>
      </c>
      <c r="Y142" s="44">
        <f t="shared" si="81"/>
        <v>0</v>
      </c>
      <c r="Z142" s="44">
        <f t="shared" si="82"/>
        <v>0</v>
      </c>
      <c r="AA142" s="50">
        <f t="shared" si="83"/>
        <v>0</v>
      </c>
      <c r="AB142" s="51">
        <f t="shared" si="84"/>
        <v>0</v>
      </c>
      <c r="AC142" s="44">
        <f t="shared" si="85"/>
        <v>0</v>
      </c>
      <c r="AD142" s="44">
        <f t="shared" si="86"/>
        <v>0</v>
      </c>
      <c r="AE142" s="44">
        <f t="shared" si="87"/>
        <v>0</v>
      </c>
      <c r="AF142" s="52" t="e">
        <f>HLOOKUP(I142,ElecAvoidedCostsWOCC!$A$5:$Q$50,G142+1,FALSE)</f>
        <v>#N/A</v>
      </c>
      <c r="AG142" s="44" t="e">
        <f t="shared" si="88"/>
        <v>#N/A</v>
      </c>
      <c r="AH142" s="52" t="e">
        <f>HLOOKUP(I142,ElecAvoidedCostsWOCC!$A$5:$Q$50,T142+1,FALSE)</f>
        <v>#N/A</v>
      </c>
      <c r="AI142" s="44" t="e">
        <f t="shared" si="89"/>
        <v>#N/A</v>
      </c>
      <c r="AJ142" s="44" t="e">
        <f t="shared" si="90"/>
        <v>#N/A</v>
      </c>
      <c r="AK142" s="44" t="e">
        <f>HLOOKUP(I142,ElecAvoidedCostsWOCC!$A$5:$Q$50,G142+1,FALSE)*J142*L142</f>
        <v>#N/A</v>
      </c>
      <c r="AL142" s="44" t="e">
        <f t="shared" si="91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92"/>
        <v>0</v>
      </c>
      <c r="AO142" s="47">
        <f t="shared" si="93"/>
        <v>0</v>
      </c>
      <c r="AP142" s="47" t="e">
        <f t="shared" si="94"/>
        <v>#DIV/0!</v>
      </c>
    </row>
    <row r="143" spans="2:42">
      <c r="B143" s="97" t="s">
        <v>15</v>
      </c>
      <c r="C143" s="100"/>
      <c r="D143" s="100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76"/>
        <v>0</v>
      </c>
      <c r="U143" s="47">
        <f t="shared" si="77"/>
        <v>0</v>
      </c>
      <c r="V143" s="48">
        <f t="shared" si="78"/>
        <v>0</v>
      </c>
      <c r="W143" s="49">
        <f t="shared" si="79"/>
        <v>0</v>
      </c>
      <c r="X143" s="44">
        <f t="shared" si="80"/>
        <v>0</v>
      </c>
      <c r="Y143" s="44">
        <f t="shared" si="81"/>
        <v>0</v>
      </c>
      <c r="Z143" s="44">
        <f t="shared" si="82"/>
        <v>0</v>
      </c>
      <c r="AA143" s="50">
        <f t="shared" si="83"/>
        <v>0</v>
      </c>
      <c r="AB143" s="51">
        <f t="shared" si="84"/>
        <v>0</v>
      </c>
      <c r="AC143" s="44">
        <f t="shared" si="85"/>
        <v>0</v>
      </c>
      <c r="AD143" s="44">
        <f t="shared" si="86"/>
        <v>0</v>
      </c>
      <c r="AE143" s="44">
        <f t="shared" si="87"/>
        <v>0</v>
      </c>
      <c r="AF143" s="52" t="e">
        <f>HLOOKUP(I143,ElecAvoidedCostsWOCC!$A$5:$Q$50,G143+1,FALSE)</f>
        <v>#N/A</v>
      </c>
      <c r="AG143" s="44" t="e">
        <f t="shared" si="88"/>
        <v>#N/A</v>
      </c>
      <c r="AH143" s="52" t="e">
        <f>HLOOKUP(I143,ElecAvoidedCostsWOCC!$A$5:$Q$50,T143+1,FALSE)</f>
        <v>#N/A</v>
      </c>
      <c r="AI143" s="44" t="e">
        <f t="shared" si="89"/>
        <v>#N/A</v>
      </c>
      <c r="AJ143" s="44" t="e">
        <f t="shared" si="90"/>
        <v>#N/A</v>
      </c>
      <c r="AK143" s="44" t="e">
        <f>HLOOKUP(I143,ElecAvoidedCostsWOCC!$A$5:$Q$50,G143+1,FALSE)*J143*L143</f>
        <v>#N/A</v>
      </c>
      <c r="AL143" s="44" t="e">
        <f t="shared" si="91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92"/>
        <v>0</v>
      </c>
      <c r="AO143" s="47">
        <f t="shared" si="93"/>
        <v>0</v>
      </c>
      <c r="AP143" s="47" t="e">
        <f t="shared" si="94"/>
        <v>#DIV/0!</v>
      </c>
    </row>
    <row r="144" spans="2:42">
      <c r="B144" s="97" t="s">
        <v>15</v>
      </c>
      <c r="C144" s="100"/>
      <c r="D144" s="100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76"/>
        <v>0</v>
      </c>
      <c r="U144" s="47">
        <f t="shared" si="77"/>
        <v>0</v>
      </c>
      <c r="V144" s="48">
        <f t="shared" si="78"/>
        <v>0</v>
      </c>
      <c r="W144" s="49">
        <f t="shared" si="79"/>
        <v>0</v>
      </c>
      <c r="X144" s="44">
        <f t="shared" si="80"/>
        <v>0</v>
      </c>
      <c r="Y144" s="44">
        <f t="shared" si="81"/>
        <v>0</v>
      </c>
      <c r="Z144" s="44">
        <f t="shared" si="82"/>
        <v>0</v>
      </c>
      <c r="AA144" s="50">
        <f t="shared" si="83"/>
        <v>0</v>
      </c>
      <c r="AB144" s="51">
        <f t="shared" si="84"/>
        <v>0</v>
      </c>
      <c r="AC144" s="44">
        <f t="shared" si="85"/>
        <v>0</v>
      </c>
      <c r="AD144" s="44">
        <f t="shared" si="86"/>
        <v>0</v>
      </c>
      <c r="AE144" s="44">
        <f t="shared" si="87"/>
        <v>0</v>
      </c>
      <c r="AF144" s="52" t="e">
        <f>HLOOKUP(I144,ElecAvoidedCostsWOCC!$A$5:$Q$50,G144+1,FALSE)</f>
        <v>#N/A</v>
      </c>
      <c r="AG144" s="44" t="e">
        <f t="shared" si="88"/>
        <v>#N/A</v>
      </c>
      <c r="AH144" s="52" t="e">
        <f>HLOOKUP(I144,ElecAvoidedCostsWOCC!$A$5:$Q$50,T144+1,FALSE)</f>
        <v>#N/A</v>
      </c>
      <c r="AI144" s="44" t="e">
        <f t="shared" si="89"/>
        <v>#N/A</v>
      </c>
      <c r="AJ144" s="44" t="e">
        <f t="shared" si="90"/>
        <v>#N/A</v>
      </c>
      <c r="AK144" s="44" t="e">
        <f>HLOOKUP(I144,ElecAvoidedCostsWOCC!$A$5:$Q$50,G144+1,FALSE)*J144*L144</f>
        <v>#N/A</v>
      </c>
      <c r="AL144" s="44" t="e">
        <f t="shared" si="91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92"/>
        <v>0</v>
      </c>
      <c r="AO144" s="47">
        <f t="shared" si="93"/>
        <v>0</v>
      </c>
      <c r="AP144" s="47" t="e">
        <f t="shared" si="94"/>
        <v>#DIV/0!</v>
      </c>
    </row>
    <row r="145" spans="2:42">
      <c r="B145" s="97" t="s">
        <v>15</v>
      </c>
      <c r="C145" s="100"/>
      <c r="D145" s="100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76"/>
        <v>0</v>
      </c>
      <c r="U145" s="47">
        <f t="shared" si="77"/>
        <v>0</v>
      </c>
      <c r="V145" s="48">
        <f t="shared" si="78"/>
        <v>0</v>
      </c>
      <c r="W145" s="49">
        <f t="shared" si="79"/>
        <v>0</v>
      </c>
      <c r="X145" s="44">
        <f t="shared" si="80"/>
        <v>0</v>
      </c>
      <c r="Y145" s="44">
        <f t="shared" si="81"/>
        <v>0</v>
      </c>
      <c r="Z145" s="44">
        <f t="shared" si="82"/>
        <v>0</v>
      </c>
      <c r="AA145" s="50">
        <f t="shared" si="83"/>
        <v>0</v>
      </c>
      <c r="AB145" s="51">
        <f t="shared" si="84"/>
        <v>0</v>
      </c>
      <c r="AC145" s="44">
        <f t="shared" si="85"/>
        <v>0</v>
      </c>
      <c r="AD145" s="44">
        <f t="shared" si="86"/>
        <v>0</v>
      </c>
      <c r="AE145" s="44">
        <f t="shared" si="87"/>
        <v>0</v>
      </c>
      <c r="AF145" s="52" t="e">
        <f>HLOOKUP(I145,ElecAvoidedCostsWOCC!$A$5:$Q$50,G145+1,FALSE)</f>
        <v>#N/A</v>
      </c>
      <c r="AG145" s="44" t="e">
        <f t="shared" si="88"/>
        <v>#N/A</v>
      </c>
      <c r="AH145" s="52" t="e">
        <f>HLOOKUP(I145,ElecAvoidedCostsWOCC!$A$5:$Q$50,T145+1,FALSE)</f>
        <v>#N/A</v>
      </c>
      <c r="AI145" s="44" t="e">
        <f t="shared" si="89"/>
        <v>#N/A</v>
      </c>
      <c r="AJ145" s="44" t="e">
        <f t="shared" si="90"/>
        <v>#N/A</v>
      </c>
      <c r="AK145" s="44" t="e">
        <f>HLOOKUP(I145,ElecAvoidedCostsWOCC!$A$5:$Q$50,G145+1,FALSE)*J145*L145</f>
        <v>#N/A</v>
      </c>
      <c r="AL145" s="44" t="e">
        <f t="shared" si="91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92"/>
        <v>0</v>
      </c>
      <c r="AO145" s="47">
        <f t="shared" si="93"/>
        <v>0</v>
      </c>
      <c r="AP145" s="47" t="e">
        <f t="shared" si="94"/>
        <v>#DIV/0!</v>
      </c>
    </row>
    <row r="146" spans="2:42">
      <c r="B146" s="97" t="s">
        <v>15</v>
      </c>
      <c r="C146" s="100"/>
      <c r="D146" s="100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76"/>
        <v>0</v>
      </c>
      <c r="U146" s="47">
        <f t="shared" si="77"/>
        <v>0</v>
      </c>
      <c r="V146" s="48">
        <f t="shared" si="78"/>
        <v>0</v>
      </c>
      <c r="W146" s="49">
        <f t="shared" si="79"/>
        <v>0</v>
      </c>
      <c r="X146" s="44">
        <f t="shared" si="80"/>
        <v>0</v>
      </c>
      <c r="Y146" s="44">
        <f t="shared" si="81"/>
        <v>0</v>
      </c>
      <c r="Z146" s="44">
        <f t="shared" si="82"/>
        <v>0</v>
      </c>
      <c r="AA146" s="50">
        <f t="shared" si="83"/>
        <v>0</v>
      </c>
      <c r="AB146" s="51">
        <f t="shared" si="84"/>
        <v>0</v>
      </c>
      <c r="AC146" s="44">
        <f t="shared" si="85"/>
        <v>0</v>
      </c>
      <c r="AD146" s="44">
        <f t="shared" si="86"/>
        <v>0</v>
      </c>
      <c r="AE146" s="44">
        <f t="shared" si="87"/>
        <v>0</v>
      </c>
      <c r="AF146" s="52" t="e">
        <f>HLOOKUP(I146,ElecAvoidedCostsWOCC!$A$5:$Q$50,G146+1,FALSE)</f>
        <v>#N/A</v>
      </c>
      <c r="AG146" s="44" t="e">
        <f t="shared" si="88"/>
        <v>#N/A</v>
      </c>
      <c r="AH146" s="52" t="e">
        <f>HLOOKUP(I146,ElecAvoidedCostsWOCC!$A$5:$Q$50,T146+1,FALSE)</f>
        <v>#N/A</v>
      </c>
      <c r="AI146" s="44" t="e">
        <f t="shared" si="89"/>
        <v>#N/A</v>
      </c>
      <c r="AJ146" s="44" t="e">
        <f t="shared" si="90"/>
        <v>#N/A</v>
      </c>
      <c r="AK146" s="44" t="e">
        <f>HLOOKUP(I146,ElecAvoidedCostsWOCC!$A$5:$Q$50,G146+1,FALSE)*J146*L146</f>
        <v>#N/A</v>
      </c>
      <c r="AL146" s="44" t="e">
        <f t="shared" si="91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92"/>
        <v>0</v>
      </c>
      <c r="AO146" s="47">
        <f t="shared" si="93"/>
        <v>0</v>
      </c>
      <c r="AP146" s="47" t="e">
        <f t="shared" si="94"/>
        <v>#DIV/0!</v>
      </c>
    </row>
    <row r="147" spans="2:42">
      <c r="B147" s="97" t="s">
        <v>15</v>
      </c>
      <c r="C147" s="100"/>
      <c r="D147" s="100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76"/>
        <v>0</v>
      </c>
      <c r="U147" s="47">
        <f t="shared" si="77"/>
        <v>0</v>
      </c>
      <c r="V147" s="48">
        <f t="shared" si="78"/>
        <v>0</v>
      </c>
      <c r="W147" s="49">
        <f t="shared" si="79"/>
        <v>0</v>
      </c>
      <c r="X147" s="44">
        <f t="shared" si="80"/>
        <v>0</v>
      </c>
      <c r="Y147" s="44">
        <f t="shared" si="81"/>
        <v>0</v>
      </c>
      <c r="Z147" s="44">
        <f t="shared" si="82"/>
        <v>0</v>
      </c>
      <c r="AA147" s="50">
        <f t="shared" si="83"/>
        <v>0</v>
      </c>
      <c r="AB147" s="51">
        <f t="shared" si="84"/>
        <v>0</v>
      </c>
      <c r="AC147" s="44">
        <f t="shared" si="85"/>
        <v>0</v>
      </c>
      <c r="AD147" s="44">
        <f t="shared" si="86"/>
        <v>0</v>
      </c>
      <c r="AE147" s="44">
        <f t="shared" si="87"/>
        <v>0</v>
      </c>
      <c r="AF147" s="52" t="e">
        <f>HLOOKUP(I147,ElecAvoidedCostsWOCC!$A$5:$Q$50,G147+1,FALSE)</f>
        <v>#N/A</v>
      </c>
      <c r="AG147" s="44" t="e">
        <f t="shared" si="88"/>
        <v>#N/A</v>
      </c>
      <c r="AH147" s="52" t="e">
        <f>HLOOKUP(I147,ElecAvoidedCostsWOCC!$A$5:$Q$50,T147+1,FALSE)</f>
        <v>#N/A</v>
      </c>
      <c r="AI147" s="44" t="e">
        <f t="shared" si="89"/>
        <v>#N/A</v>
      </c>
      <c r="AJ147" s="44" t="e">
        <f t="shared" si="90"/>
        <v>#N/A</v>
      </c>
      <c r="AK147" s="44" t="e">
        <f>HLOOKUP(I147,ElecAvoidedCostsWOCC!$A$5:$Q$50,G147+1,FALSE)*J147*L147</f>
        <v>#N/A</v>
      </c>
      <c r="AL147" s="44" t="e">
        <f t="shared" si="91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92"/>
        <v>0</v>
      </c>
      <c r="AO147" s="47">
        <f t="shared" si="93"/>
        <v>0</v>
      </c>
      <c r="AP147" s="47" t="e">
        <f t="shared" si="94"/>
        <v>#DIV/0!</v>
      </c>
    </row>
    <row r="148" spans="2:42">
      <c r="B148" s="97" t="s">
        <v>15</v>
      </c>
      <c r="C148" s="100"/>
      <c r="D148" s="100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76"/>
        <v>0</v>
      </c>
      <c r="U148" s="47">
        <f t="shared" si="77"/>
        <v>0</v>
      </c>
      <c r="V148" s="48">
        <f t="shared" si="78"/>
        <v>0</v>
      </c>
      <c r="W148" s="49">
        <f t="shared" si="79"/>
        <v>0</v>
      </c>
      <c r="X148" s="44">
        <f t="shared" si="80"/>
        <v>0</v>
      </c>
      <c r="Y148" s="44">
        <f t="shared" si="81"/>
        <v>0</v>
      </c>
      <c r="Z148" s="44">
        <f t="shared" si="82"/>
        <v>0</v>
      </c>
      <c r="AA148" s="50">
        <f t="shared" si="83"/>
        <v>0</v>
      </c>
      <c r="AB148" s="51">
        <f t="shared" si="84"/>
        <v>0</v>
      </c>
      <c r="AC148" s="44">
        <f t="shared" si="85"/>
        <v>0</v>
      </c>
      <c r="AD148" s="44">
        <f t="shared" si="86"/>
        <v>0</v>
      </c>
      <c r="AE148" s="44">
        <f t="shared" si="87"/>
        <v>0</v>
      </c>
      <c r="AF148" s="52" t="e">
        <f>HLOOKUP(I148,ElecAvoidedCostsWOCC!$A$5:$Q$50,G148+1,FALSE)</f>
        <v>#N/A</v>
      </c>
      <c r="AG148" s="44" t="e">
        <f t="shared" si="88"/>
        <v>#N/A</v>
      </c>
      <c r="AH148" s="52" t="e">
        <f>HLOOKUP(I148,ElecAvoidedCostsWOCC!$A$5:$Q$50,T148+1,FALSE)</f>
        <v>#N/A</v>
      </c>
      <c r="AI148" s="44" t="e">
        <f t="shared" si="89"/>
        <v>#N/A</v>
      </c>
      <c r="AJ148" s="44" t="e">
        <f t="shared" si="90"/>
        <v>#N/A</v>
      </c>
      <c r="AK148" s="44" t="e">
        <f>HLOOKUP(I148,ElecAvoidedCostsWOCC!$A$5:$Q$50,G148+1,FALSE)*J148*L148</f>
        <v>#N/A</v>
      </c>
      <c r="AL148" s="44" t="e">
        <f t="shared" si="91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92"/>
        <v>0</v>
      </c>
      <c r="AO148" s="47">
        <f t="shared" si="93"/>
        <v>0</v>
      </c>
      <c r="AP148" s="47" t="e">
        <f t="shared" si="94"/>
        <v>#DIV/0!</v>
      </c>
    </row>
    <row r="149" spans="2:42">
      <c r="B149" s="97" t="s">
        <v>15</v>
      </c>
      <c r="C149" s="100"/>
      <c r="D149" s="100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76"/>
        <v>0</v>
      </c>
      <c r="U149" s="47">
        <f t="shared" si="77"/>
        <v>0</v>
      </c>
      <c r="V149" s="48">
        <f t="shared" si="78"/>
        <v>0</v>
      </c>
      <c r="W149" s="49">
        <f t="shared" si="79"/>
        <v>0</v>
      </c>
      <c r="X149" s="44">
        <f t="shared" si="80"/>
        <v>0</v>
      </c>
      <c r="Y149" s="44">
        <f t="shared" si="81"/>
        <v>0</v>
      </c>
      <c r="Z149" s="44">
        <f t="shared" si="82"/>
        <v>0</v>
      </c>
      <c r="AA149" s="50">
        <f t="shared" si="83"/>
        <v>0</v>
      </c>
      <c r="AB149" s="51">
        <f t="shared" si="84"/>
        <v>0</v>
      </c>
      <c r="AC149" s="44">
        <f t="shared" si="85"/>
        <v>0</v>
      </c>
      <c r="AD149" s="44">
        <f t="shared" si="86"/>
        <v>0</v>
      </c>
      <c r="AE149" s="44">
        <f t="shared" si="87"/>
        <v>0</v>
      </c>
      <c r="AF149" s="52" t="e">
        <f>HLOOKUP(I149,ElecAvoidedCostsWOCC!$A$5:$Q$50,G149+1,FALSE)</f>
        <v>#N/A</v>
      </c>
      <c r="AG149" s="44" t="e">
        <f t="shared" si="88"/>
        <v>#N/A</v>
      </c>
      <c r="AH149" s="52" t="e">
        <f>HLOOKUP(I149,ElecAvoidedCostsWOCC!$A$5:$Q$50,T149+1,FALSE)</f>
        <v>#N/A</v>
      </c>
      <c r="AI149" s="44" t="e">
        <f t="shared" si="89"/>
        <v>#N/A</v>
      </c>
      <c r="AJ149" s="44" t="e">
        <f t="shared" si="90"/>
        <v>#N/A</v>
      </c>
      <c r="AK149" s="44" t="e">
        <f>HLOOKUP(I149,ElecAvoidedCostsWOCC!$A$5:$Q$50,G149+1,FALSE)*J149*L149</f>
        <v>#N/A</v>
      </c>
      <c r="AL149" s="44" t="e">
        <f t="shared" si="91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92"/>
        <v>0</v>
      </c>
      <c r="AO149" s="47">
        <f t="shared" si="93"/>
        <v>0</v>
      </c>
      <c r="AP149" s="47" t="e">
        <f t="shared" si="94"/>
        <v>#DIV/0!</v>
      </c>
    </row>
    <row r="150" spans="2:42">
      <c r="B150" s="97" t="s">
        <v>15</v>
      </c>
      <c r="C150" s="100"/>
      <c r="D150" s="100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76"/>
        <v>0</v>
      </c>
      <c r="U150" s="47">
        <f t="shared" si="77"/>
        <v>0</v>
      </c>
      <c r="V150" s="48">
        <f t="shared" si="78"/>
        <v>0</v>
      </c>
      <c r="W150" s="49">
        <f t="shared" si="79"/>
        <v>0</v>
      </c>
      <c r="X150" s="44">
        <f t="shared" si="80"/>
        <v>0</v>
      </c>
      <c r="Y150" s="44">
        <f t="shared" si="81"/>
        <v>0</v>
      </c>
      <c r="Z150" s="44">
        <f t="shared" si="82"/>
        <v>0</v>
      </c>
      <c r="AA150" s="50">
        <f t="shared" si="83"/>
        <v>0</v>
      </c>
      <c r="AB150" s="51">
        <f t="shared" si="84"/>
        <v>0</v>
      </c>
      <c r="AC150" s="44">
        <f t="shared" si="85"/>
        <v>0</v>
      </c>
      <c r="AD150" s="44">
        <f t="shared" si="86"/>
        <v>0</v>
      </c>
      <c r="AE150" s="44">
        <f t="shared" si="87"/>
        <v>0</v>
      </c>
      <c r="AF150" s="52" t="e">
        <f>HLOOKUP(I150,ElecAvoidedCostsWOCC!$A$5:$Q$50,G150+1,FALSE)</f>
        <v>#N/A</v>
      </c>
      <c r="AG150" s="44" t="e">
        <f t="shared" si="88"/>
        <v>#N/A</v>
      </c>
      <c r="AH150" s="52" t="e">
        <f>HLOOKUP(I150,ElecAvoidedCostsWOCC!$A$5:$Q$50,T150+1,FALSE)</f>
        <v>#N/A</v>
      </c>
      <c r="AI150" s="44" t="e">
        <f t="shared" si="89"/>
        <v>#N/A</v>
      </c>
      <c r="AJ150" s="44" t="e">
        <f t="shared" si="90"/>
        <v>#N/A</v>
      </c>
      <c r="AK150" s="44" t="e">
        <f>HLOOKUP(I150,ElecAvoidedCostsWOCC!$A$5:$Q$50,G150+1,FALSE)*J150*L150</f>
        <v>#N/A</v>
      </c>
      <c r="AL150" s="44" t="e">
        <f t="shared" si="91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92"/>
        <v>0</v>
      </c>
      <c r="AO150" s="47">
        <f t="shared" si="93"/>
        <v>0</v>
      </c>
      <c r="AP150" s="47" t="e">
        <f t="shared" si="94"/>
        <v>#DIV/0!</v>
      </c>
    </row>
    <row r="151" spans="2:42">
      <c r="B151" s="97" t="s">
        <v>15</v>
      </c>
      <c r="C151" s="100"/>
      <c r="D151" s="100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76"/>
        <v>0</v>
      </c>
      <c r="U151" s="47">
        <f t="shared" si="77"/>
        <v>0</v>
      </c>
      <c r="V151" s="48">
        <f t="shared" si="78"/>
        <v>0</v>
      </c>
      <c r="W151" s="49">
        <f t="shared" si="79"/>
        <v>0</v>
      </c>
      <c r="X151" s="44">
        <f t="shared" si="80"/>
        <v>0</v>
      </c>
      <c r="Y151" s="44">
        <f t="shared" si="81"/>
        <v>0</v>
      </c>
      <c r="Z151" s="44">
        <f t="shared" si="82"/>
        <v>0</v>
      </c>
      <c r="AA151" s="50">
        <f t="shared" si="83"/>
        <v>0</v>
      </c>
      <c r="AB151" s="51">
        <f t="shared" si="84"/>
        <v>0</v>
      </c>
      <c r="AC151" s="44">
        <f t="shared" si="85"/>
        <v>0</v>
      </c>
      <c r="AD151" s="44">
        <f t="shared" si="86"/>
        <v>0</v>
      </c>
      <c r="AE151" s="44">
        <f t="shared" si="87"/>
        <v>0</v>
      </c>
      <c r="AF151" s="52" t="e">
        <f>HLOOKUP(I151,ElecAvoidedCostsWOCC!$A$5:$Q$50,G151+1,FALSE)</f>
        <v>#N/A</v>
      </c>
      <c r="AG151" s="44" t="e">
        <f t="shared" si="88"/>
        <v>#N/A</v>
      </c>
      <c r="AH151" s="52" t="e">
        <f>HLOOKUP(I151,ElecAvoidedCostsWOCC!$A$5:$Q$50,T151+1,FALSE)</f>
        <v>#N/A</v>
      </c>
      <c r="AI151" s="44" t="e">
        <f t="shared" si="89"/>
        <v>#N/A</v>
      </c>
      <c r="AJ151" s="44" t="e">
        <f t="shared" si="90"/>
        <v>#N/A</v>
      </c>
      <c r="AK151" s="44" t="e">
        <f>HLOOKUP(I151,ElecAvoidedCostsWOCC!$A$5:$Q$50,G151+1,FALSE)*J151*L151</f>
        <v>#N/A</v>
      </c>
      <c r="AL151" s="44" t="e">
        <f t="shared" si="91"/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92"/>
        <v>0</v>
      </c>
      <c r="AO151" s="47">
        <f t="shared" si="93"/>
        <v>0</v>
      </c>
      <c r="AP151" s="47" t="e">
        <f t="shared" si="94"/>
        <v>#DIV/0!</v>
      </c>
    </row>
    <row r="152" spans="2:42">
      <c r="B152" s="97" t="s">
        <v>15</v>
      </c>
      <c r="C152" s="100"/>
      <c r="D152" s="100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76"/>
        <v>0</v>
      </c>
      <c r="U152" s="47">
        <f t="shared" si="77"/>
        <v>0</v>
      </c>
      <c r="V152" s="48">
        <f t="shared" si="78"/>
        <v>0</v>
      </c>
      <c r="W152" s="49">
        <f t="shared" si="79"/>
        <v>0</v>
      </c>
      <c r="X152" s="44">
        <f t="shared" si="80"/>
        <v>0</v>
      </c>
      <c r="Y152" s="44">
        <f t="shared" si="81"/>
        <v>0</v>
      </c>
      <c r="Z152" s="44">
        <f t="shared" si="82"/>
        <v>0</v>
      </c>
      <c r="AA152" s="50">
        <f t="shared" si="83"/>
        <v>0</v>
      </c>
      <c r="AB152" s="51">
        <f t="shared" si="84"/>
        <v>0</v>
      </c>
      <c r="AC152" s="44">
        <f t="shared" si="85"/>
        <v>0</v>
      </c>
      <c r="AD152" s="44">
        <f t="shared" si="86"/>
        <v>0</v>
      </c>
      <c r="AE152" s="44">
        <f t="shared" si="87"/>
        <v>0</v>
      </c>
      <c r="AF152" s="52" t="e">
        <f>HLOOKUP(I152,ElecAvoidedCostsWOCC!$A$5:$Q$50,G152+1,FALSE)</f>
        <v>#N/A</v>
      </c>
      <c r="AG152" s="44" t="e">
        <f t="shared" si="88"/>
        <v>#N/A</v>
      </c>
      <c r="AH152" s="52" t="e">
        <f>HLOOKUP(I152,ElecAvoidedCostsWOCC!$A$5:$Q$50,T152+1,FALSE)</f>
        <v>#N/A</v>
      </c>
      <c r="AI152" s="44" t="e">
        <f t="shared" si="89"/>
        <v>#N/A</v>
      </c>
      <c r="AJ152" s="44" t="e">
        <f t="shared" si="90"/>
        <v>#N/A</v>
      </c>
      <c r="AK152" s="44" t="e">
        <f>HLOOKUP(I152,ElecAvoidedCostsWOCC!$A$5:$Q$50,G152+1,FALSE)*J152*L152</f>
        <v>#N/A</v>
      </c>
      <c r="AL152" s="44" t="e">
        <f t="shared" si="91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92"/>
        <v>0</v>
      </c>
      <c r="AO152" s="47">
        <f t="shared" si="93"/>
        <v>0</v>
      </c>
      <c r="AP152" s="47" t="e">
        <f t="shared" si="94"/>
        <v>#DIV/0!</v>
      </c>
    </row>
    <row r="153" spans="2:42">
      <c r="B153" s="97" t="s">
        <v>15</v>
      </c>
      <c r="C153" s="100"/>
      <c r="D153" s="100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76"/>
        <v>0</v>
      </c>
      <c r="U153" s="47">
        <f t="shared" si="77"/>
        <v>0</v>
      </c>
      <c r="V153" s="48">
        <f t="shared" si="78"/>
        <v>0</v>
      </c>
      <c r="W153" s="49">
        <f t="shared" si="79"/>
        <v>0</v>
      </c>
      <c r="X153" s="44">
        <f t="shared" si="80"/>
        <v>0</v>
      </c>
      <c r="Y153" s="44">
        <f t="shared" si="81"/>
        <v>0</v>
      </c>
      <c r="Z153" s="44">
        <f t="shared" si="82"/>
        <v>0</v>
      </c>
      <c r="AA153" s="50">
        <f t="shared" si="83"/>
        <v>0</v>
      </c>
      <c r="AB153" s="51">
        <f t="shared" si="84"/>
        <v>0</v>
      </c>
      <c r="AC153" s="44">
        <f t="shared" si="85"/>
        <v>0</v>
      </c>
      <c r="AD153" s="44">
        <f t="shared" si="86"/>
        <v>0</v>
      </c>
      <c r="AE153" s="44">
        <f t="shared" si="87"/>
        <v>0</v>
      </c>
      <c r="AF153" s="52" t="e">
        <f>HLOOKUP(I153,ElecAvoidedCostsWOCC!$A$5:$Q$50,G153+1,FALSE)</f>
        <v>#N/A</v>
      </c>
      <c r="AG153" s="44" t="e">
        <f t="shared" si="88"/>
        <v>#N/A</v>
      </c>
      <c r="AH153" s="52" t="e">
        <f>HLOOKUP(I153,ElecAvoidedCostsWOCC!$A$5:$Q$50,T153+1,FALSE)</f>
        <v>#N/A</v>
      </c>
      <c r="AI153" s="44" t="e">
        <f t="shared" si="89"/>
        <v>#N/A</v>
      </c>
      <c r="AJ153" s="44" t="e">
        <f t="shared" si="90"/>
        <v>#N/A</v>
      </c>
      <c r="AK153" s="44" t="e">
        <f>HLOOKUP(I153,ElecAvoidedCostsWOCC!$A$5:$Q$50,G153+1,FALSE)*J153*L153</f>
        <v>#N/A</v>
      </c>
      <c r="AL153" s="44" t="e">
        <f t="shared" si="91"/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92"/>
        <v>0</v>
      </c>
      <c r="AO153" s="47">
        <f t="shared" si="93"/>
        <v>0</v>
      </c>
      <c r="AP153" s="47" t="e">
        <f t="shared" si="94"/>
        <v>#DIV/0!</v>
      </c>
    </row>
    <row r="154" spans="2:42">
      <c r="B154" s="97" t="s">
        <v>15</v>
      </c>
      <c r="C154" s="100"/>
      <c r="D154" s="100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76"/>
        <v>0</v>
      </c>
      <c r="U154" s="47">
        <f t="shared" si="77"/>
        <v>0</v>
      </c>
      <c r="V154" s="48">
        <f t="shared" si="78"/>
        <v>0</v>
      </c>
      <c r="W154" s="49">
        <f t="shared" si="79"/>
        <v>0</v>
      </c>
      <c r="X154" s="44">
        <f t="shared" si="80"/>
        <v>0</v>
      </c>
      <c r="Y154" s="44">
        <f t="shared" si="81"/>
        <v>0</v>
      </c>
      <c r="Z154" s="44">
        <f t="shared" si="82"/>
        <v>0</v>
      </c>
      <c r="AA154" s="50">
        <f t="shared" si="83"/>
        <v>0</v>
      </c>
      <c r="AB154" s="51">
        <f t="shared" si="84"/>
        <v>0</v>
      </c>
      <c r="AC154" s="44">
        <f t="shared" si="85"/>
        <v>0</v>
      </c>
      <c r="AD154" s="44">
        <f t="shared" si="86"/>
        <v>0</v>
      </c>
      <c r="AE154" s="44">
        <f t="shared" si="87"/>
        <v>0</v>
      </c>
      <c r="AF154" s="52" t="e">
        <f>HLOOKUP(I154,ElecAvoidedCostsWOCC!$A$5:$Q$50,G154+1,FALSE)</f>
        <v>#N/A</v>
      </c>
      <c r="AG154" s="44" t="e">
        <f t="shared" si="88"/>
        <v>#N/A</v>
      </c>
      <c r="AH154" s="52" t="e">
        <f>HLOOKUP(I154,ElecAvoidedCostsWOCC!$A$5:$Q$50,T154+1,FALSE)</f>
        <v>#N/A</v>
      </c>
      <c r="AI154" s="44" t="e">
        <f t="shared" si="89"/>
        <v>#N/A</v>
      </c>
      <c r="AJ154" s="44" t="e">
        <f t="shared" si="90"/>
        <v>#N/A</v>
      </c>
      <c r="AK154" s="44" t="e">
        <f>HLOOKUP(I154,ElecAvoidedCostsWOCC!$A$5:$Q$50,G154+1,FALSE)*J154*L154</f>
        <v>#N/A</v>
      </c>
      <c r="AL154" s="44" t="e">
        <f t="shared" si="91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92"/>
        <v>0</v>
      </c>
      <c r="AO154" s="47">
        <f t="shared" si="93"/>
        <v>0</v>
      </c>
      <c r="AP154" s="47" t="e">
        <f t="shared" si="94"/>
        <v>#DIV/0!</v>
      </c>
    </row>
    <row r="155" spans="2:42">
      <c r="B155" s="97" t="s">
        <v>15</v>
      </c>
      <c r="C155" s="100"/>
      <c r="D155" s="100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76"/>
        <v>0</v>
      </c>
      <c r="U155" s="47">
        <f t="shared" si="77"/>
        <v>0</v>
      </c>
      <c r="V155" s="48">
        <f t="shared" si="78"/>
        <v>0</v>
      </c>
      <c r="W155" s="49">
        <f t="shared" si="79"/>
        <v>0</v>
      </c>
      <c r="X155" s="44">
        <f t="shared" si="80"/>
        <v>0</v>
      </c>
      <c r="Y155" s="44">
        <f t="shared" si="81"/>
        <v>0</v>
      </c>
      <c r="Z155" s="44">
        <f t="shared" si="82"/>
        <v>0</v>
      </c>
      <c r="AA155" s="50">
        <f t="shared" si="83"/>
        <v>0</v>
      </c>
      <c r="AB155" s="51">
        <f t="shared" si="84"/>
        <v>0</v>
      </c>
      <c r="AC155" s="44">
        <f t="shared" si="85"/>
        <v>0</v>
      </c>
      <c r="AD155" s="44">
        <f t="shared" si="86"/>
        <v>0</v>
      </c>
      <c r="AE155" s="44">
        <f t="shared" si="87"/>
        <v>0</v>
      </c>
      <c r="AF155" s="52" t="e">
        <f>HLOOKUP(I155,ElecAvoidedCostsWOCC!$A$5:$Q$50,G155+1,FALSE)</f>
        <v>#N/A</v>
      </c>
      <c r="AG155" s="44" t="e">
        <f t="shared" si="88"/>
        <v>#N/A</v>
      </c>
      <c r="AH155" s="52" t="e">
        <f>HLOOKUP(I155,ElecAvoidedCostsWOCC!$A$5:$Q$50,T155+1,FALSE)</f>
        <v>#N/A</v>
      </c>
      <c r="AI155" s="44" t="e">
        <f t="shared" si="89"/>
        <v>#N/A</v>
      </c>
      <c r="AJ155" s="44" t="e">
        <f t="shared" si="90"/>
        <v>#N/A</v>
      </c>
      <c r="AK155" s="44" t="e">
        <f>HLOOKUP(I155,ElecAvoidedCostsWOCC!$A$5:$Q$50,G155+1,FALSE)*J155*L155</f>
        <v>#N/A</v>
      </c>
      <c r="AL155" s="44" t="e">
        <f t="shared" si="91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92"/>
        <v>0</v>
      </c>
      <c r="AO155" s="47">
        <f t="shared" si="93"/>
        <v>0</v>
      </c>
      <c r="AP155" s="47" t="e">
        <f t="shared" si="94"/>
        <v>#DIV/0!</v>
      </c>
    </row>
    <row r="156" spans="2:42">
      <c r="B156" s="97" t="s">
        <v>15</v>
      </c>
      <c r="C156" s="100"/>
      <c r="D156" s="100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76"/>
        <v>0</v>
      </c>
      <c r="U156" s="47">
        <f t="shared" si="77"/>
        <v>0</v>
      </c>
      <c r="V156" s="48">
        <f t="shared" si="78"/>
        <v>0</v>
      </c>
      <c r="W156" s="49">
        <f t="shared" si="79"/>
        <v>0</v>
      </c>
      <c r="X156" s="44">
        <f t="shared" si="80"/>
        <v>0</v>
      </c>
      <c r="Y156" s="44">
        <f t="shared" si="81"/>
        <v>0</v>
      </c>
      <c r="Z156" s="44">
        <f t="shared" si="82"/>
        <v>0</v>
      </c>
      <c r="AA156" s="50">
        <f t="shared" si="83"/>
        <v>0</v>
      </c>
      <c r="AB156" s="51">
        <f t="shared" si="84"/>
        <v>0</v>
      </c>
      <c r="AC156" s="44">
        <f t="shared" si="85"/>
        <v>0</v>
      </c>
      <c r="AD156" s="44">
        <f t="shared" si="86"/>
        <v>0</v>
      </c>
      <c r="AE156" s="44">
        <f t="shared" si="87"/>
        <v>0</v>
      </c>
      <c r="AF156" s="52" t="e">
        <f>HLOOKUP(I156,ElecAvoidedCostsWOCC!$A$5:$Q$50,G156+1,FALSE)</f>
        <v>#N/A</v>
      </c>
      <c r="AG156" s="44" t="e">
        <f t="shared" si="88"/>
        <v>#N/A</v>
      </c>
      <c r="AH156" s="52" t="e">
        <f>HLOOKUP(I156,ElecAvoidedCostsWOCC!$A$5:$Q$50,T156+1,FALSE)</f>
        <v>#N/A</v>
      </c>
      <c r="AI156" s="44" t="e">
        <f t="shared" si="89"/>
        <v>#N/A</v>
      </c>
      <c r="AJ156" s="44" t="e">
        <f t="shared" si="90"/>
        <v>#N/A</v>
      </c>
      <c r="AK156" s="44" t="e">
        <f>HLOOKUP(I156,ElecAvoidedCostsWOCC!$A$5:$Q$50,G156+1,FALSE)*J156*L156</f>
        <v>#N/A</v>
      </c>
      <c r="AL156" s="44" t="e">
        <f t="shared" si="91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92"/>
        <v>0</v>
      </c>
      <c r="AO156" s="47">
        <f t="shared" si="93"/>
        <v>0</v>
      </c>
      <c r="AP156" s="47" t="e">
        <f t="shared" si="94"/>
        <v>#DIV/0!</v>
      </c>
    </row>
    <row r="157" spans="2:42">
      <c r="B157" s="97" t="s">
        <v>15</v>
      </c>
      <c r="C157" s="100"/>
      <c r="D157" s="100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76"/>
        <v>0</v>
      </c>
      <c r="U157" s="47">
        <f t="shared" si="77"/>
        <v>0</v>
      </c>
      <c r="V157" s="48">
        <f t="shared" si="78"/>
        <v>0</v>
      </c>
      <c r="W157" s="49">
        <f t="shared" si="79"/>
        <v>0</v>
      </c>
      <c r="X157" s="44">
        <f t="shared" si="80"/>
        <v>0</v>
      </c>
      <c r="Y157" s="44">
        <f t="shared" si="81"/>
        <v>0</v>
      </c>
      <c r="Z157" s="44">
        <f t="shared" si="82"/>
        <v>0</v>
      </c>
      <c r="AA157" s="50">
        <f t="shared" si="83"/>
        <v>0</v>
      </c>
      <c r="AB157" s="51">
        <f t="shared" si="84"/>
        <v>0</v>
      </c>
      <c r="AC157" s="44">
        <f t="shared" si="85"/>
        <v>0</v>
      </c>
      <c r="AD157" s="44">
        <f t="shared" si="86"/>
        <v>0</v>
      </c>
      <c r="AE157" s="44">
        <f t="shared" si="87"/>
        <v>0</v>
      </c>
      <c r="AF157" s="52" t="e">
        <f>HLOOKUP(I157,ElecAvoidedCostsWOCC!$A$5:$Q$50,G157+1,FALSE)</f>
        <v>#N/A</v>
      </c>
      <c r="AG157" s="44" t="e">
        <f t="shared" si="88"/>
        <v>#N/A</v>
      </c>
      <c r="AH157" s="52" t="e">
        <f>HLOOKUP(I157,ElecAvoidedCostsWOCC!$A$5:$Q$50,T157+1,FALSE)</f>
        <v>#N/A</v>
      </c>
      <c r="AI157" s="44" t="e">
        <f t="shared" si="89"/>
        <v>#N/A</v>
      </c>
      <c r="AJ157" s="44" t="e">
        <f t="shared" si="90"/>
        <v>#N/A</v>
      </c>
      <c r="AK157" s="44" t="e">
        <f>HLOOKUP(I157,ElecAvoidedCostsWOCC!$A$5:$Q$50,G157+1,FALSE)*J157*L157</f>
        <v>#N/A</v>
      </c>
      <c r="AL157" s="44" t="e">
        <f t="shared" si="91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92"/>
        <v>0</v>
      </c>
      <c r="AO157" s="47">
        <f t="shared" si="93"/>
        <v>0</v>
      </c>
      <c r="AP157" s="47" t="e">
        <f t="shared" si="94"/>
        <v>#DIV/0!</v>
      </c>
    </row>
    <row r="158" spans="2:42">
      <c r="B158" s="97" t="s">
        <v>15</v>
      </c>
      <c r="C158" s="100"/>
      <c r="D158" s="100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76"/>
        <v>0</v>
      </c>
      <c r="U158" s="47">
        <f t="shared" si="77"/>
        <v>0</v>
      </c>
      <c r="V158" s="48">
        <f t="shared" si="78"/>
        <v>0</v>
      </c>
      <c r="W158" s="49">
        <f t="shared" si="79"/>
        <v>0</v>
      </c>
      <c r="X158" s="44">
        <f t="shared" si="80"/>
        <v>0</v>
      </c>
      <c r="Y158" s="44">
        <f t="shared" si="81"/>
        <v>0</v>
      </c>
      <c r="Z158" s="44">
        <f t="shared" si="82"/>
        <v>0</v>
      </c>
      <c r="AA158" s="50">
        <f t="shared" si="83"/>
        <v>0</v>
      </c>
      <c r="AB158" s="51">
        <f t="shared" si="84"/>
        <v>0</v>
      </c>
      <c r="AC158" s="44">
        <f t="shared" si="85"/>
        <v>0</v>
      </c>
      <c r="AD158" s="44">
        <f t="shared" si="86"/>
        <v>0</v>
      </c>
      <c r="AE158" s="44">
        <f t="shared" si="87"/>
        <v>0</v>
      </c>
      <c r="AF158" s="52" t="e">
        <f>HLOOKUP(I158,ElecAvoidedCostsWOCC!$A$5:$Q$50,G158+1,FALSE)</f>
        <v>#N/A</v>
      </c>
      <c r="AG158" s="44" t="e">
        <f t="shared" si="88"/>
        <v>#N/A</v>
      </c>
      <c r="AH158" s="52" t="e">
        <f>HLOOKUP(I158,ElecAvoidedCostsWOCC!$A$5:$Q$50,T158+1,FALSE)</f>
        <v>#N/A</v>
      </c>
      <c r="AI158" s="44" t="e">
        <f t="shared" si="89"/>
        <v>#N/A</v>
      </c>
      <c r="AJ158" s="44" t="e">
        <f t="shared" si="90"/>
        <v>#N/A</v>
      </c>
      <c r="AK158" s="44" t="e">
        <f>HLOOKUP(I158,ElecAvoidedCostsWOCC!$A$5:$Q$50,G158+1,FALSE)*J158*L158</f>
        <v>#N/A</v>
      </c>
      <c r="AL158" s="44" t="e">
        <f t="shared" si="91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92"/>
        <v>0</v>
      </c>
      <c r="AO158" s="47">
        <f t="shared" si="93"/>
        <v>0</v>
      </c>
      <c r="AP158" s="47" t="e">
        <f t="shared" si="94"/>
        <v>#DIV/0!</v>
      </c>
    </row>
    <row r="159" spans="2:42">
      <c r="B159" s="97" t="s">
        <v>15</v>
      </c>
      <c r="C159" s="100"/>
      <c r="D159" s="100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76"/>
        <v>0</v>
      </c>
      <c r="U159" s="47">
        <f t="shared" si="77"/>
        <v>0</v>
      </c>
      <c r="V159" s="48">
        <f t="shared" si="78"/>
        <v>0</v>
      </c>
      <c r="W159" s="49">
        <f t="shared" si="79"/>
        <v>0</v>
      </c>
      <c r="X159" s="44">
        <f t="shared" si="80"/>
        <v>0</v>
      </c>
      <c r="Y159" s="44">
        <f t="shared" si="81"/>
        <v>0</v>
      </c>
      <c r="Z159" s="44">
        <f t="shared" si="82"/>
        <v>0</v>
      </c>
      <c r="AA159" s="50">
        <f t="shared" si="83"/>
        <v>0</v>
      </c>
      <c r="AB159" s="51">
        <f t="shared" si="84"/>
        <v>0</v>
      </c>
      <c r="AC159" s="44">
        <f t="shared" si="85"/>
        <v>0</v>
      </c>
      <c r="AD159" s="44">
        <f t="shared" si="86"/>
        <v>0</v>
      </c>
      <c r="AE159" s="44">
        <f t="shared" si="87"/>
        <v>0</v>
      </c>
      <c r="AF159" s="52" t="e">
        <f>HLOOKUP(I159,ElecAvoidedCostsWOCC!$A$5:$Q$50,G159+1,FALSE)</f>
        <v>#N/A</v>
      </c>
      <c r="AG159" s="44" t="e">
        <f t="shared" si="88"/>
        <v>#N/A</v>
      </c>
      <c r="AH159" s="52" t="e">
        <f>HLOOKUP(I159,ElecAvoidedCostsWOCC!$A$5:$Q$50,T159+1,FALSE)</f>
        <v>#N/A</v>
      </c>
      <c r="AI159" s="44" t="e">
        <f t="shared" si="89"/>
        <v>#N/A</v>
      </c>
      <c r="AJ159" s="44" t="e">
        <f t="shared" si="90"/>
        <v>#N/A</v>
      </c>
      <c r="AK159" s="44" t="e">
        <f>HLOOKUP(I159,ElecAvoidedCostsWOCC!$A$5:$Q$50,G159+1,FALSE)*J159*L159</f>
        <v>#N/A</v>
      </c>
      <c r="AL159" s="44" t="e">
        <f t="shared" si="91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92"/>
        <v>0</v>
      </c>
      <c r="AO159" s="47">
        <f t="shared" si="93"/>
        <v>0</v>
      </c>
      <c r="AP159" s="47" t="e">
        <f t="shared" si="94"/>
        <v>#DIV/0!</v>
      </c>
    </row>
    <row r="160" spans="2:42">
      <c r="B160" s="97" t="s">
        <v>15</v>
      </c>
      <c r="C160" s="100"/>
      <c r="D160" s="100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76"/>
        <v>0</v>
      </c>
      <c r="U160" s="47">
        <f t="shared" si="77"/>
        <v>0</v>
      </c>
      <c r="V160" s="48">
        <f t="shared" si="78"/>
        <v>0</v>
      </c>
      <c r="W160" s="49">
        <f t="shared" si="79"/>
        <v>0</v>
      </c>
      <c r="X160" s="44">
        <f t="shared" si="80"/>
        <v>0</v>
      </c>
      <c r="Y160" s="44">
        <f t="shared" si="81"/>
        <v>0</v>
      </c>
      <c r="Z160" s="44">
        <f t="shared" si="82"/>
        <v>0</v>
      </c>
      <c r="AA160" s="50">
        <f t="shared" si="83"/>
        <v>0</v>
      </c>
      <c r="AB160" s="51">
        <f t="shared" si="84"/>
        <v>0</v>
      </c>
      <c r="AC160" s="44">
        <f t="shared" si="85"/>
        <v>0</v>
      </c>
      <c r="AD160" s="44">
        <f t="shared" si="86"/>
        <v>0</v>
      </c>
      <c r="AE160" s="44">
        <f t="shared" si="87"/>
        <v>0</v>
      </c>
      <c r="AF160" s="52" t="e">
        <f>HLOOKUP(I160,ElecAvoidedCostsWOCC!$A$5:$Q$50,G160+1,FALSE)</f>
        <v>#N/A</v>
      </c>
      <c r="AG160" s="44" t="e">
        <f t="shared" si="88"/>
        <v>#N/A</v>
      </c>
      <c r="AH160" s="52" t="e">
        <f>HLOOKUP(I160,ElecAvoidedCostsWOCC!$A$5:$Q$50,T160+1,FALSE)</f>
        <v>#N/A</v>
      </c>
      <c r="AI160" s="44" t="e">
        <f t="shared" si="89"/>
        <v>#N/A</v>
      </c>
      <c r="AJ160" s="44" t="e">
        <f t="shared" si="90"/>
        <v>#N/A</v>
      </c>
      <c r="AK160" s="44" t="e">
        <f>HLOOKUP(I160,ElecAvoidedCostsWOCC!$A$5:$Q$50,G160+1,FALSE)*J160*L160</f>
        <v>#N/A</v>
      </c>
      <c r="AL160" s="44" t="e">
        <f t="shared" si="91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92"/>
        <v>0</v>
      </c>
      <c r="AO160" s="47">
        <f t="shared" si="93"/>
        <v>0</v>
      </c>
      <c r="AP160" s="47" t="e">
        <f t="shared" si="94"/>
        <v>#DIV/0!</v>
      </c>
    </row>
    <row r="161" spans="2:42">
      <c r="B161" s="97" t="s">
        <v>15</v>
      </c>
      <c r="C161" s="100"/>
      <c r="D161" s="100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76"/>
        <v>0</v>
      </c>
      <c r="U161" s="47">
        <f t="shared" si="77"/>
        <v>0</v>
      </c>
      <c r="V161" s="48">
        <f t="shared" si="78"/>
        <v>0</v>
      </c>
      <c r="W161" s="49">
        <f t="shared" si="79"/>
        <v>0</v>
      </c>
      <c r="X161" s="44">
        <f t="shared" si="80"/>
        <v>0</v>
      </c>
      <c r="Y161" s="44">
        <f t="shared" si="81"/>
        <v>0</v>
      </c>
      <c r="Z161" s="44">
        <f t="shared" si="82"/>
        <v>0</v>
      </c>
      <c r="AA161" s="50">
        <f t="shared" si="83"/>
        <v>0</v>
      </c>
      <c r="AB161" s="51">
        <f t="shared" si="84"/>
        <v>0</v>
      </c>
      <c r="AC161" s="44">
        <f t="shared" si="85"/>
        <v>0</v>
      </c>
      <c r="AD161" s="44">
        <f t="shared" si="86"/>
        <v>0</v>
      </c>
      <c r="AE161" s="44">
        <f t="shared" si="87"/>
        <v>0</v>
      </c>
      <c r="AF161" s="52" t="e">
        <f>HLOOKUP(I161,ElecAvoidedCostsWOCC!$A$5:$Q$50,G161+1,FALSE)</f>
        <v>#N/A</v>
      </c>
      <c r="AG161" s="44" t="e">
        <f t="shared" si="88"/>
        <v>#N/A</v>
      </c>
      <c r="AH161" s="52" t="e">
        <f>HLOOKUP(I161,ElecAvoidedCostsWOCC!$A$5:$Q$50,T161+1,FALSE)</f>
        <v>#N/A</v>
      </c>
      <c r="AI161" s="44" t="e">
        <f t="shared" si="89"/>
        <v>#N/A</v>
      </c>
      <c r="AJ161" s="44" t="e">
        <f t="shared" si="90"/>
        <v>#N/A</v>
      </c>
      <c r="AK161" s="44" t="e">
        <f>HLOOKUP(I161,ElecAvoidedCostsWOCC!$A$5:$Q$50,G161+1,FALSE)*J161*L161</f>
        <v>#N/A</v>
      </c>
      <c r="AL161" s="44" t="e">
        <f t="shared" si="91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92"/>
        <v>0</v>
      </c>
      <c r="AO161" s="47">
        <f t="shared" si="93"/>
        <v>0</v>
      </c>
      <c r="AP161" s="47" t="e">
        <f t="shared" si="94"/>
        <v>#DIV/0!</v>
      </c>
    </row>
    <row r="162" spans="2:42">
      <c r="B162" s="97" t="s">
        <v>15</v>
      </c>
      <c r="C162" s="100"/>
      <c r="D162" s="100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76"/>
        <v>0</v>
      </c>
      <c r="U162" s="47">
        <f t="shared" si="77"/>
        <v>0</v>
      </c>
      <c r="V162" s="48">
        <f t="shared" si="78"/>
        <v>0</v>
      </c>
      <c r="W162" s="49">
        <f t="shared" si="79"/>
        <v>0</v>
      </c>
      <c r="X162" s="44">
        <f t="shared" si="80"/>
        <v>0</v>
      </c>
      <c r="Y162" s="44">
        <f t="shared" si="81"/>
        <v>0</v>
      </c>
      <c r="Z162" s="44">
        <f t="shared" si="82"/>
        <v>0</v>
      </c>
      <c r="AA162" s="50">
        <f t="shared" si="83"/>
        <v>0</v>
      </c>
      <c r="AB162" s="51">
        <f t="shared" si="84"/>
        <v>0</v>
      </c>
      <c r="AC162" s="44">
        <f t="shared" si="85"/>
        <v>0</v>
      </c>
      <c r="AD162" s="44">
        <f t="shared" si="86"/>
        <v>0</v>
      </c>
      <c r="AE162" s="44">
        <f t="shared" si="87"/>
        <v>0</v>
      </c>
      <c r="AF162" s="52" t="e">
        <f>HLOOKUP(I162,ElecAvoidedCostsWOCC!$A$5:$Q$50,G162+1,FALSE)</f>
        <v>#N/A</v>
      </c>
      <c r="AG162" s="44" t="e">
        <f t="shared" si="88"/>
        <v>#N/A</v>
      </c>
      <c r="AH162" s="52" t="e">
        <f>HLOOKUP(I162,ElecAvoidedCostsWOCC!$A$5:$Q$50,T162+1,FALSE)</f>
        <v>#N/A</v>
      </c>
      <c r="AI162" s="44" t="e">
        <f t="shared" si="89"/>
        <v>#N/A</v>
      </c>
      <c r="AJ162" s="44" t="e">
        <f t="shared" si="90"/>
        <v>#N/A</v>
      </c>
      <c r="AK162" s="44" t="e">
        <f>HLOOKUP(I162,ElecAvoidedCostsWOCC!$A$5:$Q$50,G162+1,FALSE)*J162*L162</f>
        <v>#N/A</v>
      </c>
      <c r="AL162" s="44" t="e">
        <f t="shared" si="91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92"/>
        <v>0</v>
      </c>
      <c r="AO162" s="47">
        <f t="shared" si="93"/>
        <v>0</v>
      </c>
      <c r="AP162" s="47" t="e">
        <f t="shared" si="94"/>
        <v>#DIV/0!</v>
      </c>
    </row>
    <row r="163" spans="2:42">
      <c r="B163" s="97" t="s">
        <v>15</v>
      </c>
      <c r="C163" s="100"/>
      <c r="D163" s="100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76"/>
        <v>0</v>
      </c>
      <c r="U163" s="47">
        <f t="shared" si="77"/>
        <v>0</v>
      </c>
      <c r="V163" s="48">
        <f t="shared" si="78"/>
        <v>0</v>
      </c>
      <c r="W163" s="49">
        <f t="shared" si="79"/>
        <v>0</v>
      </c>
      <c r="X163" s="44">
        <f t="shared" si="80"/>
        <v>0</v>
      </c>
      <c r="Y163" s="44">
        <f t="shared" si="81"/>
        <v>0</v>
      </c>
      <c r="Z163" s="44">
        <f t="shared" si="82"/>
        <v>0</v>
      </c>
      <c r="AA163" s="50">
        <f t="shared" si="83"/>
        <v>0</v>
      </c>
      <c r="AB163" s="51">
        <f t="shared" si="84"/>
        <v>0</v>
      </c>
      <c r="AC163" s="44">
        <f t="shared" si="85"/>
        <v>0</v>
      </c>
      <c r="AD163" s="44">
        <f t="shared" si="86"/>
        <v>0</v>
      </c>
      <c r="AE163" s="44">
        <f t="shared" si="87"/>
        <v>0</v>
      </c>
      <c r="AF163" s="52" t="e">
        <f>HLOOKUP(I163,ElecAvoidedCostsWOCC!$A$5:$Q$50,G163+1,FALSE)</f>
        <v>#N/A</v>
      </c>
      <c r="AG163" s="44" t="e">
        <f t="shared" si="88"/>
        <v>#N/A</v>
      </c>
      <c r="AH163" s="52" t="e">
        <f>HLOOKUP(I163,ElecAvoidedCostsWOCC!$A$5:$Q$50,T163+1,FALSE)</f>
        <v>#N/A</v>
      </c>
      <c r="AI163" s="44" t="e">
        <f t="shared" si="89"/>
        <v>#N/A</v>
      </c>
      <c r="AJ163" s="44" t="e">
        <f t="shared" si="90"/>
        <v>#N/A</v>
      </c>
      <c r="AK163" s="44" t="e">
        <f>HLOOKUP(I163,ElecAvoidedCostsWOCC!$A$5:$Q$50,G163+1,FALSE)*J163*L163</f>
        <v>#N/A</v>
      </c>
      <c r="AL163" s="44" t="e">
        <f t="shared" si="91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92"/>
        <v>0</v>
      </c>
      <c r="AO163" s="47">
        <f t="shared" si="93"/>
        <v>0</v>
      </c>
      <c r="AP163" s="47" t="e">
        <f t="shared" si="94"/>
        <v>#DIV/0!</v>
      </c>
    </row>
    <row r="164" spans="2:42">
      <c r="B164" s="97" t="s">
        <v>15</v>
      </c>
      <c r="C164" s="100"/>
      <c r="D164" s="100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76"/>
        <v>0</v>
      </c>
      <c r="U164" s="47">
        <f t="shared" si="77"/>
        <v>0</v>
      </c>
      <c r="V164" s="48">
        <f t="shared" si="78"/>
        <v>0</v>
      </c>
      <c r="W164" s="49">
        <f t="shared" si="79"/>
        <v>0</v>
      </c>
      <c r="X164" s="44">
        <f t="shared" si="80"/>
        <v>0</v>
      </c>
      <c r="Y164" s="44">
        <f t="shared" si="81"/>
        <v>0</v>
      </c>
      <c r="Z164" s="44">
        <f t="shared" si="82"/>
        <v>0</v>
      </c>
      <c r="AA164" s="50">
        <f t="shared" si="83"/>
        <v>0</v>
      </c>
      <c r="AB164" s="51">
        <f t="shared" si="84"/>
        <v>0</v>
      </c>
      <c r="AC164" s="44">
        <f t="shared" si="85"/>
        <v>0</v>
      </c>
      <c r="AD164" s="44">
        <f t="shared" si="86"/>
        <v>0</v>
      </c>
      <c r="AE164" s="44">
        <f t="shared" si="87"/>
        <v>0</v>
      </c>
      <c r="AF164" s="52" t="e">
        <f>HLOOKUP(I164,ElecAvoidedCostsWOCC!$A$5:$Q$50,G164+1,FALSE)</f>
        <v>#N/A</v>
      </c>
      <c r="AG164" s="44" t="e">
        <f t="shared" si="88"/>
        <v>#N/A</v>
      </c>
      <c r="AH164" s="52" t="e">
        <f>HLOOKUP(I164,ElecAvoidedCostsWOCC!$A$5:$Q$50,T164+1,FALSE)</f>
        <v>#N/A</v>
      </c>
      <c r="AI164" s="44" t="e">
        <f t="shared" si="89"/>
        <v>#N/A</v>
      </c>
      <c r="AJ164" s="44" t="e">
        <f t="shared" si="90"/>
        <v>#N/A</v>
      </c>
      <c r="AK164" s="44" t="e">
        <f>HLOOKUP(I164,ElecAvoidedCostsWOCC!$A$5:$Q$50,G164+1,FALSE)*J164*L164</f>
        <v>#N/A</v>
      </c>
      <c r="AL164" s="44" t="e">
        <f t="shared" si="91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92"/>
        <v>0</v>
      </c>
      <c r="AO164" s="47">
        <f t="shared" si="93"/>
        <v>0</v>
      </c>
      <c r="AP164" s="47" t="e">
        <f t="shared" si="94"/>
        <v>#DIV/0!</v>
      </c>
    </row>
    <row r="165" spans="2:42">
      <c r="B165" s="97" t="s">
        <v>15</v>
      </c>
      <c r="C165" s="100"/>
      <c r="D165" s="100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76"/>
        <v>0</v>
      </c>
      <c r="U165" s="47">
        <f t="shared" si="77"/>
        <v>0</v>
      </c>
      <c r="V165" s="48">
        <f t="shared" si="78"/>
        <v>0</v>
      </c>
      <c r="W165" s="49">
        <f t="shared" si="79"/>
        <v>0</v>
      </c>
      <c r="X165" s="44">
        <f t="shared" si="80"/>
        <v>0</v>
      </c>
      <c r="Y165" s="44">
        <f t="shared" si="81"/>
        <v>0</v>
      </c>
      <c r="Z165" s="44">
        <f t="shared" si="82"/>
        <v>0</v>
      </c>
      <c r="AA165" s="50">
        <f t="shared" si="83"/>
        <v>0</v>
      </c>
      <c r="AB165" s="51">
        <f t="shared" si="84"/>
        <v>0</v>
      </c>
      <c r="AC165" s="44">
        <f t="shared" si="85"/>
        <v>0</v>
      </c>
      <c r="AD165" s="44">
        <f t="shared" si="86"/>
        <v>0</v>
      </c>
      <c r="AE165" s="44">
        <f t="shared" si="87"/>
        <v>0</v>
      </c>
      <c r="AF165" s="52" t="e">
        <f>HLOOKUP(I165,ElecAvoidedCostsWOCC!$A$5:$Q$50,G165+1,FALSE)</f>
        <v>#N/A</v>
      </c>
      <c r="AG165" s="44" t="e">
        <f t="shared" si="88"/>
        <v>#N/A</v>
      </c>
      <c r="AH165" s="52" t="e">
        <f>HLOOKUP(I165,ElecAvoidedCostsWOCC!$A$5:$Q$50,T165+1,FALSE)</f>
        <v>#N/A</v>
      </c>
      <c r="AI165" s="44" t="e">
        <f t="shared" si="89"/>
        <v>#N/A</v>
      </c>
      <c r="AJ165" s="44" t="e">
        <f t="shared" si="90"/>
        <v>#N/A</v>
      </c>
      <c r="AK165" s="44" t="e">
        <f>HLOOKUP(I165,ElecAvoidedCostsWOCC!$A$5:$Q$50,G165+1,FALSE)*J165*L165</f>
        <v>#N/A</v>
      </c>
      <c r="AL165" s="44" t="e">
        <f t="shared" si="91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92"/>
        <v>0</v>
      </c>
      <c r="AO165" s="47">
        <f t="shared" si="93"/>
        <v>0</v>
      </c>
      <c r="AP165" s="47" t="e">
        <f t="shared" si="94"/>
        <v>#DIV/0!</v>
      </c>
    </row>
    <row r="166" spans="2:42">
      <c r="B166" s="97" t="s">
        <v>15</v>
      </c>
      <c r="C166" s="100"/>
      <c r="D166" s="100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76"/>
        <v>0</v>
      </c>
      <c r="U166" s="47">
        <f t="shared" si="77"/>
        <v>0</v>
      </c>
      <c r="V166" s="48">
        <f t="shared" si="78"/>
        <v>0</v>
      </c>
      <c r="W166" s="49">
        <f t="shared" si="79"/>
        <v>0</v>
      </c>
      <c r="X166" s="44">
        <f t="shared" si="80"/>
        <v>0</v>
      </c>
      <c r="Y166" s="44">
        <f t="shared" si="81"/>
        <v>0</v>
      </c>
      <c r="Z166" s="44">
        <f t="shared" si="82"/>
        <v>0</v>
      </c>
      <c r="AA166" s="50">
        <f t="shared" si="83"/>
        <v>0</v>
      </c>
      <c r="AB166" s="51">
        <f t="shared" si="84"/>
        <v>0</v>
      </c>
      <c r="AC166" s="44">
        <f t="shared" si="85"/>
        <v>0</v>
      </c>
      <c r="AD166" s="44">
        <f t="shared" si="86"/>
        <v>0</v>
      </c>
      <c r="AE166" s="44">
        <f t="shared" si="87"/>
        <v>0</v>
      </c>
      <c r="AF166" s="52" t="e">
        <f>HLOOKUP(I166,ElecAvoidedCostsWOCC!$A$5:$Q$50,G166+1,FALSE)</f>
        <v>#N/A</v>
      </c>
      <c r="AG166" s="44" t="e">
        <f t="shared" si="88"/>
        <v>#N/A</v>
      </c>
      <c r="AH166" s="52" t="e">
        <f>HLOOKUP(I166,ElecAvoidedCostsWOCC!$A$5:$Q$50,T166+1,FALSE)</f>
        <v>#N/A</v>
      </c>
      <c r="AI166" s="44" t="e">
        <f t="shared" si="89"/>
        <v>#N/A</v>
      </c>
      <c r="AJ166" s="44" t="e">
        <f t="shared" si="90"/>
        <v>#N/A</v>
      </c>
      <c r="AK166" s="44" t="e">
        <f>HLOOKUP(I166,ElecAvoidedCostsWOCC!$A$5:$Q$50,G166+1,FALSE)*J166*L166</f>
        <v>#N/A</v>
      </c>
      <c r="AL166" s="44" t="e">
        <f t="shared" si="91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92"/>
        <v>0</v>
      </c>
      <c r="AO166" s="47">
        <f t="shared" si="93"/>
        <v>0</v>
      </c>
      <c r="AP166" s="47" t="e">
        <f t="shared" si="94"/>
        <v>#DIV/0!</v>
      </c>
    </row>
    <row r="167" spans="2:42">
      <c r="B167" s="97" t="s">
        <v>15</v>
      </c>
      <c r="C167" s="100"/>
      <c r="D167" s="100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ref="T167:T230" si="95">G167+H167</f>
        <v>0</v>
      </c>
      <c r="U167" s="47">
        <f t="shared" ref="U167:U230" si="96">(O167/$A$10)*T167</f>
        <v>0</v>
      </c>
      <c r="V167" s="48">
        <f t="shared" ref="V167:V230" si="97">N167-M167</f>
        <v>0</v>
      </c>
      <c r="W167" s="49">
        <f t="shared" ref="W167:W230" si="98">(O167/A$10)</f>
        <v>0</v>
      </c>
      <c r="X167" s="44">
        <f t="shared" ref="X167:X230" si="99">W167*A$8</f>
        <v>0</v>
      </c>
      <c r="Y167" s="44">
        <f t="shared" ref="Y167:Y230" si="100">Q167-P167</f>
        <v>0</v>
      </c>
      <c r="Z167" s="44">
        <f t="shared" ref="Z167:Z230" si="101">X167+(A$6*W167)</f>
        <v>0</v>
      </c>
      <c r="AA167" s="50">
        <f t="shared" ref="AA167:AA230" si="102">Q167+X167</f>
        <v>0</v>
      </c>
      <c r="AB167" s="51">
        <f t="shared" ref="AB167:AB230" si="103">Z167/(1+ElecDiscountRate)^1</f>
        <v>0</v>
      </c>
      <c r="AC167" s="44">
        <f t="shared" ref="AC167:AC230" si="104">AA167/(1+ElecDiscountRate)^1</f>
        <v>0</v>
      </c>
      <c r="AD167" s="44">
        <f t="shared" ref="AD167:AD230" si="105">-PV(ElecDiscountRate,T167,R167)*J167</f>
        <v>0</v>
      </c>
      <c r="AE167" s="44">
        <f t="shared" ref="AE167:AE230" si="106">-PV(ElecDiscountRate,T167,S167)*J167</f>
        <v>0</v>
      </c>
      <c r="AF167" s="52" t="e">
        <f>HLOOKUP(I167,ElecAvoidedCostsWOCC!$A$5:$Q$50,G167+1,FALSE)</f>
        <v>#N/A</v>
      </c>
      <c r="AG167" s="44" t="e">
        <f t="shared" ref="AG167:AG230" si="107">AF167*J167*K167</f>
        <v>#N/A</v>
      </c>
      <c r="AH167" s="52" t="e">
        <f>HLOOKUP(I167,ElecAvoidedCostsWOCC!$A$5:$Q$50,T167+1,FALSE)</f>
        <v>#N/A</v>
      </c>
      <c r="AI167" s="44" t="e">
        <f t="shared" ref="AI167:AI230" si="108">AH167*J167*L167</f>
        <v>#N/A</v>
      </c>
      <c r="AJ167" s="44" t="e">
        <f t="shared" ref="AJ167:AJ230" si="109">AG167+AI167</f>
        <v>#N/A</v>
      </c>
      <c r="AK167" s="44" t="e">
        <f>HLOOKUP(I167,ElecAvoidedCostsWOCC!$A$5:$Q$50,G167+1,FALSE)*J167*L167</f>
        <v>#N/A</v>
      </c>
      <c r="AL167" s="44" t="e">
        <f t="shared" ref="AL167:AL230" si="110">AG167+AI167-AK167</f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ref="AN167:AN230" si="111">AM167*1.1+AD167+AE167</f>
        <v>0</v>
      </c>
      <c r="AO167" s="47">
        <f t="shared" ref="AO167:AO230" si="112">IFERROR(AM167/AB167,0)</f>
        <v>0</v>
      </c>
      <c r="AP167" s="47" t="e">
        <f t="shared" ref="AP167:AP230" si="113">AN167/AC167</f>
        <v>#DIV/0!</v>
      </c>
    </row>
    <row r="168" spans="2:42">
      <c r="B168" s="97" t="s">
        <v>15</v>
      </c>
      <c r="C168" s="100"/>
      <c r="D168" s="100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95"/>
        <v>0</v>
      </c>
      <c r="U168" s="47">
        <f t="shared" si="96"/>
        <v>0</v>
      </c>
      <c r="V168" s="48">
        <f t="shared" si="97"/>
        <v>0</v>
      </c>
      <c r="W168" s="49">
        <f t="shared" si="98"/>
        <v>0</v>
      </c>
      <c r="X168" s="44">
        <f t="shared" si="99"/>
        <v>0</v>
      </c>
      <c r="Y168" s="44">
        <f t="shared" si="100"/>
        <v>0</v>
      </c>
      <c r="Z168" s="44">
        <f t="shared" si="101"/>
        <v>0</v>
      </c>
      <c r="AA168" s="50">
        <f t="shared" si="102"/>
        <v>0</v>
      </c>
      <c r="AB168" s="51">
        <f t="shared" si="103"/>
        <v>0</v>
      </c>
      <c r="AC168" s="44">
        <f t="shared" si="104"/>
        <v>0</v>
      </c>
      <c r="AD168" s="44">
        <f t="shared" si="105"/>
        <v>0</v>
      </c>
      <c r="AE168" s="44">
        <f t="shared" si="106"/>
        <v>0</v>
      </c>
      <c r="AF168" s="52" t="e">
        <f>HLOOKUP(I168,ElecAvoidedCostsWOCC!$A$5:$Q$50,G168+1,FALSE)</f>
        <v>#N/A</v>
      </c>
      <c r="AG168" s="44" t="e">
        <f t="shared" si="107"/>
        <v>#N/A</v>
      </c>
      <c r="AH168" s="52" t="e">
        <f>HLOOKUP(I168,ElecAvoidedCostsWOCC!$A$5:$Q$50,T168+1,FALSE)</f>
        <v>#N/A</v>
      </c>
      <c r="AI168" s="44" t="e">
        <f t="shared" si="108"/>
        <v>#N/A</v>
      </c>
      <c r="AJ168" s="44" t="e">
        <f t="shared" si="109"/>
        <v>#N/A</v>
      </c>
      <c r="AK168" s="44" t="e">
        <f>HLOOKUP(I168,ElecAvoidedCostsWOCC!$A$5:$Q$50,G168+1,FALSE)*J168*L168</f>
        <v>#N/A</v>
      </c>
      <c r="AL168" s="44" t="e">
        <f t="shared" si="110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111"/>
        <v>0</v>
      </c>
      <c r="AO168" s="47">
        <f t="shared" si="112"/>
        <v>0</v>
      </c>
      <c r="AP168" s="47" t="e">
        <f t="shared" si="113"/>
        <v>#DIV/0!</v>
      </c>
    </row>
    <row r="169" spans="2:42">
      <c r="B169" s="97" t="s">
        <v>15</v>
      </c>
      <c r="C169" s="100"/>
      <c r="D169" s="100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95"/>
        <v>0</v>
      </c>
      <c r="U169" s="47">
        <f t="shared" si="96"/>
        <v>0</v>
      </c>
      <c r="V169" s="48">
        <f t="shared" si="97"/>
        <v>0</v>
      </c>
      <c r="W169" s="49">
        <f t="shared" si="98"/>
        <v>0</v>
      </c>
      <c r="X169" s="44">
        <f t="shared" si="99"/>
        <v>0</v>
      </c>
      <c r="Y169" s="44">
        <f t="shared" si="100"/>
        <v>0</v>
      </c>
      <c r="Z169" s="44">
        <f t="shared" si="101"/>
        <v>0</v>
      </c>
      <c r="AA169" s="50">
        <f t="shared" si="102"/>
        <v>0</v>
      </c>
      <c r="AB169" s="51">
        <f t="shared" si="103"/>
        <v>0</v>
      </c>
      <c r="AC169" s="44">
        <f t="shared" si="104"/>
        <v>0</v>
      </c>
      <c r="AD169" s="44">
        <f t="shared" si="105"/>
        <v>0</v>
      </c>
      <c r="AE169" s="44">
        <f t="shared" si="106"/>
        <v>0</v>
      </c>
      <c r="AF169" s="52" t="e">
        <f>HLOOKUP(I169,ElecAvoidedCostsWOCC!$A$5:$Q$50,G169+1,FALSE)</f>
        <v>#N/A</v>
      </c>
      <c r="AG169" s="44" t="e">
        <f t="shared" si="107"/>
        <v>#N/A</v>
      </c>
      <c r="AH169" s="52" t="e">
        <f>HLOOKUP(I169,ElecAvoidedCostsWOCC!$A$5:$Q$50,T169+1,FALSE)</f>
        <v>#N/A</v>
      </c>
      <c r="AI169" s="44" t="e">
        <f t="shared" si="108"/>
        <v>#N/A</v>
      </c>
      <c r="AJ169" s="44" t="e">
        <f t="shared" si="109"/>
        <v>#N/A</v>
      </c>
      <c r="AK169" s="44" t="e">
        <f>HLOOKUP(I169,ElecAvoidedCostsWOCC!$A$5:$Q$50,G169+1,FALSE)*J169*L169</f>
        <v>#N/A</v>
      </c>
      <c r="AL169" s="44" t="e">
        <f t="shared" si="110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111"/>
        <v>0</v>
      </c>
      <c r="AO169" s="47">
        <f t="shared" si="112"/>
        <v>0</v>
      </c>
      <c r="AP169" s="47" t="e">
        <f t="shared" si="113"/>
        <v>#DIV/0!</v>
      </c>
    </row>
    <row r="170" spans="2:42">
      <c r="B170" s="97" t="s">
        <v>15</v>
      </c>
      <c r="C170" s="100"/>
      <c r="D170" s="100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95"/>
        <v>0</v>
      </c>
      <c r="U170" s="47">
        <f t="shared" si="96"/>
        <v>0</v>
      </c>
      <c r="V170" s="48">
        <f t="shared" si="97"/>
        <v>0</v>
      </c>
      <c r="W170" s="49">
        <f t="shared" si="98"/>
        <v>0</v>
      </c>
      <c r="X170" s="44">
        <f t="shared" si="99"/>
        <v>0</v>
      </c>
      <c r="Y170" s="44">
        <f t="shared" si="100"/>
        <v>0</v>
      </c>
      <c r="Z170" s="44">
        <f t="shared" si="101"/>
        <v>0</v>
      </c>
      <c r="AA170" s="50">
        <f t="shared" si="102"/>
        <v>0</v>
      </c>
      <c r="AB170" s="51">
        <f t="shared" si="103"/>
        <v>0</v>
      </c>
      <c r="AC170" s="44">
        <f t="shared" si="104"/>
        <v>0</v>
      </c>
      <c r="AD170" s="44">
        <f t="shared" si="105"/>
        <v>0</v>
      </c>
      <c r="AE170" s="44">
        <f t="shared" si="106"/>
        <v>0</v>
      </c>
      <c r="AF170" s="52" t="e">
        <f>HLOOKUP(I170,ElecAvoidedCostsWOCC!$A$5:$Q$50,G170+1,FALSE)</f>
        <v>#N/A</v>
      </c>
      <c r="AG170" s="44" t="e">
        <f t="shared" si="107"/>
        <v>#N/A</v>
      </c>
      <c r="AH170" s="52" t="e">
        <f>HLOOKUP(I170,ElecAvoidedCostsWOCC!$A$5:$Q$50,T170+1,FALSE)</f>
        <v>#N/A</v>
      </c>
      <c r="AI170" s="44" t="e">
        <f t="shared" si="108"/>
        <v>#N/A</v>
      </c>
      <c r="AJ170" s="44" t="e">
        <f t="shared" si="109"/>
        <v>#N/A</v>
      </c>
      <c r="AK170" s="44" t="e">
        <f>HLOOKUP(I170,ElecAvoidedCostsWOCC!$A$5:$Q$50,G170+1,FALSE)*J170*L170</f>
        <v>#N/A</v>
      </c>
      <c r="AL170" s="44" t="e">
        <f t="shared" si="110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111"/>
        <v>0</v>
      </c>
      <c r="AO170" s="47">
        <f t="shared" si="112"/>
        <v>0</v>
      </c>
      <c r="AP170" s="47" t="e">
        <f t="shared" si="113"/>
        <v>#DIV/0!</v>
      </c>
    </row>
    <row r="171" spans="2:42">
      <c r="B171" s="97" t="s">
        <v>15</v>
      </c>
      <c r="C171" s="100"/>
      <c r="D171" s="100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95"/>
        <v>0</v>
      </c>
      <c r="U171" s="47">
        <f t="shared" si="96"/>
        <v>0</v>
      </c>
      <c r="V171" s="48">
        <f t="shared" si="97"/>
        <v>0</v>
      </c>
      <c r="W171" s="49">
        <f t="shared" si="98"/>
        <v>0</v>
      </c>
      <c r="X171" s="44">
        <f t="shared" si="99"/>
        <v>0</v>
      </c>
      <c r="Y171" s="44">
        <f t="shared" si="100"/>
        <v>0</v>
      </c>
      <c r="Z171" s="44">
        <f t="shared" si="101"/>
        <v>0</v>
      </c>
      <c r="AA171" s="50">
        <f t="shared" si="102"/>
        <v>0</v>
      </c>
      <c r="AB171" s="51">
        <f t="shared" si="103"/>
        <v>0</v>
      </c>
      <c r="AC171" s="44">
        <f t="shared" si="104"/>
        <v>0</v>
      </c>
      <c r="AD171" s="44">
        <f t="shared" si="105"/>
        <v>0</v>
      </c>
      <c r="AE171" s="44">
        <f t="shared" si="106"/>
        <v>0</v>
      </c>
      <c r="AF171" s="52" t="e">
        <f>HLOOKUP(I171,ElecAvoidedCostsWOCC!$A$5:$Q$50,G171+1,FALSE)</f>
        <v>#N/A</v>
      </c>
      <c r="AG171" s="44" t="e">
        <f t="shared" si="107"/>
        <v>#N/A</v>
      </c>
      <c r="AH171" s="52" t="e">
        <f>HLOOKUP(I171,ElecAvoidedCostsWOCC!$A$5:$Q$50,T171+1,FALSE)</f>
        <v>#N/A</v>
      </c>
      <c r="AI171" s="44" t="e">
        <f t="shared" si="108"/>
        <v>#N/A</v>
      </c>
      <c r="AJ171" s="44" t="e">
        <f t="shared" si="109"/>
        <v>#N/A</v>
      </c>
      <c r="AK171" s="44" t="e">
        <f>HLOOKUP(I171,ElecAvoidedCostsWOCC!$A$5:$Q$50,G171+1,FALSE)*J171*L171</f>
        <v>#N/A</v>
      </c>
      <c r="AL171" s="44" t="e">
        <f t="shared" si="110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111"/>
        <v>0</v>
      </c>
      <c r="AO171" s="47">
        <f t="shared" si="112"/>
        <v>0</v>
      </c>
      <c r="AP171" s="47" t="e">
        <f t="shared" si="113"/>
        <v>#DIV/0!</v>
      </c>
    </row>
    <row r="172" spans="2:42">
      <c r="B172" s="97" t="s">
        <v>15</v>
      </c>
      <c r="C172" s="100"/>
      <c r="D172" s="100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95"/>
        <v>0</v>
      </c>
      <c r="U172" s="47">
        <f t="shared" si="96"/>
        <v>0</v>
      </c>
      <c r="V172" s="48">
        <f t="shared" si="97"/>
        <v>0</v>
      </c>
      <c r="W172" s="49">
        <f t="shared" si="98"/>
        <v>0</v>
      </c>
      <c r="X172" s="44">
        <f t="shared" si="99"/>
        <v>0</v>
      </c>
      <c r="Y172" s="44">
        <f t="shared" si="100"/>
        <v>0</v>
      </c>
      <c r="Z172" s="44">
        <f t="shared" si="101"/>
        <v>0</v>
      </c>
      <c r="AA172" s="50">
        <f t="shared" si="102"/>
        <v>0</v>
      </c>
      <c r="AB172" s="51">
        <f t="shared" si="103"/>
        <v>0</v>
      </c>
      <c r="AC172" s="44">
        <f t="shared" si="104"/>
        <v>0</v>
      </c>
      <c r="AD172" s="44">
        <f t="shared" si="105"/>
        <v>0</v>
      </c>
      <c r="AE172" s="44">
        <f t="shared" si="106"/>
        <v>0</v>
      </c>
      <c r="AF172" s="52" t="e">
        <f>HLOOKUP(I172,ElecAvoidedCostsWOCC!$A$5:$Q$50,G172+1,FALSE)</f>
        <v>#N/A</v>
      </c>
      <c r="AG172" s="44" t="e">
        <f t="shared" si="107"/>
        <v>#N/A</v>
      </c>
      <c r="AH172" s="52" t="e">
        <f>HLOOKUP(I172,ElecAvoidedCostsWOCC!$A$5:$Q$50,T172+1,FALSE)</f>
        <v>#N/A</v>
      </c>
      <c r="AI172" s="44" t="e">
        <f t="shared" si="108"/>
        <v>#N/A</v>
      </c>
      <c r="AJ172" s="44" t="e">
        <f t="shared" si="109"/>
        <v>#N/A</v>
      </c>
      <c r="AK172" s="44" t="e">
        <f>HLOOKUP(I172,ElecAvoidedCostsWOCC!$A$5:$Q$50,G172+1,FALSE)*J172*L172</f>
        <v>#N/A</v>
      </c>
      <c r="AL172" s="44" t="e">
        <f t="shared" si="110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111"/>
        <v>0</v>
      </c>
      <c r="AO172" s="47">
        <f t="shared" si="112"/>
        <v>0</v>
      </c>
      <c r="AP172" s="47" t="e">
        <f t="shared" si="113"/>
        <v>#DIV/0!</v>
      </c>
    </row>
    <row r="173" spans="2:42">
      <c r="B173" s="97" t="s">
        <v>15</v>
      </c>
      <c r="C173" s="100"/>
      <c r="D173" s="100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95"/>
        <v>0</v>
      </c>
      <c r="U173" s="47">
        <f t="shared" si="96"/>
        <v>0</v>
      </c>
      <c r="V173" s="48">
        <f t="shared" si="97"/>
        <v>0</v>
      </c>
      <c r="W173" s="49">
        <f t="shared" si="98"/>
        <v>0</v>
      </c>
      <c r="X173" s="44">
        <f t="shared" si="99"/>
        <v>0</v>
      </c>
      <c r="Y173" s="44">
        <f t="shared" si="100"/>
        <v>0</v>
      </c>
      <c r="Z173" s="44">
        <f t="shared" si="101"/>
        <v>0</v>
      </c>
      <c r="AA173" s="50">
        <f t="shared" si="102"/>
        <v>0</v>
      </c>
      <c r="AB173" s="51">
        <f t="shared" si="103"/>
        <v>0</v>
      </c>
      <c r="AC173" s="44">
        <f t="shared" si="104"/>
        <v>0</v>
      </c>
      <c r="AD173" s="44">
        <f t="shared" si="105"/>
        <v>0</v>
      </c>
      <c r="AE173" s="44">
        <f t="shared" si="106"/>
        <v>0</v>
      </c>
      <c r="AF173" s="52" t="e">
        <f>HLOOKUP(I173,ElecAvoidedCostsWOCC!$A$5:$Q$50,G173+1,FALSE)</f>
        <v>#N/A</v>
      </c>
      <c r="AG173" s="44" t="e">
        <f t="shared" si="107"/>
        <v>#N/A</v>
      </c>
      <c r="AH173" s="52" t="e">
        <f>HLOOKUP(I173,ElecAvoidedCostsWOCC!$A$5:$Q$50,T173+1,FALSE)</f>
        <v>#N/A</v>
      </c>
      <c r="AI173" s="44" t="e">
        <f t="shared" si="108"/>
        <v>#N/A</v>
      </c>
      <c r="AJ173" s="44" t="e">
        <f t="shared" si="109"/>
        <v>#N/A</v>
      </c>
      <c r="AK173" s="44" t="e">
        <f>HLOOKUP(I173,ElecAvoidedCostsWOCC!$A$5:$Q$50,G173+1,FALSE)*J173*L173</f>
        <v>#N/A</v>
      </c>
      <c r="AL173" s="44" t="e">
        <f t="shared" si="110"/>
        <v>#N/A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8">
        <f t="shared" si="111"/>
        <v>0</v>
      </c>
      <c r="AO173" s="47">
        <f t="shared" si="112"/>
        <v>0</v>
      </c>
      <c r="AP173" s="47" t="e">
        <f t="shared" si="113"/>
        <v>#DIV/0!</v>
      </c>
    </row>
    <row r="174" spans="2:42">
      <c r="B174" s="97" t="s">
        <v>15</v>
      </c>
      <c r="C174" s="100"/>
      <c r="D174" s="100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95"/>
        <v>0</v>
      </c>
      <c r="U174" s="47">
        <f t="shared" si="96"/>
        <v>0</v>
      </c>
      <c r="V174" s="48">
        <f t="shared" si="97"/>
        <v>0</v>
      </c>
      <c r="W174" s="49">
        <f t="shared" si="98"/>
        <v>0</v>
      </c>
      <c r="X174" s="44">
        <f t="shared" si="99"/>
        <v>0</v>
      </c>
      <c r="Y174" s="44">
        <f t="shared" si="100"/>
        <v>0</v>
      </c>
      <c r="Z174" s="44">
        <f t="shared" si="101"/>
        <v>0</v>
      </c>
      <c r="AA174" s="50">
        <f t="shared" si="102"/>
        <v>0</v>
      </c>
      <c r="AB174" s="51">
        <f t="shared" si="103"/>
        <v>0</v>
      </c>
      <c r="AC174" s="44">
        <f t="shared" si="104"/>
        <v>0</v>
      </c>
      <c r="AD174" s="44">
        <f t="shared" si="105"/>
        <v>0</v>
      </c>
      <c r="AE174" s="44">
        <f t="shared" si="106"/>
        <v>0</v>
      </c>
      <c r="AF174" s="52" t="e">
        <f>HLOOKUP(I174,ElecAvoidedCostsWOCC!$A$5:$Q$50,G174+1,FALSE)</f>
        <v>#N/A</v>
      </c>
      <c r="AG174" s="44" t="e">
        <f t="shared" si="107"/>
        <v>#N/A</v>
      </c>
      <c r="AH174" s="52" t="e">
        <f>HLOOKUP(I174,ElecAvoidedCostsWOCC!$A$5:$Q$50,T174+1,FALSE)</f>
        <v>#N/A</v>
      </c>
      <c r="AI174" s="44" t="e">
        <f t="shared" si="108"/>
        <v>#N/A</v>
      </c>
      <c r="AJ174" s="44" t="e">
        <f t="shared" si="109"/>
        <v>#N/A</v>
      </c>
      <c r="AK174" s="44" t="e">
        <f>HLOOKUP(I174,ElecAvoidedCostsWOCC!$A$5:$Q$50,G174+1,FALSE)*J174*L174</f>
        <v>#N/A</v>
      </c>
      <c r="AL174" s="44" t="e">
        <f t="shared" si="110"/>
        <v>#N/A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111"/>
        <v>0</v>
      </c>
      <c r="AO174" s="47">
        <f t="shared" si="112"/>
        <v>0</v>
      </c>
      <c r="AP174" s="47" t="e">
        <f t="shared" si="113"/>
        <v>#DIV/0!</v>
      </c>
    </row>
    <row r="175" spans="2:42">
      <c r="B175" s="97" t="s">
        <v>15</v>
      </c>
      <c r="C175" s="100"/>
      <c r="D175" s="100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95"/>
        <v>0</v>
      </c>
      <c r="U175" s="47">
        <f t="shared" si="96"/>
        <v>0</v>
      </c>
      <c r="V175" s="48">
        <f t="shared" si="97"/>
        <v>0</v>
      </c>
      <c r="W175" s="49">
        <f t="shared" si="98"/>
        <v>0</v>
      </c>
      <c r="X175" s="44">
        <f t="shared" si="99"/>
        <v>0</v>
      </c>
      <c r="Y175" s="44">
        <f t="shared" si="100"/>
        <v>0</v>
      </c>
      <c r="Z175" s="44">
        <f t="shared" si="101"/>
        <v>0</v>
      </c>
      <c r="AA175" s="50">
        <f t="shared" si="102"/>
        <v>0</v>
      </c>
      <c r="AB175" s="51">
        <f t="shared" si="103"/>
        <v>0</v>
      </c>
      <c r="AC175" s="44">
        <f t="shared" si="104"/>
        <v>0</v>
      </c>
      <c r="AD175" s="44">
        <f t="shared" si="105"/>
        <v>0</v>
      </c>
      <c r="AE175" s="44">
        <f t="shared" si="106"/>
        <v>0</v>
      </c>
      <c r="AF175" s="52" t="e">
        <f>HLOOKUP(I175,ElecAvoidedCostsWOCC!$A$5:$Q$50,G175+1,FALSE)</f>
        <v>#N/A</v>
      </c>
      <c r="AG175" s="44" t="e">
        <f t="shared" si="107"/>
        <v>#N/A</v>
      </c>
      <c r="AH175" s="52" t="e">
        <f>HLOOKUP(I175,ElecAvoidedCostsWOCC!$A$5:$Q$50,T175+1,FALSE)</f>
        <v>#N/A</v>
      </c>
      <c r="AI175" s="44" t="e">
        <f t="shared" si="108"/>
        <v>#N/A</v>
      </c>
      <c r="AJ175" s="44" t="e">
        <f t="shared" si="109"/>
        <v>#N/A</v>
      </c>
      <c r="AK175" s="44" t="e">
        <f>HLOOKUP(I175,ElecAvoidedCostsWOCC!$A$5:$Q$50,G175+1,FALSE)*J175*L175</f>
        <v>#N/A</v>
      </c>
      <c r="AL175" s="44" t="e">
        <f t="shared" si="110"/>
        <v>#N/A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111"/>
        <v>0</v>
      </c>
      <c r="AO175" s="47">
        <f t="shared" si="112"/>
        <v>0</v>
      </c>
      <c r="AP175" s="47" t="e">
        <f t="shared" si="113"/>
        <v>#DIV/0!</v>
      </c>
    </row>
    <row r="176" spans="2:42">
      <c r="B176" s="97" t="s">
        <v>15</v>
      </c>
      <c r="C176" s="100"/>
      <c r="D176" s="100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95"/>
        <v>0</v>
      </c>
      <c r="U176" s="47">
        <f t="shared" si="96"/>
        <v>0</v>
      </c>
      <c r="V176" s="48">
        <f t="shared" si="97"/>
        <v>0</v>
      </c>
      <c r="W176" s="49">
        <f t="shared" si="98"/>
        <v>0</v>
      </c>
      <c r="X176" s="44">
        <f t="shared" si="99"/>
        <v>0</v>
      </c>
      <c r="Y176" s="44">
        <f t="shared" si="100"/>
        <v>0</v>
      </c>
      <c r="Z176" s="44">
        <f t="shared" si="101"/>
        <v>0</v>
      </c>
      <c r="AA176" s="50">
        <f t="shared" si="102"/>
        <v>0</v>
      </c>
      <c r="AB176" s="51">
        <f t="shared" si="103"/>
        <v>0</v>
      </c>
      <c r="AC176" s="44">
        <f t="shared" si="104"/>
        <v>0</v>
      </c>
      <c r="AD176" s="44">
        <f t="shared" si="105"/>
        <v>0</v>
      </c>
      <c r="AE176" s="44">
        <f t="shared" si="106"/>
        <v>0</v>
      </c>
      <c r="AF176" s="52" t="e">
        <f>HLOOKUP(I176,ElecAvoidedCostsWOCC!$A$5:$Q$50,G176+1,FALSE)</f>
        <v>#N/A</v>
      </c>
      <c r="AG176" s="44" t="e">
        <f t="shared" si="107"/>
        <v>#N/A</v>
      </c>
      <c r="AH176" s="52" t="e">
        <f>HLOOKUP(I176,ElecAvoidedCostsWOCC!$A$5:$Q$50,T176+1,FALSE)</f>
        <v>#N/A</v>
      </c>
      <c r="AI176" s="44" t="e">
        <f t="shared" si="108"/>
        <v>#N/A</v>
      </c>
      <c r="AJ176" s="44" t="e">
        <f t="shared" si="109"/>
        <v>#N/A</v>
      </c>
      <c r="AK176" s="44" t="e">
        <f>HLOOKUP(I176,ElecAvoidedCostsWOCC!$A$5:$Q$50,G176+1,FALSE)*J176*L176</f>
        <v>#N/A</v>
      </c>
      <c r="AL176" s="44" t="e">
        <f t="shared" si="110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111"/>
        <v>0</v>
      </c>
      <c r="AO176" s="47">
        <f t="shared" si="112"/>
        <v>0</v>
      </c>
      <c r="AP176" s="47" t="e">
        <f t="shared" si="113"/>
        <v>#DIV/0!</v>
      </c>
    </row>
    <row r="177" spans="2:42">
      <c r="B177" s="97" t="s">
        <v>15</v>
      </c>
      <c r="C177" s="100"/>
      <c r="D177" s="100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95"/>
        <v>0</v>
      </c>
      <c r="U177" s="47">
        <f t="shared" si="96"/>
        <v>0</v>
      </c>
      <c r="V177" s="48">
        <f t="shared" si="97"/>
        <v>0</v>
      </c>
      <c r="W177" s="49">
        <f t="shared" si="98"/>
        <v>0</v>
      </c>
      <c r="X177" s="44">
        <f t="shared" si="99"/>
        <v>0</v>
      </c>
      <c r="Y177" s="44">
        <f t="shared" si="100"/>
        <v>0</v>
      </c>
      <c r="Z177" s="44">
        <f t="shared" si="101"/>
        <v>0</v>
      </c>
      <c r="AA177" s="50">
        <f t="shared" si="102"/>
        <v>0</v>
      </c>
      <c r="AB177" s="51">
        <f t="shared" si="103"/>
        <v>0</v>
      </c>
      <c r="AC177" s="44">
        <f t="shared" si="104"/>
        <v>0</v>
      </c>
      <c r="AD177" s="44">
        <f t="shared" si="105"/>
        <v>0</v>
      </c>
      <c r="AE177" s="44">
        <f t="shared" si="106"/>
        <v>0</v>
      </c>
      <c r="AF177" s="52" t="e">
        <f>HLOOKUP(I177,ElecAvoidedCostsWOCC!$A$5:$Q$50,G177+1,FALSE)</f>
        <v>#N/A</v>
      </c>
      <c r="AG177" s="44" t="e">
        <f t="shared" si="107"/>
        <v>#N/A</v>
      </c>
      <c r="AH177" s="52" t="e">
        <f>HLOOKUP(I177,ElecAvoidedCostsWOCC!$A$5:$Q$50,T177+1,FALSE)</f>
        <v>#N/A</v>
      </c>
      <c r="AI177" s="44" t="e">
        <f t="shared" si="108"/>
        <v>#N/A</v>
      </c>
      <c r="AJ177" s="44" t="e">
        <f t="shared" si="109"/>
        <v>#N/A</v>
      </c>
      <c r="AK177" s="44" t="e">
        <f>HLOOKUP(I177,ElecAvoidedCostsWOCC!$A$5:$Q$50,G177+1,FALSE)*J177*L177</f>
        <v>#N/A</v>
      </c>
      <c r="AL177" s="44" t="e">
        <f t="shared" si="110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111"/>
        <v>0</v>
      </c>
      <c r="AO177" s="47">
        <f t="shared" si="112"/>
        <v>0</v>
      </c>
      <c r="AP177" s="47" t="e">
        <f t="shared" si="113"/>
        <v>#DIV/0!</v>
      </c>
    </row>
    <row r="178" spans="2:42">
      <c r="B178" s="97" t="s">
        <v>15</v>
      </c>
      <c r="C178" s="100"/>
      <c r="D178" s="100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95"/>
        <v>0</v>
      </c>
      <c r="U178" s="47">
        <f t="shared" si="96"/>
        <v>0</v>
      </c>
      <c r="V178" s="48">
        <f t="shared" si="97"/>
        <v>0</v>
      </c>
      <c r="W178" s="49">
        <f t="shared" si="98"/>
        <v>0</v>
      </c>
      <c r="X178" s="44">
        <f t="shared" si="99"/>
        <v>0</v>
      </c>
      <c r="Y178" s="44">
        <f t="shared" si="100"/>
        <v>0</v>
      </c>
      <c r="Z178" s="44">
        <f t="shared" si="101"/>
        <v>0</v>
      </c>
      <c r="AA178" s="50">
        <f t="shared" si="102"/>
        <v>0</v>
      </c>
      <c r="AB178" s="51">
        <f t="shared" si="103"/>
        <v>0</v>
      </c>
      <c r="AC178" s="44">
        <f t="shared" si="104"/>
        <v>0</v>
      </c>
      <c r="AD178" s="44">
        <f t="shared" si="105"/>
        <v>0</v>
      </c>
      <c r="AE178" s="44">
        <f t="shared" si="106"/>
        <v>0</v>
      </c>
      <c r="AF178" s="52" t="e">
        <f>HLOOKUP(I178,ElecAvoidedCostsWOCC!$A$5:$Q$50,G178+1,FALSE)</f>
        <v>#N/A</v>
      </c>
      <c r="AG178" s="44" t="e">
        <f t="shared" si="107"/>
        <v>#N/A</v>
      </c>
      <c r="AH178" s="52" t="e">
        <f>HLOOKUP(I178,ElecAvoidedCostsWOCC!$A$5:$Q$50,T178+1,FALSE)</f>
        <v>#N/A</v>
      </c>
      <c r="AI178" s="44" t="e">
        <f t="shared" si="108"/>
        <v>#N/A</v>
      </c>
      <c r="AJ178" s="44" t="e">
        <f t="shared" si="109"/>
        <v>#N/A</v>
      </c>
      <c r="AK178" s="44" t="e">
        <f>HLOOKUP(I178,ElecAvoidedCostsWOCC!$A$5:$Q$50,G178+1,FALSE)*J178*L178</f>
        <v>#N/A</v>
      </c>
      <c r="AL178" s="44" t="e">
        <f t="shared" si="110"/>
        <v>#N/A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8">
        <f t="shared" si="111"/>
        <v>0</v>
      </c>
      <c r="AO178" s="47">
        <f t="shared" si="112"/>
        <v>0</v>
      </c>
      <c r="AP178" s="47" t="e">
        <f t="shared" si="113"/>
        <v>#DIV/0!</v>
      </c>
    </row>
    <row r="179" spans="2:42">
      <c r="B179" s="97" t="s">
        <v>15</v>
      </c>
      <c r="C179" s="100"/>
      <c r="D179" s="100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95"/>
        <v>0</v>
      </c>
      <c r="U179" s="47">
        <f t="shared" si="96"/>
        <v>0</v>
      </c>
      <c r="V179" s="48">
        <f t="shared" si="97"/>
        <v>0</v>
      </c>
      <c r="W179" s="49">
        <f t="shared" si="98"/>
        <v>0</v>
      </c>
      <c r="X179" s="44">
        <f t="shared" si="99"/>
        <v>0</v>
      </c>
      <c r="Y179" s="44">
        <f t="shared" si="100"/>
        <v>0</v>
      </c>
      <c r="Z179" s="44">
        <f t="shared" si="101"/>
        <v>0</v>
      </c>
      <c r="AA179" s="50">
        <f t="shared" si="102"/>
        <v>0</v>
      </c>
      <c r="AB179" s="51">
        <f t="shared" si="103"/>
        <v>0</v>
      </c>
      <c r="AC179" s="44">
        <f t="shared" si="104"/>
        <v>0</v>
      </c>
      <c r="AD179" s="44">
        <f t="shared" si="105"/>
        <v>0</v>
      </c>
      <c r="AE179" s="44">
        <f t="shared" si="106"/>
        <v>0</v>
      </c>
      <c r="AF179" s="52" t="e">
        <f>HLOOKUP(I179,ElecAvoidedCostsWOCC!$A$5:$Q$50,G179+1,FALSE)</f>
        <v>#N/A</v>
      </c>
      <c r="AG179" s="44" t="e">
        <f t="shared" si="107"/>
        <v>#N/A</v>
      </c>
      <c r="AH179" s="52" t="e">
        <f>HLOOKUP(I179,ElecAvoidedCostsWOCC!$A$5:$Q$50,T179+1,FALSE)</f>
        <v>#N/A</v>
      </c>
      <c r="AI179" s="44" t="e">
        <f t="shared" si="108"/>
        <v>#N/A</v>
      </c>
      <c r="AJ179" s="44" t="e">
        <f t="shared" si="109"/>
        <v>#N/A</v>
      </c>
      <c r="AK179" s="44" t="e">
        <f>HLOOKUP(I179,ElecAvoidedCostsWOCC!$A$5:$Q$50,G179+1,FALSE)*J179*L179</f>
        <v>#N/A</v>
      </c>
      <c r="AL179" s="44" t="e">
        <f t="shared" si="110"/>
        <v>#N/A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8">
        <f t="shared" si="111"/>
        <v>0</v>
      </c>
      <c r="AO179" s="47">
        <f t="shared" si="112"/>
        <v>0</v>
      </c>
      <c r="AP179" s="47" t="e">
        <f t="shared" si="113"/>
        <v>#DIV/0!</v>
      </c>
    </row>
    <row r="180" spans="2:42">
      <c r="B180" s="97" t="s">
        <v>15</v>
      </c>
      <c r="C180" s="100"/>
      <c r="D180" s="100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95"/>
        <v>0</v>
      </c>
      <c r="U180" s="47">
        <f t="shared" si="96"/>
        <v>0</v>
      </c>
      <c r="V180" s="48">
        <f t="shared" si="97"/>
        <v>0</v>
      </c>
      <c r="W180" s="49">
        <f t="shared" si="98"/>
        <v>0</v>
      </c>
      <c r="X180" s="44">
        <f t="shared" si="99"/>
        <v>0</v>
      </c>
      <c r="Y180" s="44">
        <f t="shared" si="100"/>
        <v>0</v>
      </c>
      <c r="Z180" s="44">
        <f t="shared" si="101"/>
        <v>0</v>
      </c>
      <c r="AA180" s="50">
        <f t="shared" si="102"/>
        <v>0</v>
      </c>
      <c r="AB180" s="51">
        <f t="shared" si="103"/>
        <v>0</v>
      </c>
      <c r="AC180" s="44">
        <f t="shared" si="104"/>
        <v>0</v>
      </c>
      <c r="AD180" s="44">
        <f t="shared" si="105"/>
        <v>0</v>
      </c>
      <c r="AE180" s="44">
        <f t="shared" si="106"/>
        <v>0</v>
      </c>
      <c r="AF180" s="52" t="e">
        <f>HLOOKUP(I180,ElecAvoidedCostsWOCC!$A$5:$Q$50,G180+1,FALSE)</f>
        <v>#N/A</v>
      </c>
      <c r="AG180" s="44" t="e">
        <f t="shared" si="107"/>
        <v>#N/A</v>
      </c>
      <c r="AH180" s="52" t="e">
        <f>HLOOKUP(I180,ElecAvoidedCostsWOCC!$A$5:$Q$50,T180+1,FALSE)</f>
        <v>#N/A</v>
      </c>
      <c r="AI180" s="44" t="e">
        <f t="shared" si="108"/>
        <v>#N/A</v>
      </c>
      <c r="AJ180" s="44" t="e">
        <f t="shared" si="109"/>
        <v>#N/A</v>
      </c>
      <c r="AK180" s="44" t="e">
        <f>HLOOKUP(I180,ElecAvoidedCostsWOCC!$A$5:$Q$50,G180+1,FALSE)*J180*L180</f>
        <v>#N/A</v>
      </c>
      <c r="AL180" s="44" t="e">
        <f t="shared" si="110"/>
        <v>#N/A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8">
        <f t="shared" si="111"/>
        <v>0</v>
      </c>
      <c r="AO180" s="47">
        <f t="shared" si="112"/>
        <v>0</v>
      </c>
      <c r="AP180" s="47" t="e">
        <f t="shared" si="113"/>
        <v>#DIV/0!</v>
      </c>
    </row>
    <row r="181" spans="2:42">
      <c r="B181" s="97" t="s">
        <v>15</v>
      </c>
      <c r="C181" s="100"/>
      <c r="D181" s="100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95"/>
        <v>0</v>
      </c>
      <c r="U181" s="47">
        <f t="shared" si="96"/>
        <v>0</v>
      </c>
      <c r="V181" s="48">
        <f t="shared" si="97"/>
        <v>0</v>
      </c>
      <c r="W181" s="49">
        <f t="shared" si="98"/>
        <v>0</v>
      </c>
      <c r="X181" s="44">
        <f t="shared" si="99"/>
        <v>0</v>
      </c>
      <c r="Y181" s="44">
        <f t="shared" si="100"/>
        <v>0</v>
      </c>
      <c r="Z181" s="44">
        <f t="shared" si="101"/>
        <v>0</v>
      </c>
      <c r="AA181" s="50">
        <f t="shared" si="102"/>
        <v>0</v>
      </c>
      <c r="AB181" s="51">
        <f t="shared" si="103"/>
        <v>0</v>
      </c>
      <c r="AC181" s="44">
        <f t="shared" si="104"/>
        <v>0</v>
      </c>
      <c r="AD181" s="44">
        <f t="shared" si="105"/>
        <v>0</v>
      </c>
      <c r="AE181" s="44">
        <f t="shared" si="106"/>
        <v>0</v>
      </c>
      <c r="AF181" s="52" t="e">
        <f>HLOOKUP(I181,ElecAvoidedCostsWOCC!$A$5:$Q$50,G181+1,FALSE)</f>
        <v>#N/A</v>
      </c>
      <c r="AG181" s="44" t="e">
        <f t="shared" si="107"/>
        <v>#N/A</v>
      </c>
      <c r="AH181" s="52" t="e">
        <f>HLOOKUP(I181,ElecAvoidedCostsWOCC!$A$5:$Q$50,T181+1,FALSE)</f>
        <v>#N/A</v>
      </c>
      <c r="AI181" s="44" t="e">
        <f t="shared" si="108"/>
        <v>#N/A</v>
      </c>
      <c r="AJ181" s="44" t="e">
        <f t="shared" si="109"/>
        <v>#N/A</v>
      </c>
      <c r="AK181" s="44" t="e">
        <f>HLOOKUP(I181,ElecAvoidedCostsWOCC!$A$5:$Q$50,G181+1,FALSE)*J181*L181</f>
        <v>#N/A</v>
      </c>
      <c r="AL181" s="44" t="e">
        <f t="shared" si="110"/>
        <v>#N/A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8">
        <f t="shared" si="111"/>
        <v>0</v>
      </c>
      <c r="AO181" s="47">
        <f t="shared" si="112"/>
        <v>0</v>
      </c>
      <c r="AP181" s="47" t="e">
        <f t="shared" si="113"/>
        <v>#DIV/0!</v>
      </c>
    </row>
    <row r="182" spans="2:42">
      <c r="B182" s="97" t="s">
        <v>15</v>
      </c>
      <c r="C182" s="100"/>
      <c r="D182" s="100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95"/>
        <v>0</v>
      </c>
      <c r="U182" s="47">
        <f t="shared" si="96"/>
        <v>0</v>
      </c>
      <c r="V182" s="48">
        <f t="shared" si="97"/>
        <v>0</v>
      </c>
      <c r="W182" s="49">
        <f t="shared" si="98"/>
        <v>0</v>
      </c>
      <c r="X182" s="44">
        <f t="shared" si="99"/>
        <v>0</v>
      </c>
      <c r="Y182" s="44">
        <f t="shared" si="100"/>
        <v>0</v>
      </c>
      <c r="Z182" s="44">
        <f t="shared" si="101"/>
        <v>0</v>
      </c>
      <c r="AA182" s="50">
        <f t="shared" si="102"/>
        <v>0</v>
      </c>
      <c r="AB182" s="51">
        <f t="shared" si="103"/>
        <v>0</v>
      </c>
      <c r="AC182" s="44">
        <f t="shared" si="104"/>
        <v>0</v>
      </c>
      <c r="AD182" s="44">
        <f t="shared" si="105"/>
        <v>0</v>
      </c>
      <c r="AE182" s="44">
        <f t="shared" si="106"/>
        <v>0</v>
      </c>
      <c r="AF182" s="52" t="e">
        <f>HLOOKUP(I182,ElecAvoidedCostsWOCC!$A$5:$Q$50,G182+1,FALSE)</f>
        <v>#N/A</v>
      </c>
      <c r="AG182" s="44" t="e">
        <f t="shared" si="107"/>
        <v>#N/A</v>
      </c>
      <c r="AH182" s="52" t="e">
        <f>HLOOKUP(I182,ElecAvoidedCostsWOCC!$A$5:$Q$50,T182+1,FALSE)</f>
        <v>#N/A</v>
      </c>
      <c r="AI182" s="44" t="e">
        <f t="shared" si="108"/>
        <v>#N/A</v>
      </c>
      <c r="AJ182" s="44" t="e">
        <f t="shared" si="109"/>
        <v>#N/A</v>
      </c>
      <c r="AK182" s="44" t="e">
        <f>HLOOKUP(I182,ElecAvoidedCostsWOCC!$A$5:$Q$50,G182+1,FALSE)*J182*L182</f>
        <v>#N/A</v>
      </c>
      <c r="AL182" s="44" t="e">
        <f t="shared" si="110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111"/>
        <v>0</v>
      </c>
      <c r="AO182" s="47">
        <f t="shared" si="112"/>
        <v>0</v>
      </c>
      <c r="AP182" s="47" t="e">
        <f t="shared" si="113"/>
        <v>#DIV/0!</v>
      </c>
    </row>
    <row r="183" spans="2:42">
      <c r="B183" s="97" t="s">
        <v>15</v>
      </c>
      <c r="C183" s="100"/>
      <c r="D183" s="100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95"/>
        <v>0</v>
      </c>
      <c r="U183" s="47">
        <f t="shared" si="96"/>
        <v>0</v>
      </c>
      <c r="V183" s="48">
        <f t="shared" si="97"/>
        <v>0</v>
      </c>
      <c r="W183" s="49">
        <f t="shared" si="98"/>
        <v>0</v>
      </c>
      <c r="X183" s="44">
        <f t="shared" si="99"/>
        <v>0</v>
      </c>
      <c r="Y183" s="44">
        <f t="shared" si="100"/>
        <v>0</v>
      </c>
      <c r="Z183" s="44">
        <f t="shared" si="101"/>
        <v>0</v>
      </c>
      <c r="AA183" s="50">
        <f t="shared" si="102"/>
        <v>0</v>
      </c>
      <c r="AB183" s="51">
        <f t="shared" si="103"/>
        <v>0</v>
      </c>
      <c r="AC183" s="44">
        <f t="shared" si="104"/>
        <v>0</v>
      </c>
      <c r="AD183" s="44">
        <f t="shared" si="105"/>
        <v>0</v>
      </c>
      <c r="AE183" s="44">
        <f t="shared" si="106"/>
        <v>0</v>
      </c>
      <c r="AF183" s="52" t="e">
        <f>HLOOKUP(I183,ElecAvoidedCostsWOCC!$A$5:$Q$50,G183+1,FALSE)</f>
        <v>#N/A</v>
      </c>
      <c r="AG183" s="44" t="e">
        <f t="shared" si="107"/>
        <v>#N/A</v>
      </c>
      <c r="AH183" s="52" t="e">
        <f>HLOOKUP(I183,ElecAvoidedCostsWOCC!$A$5:$Q$50,T183+1,FALSE)</f>
        <v>#N/A</v>
      </c>
      <c r="AI183" s="44" t="e">
        <f t="shared" si="108"/>
        <v>#N/A</v>
      </c>
      <c r="AJ183" s="44" t="e">
        <f t="shared" si="109"/>
        <v>#N/A</v>
      </c>
      <c r="AK183" s="44" t="e">
        <f>HLOOKUP(I183,ElecAvoidedCostsWOCC!$A$5:$Q$50,G183+1,FALSE)*J183*L183</f>
        <v>#N/A</v>
      </c>
      <c r="AL183" s="44" t="e">
        <f t="shared" si="110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111"/>
        <v>0</v>
      </c>
      <c r="AO183" s="47">
        <f t="shared" si="112"/>
        <v>0</v>
      </c>
      <c r="AP183" s="47" t="e">
        <f t="shared" si="113"/>
        <v>#DIV/0!</v>
      </c>
    </row>
    <row r="184" spans="2:42">
      <c r="B184" s="97" t="s">
        <v>15</v>
      </c>
      <c r="C184" s="100"/>
      <c r="D184" s="100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95"/>
        <v>0</v>
      </c>
      <c r="U184" s="47">
        <f t="shared" si="96"/>
        <v>0</v>
      </c>
      <c r="V184" s="48">
        <f t="shared" si="97"/>
        <v>0</v>
      </c>
      <c r="W184" s="49">
        <f t="shared" si="98"/>
        <v>0</v>
      </c>
      <c r="X184" s="44">
        <f t="shared" si="99"/>
        <v>0</v>
      </c>
      <c r="Y184" s="44">
        <f t="shared" si="100"/>
        <v>0</v>
      </c>
      <c r="Z184" s="44">
        <f t="shared" si="101"/>
        <v>0</v>
      </c>
      <c r="AA184" s="50">
        <f t="shared" si="102"/>
        <v>0</v>
      </c>
      <c r="AB184" s="51">
        <f t="shared" si="103"/>
        <v>0</v>
      </c>
      <c r="AC184" s="44">
        <f t="shared" si="104"/>
        <v>0</v>
      </c>
      <c r="AD184" s="44">
        <f t="shared" si="105"/>
        <v>0</v>
      </c>
      <c r="AE184" s="44">
        <f t="shared" si="106"/>
        <v>0</v>
      </c>
      <c r="AF184" s="52" t="e">
        <f>HLOOKUP(I184,ElecAvoidedCostsWOCC!$A$5:$Q$50,G184+1,FALSE)</f>
        <v>#N/A</v>
      </c>
      <c r="AG184" s="44" t="e">
        <f t="shared" si="107"/>
        <v>#N/A</v>
      </c>
      <c r="AH184" s="52" t="e">
        <f>HLOOKUP(I184,ElecAvoidedCostsWOCC!$A$5:$Q$50,T184+1,FALSE)</f>
        <v>#N/A</v>
      </c>
      <c r="AI184" s="44" t="e">
        <f t="shared" si="108"/>
        <v>#N/A</v>
      </c>
      <c r="AJ184" s="44" t="e">
        <f t="shared" si="109"/>
        <v>#N/A</v>
      </c>
      <c r="AK184" s="44" t="e">
        <f>HLOOKUP(I184,ElecAvoidedCostsWOCC!$A$5:$Q$50,G184+1,FALSE)*J184*L184</f>
        <v>#N/A</v>
      </c>
      <c r="AL184" s="44" t="e">
        <f t="shared" si="110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111"/>
        <v>0</v>
      </c>
      <c r="AO184" s="47">
        <f t="shared" si="112"/>
        <v>0</v>
      </c>
      <c r="AP184" s="47" t="e">
        <f t="shared" si="113"/>
        <v>#DIV/0!</v>
      </c>
    </row>
    <row r="185" spans="2:42">
      <c r="B185" s="97" t="s">
        <v>15</v>
      </c>
      <c r="C185" s="100"/>
      <c r="D185" s="100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95"/>
        <v>0</v>
      </c>
      <c r="U185" s="47">
        <f t="shared" si="96"/>
        <v>0</v>
      </c>
      <c r="V185" s="48">
        <f t="shared" si="97"/>
        <v>0</v>
      </c>
      <c r="W185" s="49">
        <f t="shared" si="98"/>
        <v>0</v>
      </c>
      <c r="X185" s="44">
        <f t="shared" si="99"/>
        <v>0</v>
      </c>
      <c r="Y185" s="44">
        <f t="shared" si="100"/>
        <v>0</v>
      </c>
      <c r="Z185" s="44">
        <f t="shared" si="101"/>
        <v>0</v>
      </c>
      <c r="AA185" s="50">
        <f t="shared" si="102"/>
        <v>0</v>
      </c>
      <c r="AB185" s="51">
        <f t="shared" si="103"/>
        <v>0</v>
      </c>
      <c r="AC185" s="44">
        <f t="shared" si="104"/>
        <v>0</v>
      </c>
      <c r="AD185" s="44">
        <f t="shared" si="105"/>
        <v>0</v>
      </c>
      <c r="AE185" s="44">
        <f t="shared" si="106"/>
        <v>0</v>
      </c>
      <c r="AF185" s="52" t="e">
        <f>HLOOKUP(I185,ElecAvoidedCostsWOCC!$A$5:$Q$50,G185+1,FALSE)</f>
        <v>#N/A</v>
      </c>
      <c r="AG185" s="44" t="e">
        <f t="shared" si="107"/>
        <v>#N/A</v>
      </c>
      <c r="AH185" s="52" t="e">
        <f>HLOOKUP(I185,ElecAvoidedCostsWOCC!$A$5:$Q$50,T185+1,FALSE)</f>
        <v>#N/A</v>
      </c>
      <c r="AI185" s="44" t="e">
        <f t="shared" si="108"/>
        <v>#N/A</v>
      </c>
      <c r="AJ185" s="44" t="e">
        <f t="shared" si="109"/>
        <v>#N/A</v>
      </c>
      <c r="AK185" s="44" t="e">
        <f>HLOOKUP(I185,ElecAvoidedCostsWOCC!$A$5:$Q$50,G185+1,FALSE)*J185*L185</f>
        <v>#N/A</v>
      </c>
      <c r="AL185" s="44" t="e">
        <f t="shared" si="110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111"/>
        <v>0</v>
      </c>
      <c r="AO185" s="47">
        <f t="shared" si="112"/>
        <v>0</v>
      </c>
      <c r="AP185" s="47" t="e">
        <f t="shared" si="113"/>
        <v>#DIV/0!</v>
      </c>
    </row>
    <row r="186" spans="2:42">
      <c r="B186" s="97" t="s">
        <v>15</v>
      </c>
      <c r="C186" s="100"/>
      <c r="D186" s="100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95"/>
        <v>0</v>
      </c>
      <c r="U186" s="47">
        <f t="shared" si="96"/>
        <v>0</v>
      </c>
      <c r="V186" s="48">
        <f t="shared" si="97"/>
        <v>0</v>
      </c>
      <c r="W186" s="49">
        <f t="shared" si="98"/>
        <v>0</v>
      </c>
      <c r="X186" s="44">
        <f t="shared" si="99"/>
        <v>0</v>
      </c>
      <c r="Y186" s="44">
        <f t="shared" si="100"/>
        <v>0</v>
      </c>
      <c r="Z186" s="44">
        <f t="shared" si="101"/>
        <v>0</v>
      </c>
      <c r="AA186" s="50">
        <f t="shared" si="102"/>
        <v>0</v>
      </c>
      <c r="AB186" s="51">
        <f t="shared" si="103"/>
        <v>0</v>
      </c>
      <c r="AC186" s="44">
        <f t="shared" si="104"/>
        <v>0</v>
      </c>
      <c r="AD186" s="44">
        <f t="shared" si="105"/>
        <v>0</v>
      </c>
      <c r="AE186" s="44">
        <f t="shared" si="106"/>
        <v>0</v>
      </c>
      <c r="AF186" s="52" t="e">
        <f>HLOOKUP(I186,ElecAvoidedCostsWOCC!$A$5:$Q$50,G186+1,FALSE)</f>
        <v>#N/A</v>
      </c>
      <c r="AG186" s="44" t="e">
        <f t="shared" si="107"/>
        <v>#N/A</v>
      </c>
      <c r="AH186" s="52" t="e">
        <f>HLOOKUP(I186,ElecAvoidedCostsWOCC!$A$5:$Q$50,T186+1,FALSE)</f>
        <v>#N/A</v>
      </c>
      <c r="AI186" s="44" t="e">
        <f t="shared" si="108"/>
        <v>#N/A</v>
      </c>
      <c r="AJ186" s="44" t="e">
        <f t="shared" si="109"/>
        <v>#N/A</v>
      </c>
      <c r="AK186" s="44" t="e">
        <f>HLOOKUP(I186,ElecAvoidedCostsWOCC!$A$5:$Q$50,G186+1,FALSE)*J186*L186</f>
        <v>#N/A</v>
      </c>
      <c r="AL186" s="44" t="e">
        <f t="shared" si="110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111"/>
        <v>0</v>
      </c>
      <c r="AO186" s="47">
        <f t="shared" si="112"/>
        <v>0</v>
      </c>
      <c r="AP186" s="47" t="e">
        <f t="shared" si="113"/>
        <v>#DIV/0!</v>
      </c>
    </row>
    <row r="187" spans="2:42">
      <c r="B187" s="97" t="s">
        <v>15</v>
      </c>
      <c r="C187" s="100"/>
      <c r="D187" s="100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95"/>
        <v>0</v>
      </c>
      <c r="U187" s="47">
        <f t="shared" si="96"/>
        <v>0</v>
      </c>
      <c r="V187" s="48">
        <f t="shared" si="97"/>
        <v>0</v>
      </c>
      <c r="W187" s="49">
        <f t="shared" si="98"/>
        <v>0</v>
      </c>
      <c r="X187" s="44">
        <f t="shared" si="99"/>
        <v>0</v>
      </c>
      <c r="Y187" s="44">
        <f t="shared" si="100"/>
        <v>0</v>
      </c>
      <c r="Z187" s="44">
        <f t="shared" si="101"/>
        <v>0</v>
      </c>
      <c r="AA187" s="50">
        <f t="shared" si="102"/>
        <v>0</v>
      </c>
      <c r="AB187" s="51">
        <f t="shared" si="103"/>
        <v>0</v>
      </c>
      <c r="AC187" s="44">
        <f t="shared" si="104"/>
        <v>0</v>
      </c>
      <c r="AD187" s="44">
        <f t="shared" si="105"/>
        <v>0</v>
      </c>
      <c r="AE187" s="44">
        <f t="shared" si="106"/>
        <v>0</v>
      </c>
      <c r="AF187" s="52" t="e">
        <f>HLOOKUP(I187,ElecAvoidedCostsWOCC!$A$5:$Q$50,G187+1,FALSE)</f>
        <v>#N/A</v>
      </c>
      <c r="AG187" s="44" t="e">
        <f t="shared" si="107"/>
        <v>#N/A</v>
      </c>
      <c r="AH187" s="52" t="e">
        <f>HLOOKUP(I187,ElecAvoidedCostsWOCC!$A$5:$Q$50,T187+1,FALSE)</f>
        <v>#N/A</v>
      </c>
      <c r="AI187" s="44" t="e">
        <f t="shared" si="108"/>
        <v>#N/A</v>
      </c>
      <c r="AJ187" s="44" t="e">
        <f t="shared" si="109"/>
        <v>#N/A</v>
      </c>
      <c r="AK187" s="44" t="e">
        <f>HLOOKUP(I187,ElecAvoidedCostsWOCC!$A$5:$Q$50,G187+1,FALSE)*J187*L187</f>
        <v>#N/A</v>
      </c>
      <c r="AL187" s="44" t="e">
        <f t="shared" si="110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111"/>
        <v>0</v>
      </c>
      <c r="AO187" s="47">
        <f t="shared" si="112"/>
        <v>0</v>
      </c>
      <c r="AP187" s="47" t="e">
        <f t="shared" si="113"/>
        <v>#DIV/0!</v>
      </c>
    </row>
    <row r="188" spans="2:42">
      <c r="B188" s="97" t="s">
        <v>15</v>
      </c>
      <c r="C188" s="100"/>
      <c r="D188" s="100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95"/>
        <v>0</v>
      </c>
      <c r="U188" s="47">
        <f t="shared" si="96"/>
        <v>0</v>
      </c>
      <c r="V188" s="48">
        <f t="shared" si="97"/>
        <v>0</v>
      </c>
      <c r="W188" s="49">
        <f t="shared" si="98"/>
        <v>0</v>
      </c>
      <c r="X188" s="44">
        <f t="shared" si="99"/>
        <v>0</v>
      </c>
      <c r="Y188" s="44">
        <f t="shared" si="100"/>
        <v>0</v>
      </c>
      <c r="Z188" s="44">
        <f t="shared" si="101"/>
        <v>0</v>
      </c>
      <c r="AA188" s="50">
        <f t="shared" si="102"/>
        <v>0</v>
      </c>
      <c r="AB188" s="51">
        <f t="shared" si="103"/>
        <v>0</v>
      </c>
      <c r="AC188" s="44">
        <f t="shared" si="104"/>
        <v>0</v>
      </c>
      <c r="AD188" s="44">
        <f t="shared" si="105"/>
        <v>0</v>
      </c>
      <c r="AE188" s="44">
        <f t="shared" si="106"/>
        <v>0</v>
      </c>
      <c r="AF188" s="52" t="e">
        <f>HLOOKUP(I188,ElecAvoidedCostsWOCC!$A$5:$Q$50,G188+1,FALSE)</f>
        <v>#N/A</v>
      </c>
      <c r="AG188" s="44" t="e">
        <f t="shared" si="107"/>
        <v>#N/A</v>
      </c>
      <c r="AH188" s="52" t="e">
        <f>HLOOKUP(I188,ElecAvoidedCostsWOCC!$A$5:$Q$50,T188+1,FALSE)</f>
        <v>#N/A</v>
      </c>
      <c r="AI188" s="44" t="e">
        <f t="shared" si="108"/>
        <v>#N/A</v>
      </c>
      <c r="AJ188" s="44" t="e">
        <f t="shared" si="109"/>
        <v>#N/A</v>
      </c>
      <c r="AK188" s="44" t="e">
        <f>HLOOKUP(I188,ElecAvoidedCostsWOCC!$A$5:$Q$50,G188+1,FALSE)*J188*L188</f>
        <v>#N/A</v>
      </c>
      <c r="AL188" s="44" t="e">
        <f t="shared" si="110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111"/>
        <v>0</v>
      </c>
      <c r="AO188" s="47">
        <f t="shared" si="112"/>
        <v>0</v>
      </c>
      <c r="AP188" s="47" t="e">
        <f t="shared" si="113"/>
        <v>#DIV/0!</v>
      </c>
    </row>
    <row r="189" spans="2:42">
      <c r="B189" s="97" t="s">
        <v>15</v>
      </c>
      <c r="C189" s="100"/>
      <c r="D189" s="100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95"/>
        <v>0</v>
      </c>
      <c r="U189" s="47">
        <f t="shared" si="96"/>
        <v>0</v>
      </c>
      <c r="V189" s="48">
        <f t="shared" si="97"/>
        <v>0</v>
      </c>
      <c r="W189" s="49">
        <f t="shared" si="98"/>
        <v>0</v>
      </c>
      <c r="X189" s="44">
        <f t="shared" si="99"/>
        <v>0</v>
      </c>
      <c r="Y189" s="44">
        <f t="shared" si="100"/>
        <v>0</v>
      </c>
      <c r="Z189" s="44">
        <f t="shared" si="101"/>
        <v>0</v>
      </c>
      <c r="AA189" s="50">
        <f t="shared" si="102"/>
        <v>0</v>
      </c>
      <c r="AB189" s="51">
        <f t="shared" si="103"/>
        <v>0</v>
      </c>
      <c r="AC189" s="44">
        <f t="shared" si="104"/>
        <v>0</v>
      </c>
      <c r="AD189" s="44">
        <f t="shared" si="105"/>
        <v>0</v>
      </c>
      <c r="AE189" s="44">
        <f t="shared" si="106"/>
        <v>0</v>
      </c>
      <c r="AF189" s="52" t="e">
        <f>HLOOKUP(I189,ElecAvoidedCostsWOCC!$A$5:$Q$50,G189+1,FALSE)</f>
        <v>#N/A</v>
      </c>
      <c r="AG189" s="44" t="e">
        <f t="shared" si="107"/>
        <v>#N/A</v>
      </c>
      <c r="AH189" s="52" t="e">
        <f>HLOOKUP(I189,ElecAvoidedCostsWOCC!$A$5:$Q$50,T189+1,FALSE)</f>
        <v>#N/A</v>
      </c>
      <c r="AI189" s="44" t="e">
        <f t="shared" si="108"/>
        <v>#N/A</v>
      </c>
      <c r="AJ189" s="44" t="e">
        <f t="shared" si="109"/>
        <v>#N/A</v>
      </c>
      <c r="AK189" s="44" t="e">
        <f>HLOOKUP(I189,ElecAvoidedCostsWOCC!$A$5:$Q$50,G189+1,FALSE)*J189*L189</f>
        <v>#N/A</v>
      </c>
      <c r="AL189" s="44" t="e">
        <f t="shared" si="110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111"/>
        <v>0</v>
      </c>
      <c r="AO189" s="47">
        <f t="shared" si="112"/>
        <v>0</v>
      </c>
      <c r="AP189" s="47" t="e">
        <f t="shared" si="113"/>
        <v>#DIV/0!</v>
      </c>
    </row>
    <row r="190" spans="2:42">
      <c r="B190" s="97" t="s">
        <v>15</v>
      </c>
      <c r="C190" s="100"/>
      <c r="D190" s="100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95"/>
        <v>0</v>
      </c>
      <c r="U190" s="47">
        <f t="shared" si="96"/>
        <v>0</v>
      </c>
      <c r="V190" s="48">
        <f t="shared" si="97"/>
        <v>0</v>
      </c>
      <c r="W190" s="49">
        <f t="shared" si="98"/>
        <v>0</v>
      </c>
      <c r="X190" s="44">
        <f t="shared" si="99"/>
        <v>0</v>
      </c>
      <c r="Y190" s="44">
        <f t="shared" si="100"/>
        <v>0</v>
      </c>
      <c r="Z190" s="44">
        <f t="shared" si="101"/>
        <v>0</v>
      </c>
      <c r="AA190" s="50">
        <f t="shared" si="102"/>
        <v>0</v>
      </c>
      <c r="AB190" s="51">
        <f t="shared" si="103"/>
        <v>0</v>
      </c>
      <c r="AC190" s="44">
        <f t="shared" si="104"/>
        <v>0</v>
      </c>
      <c r="AD190" s="44">
        <f t="shared" si="105"/>
        <v>0</v>
      </c>
      <c r="AE190" s="44">
        <f t="shared" si="106"/>
        <v>0</v>
      </c>
      <c r="AF190" s="52" t="e">
        <f>HLOOKUP(I190,ElecAvoidedCostsWOCC!$A$5:$Q$50,G190+1,FALSE)</f>
        <v>#N/A</v>
      </c>
      <c r="AG190" s="44" t="e">
        <f t="shared" si="107"/>
        <v>#N/A</v>
      </c>
      <c r="AH190" s="52" t="e">
        <f>HLOOKUP(I190,ElecAvoidedCostsWOCC!$A$5:$Q$50,T190+1,FALSE)</f>
        <v>#N/A</v>
      </c>
      <c r="AI190" s="44" t="e">
        <f t="shared" si="108"/>
        <v>#N/A</v>
      </c>
      <c r="AJ190" s="44" t="e">
        <f t="shared" si="109"/>
        <v>#N/A</v>
      </c>
      <c r="AK190" s="44" t="e">
        <f>HLOOKUP(I190,ElecAvoidedCostsWOCC!$A$5:$Q$50,G190+1,FALSE)*J190*L190</f>
        <v>#N/A</v>
      </c>
      <c r="AL190" s="44" t="e">
        <f t="shared" si="110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111"/>
        <v>0</v>
      </c>
      <c r="AO190" s="47">
        <f t="shared" si="112"/>
        <v>0</v>
      </c>
      <c r="AP190" s="47" t="e">
        <f t="shared" si="113"/>
        <v>#DIV/0!</v>
      </c>
    </row>
    <row r="191" spans="2:42">
      <c r="B191" s="97" t="s">
        <v>15</v>
      </c>
      <c r="C191" s="100"/>
      <c r="D191" s="100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95"/>
        <v>0</v>
      </c>
      <c r="U191" s="47">
        <f t="shared" si="96"/>
        <v>0</v>
      </c>
      <c r="V191" s="48">
        <f t="shared" si="97"/>
        <v>0</v>
      </c>
      <c r="W191" s="49">
        <f t="shared" si="98"/>
        <v>0</v>
      </c>
      <c r="X191" s="44">
        <f t="shared" si="99"/>
        <v>0</v>
      </c>
      <c r="Y191" s="44">
        <f t="shared" si="100"/>
        <v>0</v>
      </c>
      <c r="Z191" s="44">
        <f t="shared" si="101"/>
        <v>0</v>
      </c>
      <c r="AA191" s="50">
        <f t="shared" si="102"/>
        <v>0</v>
      </c>
      <c r="AB191" s="51">
        <f t="shared" si="103"/>
        <v>0</v>
      </c>
      <c r="AC191" s="44">
        <f t="shared" si="104"/>
        <v>0</v>
      </c>
      <c r="AD191" s="44">
        <f t="shared" si="105"/>
        <v>0</v>
      </c>
      <c r="AE191" s="44">
        <f t="shared" si="106"/>
        <v>0</v>
      </c>
      <c r="AF191" s="52" t="e">
        <f>HLOOKUP(I191,ElecAvoidedCostsWOCC!$A$5:$Q$50,G191+1,FALSE)</f>
        <v>#N/A</v>
      </c>
      <c r="AG191" s="44" t="e">
        <f t="shared" si="107"/>
        <v>#N/A</v>
      </c>
      <c r="AH191" s="52" t="e">
        <f>HLOOKUP(I191,ElecAvoidedCostsWOCC!$A$5:$Q$50,T191+1,FALSE)</f>
        <v>#N/A</v>
      </c>
      <c r="AI191" s="44" t="e">
        <f t="shared" si="108"/>
        <v>#N/A</v>
      </c>
      <c r="AJ191" s="44" t="e">
        <f t="shared" si="109"/>
        <v>#N/A</v>
      </c>
      <c r="AK191" s="44" t="e">
        <f>HLOOKUP(I191,ElecAvoidedCostsWOCC!$A$5:$Q$50,G191+1,FALSE)*J191*L191</f>
        <v>#N/A</v>
      </c>
      <c r="AL191" s="44" t="e">
        <f t="shared" si="110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111"/>
        <v>0</v>
      </c>
      <c r="AO191" s="47">
        <f t="shared" si="112"/>
        <v>0</v>
      </c>
      <c r="AP191" s="47" t="e">
        <f t="shared" si="113"/>
        <v>#DIV/0!</v>
      </c>
    </row>
    <row r="192" spans="2:42">
      <c r="B192" s="97" t="s">
        <v>15</v>
      </c>
      <c r="C192" s="100"/>
      <c r="D192" s="100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95"/>
        <v>0</v>
      </c>
      <c r="U192" s="47">
        <f t="shared" si="96"/>
        <v>0</v>
      </c>
      <c r="V192" s="48">
        <f t="shared" si="97"/>
        <v>0</v>
      </c>
      <c r="W192" s="49">
        <f t="shared" si="98"/>
        <v>0</v>
      </c>
      <c r="X192" s="44">
        <f t="shared" si="99"/>
        <v>0</v>
      </c>
      <c r="Y192" s="44">
        <f t="shared" si="100"/>
        <v>0</v>
      </c>
      <c r="Z192" s="44">
        <f t="shared" si="101"/>
        <v>0</v>
      </c>
      <c r="AA192" s="50">
        <f t="shared" si="102"/>
        <v>0</v>
      </c>
      <c r="AB192" s="51">
        <f t="shared" si="103"/>
        <v>0</v>
      </c>
      <c r="AC192" s="44">
        <f t="shared" si="104"/>
        <v>0</v>
      </c>
      <c r="AD192" s="44">
        <f t="shared" si="105"/>
        <v>0</v>
      </c>
      <c r="AE192" s="44">
        <f t="shared" si="106"/>
        <v>0</v>
      </c>
      <c r="AF192" s="52" t="e">
        <f>HLOOKUP(I192,ElecAvoidedCostsWOCC!$A$5:$Q$50,G192+1,FALSE)</f>
        <v>#N/A</v>
      </c>
      <c r="AG192" s="44" t="e">
        <f t="shared" si="107"/>
        <v>#N/A</v>
      </c>
      <c r="AH192" s="52" t="e">
        <f>HLOOKUP(I192,ElecAvoidedCostsWOCC!$A$5:$Q$50,T192+1,FALSE)</f>
        <v>#N/A</v>
      </c>
      <c r="AI192" s="44" t="e">
        <f t="shared" si="108"/>
        <v>#N/A</v>
      </c>
      <c r="AJ192" s="44" t="e">
        <f t="shared" si="109"/>
        <v>#N/A</v>
      </c>
      <c r="AK192" s="44" t="e">
        <f>HLOOKUP(I192,ElecAvoidedCostsWOCC!$A$5:$Q$50,G192+1,FALSE)*J192*L192</f>
        <v>#N/A</v>
      </c>
      <c r="AL192" s="44" t="e">
        <f t="shared" si="110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111"/>
        <v>0</v>
      </c>
      <c r="AO192" s="47">
        <f t="shared" si="112"/>
        <v>0</v>
      </c>
      <c r="AP192" s="47" t="e">
        <f t="shared" si="113"/>
        <v>#DIV/0!</v>
      </c>
    </row>
    <row r="193" spans="2:42">
      <c r="B193" s="97" t="s">
        <v>15</v>
      </c>
      <c r="C193" s="100"/>
      <c r="D193" s="100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95"/>
        <v>0</v>
      </c>
      <c r="U193" s="47">
        <f t="shared" si="96"/>
        <v>0</v>
      </c>
      <c r="V193" s="48">
        <f t="shared" si="97"/>
        <v>0</v>
      </c>
      <c r="W193" s="49">
        <f t="shared" si="98"/>
        <v>0</v>
      </c>
      <c r="X193" s="44">
        <f t="shared" si="99"/>
        <v>0</v>
      </c>
      <c r="Y193" s="44">
        <f t="shared" si="100"/>
        <v>0</v>
      </c>
      <c r="Z193" s="44">
        <f t="shared" si="101"/>
        <v>0</v>
      </c>
      <c r="AA193" s="50">
        <f t="shared" si="102"/>
        <v>0</v>
      </c>
      <c r="AB193" s="51">
        <f t="shared" si="103"/>
        <v>0</v>
      </c>
      <c r="AC193" s="44">
        <f t="shared" si="104"/>
        <v>0</v>
      </c>
      <c r="AD193" s="44">
        <f t="shared" si="105"/>
        <v>0</v>
      </c>
      <c r="AE193" s="44">
        <f t="shared" si="106"/>
        <v>0</v>
      </c>
      <c r="AF193" s="52" t="e">
        <f>HLOOKUP(I193,ElecAvoidedCostsWOCC!$A$5:$Q$50,G193+1,FALSE)</f>
        <v>#N/A</v>
      </c>
      <c r="AG193" s="44" t="e">
        <f t="shared" si="107"/>
        <v>#N/A</v>
      </c>
      <c r="AH193" s="52" t="e">
        <f>HLOOKUP(I193,ElecAvoidedCostsWOCC!$A$5:$Q$50,T193+1,FALSE)</f>
        <v>#N/A</v>
      </c>
      <c r="AI193" s="44" t="e">
        <f t="shared" si="108"/>
        <v>#N/A</v>
      </c>
      <c r="AJ193" s="44" t="e">
        <f t="shared" si="109"/>
        <v>#N/A</v>
      </c>
      <c r="AK193" s="44" t="e">
        <f>HLOOKUP(I193,ElecAvoidedCostsWOCC!$A$5:$Q$50,G193+1,FALSE)*J193*L193</f>
        <v>#N/A</v>
      </c>
      <c r="AL193" s="44" t="e">
        <f t="shared" si="110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111"/>
        <v>0</v>
      </c>
      <c r="AO193" s="47">
        <f t="shared" si="112"/>
        <v>0</v>
      </c>
      <c r="AP193" s="47" t="e">
        <f t="shared" si="113"/>
        <v>#DIV/0!</v>
      </c>
    </row>
    <row r="194" spans="2:42">
      <c r="B194" s="97" t="s">
        <v>15</v>
      </c>
      <c r="C194" s="100"/>
      <c r="D194" s="100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95"/>
        <v>0</v>
      </c>
      <c r="U194" s="47">
        <f t="shared" si="96"/>
        <v>0</v>
      </c>
      <c r="V194" s="48">
        <f t="shared" si="97"/>
        <v>0</v>
      </c>
      <c r="W194" s="49">
        <f t="shared" si="98"/>
        <v>0</v>
      </c>
      <c r="X194" s="44">
        <f t="shared" si="99"/>
        <v>0</v>
      </c>
      <c r="Y194" s="44">
        <f t="shared" si="100"/>
        <v>0</v>
      </c>
      <c r="Z194" s="44">
        <f t="shared" si="101"/>
        <v>0</v>
      </c>
      <c r="AA194" s="50">
        <f t="shared" si="102"/>
        <v>0</v>
      </c>
      <c r="AB194" s="51">
        <f t="shared" si="103"/>
        <v>0</v>
      </c>
      <c r="AC194" s="44">
        <f t="shared" si="104"/>
        <v>0</v>
      </c>
      <c r="AD194" s="44">
        <f t="shared" si="105"/>
        <v>0</v>
      </c>
      <c r="AE194" s="44">
        <f t="shared" si="106"/>
        <v>0</v>
      </c>
      <c r="AF194" s="52" t="e">
        <f>HLOOKUP(I194,ElecAvoidedCostsWOCC!$A$5:$Q$50,G194+1,FALSE)</f>
        <v>#N/A</v>
      </c>
      <c r="AG194" s="44" t="e">
        <f t="shared" si="107"/>
        <v>#N/A</v>
      </c>
      <c r="AH194" s="52" t="e">
        <f>HLOOKUP(I194,ElecAvoidedCostsWOCC!$A$5:$Q$50,T194+1,FALSE)</f>
        <v>#N/A</v>
      </c>
      <c r="AI194" s="44" t="e">
        <f t="shared" si="108"/>
        <v>#N/A</v>
      </c>
      <c r="AJ194" s="44" t="e">
        <f t="shared" si="109"/>
        <v>#N/A</v>
      </c>
      <c r="AK194" s="44" t="e">
        <f>HLOOKUP(I194,ElecAvoidedCostsWOCC!$A$5:$Q$50,G194+1,FALSE)*J194*L194</f>
        <v>#N/A</v>
      </c>
      <c r="AL194" s="44" t="e">
        <f t="shared" si="110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111"/>
        <v>0</v>
      </c>
      <c r="AO194" s="47">
        <f t="shared" si="112"/>
        <v>0</v>
      </c>
      <c r="AP194" s="47" t="e">
        <f t="shared" si="113"/>
        <v>#DIV/0!</v>
      </c>
    </row>
    <row r="195" spans="2:42">
      <c r="B195" s="97" t="s">
        <v>15</v>
      </c>
      <c r="C195" s="100"/>
      <c r="D195" s="100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95"/>
        <v>0</v>
      </c>
      <c r="U195" s="47">
        <f t="shared" si="96"/>
        <v>0</v>
      </c>
      <c r="V195" s="48">
        <f t="shared" si="97"/>
        <v>0</v>
      </c>
      <c r="W195" s="49">
        <f t="shared" si="98"/>
        <v>0</v>
      </c>
      <c r="X195" s="44">
        <f t="shared" si="99"/>
        <v>0</v>
      </c>
      <c r="Y195" s="44">
        <f t="shared" si="100"/>
        <v>0</v>
      </c>
      <c r="Z195" s="44">
        <f t="shared" si="101"/>
        <v>0</v>
      </c>
      <c r="AA195" s="50">
        <f t="shared" si="102"/>
        <v>0</v>
      </c>
      <c r="AB195" s="51">
        <f t="shared" si="103"/>
        <v>0</v>
      </c>
      <c r="AC195" s="44">
        <f t="shared" si="104"/>
        <v>0</v>
      </c>
      <c r="AD195" s="44">
        <f t="shared" si="105"/>
        <v>0</v>
      </c>
      <c r="AE195" s="44">
        <f t="shared" si="106"/>
        <v>0</v>
      </c>
      <c r="AF195" s="52" t="e">
        <f>HLOOKUP(I195,ElecAvoidedCostsWOCC!$A$5:$Q$50,G195+1,FALSE)</f>
        <v>#N/A</v>
      </c>
      <c r="AG195" s="44" t="e">
        <f t="shared" si="107"/>
        <v>#N/A</v>
      </c>
      <c r="AH195" s="52" t="e">
        <f>HLOOKUP(I195,ElecAvoidedCostsWOCC!$A$5:$Q$50,T195+1,FALSE)</f>
        <v>#N/A</v>
      </c>
      <c r="AI195" s="44" t="e">
        <f t="shared" si="108"/>
        <v>#N/A</v>
      </c>
      <c r="AJ195" s="44" t="e">
        <f t="shared" si="109"/>
        <v>#N/A</v>
      </c>
      <c r="AK195" s="44" t="e">
        <f>HLOOKUP(I195,ElecAvoidedCostsWOCC!$A$5:$Q$50,G195+1,FALSE)*J195*L195</f>
        <v>#N/A</v>
      </c>
      <c r="AL195" s="44" t="e">
        <f t="shared" si="110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111"/>
        <v>0</v>
      </c>
      <c r="AO195" s="47">
        <f t="shared" si="112"/>
        <v>0</v>
      </c>
      <c r="AP195" s="47" t="e">
        <f t="shared" si="113"/>
        <v>#DIV/0!</v>
      </c>
    </row>
    <row r="196" spans="2:42">
      <c r="B196" s="97" t="s">
        <v>15</v>
      </c>
      <c r="C196" s="100"/>
      <c r="D196" s="100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si="95"/>
        <v>0</v>
      </c>
      <c r="U196" s="47">
        <f t="shared" si="96"/>
        <v>0</v>
      </c>
      <c r="V196" s="48">
        <f t="shared" si="97"/>
        <v>0</v>
      </c>
      <c r="W196" s="49">
        <f t="shared" si="98"/>
        <v>0</v>
      </c>
      <c r="X196" s="44">
        <f t="shared" si="99"/>
        <v>0</v>
      </c>
      <c r="Y196" s="44">
        <f t="shared" si="100"/>
        <v>0</v>
      </c>
      <c r="Z196" s="44">
        <f t="shared" si="101"/>
        <v>0</v>
      </c>
      <c r="AA196" s="50">
        <f t="shared" si="102"/>
        <v>0</v>
      </c>
      <c r="AB196" s="51">
        <f t="shared" si="103"/>
        <v>0</v>
      </c>
      <c r="AC196" s="44">
        <f t="shared" si="104"/>
        <v>0</v>
      </c>
      <c r="AD196" s="44">
        <f t="shared" si="105"/>
        <v>0</v>
      </c>
      <c r="AE196" s="44">
        <f t="shared" si="106"/>
        <v>0</v>
      </c>
      <c r="AF196" s="52" t="e">
        <f>HLOOKUP(I196,ElecAvoidedCostsWOCC!$A$5:$Q$50,G196+1,FALSE)</f>
        <v>#N/A</v>
      </c>
      <c r="AG196" s="44" t="e">
        <f t="shared" si="107"/>
        <v>#N/A</v>
      </c>
      <c r="AH196" s="52" t="e">
        <f>HLOOKUP(I196,ElecAvoidedCostsWOCC!$A$5:$Q$50,T196+1,FALSE)</f>
        <v>#N/A</v>
      </c>
      <c r="AI196" s="44" t="e">
        <f t="shared" si="108"/>
        <v>#N/A</v>
      </c>
      <c r="AJ196" s="44" t="e">
        <f t="shared" si="109"/>
        <v>#N/A</v>
      </c>
      <c r="AK196" s="44" t="e">
        <f>HLOOKUP(I196,ElecAvoidedCostsWOCC!$A$5:$Q$50,G196+1,FALSE)*J196*L196</f>
        <v>#N/A</v>
      </c>
      <c r="AL196" s="44" t="e">
        <f t="shared" si="110"/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si="111"/>
        <v>0</v>
      </c>
      <c r="AO196" s="47">
        <f t="shared" si="112"/>
        <v>0</v>
      </c>
      <c r="AP196" s="47" t="e">
        <f t="shared" si="113"/>
        <v>#DIV/0!</v>
      </c>
    </row>
    <row r="197" spans="2:42">
      <c r="B197" s="97" t="s">
        <v>15</v>
      </c>
      <c r="C197" s="100"/>
      <c r="D197" s="100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95"/>
        <v>0</v>
      </c>
      <c r="U197" s="47">
        <f t="shared" si="96"/>
        <v>0</v>
      </c>
      <c r="V197" s="48">
        <f t="shared" si="97"/>
        <v>0</v>
      </c>
      <c r="W197" s="49">
        <f t="shared" si="98"/>
        <v>0</v>
      </c>
      <c r="X197" s="44">
        <f t="shared" si="99"/>
        <v>0</v>
      </c>
      <c r="Y197" s="44">
        <f t="shared" si="100"/>
        <v>0</v>
      </c>
      <c r="Z197" s="44">
        <f t="shared" si="101"/>
        <v>0</v>
      </c>
      <c r="AA197" s="50">
        <f t="shared" si="102"/>
        <v>0</v>
      </c>
      <c r="AB197" s="51">
        <f t="shared" si="103"/>
        <v>0</v>
      </c>
      <c r="AC197" s="44">
        <f t="shared" si="104"/>
        <v>0</v>
      </c>
      <c r="AD197" s="44">
        <f t="shared" si="105"/>
        <v>0</v>
      </c>
      <c r="AE197" s="44">
        <f t="shared" si="106"/>
        <v>0</v>
      </c>
      <c r="AF197" s="52" t="e">
        <f>HLOOKUP(I197,ElecAvoidedCostsWOCC!$A$5:$Q$50,G197+1,FALSE)</f>
        <v>#N/A</v>
      </c>
      <c r="AG197" s="44" t="e">
        <f t="shared" si="107"/>
        <v>#N/A</v>
      </c>
      <c r="AH197" s="52" t="e">
        <f>HLOOKUP(I197,ElecAvoidedCostsWOCC!$A$5:$Q$50,T197+1,FALSE)</f>
        <v>#N/A</v>
      </c>
      <c r="AI197" s="44" t="e">
        <f t="shared" si="108"/>
        <v>#N/A</v>
      </c>
      <c r="AJ197" s="44" t="e">
        <f t="shared" si="109"/>
        <v>#N/A</v>
      </c>
      <c r="AK197" s="44" t="e">
        <f>HLOOKUP(I197,ElecAvoidedCostsWOCC!$A$5:$Q$50,G197+1,FALSE)*J197*L197</f>
        <v>#N/A</v>
      </c>
      <c r="AL197" s="44" t="e">
        <f t="shared" si="110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111"/>
        <v>0</v>
      </c>
      <c r="AO197" s="47">
        <f t="shared" si="112"/>
        <v>0</v>
      </c>
      <c r="AP197" s="47" t="e">
        <f t="shared" si="113"/>
        <v>#DIV/0!</v>
      </c>
    </row>
    <row r="198" spans="2:42">
      <c r="B198" s="97" t="s">
        <v>15</v>
      </c>
      <c r="C198" s="100"/>
      <c r="D198" s="100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95"/>
        <v>0</v>
      </c>
      <c r="U198" s="47">
        <f t="shared" si="96"/>
        <v>0</v>
      </c>
      <c r="V198" s="48">
        <f t="shared" si="97"/>
        <v>0</v>
      </c>
      <c r="W198" s="49">
        <f t="shared" si="98"/>
        <v>0</v>
      </c>
      <c r="X198" s="44">
        <f t="shared" si="99"/>
        <v>0</v>
      </c>
      <c r="Y198" s="44">
        <f t="shared" si="100"/>
        <v>0</v>
      </c>
      <c r="Z198" s="44">
        <f t="shared" si="101"/>
        <v>0</v>
      </c>
      <c r="AA198" s="50">
        <f t="shared" si="102"/>
        <v>0</v>
      </c>
      <c r="AB198" s="51">
        <f t="shared" si="103"/>
        <v>0</v>
      </c>
      <c r="AC198" s="44">
        <f t="shared" si="104"/>
        <v>0</v>
      </c>
      <c r="AD198" s="44">
        <f t="shared" si="105"/>
        <v>0</v>
      </c>
      <c r="AE198" s="44">
        <f t="shared" si="106"/>
        <v>0</v>
      </c>
      <c r="AF198" s="52" t="e">
        <f>HLOOKUP(I198,ElecAvoidedCostsWOCC!$A$5:$Q$50,G198+1,FALSE)</f>
        <v>#N/A</v>
      </c>
      <c r="AG198" s="44" t="e">
        <f t="shared" si="107"/>
        <v>#N/A</v>
      </c>
      <c r="AH198" s="52" t="e">
        <f>HLOOKUP(I198,ElecAvoidedCostsWOCC!$A$5:$Q$50,T198+1,FALSE)</f>
        <v>#N/A</v>
      </c>
      <c r="AI198" s="44" t="e">
        <f t="shared" si="108"/>
        <v>#N/A</v>
      </c>
      <c r="AJ198" s="44" t="e">
        <f t="shared" si="109"/>
        <v>#N/A</v>
      </c>
      <c r="AK198" s="44" t="e">
        <f>HLOOKUP(I198,ElecAvoidedCostsWOCC!$A$5:$Q$50,G198+1,FALSE)*J198*L198</f>
        <v>#N/A</v>
      </c>
      <c r="AL198" s="44" t="e">
        <f t="shared" si="110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111"/>
        <v>0</v>
      </c>
      <c r="AO198" s="47">
        <f t="shared" si="112"/>
        <v>0</v>
      </c>
      <c r="AP198" s="47" t="e">
        <f t="shared" si="113"/>
        <v>#DIV/0!</v>
      </c>
    </row>
    <row r="199" spans="2:42">
      <c r="B199" s="97" t="s">
        <v>15</v>
      </c>
      <c r="C199" s="100"/>
      <c r="D199" s="100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95"/>
        <v>0</v>
      </c>
      <c r="U199" s="47">
        <f t="shared" si="96"/>
        <v>0</v>
      </c>
      <c r="V199" s="48">
        <f t="shared" si="97"/>
        <v>0</v>
      </c>
      <c r="W199" s="49">
        <f t="shared" si="98"/>
        <v>0</v>
      </c>
      <c r="X199" s="44">
        <f t="shared" si="99"/>
        <v>0</v>
      </c>
      <c r="Y199" s="44">
        <f t="shared" si="100"/>
        <v>0</v>
      </c>
      <c r="Z199" s="44">
        <f t="shared" si="101"/>
        <v>0</v>
      </c>
      <c r="AA199" s="50">
        <f t="shared" si="102"/>
        <v>0</v>
      </c>
      <c r="AB199" s="51">
        <f t="shared" si="103"/>
        <v>0</v>
      </c>
      <c r="AC199" s="44">
        <f t="shared" si="104"/>
        <v>0</v>
      </c>
      <c r="AD199" s="44">
        <f t="shared" si="105"/>
        <v>0</v>
      </c>
      <c r="AE199" s="44">
        <f t="shared" si="106"/>
        <v>0</v>
      </c>
      <c r="AF199" s="52" t="e">
        <f>HLOOKUP(I199,ElecAvoidedCostsWOCC!$A$5:$Q$50,G199+1,FALSE)</f>
        <v>#N/A</v>
      </c>
      <c r="AG199" s="44" t="e">
        <f t="shared" si="107"/>
        <v>#N/A</v>
      </c>
      <c r="AH199" s="52" t="e">
        <f>HLOOKUP(I199,ElecAvoidedCostsWOCC!$A$5:$Q$50,T199+1,FALSE)</f>
        <v>#N/A</v>
      </c>
      <c r="AI199" s="44" t="e">
        <f t="shared" si="108"/>
        <v>#N/A</v>
      </c>
      <c r="AJ199" s="44" t="e">
        <f t="shared" si="109"/>
        <v>#N/A</v>
      </c>
      <c r="AK199" s="44" t="e">
        <f>HLOOKUP(I199,ElecAvoidedCostsWOCC!$A$5:$Q$50,G199+1,FALSE)*J199*L199</f>
        <v>#N/A</v>
      </c>
      <c r="AL199" s="44" t="e">
        <f t="shared" si="110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111"/>
        <v>0</v>
      </c>
      <c r="AO199" s="47">
        <f t="shared" si="112"/>
        <v>0</v>
      </c>
      <c r="AP199" s="47" t="e">
        <f t="shared" si="113"/>
        <v>#DIV/0!</v>
      </c>
    </row>
    <row r="200" spans="2:42">
      <c r="B200" s="97" t="s">
        <v>15</v>
      </c>
      <c r="C200" s="100"/>
      <c r="D200" s="100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95"/>
        <v>0</v>
      </c>
      <c r="U200" s="47">
        <f t="shared" si="96"/>
        <v>0</v>
      </c>
      <c r="V200" s="48">
        <f t="shared" si="97"/>
        <v>0</v>
      </c>
      <c r="W200" s="49">
        <f t="shared" si="98"/>
        <v>0</v>
      </c>
      <c r="X200" s="44">
        <f t="shared" si="99"/>
        <v>0</v>
      </c>
      <c r="Y200" s="44">
        <f t="shared" si="100"/>
        <v>0</v>
      </c>
      <c r="Z200" s="44">
        <f t="shared" si="101"/>
        <v>0</v>
      </c>
      <c r="AA200" s="50">
        <f t="shared" si="102"/>
        <v>0</v>
      </c>
      <c r="AB200" s="51">
        <f t="shared" si="103"/>
        <v>0</v>
      </c>
      <c r="AC200" s="44">
        <f t="shared" si="104"/>
        <v>0</v>
      </c>
      <c r="AD200" s="44">
        <f t="shared" si="105"/>
        <v>0</v>
      </c>
      <c r="AE200" s="44">
        <f t="shared" si="106"/>
        <v>0</v>
      </c>
      <c r="AF200" s="52" t="e">
        <f>HLOOKUP(I200,ElecAvoidedCostsWOCC!$A$5:$Q$50,G200+1,FALSE)</f>
        <v>#N/A</v>
      </c>
      <c r="AG200" s="44" t="e">
        <f t="shared" si="107"/>
        <v>#N/A</v>
      </c>
      <c r="AH200" s="52" t="e">
        <f>HLOOKUP(I200,ElecAvoidedCostsWOCC!$A$5:$Q$50,T200+1,FALSE)</f>
        <v>#N/A</v>
      </c>
      <c r="AI200" s="44" t="e">
        <f t="shared" si="108"/>
        <v>#N/A</v>
      </c>
      <c r="AJ200" s="44" t="e">
        <f t="shared" si="109"/>
        <v>#N/A</v>
      </c>
      <c r="AK200" s="44" t="e">
        <f>HLOOKUP(I200,ElecAvoidedCostsWOCC!$A$5:$Q$50,G200+1,FALSE)*J200*L200</f>
        <v>#N/A</v>
      </c>
      <c r="AL200" s="44" t="e">
        <f t="shared" si="110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111"/>
        <v>0</v>
      </c>
      <c r="AO200" s="47">
        <f t="shared" si="112"/>
        <v>0</v>
      </c>
      <c r="AP200" s="47" t="e">
        <f t="shared" si="113"/>
        <v>#DIV/0!</v>
      </c>
    </row>
    <row r="201" spans="2:42">
      <c r="B201" s="97" t="s">
        <v>15</v>
      </c>
      <c r="C201" s="100"/>
      <c r="D201" s="100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95"/>
        <v>0</v>
      </c>
      <c r="U201" s="47">
        <f t="shared" si="96"/>
        <v>0</v>
      </c>
      <c r="V201" s="48">
        <f t="shared" si="97"/>
        <v>0</v>
      </c>
      <c r="W201" s="49">
        <f t="shared" si="98"/>
        <v>0</v>
      </c>
      <c r="X201" s="44">
        <f t="shared" si="99"/>
        <v>0</v>
      </c>
      <c r="Y201" s="44">
        <f t="shared" si="100"/>
        <v>0</v>
      </c>
      <c r="Z201" s="44">
        <f t="shared" si="101"/>
        <v>0</v>
      </c>
      <c r="AA201" s="50">
        <f t="shared" si="102"/>
        <v>0</v>
      </c>
      <c r="AB201" s="51">
        <f t="shared" si="103"/>
        <v>0</v>
      </c>
      <c r="AC201" s="44">
        <f t="shared" si="104"/>
        <v>0</v>
      </c>
      <c r="AD201" s="44">
        <f t="shared" si="105"/>
        <v>0</v>
      </c>
      <c r="AE201" s="44">
        <f t="shared" si="106"/>
        <v>0</v>
      </c>
      <c r="AF201" s="52" t="e">
        <f>HLOOKUP(I201,ElecAvoidedCostsWOCC!$A$5:$Q$50,G201+1,FALSE)</f>
        <v>#N/A</v>
      </c>
      <c r="AG201" s="44" t="e">
        <f t="shared" si="107"/>
        <v>#N/A</v>
      </c>
      <c r="AH201" s="52" t="e">
        <f>HLOOKUP(I201,ElecAvoidedCostsWOCC!$A$5:$Q$50,T201+1,FALSE)</f>
        <v>#N/A</v>
      </c>
      <c r="AI201" s="44" t="e">
        <f t="shared" si="108"/>
        <v>#N/A</v>
      </c>
      <c r="AJ201" s="44" t="e">
        <f t="shared" si="109"/>
        <v>#N/A</v>
      </c>
      <c r="AK201" s="44" t="e">
        <f>HLOOKUP(I201,ElecAvoidedCostsWOCC!$A$5:$Q$50,G201+1,FALSE)*J201*L201</f>
        <v>#N/A</v>
      </c>
      <c r="AL201" s="44" t="e">
        <f t="shared" si="110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111"/>
        <v>0</v>
      </c>
      <c r="AO201" s="47">
        <f t="shared" si="112"/>
        <v>0</v>
      </c>
      <c r="AP201" s="47" t="e">
        <f t="shared" si="113"/>
        <v>#DIV/0!</v>
      </c>
    </row>
    <row r="202" spans="2:42">
      <c r="B202" s="97" t="s">
        <v>15</v>
      </c>
      <c r="C202" s="100"/>
      <c r="D202" s="100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95"/>
        <v>0</v>
      </c>
      <c r="U202" s="47">
        <f t="shared" si="96"/>
        <v>0</v>
      </c>
      <c r="V202" s="48">
        <f t="shared" si="97"/>
        <v>0</v>
      </c>
      <c r="W202" s="49">
        <f t="shared" si="98"/>
        <v>0</v>
      </c>
      <c r="X202" s="44">
        <f t="shared" si="99"/>
        <v>0</v>
      </c>
      <c r="Y202" s="44">
        <f t="shared" si="100"/>
        <v>0</v>
      </c>
      <c r="Z202" s="44">
        <f t="shared" si="101"/>
        <v>0</v>
      </c>
      <c r="AA202" s="50">
        <f t="shared" si="102"/>
        <v>0</v>
      </c>
      <c r="AB202" s="51">
        <f t="shared" si="103"/>
        <v>0</v>
      </c>
      <c r="AC202" s="44">
        <f t="shared" si="104"/>
        <v>0</v>
      </c>
      <c r="AD202" s="44">
        <f t="shared" si="105"/>
        <v>0</v>
      </c>
      <c r="AE202" s="44">
        <f t="shared" si="106"/>
        <v>0</v>
      </c>
      <c r="AF202" s="52" t="e">
        <f>HLOOKUP(I202,ElecAvoidedCostsWOCC!$A$5:$Q$50,G202+1,FALSE)</f>
        <v>#N/A</v>
      </c>
      <c r="AG202" s="44" t="e">
        <f t="shared" si="107"/>
        <v>#N/A</v>
      </c>
      <c r="AH202" s="52" t="e">
        <f>HLOOKUP(I202,ElecAvoidedCostsWOCC!$A$5:$Q$50,T202+1,FALSE)</f>
        <v>#N/A</v>
      </c>
      <c r="AI202" s="44" t="e">
        <f t="shared" si="108"/>
        <v>#N/A</v>
      </c>
      <c r="AJ202" s="44" t="e">
        <f t="shared" si="109"/>
        <v>#N/A</v>
      </c>
      <c r="AK202" s="44" t="e">
        <f>HLOOKUP(I202,ElecAvoidedCostsWOCC!$A$5:$Q$50,G202+1,FALSE)*J202*L202</f>
        <v>#N/A</v>
      </c>
      <c r="AL202" s="44" t="e">
        <f t="shared" si="110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111"/>
        <v>0</v>
      </c>
      <c r="AO202" s="47">
        <f t="shared" si="112"/>
        <v>0</v>
      </c>
      <c r="AP202" s="47" t="e">
        <f t="shared" si="113"/>
        <v>#DIV/0!</v>
      </c>
    </row>
    <row r="203" spans="2:42">
      <c r="B203" s="97" t="s">
        <v>15</v>
      </c>
      <c r="C203" s="100"/>
      <c r="D203" s="100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95"/>
        <v>0</v>
      </c>
      <c r="U203" s="47">
        <f t="shared" si="96"/>
        <v>0</v>
      </c>
      <c r="V203" s="48">
        <f t="shared" si="97"/>
        <v>0</v>
      </c>
      <c r="W203" s="49">
        <f t="shared" si="98"/>
        <v>0</v>
      </c>
      <c r="X203" s="44">
        <f t="shared" si="99"/>
        <v>0</v>
      </c>
      <c r="Y203" s="44">
        <f t="shared" si="100"/>
        <v>0</v>
      </c>
      <c r="Z203" s="44">
        <f t="shared" si="101"/>
        <v>0</v>
      </c>
      <c r="AA203" s="50">
        <f t="shared" si="102"/>
        <v>0</v>
      </c>
      <c r="AB203" s="51">
        <f t="shared" si="103"/>
        <v>0</v>
      </c>
      <c r="AC203" s="44">
        <f t="shared" si="104"/>
        <v>0</v>
      </c>
      <c r="AD203" s="44">
        <f t="shared" si="105"/>
        <v>0</v>
      </c>
      <c r="AE203" s="44">
        <f t="shared" si="106"/>
        <v>0</v>
      </c>
      <c r="AF203" s="52" t="e">
        <f>HLOOKUP(I203,ElecAvoidedCostsWOCC!$A$5:$Q$50,G203+1,FALSE)</f>
        <v>#N/A</v>
      </c>
      <c r="AG203" s="44" t="e">
        <f t="shared" si="107"/>
        <v>#N/A</v>
      </c>
      <c r="AH203" s="52" t="e">
        <f>HLOOKUP(I203,ElecAvoidedCostsWOCC!$A$5:$Q$50,T203+1,FALSE)</f>
        <v>#N/A</v>
      </c>
      <c r="AI203" s="44" t="e">
        <f t="shared" si="108"/>
        <v>#N/A</v>
      </c>
      <c r="AJ203" s="44" t="e">
        <f t="shared" si="109"/>
        <v>#N/A</v>
      </c>
      <c r="AK203" s="44" t="e">
        <f>HLOOKUP(I203,ElecAvoidedCostsWOCC!$A$5:$Q$50,G203+1,FALSE)*J203*L203</f>
        <v>#N/A</v>
      </c>
      <c r="AL203" s="44" t="e">
        <f t="shared" si="110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111"/>
        <v>0</v>
      </c>
      <c r="AO203" s="47">
        <f t="shared" si="112"/>
        <v>0</v>
      </c>
      <c r="AP203" s="47" t="e">
        <f t="shared" si="113"/>
        <v>#DIV/0!</v>
      </c>
    </row>
    <row r="204" spans="2:42">
      <c r="B204" s="97" t="s">
        <v>15</v>
      </c>
      <c r="C204" s="100"/>
      <c r="D204" s="100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95"/>
        <v>0</v>
      </c>
      <c r="U204" s="47">
        <f t="shared" si="96"/>
        <v>0</v>
      </c>
      <c r="V204" s="48">
        <f t="shared" si="97"/>
        <v>0</v>
      </c>
      <c r="W204" s="49">
        <f t="shared" si="98"/>
        <v>0</v>
      </c>
      <c r="X204" s="44">
        <f t="shared" si="99"/>
        <v>0</v>
      </c>
      <c r="Y204" s="44">
        <f t="shared" si="100"/>
        <v>0</v>
      </c>
      <c r="Z204" s="44">
        <f t="shared" si="101"/>
        <v>0</v>
      </c>
      <c r="AA204" s="50">
        <f t="shared" si="102"/>
        <v>0</v>
      </c>
      <c r="AB204" s="51">
        <f t="shared" si="103"/>
        <v>0</v>
      </c>
      <c r="AC204" s="44">
        <f t="shared" si="104"/>
        <v>0</v>
      </c>
      <c r="AD204" s="44">
        <f t="shared" si="105"/>
        <v>0</v>
      </c>
      <c r="AE204" s="44">
        <f t="shared" si="106"/>
        <v>0</v>
      </c>
      <c r="AF204" s="52" t="e">
        <f>HLOOKUP(I204,ElecAvoidedCostsWOCC!$A$5:$Q$50,G204+1,FALSE)</f>
        <v>#N/A</v>
      </c>
      <c r="AG204" s="44" t="e">
        <f t="shared" si="107"/>
        <v>#N/A</v>
      </c>
      <c r="AH204" s="52" t="e">
        <f>HLOOKUP(I204,ElecAvoidedCostsWOCC!$A$5:$Q$50,T204+1,FALSE)</f>
        <v>#N/A</v>
      </c>
      <c r="AI204" s="44" t="e">
        <f t="shared" si="108"/>
        <v>#N/A</v>
      </c>
      <c r="AJ204" s="44" t="e">
        <f t="shared" si="109"/>
        <v>#N/A</v>
      </c>
      <c r="AK204" s="44" t="e">
        <f>HLOOKUP(I204,ElecAvoidedCostsWOCC!$A$5:$Q$50,G204+1,FALSE)*J204*L204</f>
        <v>#N/A</v>
      </c>
      <c r="AL204" s="44" t="e">
        <f t="shared" si="110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111"/>
        <v>0</v>
      </c>
      <c r="AO204" s="47">
        <f t="shared" si="112"/>
        <v>0</v>
      </c>
      <c r="AP204" s="47" t="e">
        <f t="shared" si="113"/>
        <v>#DIV/0!</v>
      </c>
    </row>
    <row r="205" spans="2:42">
      <c r="B205" s="97" t="s">
        <v>15</v>
      </c>
      <c r="C205" s="100"/>
      <c r="D205" s="100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95"/>
        <v>0</v>
      </c>
      <c r="U205" s="47">
        <f t="shared" si="96"/>
        <v>0</v>
      </c>
      <c r="V205" s="48">
        <f t="shared" si="97"/>
        <v>0</v>
      </c>
      <c r="W205" s="49">
        <f t="shared" si="98"/>
        <v>0</v>
      </c>
      <c r="X205" s="44">
        <f t="shared" si="99"/>
        <v>0</v>
      </c>
      <c r="Y205" s="44">
        <f t="shared" si="100"/>
        <v>0</v>
      </c>
      <c r="Z205" s="44">
        <f t="shared" si="101"/>
        <v>0</v>
      </c>
      <c r="AA205" s="50">
        <f t="shared" si="102"/>
        <v>0</v>
      </c>
      <c r="AB205" s="51">
        <f t="shared" si="103"/>
        <v>0</v>
      </c>
      <c r="AC205" s="44">
        <f t="shared" si="104"/>
        <v>0</v>
      </c>
      <c r="AD205" s="44">
        <f t="shared" si="105"/>
        <v>0</v>
      </c>
      <c r="AE205" s="44">
        <f t="shared" si="106"/>
        <v>0</v>
      </c>
      <c r="AF205" s="52" t="e">
        <f>HLOOKUP(I205,ElecAvoidedCostsWOCC!$A$5:$Q$50,G205+1,FALSE)</f>
        <v>#N/A</v>
      </c>
      <c r="AG205" s="44" t="e">
        <f t="shared" si="107"/>
        <v>#N/A</v>
      </c>
      <c r="AH205" s="52" t="e">
        <f>HLOOKUP(I205,ElecAvoidedCostsWOCC!$A$5:$Q$50,T205+1,FALSE)</f>
        <v>#N/A</v>
      </c>
      <c r="AI205" s="44" t="e">
        <f t="shared" si="108"/>
        <v>#N/A</v>
      </c>
      <c r="AJ205" s="44" t="e">
        <f t="shared" si="109"/>
        <v>#N/A</v>
      </c>
      <c r="AK205" s="44" t="e">
        <f>HLOOKUP(I205,ElecAvoidedCostsWOCC!$A$5:$Q$50,G205+1,FALSE)*J205*L205</f>
        <v>#N/A</v>
      </c>
      <c r="AL205" s="44" t="e">
        <f t="shared" si="110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111"/>
        <v>0</v>
      </c>
      <c r="AO205" s="47">
        <f t="shared" si="112"/>
        <v>0</v>
      </c>
      <c r="AP205" s="47" t="e">
        <f t="shared" si="113"/>
        <v>#DIV/0!</v>
      </c>
    </row>
    <row r="206" spans="2:42">
      <c r="B206" s="97" t="s">
        <v>15</v>
      </c>
      <c r="C206" s="100"/>
      <c r="D206" s="100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95"/>
        <v>0</v>
      </c>
      <c r="U206" s="47">
        <f t="shared" si="96"/>
        <v>0</v>
      </c>
      <c r="V206" s="48">
        <f t="shared" si="97"/>
        <v>0</v>
      </c>
      <c r="W206" s="49">
        <f t="shared" si="98"/>
        <v>0</v>
      </c>
      <c r="X206" s="44">
        <f t="shared" si="99"/>
        <v>0</v>
      </c>
      <c r="Y206" s="44">
        <f t="shared" si="100"/>
        <v>0</v>
      </c>
      <c r="Z206" s="44">
        <f t="shared" si="101"/>
        <v>0</v>
      </c>
      <c r="AA206" s="50">
        <f t="shared" si="102"/>
        <v>0</v>
      </c>
      <c r="AB206" s="51">
        <f t="shared" si="103"/>
        <v>0</v>
      </c>
      <c r="AC206" s="44">
        <f t="shared" si="104"/>
        <v>0</v>
      </c>
      <c r="AD206" s="44">
        <f t="shared" si="105"/>
        <v>0</v>
      </c>
      <c r="AE206" s="44">
        <f t="shared" si="106"/>
        <v>0</v>
      </c>
      <c r="AF206" s="52" t="e">
        <f>HLOOKUP(I206,ElecAvoidedCostsWOCC!$A$5:$Q$50,G206+1,FALSE)</f>
        <v>#N/A</v>
      </c>
      <c r="AG206" s="44" t="e">
        <f t="shared" si="107"/>
        <v>#N/A</v>
      </c>
      <c r="AH206" s="52" t="e">
        <f>HLOOKUP(I206,ElecAvoidedCostsWOCC!$A$5:$Q$50,T206+1,FALSE)</f>
        <v>#N/A</v>
      </c>
      <c r="AI206" s="44" t="e">
        <f t="shared" si="108"/>
        <v>#N/A</v>
      </c>
      <c r="AJ206" s="44" t="e">
        <f t="shared" si="109"/>
        <v>#N/A</v>
      </c>
      <c r="AK206" s="44" t="e">
        <f>HLOOKUP(I206,ElecAvoidedCostsWOCC!$A$5:$Q$50,G206+1,FALSE)*J206*L206</f>
        <v>#N/A</v>
      </c>
      <c r="AL206" s="44" t="e">
        <f t="shared" si="110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111"/>
        <v>0</v>
      </c>
      <c r="AO206" s="47">
        <f t="shared" si="112"/>
        <v>0</v>
      </c>
      <c r="AP206" s="47" t="e">
        <f t="shared" si="113"/>
        <v>#DIV/0!</v>
      </c>
    </row>
    <row r="207" spans="2:42">
      <c r="B207" s="97" t="s">
        <v>15</v>
      </c>
      <c r="C207" s="100"/>
      <c r="D207" s="100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95"/>
        <v>0</v>
      </c>
      <c r="U207" s="47">
        <f t="shared" si="96"/>
        <v>0</v>
      </c>
      <c r="V207" s="48">
        <f t="shared" si="97"/>
        <v>0</v>
      </c>
      <c r="W207" s="49">
        <f t="shared" si="98"/>
        <v>0</v>
      </c>
      <c r="X207" s="44">
        <f t="shared" si="99"/>
        <v>0</v>
      </c>
      <c r="Y207" s="44">
        <f t="shared" si="100"/>
        <v>0</v>
      </c>
      <c r="Z207" s="44">
        <f t="shared" si="101"/>
        <v>0</v>
      </c>
      <c r="AA207" s="50">
        <f t="shared" si="102"/>
        <v>0</v>
      </c>
      <c r="AB207" s="51">
        <f t="shared" si="103"/>
        <v>0</v>
      </c>
      <c r="AC207" s="44">
        <f t="shared" si="104"/>
        <v>0</v>
      </c>
      <c r="AD207" s="44">
        <f t="shared" si="105"/>
        <v>0</v>
      </c>
      <c r="AE207" s="44">
        <f t="shared" si="106"/>
        <v>0</v>
      </c>
      <c r="AF207" s="52" t="e">
        <f>HLOOKUP(I207,ElecAvoidedCostsWOCC!$A$5:$Q$50,G207+1,FALSE)</f>
        <v>#N/A</v>
      </c>
      <c r="AG207" s="44" t="e">
        <f t="shared" si="107"/>
        <v>#N/A</v>
      </c>
      <c r="AH207" s="52" t="e">
        <f>HLOOKUP(I207,ElecAvoidedCostsWOCC!$A$5:$Q$50,T207+1,FALSE)</f>
        <v>#N/A</v>
      </c>
      <c r="AI207" s="44" t="e">
        <f t="shared" si="108"/>
        <v>#N/A</v>
      </c>
      <c r="AJ207" s="44" t="e">
        <f t="shared" si="109"/>
        <v>#N/A</v>
      </c>
      <c r="AK207" s="44" t="e">
        <f>HLOOKUP(I207,ElecAvoidedCostsWOCC!$A$5:$Q$50,G207+1,FALSE)*J207*L207</f>
        <v>#N/A</v>
      </c>
      <c r="AL207" s="44" t="e">
        <f t="shared" si="110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111"/>
        <v>0</v>
      </c>
      <c r="AO207" s="47">
        <f t="shared" si="112"/>
        <v>0</v>
      </c>
      <c r="AP207" s="47" t="e">
        <f t="shared" si="113"/>
        <v>#DIV/0!</v>
      </c>
    </row>
    <row r="208" spans="2:42">
      <c r="B208" s="97" t="s">
        <v>15</v>
      </c>
      <c r="C208" s="100"/>
      <c r="D208" s="100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95"/>
        <v>0</v>
      </c>
      <c r="U208" s="47">
        <f t="shared" si="96"/>
        <v>0</v>
      </c>
      <c r="V208" s="48">
        <f t="shared" si="97"/>
        <v>0</v>
      </c>
      <c r="W208" s="49">
        <f t="shared" si="98"/>
        <v>0</v>
      </c>
      <c r="X208" s="44">
        <f t="shared" si="99"/>
        <v>0</v>
      </c>
      <c r="Y208" s="44">
        <f t="shared" si="100"/>
        <v>0</v>
      </c>
      <c r="Z208" s="44">
        <f t="shared" si="101"/>
        <v>0</v>
      </c>
      <c r="AA208" s="50">
        <f t="shared" si="102"/>
        <v>0</v>
      </c>
      <c r="AB208" s="51">
        <f t="shared" si="103"/>
        <v>0</v>
      </c>
      <c r="AC208" s="44">
        <f t="shared" si="104"/>
        <v>0</v>
      </c>
      <c r="AD208" s="44">
        <f t="shared" si="105"/>
        <v>0</v>
      </c>
      <c r="AE208" s="44">
        <f t="shared" si="106"/>
        <v>0</v>
      </c>
      <c r="AF208" s="52" t="e">
        <f>HLOOKUP(I208,ElecAvoidedCostsWOCC!$A$5:$Q$50,G208+1,FALSE)</f>
        <v>#N/A</v>
      </c>
      <c r="AG208" s="44" t="e">
        <f t="shared" si="107"/>
        <v>#N/A</v>
      </c>
      <c r="AH208" s="52" t="e">
        <f>HLOOKUP(I208,ElecAvoidedCostsWOCC!$A$5:$Q$50,T208+1,FALSE)</f>
        <v>#N/A</v>
      </c>
      <c r="AI208" s="44" t="e">
        <f t="shared" si="108"/>
        <v>#N/A</v>
      </c>
      <c r="AJ208" s="44" t="e">
        <f t="shared" si="109"/>
        <v>#N/A</v>
      </c>
      <c r="AK208" s="44" t="e">
        <f>HLOOKUP(I208,ElecAvoidedCostsWOCC!$A$5:$Q$50,G208+1,FALSE)*J208*L208</f>
        <v>#N/A</v>
      </c>
      <c r="AL208" s="44" t="e">
        <f t="shared" si="110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111"/>
        <v>0</v>
      </c>
      <c r="AO208" s="47">
        <f t="shared" si="112"/>
        <v>0</v>
      </c>
      <c r="AP208" s="47" t="e">
        <f t="shared" si="113"/>
        <v>#DIV/0!</v>
      </c>
    </row>
    <row r="209" spans="2:42">
      <c r="B209" s="97" t="s">
        <v>15</v>
      </c>
      <c r="C209" s="100"/>
      <c r="D209" s="100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95"/>
        <v>0</v>
      </c>
      <c r="U209" s="47">
        <f t="shared" si="96"/>
        <v>0</v>
      </c>
      <c r="V209" s="48">
        <f t="shared" si="97"/>
        <v>0</v>
      </c>
      <c r="W209" s="49">
        <f t="shared" si="98"/>
        <v>0</v>
      </c>
      <c r="X209" s="44">
        <f t="shared" si="99"/>
        <v>0</v>
      </c>
      <c r="Y209" s="44">
        <f t="shared" si="100"/>
        <v>0</v>
      </c>
      <c r="Z209" s="44">
        <f t="shared" si="101"/>
        <v>0</v>
      </c>
      <c r="AA209" s="50">
        <f t="shared" si="102"/>
        <v>0</v>
      </c>
      <c r="AB209" s="51">
        <f t="shared" si="103"/>
        <v>0</v>
      </c>
      <c r="AC209" s="44">
        <f t="shared" si="104"/>
        <v>0</v>
      </c>
      <c r="AD209" s="44">
        <f t="shared" si="105"/>
        <v>0</v>
      </c>
      <c r="AE209" s="44">
        <f t="shared" si="106"/>
        <v>0</v>
      </c>
      <c r="AF209" s="52" t="e">
        <f>HLOOKUP(I209,ElecAvoidedCostsWOCC!$A$5:$Q$50,G209+1,FALSE)</f>
        <v>#N/A</v>
      </c>
      <c r="AG209" s="44" t="e">
        <f t="shared" si="107"/>
        <v>#N/A</v>
      </c>
      <c r="AH209" s="52" t="e">
        <f>HLOOKUP(I209,ElecAvoidedCostsWOCC!$A$5:$Q$50,T209+1,FALSE)</f>
        <v>#N/A</v>
      </c>
      <c r="AI209" s="44" t="e">
        <f t="shared" si="108"/>
        <v>#N/A</v>
      </c>
      <c r="AJ209" s="44" t="e">
        <f t="shared" si="109"/>
        <v>#N/A</v>
      </c>
      <c r="AK209" s="44" t="e">
        <f>HLOOKUP(I209,ElecAvoidedCostsWOCC!$A$5:$Q$50,G209+1,FALSE)*J209*L209</f>
        <v>#N/A</v>
      </c>
      <c r="AL209" s="44" t="e">
        <f t="shared" si="110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111"/>
        <v>0</v>
      </c>
      <c r="AO209" s="47">
        <f t="shared" si="112"/>
        <v>0</v>
      </c>
      <c r="AP209" s="47" t="e">
        <f t="shared" si="113"/>
        <v>#DIV/0!</v>
      </c>
    </row>
    <row r="210" spans="2:42">
      <c r="B210" s="97" t="s">
        <v>15</v>
      </c>
      <c r="C210" s="100"/>
      <c r="D210" s="100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95"/>
        <v>0</v>
      </c>
      <c r="U210" s="47">
        <f t="shared" si="96"/>
        <v>0</v>
      </c>
      <c r="V210" s="48">
        <f t="shared" si="97"/>
        <v>0</v>
      </c>
      <c r="W210" s="49">
        <f t="shared" si="98"/>
        <v>0</v>
      </c>
      <c r="X210" s="44">
        <f t="shared" si="99"/>
        <v>0</v>
      </c>
      <c r="Y210" s="44">
        <f t="shared" si="100"/>
        <v>0</v>
      </c>
      <c r="Z210" s="44">
        <f t="shared" si="101"/>
        <v>0</v>
      </c>
      <c r="AA210" s="50">
        <f t="shared" si="102"/>
        <v>0</v>
      </c>
      <c r="AB210" s="51">
        <f t="shared" si="103"/>
        <v>0</v>
      </c>
      <c r="AC210" s="44">
        <f t="shared" si="104"/>
        <v>0</v>
      </c>
      <c r="AD210" s="44">
        <f t="shared" si="105"/>
        <v>0</v>
      </c>
      <c r="AE210" s="44">
        <f t="shared" si="106"/>
        <v>0</v>
      </c>
      <c r="AF210" s="52" t="e">
        <f>HLOOKUP(I210,ElecAvoidedCostsWOCC!$A$5:$Q$50,G210+1,FALSE)</f>
        <v>#N/A</v>
      </c>
      <c r="AG210" s="44" t="e">
        <f t="shared" si="107"/>
        <v>#N/A</v>
      </c>
      <c r="AH210" s="52" t="e">
        <f>HLOOKUP(I210,ElecAvoidedCostsWOCC!$A$5:$Q$50,T210+1,FALSE)</f>
        <v>#N/A</v>
      </c>
      <c r="AI210" s="44" t="e">
        <f t="shared" si="108"/>
        <v>#N/A</v>
      </c>
      <c r="AJ210" s="44" t="e">
        <f t="shared" si="109"/>
        <v>#N/A</v>
      </c>
      <c r="AK210" s="44" t="e">
        <f>HLOOKUP(I210,ElecAvoidedCostsWOCC!$A$5:$Q$50,G210+1,FALSE)*J210*L210</f>
        <v>#N/A</v>
      </c>
      <c r="AL210" s="44" t="e">
        <f t="shared" si="110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111"/>
        <v>0</v>
      </c>
      <c r="AO210" s="47">
        <f t="shared" si="112"/>
        <v>0</v>
      </c>
      <c r="AP210" s="47" t="e">
        <f t="shared" si="113"/>
        <v>#DIV/0!</v>
      </c>
    </row>
    <row r="211" spans="2:42">
      <c r="B211" s="97" t="s">
        <v>15</v>
      </c>
      <c r="C211" s="100"/>
      <c r="D211" s="100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95"/>
        <v>0</v>
      </c>
      <c r="U211" s="47">
        <f t="shared" si="96"/>
        <v>0</v>
      </c>
      <c r="V211" s="48">
        <f t="shared" si="97"/>
        <v>0</v>
      </c>
      <c r="W211" s="49">
        <f t="shared" si="98"/>
        <v>0</v>
      </c>
      <c r="X211" s="44">
        <f t="shared" si="99"/>
        <v>0</v>
      </c>
      <c r="Y211" s="44">
        <f t="shared" si="100"/>
        <v>0</v>
      </c>
      <c r="Z211" s="44">
        <f t="shared" si="101"/>
        <v>0</v>
      </c>
      <c r="AA211" s="50">
        <f t="shared" si="102"/>
        <v>0</v>
      </c>
      <c r="AB211" s="51">
        <f t="shared" si="103"/>
        <v>0</v>
      </c>
      <c r="AC211" s="44">
        <f t="shared" si="104"/>
        <v>0</v>
      </c>
      <c r="AD211" s="44">
        <f t="shared" si="105"/>
        <v>0</v>
      </c>
      <c r="AE211" s="44">
        <f t="shared" si="106"/>
        <v>0</v>
      </c>
      <c r="AF211" s="52" t="e">
        <f>HLOOKUP(I211,ElecAvoidedCostsWOCC!$A$5:$Q$50,G211+1,FALSE)</f>
        <v>#N/A</v>
      </c>
      <c r="AG211" s="44" t="e">
        <f t="shared" si="107"/>
        <v>#N/A</v>
      </c>
      <c r="AH211" s="52" t="e">
        <f>HLOOKUP(I211,ElecAvoidedCostsWOCC!$A$5:$Q$50,T211+1,FALSE)</f>
        <v>#N/A</v>
      </c>
      <c r="AI211" s="44" t="e">
        <f t="shared" si="108"/>
        <v>#N/A</v>
      </c>
      <c r="AJ211" s="44" t="e">
        <f t="shared" si="109"/>
        <v>#N/A</v>
      </c>
      <c r="AK211" s="44" t="e">
        <f>HLOOKUP(I211,ElecAvoidedCostsWOCC!$A$5:$Q$50,G211+1,FALSE)*J211*L211</f>
        <v>#N/A</v>
      </c>
      <c r="AL211" s="44" t="e">
        <f t="shared" si="110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111"/>
        <v>0</v>
      </c>
      <c r="AO211" s="47">
        <f t="shared" si="112"/>
        <v>0</v>
      </c>
      <c r="AP211" s="47" t="e">
        <f t="shared" si="113"/>
        <v>#DIV/0!</v>
      </c>
    </row>
    <row r="212" spans="2:42">
      <c r="B212" s="97" t="s">
        <v>15</v>
      </c>
      <c r="C212" s="100"/>
      <c r="D212" s="100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95"/>
        <v>0</v>
      </c>
      <c r="U212" s="47">
        <f t="shared" si="96"/>
        <v>0</v>
      </c>
      <c r="V212" s="48">
        <f t="shared" si="97"/>
        <v>0</v>
      </c>
      <c r="W212" s="49">
        <f t="shared" si="98"/>
        <v>0</v>
      </c>
      <c r="X212" s="44">
        <f t="shared" si="99"/>
        <v>0</v>
      </c>
      <c r="Y212" s="44">
        <f t="shared" si="100"/>
        <v>0</v>
      </c>
      <c r="Z212" s="44">
        <f t="shared" si="101"/>
        <v>0</v>
      </c>
      <c r="AA212" s="50">
        <f t="shared" si="102"/>
        <v>0</v>
      </c>
      <c r="AB212" s="51">
        <f t="shared" si="103"/>
        <v>0</v>
      </c>
      <c r="AC212" s="44">
        <f t="shared" si="104"/>
        <v>0</v>
      </c>
      <c r="AD212" s="44">
        <f t="shared" si="105"/>
        <v>0</v>
      </c>
      <c r="AE212" s="44">
        <f t="shared" si="106"/>
        <v>0</v>
      </c>
      <c r="AF212" s="52" t="e">
        <f>HLOOKUP(I212,ElecAvoidedCostsWOCC!$A$5:$Q$50,G212+1,FALSE)</f>
        <v>#N/A</v>
      </c>
      <c r="AG212" s="44" t="e">
        <f t="shared" si="107"/>
        <v>#N/A</v>
      </c>
      <c r="AH212" s="52" t="e">
        <f>HLOOKUP(I212,ElecAvoidedCostsWOCC!$A$5:$Q$50,T212+1,FALSE)</f>
        <v>#N/A</v>
      </c>
      <c r="AI212" s="44" t="e">
        <f t="shared" si="108"/>
        <v>#N/A</v>
      </c>
      <c r="AJ212" s="44" t="e">
        <f t="shared" si="109"/>
        <v>#N/A</v>
      </c>
      <c r="AK212" s="44" t="e">
        <f>HLOOKUP(I212,ElecAvoidedCostsWOCC!$A$5:$Q$50,G212+1,FALSE)*J212*L212</f>
        <v>#N/A</v>
      </c>
      <c r="AL212" s="44" t="e">
        <f t="shared" si="110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111"/>
        <v>0</v>
      </c>
      <c r="AO212" s="47">
        <f t="shared" si="112"/>
        <v>0</v>
      </c>
      <c r="AP212" s="47" t="e">
        <f t="shared" si="113"/>
        <v>#DIV/0!</v>
      </c>
    </row>
    <row r="213" spans="2:42">
      <c r="B213" s="97" t="s">
        <v>15</v>
      </c>
      <c r="C213" s="100"/>
      <c r="D213" s="100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95"/>
        <v>0</v>
      </c>
      <c r="U213" s="47">
        <f t="shared" si="96"/>
        <v>0</v>
      </c>
      <c r="V213" s="48">
        <f t="shared" si="97"/>
        <v>0</v>
      </c>
      <c r="W213" s="49">
        <f t="shared" si="98"/>
        <v>0</v>
      </c>
      <c r="X213" s="44">
        <f t="shared" si="99"/>
        <v>0</v>
      </c>
      <c r="Y213" s="44">
        <f t="shared" si="100"/>
        <v>0</v>
      </c>
      <c r="Z213" s="44">
        <f t="shared" si="101"/>
        <v>0</v>
      </c>
      <c r="AA213" s="50">
        <f t="shared" si="102"/>
        <v>0</v>
      </c>
      <c r="AB213" s="51">
        <f t="shared" si="103"/>
        <v>0</v>
      </c>
      <c r="AC213" s="44">
        <f t="shared" si="104"/>
        <v>0</v>
      </c>
      <c r="AD213" s="44">
        <f t="shared" si="105"/>
        <v>0</v>
      </c>
      <c r="AE213" s="44">
        <f t="shared" si="106"/>
        <v>0</v>
      </c>
      <c r="AF213" s="52" t="e">
        <f>HLOOKUP(I213,ElecAvoidedCostsWOCC!$A$5:$Q$50,G213+1,FALSE)</f>
        <v>#N/A</v>
      </c>
      <c r="AG213" s="44" t="e">
        <f t="shared" si="107"/>
        <v>#N/A</v>
      </c>
      <c r="AH213" s="52" t="e">
        <f>HLOOKUP(I213,ElecAvoidedCostsWOCC!$A$5:$Q$50,T213+1,FALSE)</f>
        <v>#N/A</v>
      </c>
      <c r="AI213" s="44" t="e">
        <f t="shared" si="108"/>
        <v>#N/A</v>
      </c>
      <c r="AJ213" s="44" t="e">
        <f t="shared" si="109"/>
        <v>#N/A</v>
      </c>
      <c r="AK213" s="44" t="e">
        <f>HLOOKUP(I213,ElecAvoidedCostsWOCC!$A$5:$Q$50,G213+1,FALSE)*J213*L213</f>
        <v>#N/A</v>
      </c>
      <c r="AL213" s="44" t="e">
        <f t="shared" si="110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111"/>
        <v>0</v>
      </c>
      <c r="AO213" s="47">
        <f t="shared" si="112"/>
        <v>0</v>
      </c>
      <c r="AP213" s="47" t="e">
        <f t="shared" si="113"/>
        <v>#DIV/0!</v>
      </c>
    </row>
    <row r="214" spans="2:42">
      <c r="B214" s="97" t="s">
        <v>15</v>
      </c>
      <c r="C214" s="100"/>
      <c r="D214" s="100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95"/>
        <v>0</v>
      </c>
      <c r="U214" s="47">
        <f t="shared" si="96"/>
        <v>0</v>
      </c>
      <c r="V214" s="48">
        <f t="shared" si="97"/>
        <v>0</v>
      </c>
      <c r="W214" s="49">
        <f t="shared" si="98"/>
        <v>0</v>
      </c>
      <c r="X214" s="44">
        <f t="shared" si="99"/>
        <v>0</v>
      </c>
      <c r="Y214" s="44">
        <f t="shared" si="100"/>
        <v>0</v>
      </c>
      <c r="Z214" s="44">
        <f t="shared" si="101"/>
        <v>0</v>
      </c>
      <c r="AA214" s="50">
        <f t="shared" si="102"/>
        <v>0</v>
      </c>
      <c r="AB214" s="51">
        <f t="shared" si="103"/>
        <v>0</v>
      </c>
      <c r="AC214" s="44">
        <f t="shared" si="104"/>
        <v>0</v>
      </c>
      <c r="AD214" s="44">
        <f t="shared" si="105"/>
        <v>0</v>
      </c>
      <c r="AE214" s="44">
        <f t="shared" si="106"/>
        <v>0</v>
      </c>
      <c r="AF214" s="52" t="e">
        <f>HLOOKUP(I214,ElecAvoidedCostsWOCC!$A$5:$Q$50,G214+1,FALSE)</f>
        <v>#N/A</v>
      </c>
      <c r="AG214" s="44" t="e">
        <f t="shared" si="107"/>
        <v>#N/A</v>
      </c>
      <c r="AH214" s="52" t="e">
        <f>HLOOKUP(I214,ElecAvoidedCostsWOCC!$A$5:$Q$50,T214+1,FALSE)</f>
        <v>#N/A</v>
      </c>
      <c r="AI214" s="44" t="e">
        <f t="shared" si="108"/>
        <v>#N/A</v>
      </c>
      <c r="AJ214" s="44" t="e">
        <f t="shared" si="109"/>
        <v>#N/A</v>
      </c>
      <c r="AK214" s="44" t="e">
        <f>HLOOKUP(I214,ElecAvoidedCostsWOCC!$A$5:$Q$50,G214+1,FALSE)*J214*L214</f>
        <v>#N/A</v>
      </c>
      <c r="AL214" s="44" t="e">
        <f t="shared" si="110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111"/>
        <v>0</v>
      </c>
      <c r="AO214" s="47">
        <f t="shared" si="112"/>
        <v>0</v>
      </c>
      <c r="AP214" s="47" t="e">
        <f t="shared" si="113"/>
        <v>#DIV/0!</v>
      </c>
    </row>
    <row r="215" spans="2:42">
      <c r="B215" s="97" t="s">
        <v>15</v>
      </c>
      <c r="C215" s="100"/>
      <c r="D215" s="100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95"/>
        <v>0</v>
      </c>
      <c r="U215" s="47">
        <f t="shared" si="96"/>
        <v>0</v>
      </c>
      <c r="V215" s="48">
        <f t="shared" si="97"/>
        <v>0</v>
      </c>
      <c r="W215" s="49">
        <f t="shared" si="98"/>
        <v>0</v>
      </c>
      <c r="X215" s="44">
        <f t="shared" si="99"/>
        <v>0</v>
      </c>
      <c r="Y215" s="44">
        <f t="shared" si="100"/>
        <v>0</v>
      </c>
      <c r="Z215" s="44">
        <f t="shared" si="101"/>
        <v>0</v>
      </c>
      <c r="AA215" s="50">
        <f t="shared" si="102"/>
        <v>0</v>
      </c>
      <c r="AB215" s="51">
        <f t="shared" si="103"/>
        <v>0</v>
      </c>
      <c r="AC215" s="44">
        <f t="shared" si="104"/>
        <v>0</v>
      </c>
      <c r="AD215" s="44">
        <f t="shared" si="105"/>
        <v>0</v>
      </c>
      <c r="AE215" s="44">
        <f t="shared" si="106"/>
        <v>0</v>
      </c>
      <c r="AF215" s="52" t="e">
        <f>HLOOKUP(I215,ElecAvoidedCostsWOCC!$A$5:$Q$50,G215+1,FALSE)</f>
        <v>#N/A</v>
      </c>
      <c r="AG215" s="44" t="e">
        <f t="shared" si="107"/>
        <v>#N/A</v>
      </c>
      <c r="AH215" s="52" t="e">
        <f>HLOOKUP(I215,ElecAvoidedCostsWOCC!$A$5:$Q$50,T215+1,FALSE)</f>
        <v>#N/A</v>
      </c>
      <c r="AI215" s="44" t="e">
        <f t="shared" si="108"/>
        <v>#N/A</v>
      </c>
      <c r="AJ215" s="44" t="e">
        <f t="shared" si="109"/>
        <v>#N/A</v>
      </c>
      <c r="AK215" s="44" t="e">
        <f>HLOOKUP(I215,ElecAvoidedCostsWOCC!$A$5:$Q$50,G215+1,FALSE)*J215*L215</f>
        <v>#N/A</v>
      </c>
      <c r="AL215" s="44" t="e">
        <f t="shared" si="110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111"/>
        <v>0</v>
      </c>
      <c r="AO215" s="47">
        <f t="shared" si="112"/>
        <v>0</v>
      </c>
      <c r="AP215" s="47" t="e">
        <f t="shared" si="113"/>
        <v>#DIV/0!</v>
      </c>
    </row>
    <row r="216" spans="2:42">
      <c r="B216" s="97" t="s">
        <v>15</v>
      </c>
      <c r="C216" s="100"/>
      <c r="D216" s="100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95"/>
        <v>0</v>
      </c>
      <c r="U216" s="47">
        <f t="shared" si="96"/>
        <v>0</v>
      </c>
      <c r="V216" s="48">
        <f t="shared" si="97"/>
        <v>0</v>
      </c>
      <c r="W216" s="49">
        <f t="shared" si="98"/>
        <v>0</v>
      </c>
      <c r="X216" s="44">
        <f t="shared" si="99"/>
        <v>0</v>
      </c>
      <c r="Y216" s="44">
        <f t="shared" si="100"/>
        <v>0</v>
      </c>
      <c r="Z216" s="44">
        <f t="shared" si="101"/>
        <v>0</v>
      </c>
      <c r="AA216" s="50">
        <f t="shared" si="102"/>
        <v>0</v>
      </c>
      <c r="AB216" s="51">
        <f t="shared" si="103"/>
        <v>0</v>
      </c>
      <c r="AC216" s="44">
        <f t="shared" si="104"/>
        <v>0</v>
      </c>
      <c r="AD216" s="44">
        <f t="shared" si="105"/>
        <v>0</v>
      </c>
      <c r="AE216" s="44">
        <f t="shared" si="106"/>
        <v>0</v>
      </c>
      <c r="AF216" s="52" t="e">
        <f>HLOOKUP(I216,ElecAvoidedCostsWOCC!$A$5:$Q$50,G216+1,FALSE)</f>
        <v>#N/A</v>
      </c>
      <c r="AG216" s="44" t="e">
        <f t="shared" si="107"/>
        <v>#N/A</v>
      </c>
      <c r="AH216" s="52" t="e">
        <f>HLOOKUP(I216,ElecAvoidedCostsWOCC!$A$5:$Q$50,T216+1,FALSE)</f>
        <v>#N/A</v>
      </c>
      <c r="AI216" s="44" t="e">
        <f t="shared" si="108"/>
        <v>#N/A</v>
      </c>
      <c r="AJ216" s="44" t="e">
        <f t="shared" si="109"/>
        <v>#N/A</v>
      </c>
      <c r="AK216" s="44" t="e">
        <f>HLOOKUP(I216,ElecAvoidedCostsWOCC!$A$5:$Q$50,G216+1,FALSE)*J216*L216</f>
        <v>#N/A</v>
      </c>
      <c r="AL216" s="44" t="e">
        <f t="shared" si="110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111"/>
        <v>0</v>
      </c>
      <c r="AO216" s="47">
        <f t="shared" si="112"/>
        <v>0</v>
      </c>
      <c r="AP216" s="47" t="e">
        <f t="shared" si="113"/>
        <v>#DIV/0!</v>
      </c>
    </row>
    <row r="217" spans="2:42">
      <c r="B217" s="97" t="s">
        <v>15</v>
      </c>
      <c r="C217" s="100"/>
      <c r="D217" s="100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si="95"/>
        <v>0</v>
      </c>
      <c r="U217" s="47">
        <f t="shared" si="96"/>
        <v>0</v>
      </c>
      <c r="V217" s="48">
        <f t="shared" si="97"/>
        <v>0</v>
      </c>
      <c r="W217" s="49">
        <f t="shared" si="98"/>
        <v>0</v>
      </c>
      <c r="X217" s="44">
        <f t="shared" si="99"/>
        <v>0</v>
      </c>
      <c r="Y217" s="44">
        <f t="shared" si="100"/>
        <v>0</v>
      </c>
      <c r="Z217" s="44">
        <f t="shared" si="101"/>
        <v>0</v>
      </c>
      <c r="AA217" s="50">
        <f t="shared" si="102"/>
        <v>0</v>
      </c>
      <c r="AB217" s="51">
        <f t="shared" si="103"/>
        <v>0</v>
      </c>
      <c r="AC217" s="44">
        <f t="shared" si="104"/>
        <v>0</v>
      </c>
      <c r="AD217" s="44">
        <f t="shared" si="105"/>
        <v>0</v>
      </c>
      <c r="AE217" s="44">
        <f t="shared" si="106"/>
        <v>0</v>
      </c>
      <c r="AF217" s="52" t="e">
        <f>HLOOKUP(I217,ElecAvoidedCostsWOCC!$A$5:$Q$50,G217+1,FALSE)</f>
        <v>#N/A</v>
      </c>
      <c r="AG217" s="44" t="e">
        <f t="shared" si="107"/>
        <v>#N/A</v>
      </c>
      <c r="AH217" s="52" t="e">
        <f>HLOOKUP(I217,ElecAvoidedCostsWOCC!$A$5:$Q$50,T217+1,FALSE)</f>
        <v>#N/A</v>
      </c>
      <c r="AI217" s="44" t="e">
        <f t="shared" si="108"/>
        <v>#N/A</v>
      </c>
      <c r="AJ217" s="44" t="e">
        <f t="shared" si="109"/>
        <v>#N/A</v>
      </c>
      <c r="AK217" s="44" t="e">
        <f>HLOOKUP(I217,ElecAvoidedCostsWOCC!$A$5:$Q$50,G217+1,FALSE)*J217*L217</f>
        <v>#N/A</v>
      </c>
      <c r="AL217" s="44" t="e">
        <f t="shared" si="110"/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si="111"/>
        <v>0</v>
      </c>
      <c r="AO217" s="47">
        <f t="shared" si="112"/>
        <v>0</v>
      </c>
      <c r="AP217" s="47" t="e">
        <f t="shared" si="113"/>
        <v>#DIV/0!</v>
      </c>
    </row>
    <row r="218" spans="2:42">
      <c r="B218" s="97" t="s">
        <v>15</v>
      </c>
      <c r="C218" s="100"/>
      <c r="D218" s="100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95"/>
        <v>0</v>
      </c>
      <c r="U218" s="47">
        <f t="shared" si="96"/>
        <v>0</v>
      </c>
      <c r="V218" s="48">
        <f t="shared" si="97"/>
        <v>0</v>
      </c>
      <c r="W218" s="49">
        <f t="shared" si="98"/>
        <v>0</v>
      </c>
      <c r="X218" s="44">
        <f t="shared" si="99"/>
        <v>0</v>
      </c>
      <c r="Y218" s="44">
        <f t="shared" si="100"/>
        <v>0</v>
      </c>
      <c r="Z218" s="44">
        <f t="shared" si="101"/>
        <v>0</v>
      </c>
      <c r="AA218" s="50">
        <f t="shared" si="102"/>
        <v>0</v>
      </c>
      <c r="AB218" s="51">
        <f t="shared" si="103"/>
        <v>0</v>
      </c>
      <c r="AC218" s="44">
        <f t="shared" si="104"/>
        <v>0</v>
      </c>
      <c r="AD218" s="44">
        <f t="shared" si="105"/>
        <v>0</v>
      </c>
      <c r="AE218" s="44">
        <f t="shared" si="106"/>
        <v>0</v>
      </c>
      <c r="AF218" s="52" t="e">
        <f>HLOOKUP(I218,ElecAvoidedCostsWOCC!$A$5:$Q$50,G218+1,FALSE)</f>
        <v>#N/A</v>
      </c>
      <c r="AG218" s="44" t="e">
        <f t="shared" si="107"/>
        <v>#N/A</v>
      </c>
      <c r="AH218" s="52" t="e">
        <f>HLOOKUP(I218,ElecAvoidedCostsWOCC!$A$5:$Q$50,T218+1,FALSE)</f>
        <v>#N/A</v>
      </c>
      <c r="AI218" s="44" t="e">
        <f t="shared" si="108"/>
        <v>#N/A</v>
      </c>
      <c r="AJ218" s="44" t="e">
        <f t="shared" si="109"/>
        <v>#N/A</v>
      </c>
      <c r="AK218" s="44" t="e">
        <f>HLOOKUP(I218,ElecAvoidedCostsWOCC!$A$5:$Q$50,G218+1,FALSE)*J218*L218</f>
        <v>#N/A</v>
      </c>
      <c r="AL218" s="44" t="e">
        <f t="shared" si="110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111"/>
        <v>0</v>
      </c>
      <c r="AO218" s="47">
        <f t="shared" si="112"/>
        <v>0</v>
      </c>
      <c r="AP218" s="47" t="e">
        <f t="shared" si="113"/>
        <v>#DIV/0!</v>
      </c>
    </row>
    <row r="219" spans="2:42">
      <c r="B219" s="97" t="s">
        <v>15</v>
      </c>
      <c r="C219" s="100"/>
      <c r="D219" s="100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95"/>
        <v>0</v>
      </c>
      <c r="U219" s="47">
        <f t="shared" si="96"/>
        <v>0</v>
      </c>
      <c r="V219" s="48">
        <f t="shared" si="97"/>
        <v>0</v>
      </c>
      <c r="W219" s="49">
        <f t="shared" si="98"/>
        <v>0</v>
      </c>
      <c r="X219" s="44">
        <f t="shared" si="99"/>
        <v>0</v>
      </c>
      <c r="Y219" s="44">
        <f t="shared" si="100"/>
        <v>0</v>
      </c>
      <c r="Z219" s="44">
        <f t="shared" si="101"/>
        <v>0</v>
      </c>
      <c r="AA219" s="50">
        <f t="shared" si="102"/>
        <v>0</v>
      </c>
      <c r="AB219" s="51">
        <f t="shared" si="103"/>
        <v>0</v>
      </c>
      <c r="AC219" s="44">
        <f t="shared" si="104"/>
        <v>0</v>
      </c>
      <c r="AD219" s="44">
        <f t="shared" si="105"/>
        <v>0</v>
      </c>
      <c r="AE219" s="44">
        <f t="shared" si="106"/>
        <v>0</v>
      </c>
      <c r="AF219" s="52" t="e">
        <f>HLOOKUP(I219,ElecAvoidedCostsWOCC!$A$5:$Q$50,G219+1,FALSE)</f>
        <v>#N/A</v>
      </c>
      <c r="AG219" s="44" t="e">
        <f t="shared" si="107"/>
        <v>#N/A</v>
      </c>
      <c r="AH219" s="52" t="e">
        <f>HLOOKUP(I219,ElecAvoidedCostsWOCC!$A$5:$Q$50,T219+1,FALSE)</f>
        <v>#N/A</v>
      </c>
      <c r="AI219" s="44" t="e">
        <f t="shared" si="108"/>
        <v>#N/A</v>
      </c>
      <c r="AJ219" s="44" t="e">
        <f t="shared" si="109"/>
        <v>#N/A</v>
      </c>
      <c r="AK219" s="44" t="e">
        <f>HLOOKUP(I219,ElecAvoidedCostsWOCC!$A$5:$Q$50,G219+1,FALSE)*J219*L219</f>
        <v>#N/A</v>
      </c>
      <c r="AL219" s="44" t="e">
        <f t="shared" si="110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111"/>
        <v>0</v>
      </c>
      <c r="AO219" s="47">
        <f t="shared" si="112"/>
        <v>0</v>
      </c>
      <c r="AP219" s="47" t="e">
        <f t="shared" si="113"/>
        <v>#DIV/0!</v>
      </c>
    </row>
    <row r="220" spans="2:42">
      <c r="B220" s="97" t="s">
        <v>15</v>
      </c>
      <c r="C220" s="100"/>
      <c r="D220" s="100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95"/>
        <v>0</v>
      </c>
      <c r="U220" s="47">
        <f t="shared" si="96"/>
        <v>0</v>
      </c>
      <c r="V220" s="48">
        <f t="shared" si="97"/>
        <v>0</v>
      </c>
      <c r="W220" s="49">
        <f t="shared" si="98"/>
        <v>0</v>
      </c>
      <c r="X220" s="44">
        <f t="shared" si="99"/>
        <v>0</v>
      </c>
      <c r="Y220" s="44">
        <f t="shared" si="100"/>
        <v>0</v>
      </c>
      <c r="Z220" s="44">
        <f t="shared" si="101"/>
        <v>0</v>
      </c>
      <c r="AA220" s="50">
        <f t="shared" si="102"/>
        <v>0</v>
      </c>
      <c r="AB220" s="51">
        <f t="shared" si="103"/>
        <v>0</v>
      </c>
      <c r="AC220" s="44">
        <f t="shared" si="104"/>
        <v>0</v>
      </c>
      <c r="AD220" s="44">
        <f t="shared" si="105"/>
        <v>0</v>
      </c>
      <c r="AE220" s="44">
        <f t="shared" si="106"/>
        <v>0</v>
      </c>
      <c r="AF220" s="52" t="e">
        <f>HLOOKUP(I220,ElecAvoidedCostsWOCC!$A$5:$Q$50,G220+1,FALSE)</f>
        <v>#N/A</v>
      </c>
      <c r="AG220" s="44" t="e">
        <f t="shared" si="107"/>
        <v>#N/A</v>
      </c>
      <c r="AH220" s="52" t="e">
        <f>HLOOKUP(I220,ElecAvoidedCostsWOCC!$A$5:$Q$50,T220+1,FALSE)</f>
        <v>#N/A</v>
      </c>
      <c r="AI220" s="44" t="e">
        <f t="shared" si="108"/>
        <v>#N/A</v>
      </c>
      <c r="AJ220" s="44" t="e">
        <f t="shared" si="109"/>
        <v>#N/A</v>
      </c>
      <c r="AK220" s="44" t="e">
        <f>HLOOKUP(I220,ElecAvoidedCostsWOCC!$A$5:$Q$50,G220+1,FALSE)*J220*L220</f>
        <v>#N/A</v>
      </c>
      <c r="AL220" s="44" t="e">
        <f t="shared" si="110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111"/>
        <v>0</v>
      </c>
      <c r="AO220" s="47">
        <f t="shared" si="112"/>
        <v>0</v>
      </c>
      <c r="AP220" s="47" t="e">
        <f t="shared" si="113"/>
        <v>#DIV/0!</v>
      </c>
    </row>
    <row r="221" spans="2:42">
      <c r="B221" s="97" t="s">
        <v>15</v>
      </c>
      <c r="C221" s="100"/>
      <c r="D221" s="100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95"/>
        <v>0</v>
      </c>
      <c r="U221" s="47">
        <f t="shared" si="96"/>
        <v>0</v>
      </c>
      <c r="V221" s="48">
        <f t="shared" si="97"/>
        <v>0</v>
      </c>
      <c r="W221" s="49">
        <f t="shared" si="98"/>
        <v>0</v>
      </c>
      <c r="X221" s="44">
        <f t="shared" si="99"/>
        <v>0</v>
      </c>
      <c r="Y221" s="44">
        <f t="shared" si="100"/>
        <v>0</v>
      </c>
      <c r="Z221" s="44">
        <f t="shared" si="101"/>
        <v>0</v>
      </c>
      <c r="AA221" s="50">
        <f t="shared" si="102"/>
        <v>0</v>
      </c>
      <c r="AB221" s="51">
        <f t="shared" si="103"/>
        <v>0</v>
      </c>
      <c r="AC221" s="44">
        <f t="shared" si="104"/>
        <v>0</v>
      </c>
      <c r="AD221" s="44">
        <f t="shared" si="105"/>
        <v>0</v>
      </c>
      <c r="AE221" s="44">
        <f t="shared" si="106"/>
        <v>0</v>
      </c>
      <c r="AF221" s="52" t="e">
        <f>HLOOKUP(I221,ElecAvoidedCostsWOCC!$A$5:$Q$50,G221+1,FALSE)</f>
        <v>#N/A</v>
      </c>
      <c r="AG221" s="44" t="e">
        <f t="shared" si="107"/>
        <v>#N/A</v>
      </c>
      <c r="AH221" s="52" t="e">
        <f>HLOOKUP(I221,ElecAvoidedCostsWOCC!$A$5:$Q$50,T221+1,FALSE)</f>
        <v>#N/A</v>
      </c>
      <c r="AI221" s="44" t="e">
        <f t="shared" si="108"/>
        <v>#N/A</v>
      </c>
      <c r="AJ221" s="44" t="e">
        <f t="shared" si="109"/>
        <v>#N/A</v>
      </c>
      <c r="AK221" s="44" t="e">
        <f>HLOOKUP(I221,ElecAvoidedCostsWOCC!$A$5:$Q$50,G221+1,FALSE)*J221*L221</f>
        <v>#N/A</v>
      </c>
      <c r="AL221" s="44" t="e">
        <f t="shared" si="110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111"/>
        <v>0</v>
      </c>
      <c r="AO221" s="47">
        <f t="shared" si="112"/>
        <v>0</v>
      </c>
      <c r="AP221" s="47" t="e">
        <f t="shared" si="113"/>
        <v>#DIV/0!</v>
      </c>
    </row>
    <row r="222" spans="2:42">
      <c r="B222" s="97" t="s">
        <v>15</v>
      </c>
      <c r="C222" s="100"/>
      <c r="D222" s="100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95"/>
        <v>0</v>
      </c>
      <c r="U222" s="47">
        <f t="shared" si="96"/>
        <v>0</v>
      </c>
      <c r="V222" s="48">
        <f t="shared" si="97"/>
        <v>0</v>
      </c>
      <c r="W222" s="49">
        <f t="shared" si="98"/>
        <v>0</v>
      </c>
      <c r="X222" s="44">
        <f t="shared" si="99"/>
        <v>0</v>
      </c>
      <c r="Y222" s="44">
        <f t="shared" si="100"/>
        <v>0</v>
      </c>
      <c r="Z222" s="44">
        <f t="shared" si="101"/>
        <v>0</v>
      </c>
      <c r="AA222" s="50">
        <f t="shared" si="102"/>
        <v>0</v>
      </c>
      <c r="AB222" s="51">
        <f t="shared" si="103"/>
        <v>0</v>
      </c>
      <c r="AC222" s="44">
        <f t="shared" si="104"/>
        <v>0</v>
      </c>
      <c r="AD222" s="44">
        <f t="shared" si="105"/>
        <v>0</v>
      </c>
      <c r="AE222" s="44">
        <f t="shared" si="106"/>
        <v>0</v>
      </c>
      <c r="AF222" s="52" t="e">
        <f>HLOOKUP(I222,ElecAvoidedCostsWOCC!$A$5:$Q$50,G222+1,FALSE)</f>
        <v>#N/A</v>
      </c>
      <c r="AG222" s="44" t="e">
        <f t="shared" si="107"/>
        <v>#N/A</v>
      </c>
      <c r="AH222" s="52" t="e">
        <f>HLOOKUP(I222,ElecAvoidedCostsWOCC!$A$5:$Q$50,T222+1,FALSE)</f>
        <v>#N/A</v>
      </c>
      <c r="AI222" s="44" t="e">
        <f t="shared" si="108"/>
        <v>#N/A</v>
      </c>
      <c r="AJ222" s="44" t="e">
        <f t="shared" si="109"/>
        <v>#N/A</v>
      </c>
      <c r="AK222" s="44" t="e">
        <f>HLOOKUP(I222,ElecAvoidedCostsWOCC!$A$5:$Q$50,G222+1,FALSE)*J222*L222</f>
        <v>#N/A</v>
      </c>
      <c r="AL222" s="44" t="e">
        <f t="shared" si="110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111"/>
        <v>0</v>
      </c>
      <c r="AO222" s="47">
        <f t="shared" si="112"/>
        <v>0</v>
      </c>
      <c r="AP222" s="47" t="e">
        <f t="shared" si="113"/>
        <v>#DIV/0!</v>
      </c>
    </row>
    <row r="223" spans="2:42">
      <c r="B223" s="97" t="s">
        <v>15</v>
      </c>
      <c r="C223" s="100"/>
      <c r="D223" s="100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95"/>
        <v>0</v>
      </c>
      <c r="U223" s="47">
        <f t="shared" si="96"/>
        <v>0</v>
      </c>
      <c r="V223" s="48">
        <f t="shared" si="97"/>
        <v>0</v>
      </c>
      <c r="W223" s="49">
        <f t="shared" si="98"/>
        <v>0</v>
      </c>
      <c r="X223" s="44">
        <f t="shared" si="99"/>
        <v>0</v>
      </c>
      <c r="Y223" s="44">
        <f t="shared" si="100"/>
        <v>0</v>
      </c>
      <c r="Z223" s="44">
        <f t="shared" si="101"/>
        <v>0</v>
      </c>
      <c r="AA223" s="50">
        <f t="shared" si="102"/>
        <v>0</v>
      </c>
      <c r="AB223" s="51">
        <f t="shared" si="103"/>
        <v>0</v>
      </c>
      <c r="AC223" s="44">
        <f t="shared" si="104"/>
        <v>0</v>
      </c>
      <c r="AD223" s="44">
        <f t="shared" si="105"/>
        <v>0</v>
      </c>
      <c r="AE223" s="44">
        <f t="shared" si="106"/>
        <v>0</v>
      </c>
      <c r="AF223" s="52" t="e">
        <f>HLOOKUP(I223,ElecAvoidedCostsWOCC!$A$5:$Q$50,G223+1,FALSE)</f>
        <v>#N/A</v>
      </c>
      <c r="AG223" s="44" t="e">
        <f t="shared" si="107"/>
        <v>#N/A</v>
      </c>
      <c r="AH223" s="52" t="e">
        <f>HLOOKUP(I223,ElecAvoidedCostsWOCC!$A$5:$Q$50,T223+1,FALSE)</f>
        <v>#N/A</v>
      </c>
      <c r="AI223" s="44" t="e">
        <f t="shared" si="108"/>
        <v>#N/A</v>
      </c>
      <c r="AJ223" s="44" t="e">
        <f t="shared" si="109"/>
        <v>#N/A</v>
      </c>
      <c r="AK223" s="44" t="e">
        <f>HLOOKUP(I223,ElecAvoidedCostsWOCC!$A$5:$Q$50,G223+1,FALSE)*J223*L223</f>
        <v>#N/A</v>
      </c>
      <c r="AL223" s="44" t="e">
        <f t="shared" si="110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111"/>
        <v>0</v>
      </c>
      <c r="AO223" s="47">
        <f t="shared" si="112"/>
        <v>0</v>
      </c>
      <c r="AP223" s="47" t="e">
        <f t="shared" si="113"/>
        <v>#DIV/0!</v>
      </c>
    </row>
    <row r="224" spans="2:42">
      <c r="B224" s="97" t="s">
        <v>15</v>
      </c>
      <c r="C224" s="100"/>
      <c r="D224" s="100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95"/>
        <v>0</v>
      </c>
      <c r="U224" s="47">
        <f t="shared" si="96"/>
        <v>0</v>
      </c>
      <c r="V224" s="48">
        <f t="shared" si="97"/>
        <v>0</v>
      </c>
      <c r="W224" s="49">
        <f t="shared" si="98"/>
        <v>0</v>
      </c>
      <c r="X224" s="44">
        <f t="shared" si="99"/>
        <v>0</v>
      </c>
      <c r="Y224" s="44">
        <f t="shared" si="100"/>
        <v>0</v>
      </c>
      <c r="Z224" s="44">
        <f t="shared" si="101"/>
        <v>0</v>
      </c>
      <c r="AA224" s="50">
        <f t="shared" si="102"/>
        <v>0</v>
      </c>
      <c r="AB224" s="51">
        <f t="shared" si="103"/>
        <v>0</v>
      </c>
      <c r="AC224" s="44">
        <f t="shared" si="104"/>
        <v>0</v>
      </c>
      <c r="AD224" s="44">
        <f t="shared" si="105"/>
        <v>0</v>
      </c>
      <c r="AE224" s="44">
        <f t="shared" si="106"/>
        <v>0</v>
      </c>
      <c r="AF224" s="52" t="e">
        <f>HLOOKUP(I224,ElecAvoidedCostsWOCC!$A$5:$Q$50,G224+1,FALSE)</f>
        <v>#N/A</v>
      </c>
      <c r="AG224" s="44" t="e">
        <f t="shared" si="107"/>
        <v>#N/A</v>
      </c>
      <c r="AH224" s="52" t="e">
        <f>HLOOKUP(I224,ElecAvoidedCostsWOCC!$A$5:$Q$50,T224+1,FALSE)</f>
        <v>#N/A</v>
      </c>
      <c r="AI224" s="44" t="e">
        <f t="shared" si="108"/>
        <v>#N/A</v>
      </c>
      <c r="AJ224" s="44" t="e">
        <f t="shared" si="109"/>
        <v>#N/A</v>
      </c>
      <c r="AK224" s="44" t="e">
        <f>HLOOKUP(I224,ElecAvoidedCostsWOCC!$A$5:$Q$50,G224+1,FALSE)*J224*L224</f>
        <v>#N/A</v>
      </c>
      <c r="AL224" s="44" t="e">
        <f t="shared" si="110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111"/>
        <v>0</v>
      </c>
      <c r="AO224" s="47">
        <f t="shared" si="112"/>
        <v>0</v>
      </c>
      <c r="AP224" s="47" t="e">
        <f t="shared" si="113"/>
        <v>#DIV/0!</v>
      </c>
    </row>
    <row r="225" spans="2:42">
      <c r="B225" s="97" t="s">
        <v>15</v>
      </c>
      <c r="C225" s="100"/>
      <c r="D225" s="100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95"/>
        <v>0</v>
      </c>
      <c r="U225" s="47">
        <f t="shared" si="96"/>
        <v>0</v>
      </c>
      <c r="V225" s="48">
        <f t="shared" si="97"/>
        <v>0</v>
      </c>
      <c r="W225" s="49">
        <f t="shared" si="98"/>
        <v>0</v>
      </c>
      <c r="X225" s="44">
        <f t="shared" si="99"/>
        <v>0</v>
      </c>
      <c r="Y225" s="44">
        <f t="shared" si="100"/>
        <v>0</v>
      </c>
      <c r="Z225" s="44">
        <f t="shared" si="101"/>
        <v>0</v>
      </c>
      <c r="AA225" s="50">
        <f t="shared" si="102"/>
        <v>0</v>
      </c>
      <c r="AB225" s="51">
        <f t="shared" si="103"/>
        <v>0</v>
      </c>
      <c r="AC225" s="44">
        <f t="shared" si="104"/>
        <v>0</v>
      </c>
      <c r="AD225" s="44">
        <f t="shared" si="105"/>
        <v>0</v>
      </c>
      <c r="AE225" s="44">
        <f t="shared" si="106"/>
        <v>0</v>
      </c>
      <c r="AF225" s="52" t="e">
        <f>HLOOKUP(I225,ElecAvoidedCostsWOCC!$A$5:$Q$50,G225+1,FALSE)</f>
        <v>#N/A</v>
      </c>
      <c r="AG225" s="44" t="e">
        <f t="shared" si="107"/>
        <v>#N/A</v>
      </c>
      <c r="AH225" s="52" t="e">
        <f>HLOOKUP(I225,ElecAvoidedCostsWOCC!$A$5:$Q$50,T225+1,FALSE)</f>
        <v>#N/A</v>
      </c>
      <c r="AI225" s="44" t="e">
        <f t="shared" si="108"/>
        <v>#N/A</v>
      </c>
      <c r="AJ225" s="44" t="e">
        <f t="shared" si="109"/>
        <v>#N/A</v>
      </c>
      <c r="AK225" s="44" t="e">
        <f>HLOOKUP(I225,ElecAvoidedCostsWOCC!$A$5:$Q$50,G225+1,FALSE)*J225*L225</f>
        <v>#N/A</v>
      </c>
      <c r="AL225" s="44" t="e">
        <f t="shared" si="110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111"/>
        <v>0</v>
      </c>
      <c r="AO225" s="47">
        <f t="shared" si="112"/>
        <v>0</v>
      </c>
      <c r="AP225" s="47" t="e">
        <f t="shared" si="113"/>
        <v>#DIV/0!</v>
      </c>
    </row>
    <row r="226" spans="2:42">
      <c r="B226" s="97" t="s">
        <v>15</v>
      </c>
      <c r="C226" s="100"/>
      <c r="D226" s="100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95"/>
        <v>0</v>
      </c>
      <c r="U226" s="47">
        <f t="shared" si="96"/>
        <v>0</v>
      </c>
      <c r="V226" s="48">
        <f t="shared" si="97"/>
        <v>0</v>
      </c>
      <c r="W226" s="49">
        <f t="shared" si="98"/>
        <v>0</v>
      </c>
      <c r="X226" s="44">
        <f t="shared" si="99"/>
        <v>0</v>
      </c>
      <c r="Y226" s="44">
        <f t="shared" si="100"/>
        <v>0</v>
      </c>
      <c r="Z226" s="44">
        <f t="shared" si="101"/>
        <v>0</v>
      </c>
      <c r="AA226" s="50">
        <f t="shared" si="102"/>
        <v>0</v>
      </c>
      <c r="AB226" s="51">
        <f t="shared" si="103"/>
        <v>0</v>
      </c>
      <c r="AC226" s="44">
        <f t="shared" si="104"/>
        <v>0</v>
      </c>
      <c r="AD226" s="44">
        <f t="shared" si="105"/>
        <v>0</v>
      </c>
      <c r="AE226" s="44">
        <f t="shared" si="106"/>
        <v>0</v>
      </c>
      <c r="AF226" s="52" t="e">
        <f>HLOOKUP(I226,ElecAvoidedCostsWOCC!$A$5:$Q$50,G226+1,FALSE)</f>
        <v>#N/A</v>
      </c>
      <c r="AG226" s="44" t="e">
        <f t="shared" si="107"/>
        <v>#N/A</v>
      </c>
      <c r="AH226" s="52" t="e">
        <f>HLOOKUP(I226,ElecAvoidedCostsWOCC!$A$5:$Q$50,T226+1,FALSE)</f>
        <v>#N/A</v>
      </c>
      <c r="AI226" s="44" t="e">
        <f t="shared" si="108"/>
        <v>#N/A</v>
      </c>
      <c r="AJ226" s="44" t="e">
        <f t="shared" si="109"/>
        <v>#N/A</v>
      </c>
      <c r="AK226" s="44" t="e">
        <f>HLOOKUP(I226,ElecAvoidedCostsWOCC!$A$5:$Q$50,G226+1,FALSE)*J226*L226</f>
        <v>#N/A</v>
      </c>
      <c r="AL226" s="44" t="e">
        <f t="shared" si="110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111"/>
        <v>0</v>
      </c>
      <c r="AO226" s="47">
        <f t="shared" si="112"/>
        <v>0</v>
      </c>
      <c r="AP226" s="47" t="e">
        <f t="shared" si="113"/>
        <v>#DIV/0!</v>
      </c>
    </row>
    <row r="227" spans="2:42">
      <c r="B227" s="97" t="s">
        <v>15</v>
      </c>
      <c r="C227" s="100"/>
      <c r="D227" s="100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95"/>
        <v>0</v>
      </c>
      <c r="U227" s="47">
        <f t="shared" si="96"/>
        <v>0</v>
      </c>
      <c r="V227" s="48">
        <f t="shared" si="97"/>
        <v>0</v>
      </c>
      <c r="W227" s="49">
        <f t="shared" si="98"/>
        <v>0</v>
      </c>
      <c r="X227" s="44">
        <f t="shared" si="99"/>
        <v>0</v>
      </c>
      <c r="Y227" s="44">
        <f t="shared" si="100"/>
        <v>0</v>
      </c>
      <c r="Z227" s="44">
        <f t="shared" si="101"/>
        <v>0</v>
      </c>
      <c r="AA227" s="50">
        <f t="shared" si="102"/>
        <v>0</v>
      </c>
      <c r="AB227" s="51">
        <f t="shared" si="103"/>
        <v>0</v>
      </c>
      <c r="AC227" s="44">
        <f t="shared" si="104"/>
        <v>0</v>
      </c>
      <c r="AD227" s="44">
        <f t="shared" si="105"/>
        <v>0</v>
      </c>
      <c r="AE227" s="44">
        <f t="shared" si="106"/>
        <v>0</v>
      </c>
      <c r="AF227" s="52" t="e">
        <f>HLOOKUP(I227,ElecAvoidedCostsWOCC!$A$5:$Q$50,G227+1,FALSE)</f>
        <v>#N/A</v>
      </c>
      <c r="AG227" s="44" t="e">
        <f t="shared" si="107"/>
        <v>#N/A</v>
      </c>
      <c r="AH227" s="52" t="e">
        <f>HLOOKUP(I227,ElecAvoidedCostsWOCC!$A$5:$Q$50,T227+1,FALSE)</f>
        <v>#N/A</v>
      </c>
      <c r="AI227" s="44" t="e">
        <f t="shared" si="108"/>
        <v>#N/A</v>
      </c>
      <c r="AJ227" s="44" t="e">
        <f t="shared" si="109"/>
        <v>#N/A</v>
      </c>
      <c r="AK227" s="44" t="e">
        <f>HLOOKUP(I227,ElecAvoidedCostsWOCC!$A$5:$Q$50,G227+1,FALSE)*J227*L227</f>
        <v>#N/A</v>
      </c>
      <c r="AL227" s="44" t="e">
        <f t="shared" si="110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111"/>
        <v>0</v>
      </c>
      <c r="AO227" s="47">
        <f t="shared" si="112"/>
        <v>0</v>
      </c>
      <c r="AP227" s="47" t="e">
        <f t="shared" si="113"/>
        <v>#DIV/0!</v>
      </c>
    </row>
    <row r="228" spans="2:42">
      <c r="B228" s="97" t="s">
        <v>15</v>
      </c>
      <c r="C228" s="100"/>
      <c r="D228" s="100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95"/>
        <v>0</v>
      </c>
      <c r="U228" s="47">
        <f t="shared" si="96"/>
        <v>0</v>
      </c>
      <c r="V228" s="48">
        <f t="shared" si="97"/>
        <v>0</v>
      </c>
      <c r="W228" s="49">
        <f t="shared" si="98"/>
        <v>0</v>
      </c>
      <c r="X228" s="44">
        <f t="shared" si="99"/>
        <v>0</v>
      </c>
      <c r="Y228" s="44">
        <f t="shared" si="100"/>
        <v>0</v>
      </c>
      <c r="Z228" s="44">
        <f t="shared" si="101"/>
        <v>0</v>
      </c>
      <c r="AA228" s="50">
        <f t="shared" si="102"/>
        <v>0</v>
      </c>
      <c r="AB228" s="51">
        <f t="shared" si="103"/>
        <v>0</v>
      </c>
      <c r="AC228" s="44">
        <f t="shared" si="104"/>
        <v>0</v>
      </c>
      <c r="AD228" s="44">
        <f t="shared" si="105"/>
        <v>0</v>
      </c>
      <c r="AE228" s="44">
        <f t="shared" si="106"/>
        <v>0</v>
      </c>
      <c r="AF228" s="52" t="e">
        <f>HLOOKUP(I228,ElecAvoidedCostsWOCC!$A$5:$Q$50,G228+1,FALSE)</f>
        <v>#N/A</v>
      </c>
      <c r="AG228" s="44" t="e">
        <f t="shared" si="107"/>
        <v>#N/A</v>
      </c>
      <c r="AH228" s="52" t="e">
        <f>HLOOKUP(I228,ElecAvoidedCostsWOCC!$A$5:$Q$50,T228+1,FALSE)</f>
        <v>#N/A</v>
      </c>
      <c r="AI228" s="44" t="e">
        <f t="shared" si="108"/>
        <v>#N/A</v>
      </c>
      <c r="AJ228" s="44" t="e">
        <f t="shared" si="109"/>
        <v>#N/A</v>
      </c>
      <c r="AK228" s="44" t="e">
        <f>HLOOKUP(I228,ElecAvoidedCostsWOCC!$A$5:$Q$50,G228+1,FALSE)*J228*L228</f>
        <v>#N/A</v>
      </c>
      <c r="AL228" s="44" t="e">
        <f t="shared" si="110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111"/>
        <v>0</v>
      </c>
      <c r="AO228" s="47">
        <f t="shared" si="112"/>
        <v>0</v>
      </c>
      <c r="AP228" s="47" t="e">
        <f t="shared" si="113"/>
        <v>#DIV/0!</v>
      </c>
    </row>
    <row r="229" spans="2:42">
      <c r="B229" s="97" t="s">
        <v>15</v>
      </c>
      <c r="C229" s="100"/>
      <c r="D229" s="100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95"/>
        <v>0</v>
      </c>
      <c r="U229" s="47">
        <f t="shared" si="96"/>
        <v>0</v>
      </c>
      <c r="V229" s="48">
        <f t="shared" si="97"/>
        <v>0</v>
      </c>
      <c r="W229" s="49">
        <f t="shared" si="98"/>
        <v>0</v>
      </c>
      <c r="X229" s="44">
        <f t="shared" si="99"/>
        <v>0</v>
      </c>
      <c r="Y229" s="44">
        <f t="shared" si="100"/>
        <v>0</v>
      </c>
      <c r="Z229" s="44">
        <f t="shared" si="101"/>
        <v>0</v>
      </c>
      <c r="AA229" s="50">
        <f t="shared" si="102"/>
        <v>0</v>
      </c>
      <c r="AB229" s="51">
        <f t="shared" si="103"/>
        <v>0</v>
      </c>
      <c r="AC229" s="44">
        <f t="shared" si="104"/>
        <v>0</v>
      </c>
      <c r="AD229" s="44">
        <f t="shared" si="105"/>
        <v>0</v>
      </c>
      <c r="AE229" s="44">
        <f t="shared" si="106"/>
        <v>0</v>
      </c>
      <c r="AF229" s="52" t="e">
        <f>HLOOKUP(I229,ElecAvoidedCostsWOCC!$A$5:$Q$50,G229+1,FALSE)</f>
        <v>#N/A</v>
      </c>
      <c r="AG229" s="44" t="e">
        <f t="shared" si="107"/>
        <v>#N/A</v>
      </c>
      <c r="AH229" s="52" t="e">
        <f>HLOOKUP(I229,ElecAvoidedCostsWOCC!$A$5:$Q$50,T229+1,FALSE)</f>
        <v>#N/A</v>
      </c>
      <c r="AI229" s="44" t="e">
        <f t="shared" si="108"/>
        <v>#N/A</v>
      </c>
      <c r="AJ229" s="44" t="e">
        <f t="shared" si="109"/>
        <v>#N/A</v>
      </c>
      <c r="AK229" s="44" t="e">
        <f>HLOOKUP(I229,ElecAvoidedCostsWOCC!$A$5:$Q$50,G229+1,FALSE)*J229*L229</f>
        <v>#N/A</v>
      </c>
      <c r="AL229" s="44" t="e">
        <f t="shared" si="110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111"/>
        <v>0</v>
      </c>
      <c r="AO229" s="47">
        <f t="shared" si="112"/>
        <v>0</v>
      </c>
      <c r="AP229" s="47" t="e">
        <f t="shared" si="113"/>
        <v>#DIV/0!</v>
      </c>
    </row>
    <row r="230" spans="2:42">
      <c r="B230" s="97" t="s">
        <v>15</v>
      </c>
      <c r="C230" s="100"/>
      <c r="D230" s="100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95"/>
        <v>0</v>
      </c>
      <c r="U230" s="47">
        <f t="shared" si="96"/>
        <v>0</v>
      </c>
      <c r="V230" s="48">
        <f t="shared" si="97"/>
        <v>0</v>
      </c>
      <c r="W230" s="49">
        <f t="shared" si="98"/>
        <v>0</v>
      </c>
      <c r="X230" s="44">
        <f t="shared" si="99"/>
        <v>0</v>
      </c>
      <c r="Y230" s="44">
        <f t="shared" si="100"/>
        <v>0</v>
      </c>
      <c r="Z230" s="44">
        <f t="shared" si="101"/>
        <v>0</v>
      </c>
      <c r="AA230" s="50">
        <f t="shared" si="102"/>
        <v>0</v>
      </c>
      <c r="AB230" s="51">
        <f t="shared" si="103"/>
        <v>0</v>
      </c>
      <c r="AC230" s="44">
        <f t="shared" si="104"/>
        <v>0</v>
      </c>
      <c r="AD230" s="44">
        <f t="shared" si="105"/>
        <v>0</v>
      </c>
      <c r="AE230" s="44">
        <f t="shared" si="106"/>
        <v>0</v>
      </c>
      <c r="AF230" s="52" t="e">
        <f>HLOOKUP(I230,ElecAvoidedCostsWOCC!$A$5:$Q$50,G230+1,FALSE)</f>
        <v>#N/A</v>
      </c>
      <c r="AG230" s="44" t="e">
        <f t="shared" si="107"/>
        <v>#N/A</v>
      </c>
      <c r="AH230" s="52" t="e">
        <f>HLOOKUP(I230,ElecAvoidedCostsWOCC!$A$5:$Q$50,T230+1,FALSE)</f>
        <v>#N/A</v>
      </c>
      <c r="AI230" s="44" t="e">
        <f t="shared" si="108"/>
        <v>#N/A</v>
      </c>
      <c r="AJ230" s="44" t="e">
        <f t="shared" si="109"/>
        <v>#N/A</v>
      </c>
      <c r="AK230" s="44" t="e">
        <f>HLOOKUP(I230,ElecAvoidedCostsWOCC!$A$5:$Q$50,G230+1,FALSE)*J230*L230</f>
        <v>#N/A</v>
      </c>
      <c r="AL230" s="44" t="e">
        <f t="shared" si="110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111"/>
        <v>0</v>
      </c>
      <c r="AO230" s="47">
        <f t="shared" si="112"/>
        <v>0</v>
      </c>
      <c r="AP230" s="47" t="e">
        <f t="shared" si="113"/>
        <v>#DIV/0!</v>
      </c>
    </row>
    <row r="231" spans="2:42">
      <c r="B231" s="97" t="s">
        <v>15</v>
      </c>
      <c r="C231" s="100"/>
      <c r="D231" s="100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ref="T231:T294" si="114">G231+H231</f>
        <v>0</v>
      </c>
      <c r="U231" s="47">
        <f t="shared" ref="U231:U294" si="115">(O231/$A$10)*T231</f>
        <v>0</v>
      </c>
      <c r="V231" s="48">
        <f t="shared" ref="V231:V294" si="116">N231-M231</f>
        <v>0</v>
      </c>
      <c r="W231" s="49">
        <f t="shared" ref="W231:W294" si="117">(O231/A$10)</f>
        <v>0</v>
      </c>
      <c r="X231" s="44">
        <f t="shared" ref="X231:X294" si="118">W231*A$8</f>
        <v>0</v>
      </c>
      <c r="Y231" s="44">
        <f t="shared" ref="Y231:Y294" si="119">Q231-P231</f>
        <v>0</v>
      </c>
      <c r="Z231" s="44">
        <f t="shared" ref="Z231:Z294" si="120">X231+(A$6*W231)</f>
        <v>0</v>
      </c>
      <c r="AA231" s="50">
        <f t="shared" ref="AA231:AA294" si="121">Q231+X231</f>
        <v>0</v>
      </c>
      <c r="AB231" s="51">
        <f t="shared" ref="AB231:AB294" si="122">Z231/(1+ElecDiscountRate)^1</f>
        <v>0</v>
      </c>
      <c r="AC231" s="44">
        <f t="shared" ref="AC231:AC294" si="123">AA231/(1+ElecDiscountRate)^1</f>
        <v>0</v>
      </c>
      <c r="AD231" s="44">
        <f t="shared" ref="AD231:AD294" si="124">-PV(ElecDiscountRate,T231,R231)*J231</f>
        <v>0</v>
      </c>
      <c r="AE231" s="44">
        <f t="shared" ref="AE231:AE294" si="125">-PV(ElecDiscountRate,T231,S231)*J231</f>
        <v>0</v>
      </c>
      <c r="AF231" s="52" t="e">
        <f>HLOOKUP(I231,ElecAvoidedCostsWOCC!$A$5:$Q$50,G231+1,FALSE)</f>
        <v>#N/A</v>
      </c>
      <c r="AG231" s="44" t="e">
        <f t="shared" ref="AG231:AG294" si="126">AF231*J231*K231</f>
        <v>#N/A</v>
      </c>
      <c r="AH231" s="52" t="e">
        <f>HLOOKUP(I231,ElecAvoidedCostsWOCC!$A$5:$Q$50,T231+1,FALSE)</f>
        <v>#N/A</v>
      </c>
      <c r="AI231" s="44" t="e">
        <f t="shared" ref="AI231:AI294" si="127">AH231*J231*L231</f>
        <v>#N/A</v>
      </c>
      <c r="AJ231" s="44" t="e">
        <f t="shared" ref="AJ231:AJ294" si="128">AG231+AI231</f>
        <v>#N/A</v>
      </c>
      <c r="AK231" s="44" t="e">
        <f>HLOOKUP(I231,ElecAvoidedCostsWOCC!$A$5:$Q$50,G231+1,FALSE)*J231*L231</f>
        <v>#N/A</v>
      </c>
      <c r="AL231" s="44" t="e">
        <f t="shared" ref="AL231:AL294" si="129">AG231+AI231-AK231</f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ref="AN231:AN294" si="130">AM231*1.1+AD231+AE231</f>
        <v>0</v>
      </c>
      <c r="AO231" s="47">
        <f t="shared" ref="AO231:AO294" si="131">IFERROR(AM231/AB231,0)</f>
        <v>0</v>
      </c>
      <c r="AP231" s="47" t="e">
        <f t="shared" ref="AP231:AP294" si="132">AN231/AC231</f>
        <v>#DIV/0!</v>
      </c>
    </row>
    <row r="232" spans="2:42">
      <c r="B232" s="97" t="s">
        <v>15</v>
      </c>
      <c r="C232" s="100"/>
      <c r="D232" s="100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114"/>
        <v>0</v>
      </c>
      <c r="U232" s="47">
        <f t="shared" si="115"/>
        <v>0</v>
      </c>
      <c r="V232" s="48">
        <f t="shared" si="116"/>
        <v>0</v>
      </c>
      <c r="W232" s="49">
        <f t="shared" si="117"/>
        <v>0</v>
      </c>
      <c r="X232" s="44">
        <f t="shared" si="118"/>
        <v>0</v>
      </c>
      <c r="Y232" s="44">
        <f t="shared" si="119"/>
        <v>0</v>
      </c>
      <c r="Z232" s="44">
        <f t="shared" si="120"/>
        <v>0</v>
      </c>
      <c r="AA232" s="50">
        <f t="shared" si="121"/>
        <v>0</v>
      </c>
      <c r="AB232" s="51">
        <f t="shared" si="122"/>
        <v>0</v>
      </c>
      <c r="AC232" s="44">
        <f t="shared" si="123"/>
        <v>0</v>
      </c>
      <c r="AD232" s="44">
        <f t="shared" si="124"/>
        <v>0</v>
      </c>
      <c r="AE232" s="44">
        <f t="shared" si="125"/>
        <v>0</v>
      </c>
      <c r="AF232" s="52" t="e">
        <f>HLOOKUP(I232,ElecAvoidedCostsWOCC!$A$5:$Q$50,G232+1,FALSE)</f>
        <v>#N/A</v>
      </c>
      <c r="AG232" s="44" t="e">
        <f t="shared" si="126"/>
        <v>#N/A</v>
      </c>
      <c r="AH232" s="52" t="e">
        <f>HLOOKUP(I232,ElecAvoidedCostsWOCC!$A$5:$Q$50,T232+1,FALSE)</f>
        <v>#N/A</v>
      </c>
      <c r="AI232" s="44" t="e">
        <f t="shared" si="127"/>
        <v>#N/A</v>
      </c>
      <c r="AJ232" s="44" t="e">
        <f t="shared" si="128"/>
        <v>#N/A</v>
      </c>
      <c r="AK232" s="44" t="e">
        <f>HLOOKUP(I232,ElecAvoidedCostsWOCC!$A$5:$Q$50,G232+1,FALSE)*J232*L232</f>
        <v>#N/A</v>
      </c>
      <c r="AL232" s="44" t="e">
        <f t="shared" si="129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130"/>
        <v>0</v>
      </c>
      <c r="AO232" s="47">
        <f t="shared" si="131"/>
        <v>0</v>
      </c>
      <c r="AP232" s="47" t="e">
        <f t="shared" si="132"/>
        <v>#DIV/0!</v>
      </c>
    </row>
    <row r="233" spans="2:42">
      <c r="B233" s="97" t="s">
        <v>15</v>
      </c>
      <c r="C233" s="100"/>
      <c r="D233" s="100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114"/>
        <v>0</v>
      </c>
      <c r="U233" s="47">
        <f t="shared" si="115"/>
        <v>0</v>
      </c>
      <c r="V233" s="48">
        <f t="shared" si="116"/>
        <v>0</v>
      </c>
      <c r="W233" s="49">
        <f t="shared" si="117"/>
        <v>0</v>
      </c>
      <c r="X233" s="44">
        <f t="shared" si="118"/>
        <v>0</v>
      </c>
      <c r="Y233" s="44">
        <f t="shared" si="119"/>
        <v>0</v>
      </c>
      <c r="Z233" s="44">
        <f t="shared" si="120"/>
        <v>0</v>
      </c>
      <c r="AA233" s="50">
        <f t="shared" si="121"/>
        <v>0</v>
      </c>
      <c r="AB233" s="51">
        <f t="shared" si="122"/>
        <v>0</v>
      </c>
      <c r="AC233" s="44">
        <f t="shared" si="123"/>
        <v>0</v>
      </c>
      <c r="AD233" s="44">
        <f t="shared" si="124"/>
        <v>0</v>
      </c>
      <c r="AE233" s="44">
        <f t="shared" si="125"/>
        <v>0</v>
      </c>
      <c r="AF233" s="52" t="e">
        <f>HLOOKUP(I233,ElecAvoidedCostsWOCC!$A$5:$Q$50,G233+1,FALSE)</f>
        <v>#N/A</v>
      </c>
      <c r="AG233" s="44" t="e">
        <f t="shared" si="126"/>
        <v>#N/A</v>
      </c>
      <c r="AH233" s="52" t="e">
        <f>HLOOKUP(I233,ElecAvoidedCostsWOCC!$A$5:$Q$50,T233+1,FALSE)</f>
        <v>#N/A</v>
      </c>
      <c r="AI233" s="44" t="e">
        <f t="shared" si="127"/>
        <v>#N/A</v>
      </c>
      <c r="AJ233" s="44" t="e">
        <f t="shared" si="128"/>
        <v>#N/A</v>
      </c>
      <c r="AK233" s="44" t="e">
        <f>HLOOKUP(I233,ElecAvoidedCostsWOCC!$A$5:$Q$50,G233+1,FALSE)*J233*L233</f>
        <v>#N/A</v>
      </c>
      <c r="AL233" s="44" t="e">
        <f t="shared" si="129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130"/>
        <v>0</v>
      </c>
      <c r="AO233" s="47">
        <f t="shared" si="131"/>
        <v>0</v>
      </c>
      <c r="AP233" s="47" t="e">
        <f t="shared" si="132"/>
        <v>#DIV/0!</v>
      </c>
    </row>
    <row r="234" spans="2:42">
      <c r="B234" s="97" t="s">
        <v>15</v>
      </c>
      <c r="C234" s="100"/>
      <c r="D234" s="100"/>
      <c r="E234" s="38"/>
      <c r="F234" s="39"/>
      <c r="G234" s="39"/>
      <c r="H234" s="39"/>
      <c r="I234" s="40"/>
      <c r="J234" s="41"/>
      <c r="K234" s="41"/>
      <c r="L234" s="41"/>
      <c r="M234" s="42"/>
      <c r="N234" s="42"/>
      <c r="O234" s="43"/>
      <c r="P234" s="44"/>
      <c r="Q234" s="44"/>
      <c r="R234" s="45"/>
      <c r="S234" s="46"/>
      <c r="T234" s="39">
        <f t="shared" si="114"/>
        <v>0</v>
      </c>
      <c r="U234" s="47">
        <f t="shared" si="115"/>
        <v>0</v>
      </c>
      <c r="V234" s="48">
        <f t="shared" si="116"/>
        <v>0</v>
      </c>
      <c r="W234" s="49">
        <f t="shared" si="117"/>
        <v>0</v>
      </c>
      <c r="X234" s="44">
        <f t="shared" si="118"/>
        <v>0</v>
      </c>
      <c r="Y234" s="44">
        <f t="shared" si="119"/>
        <v>0</v>
      </c>
      <c r="Z234" s="44">
        <f t="shared" si="120"/>
        <v>0</v>
      </c>
      <c r="AA234" s="50">
        <f t="shared" si="121"/>
        <v>0</v>
      </c>
      <c r="AB234" s="51">
        <f t="shared" si="122"/>
        <v>0</v>
      </c>
      <c r="AC234" s="44">
        <f t="shared" si="123"/>
        <v>0</v>
      </c>
      <c r="AD234" s="44">
        <f t="shared" si="124"/>
        <v>0</v>
      </c>
      <c r="AE234" s="44">
        <f t="shared" si="125"/>
        <v>0</v>
      </c>
      <c r="AF234" s="52" t="e">
        <f>HLOOKUP(I234,ElecAvoidedCostsWOCC!$A$5:$Q$50,G234+1,FALSE)</f>
        <v>#N/A</v>
      </c>
      <c r="AG234" s="44" t="e">
        <f t="shared" si="126"/>
        <v>#N/A</v>
      </c>
      <c r="AH234" s="52" t="e">
        <f>HLOOKUP(I234,ElecAvoidedCostsWOCC!$A$5:$Q$50,T234+1,FALSE)</f>
        <v>#N/A</v>
      </c>
      <c r="AI234" s="44" t="e">
        <f t="shared" si="127"/>
        <v>#N/A</v>
      </c>
      <c r="AJ234" s="44" t="e">
        <f t="shared" si="128"/>
        <v>#N/A</v>
      </c>
      <c r="AK234" s="44" t="e">
        <f>HLOOKUP(I234,ElecAvoidedCostsWOCC!$A$5:$Q$50,G234+1,FALSE)*J234*L234</f>
        <v>#N/A</v>
      </c>
      <c r="AL234" s="44" t="e">
        <f t="shared" si="129"/>
        <v>#N/A</v>
      </c>
      <c r="AM234" s="48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8">
        <f t="shared" si="130"/>
        <v>0</v>
      </c>
      <c r="AO234" s="47">
        <f t="shared" si="131"/>
        <v>0</v>
      </c>
      <c r="AP234" s="47" t="e">
        <f t="shared" si="132"/>
        <v>#DIV/0!</v>
      </c>
    </row>
    <row r="235" spans="2:42">
      <c r="B235" s="97" t="s">
        <v>15</v>
      </c>
      <c r="C235" s="100"/>
      <c r="D235" s="100"/>
      <c r="E235" s="38"/>
      <c r="F235" s="39"/>
      <c r="G235" s="39"/>
      <c r="H235" s="39"/>
      <c r="I235" s="40"/>
      <c r="J235" s="41"/>
      <c r="K235" s="41"/>
      <c r="L235" s="41"/>
      <c r="M235" s="42"/>
      <c r="N235" s="42"/>
      <c r="O235" s="43"/>
      <c r="P235" s="44"/>
      <c r="Q235" s="44"/>
      <c r="R235" s="45"/>
      <c r="S235" s="46"/>
      <c r="T235" s="39">
        <f t="shared" si="114"/>
        <v>0</v>
      </c>
      <c r="U235" s="47">
        <f t="shared" si="115"/>
        <v>0</v>
      </c>
      <c r="V235" s="48">
        <f t="shared" si="116"/>
        <v>0</v>
      </c>
      <c r="W235" s="49">
        <f t="shared" si="117"/>
        <v>0</v>
      </c>
      <c r="X235" s="44">
        <f t="shared" si="118"/>
        <v>0</v>
      </c>
      <c r="Y235" s="44">
        <f t="shared" si="119"/>
        <v>0</v>
      </c>
      <c r="Z235" s="44">
        <f t="shared" si="120"/>
        <v>0</v>
      </c>
      <c r="AA235" s="50">
        <f t="shared" si="121"/>
        <v>0</v>
      </c>
      <c r="AB235" s="51">
        <f t="shared" si="122"/>
        <v>0</v>
      </c>
      <c r="AC235" s="44">
        <f t="shared" si="123"/>
        <v>0</v>
      </c>
      <c r="AD235" s="44">
        <f t="shared" si="124"/>
        <v>0</v>
      </c>
      <c r="AE235" s="44">
        <f t="shared" si="125"/>
        <v>0</v>
      </c>
      <c r="AF235" s="52" t="e">
        <f>HLOOKUP(I235,ElecAvoidedCostsWOCC!$A$5:$Q$50,G235+1,FALSE)</f>
        <v>#N/A</v>
      </c>
      <c r="AG235" s="44" t="e">
        <f t="shared" si="126"/>
        <v>#N/A</v>
      </c>
      <c r="AH235" s="52" t="e">
        <f>HLOOKUP(I235,ElecAvoidedCostsWOCC!$A$5:$Q$50,T235+1,FALSE)</f>
        <v>#N/A</v>
      </c>
      <c r="AI235" s="44" t="e">
        <f t="shared" si="127"/>
        <v>#N/A</v>
      </c>
      <c r="AJ235" s="44" t="e">
        <f t="shared" si="128"/>
        <v>#N/A</v>
      </c>
      <c r="AK235" s="44" t="e">
        <f>HLOOKUP(I235,ElecAvoidedCostsWOCC!$A$5:$Q$50,G235+1,FALSE)*J235*L235</f>
        <v>#N/A</v>
      </c>
      <c r="AL235" s="44" t="e">
        <f t="shared" si="129"/>
        <v>#N/A</v>
      </c>
      <c r="AM235" s="48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8">
        <f t="shared" si="130"/>
        <v>0</v>
      </c>
      <c r="AO235" s="47">
        <f t="shared" si="131"/>
        <v>0</v>
      </c>
      <c r="AP235" s="47" t="e">
        <f t="shared" si="132"/>
        <v>#DIV/0!</v>
      </c>
    </row>
    <row r="236" spans="2:42">
      <c r="B236" s="97" t="s">
        <v>15</v>
      </c>
      <c r="C236" s="100"/>
      <c r="D236" s="100"/>
      <c r="E236" s="38"/>
      <c r="F236" s="39"/>
      <c r="G236" s="39"/>
      <c r="H236" s="39"/>
      <c r="I236" s="40"/>
      <c r="J236" s="41"/>
      <c r="K236" s="41"/>
      <c r="L236" s="41"/>
      <c r="M236" s="42"/>
      <c r="N236" s="42"/>
      <c r="O236" s="43"/>
      <c r="P236" s="44"/>
      <c r="Q236" s="44"/>
      <c r="R236" s="45"/>
      <c r="S236" s="46"/>
      <c r="T236" s="39">
        <f t="shared" si="114"/>
        <v>0</v>
      </c>
      <c r="U236" s="47">
        <f t="shared" si="115"/>
        <v>0</v>
      </c>
      <c r="V236" s="48">
        <f t="shared" si="116"/>
        <v>0</v>
      </c>
      <c r="W236" s="49">
        <f t="shared" si="117"/>
        <v>0</v>
      </c>
      <c r="X236" s="44">
        <f t="shared" si="118"/>
        <v>0</v>
      </c>
      <c r="Y236" s="44">
        <f t="shared" si="119"/>
        <v>0</v>
      </c>
      <c r="Z236" s="44">
        <f t="shared" si="120"/>
        <v>0</v>
      </c>
      <c r="AA236" s="50">
        <f t="shared" si="121"/>
        <v>0</v>
      </c>
      <c r="AB236" s="51">
        <f t="shared" si="122"/>
        <v>0</v>
      </c>
      <c r="AC236" s="44">
        <f t="shared" si="123"/>
        <v>0</v>
      </c>
      <c r="AD236" s="44">
        <f t="shared" si="124"/>
        <v>0</v>
      </c>
      <c r="AE236" s="44">
        <f t="shared" si="125"/>
        <v>0</v>
      </c>
      <c r="AF236" s="52" t="e">
        <f>HLOOKUP(I236,ElecAvoidedCostsWOCC!$A$5:$Q$50,G236+1,FALSE)</f>
        <v>#N/A</v>
      </c>
      <c r="AG236" s="44" t="e">
        <f t="shared" si="126"/>
        <v>#N/A</v>
      </c>
      <c r="AH236" s="52" t="e">
        <f>HLOOKUP(I236,ElecAvoidedCostsWOCC!$A$5:$Q$50,T236+1,FALSE)</f>
        <v>#N/A</v>
      </c>
      <c r="AI236" s="44" t="e">
        <f t="shared" si="127"/>
        <v>#N/A</v>
      </c>
      <c r="AJ236" s="44" t="e">
        <f t="shared" si="128"/>
        <v>#N/A</v>
      </c>
      <c r="AK236" s="44" t="e">
        <f>HLOOKUP(I236,ElecAvoidedCostsWOCC!$A$5:$Q$50,G236+1,FALSE)*J236*L236</f>
        <v>#N/A</v>
      </c>
      <c r="AL236" s="44" t="e">
        <f t="shared" si="129"/>
        <v>#N/A</v>
      </c>
      <c r="AM236" s="48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8">
        <f t="shared" si="130"/>
        <v>0</v>
      </c>
      <c r="AO236" s="47">
        <f t="shared" si="131"/>
        <v>0</v>
      </c>
      <c r="AP236" s="47" t="e">
        <f t="shared" si="132"/>
        <v>#DIV/0!</v>
      </c>
    </row>
    <row r="237" spans="2:42">
      <c r="B237" s="97" t="s">
        <v>15</v>
      </c>
      <c r="C237" s="100"/>
      <c r="D237" s="100"/>
      <c r="E237" s="38"/>
      <c r="F237" s="39"/>
      <c r="G237" s="39"/>
      <c r="H237" s="39"/>
      <c r="I237" s="40"/>
      <c r="J237" s="41"/>
      <c r="K237" s="41"/>
      <c r="L237" s="41"/>
      <c r="M237" s="42"/>
      <c r="N237" s="42"/>
      <c r="O237" s="43"/>
      <c r="P237" s="44"/>
      <c r="Q237" s="44"/>
      <c r="R237" s="45"/>
      <c r="S237" s="46"/>
      <c r="T237" s="39">
        <f t="shared" si="114"/>
        <v>0</v>
      </c>
      <c r="U237" s="47">
        <f t="shared" si="115"/>
        <v>0</v>
      </c>
      <c r="V237" s="48">
        <f t="shared" si="116"/>
        <v>0</v>
      </c>
      <c r="W237" s="49">
        <f t="shared" si="117"/>
        <v>0</v>
      </c>
      <c r="X237" s="44">
        <f t="shared" si="118"/>
        <v>0</v>
      </c>
      <c r="Y237" s="44">
        <f t="shared" si="119"/>
        <v>0</v>
      </c>
      <c r="Z237" s="44">
        <f t="shared" si="120"/>
        <v>0</v>
      </c>
      <c r="AA237" s="50">
        <f t="shared" si="121"/>
        <v>0</v>
      </c>
      <c r="AB237" s="51">
        <f t="shared" si="122"/>
        <v>0</v>
      </c>
      <c r="AC237" s="44">
        <f t="shared" si="123"/>
        <v>0</v>
      </c>
      <c r="AD237" s="44">
        <f t="shared" si="124"/>
        <v>0</v>
      </c>
      <c r="AE237" s="44">
        <f t="shared" si="125"/>
        <v>0</v>
      </c>
      <c r="AF237" s="52" t="e">
        <f>HLOOKUP(I237,ElecAvoidedCostsWOCC!$A$5:$Q$50,G237+1,FALSE)</f>
        <v>#N/A</v>
      </c>
      <c r="AG237" s="44" t="e">
        <f t="shared" si="126"/>
        <v>#N/A</v>
      </c>
      <c r="AH237" s="52" t="e">
        <f>HLOOKUP(I237,ElecAvoidedCostsWOCC!$A$5:$Q$50,T237+1,FALSE)</f>
        <v>#N/A</v>
      </c>
      <c r="AI237" s="44" t="e">
        <f t="shared" si="127"/>
        <v>#N/A</v>
      </c>
      <c r="AJ237" s="44" t="e">
        <f t="shared" si="128"/>
        <v>#N/A</v>
      </c>
      <c r="AK237" s="44" t="e">
        <f>HLOOKUP(I237,ElecAvoidedCostsWOCC!$A$5:$Q$50,G237+1,FALSE)*J237*L237</f>
        <v>#N/A</v>
      </c>
      <c r="AL237" s="44" t="e">
        <f t="shared" si="129"/>
        <v>#N/A</v>
      </c>
      <c r="AM237" s="48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8">
        <f t="shared" si="130"/>
        <v>0</v>
      </c>
      <c r="AO237" s="47">
        <f t="shared" si="131"/>
        <v>0</v>
      </c>
      <c r="AP237" s="47" t="e">
        <f t="shared" si="132"/>
        <v>#DIV/0!</v>
      </c>
    </row>
    <row r="238" spans="2:42">
      <c r="B238" s="97" t="s">
        <v>15</v>
      </c>
      <c r="C238" s="100"/>
      <c r="D238" s="100"/>
      <c r="E238" s="38"/>
      <c r="F238" s="39"/>
      <c r="G238" s="39"/>
      <c r="H238" s="39"/>
      <c r="I238" s="40"/>
      <c r="J238" s="41"/>
      <c r="K238" s="41"/>
      <c r="L238" s="41"/>
      <c r="M238" s="42"/>
      <c r="N238" s="42"/>
      <c r="O238" s="43"/>
      <c r="P238" s="44"/>
      <c r="Q238" s="44"/>
      <c r="R238" s="45"/>
      <c r="S238" s="46"/>
      <c r="T238" s="39">
        <f t="shared" si="114"/>
        <v>0</v>
      </c>
      <c r="U238" s="47">
        <f t="shared" si="115"/>
        <v>0</v>
      </c>
      <c r="V238" s="48">
        <f t="shared" si="116"/>
        <v>0</v>
      </c>
      <c r="W238" s="49">
        <f t="shared" si="117"/>
        <v>0</v>
      </c>
      <c r="X238" s="44">
        <f t="shared" si="118"/>
        <v>0</v>
      </c>
      <c r="Y238" s="44">
        <f t="shared" si="119"/>
        <v>0</v>
      </c>
      <c r="Z238" s="44">
        <f t="shared" si="120"/>
        <v>0</v>
      </c>
      <c r="AA238" s="50">
        <f t="shared" si="121"/>
        <v>0</v>
      </c>
      <c r="AB238" s="51">
        <f t="shared" si="122"/>
        <v>0</v>
      </c>
      <c r="AC238" s="44">
        <f t="shared" si="123"/>
        <v>0</v>
      </c>
      <c r="AD238" s="44">
        <f t="shared" si="124"/>
        <v>0</v>
      </c>
      <c r="AE238" s="44">
        <f t="shared" si="125"/>
        <v>0</v>
      </c>
      <c r="AF238" s="52" t="e">
        <f>HLOOKUP(I238,ElecAvoidedCostsWOCC!$A$5:$Q$50,G238+1,FALSE)</f>
        <v>#N/A</v>
      </c>
      <c r="AG238" s="44" t="e">
        <f t="shared" si="126"/>
        <v>#N/A</v>
      </c>
      <c r="AH238" s="52" t="e">
        <f>HLOOKUP(I238,ElecAvoidedCostsWOCC!$A$5:$Q$50,T238+1,FALSE)</f>
        <v>#N/A</v>
      </c>
      <c r="AI238" s="44" t="e">
        <f t="shared" si="127"/>
        <v>#N/A</v>
      </c>
      <c r="AJ238" s="44" t="e">
        <f t="shared" si="128"/>
        <v>#N/A</v>
      </c>
      <c r="AK238" s="44" t="e">
        <f>HLOOKUP(I238,ElecAvoidedCostsWOCC!$A$5:$Q$50,G238+1,FALSE)*J238*L238</f>
        <v>#N/A</v>
      </c>
      <c r="AL238" s="44" t="e">
        <f t="shared" si="129"/>
        <v>#N/A</v>
      </c>
      <c r="AM238" s="48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8">
        <f t="shared" si="130"/>
        <v>0</v>
      </c>
      <c r="AO238" s="47">
        <f t="shared" si="131"/>
        <v>0</v>
      </c>
      <c r="AP238" s="47" t="e">
        <f t="shared" si="132"/>
        <v>#DIV/0!</v>
      </c>
    </row>
    <row r="239" spans="2:42">
      <c r="B239" s="97" t="s">
        <v>15</v>
      </c>
      <c r="C239" s="100"/>
      <c r="D239" s="100"/>
      <c r="E239" s="38"/>
      <c r="F239" s="39"/>
      <c r="G239" s="39"/>
      <c r="H239" s="39"/>
      <c r="I239" s="40"/>
      <c r="J239" s="41"/>
      <c r="K239" s="41"/>
      <c r="L239" s="41"/>
      <c r="M239" s="42"/>
      <c r="N239" s="42"/>
      <c r="O239" s="43"/>
      <c r="P239" s="44"/>
      <c r="Q239" s="44"/>
      <c r="R239" s="45"/>
      <c r="S239" s="46"/>
      <c r="T239" s="39">
        <f t="shared" si="114"/>
        <v>0</v>
      </c>
      <c r="U239" s="47">
        <f t="shared" si="115"/>
        <v>0</v>
      </c>
      <c r="V239" s="48">
        <f t="shared" si="116"/>
        <v>0</v>
      </c>
      <c r="W239" s="49">
        <f t="shared" si="117"/>
        <v>0</v>
      </c>
      <c r="X239" s="44">
        <f t="shared" si="118"/>
        <v>0</v>
      </c>
      <c r="Y239" s="44">
        <f t="shared" si="119"/>
        <v>0</v>
      </c>
      <c r="Z239" s="44">
        <f t="shared" si="120"/>
        <v>0</v>
      </c>
      <c r="AA239" s="50">
        <f t="shared" si="121"/>
        <v>0</v>
      </c>
      <c r="AB239" s="51">
        <f t="shared" si="122"/>
        <v>0</v>
      </c>
      <c r="AC239" s="44">
        <f t="shared" si="123"/>
        <v>0</v>
      </c>
      <c r="AD239" s="44">
        <f t="shared" si="124"/>
        <v>0</v>
      </c>
      <c r="AE239" s="44">
        <f t="shared" si="125"/>
        <v>0</v>
      </c>
      <c r="AF239" s="52" t="e">
        <f>HLOOKUP(I239,ElecAvoidedCostsWOCC!$A$5:$Q$50,G239+1,FALSE)</f>
        <v>#N/A</v>
      </c>
      <c r="AG239" s="44" t="e">
        <f t="shared" si="126"/>
        <v>#N/A</v>
      </c>
      <c r="AH239" s="52" t="e">
        <f>HLOOKUP(I239,ElecAvoidedCostsWOCC!$A$5:$Q$50,T239+1,FALSE)</f>
        <v>#N/A</v>
      </c>
      <c r="AI239" s="44" t="e">
        <f t="shared" si="127"/>
        <v>#N/A</v>
      </c>
      <c r="AJ239" s="44" t="e">
        <f t="shared" si="128"/>
        <v>#N/A</v>
      </c>
      <c r="AK239" s="44" t="e">
        <f>HLOOKUP(I239,ElecAvoidedCostsWOCC!$A$5:$Q$50,G239+1,FALSE)*J239*L239</f>
        <v>#N/A</v>
      </c>
      <c r="AL239" s="44" t="e">
        <f t="shared" si="129"/>
        <v>#N/A</v>
      </c>
      <c r="AM239" s="48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8">
        <f t="shared" si="130"/>
        <v>0</v>
      </c>
      <c r="AO239" s="47">
        <f t="shared" si="131"/>
        <v>0</v>
      </c>
      <c r="AP239" s="47" t="e">
        <f t="shared" si="132"/>
        <v>#DIV/0!</v>
      </c>
    </row>
    <row r="240" spans="2:42">
      <c r="B240" s="97" t="s">
        <v>15</v>
      </c>
      <c r="C240" s="100"/>
      <c r="D240" s="100"/>
      <c r="E240" s="38"/>
      <c r="F240" s="39"/>
      <c r="G240" s="39"/>
      <c r="H240" s="39"/>
      <c r="I240" s="40"/>
      <c r="J240" s="41"/>
      <c r="K240" s="41"/>
      <c r="L240" s="41"/>
      <c r="M240" s="42"/>
      <c r="N240" s="42"/>
      <c r="O240" s="43"/>
      <c r="P240" s="44"/>
      <c r="Q240" s="44"/>
      <c r="R240" s="45"/>
      <c r="S240" s="46"/>
      <c r="T240" s="39">
        <f t="shared" si="114"/>
        <v>0</v>
      </c>
      <c r="U240" s="47">
        <f t="shared" si="115"/>
        <v>0</v>
      </c>
      <c r="V240" s="48">
        <f t="shared" si="116"/>
        <v>0</v>
      </c>
      <c r="W240" s="49">
        <f t="shared" si="117"/>
        <v>0</v>
      </c>
      <c r="X240" s="44">
        <f t="shared" si="118"/>
        <v>0</v>
      </c>
      <c r="Y240" s="44">
        <f t="shared" si="119"/>
        <v>0</v>
      </c>
      <c r="Z240" s="44">
        <f t="shared" si="120"/>
        <v>0</v>
      </c>
      <c r="AA240" s="50">
        <f t="shared" si="121"/>
        <v>0</v>
      </c>
      <c r="AB240" s="51">
        <f t="shared" si="122"/>
        <v>0</v>
      </c>
      <c r="AC240" s="44">
        <f t="shared" si="123"/>
        <v>0</v>
      </c>
      <c r="AD240" s="44">
        <f t="shared" si="124"/>
        <v>0</v>
      </c>
      <c r="AE240" s="44">
        <f t="shared" si="125"/>
        <v>0</v>
      </c>
      <c r="AF240" s="52" t="e">
        <f>HLOOKUP(I240,ElecAvoidedCostsWOCC!$A$5:$Q$50,G240+1,FALSE)</f>
        <v>#N/A</v>
      </c>
      <c r="AG240" s="44" t="e">
        <f t="shared" si="126"/>
        <v>#N/A</v>
      </c>
      <c r="AH240" s="52" t="e">
        <f>HLOOKUP(I240,ElecAvoidedCostsWOCC!$A$5:$Q$50,T240+1,FALSE)</f>
        <v>#N/A</v>
      </c>
      <c r="AI240" s="44" t="e">
        <f t="shared" si="127"/>
        <v>#N/A</v>
      </c>
      <c r="AJ240" s="44" t="e">
        <f t="shared" si="128"/>
        <v>#N/A</v>
      </c>
      <c r="AK240" s="44" t="e">
        <f>HLOOKUP(I240,ElecAvoidedCostsWOCC!$A$5:$Q$50,G240+1,FALSE)*J240*L240</f>
        <v>#N/A</v>
      </c>
      <c r="AL240" s="44" t="e">
        <f t="shared" si="129"/>
        <v>#N/A</v>
      </c>
      <c r="AM240" s="48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8">
        <f t="shared" si="130"/>
        <v>0</v>
      </c>
      <c r="AO240" s="47">
        <f t="shared" si="131"/>
        <v>0</v>
      </c>
      <c r="AP240" s="47" t="e">
        <f t="shared" si="132"/>
        <v>#DIV/0!</v>
      </c>
    </row>
    <row r="241" spans="2:42">
      <c r="B241" s="97" t="s">
        <v>15</v>
      </c>
      <c r="C241" s="100"/>
      <c r="D241" s="100"/>
      <c r="E241" s="38"/>
      <c r="F241" s="39"/>
      <c r="G241" s="39"/>
      <c r="H241" s="39"/>
      <c r="I241" s="40"/>
      <c r="J241" s="41"/>
      <c r="K241" s="41"/>
      <c r="L241" s="41"/>
      <c r="M241" s="42"/>
      <c r="N241" s="42"/>
      <c r="O241" s="43"/>
      <c r="P241" s="44"/>
      <c r="Q241" s="44"/>
      <c r="R241" s="45"/>
      <c r="S241" s="46"/>
      <c r="T241" s="39">
        <f t="shared" si="114"/>
        <v>0</v>
      </c>
      <c r="U241" s="47">
        <f t="shared" si="115"/>
        <v>0</v>
      </c>
      <c r="V241" s="48">
        <f t="shared" si="116"/>
        <v>0</v>
      </c>
      <c r="W241" s="49">
        <f t="shared" si="117"/>
        <v>0</v>
      </c>
      <c r="X241" s="44">
        <f t="shared" si="118"/>
        <v>0</v>
      </c>
      <c r="Y241" s="44">
        <f t="shared" si="119"/>
        <v>0</v>
      </c>
      <c r="Z241" s="44">
        <f t="shared" si="120"/>
        <v>0</v>
      </c>
      <c r="AA241" s="50">
        <f t="shared" si="121"/>
        <v>0</v>
      </c>
      <c r="AB241" s="51">
        <f t="shared" si="122"/>
        <v>0</v>
      </c>
      <c r="AC241" s="44">
        <f t="shared" si="123"/>
        <v>0</v>
      </c>
      <c r="AD241" s="44">
        <f t="shared" si="124"/>
        <v>0</v>
      </c>
      <c r="AE241" s="44">
        <f t="shared" si="125"/>
        <v>0</v>
      </c>
      <c r="AF241" s="52" t="e">
        <f>HLOOKUP(I241,ElecAvoidedCostsWOCC!$A$5:$Q$50,G241+1,FALSE)</f>
        <v>#N/A</v>
      </c>
      <c r="AG241" s="44" t="e">
        <f t="shared" si="126"/>
        <v>#N/A</v>
      </c>
      <c r="AH241" s="52" t="e">
        <f>HLOOKUP(I241,ElecAvoidedCostsWOCC!$A$5:$Q$50,T241+1,FALSE)</f>
        <v>#N/A</v>
      </c>
      <c r="AI241" s="44" t="e">
        <f t="shared" si="127"/>
        <v>#N/A</v>
      </c>
      <c r="AJ241" s="44" t="e">
        <f t="shared" si="128"/>
        <v>#N/A</v>
      </c>
      <c r="AK241" s="44" t="e">
        <f>HLOOKUP(I241,ElecAvoidedCostsWOCC!$A$5:$Q$50,G241+1,FALSE)*J241*L241</f>
        <v>#N/A</v>
      </c>
      <c r="AL241" s="44" t="e">
        <f t="shared" si="129"/>
        <v>#N/A</v>
      </c>
      <c r="AM241" s="48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8">
        <f t="shared" si="130"/>
        <v>0</v>
      </c>
      <c r="AO241" s="47">
        <f t="shared" si="131"/>
        <v>0</v>
      </c>
      <c r="AP241" s="47" t="e">
        <f t="shared" si="132"/>
        <v>#DIV/0!</v>
      </c>
    </row>
    <row r="242" spans="2:42">
      <c r="B242" s="97" t="s">
        <v>15</v>
      </c>
      <c r="C242" s="100"/>
      <c r="D242" s="100"/>
      <c r="E242" s="38"/>
      <c r="F242" s="39"/>
      <c r="G242" s="39"/>
      <c r="H242" s="39"/>
      <c r="I242" s="40"/>
      <c r="J242" s="41"/>
      <c r="K242" s="41"/>
      <c r="L242" s="41"/>
      <c r="M242" s="42"/>
      <c r="N242" s="42"/>
      <c r="O242" s="43"/>
      <c r="P242" s="44"/>
      <c r="Q242" s="44"/>
      <c r="R242" s="45"/>
      <c r="S242" s="46"/>
      <c r="T242" s="39">
        <f t="shared" si="114"/>
        <v>0</v>
      </c>
      <c r="U242" s="47">
        <f t="shared" si="115"/>
        <v>0</v>
      </c>
      <c r="V242" s="48">
        <f t="shared" si="116"/>
        <v>0</v>
      </c>
      <c r="W242" s="49">
        <f t="shared" si="117"/>
        <v>0</v>
      </c>
      <c r="X242" s="44">
        <f t="shared" si="118"/>
        <v>0</v>
      </c>
      <c r="Y242" s="44">
        <f t="shared" si="119"/>
        <v>0</v>
      </c>
      <c r="Z242" s="44">
        <f t="shared" si="120"/>
        <v>0</v>
      </c>
      <c r="AA242" s="50">
        <f t="shared" si="121"/>
        <v>0</v>
      </c>
      <c r="AB242" s="51">
        <f t="shared" si="122"/>
        <v>0</v>
      </c>
      <c r="AC242" s="44">
        <f t="shared" si="123"/>
        <v>0</v>
      </c>
      <c r="AD242" s="44">
        <f t="shared" si="124"/>
        <v>0</v>
      </c>
      <c r="AE242" s="44">
        <f t="shared" si="125"/>
        <v>0</v>
      </c>
      <c r="AF242" s="52" t="e">
        <f>HLOOKUP(I242,ElecAvoidedCostsWOCC!$A$5:$Q$50,G242+1,FALSE)</f>
        <v>#N/A</v>
      </c>
      <c r="AG242" s="44" t="e">
        <f t="shared" si="126"/>
        <v>#N/A</v>
      </c>
      <c r="AH242" s="52" t="e">
        <f>HLOOKUP(I242,ElecAvoidedCostsWOCC!$A$5:$Q$50,T242+1,FALSE)</f>
        <v>#N/A</v>
      </c>
      <c r="AI242" s="44" t="e">
        <f t="shared" si="127"/>
        <v>#N/A</v>
      </c>
      <c r="AJ242" s="44" t="e">
        <f t="shared" si="128"/>
        <v>#N/A</v>
      </c>
      <c r="AK242" s="44" t="e">
        <f>HLOOKUP(I242,ElecAvoidedCostsWOCC!$A$5:$Q$50,G242+1,FALSE)*J242*L242</f>
        <v>#N/A</v>
      </c>
      <c r="AL242" s="44" t="e">
        <f t="shared" si="129"/>
        <v>#N/A</v>
      </c>
      <c r="AM242" s="48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8">
        <f t="shared" si="130"/>
        <v>0</v>
      </c>
      <c r="AO242" s="47">
        <f t="shared" si="131"/>
        <v>0</v>
      </c>
      <c r="AP242" s="47" t="e">
        <f t="shared" si="132"/>
        <v>#DIV/0!</v>
      </c>
    </row>
    <row r="243" spans="2:42">
      <c r="B243" s="97" t="s">
        <v>15</v>
      </c>
      <c r="C243" s="100"/>
      <c r="D243" s="100"/>
      <c r="E243" s="38"/>
      <c r="F243" s="39"/>
      <c r="G243" s="39"/>
      <c r="H243" s="39"/>
      <c r="I243" s="40"/>
      <c r="J243" s="41"/>
      <c r="K243" s="41"/>
      <c r="L243" s="41"/>
      <c r="M243" s="42"/>
      <c r="N243" s="42"/>
      <c r="O243" s="43"/>
      <c r="P243" s="44"/>
      <c r="Q243" s="44"/>
      <c r="R243" s="45"/>
      <c r="S243" s="46"/>
      <c r="T243" s="39">
        <f t="shared" si="114"/>
        <v>0</v>
      </c>
      <c r="U243" s="47">
        <f t="shared" si="115"/>
        <v>0</v>
      </c>
      <c r="V243" s="48">
        <f t="shared" si="116"/>
        <v>0</v>
      </c>
      <c r="W243" s="49">
        <f t="shared" si="117"/>
        <v>0</v>
      </c>
      <c r="X243" s="44">
        <f t="shared" si="118"/>
        <v>0</v>
      </c>
      <c r="Y243" s="44">
        <f t="shared" si="119"/>
        <v>0</v>
      </c>
      <c r="Z243" s="44">
        <f t="shared" si="120"/>
        <v>0</v>
      </c>
      <c r="AA243" s="50">
        <f t="shared" si="121"/>
        <v>0</v>
      </c>
      <c r="AB243" s="51">
        <f t="shared" si="122"/>
        <v>0</v>
      </c>
      <c r="AC243" s="44">
        <f t="shared" si="123"/>
        <v>0</v>
      </c>
      <c r="AD243" s="44">
        <f t="shared" si="124"/>
        <v>0</v>
      </c>
      <c r="AE243" s="44">
        <f t="shared" si="125"/>
        <v>0</v>
      </c>
      <c r="AF243" s="52" t="e">
        <f>HLOOKUP(I243,ElecAvoidedCostsWOCC!$A$5:$Q$50,G243+1,FALSE)</f>
        <v>#N/A</v>
      </c>
      <c r="AG243" s="44" t="e">
        <f t="shared" si="126"/>
        <v>#N/A</v>
      </c>
      <c r="AH243" s="52" t="e">
        <f>HLOOKUP(I243,ElecAvoidedCostsWOCC!$A$5:$Q$50,T243+1,FALSE)</f>
        <v>#N/A</v>
      </c>
      <c r="AI243" s="44" t="e">
        <f t="shared" si="127"/>
        <v>#N/A</v>
      </c>
      <c r="AJ243" s="44" t="e">
        <f t="shared" si="128"/>
        <v>#N/A</v>
      </c>
      <c r="AK243" s="44" t="e">
        <f>HLOOKUP(I243,ElecAvoidedCostsWOCC!$A$5:$Q$50,G243+1,FALSE)*J243*L243</f>
        <v>#N/A</v>
      </c>
      <c r="AL243" s="44" t="e">
        <f t="shared" si="129"/>
        <v>#N/A</v>
      </c>
      <c r="AM243" s="48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8">
        <f t="shared" si="130"/>
        <v>0</v>
      </c>
      <c r="AO243" s="47">
        <f t="shared" si="131"/>
        <v>0</v>
      </c>
      <c r="AP243" s="47" t="e">
        <f t="shared" si="132"/>
        <v>#DIV/0!</v>
      </c>
    </row>
    <row r="244" spans="2:42">
      <c r="B244" s="97" t="s">
        <v>15</v>
      </c>
      <c r="C244" s="100"/>
      <c r="D244" s="100"/>
      <c r="E244" s="38"/>
      <c r="F244" s="39"/>
      <c r="G244" s="39"/>
      <c r="H244" s="39"/>
      <c r="I244" s="40"/>
      <c r="J244" s="41"/>
      <c r="K244" s="41"/>
      <c r="L244" s="41"/>
      <c r="M244" s="42"/>
      <c r="N244" s="42"/>
      <c r="O244" s="43"/>
      <c r="P244" s="44"/>
      <c r="Q244" s="44"/>
      <c r="R244" s="45"/>
      <c r="S244" s="46"/>
      <c r="T244" s="39">
        <f t="shared" si="114"/>
        <v>0</v>
      </c>
      <c r="U244" s="47">
        <f t="shared" si="115"/>
        <v>0</v>
      </c>
      <c r="V244" s="48">
        <f t="shared" si="116"/>
        <v>0</v>
      </c>
      <c r="W244" s="49">
        <f t="shared" si="117"/>
        <v>0</v>
      </c>
      <c r="X244" s="44">
        <f t="shared" si="118"/>
        <v>0</v>
      </c>
      <c r="Y244" s="44">
        <f t="shared" si="119"/>
        <v>0</v>
      </c>
      <c r="Z244" s="44">
        <f t="shared" si="120"/>
        <v>0</v>
      </c>
      <c r="AA244" s="50">
        <f t="shared" si="121"/>
        <v>0</v>
      </c>
      <c r="AB244" s="51">
        <f t="shared" si="122"/>
        <v>0</v>
      </c>
      <c r="AC244" s="44">
        <f t="shared" si="123"/>
        <v>0</v>
      </c>
      <c r="AD244" s="44">
        <f t="shared" si="124"/>
        <v>0</v>
      </c>
      <c r="AE244" s="44">
        <f t="shared" si="125"/>
        <v>0</v>
      </c>
      <c r="AF244" s="52" t="e">
        <f>HLOOKUP(I244,ElecAvoidedCostsWOCC!$A$5:$Q$50,G244+1,FALSE)</f>
        <v>#N/A</v>
      </c>
      <c r="AG244" s="44" t="e">
        <f t="shared" si="126"/>
        <v>#N/A</v>
      </c>
      <c r="AH244" s="52" t="e">
        <f>HLOOKUP(I244,ElecAvoidedCostsWOCC!$A$5:$Q$50,T244+1,FALSE)</f>
        <v>#N/A</v>
      </c>
      <c r="AI244" s="44" t="e">
        <f t="shared" si="127"/>
        <v>#N/A</v>
      </c>
      <c r="AJ244" s="44" t="e">
        <f t="shared" si="128"/>
        <v>#N/A</v>
      </c>
      <c r="AK244" s="44" t="e">
        <f>HLOOKUP(I244,ElecAvoidedCostsWOCC!$A$5:$Q$50,G244+1,FALSE)*J244*L244</f>
        <v>#N/A</v>
      </c>
      <c r="AL244" s="44" t="e">
        <f t="shared" si="129"/>
        <v>#N/A</v>
      </c>
      <c r="AM244" s="48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8">
        <f t="shared" si="130"/>
        <v>0</v>
      </c>
      <c r="AO244" s="47">
        <f t="shared" si="131"/>
        <v>0</v>
      </c>
      <c r="AP244" s="47" t="e">
        <f t="shared" si="132"/>
        <v>#DIV/0!</v>
      </c>
    </row>
    <row r="245" spans="2:42">
      <c r="B245" s="97" t="s">
        <v>15</v>
      </c>
      <c r="C245" s="100"/>
      <c r="D245" s="100"/>
      <c r="E245" s="38"/>
      <c r="F245" s="39"/>
      <c r="G245" s="39"/>
      <c r="H245" s="39"/>
      <c r="I245" s="40"/>
      <c r="J245" s="41"/>
      <c r="K245" s="41"/>
      <c r="L245" s="41"/>
      <c r="M245" s="42"/>
      <c r="N245" s="42"/>
      <c r="O245" s="43"/>
      <c r="P245" s="44"/>
      <c r="Q245" s="44"/>
      <c r="R245" s="45"/>
      <c r="S245" s="46"/>
      <c r="T245" s="39">
        <f t="shared" si="114"/>
        <v>0</v>
      </c>
      <c r="U245" s="47">
        <f t="shared" si="115"/>
        <v>0</v>
      </c>
      <c r="V245" s="48">
        <f t="shared" si="116"/>
        <v>0</v>
      </c>
      <c r="W245" s="49">
        <f t="shared" si="117"/>
        <v>0</v>
      </c>
      <c r="X245" s="44">
        <f t="shared" si="118"/>
        <v>0</v>
      </c>
      <c r="Y245" s="44">
        <f t="shared" si="119"/>
        <v>0</v>
      </c>
      <c r="Z245" s="44">
        <f t="shared" si="120"/>
        <v>0</v>
      </c>
      <c r="AA245" s="50">
        <f t="shared" si="121"/>
        <v>0</v>
      </c>
      <c r="AB245" s="51">
        <f t="shared" si="122"/>
        <v>0</v>
      </c>
      <c r="AC245" s="44">
        <f t="shared" si="123"/>
        <v>0</v>
      </c>
      <c r="AD245" s="44">
        <f t="shared" si="124"/>
        <v>0</v>
      </c>
      <c r="AE245" s="44">
        <f t="shared" si="125"/>
        <v>0</v>
      </c>
      <c r="AF245" s="52" t="e">
        <f>HLOOKUP(I245,ElecAvoidedCostsWOCC!$A$5:$Q$50,G245+1,FALSE)</f>
        <v>#N/A</v>
      </c>
      <c r="AG245" s="44" t="e">
        <f t="shared" si="126"/>
        <v>#N/A</v>
      </c>
      <c r="AH245" s="52" t="e">
        <f>HLOOKUP(I245,ElecAvoidedCostsWOCC!$A$5:$Q$50,T245+1,FALSE)</f>
        <v>#N/A</v>
      </c>
      <c r="AI245" s="44" t="e">
        <f t="shared" si="127"/>
        <v>#N/A</v>
      </c>
      <c r="AJ245" s="44" t="e">
        <f t="shared" si="128"/>
        <v>#N/A</v>
      </c>
      <c r="AK245" s="44" t="e">
        <f>HLOOKUP(I245,ElecAvoidedCostsWOCC!$A$5:$Q$50,G245+1,FALSE)*J245*L245</f>
        <v>#N/A</v>
      </c>
      <c r="AL245" s="44" t="e">
        <f t="shared" si="129"/>
        <v>#N/A</v>
      </c>
      <c r="AM245" s="48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8">
        <f t="shared" si="130"/>
        <v>0</v>
      </c>
      <c r="AO245" s="47">
        <f t="shared" si="131"/>
        <v>0</v>
      </c>
      <c r="AP245" s="47" t="e">
        <f t="shared" si="132"/>
        <v>#DIV/0!</v>
      </c>
    </row>
    <row r="246" spans="2:42">
      <c r="B246" s="97" t="s">
        <v>15</v>
      </c>
      <c r="C246" s="100"/>
      <c r="D246" s="100"/>
      <c r="E246" s="38"/>
      <c r="F246" s="39"/>
      <c r="G246" s="39"/>
      <c r="H246" s="39"/>
      <c r="I246" s="40"/>
      <c r="J246" s="41"/>
      <c r="K246" s="41"/>
      <c r="L246" s="41"/>
      <c r="M246" s="42"/>
      <c r="N246" s="42"/>
      <c r="O246" s="43"/>
      <c r="P246" s="44"/>
      <c r="Q246" s="44"/>
      <c r="R246" s="45"/>
      <c r="S246" s="46"/>
      <c r="T246" s="39">
        <f t="shared" si="114"/>
        <v>0</v>
      </c>
      <c r="U246" s="47">
        <f t="shared" si="115"/>
        <v>0</v>
      </c>
      <c r="V246" s="48">
        <f t="shared" si="116"/>
        <v>0</v>
      </c>
      <c r="W246" s="49">
        <f t="shared" si="117"/>
        <v>0</v>
      </c>
      <c r="X246" s="44">
        <f t="shared" si="118"/>
        <v>0</v>
      </c>
      <c r="Y246" s="44">
        <f t="shared" si="119"/>
        <v>0</v>
      </c>
      <c r="Z246" s="44">
        <f t="shared" si="120"/>
        <v>0</v>
      </c>
      <c r="AA246" s="50">
        <f t="shared" si="121"/>
        <v>0</v>
      </c>
      <c r="AB246" s="51">
        <f t="shared" si="122"/>
        <v>0</v>
      </c>
      <c r="AC246" s="44">
        <f t="shared" si="123"/>
        <v>0</v>
      </c>
      <c r="AD246" s="44">
        <f t="shared" si="124"/>
        <v>0</v>
      </c>
      <c r="AE246" s="44">
        <f t="shared" si="125"/>
        <v>0</v>
      </c>
      <c r="AF246" s="52" t="e">
        <f>HLOOKUP(I246,ElecAvoidedCostsWOCC!$A$5:$Q$50,G246+1,FALSE)</f>
        <v>#N/A</v>
      </c>
      <c r="AG246" s="44" t="e">
        <f t="shared" si="126"/>
        <v>#N/A</v>
      </c>
      <c r="AH246" s="52" t="e">
        <f>HLOOKUP(I246,ElecAvoidedCostsWOCC!$A$5:$Q$50,T246+1,FALSE)</f>
        <v>#N/A</v>
      </c>
      <c r="AI246" s="44" t="e">
        <f t="shared" si="127"/>
        <v>#N/A</v>
      </c>
      <c r="AJ246" s="44" t="e">
        <f t="shared" si="128"/>
        <v>#N/A</v>
      </c>
      <c r="AK246" s="44" t="e">
        <f>HLOOKUP(I246,ElecAvoidedCostsWOCC!$A$5:$Q$50,G246+1,FALSE)*J246*L246</f>
        <v>#N/A</v>
      </c>
      <c r="AL246" s="44" t="e">
        <f t="shared" si="129"/>
        <v>#N/A</v>
      </c>
      <c r="AM246" s="48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8">
        <f t="shared" si="130"/>
        <v>0</v>
      </c>
      <c r="AO246" s="47">
        <f t="shared" si="131"/>
        <v>0</v>
      </c>
      <c r="AP246" s="47" t="e">
        <f t="shared" si="132"/>
        <v>#DIV/0!</v>
      </c>
    </row>
    <row r="247" spans="2:42">
      <c r="B247" s="97" t="s">
        <v>15</v>
      </c>
      <c r="C247" s="100"/>
      <c r="D247" s="100"/>
      <c r="E247" s="38"/>
      <c r="F247" s="39"/>
      <c r="G247" s="39"/>
      <c r="H247" s="39"/>
      <c r="I247" s="40"/>
      <c r="J247" s="41"/>
      <c r="K247" s="41"/>
      <c r="L247" s="41"/>
      <c r="M247" s="42"/>
      <c r="N247" s="42"/>
      <c r="O247" s="43"/>
      <c r="P247" s="44"/>
      <c r="Q247" s="44"/>
      <c r="R247" s="45"/>
      <c r="S247" s="46"/>
      <c r="T247" s="39">
        <f t="shared" si="114"/>
        <v>0</v>
      </c>
      <c r="U247" s="47">
        <f t="shared" si="115"/>
        <v>0</v>
      </c>
      <c r="V247" s="48">
        <f t="shared" si="116"/>
        <v>0</v>
      </c>
      <c r="W247" s="49">
        <f t="shared" si="117"/>
        <v>0</v>
      </c>
      <c r="X247" s="44">
        <f t="shared" si="118"/>
        <v>0</v>
      </c>
      <c r="Y247" s="44">
        <f t="shared" si="119"/>
        <v>0</v>
      </c>
      <c r="Z247" s="44">
        <f t="shared" si="120"/>
        <v>0</v>
      </c>
      <c r="AA247" s="50">
        <f t="shared" si="121"/>
        <v>0</v>
      </c>
      <c r="AB247" s="51">
        <f t="shared" si="122"/>
        <v>0</v>
      </c>
      <c r="AC247" s="44">
        <f t="shared" si="123"/>
        <v>0</v>
      </c>
      <c r="AD247" s="44">
        <f t="shared" si="124"/>
        <v>0</v>
      </c>
      <c r="AE247" s="44">
        <f t="shared" si="125"/>
        <v>0</v>
      </c>
      <c r="AF247" s="52" t="e">
        <f>HLOOKUP(I247,ElecAvoidedCostsWOCC!$A$5:$Q$50,G247+1,FALSE)</f>
        <v>#N/A</v>
      </c>
      <c r="AG247" s="44" t="e">
        <f t="shared" si="126"/>
        <v>#N/A</v>
      </c>
      <c r="AH247" s="52" t="e">
        <f>HLOOKUP(I247,ElecAvoidedCostsWOCC!$A$5:$Q$50,T247+1,FALSE)</f>
        <v>#N/A</v>
      </c>
      <c r="AI247" s="44" t="e">
        <f t="shared" si="127"/>
        <v>#N/A</v>
      </c>
      <c r="AJ247" s="44" t="e">
        <f t="shared" si="128"/>
        <v>#N/A</v>
      </c>
      <c r="AK247" s="44" t="e">
        <f>HLOOKUP(I247,ElecAvoidedCostsWOCC!$A$5:$Q$50,G247+1,FALSE)*J247*L247</f>
        <v>#N/A</v>
      </c>
      <c r="AL247" s="44" t="e">
        <f t="shared" si="129"/>
        <v>#N/A</v>
      </c>
      <c r="AM247" s="48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8">
        <f t="shared" si="130"/>
        <v>0</v>
      </c>
      <c r="AO247" s="47">
        <f t="shared" si="131"/>
        <v>0</v>
      </c>
      <c r="AP247" s="47" t="e">
        <f t="shared" si="132"/>
        <v>#DIV/0!</v>
      </c>
    </row>
    <row r="248" spans="2:42">
      <c r="B248" s="97" t="s">
        <v>15</v>
      </c>
      <c r="C248" s="100"/>
      <c r="D248" s="100"/>
      <c r="E248" s="38"/>
      <c r="F248" s="39"/>
      <c r="G248" s="39"/>
      <c r="H248" s="39"/>
      <c r="I248" s="40"/>
      <c r="J248" s="41"/>
      <c r="K248" s="41"/>
      <c r="L248" s="41"/>
      <c r="M248" s="42"/>
      <c r="N248" s="42"/>
      <c r="O248" s="43"/>
      <c r="P248" s="44"/>
      <c r="Q248" s="44"/>
      <c r="R248" s="45"/>
      <c r="S248" s="46"/>
      <c r="T248" s="39">
        <f t="shared" si="114"/>
        <v>0</v>
      </c>
      <c r="U248" s="47">
        <f t="shared" si="115"/>
        <v>0</v>
      </c>
      <c r="V248" s="48">
        <f t="shared" si="116"/>
        <v>0</v>
      </c>
      <c r="W248" s="49">
        <f t="shared" si="117"/>
        <v>0</v>
      </c>
      <c r="X248" s="44">
        <f t="shared" si="118"/>
        <v>0</v>
      </c>
      <c r="Y248" s="44">
        <f t="shared" si="119"/>
        <v>0</v>
      </c>
      <c r="Z248" s="44">
        <f t="shared" si="120"/>
        <v>0</v>
      </c>
      <c r="AA248" s="50">
        <f t="shared" si="121"/>
        <v>0</v>
      </c>
      <c r="AB248" s="51">
        <f t="shared" si="122"/>
        <v>0</v>
      </c>
      <c r="AC248" s="44">
        <f t="shared" si="123"/>
        <v>0</v>
      </c>
      <c r="AD248" s="44">
        <f t="shared" si="124"/>
        <v>0</v>
      </c>
      <c r="AE248" s="44">
        <f t="shared" si="125"/>
        <v>0</v>
      </c>
      <c r="AF248" s="52" t="e">
        <f>HLOOKUP(I248,ElecAvoidedCostsWOCC!$A$5:$Q$50,G248+1,FALSE)</f>
        <v>#N/A</v>
      </c>
      <c r="AG248" s="44" t="e">
        <f t="shared" si="126"/>
        <v>#N/A</v>
      </c>
      <c r="AH248" s="52" t="e">
        <f>HLOOKUP(I248,ElecAvoidedCostsWOCC!$A$5:$Q$50,T248+1,FALSE)</f>
        <v>#N/A</v>
      </c>
      <c r="AI248" s="44" t="e">
        <f t="shared" si="127"/>
        <v>#N/A</v>
      </c>
      <c r="AJ248" s="44" t="e">
        <f t="shared" si="128"/>
        <v>#N/A</v>
      </c>
      <c r="AK248" s="44" t="e">
        <f>HLOOKUP(I248,ElecAvoidedCostsWOCC!$A$5:$Q$50,G248+1,FALSE)*J248*L248</f>
        <v>#N/A</v>
      </c>
      <c r="AL248" s="44" t="e">
        <f t="shared" si="129"/>
        <v>#N/A</v>
      </c>
      <c r="AM248" s="48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8">
        <f t="shared" si="130"/>
        <v>0</v>
      </c>
      <c r="AO248" s="47">
        <f t="shared" si="131"/>
        <v>0</v>
      </c>
      <c r="AP248" s="47" t="e">
        <f t="shared" si="132"/>
        <v>#DIV/0!</v>
      </c>
    </row>
    <row r="249" spans="2:42">
      <c r="B249" s="97" t="s">
        <v>15</v>
      </c>
      <c r="C249" s="100"/>
      <c r="D249" s="100"/>
      <c r="E249" s="38"/>
      <c r="F249" s="39"/>
      <c r="G249" s="39"/>
      <c r="H249" s="39"/>
      <c r="I249" s="40"/>
      <c r="J249" s="41"/>
      <c r="K249" s="41"/>
      <c r="L249" s="41"/>
      <c r="M249" s="42"/>
      <c r="N249" s="42"/>
      <c r="O249" s="43"/>
      <c r="P249" s="44"/>
      <c r="Q249" s="44"/>
      <c r="R249" s="45"/>
      <c r="S249" s="46"/>
      <c r="T249" s="39">
        <f t="shared" si="114"/>
        <v>0</v>
      </c>
      <c r="U249" s="47">
        <f t="shared" si="115"/>
        <v>0</v>
      </c>
      <c r="V249" s="48">
        <f t="shared" si="116"/>
        <v>0</v>
      </c>
      <c r="W249" s="49">
        <f t="shared" si="117"/>
        <v>0</v>
      </c>
      <c r="X249" s="44">
        <f t="shared" si="118"/>
        <v>0</v>
      </c>
      <c r="Y249" s="44">
        <f t="shared" si="119"/>
        <v>0</v>
      </c>
      <c r="Z249" s="44">
        <f t="shared" si="120"/>
        <v>0</v>
      </c>
      <c r="AA249" s="50">
        <f t="shared" si="121"/>
        <v>0</v>
      </c>
      <c r="AB249" s="51">
        <f t="shared" si="122"/>
        <v>0</v>
      </c>
      <c r="AC249" s="44">
        <f t="shared" si="123"/>
        <v>0</v>
      </c>
      <c r="AD249" s="44">
        <f t="shared" si="124"/>
        <v>0</v>
      </c>
      <c r="AE249" s="44">
        <f t="shared" si="125"/>
        <v>0</v>
      </c>
      <c r="AF249" s="52" t="e">
        <f>HLOOKUP(I249,ElecAvoidedCostsWOCC!$A$5:$Q$50,G249+1,FALSE)</f>
        <v>#N/A</v>
      </c>
      <c r="AG249" s="44" t="e">
        <f t="shared" si="126"/>
        <v>#N/A</v>
      </c>
      <c r="AH249" s="52" t="e">
        <f>HLOOKUP(I249,ElecAvoidedCostsWOCC!$A$5:$Q$50,T249+1,FALSE)</f>
        <v>#N/A</v>
      </c>
      <c r="AI249" s="44" t="e">
        <f t="shared" si="127"/>
        <v>#N/A</v>
      </c>
      <c r="AJ249" s="44" t="e">
        <f t="shared" si="128"/>
        <v>#N/A</v>
      </c>
      <c r="AK249" s="44" t="e">
        <f>HLOOKUP(I249,ElecAvoidedCostsWOCC!$A$5:$Q$50,G249+1,FALSE)*J249*L249</f>
        <v>#N/A</v>
      </c>
      <c r="AL249" s="44" t="e">
        <f t="shared" si="129"/>
        <v>#N/A</v>
      </c>
      <c r="AM249" s="48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8">
        <f t="shared" si="130"/>
        <v>0</v>
      </c>
      <c r="AO249" s="47">
        <f t="shared" si="131"/>
        <v>0</v>
      </c>
      <c r="AP249" s="47" t="e">
        <f t="shared" si="132"/>
        <v>#DIV/0!</v>
      </c>
    </row>
    <row r="250" spans="2:42">
      <c r="B250" s="97" t="s">
        <v>15</v>
      </c>
      <c r="C250" s="100"/>
      <c r="D250" s="100"/>
      <c r="E250" s="38"/>
      <c r="F250" s="39"/>
      <c r="G250" s="39"/>
      <c r="H250" s="39"/>
      <c r="I250" s="40"/>
      <c r="J250" s="41"/>
      <c r="K250" s="41"/>
      <c r="L250" s="41"/>
      <c r="M250" s="42"/>
      <c r="N250" s="42"/>
      <c r="O250" s="43"/>
      <c r="P250" s="44"/>
      <c r="Q250" s="44"/>
      <c r="R250" s="45"/>
      <c r="S250" s="46"/>
      <c r="T250" s="39">
        <f t="shared" si="114"/>
        <v>0</v>
      </c>
      <c r="U250" s="47">
        <f t="shared" si="115"/>
        <v>0</v>
      </c>
      <c r="V250" s="48">
        <f t="shared" si="116"/>
        <v>0</v>
      </c>
      <c r="W250" s="49">
        <f t="shared" si="117"/>
        <v>0</v>
      </c>
      <c r="X250" s="44">
        <f t="shared" si="118"/>
        <v>0</v>
      </c>
      <c r="Y250" s="44">
        <f t="shared" si="119"/>
        <v>0</v>
      </c>
      <c r="Z250" s="44">
        <f t="shared" si="120"/>
        <v>0</v>
      </c>
      <c r="AA250" s="50">
        <f t="shared" si="121"/>
        <v>0</v>
      </c>
      <c r="AB250" s="51">
        <f t="shared" si="122"/>
        <v>0</v>
      </c>
      <c r="AC250" s="44">
        <f t="shared" si="123"/>
        <v>0</v>
      </c>
      <c r="AD250" s="44">
        <f t="shared" si="124"/>
        <v>0</v>
      </c>
      <c r="AE250" s="44">
        <f t="shared" si="125"/>
        <v>0</v>
      </c>
      <c r="AF250" s="52" t="e">
        <f>HLOOKUP(I250,ElecAvoidedCostsWOCC!$A$5:$Q$50,G250+1,FALSE)</f>
        <v>#N/A</v>
      </c>
      <c r="AG250" s="44" t="e">
        <f t="shared" si="126"/>
        <v>#N/A</v>
      </c>
      <c r="AH250" s="52" t="e">
        <f>HLOOKUP(I250,ElecAvoidedCostsWOCC!$A$5:$Q$50,T250+1,FALSE)</f>
        <v>#N/A</v>
      </c>
      <c r="AI250" s="44" t="e">
        <f t="shared" si="127"/>
        <v>#N/A</v>
      </c>
      <c r="AJ250" s="44" t="e">
        <f t="shared" si="128"/>
        <v>#N/A</v>
      </c>
      <c r="AK250" s="44" t="e">
        <f>HLOOKUP(I250,ElecAvoidedCostsWOCC!$A$5:$Q$50,G250+1,FALSE)*J250*L250</f>
        <v>#N/A</v>
      </c>
      <c r="AL250" s="44" t="e">
        <f t="shared" si="129"/>
        <v>#N/A</v>
      </c>
      <c r="AM250" s="48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8">
        <f t="shared" si="130"/>
        <v>0</v>
      </c>
      <c r="AO250" s="47">
        <f t="shared" si="131"/>
        <v>0</v>
      </c>
      <c r="AP250" s="47" t="e">
        <f t="shared" si="132"/>
        <v>#DIV/0!</v>
      </c>
    </row>
    <row r="251" spans="2:42">
      <c r="B251" s="97" t="s">
        <v>15</v>
      </c>
      <c r="C251" s="100"/>
      <c r="D251" s="100"/>
      <c r="E251" s="38"/>
      <c r="F251" s="39"/>
      <c r="G251" s="39"/>
      <c r="H251" s="39"/>
      <c r="I251" s="40"/>
      <c r="J251" s="41"/>
      <c r="K251" s="41"/>
      <c r="L251" s="41"/>
      <c r="M251" s="42"/>
      <c r="N251" s="42"/>
      <c r="O251" s="43"/>
      <c r="P251" s="44"/>
      <c r="Q251" s="44"/>
      <c r="R251" s="45"/>
      <c r="S251" s="46"/>
      <c r="T251" s="39">
        <f t="shared" si="114"/>
        <v>0</v>
      </c>
      <c r="U251" s="47">
        <f t="shared" si="115"/>
        <v>0</v>
      </c>
      <c r="V251" s="48">
        <f t="shared" si="116"/>
        <v>0</v>
      </c>
      <c r="W251" s="49">
        <f t="shared" si="117"/>
        <v>0</v>
      </c>
      <c r="X251" s="44">
        <f t="shared" si="118"/>
        <v>0</v>
      </c>
      <c r="Y251" s="44">
        <f t="shared" si="119"/>
        <v>0</v>
      </c>
      <c r="Z251" s="44">
        <f t="shared" si="120"/>
        <v>0</v>
      </c>
      <c r="AA251" s="50">
        <f t="shared" si="121"/>
        <v>0</v>
      </c>
      <c r="AB251" s="51">
        <f t="shared" si="122"/>
        <v>0</v>
      </c>
      <c r="AC251" s="44">
        <f t="shared" si="123"/>
        <v>0</v>
      </c>
      <c r="AD251" s="44">
        <f t="shared" si="124"/>
        <v>0</v>
      </c>
      <c r="AE251" s="44">
        <f t="shared" si="125"/>
        <v>0</v>
      </c>
      <c r="AF251" s="52" t="e">
        <f>HLOOKUP(I251,ElecAvoidedCostsWOCC!$A$5:$Q$50,G251+1,FALSE)</f>
        <v>#N/A</v>
      </c>
      <c r="AG251" s="44" t="e">
        <f t="shared" si="126"/>
        <v>#N/A</v>
      </c>
      <c r="AH251" s="52" t="e">
        <f>HLOOKUP(I251,ElecAvoidedCostsWOCC!$A$5:$Q$50,T251+1,FALSE)</f>
        <v>#N/A</v>
      </c>
      <c r="AI251" s="44" t="e">
        <f t="shared" si="127"/>
        <v>#N/A</v>
      </c>
      <c r="AJ251" s="44" t="e">
        <f t="shared" si="128"/>
        <v>#N/A</v>
      </c>
      <c r="AK251" s="44" t="e">
        <f>HLOOKUP(I251,ElecAvoidedCostsWOCC!$A$5:$Q$50,G251+1,FALSE)*J251*L251</f>
        <v>#N/A</v>
      </c>
      <c r="AL251" s="44" t="e">
        <f t="shared" si="129"/>
        <v>#N/A</v>
      </c>
      <c r="AM251" s="48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8">
        <f t="shared" si="130"/>
        <v>0</v>
      </c>
      <c r="AO251" s="47">
        <f t="shared" si="131"/>
        <v>0</v>
      </c>
      <c r="AP251" s="47" t="e">
        <f t="shared" si="132"/>
        <v>#DIV/0!</v>
      </c>
    </row>
    <row r="252" spans="2:42">
      <c r="B252" s="97" t="s">
        <v>15</v>
      </c>
      <c r="C252" s="100"/>
      <c r="D252" s="100"/>
      <c r="E252" s="38"/>
      <c r="F252" s="39"/>
      <c r="G252" s="39"/>
      <c r="H252" s="39"/>
      <c r="I252" s="40"/>
      <c r="J252" s="41"/>
      <c r="K252" s="41"/>
      <c r="L252" s="41"/>
      <c r="M252" s="42"/>
      <c r="N252" s="42"/>
      <c r="O252" s="43"/>
      <c r="P252" s="44"/>
      <c r="Q252" s="44"/>
      <c r="R252" s="45"/>
      <c r="S252" s="46"/>
      <c r="T252" s="39">
        <f t="shared" si="114"/>
        <v>0</v>
      </c>
      <c r="U252" s="47">
        <f t="shared" si="115"/>
        <v>0</v>
      </c>
      <c r="V252" s="48">
        <f t="shared" si="116"/>
        <v>0</v>
      </c>
      <c r="W252" s="49">
        <f t="shared" si="117"/>
        <v>0</v>
      </c>
      <c r="X252" s="44">
        <f t="shared" si="118"/>
        <v>0</v>
      </c>
      <c r="Y252" s="44">
        <f t="shared" si="119"/>
        <v>0</v>
      </c>
      <c r="Z252" s="44">
        <f t="shared" si="120"/>
        <v>0</v>
      </c>
      <c r="AA252" s="50">
        <f t="shared" si="121"/>
        <v>0</v>
      </c>
      <c r="AB252" s="51">
        <f t="shared" si="122"/>
        <v>0</v>
      </c>
      <c r="AC252" s="44">
        <f t="shared" si="123"/>
        <v>0</v>
      </c>
      <c r="AD252" s="44">
        <f t="shared" si="124"/>
        <v>0</v>
      </c>
      <c r="AE252" s="44">
        <f t="shared" si="125"/>
        <v>0</v>
      </c>
      <c r="AF252" s="52" t="e">
        <f>HLOOKUP(I252,ElecAvoidedCostsWOCC!$A$5:$Q$50,G252+1,FALSE)</f>
        <v>#N/A</v>
      </c>
      <c r="AG252" s="44" t="e">
        <f t="shared" si="126"/>
        <v>#N/A</v>
      </c>
      <c r="AH252" s="52" t="e">
        <f>HLOOKUP(I252,ElecAvoidedCostsWOCC!$A$5:$Q$50,T252+1,FALSE)</f>
        <v>#N/A</v>
      </c>
      <c r="AI252" s="44" t="e">
        <f t="shared" si="127"/>
        <v>#N/A</v>
      </c>
      <c r="AJ252" s="44" t="e">
        <f t="shared" si="128"/>
        <v>#N/A</v>
      </c>
      <c r="AK252" s="44" t="e">
        <f>HLOOKUP(I252,ElecAvoidedCostsWOCC!$A$5:$Q$50,G252+1,FALSE)*J252*L252</f>
        <v>#N/A</v>
      </c>
      <c r="AL252" s="44" t="e">
        <f t="shared" si="129"/>
        <v>#N/A</v>
      </c>
      <c r="AM252" s="48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8">
        <f t="shared" si="130"/>
        <v>0</v>
      </c>
      <c r="AO252" s="47">
        <f t="shared" si="131"/>
        <v>0</v>
      </c>
      <c r="AP252" s="47" t="e">
        <f t="shared" si="132"/>
        <v>#DIV/0!</v>
      </c>
    </row>
    <row r="253" spans="2:42">
      <c r="B253" s="97" t="s">
        <v>15</v>
      </c>
      <c r="C253" s="100"/>
      <c r="D253" s="100"/>
      <c r="E253" s="38"/>
      <c r="F253" s="39"/>
      <c r="G253" s="39"/>
      <c r="H253" s="39"/>
      <c r="I253" s="40"/>
      <c r="J253" s="41"/>
      <c r="K253" s="41"/>
      <c r="L253" s="41"/>
      <c r="M253" s="42"/>
      <c r="N253" s="42"/>
      <c r="O253" s="43"/>
      <c r="P253" s="44"/>
      <c r="Q253" s="44"/>
      <c r="R253" s="45"/>
      <c r="S253" s="46"/>
      <c r="T253" s="39">
        <f t="shared" si="114"/>
        <v>0</v>
      </c>
      <c r="U253" s="47">
        <f t="shared" si="115"/>
        <v>0</v>
      </c>
      <c r="V253" s="48">
        <f t="shared" si="116"/>
        <v>0</v>
      </c>
      <c r="W253" s="49">
        <f t="shared" si="117"/>
        <v>0</v>
      </c>
      <c r="X253" s="44">
        <f t="shared" si="118"/>
        <v>0</v>
      </c>
      <c r="Y253" s="44">
        <f t="shared" si="119"/>
        <v>0</v>
      </c>
      <c r="Z253" s="44">
        <f t="shared" si="120"/>
        <v>0</v>
      </c>
      <c r="AA253" s="50">
        <f t="shared" si="121"/>
        <v>0</v>
      </c>
      <c r="AB253" s="51">
        <f t="shared" si="122"/>
        <v>0</v>
      </c>
      <c r="AC253" s="44">
        <f t="shared" si="123"/>
        <v>0</v>
      </c>
      <c r="AD253" s="44">
        <f t="shared" si="124"/>
        <v>0</v>
      </c>
      <c r="AE253" s="44">
        <f t="shared" si="125"/>
        <v>0</v>
      </c>
      <c r="AF253" s="52" t="e">
        <f>HLOOKUP(I253,ElecAvoidedCostsWOCC!$A$5:$Q$50,G253+1,FALSE)</f>
        <v>#N/A</v>
      </c>
      <c r="AG253" s="44" t="e">
        <f t="shared" si="126"/>
        <v>#N/A</v>
      </c>
      <c r="AH253" s="52" t="e">
        <f>HLOOKUP(I253,ElecAvoidedCostsWOCC!$A$5:$Q$50,T253+1,FALSE)</f>
        <v>#N/A</v>
      </c>
      <c r="AI253" s="44" t="e">
        <f t="shared" si="127"/>
        <v>#N/A</v>
      </c>
      <c r="AJ253" s="44" t="e">
        <f t="shared" si="128"/>
        <v>#N/A</v>
      </c>
      <c r="AK253" s="44" t="e">
        <f>HLOOKUP(I253,ElecAvoidedCostsWOCC!$A$5:$Q$50,G253+1,FALSE)*J253*L253</f>
        <v>#N/A</v>
      </c>
      <c r="AL253" s="44" t="e">
        <f t="shared" si="129"/>
        <v>#N/A</v>
      </c>
      <c r="AM253" s="48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8">
        <f t="shared" si="130"/>
        <v>0</v>
      </c>
      <c r="AO253" s="47">
        <f t="shared" si="131"/>
        <v>0</v>
      </c>
      <c r="AP253" s="47" t="e">
        <f t="shared" si="132"/>
        <v>#DIV/0!</v>
      </c>
    </row>
    <row r="254" spans="2:42">
      <c r="B254" s="97" t="s">
        <v>15</v>
      </c>
      <c r="C254" s="100"/>
      <c r="D254" s="100"/>
      <c r="E254" s="38"/>
      <c r="F254" s="39"/>
      <c r="G254" s="39"/>
      <c r="H254" s="39"/>
      <c r="I254" s="40"/>
      <c r="J254" s="41"/>
      <c r="K254" s="41"/>
      <c r="L254" s="41"/>
      <c r="M254" s="42"/>
      <c r="N254" s="42"/>
      <c r="O254" s="43"/>
      <c r="P254" s="44"/>
      <c r="Q254" s="44"/>
      <c r="R254" s="45"/>
      <c r="S254" s="46"/>
      <c r="T254" s="39">
        <f t="shared" si="114"/>
        <v>0</v>
      </c>
      <c r="U254" s="47">
        <f t="shared" si="115"/>
        <v>0</v>
      </c>
      <c r="V254" s="48">
        <f t="shared" si="116"/>
        <v>0</v>
      </c>
      <c r="W254" s="49">
        <f t="shared" si="117"/>
        <v>0</v>
      </c>
      <c r="X254" s="44">
        <f t="shared" si="118"/>
        <v>0</v>
      </c>
      <c r="Y254" s="44">
        <f t="shared" si="119"/>
        <v>0</v>
      </c>
      <c r="Z254" s="44">
        <f t="shared" si="120"/>
        <v>0</v>
      </c>
      <c r="AA254" s="50">
        <f t="shared" si="121"/>
        <v>0</v>
      </c>
      <c r="AB254" s="51">
        <f t="shared" si="122"/>
        <v>0</v>
      </c>
      <c r="AC254" s="44">
        <f t="shared" si="123"/>
        <v>0</v>
      </c>
      <c r="AD254" s="44">
        <f t="shared" si="124"/>
        <v>0</v>
      </c>
      <c r="AE254" s="44">
        <f t="shared" si="125"/>
        <v>0</v>
      </c>
      <c r="AF254" s="52" t="e">
        <f>HLOOKUP(I254,ElecAvoidedCostsWOCC!$A$5:$Q$50,G254+1,FALSE)</f>
        <v>#N/A</v>
      </c>
      <c r="AG254" s="44" t="e">
        <f t="shared" si="126"/>
        <v>#N/A</v>
      </c>
      <c r="AH254" s="52" t="e">
        <f>HLOOKUP(I254,ElecAvoidedCostsWOCC!$A$5:$Q$50,T254+1,FALSE)</f>
        <v>#N/A</v>
      </c>
      <c r="AI254" s="44" t="e">
        <f t="shared" si="127"/>
        <v>#N/A</v>
      </c>
      <c r="AJ254" s="44" t="e">
        <f t="shared" si="128"/>
        <v>#N/A</v>
      </c>
      <c r="AK254" s="44" t="e">
        <f>HLOOKUP(I254,ElecAvoidedCostsWOCC!$A$5:$Q$50,G254+1,FALSE)*J254*L254</f>
        <v>#N/A</v>
      </c>
      <c r="AL254" s="44" t="e">
        <f t="shared" si="129"/>
        <v>#N/A</v>
      </c>
      <c r="AM254" s="48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8">
        <f t="shared" si="130"/>
        <v>0</v>
      </c>
      <c r="AO254" s="47">
        <f t="shared" si="131"/>
        <v>0</v>
      </c>
      <c r="AP254" s="47" t="e">
        <f t="shared" si="132"/>
        <v>#DIV/0!</v>
      </c>
    </row>
    <row r="255" spans="2:42">
      <c r="B255" s="97" t="s">
        <v>15</v>
      </c>
      <c r="C255" s="100"/>
      <c r="D255" s="100"/>
      <c r="E255" s="38"/>
      <c r="F255" s="39"/>
      <c r="G255" s="39"/>
      <c r="H255" s="39"/>
      <c r="I255" s="40"/>
      <c r="J255" s="41"/>
      <c r="K255" s="41"/>
      <c r="L255" s="41"/>
      <c r="M255" s="42"/>
      <c r="N255" s="42"/>
      <c r="O255" s="43"/>
      <c r="P255" s="44"/>
      <c r="Q255" s="44"/>
      <c r="R255" s="45"/>
      <c r="S255" s="46"/>
      <c r="T255" s="39">
        <f t="shared" si="114"/>
        <v>0</v>
      </c>
      <c r="U255" s="47">
        <f t="shared" si="115"/>
        <v>0</v>
      </c>
      <c r="V255" s="48">
        <f t="shared" si="116"/>
        <v>0</v>
      </c>
      <c r="W255" s="49">
        <f t="shared" si="117"/>
        <v>0</v>
      </c>
      <c r="X255" s="44">
        <f t="shared" si="118"/>
        <v>0</v>
      </c>
      <c r="Y255" s="44">
        <f t="shared" si="119"/>
        <v>0</v>
      </c>
      <c r="Z255" s="44">
        <f t="shared" si="120"/>
        <v>0</v>
      </c>
      <c r="AA255" s="50">
        <f t="shared" si="121"/>
        <v>0</v>
      </c>
      <c r="AB255" s="51">
        <f t="shared" si="122"/>
        <v>0</v>
      </c>
      <c r="AC255" s="44">
        <f t="shared" si="123"/>
        <v>0</v>
      </c>
      <c r="AD255" s="44">
        <f t="shared" si="124"/>
        <v>0</v>
      </c>
      <c r="AE255" s="44">
        <f t="shared" si="125"/>
        <v>0</v>
      </c>
      <c r="AF255" s="52" t="e">
        <f>HLOOKUP(I255,ElecAvoidedCostsWOCC!$A$5:$Q$50,G255+1,FALSE)</f>
        <v>#N/A</v>
      </c>
      <c r="AG255" s="44" t="e">
        <f t="shared" si="126"/>
        <v>#N/A</v>
      </c>
      <c r="AH255" s="52" t="e">
        <f>HLOOKUP(I255,ElecAvoidedCostsWOCC!$A$5:$Q$50,T255+1,FALSE)</f>
        <v>#N/A</v>
      </c>
      <c r="AI255" s="44" t="e">
        <f t="shared" si="127"/>
        <v>#N/A</v>
      </c>
      <c r="AJ255" s="44" t="e">
        <f t="shared" si="128"/>
        <v>#N/A</v>
      </c>
      <c r="AK255" s="44" t="e">
        <f>HLOOKUP(I255,ElecAvoidedCostsWOCC!$A$5:$Q$50,G255+1,FALSE)*J255*L255</f>
        <v>#N/A</v>
      </c>
      <c r="AL255" s="44" t="e">
        <f t="shared" si="129"/>
        <v>#N/A</v>
      </c>
      <c r="AM255" s="48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8">
        <f t="shared" si="130"/>
        <v>0</v>
      </c>
      <c r="AO255" s="47">
        <f t="shared" si="131"/>
        <v>0</v>
      </c>
      <c r="AP255" s="47" t="e">
        <f t="shared" si="132"/>
        <v>#DIV/0!</v>
      </c>
    </row>
    <row r="256" spans="2:42">
      <c r="B256" s="97" t="s">
        <v>15</v>
      </c>
      <c r="C256" s="100"/>
      <c r="D256" s="100"/>
      <c r="E256" s="38"/>
      <c r="F256" s="39"/>
      <c r="G256" s="39"/>
      <c r="H256" s="39"/>
      <c r="I256" s="40"/>
      <c r="J256" s="41"/>
      <c r="K256" s="41"/>
      <c r="L256" s="41"/>
      <c r="M256" s="42"/>
      <c r="N256" s="42"/>
      <c r="O256" s="43"/>
      <c r="P256" s="44"/>
      <c r="Q256" s="44"/>
      <c r="R256" s="45"/>
      <c r="S256" s="46"/>
      <c r="T256" s="39">
        <f t="shared" si="114"/>
        <v>0</v>
      </c>
      <c r="U256" s="47">
        <f t="shared" si="115"/>
        <v>0</v>
      </c>
      <c r="V256" s="48">
        <f t="shared" si="116"/>
        <v>0</v>
      </c>
      <c r="W256" s="49">
        <f t="shared" si="117"/>
        <v>0</v>
      </c>
      <c r="X256" s="44">
        <f t="shared" si="118"/>
        <v>0</v>
      </c>
      <c r="Y256" s="44">
        <f t="shared" si="119"/>
        <v>0</v>
      </c>
      <c r="Z256" s="44">
        <f t="shared" si="120"/>
        <v>0</v>
      </c>
      <c r="AA256" s="50">
        <f t="shared" si="121"/>
        <v>0</v>
      </c>
      <c r="AB256" s="51">
        <f t="shared" si="122"/>
        <v>0</v>
      </c>
      <c r="AC256" s="44">
        <f t="shared" si="123"/>
        <v>0</v>
      </c>
      <c r="AD256" s="44">
        <f t="shared" si="124"/>
        <v>0</v>
      </c>
      <c r="AE256" s="44">
        <f t="shared" si="125"/>
        <v>0</v>
      </c>
      <c r="AF256" s="52" t="e">
        <f>HLOOKUP(I256,ElecAvoidedCostsWOCC!$A$5:$Q$50,G256+1,FALSE)</f>
        <v>#N/A</v>
      </c>
      <c r="AG256" s="44" t="e">
        <f t="shared" si="126"/>
        <v>#N/A</v>
      </c>
      <c r="AH256" s="52" t="e">
        <f>HLOOKUP(I256,ElecAvoidedCostsWOCC!$A$5:$Q$50,T256+1,FALSE)</f>
        <v>#N/A</v>
      </c>
      <c r="AI256" s="44" t="e">
        <f t="shared" si="127"/>
        <v>#N/A</v>
      </c>
      <c r="AJ256" s="44" t="e">
        <f t="shared" si="128"/>
        <v>#N/A</v>
      </c>
      <c r="AK256" s="44" t="e">
        <f>HLOOKUP(I256,ElecAvoidedCostsWOCC!$A$5:$Q$50,G256+1,FALSE)*J256*L256</f>
        <v>#N/A</v>
      </c>
      <c r="AL256" s="44" t="e">
        <f t="shared" si="129"/>
        <v>#N/A</v>
      </c>
      <c r="AM256" s="48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8">
        <f t="shared" si="130"/>
        <v>0</v>
      </c>
      <c r="AO256" s="47">
        <f t="shared" si="131"/>
        <v>0</v>
      </c>
      <c r="AP256" s="47" t="e">
        <f t="shared" si="132"/>
        <v>#DIV/0!</v>
      </c>
    </row>
    <row r="257" spans="2:42">
      <c r="B257" s="97" t="s">
        <v>15</v>
      </c>
      <c r="C257" s="100"/>
      <c r="D257" s="100"/>
      <c r="E257" s="38"/>
      <c r="F257" s="39"/>
      <c r="G257" s="39"/>
      <c r="H257" s="39"/>
      <c r="I257" s="40"/>
      <c r="J257" s="41"/>
      <c r="K257" s="41"/>
      <c r="L257" s="41"/>
      <c r="M257" s="42"/>
      <c r="N257" s="42"/>
      <c r="O257" s="43"/>
      <c r="P257" s="44"/>
      <c r="Q257" s="44"/>
      <c r="R257" s="45"/>
      <c r="S257" s="46"/>
      <c r="T257" s="39">
        <f t="shared" si="114"/>
        <v>0</v>
      </c>
      <c r="U257" s="47">
        <f t="shared" si="115"/>
        <v>0</v>
      </c>
      <c r="V257" s="48">
        <f t="shared" si="116"/>
        <v>0</v>
      </c>
      <c r="W257" s="49">
        <f t="shared" si="117"/>
        <v>0</v>
      </c>
      <c r="X257" s="44">
        <f t="shared" si="118"/>
        <v>0</v>
      </c>
      <c r="Y257" s="44">
        <f t="shared" si="119"/>
        <v>0</v>
      </c>
      <c r="Z257" s="44">
        <f t="shared" si="120"/>
        <v>0</v>
      </c>
      <c r="AA257" s="50">
        <f t="shared" si="121"/>
        <v>0</v>
      </c>
      <c r="AB257" s="51">
        <f t="shared" si="122"/>
        <v>0</v>
      </c>
      <c r="AC257" s="44">
        <f t="shared" si="123"/>
        <v>0</v>
      </c>
      <c r="AD257" s="44">
        <f t="shared" si="124"/>
        <v>0</v>
      </c>
      <c r="AE257" s="44">
        <f t="shared" si="125"/>
        <v>0</v>
      </c>
      <c r="AF257" s="52" t="e">
        <f>HLOOKUP(I257,ElecAvoidedCostsWOCC!$A$5:$Q$50,G257+1,FALSE)</f>
        <v>#N/A</v>
      </c>
      <c r="AG257" s="44" t="e">
        <f t="shared" si="126"/>
        <v>#N/A</v>
      </c>
      <c r="AH257" s="52" t="e">
        <f>HLOOKUP(I257,ElecAvoidedCostsWOCC!$A$5:$Q$50,T257+1,FALSE)</f>
        <v>#N/A</v>
      </c>
      <c r="AI257" s="44" t="e">
        <f t="shared" si="127"/>
        <v>#N/A</v>
      </c>
      <c r="AJ257" s="44" t="e">
        <f t="shared" si="128"/>
        <v>#N/A</v>
      </c>
      <c r="AK257" s="44" t="e">
        <f>HLOOKUP(I257,ElecAvoidedCostsWOCC!$A$5:$Q$50,G257+1,FALSE)*J257*L257</f>
        <v>#N/A</v>
      </c>
      <c r="AL257" s="44" t="e">
        <f t="shared" si="129"/>
        <v>#N/A</v>
      </c>
      <c r="AM257" s="48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8">
        <f t="shared" si="130"/>
        <v>0</v>
      </c>
      <c r="AO257" s="47">
        <f t="shared" si="131"/>
        <v>0</v>
      </c>
      <c r="AP257" s="47" t="e">
        <f t="shared" si="132"/>
        <v>#DIV/0!</v>
      </c>
    </row>
    <row r="258" spans="2:42">
      <c r="B258" s="97" t="s">
        <v>15</v>
      </c>
      <c r="C258" s="100"/>
      <c r="D258" s="100"/>
      <c r="E258" s="38"/>
      <c r="F258" s="39"/>
      <c r="G258" s="39"/>
      <c r="H258" s="39"/>
      <c r="I258" s="40"/>
      <c r="J258" s="41"/>
      <c r="K258" s="41"/>
      <c r="L258" s="41"/>
      <c r="M258" s="42"/>
      <c r="N258" s="42"/>
      <c r="O258" s="43"/>
      <c r="P258" s="44"/>
      <c r="Q258" s="44"/>
      <c r="R258" s="45"/>
      <c r="S258" s="46"/>
      <c r="T258" s="39">
        <f t="shared" si="114"/>
        <v>0</v>
      </c>
      <c r="U258" s="47">
        <f t="shared" si="115"/>
        <v>0</v>
      </c>
      <c r="V258" s="48">
        <f t="shared" si="116"/>
        <v>0</v>
      </c>
      <c r="W258" s="49">
        <f t="shared" si="117"/>
        <v>0</v>
      </c>
      <c r="X258" s="44">
        <f t="shared" si="118"/>
        <v>0</v>
      </c>
      <c r="Y258" s="44">
        <f t="shared" si="119"/>
        <v>0</v>
      </c>
      <c r="Z258" s="44">
        <f t="shared" si="120"/>
        <v>0</v>
      </c>
      <c r="AA258" s="50">
        <f t="shared" si="121"/>
        <v>0</v>
      </c>
      <c r="AB258" s="51">
        <f t="shared" si="122"/>
        <v>0</v>
      </c>
      <c r="AC258" s="44">
        <f t="shared" si="123"/>
        <v>0</v>
      </c>
      <c r="AD258" s="44">
        <f t="shared" si="124"/>
        <v>0</v>
      </c>
      <c r="AE258" s="44">
        <f t="shared" si="125"/>
        <v>0</v>
      </c>
      <c r="AF258" s="52" t="e">
        <f>HLOOKUP(I258,ElecAvoidedCostsWOCC!$A$5:$Q$50,G258+1,FALSE)</f>
        <v>#N/A</v>
      </c>
      <c r="AG258" s="44" t="e">
        <f t="shared" si="126"/>
        <v>#N/A</v>
      </c>
      <c r="AH258" s="52" t="e">
        <f>HLOOKUP(I258,ElecAvoidedCostsWOCC!$A$5:$Q$50,T258+1,FALSE)</f>
        <v>#N/A</v>
      </c>
      <c r="AI258" s="44" t="e">
        <f t="shared" si="127"/>
        <v>#N/A</v>
      </c>
      <c r="AJ258" s="44" t="e">
        <f t="shared" si="128"/>
        <v>#N/A</v>
      </c>
      <c r="AK258" s="44" t="e">
        <f>HLOOKUP(I258,ElecAvoidedCostsWOCC!$A$5:$Q$50,G258+1,FALSE)*J258*L258</f>
        <v>#N/A</v>
      </c>
      <c r="AL258" s="44" t="e">
        <f t="shared" si="129"/>
        <v>#N/A</v>
      </c>
      <c r="AM258" s="48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8">
        <f t="shared" si="130"/>
        <v>0</v>
      </c>
      <c r="AO258" s="47">
        <f t="shared" si="131"/>
        <v>0</v>
      </c>
      <c r="AP258" s="47" t="e">
        <f t="shared" si="132"/>
        <v>#DIV/0!</v>
      </c>
    </row>
    <row r="259" spans="2:42">
      <c r="B259" s="97" t="s">
        <v>15</v>
      </c>
      <c r="C259" s="100"/>
      <c r="D259" s="100"/>
      <c r="E259" s="38"/>
      <c r="F259" s="39"/>
      <c r="G259" s="39"/>
      <c r="H259" s="39"/>
      <c r="I259" s="40"/>
      <c r="J259" s="41"/>
      <c r="K259" s="41"/>
      <c r="L259" s="41"/>
      <c r="M259" s="42"/>
      <c r="N259" s="42"/>
      <c r="O259" s="43"/>
      <c r="P259" s="44"/>
      <c r="Q259" s="44"/>
      <c r="R259" s="45"/>
      <c r="S259" s="46"/>
      <c r="T259" s="39">
        <f t="shared" si="114"/>
        <v>0</v>
      </c>
      <c r="U259" s="47">
        <f t="shared" si="115"/>
        <v>0</v>
      </c>
      <c r="V259" s="48">
        <f t="shared" si="116"/>
        <v>0</v>
      </c>
      <c r="W259" s="49">
        <f t="shared" si="117"/>
        <v>0</v>
      </c>
      <c r="X259" s="44">
        <f t="shared" si="118"/>
        <v>0</v>
      </c>
      <c r="Y259" s="44">
        <f t="shared" si="119"/>
        <v>0</v>
      </c>
      <c r="Z259" s="44">
        <f t="shared" si="120"/>
        <v>0</v>
      </c>
      <c r="AA259" s="50">
        <f t="shared" si="121"/>
        <v>0</v>
      </c>
      <c r="AB259" s="51">
        <f t="shared" si="122"/>
        <v>0</v>
      </c>
      <c r="AC259" s="44">
        <f t="shared" si="123"/>
        <v>0</v>
      </c>
      <c r="AD259" s="44">
        <f t="shared" si="124"/>
        <v>0</v>
      </c>
      <c r="AE259" s="44">
        <f t="shared" si="125"/>
        <v>0</v>
      </c>
      <c r="AF259" s="52" t="e">
        <f>HLOOKUP(I259,ElecAvoidedCostsWOCC!$A$5:$Q$50,G259+1,FALSE)</f>
        <v>#N/A</v>
      </c>
      <c r="AG259" s="44" t="e">
        <f t="shared" si="126"/>
        <v>#N/A</v>
      </c>
      <c r="AH259" s="52" t="e">
        <f>HLOOKUP(I259,ElecAvoidedCostsWOCC!$A$5:$Q$50,T259+1,FALSE)</f>
        <v>#N/A</v>
      </c>
      <c r="AI259" s="44" t="e">
        <f t="shared" si="127"/>
        <v>#N/A</v>
      </c>
      <c r="AJ259" s="44" t="e">
        <f t="shared" si="128"/>
        <v>#N/A</v>
      </c>
      <c r="AK259" s="44" t="e">
        <f>HLOOKUP(I259,ElecAvoidedCostsWOCC!$A$5:$Q$50,G259+1,FALSE)*J259*L259</f>
        <v>#N/A</v>
      </c>
      <c r="AL259" s="44" t="e">
        <f t="shared" si="129"/>
        <v>#N/A</v>
      </c>
      <c r="AM259" s="48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8">
        <f t="shared" si="130"/>
        <v>0</v>
      </c>
      <c r="AO259" s="47">
        <f t="shared" si="131"/>
        <v>0</v>
      </c>
      <c r="AP259" s="47" t="e">
        <f t="shared" si="132"/>
        <v>#DIV/0!</v>
      </c>
    </row>
    <row r="260" spans="2:42">
      <c r="B260" s="97" t="s">
        <v>15</v>
      </c>
      <c r="C260" s="100"/>
      <c r="D260" s="100"/>
      <c r="E260" s="38"/>
      <c r="F260" s="39"/>
      <c r="G260" s="39"/>
      <c r="H260" s="39"/>
      <c r="I260" s="40"/>
      <c r="J260" s="41"/>
      <c r="K260" s="41"/>
      <c r="L260" s="41"/>
      <c r="M260" s="42"/>
      <c r="N260" s="42"/>
      <c r="O260" s="43"/>
      <c r="P260" s="44"/>
      <c r="Q260" s="44"/>
      <c r="R260" s="45"/>
      <c r="S260" s="46"/>
      <c r="T260" s="39">
        <f t="shared" si="114"/>
        <v>0</v>
      </c>
      <c r="U260" s="47">
        <f t="shared" si="115"/>
        <v>0</v>
      </c>
      <c r="V260" s="48">
        <f t="shared" si="116"/>
        <v>0</v>
      </c>
      <c r="W260" s="49">
        <f t="shared" si="117"/>
        <v>0</v>
      </c>
      <c r="X260" s="44">
        <f t="shared" si="118"/>
        <v>0</v>
      </c>
      <c r="Y260" s="44">
        <f t="shared" si="119"/>
        <v>0</v>
      </c>
      <c r="Z260" s="44">
        <f t="shared" si="120"/>
        <v>0</v>
      </c>
      <c r="AA260" s="50">
        <f t="shared" si="121"/>
        <v>0</v>
      </c>
      <c r="AB260" s="51">
        <f t="shared" si="122"/>
        <v>0</v>
      </c>
      <c r="AC260" s="44">
        <f t="shared" si="123"/>
        <v>0</v>
      </c>
      <c r="AD260" s="44">
        <f t="shared" si="124"/>
        <v>0</v>
      </c>
      <c r="AE260" s="44">
        <f t="shared" si="125"/>
        <v>0</v>
      </c>
      <c r="AF260" s="52" t="e">
        <f>HLOOKUP(I260,ElecAvoidedCostsWOCC!$A$5:$Q$50,G260+1,FALSE)</f>
        <v>#N/A</v>
      </c>
      <c r="AG260" s="44" t="e">
        <f t="shared" si="126"/>
        <v>#N/A</v>
      </c>
      <c r="AH260" s="52" t="e">
        <f>HLOOKUP(I260,ElecAvoidedCostsWOCC!$A$5:$Q$50,T260+1,FALSE)</f>
        <v>#N/A</v>
      </c>
      <c r="AI260" s="44" t="e">
        <f t="shared" si="127"/>
        <v>#N/A</v>
      </c>
      <c r="AJ260" s="44" t="e">
        <f t="shared" si="128"/>
        <v>#N/A</v>
      </c>
      <c r="AK260" s="44" t="e">
        <f>HLOOKUP(I260,ElecAvoidedCostsWOCC!$A$5:$Q$50,G260+1,FALSE)*J260*L260</f>
        <v>#N/A</v>
      </c>
      <c r="AL260" s="44" t="e">
        <f t="shared" si="129"/>
        <v>#N/A</v>
      </c>
      <c r="AM260" s="48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8">
        <f t="shared" si="130"/>
        <v>0</v>
      </c>
      <c r="AO260" s="47">
        <f t="shared" si="131"/>
        <v>0</v>
      </c>
      <c r="AP260" s="47" t="e">
        <f t="shared" si="132"/>
        <v>#DIV/0!</v>
      </c>
    </row>
    <row r="261" spans="2:42">
      <c r="B261" s="97" t="s">
        <v>15</v>
      </c>
      <c r="C261" s="100"/>
      <c r="D261" s="100"/>
      <c r="E261" s="38"/>
      <c r="F261" s="39"/>
      <c r="G261" s="39"/>
      <c r="H261" s="39"/>
      <c r="I261" s="40"/>
      <c r="J261" s="41"/>
      <c r="K261" s="41"/>
      <c r="L261" s="41"/>
      <c r="M261" s="42"/>
      <c r="N261" s="42"/>
      <c r="O261" s="43"/>
      <c r="P261" s="44"/>
      <c r="Q261" s="44"/>
      <c r="R261" s="45"/>
      <c r="S261" s="46"/>
      <c r="T261" s="39">
        <f t="shared" si="114"/>
        <v>0</v>
      </c>
      <c r="U261" s="47">
        <f t="shared" si="115"/>
        <v>0</v>
      </c>
      <c r="V261" s="48">
        <f t="shared" si="116"/>
        <v>0</v>
      </c>
      <c r="W261" s="49">
        <f t="shared" si="117"/>
        <v>0</v>
      </c>
      <c r="X261" s="44">
        <f t="shared" si="118"/>
        <v>0</v>
      </c>
      <c r="Y261" s="44">
        <f t="shared" si="119"/>
        <v>0</v>
      </c>
      <c r="Z261" s="44">
        <f t="shared" si="120"/>
        <v>0</v>
      </c>
      <c r="AA261" s="50">
        <f t="shared" si="121"/>
        <v>0</v>
      </c>
      <c r="AB261" s="51">
        <f t="shared" si="122"/>
        <v>0</v>
      </c>
      <c r="AC261" s="44">
        <f t="shared" si="123"/>
        <v>0</v>
      </c>
      <c r="AD261" s="44">
        <f t="shared" si="124"/>
        <v>0</v>
      </c>
      <c r="AE261" s="44">
        <f t="shared" si="125"/>
        <v>0</v>
      </c>
      <c r="AF261" s="52" t="e">
        <f>HLOOKUP(I261,ElecAvoidedCostsWOCC!$A$5:$Q$50,G261+1,FALSE)</f>
        <v>#N/A</v>
      </c>
      <c r="AG261" s="44" t="e">
        <f t="shared" si="126"/>
        <v>#N/A</v>
      </c>
      <c r="AH261" s="52" t="e">
        <f>HLOOKUP(I261,ElecAvoidedCostsWOCC!$A$5:$Q$50,T261+1,FALSE)</f>
        <v>#N/A</v>
      </c>
      <c r="AI261" s="44" t="e">
        <f t="shared" si="127"/>
        <v>#N/A</v>
      </c>
      <c r="AJ261" s="44" t="e">
        <f t="shared" si="128"/>
        <v>#N/A</v>
      </c>
      <c r="AK261" s="44" t="e">
        <f>HLOOKUP(I261,ElecAvoidedCostsWOCC!$A$5:$Q$50,G261+1,FALSE)*J261*L261</f>
        <v>#N/A</v>
      </c>
      <c r="AL261" s="44" t="e">
        <f t="shared" si="129"/>
        <v>#N/A</v>
      </c>
      <c r="AM261" s="48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8">
        <f t="shared" si="130"/>
        <v>0</v>
      </c>
      <c r="AO261" s="47">
        <f t="shared" si="131"/>
        <v>0</v>
      </c>
      <c r="AP261" s="47" t="e">
        <f t="shared" si="132"/>
        <v>#DIV/0!</v>
      </c>
    </row>
    <row r="262" spans="2:42">
      <c r="B262" s="97" t="s">
        <v>15</v>
      </c>
      <c r="C262" s="100"/>
      <c r="D262" s="100"/>
      <c r="E262" s="38"/>
      <c r="F262" s="39"/>
      <c r="G262" s="39"/>
      <c r="H262" s="39"/>
      <c r="I262" s="40"/>
      <c r="J262" s="41"/>
      <c r="K262" s="41"/>
      <c r="L262" s="41"/>
      <c r="M262" s="42"/>
      <c r="N262" s="42"/>
      <c r="O262" s="43"/>
      <c r="P262" s="44"/>
      <c r="Q262" s="44"/>
      <c r="R262" s="45"/>
      <c r="S262" s="46"/>
      <c r="T262" s="39">
        <f t="shared" si="114"/>
        <v>0</v>
      </c>
      <c r="U262" s="47">
        <f t="shared" si="115"/>
        <v>0</v>
      </c>
      <c r="V262" s="48">
        <f t="shared" si="116"/>
        <v>0</v>
      </c>
      <c r="W262" s="49">
        <f t="shared" si="117"/>
        <v>0</v>
      </c>
      <c r="X262" s="44">
        <f t="shared" si="118"/>
        <v>0</v>
      </c>
      <c r="Y262" s="44">
        <f t="shared" si="119"/>
        <v>0</v>
      </c>
      <c r="Z262" s="44">
        <f t="shared" si="120"/>
        <v>0</v>
      </c>
      <c r="AA262" s="50">
        <f t="shared" si="121"/>
        <v>0</v>
      </c>
      <c r="AB262" s="51">
        <f t="shared" si="122"/>
        <v>0</v>
      </c>
      <c r="AC262" s="44">
        <f t="shared" si="123"/>
        <v>0</v>
      </c>
      <c r="AD262" s="44">
        <f t="shared" si="124"/>
        <v>0</v>
      </c>
      <c r="AE262" s="44">
        <f t="shared" si="125"/>
        <v>0</v>
      </c>
      <c r="AF262" s="52" t="e">
        <f>HLOOKUP(I262,ElecAvoidedCostsWOCC!$A$5:$Q$50,G262+1,FALSE)</f>
        <v>#N/A</v>
      </c>
      <c r="AG262" s="44" t="e">
        <f t="shared" si="126"/>
        <v>#N/A</v>
      </c>
      <c r="AH262" s="52" t="e">
        <f>HLOOKUP(I262,ElecAvoidedCostsWOCC!$A$5:$Q$50,T262+1,FALSE)</f>
        <v>#N/A</v>
      </c>
      <c r="AI262" s="44" t="e">
        <f t="shared" si="127"/>
        <v>#N/A</v>
      </c>
      <c r="AJ262" s="44" t="e">
        <f t="shared" si="128"/>
        <v>#N/A</v>
      </c>
      <c r="AK262" s="44" t="e">
        <f>HLOOKUP(I262,ElecAvoidedCostsWOCC!$A$5:$Q$50,G262+1,FALSE)*J262*L262</f>
        <v>#N/A</v>
      </c>
      <c r="AL262" s="44" t="e">
        <f t="shared" si="129"/>
        <v>#N/A</v>
      </c>
      <c r="AM262" s="48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8">
        <f t="shared" si="130"/>
        <v>0</v>
      </c>
      <c r="AO262" s="47">
        <f t="shared" si="131"/>
        <v>0</v>
      </c>
      <c r="AP262" s="47" t="e">
        <f t="shared" si="132"/>
        <v>#DIV/0!</v>
      </c>
    </row>
    <row r="263" spans="2:42">
      <c r="B263" s="97" t="s">
        <v>15</v>
      </c>
      <c r="C263" s="100"/>
      <c r="D263" s="100"/>
      <c r="E263" s="38"/>
      <c r="F263" s="39"/>
      <c r="G263" s="39"/>
      <c r="H263" s="39"/>
      <c r="I263" s="40"/>
      <c r="J263" s="41"/>
      <c r="K263" s="41"/>
      <c r="L263" s="41"/>
      <c r="M263" s="42"/>
      <c r="N263" s="42"/>
      <c r="O263" s="43"/>
      <c r="P263" s="44"/>
      <c r="Q263" s="44"/>
      <c r="R263" s="45"/>
      <c r="S263" s="46"/>
      <c r="T263" s="39">
        <f t="shared" si="114"/>
        <v>0</v>
      </c>
      <c r="U263" s="47">
        <f t="shared" si="115"/>
        <v>0</v>
      </c>
      <c r="V263" s="48">
        <f t="shared" si="116"/>
        <v>0</v>
      </c>
      <c r="W263" s="49">
        <f t="shared" si="117"/>
        <v>0</v>
      </c>
      <c r="X263" s="44">
        <f t="shared" si="118"/>
        <v>0</v>
      </c>
      <c r="Y263" s="44">
        <f t="shared" si="119"/>
        <v>0</v>
      </c>
      <c r="Z263" s="44">
        <f t="shared" si="120"/>
        <v>0</v>
      </c>
      <c r="AA263" s="50">
        <f t="shared" si="121"/>
        <v>0</v>
      </c>
      <c r="AB263" s="51">
        <f t="shared" si="122"/>
        <v>0</v>
      </c>
      <c r="AC263" s="44">
        <f t="shared" si="123"/>
        <v>0</v>
      </c>
      <c r="AD263" s="44">
        <f t="shared" si="124"/>
        <v>0</v>
      </c>
      <c r="AE263" s="44">
        <f t="shared" si="125"/>
        <v>0</v>
      </c>
      <c r="AF263" s="52" t="e">
        <f>HLOOKUP(I263,ElecAvoidedCostsWOCC!$A$5:$Q$50,G263+1,FALSE)</f>
        <v>#N/A</v>
      </c>
      <c r="AG263" s="44" t="e">
        <f t="shared" si="126"/>
        <v>#N/A</v>
      </c>
      <c r="AH263" s="52" t="e">
        <f>HLOOKUP(I263,ElecAvoidedCostsWOCC!$A$5:$Q$50,T263+1,FALSE)</f>
        <v>#N/A</v>
      </c>
      <c r="AI263" s="44" t="e">
        <f t="shared" si="127"/>
        <v>#N/A</v>
      </c>
      <c r="AJ263" s="44" t="e">
        <f t="shared" si="128"/>
        <v>#N/A</v>
      </c>
      <c r="AK263" s="44" t="e">
        <f>HLOOKUP(I263,ElecAvoidedCostsWOCC!$A$5:$Q$50,G263+1,FALSE)*J263*L263</f>
        <v>#N/A</v>
      </c>
      <c r="AL263" s="44" t="e">
        <f t="shared" si="129"/>
        <v>#N/A</v>
      </c>
      <c r="AM263" s="48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8">
        <f t="shared" si="130"/>
        <v>0</v>
      </c>
      <c r="AO263" s="47">
        <f t="shared" si="131"/>
        <v>0</v>
      </c>
      <c r="AP263" s="47" t="e">
        <f t="shared" si="132"/>
        <v>#DIV/0!</v>
      </c>
    </row>
    <row r="264" spans="2:42">
      <c r="B264" s="97" t="s">
        <v>15</v>
      </c>
      <c r="C264" s="100"/>
      <c r="D264" s="100"/>
      <c r="E264" s="38"/>
      <c r="F264" s="39"/>
      <c r="G264" s="39"/>
      <c r="H264" s="39"/>
      <c r="I264" s="40"/>
      <c r="J264" s="41"/>
      <c r="K264" s="41"/>
      <c r="L264" s="41"/>
      <c r="M264" s="42"/>
      <c r="N264" s="42"/>
      <c r="O264" s="43"/>
      <c r="P264" s="44"/>
      <c r="Q264" s="44"/>
      <c r="R264" s="45"/>
      <c r="S264" s="46"/>
      <c r="T264" s="39">
        <f t="shared" si="114"/>
        <v>0</v>
      </c>
      <c r="U264" s="47">
        <f t="shared" si="115"/>
        <v>0</v>
      </c>
      <c r="V264" s="48">
        <f t="shared" si="116"/>
        <v>0</v>
      </c>
      <c r="W264" s="49">
        <f t="shared" si="117"/>
        <v>0</v>
      </c>
      <c r="X264" s="44">
        <f t="shared" si="118"/>
        <v>0</v>
      </c>
      <c r="Y264" s="44">
        <f t="shared" si="119"/>
        <v>0</v>
      </c>
      <c r="Z264" s="44">
        <f t="shared" si="120"/>
        <v>0</v>
      </c>
      <c r="AA264" s="50">
        <f t="shared" si="121"/>
        <v>0</v>
      </c>
      <c r="AB264" s="51">
        <f t="shared" si="122"/>
        <v>0</v>
      </c>
      <c r="AC264" s="44">
        <f t="shared" si="123"/>
        <v>0</v>
      </c>
      <c r="AD264" s="44">
        <f t="shared" si="124"/>
        <v>0</v>
      </c>
      <c r="AE264" s="44">
        <f t="shared" si="125"/>
        <v>0</v>
      </c>
      <c r="AF264" s="52" t="e">
        <f>HLOOKUP(I264,ElecAvoidedCostsWOCC!$A$5:$Q$50,G264+1,FALSE)</f>
        <v>#N/A</v>
      </c>
      <c r="AG264" s="44" t="e">
        <f t="shared" si="126"/>
        <v>#N/A</v>
      </c>
      <c r="AH264" s="52" t="e">
        <f>HLOOKUP(I264,ElecAvoidedCostsWOCC!$A$5:$Q$50,T264+1,FALSE)</f>
        <v>#N/A</v>
      </c>
      <c r="AI264" s="44" t="e">
        <f t="shared" si="127"/>
        <v>#N/A</v>
      </c>
      <c r="AJ264" s="44" t="e">
        <f t="shared" si="128"/>
        <v>#N/A</v>
      </c>
      <c r="AK264" s="44" t="e">
        <f>HLOOKUP(I264,ElecAvoidedCostsWOCC!$A$5:$Q$50,G264+1,FALSE)*J264*L264</f>
        <v>#N/A</v>
      </c>
      <c r="AL264" s="44" t="e">
        <f t="shared" si="129"/>
        <v>#N/A</v>
      </c>
      <c r="AM264" s="48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8">
        <f t="shared" si="130"/>
        <v>0</v>
      </c>
      <c r="AO264" s="47">
        <f t="shared" si="131"/>
        <v>0</v>
      </c>
      <c r="AP264" s="47" t="e">
        <f t="shared" si="132"/>
        <v>#DIV/0!</v>
      </c>
    </row>
    <row r="265" spans="2:42">
      <c r="B265" s="97" t="s">
        <v>15</v>
      </c>
      <c r="C265" s="100"/>
      <c r="D265" s="100"/>
      <c r="E265" s="38"/>
      <c r="F265" s="39"/>
      <c r="G265" s="39"/>
      <c r="H265" s="39"/>
      <c r="I265" s="40"/>
      <c r="J265" s="41"/>
      <c r="K265" s="41"/>
      <c r="L265" s="41"/>
      <c r="M265" s="42"/>
      <c r="N265" s="42"/>
      <c r="O265" s="43"/>
      <c r="P265" s="44"/>
      <c r="Q265" s="44"/>
      <c r="R265" s="45"/>
      <c r="S265" s="46"/>
      <c r="T265" s="39">
        <f t="shared" si="114"/>
        <v>0</v>
      </c>
      <c r="U265" s="47">
        <f t="shared" si="115"/>
        <v>0</v>
      </c>
      <c r="V265" s="48">
        <f t="shared" si="116"/>
        <v>0</v>
      </c>
      <c r="W265" s="49">
        <f t="shared" si="117"/>
        <v>0</v>
      </c>
      <c r="X265" s="44">
        <f t="shared" si="118"/>
        <v>0</v>
      </c>
      <c r="Y265" s="44">
        <f t="shared" si="119"/>
        <v>0</v>
      </c>
      <c r="Z265" s="44">
        <f t="shared" si="120"/>
        <v>0</v>
      </c>
      <c r="AA265" s="50">
        <f t="shared" si="121"/>
        <v>0</v>
      </c>
      <c r="AB265" s="51">
        <f t="shared" si="122"/>
        <v>0</v>
      </c>
      <c r="AC265" s="44">
        <f t="shared" si="123"/>
        <v>0</v>
      </c>
      <c r="AD265" s="44">
        <f t="shared" si="124"/>
        <v>0</v>
      </c>
      <c r="AE265" s="44">
        <f t="shared" si="125"/>
        <v>0</v>
      </c>
      <c r="AF265" s="52" t="e">
        <f>HLOOKUP(I265,ElecAvoidedCostsWOCC!$A$5:$Q$50,G265+1,FALSE)</f>
        <v>#N/A</v>
      </c>
      <c r="AG265" s="44" t="e">
        <f t="shared" si="126"/>
        <v>#N/A</v>
      </c>
      <c r="AH265" s="52" t="e">
        <f>HLOOKUP(I265,ElecAvoidedCostsWOCC!$A$5:$Q$50,T265+1,FALSE)</f>
        <v>#N/A</v>
      </c>
      <c r="AI265" s="44" t="e">
        <f t="shared" si="127"/>
        <v>#N/A</v>
      </c>
      <c r="AJ265" s="44" t="e">
        <f t="shared" si="128"/>
        <v>#N/A</v>
      </c>
      <c r="AK265" s="44" t="e">
        <f>HLOOKUP(I265,ElecAvoidedCostsWOCC!$A$5:$Q$50,G265+1,FALSE)*J265*L265</f>
        <v>#N/A</v>
      </c>
      <c r="AL265" s="44" t="e">
        <f t="shared" si="129"/>
        <v>#N/A</v>
      </c>
      <c r="AM265" s="48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8">
        <f t="shared" si="130"/>
        <v>0</v>
      </c>
      <c r="AO265" s="47">
        <f t="shared" si="131"/>
        <v>0</v>
      </c>
      <c r="AP265" s="47" t="e">
        <f t="shared" si="132"/>
        <v>#DIV/0!</v>
      </c>
    </row>
    <row r="266" spans="2:42">
      <c r="B266" s="97" t="s">
        <v>15</v>
      </c>
      <c r="C266" s="100"/>
      <c r="D266" s="100"/>
      <c r="E266" s="38"/>
      <c r="F266" s="39"/>
      <c r="G266" s="39"/>
      <c r="H266" s="39"/>
      <c r="I266" s="40"/>
      <c r="J266" s="41"/>
      <c r="K266" s="41"/>
      <c r="L266" s="41"/>
      <c r="M266" s="42"/>
      <c r="N266" s="42"/>
      <c r="O266" s="43"/>
      <c r="P266" s="44"/>
      <c r="Q266" s="44"/>
      <c r="R266" s="45"/>
      <c r="S266" s="46"/>
      <c r="T266" s="39">
        <f t="shared" si="114"/>
        <v>0</v>
      </c>
      <c r="U266" s="47">
        <f t="shared" si="115"/>
        <v>0</v>
      </c>
      <c r="V266" s="48">
        <f t="shared" si="116"/>
        <v>0</v>
      </c>
      <c r="W266" s="49">
        <f t="shared" si="117"/>
        <v>0</v>
      </c>
      <c r="X266" s="44">
        <f t="shared" si="118"/>
        <v>0</v>
      </c>
      <c r="Y266" s="44">
        <f t="shared" si="119"/>
        <v>0</v>
      </c>
      <c r="Z266" s="44">
        <f t="shared" si="120"/>
        <v>0</v>
      </c>
      <c r="AA266" s="50">
        <f t="shared" si="121"/>
        <v>0</v>
      </c>
      <c r="AB266" s="51">
        <f t="shared" si="122"/>
        <v>0</v>
      </c>
      <c r="AC266" s="44">
        <f t="shared" si="123"/>
        <v>0</v>
      </c>
      <c r="AD266" s="44">
        <f t="shared" si="124"/>
        <v>0</v>
      </c>
      <c r="AE266" s="44">
        <f t="shared" si="125"/>
        <v>0</v>
      </c>
      <c r="AF266" s="52" t="e">
        <f>HLOOKUP(I266,ElecAvoidedCostsWOCC!$A$5:$Q$50,G266+1,FALSE)</f>
        <v>#N/A</v>
      </c>
      <c r="AG266" s="44" t="e">
        <f t="shared" si="126"/>
        <v>#N/A</v>
      </c>
      <c r="AH266" s="52" t="e">
        <f>HLOOKUP(I266,ElecAvoidedCostsWOCC!$A$5:$Q$50,T266+1,FALSE)</f>
        <v>#N/A</v>
      </c>
      <c r="AI266" s="44" t="e">
        <f t="shared" si="127"/>
        <v>#N/A</v>
      </c>
      <c r="AJ266" s="44" t="e">
        <f t="shared" si="128"/>
        <v>#N/A</v>
      </c>
      <c r="AK266" s="44" t="e">
        <f>HLOOKUP(I266,ElecAvoidedCostsWOCC!$A$5:$Q$50,G266+1,FALSE)*J266*L266</f>
        <v>#N/A</v>
      </c>
      <c r="AL266" s="44" t="e">
        <f t="shared" si="129"/>
        <v>#N/A</v>
      </c>
      <c r="AM266" s="48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8">
        <f t="shared" si="130"/>
        <v>0</v>
      </c>
      <c r="AO266" s="47">
        <f t="shared" si="131"/>
        <v>0</v>
      </c>
      <c r="AP266" s="47" t="e">
        <f t="shared" si="132"/>
        <v>#DIV/0!</v>
      </c>
    </row>
    <row r="267" spans="2:42">
      <c r="B267" s="97" t="s">
        <v>15</v>
      </c>
      <c r="C267" s="100"/>
      <c r="D267" s="100"/>
      <c r="E267" s="38"/>
      <c r="F267" s="39"/>
      <c r="G267" s="39"/>
      <c r="H267" s="39"/>
      <c r="I267" s="40"/>
      <c r="J267" s="41"/>
      <c r="K267" s="41"/>
      <c r="L267" s="41"/>
      <c r="M267" s="42"/>
      <c r="N267" s="42"/>
      <c r="O267" s="43"/>
      <c r="P267" s="44"/>
      <c r="Q267" s="44"/>
      <c r="R267" s="45"/>
      <c r="S267" s="46"/>
      <c r="T267" s="39">
        <f t="shared" si="114"/>
        <v>0</v>
      </c>
      <c r="U267" s="47">
        <f t="shared" si="115"/>
        <v>0</v>
      </c>
      <c r="V267" s="48">
        <f t="shared" si="116"/>
        <v>0</v>
      </c>
      <c r="W267" s="49">
        <f t="shared" si="117"/>
        <v>0</v>
      </c>
      <c r="X267" s="44">
        <f t="shared" si="118"/>
        <v>0</v>
      </c>
      <c r="Y267" s="44">
        <f t="shared" si="119"/>
        <v>0</v>
      </c>
      <c r="Z267" s="44">
        <f t="shared" si="120"/>
        <v>0</v>
      </c>
      <c r="AA267" s="50">
        <f t="shared" si="121"/>
        <v>0</v>
      </c>
      <c r="AB267" s="51">
        <f t="shared" si="122"/>
        <v>0</v>
      </c>
      <c r="AC267" s="44">
        <f t="shared" si="123"/>
        <v>0</v>
      </c>
      <c r="AD267" s="44">
        <f t="shared" si="124"/>
        <v>0</v>
      </c>
      <c r="AE267" s="44">
        <f t="shared" si="125"/>
        <v>0</v>
      </c>
      <c r="AF267" s="52" t="e">
        <f>HLOOKUP(I267,ElecAvoidedCostsWOCC!$A$5:$Q$50,G267+1,FALSE)</f>
        <v>#N/A</v>
      </c>
      <c r="AG267" s="44" t="e">
        <f t="shared" si="126"/>
        <v>#N/A</v>
      </c>
      <c r="AH267" s="52" t="e">
        <f>HLOOKUP(I267,ElecAvoidedCostsWOCC!$A$5:$Q$50,T267+1,FALSE)</f>
        <v>#N/A</v>
      </c>
      <c r="AI267" s="44" t="e">
        <f t="shared" si="127"/>
        <v>#N/A</v>
      </c>
      <c r="AJ267" s="44" t="e">
        <f t="shared" si="128"/>
        <v>#N/A</v>
      </c>
      <c r="AK267" s="44" t="e">
        <f>HLOOKUP(I267,ElecAvoidedCostsWOCC!$A$5:$Q$50,G267+1,FALSE)*J267*L267</f>
        <v>#N/A</v>
      </c>
      <c r="AL267" s="44" t="e">
        <f t="shared" si="129"/>
        <v>#N/A</v>
      </c>
      <c r="AM267" s="48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8">
        <f t="shared" si="130"/>
        <v>0</v>
      </c>
      <c r="AO267" s="47">
        <f t="shared" si="131"/>
        <v>0</v>
      </c>
      <c r="AP267" s="47" t="e">
        <f t="shared" si="132"/>
        <v>#DIV/0!</v>
      </c>
    </row>
    <row r="268" spans="2:42">
      <c r="B268" s="97" t="s">
        <v>15</v>
      </c>
      <c r="C268" s="100"/>
      <c r="D268" s="100"/>
      <c r="E268" s="38"/>
      <c r="F268" s="39"/>
      <c r="G268" s="39"/>
      <c r="H268" s="39"/>
      <c r="I268" s="40"/>
      <c r="J268" s="41"/>
      <c r="K268" s="41"/>
      <c r="L268" s="41"/>
      <c r="M268" s="42"/>
      <c r="N268" s="42"/>
      <c r="O268" s="43"/>
      <c r="P268" s="44"/>
      <c r="Q268" s="44"/>
      <c r="R268" s="45"/>
      <c r="S268" s="46"/>
      <c r="T268" s="39">
        <f t="shared" si="114"/>
        <v>0</v>
      </c>
      <c r="U268" s="47">
        <f t="shared" si="115"/>
        <v>0</v>
      </c>
      <c r="V268" s="48">
        <f t="shared" si="116"/>
        <v>0</v>
      </c>
      <c r="W268" s="49">
        <f t="shared" si="117"/>
        <v>0</v>
      </c>
      <c r="X268" s="44">
        <f t="shared" si="118"/>
        <v>0</v>
      </c>
      <c r="Y268" s="44">
        <f t="shared" si="119"/>
        <v>0</v>
      </c>
      <c r="Z268" s="44">
        <f t="shared" si="120"/>
        <v>0</v>
      </c>
      <c r="AA268" s="50">
        <f t="shared" si="121"/>
        <v>0</v>
      </c>
      <c r="AB268" s="51">
        <f t="shared" si="122"/>
        <v>0</v>
      </c>
      <c r="AC268" s="44">
        <f t="shared" si="123"/>
        <v>0</v>
      </c>
      <c r="AD268" s="44">
        <f t="shared" si="124"/>
        <v>0</v>
      </c>
      <c r="AE268" s="44">
        <f t="shared" si="125"/>
        <v>0</v>
      </c>
      <c r="AF268" s="52" t="e">
        <f>HLOOKUP(I268,ElecAvoidedCostsWOCC!$A$5:$Q$50,G268+1,FALSE)</f>
        <v>#N/A</v>
      </c>
      <c r="AG268" s="44" t="e">
        <f t="shared" si="126"/>
        <v>#N/A</v>
      </c>
      <c r="AH268" s="52" t="e">
        <f>HLOOKUP(I268,ElecAvoidedCostsWOCC!$A$5:$Q$50,T268+1,FALSE)</f>
        <v>#N/A</v>
      </c>
      <c r="AI268" s="44" t="e">
        <f t="shared" si="127"/>
        <v>#N/A</v>
      </c>
      <c r="AJ268" s="44" t="e">
        <f t="shared" si="128"/>
        <v>#N/A</v>
      </c>
      <c r="AK268" s="44" t="e">
        <f>HLOOKUP(I268,ElecAvoidedCostsWOCC!$A$5:$Q$50,G268+1,FALSE)*J268*L268</f>
        <v>#N/A</v>
      </c>
      <c r="AL268" s="44" t="e">
        <f t="shared" si="129"/>
        <v>#N/A</v>
      </c>
      <c r="AM268" s="48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8">
        <f t="shared" si="130"/>
        <v>0</v>
      </c>
      <c r="AO268" s="47">
        <f t="shared" si="131"/>
        <v>0</v>
      </c>
      <c r="AP268" s="47" t="e">
        <f t="shared" si="132"/>
        <v>#DIV/0!</v>
      </c>
    </row>
    <row r="269" spans="2:42">
      <c r="B269" s="97" t="s">
        <v>15</v>
      </c>
      <c r="C269" s="100"/>
      <c r="D269" s="100"/>
      <c r="E269" s="38"/>
      <c r="F269" s="39"/>
      <c r="G269" s="39"/>
      <c r="H269" s="39"/>
      <c r="I269" s="40"/>
      <c r="J269" s="41"/>
      <c r="K269" s="41"/>
      <c r="L269" s="41"/>
      <c r="M269" s="42"/>
      <c r="N269" s="42"/>
      <c r="O269" s="43"/>
      <c r="P269" s="44"/>
      <c r="Q269" s="44"/>
      <c r="R269" s="45"/>
      <c r="S269" s="46"/>
      <c r="T269" s="39">
        <f t="shared" si="114"/>
        <v>0</v>
      </c>
      <c r="U269" s="47">
        <f t="shared" si="115"/>
        <v>0</v>
      </c>
      <c r="V269" s="48">
        <f t="shared" si="116"/>
        <v>0</v>
      </c>
      <c r="W269" s="49">
        <f t="shared" si="117"/>
        <v>0</v>
      </c>
      <c r="X269" s="44">
        <f t="shared" si="118"/>
        <v>0</v>
      </c>
      <c r="Y269" s="44">
        <f t="shared" si="119"/>
        <v>0</v>
      </c>
      <c r="Z269" s="44">
        <f t="shared" si="120"/>
        <v>0</v>
      </c>
      <c r="AA269" s="50">
        <f t="shared" si="121"/>
        <v>0</v>
      </c>
      <c r="AB269" s="51">
        <f t="shared" si="122"/>
        <v>0</v>
      </c>
      <c r="AC269" s="44">
        <f t="shared" si="123"/>
        <v>0</v>
      </c>
      <c r="AD269" s="44">
        <f t="shared" si="124"/>
        <v>0</v>
      </c>
      <c r="AE269" s="44">
        <f t="shared" si="125"/>
        <v>0</v>
      </c>
      <c r="AF269" s="52" t="e">
        <f>HLOOKUP(I269,ElecAvoidedCostsWOCC!$A$5:$Q$50,G269+1,FALSE)</f>
        <v>#N/A</v>
      </c>
      <c r="AG269" s="44" t="e">
        <f t="shared" si="126"/>
        <v>#N/A</v>
      </c>
      <c r="AH269" s="52" t="e">
        <f>HLOOKUP(I269,ElecAvoidedCostsWOCC!$A$5:$Q$50,T269+1,FALSE)</f>
        <v>#N/A</v>
      </c>
      <c r="AI269" s="44" t="e">
        <f t="shared" si="127"/>
        <v>#N/A</v>
      </c>
      <c r="AJ269" s="44" t="e">
        <f t="shared" si="128"/>
        <v>#N/A</v>
      </c>
      <c r="AK269" s="44" t="e">
        <f>HLOOKUP(I269,ElecAvoidedCostsWOCC!$A$5:$Q$50,G269+1,FALSE)*J269*L269</f>
        <v>#N/A</v>
      </c>
      <c r="AL269" s="44" t="e">
        <f t="shared" si="129"/>
        <v>#N/A</v>
      </c>
      <c r="AM269" s="48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8">
        <f t="shared" si="130"/>
        <v>0</v>
      </c>
      <c r="AO269" s="47">
        <f t="shared" si="131"/>
        <v>0</v>
      </c>
      <c r="AP269" s="47" t="e">
        <f t="shared" si="132"/>
        <v>#DIV/0!</v>
      </c>
    </row>
    <row r="270" spans="2:42">
      <c r="B270" s="97" t="s">
        <v>15</v>
      </c>
      <c r="C270" s="100"/>
      <c r="D270" s="100"/>
      <c r="E270" s="38"/>
      <c r="F270" s="39"/>
      <c r="G270" s="39"/>
      <c r="H270" s="39"/>
      <c r="I270" s="40"/>
      <c r="J270" s="41"/>
      <c r="K270" s="41"/>
      <c r="L270" s="41"/>
      <c r="M270" s="42"/>
      <c r="N270" s="42"/>
      <c r="O270" s="43"/>
      <c r="P270" s="44"/>
      <c r="Q270" s="44"/>
      <c r="R270" s="45"/>
      <c r="S270" s="46"/>
      <c r="T270" s="39">
        <f t="shared" si="114"/>
        <v>0</v>
      </c>
      <c r="U270" s="47">
        <f t="shared" si="115"/>
        <v>0</v>
      </c>
      <c r="V270" s="48">
        <f t="shared" si="116"/>
        <v>0</v>
      </c>
      <c r="W270" s="49">
        <f t="shared" si="117"/>
        <v>0</v>
      </c>
      <c r="X270" s="44">
        <f t="shared" si="118"/>
        <v>0</v>
      </c>
      <c r="Y270" s="44">
        <f t="shared" si="119"/>
        <v>0</v>
      </c>
      <c r="Z270" s="44">
        <f t="shared" si="120"/>
        <v>0</v>
      </c>
      <c r="AA270" s="50">
        <f t="shared" si="121"/>
        <v>0</v>
      </c>
      <c r="AB270" s="51">
        <f t="shared" si="122"/>
        <v>0</v>
      </c>
      <c r="AC270" s="44">
        <f t="shared" si="123"/>
        <v>0</v>
      </c>
      <c r="AD270" s="44">
        <f t="shared" si="124"/>
        <v>0</v>
      </c>
      <c r="AE270" s="44">
        <f t="shared" si="125"/>
        <v>0</v>
      </c>
      <c r="AF270" s="52" t="e">
        <f>HLOOKUP(I270,ElecAvoidedCostsWOCC!$A$5:$Q$50,G270+1,FALSE)</f>
        <v>#N/A</v>
      </c>
      <c r="AG270" s="44" t="e">
        <f t="shared" si="126"/>
        <v>#N/A</v>
      </c>
      <c r="AH270" s="52" t="e">
        <f>HLOOKUP(I270,ElecAvoidedCostsWOCC!$A$5:$Q$50,T270+1,FALSE)</f>
        <v>#N/A</v>
      </c>
      <c r="AI270" s="44" t="e">
        <f t="shared" si="127"/>
        <v>#N/A</v>
      </c>
      <c r="AJ270" s="44" t="e">
        <f t="shared" si="128"/>
        <v>#N/A</v>
      </c>
      <c r="AK270" s="44" t="e">
        <f>HLOOKUP(I270,ElecAvoidedCostsWOCC!$A$5:$Q$50,G270+1,FALSE)*J270*L270</f>
        <v>#N/A</v>
      </c>
      <c r="AL270" s="44" t="e">
        <f t="shared" si="129"/>
        <v>#N/A</v>
      </c>
      <c r="AM270" s="48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8">
        <f t="shared" si="130"/>
        <v>0</v>
      </c>
      <c r="AO270" s="47">
        <f t="shared" si="131"/>
        <v>0</v>
      </c>
      <c r="AP270" s="47" t="e">
        <f t="shared" si="132"/>
        <v>#DIV/0!</v>
      </c>
    </row>
    <row r="271" spans="2:42">
      <c r="B271" s="97" t="s">
        <v>15</v>
      </c>
      <c r="C271" s="100"/>
      <c r="D271" s="100"/>
      <c r="E271" s="38"/>
      <c r="F271" s="39"/>
      <c r="G271" s="39"/>
      <c r="H271" s="39"/>
      <c r="I271" s="40"/>
      <c r="J271" s="41"/>
      <c r="K271" s="41"/>
      <c r="L271" s="41"/>
      <c r="M271" s="42"/>
      <c r="N271" s="42"/>
      <c r="O271" s="43"/>
      <c r="P271" s="44"/>
      <c r="Q271" s="44"/>
      <c r="R271" s="45"/>
      <c r="S271" s="46"/>
      <c r="T271" s="39">
        <f t="shared" si="114"/>
        <v>0</v>
      </c>
      <c r="U271" s="47">
        <f t="shared" si="115"/>
        <v>0</v>
      </c>
      <c r="V271" s="48">
        <f t="shared" si="116"/>
        <v>0</v>
      </c>
      <c r="W271" s="49">
        <f t="shared" si="117"/>
        <v>0</v>
      </c>
      <c r="X271" s="44">
        <f t="shared" si="118"/>
        <v>0</v>
      </c>
      <c r="Y271" s="44">
        <f t="shared" si="119"/>
        <v>0</v>
      </c>
      <c r="Z271" s="44">
        <f t="shared" si="120"/>
        <v>0</v>
      </c>
      <c r="AA271" s="50">
        <f t="shared" si="121"/>
        <v>0</v>
      </c>
      <c r="AB271" s="51">
        <f t="shared" si="122"/>
        <v>0</v>
      </c>
      <c r="AC271" s="44">
        <f t="shared" si="123"/>
        <v>0</v>
      </c>
      <c r="AD271" s="44">
        <f t="shared" si="124"/>
        <v>0</v>
      </c>
      <c r="AE271" s="44">
        <f t="shared" si="125"/>
        <v>0</v>
      </c>
      <c r="AF271" s="52" t="e">
        <f>HLOOKUP(I271,ElecAvoidedCostsWOCC!$A$5:$Q$50,G271+1,FALSE)</f>
        <v>#N/A</v>
      </c>
      <c r="AG271" s="44" t="e">
        <f t="shared" si="126"/>
        <v>#N/A</v>
      </c>
      <c r="AH271" s="52" t="e">
        <f>HLOOKUP(I271,ElecAvoidedCostsWOCC!$A$5:$Q$50,T271+1,FALSE)</f>
        <v>#N/A</v>
      </c>
      <c r="AI271" s="44" t="e">
        <f t="shared" si="127"/>
        <v>#N/A</v>
      </c>
      <c r="AJ271" s="44" t="e">
        <f t="shared" si="128"/>
        <v>#N/A</v>
      </c>
      <c r="AK271" s="44" t="e">
        <f>HLOOKUP(I271,ElecAvoidedCostsWOCC!$A$5:$Q$50,G271+1,FALSE)*J271*L271</f>
        <v>#N/A</v>
      </c>
      <c r="AL271" s="44" t="e">
        <f t="shared" si="129"/>
        <v>#N/A</v>
      </c>
      <c r="AM271" s="48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8">
        <f t="shared" si="130"/>
        <v>0</v>
      </c>
      <c r="AO271" s="47">
        <f t="shared" si="131"/>
        <v>0</v>
      </c>
      <c r="AP271" s="47" t="e">
        <f t="shared" si="132"/>
        <v>#DIV/0!</v>
      </c>
    </row>
    <row r="272" spans="2:42">
      <c r="B272" s="97" t="s">
        <v>15</v>
      </c>
      <c r="C272" s="100"/>
      <c r="D272" s="100"/>
      <c r="E272" s="38"/>
      <c r="F272" s="39"/>
      <c r="G272" s="39"/>
      <c r="H272" s="39"/>
      <c r="I272" s="40"/>
      <c r="J272" s="41"/>
      <c r="K272" s="41"/>
      <c r="L272" s="41"/>
      <c r="M272" s="42"/>
      <c r="N272" s="42"/>
      <c r="O272" s="43"/>
      <c r="P272" s="44"/>
      <c r="Q272" s="44"/>
      <c r="R272" s="45"/>
      <c r="S272" s="46"/>
      <c r="T272" s="39">
        <f t="shared" si="114"/>
        <v>0</v>
      </c>
      <c r="U272" s="47">
        <f t="shared" si="115"/>
        <v>0</v>
      </c>
      <c r="V272" s="48">
        <f t="shared" si="116"/>
        <v>0</v>
      </c>
      <c r="W272" s="49">
        <f t="shared" si="117"/>
        <v>0</v>
      </c>
      <c r="X272" s="44">
        <f t="shared" si="118"/>
        <v>0</v>
      </c>
      <c r="Y272" s="44">
        <f t="shared" si="119"/>
        <v>0</v>
      </c>
      <c r="Z272" s="44">
        <f t="shared" si="120"/>
        <v>0</v>
      </c>
      <c r="AA272" s="50">
        <f t="shared" si="121"/>
        <v>0</v>
      </c>
      <c r="AB272" s="51">
        <f t="shared" si="122"/>
        <v>0</v>
      </c>
      <c r="AC272" s="44">
        <f t="shared" si="123"/>
        <v>0</v>
      </c>
      <c r="AD272" s="44">
        <f t="shared" si="124"/>
        <v>0</v>
      </c>
      <c r="AE272" s="44">
        <f t="shared" si="125"/>
        <v>0</v>
      </c>
      <c r="AF272" s="52" t="e">
        <f>HLOOKUP(I272,ElecAvoidedCostsWOCC!$A$5:$Q$50,G272+1,FALSE)</f>
        <v>#N/A</v>
      </c>
      <c r="AG272" s="44" t="e">
        <f t="shared" si="126"/>
        <v>#N/A</v>
      </c>
      <c r="AH272" s="52" t="e">
        <f>HLOOKUP(I272,ElecAvoidedCostsWOCC!$A$5:$Q$50,T272+1,FALSE)</f>
        <v>#N/A</v>
      </c>
      <c r="AI272" s="44" t="e">
        <f t="shared" si="127"/>
        <v>#N/A</v>
      </c>
      <c r="AJ272" s="44" t="e">
        <f t="shared" si="128"/>
        <v>#N/A</v>
      </c>
      <c r="AK272" s="44" t="e">
        <f>HLOOKUP(I272,ElecAvoidedCostsWOCC!$A$5:$Q$50,G272+1,FALSE)*J272*L272</f>
        <v>#N/A</v>
      </c>
      <c r="AL272" s="44" t="e">
        <f t="shared" si="129"/>
        <v>#N/A</v>
      </c>
      <c r="AM272" s="48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8">
        <f t="shared" si="130"/>
        <v>0</v>
      </c>
      <c r="AO272" s="47">
        <f t="shared" si="131"/>
        <v>0</v>
      </c>
      <c r="AP272" s="47" t="e">
        <f t="shared" si="132"/>
        <v>#DIV/0!</v>
      </c>
    </row>
    <row r="273" spans="2:42">
      <c r="B273" s="97" t="s">
        <v>15</v>
      </c>
      <c r="C273" s="100"/>
      <c r="D273" s="100"/>
      <c r="E273" s="38"/>
      <c r="F273" s="39"/>
      <c r="G273" s="39"/>
      <c r="H273" s="39"/>
      <c r="I273" s="40"/>
      <c r="J273" s="41"/>
      <c r="K273" s="41"/>
      <c r="L273" s="41"/>
      <c r="M273" s="42"/>
      <c r="N273" s="42"/>
      <c r="O273" s="43"/>
      <c r="P273" s="44"/>
      <c r="Q273" s="44"/>
      <c r="R273" s="45"/>
      <c r="S273" s="46"/>
      <c r="T273" s="39">
        <f t="shared" si="114"/>
        <v>0</v>
      </c>
      <c r="U273" s="47">
        <f t="shared" si="115"/>
        <v>0</v>
      </c>
      <c r="V273" s="48">
        <f t="shared" si="116"/>
        <v>0</v>
      </c>
      <c r="W273" s="49">
        <f t="shared" si="117"/>
        <v>0</v>
      </c>
      <c r="X273" s="44">
        <f t="shared" si="118"/>
        <v>0</v>
      </c>
      <c r="Y273" s="44">
        <f t="shared" si="119"/>
        <v>0</v>
      </c>
      <c r="Z273" s="44">
        <f t="shared" si="120"/>
        <v>0</v>
      </c>
      <c r="AA273" s="50">
        <f t="shared" si="121"/>
        <v>0</v>
      </c>
      <c r="AB273" s="51">
        <f t="shared" si="122"/>
        <v>0</v>
      </c>
      <c r="AC273" s="44">
        <f t="shared" si="123"/>
        <v>0</v>
      </c>
      <c r="AD273" s="44">
        <f t="shared" si="124"/>
        <v>0</v>
      </c>
      <c r="AE273" s="44">
        <f t="shared" si="125"/>
        <v>0</v>
      </c>
      <c r="AF273" s="52" t="e">
        <f>HLOOKUP(I273,ElecAvoidedCostsWOCC!$A$5:$Q$50,G273+1,FALSE)</f>
        <v>#N/A</v>
      </c>
      <c r="AG273" s="44" t="e">
        <f t="shared" si="126"/>
        <v>#N/A</v>
      </c>
      <c r="AH273" s="52" t="e">
        <f>HLOOKUP(I273,ElecAvoidedCostsWOCC!$A$5:$Q$50,T273+1,FALSE)</f>
        <v>#N/A</v>
      </c>
      <c r="AI273" s="44" t="e">
        <f t="shared" si="127"/>
        <v>#N/A</v>
      </c>
      <c r="AJ273" s="44" t="e">
        <f t="shared" si="128"/>
        <v>#N/A</v>
      </c>
      <c r="AK273" s="44" t="e">
        <f>HLOOKUP(I273,ElecAvoidedCostsWOCC!$A$5:$Q$50,G273+1,FALSE)*J273*L273</f>
        <v>#N/A</v>
      </c>
      <c r="AL273" s="44" t="e">
        <f t="shared" si="129"/>
        <v>#N/A</v>
      </c>
      <c r="AM273" s="48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8">
        <f t="shared" si="130"/>
        <v>0</v>
      </c>
      <c r="AO273" s="47">
        <f t="shared" si="131"/>
        <v>0</v>
      </c>
      <c r="AP273" s="47" t="e">
        <f t="shared" si="132"/>
        <v>#DIV/0!</v>
      </c>
    </row>
    <row r="274" spans="2:42">
      <c r="B274" s="97" t="s">
        <v>15</v>
      </c>
      <c r="C274" s="100"/>
      <c r="D274" s="100"/>
      <c r="E274" s="38"/>
      <c r="F274" s="39"/>
      <c r="G274" s="39"/>
      <c r="H274" s="39"/>
      <c r="I274" s="40"/>
      <c r="J274" s="41"/>
      <c r="K274" s="41"/>
      <c r="L274" s="41"/>
      <c r="M274" s="42"/>
      <c r="N274" s="42"/>
      <c r="O274" s="43"/>
      <c r="P274" s="44"/>
      <c r="Q274" s="44"/>
      <c r="R274" s="45"/>
      <c r="S274" s="46"/>
      <c r="T274" s="39">
        <f t="shared" si="114"/>
        <v>0</v>
      </c>
      <c r="U274" s="47">
        <f t="shared" si="115"/>
        <v>0</v>
      </c>
      <c r="V274" s="48">
        <f t="shared" si="116"/>
        <v>0</v>
      </c>
      <c r="W274" s="49">
        <f t="shared" si="117"/>
        <v>0</v>
      </c>
      <c r="X274" s="44">
        <f t="shared" si="118"/>
        <v>0</v>
      </c>
      <c r="Y274" s="44">
        <f t="shared" si="119"/>
        <v>0</v>
      </c>
      <c r="Z274" s="44">
        <f t="shared" si="120"/>
        <v>0</v>
      </c>
      <c r="AA274" s="50">
        <f t="shared" si="121"/>
        <v>0</v>
      </c>
      <c r="AB274" s="51">
        <f t="shared" si="122"/>
        <v>0</v>
      </c>
      <c r="AC274" s="44">
        <f t="shared" si="123"/>
        <v>0</v>
      </c>
      <c r="AD274" s="44">
        <f t="shared" si="124"/>
        <v>0</v>
      </c>
      <c r="AE274" s="44">
        <f t="shared" si="125"/>
        <v>0</v>
      </c>
      <c r="AF274" s="52" t="e">
        <f>HLOOKUP(I274,ElecAvoidedCostsWOCC!$A$5:$Q$50,G274+1,FALSE)</f>
        <v>#N/A</v>
      </c>
      <c r="AG274" s="44" t="e">
        <f t="shared" si="126"/>
        <v>#N/A</v>
      </c>
      <c r="AH274" s="52" t="e">
        <f>HLOOKUP(I274,ElecAvoidedCostsWOCC!$A$5:$Q$50,T274+1,FALSE)</f>
        <v>#N/A</v>
      </c>
      <c r="AI274" s="44" t="e">
        <f t="shared" si="127"/>
        <v>#N/A</v>
      </c>
      <c r="AJ274" s="44" t="e">
        <f t="shared" si="128"/>
        <v>#N/A</v>
      </c>
      <c r="AK274" s="44" t="e">
        <f>HLOOKUP(I274,ElecAvoidedCostsWOCC!$A$5:$Q$50,G274+1,FALSE)*J274*L274</f>
        <v>#N/A</v>
      </c>
      <c r="AL274" s="44" t="e">
        <f t="shared" si="129"/>
        <v>#N/A</v>
      </c>
      <c r="AM274" s="48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8">
        <f t="shared" si="130"/>
        <v>0</v>
      </c>
      <c r="AO274" s="47">
        <f t="shared" si="131"/>
        <v>0</v>
      </c>
      <c r="AP274" s="47" t="e">
        <f t="shared" si="132"/>
        <v>#DIV/0!</v>
      </c>
    </row>
    <row r="275" spans="2:42">
      <c r="B275" s="97" t="s">
        <v>15</v>
      </c>
      <c r="C275" s="100"/>
      <c r="D275" s="100"/>
      <c r="E275" s="38"/>
      <c r="F275" s="39"/>
      <c r="G275" s="39"/>
      <c r="H275" s="39"/>
      <c r="I275" s="40"/>
      <c r="J275" s="41"/>
      <c r="K275" s="41"/>
      <c r="L275" s="41"/>
      <c r="M275" s="42"/>
      <c r="N275" s="42"/>
      <c r="O275" s="43"/>
      <c r="P275" s="44"/>
      <c r="Q275" s="44"/>
      <c r="R275" s="45"/>
      <c r="S275" s="46"/>
      <c r="T275" s="39">
        <f t="shared" si="114"/>
        <v>0</v>
      </c>
      <c r="U275" s="47">
        <f t="shared" si="115"/>
        <v>0</v>
      </c>
      <c r="V275" s="48">
        <f t="shared" si="116"/>
        <v>0</v>
      </c>
      <c r="W275" s="49">
        <f t="shared" si="117"/>
        <v>0</v>
      </c>
      <c r="X275" s="44">
        <f t="shared" si="118"/>
        <v>0</v>
      </c>
      <c r="Y275" s="44">
        <f t="shared" si="119"/>
        <v>0</v>
      </c>
      <c r="Z275" s="44">
        <f t="shared" si="120"/>
        <v>0</v>
      </c>
      <c r="AA275" s="50">
        <f t="shared" si="121"/>
        <v>0</v>
      </c>
      <c r="AB275" s="51">
        <f t="shared" si="122"/>
        <v>0</v>
      </c>
      <c r="AC275" s="44">
        <f t="shared" si="123"/>
        <v>0</v>
      </c>
      <c r="AD275" s="44">
        <f t="shared" si="124"/>
        <v>0</v>
      </c>
      <c r="AE275" s="44">
        <f t="shared" si="125"/>
        <v>0</v>
      </c>
      <c r="AF275" s="52" t="e">
        <f>HLOOKUP(I275,ElecAvoidedCostsWOCC!$A$5:$Q$50,G275+1,FALSE)</f>
        <v>#N/A</v>
      </c>
      <c r="AG275" s="44" t="e">
        <f t="shared" si="126"/>
        <v>#N/A</v>
      </c>
      <c r="AH275" s="52" t="e">
        <f>HLOOKUP(I275,ElecAvoidedCostsWOCC!$A$5:$Q$50,T275+1,FALSE)</f>
        <v>#N/A</v>
      </c>
      <c r="AI275" s="44" t="e">
        <f t="shared" si="127"/>
        <v>#N/A</v>
      </c>
      <c r="AJ275" s="44" t="e">
        <f t="shared" si="128"/>
        <v>#N/A</v>
      </c>
      <c r="AK275" s="44" t="e">
        <f>HLOOKUP(I275,ElecAvoidedCostsWOCC!$A$5:$Q$50,G275+1,FALSE)*J275*L275</f>
        <v>#N/A</v>
      </c>
      <c r="AL275" s="44" t="e">
        <f t="shared" si="129"/>
        <v>#N/A</v>
      </c>
      <c r="AM275" s="48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8">
        <f t="shared" si="130"/>
        <v>0</v>
      </c>
      <c r="AO275" s="47">
        <f t="shared" si="131"/>
        <v>0</v>
      </c>
      <c r="AP275" s="47" t="e">
        <f t="shared" si="132"/>
        <v>#DIV/0!</v>
      </c>
    </row>
    <row r="276" spans="2:42">
      <c r="B276" s="97" t="s">
        <v>15</v>
      </c>
      <c r="C276" s="100"/>
      <c r="D276" s="100"/>
      <c r="E276" s="38"/>
      <c r="F276" s="39"/>
      <c r="G276" s="39"/>
      <c r="H276" s="39"/>
      <c r="I276" s="40"/>
      <c r="J276" s="41"/>
      <c r="K276" s="41"/>
      <c r="L276" s="41"/>
      <c r="M276" s="42"/>
      <c r="N276" s="42"/>
      <c r="O276" s="43"/>
      <c r="P276" s="44"/>
      <c r="Q276" s="44"/>
      <c r="R276" s="45"/>
      <c r="S276" s="46"/>
      <c r="T276" s="39">
        <f t="shared" si="114"/>
        <v>0</v>
      </c>
      <c r="U276" s="47">
        <f t="shared" si="115"/>
        <v>0</v>
      </c>
      <c r="V276" s="48">
        <f t="shared" si="116"/>
        <v>0</v>
      </c>
      <c r="W276" s="49">
        <f t="shared" si="117"/>
        <v>0</v>
      </c>
      <c r="X276" s="44">
        <f t="shared" si="118"/>
        <v>0</v>
      </c>
      <c r="Y276" s="44">
        <f t="shared" si="119"/>
        <v>0</v>
      </c>
      <c r="Z276" s="44">
        <f t="shared" si="120"/>
        <v>0</v>
      </c>
      <c r="AA276" s="50">
        <f t="shared" si="121"/>
        <v>0</v>
      </c>
      <c r="AB276" s="51">
        <f t="shared" si="122"/>
        <v>0</v>
      </c>
      <c r="AC276" s="44">
        <f t="shared" si="123"/>
        <v>0</v>
      </c>
      <c r="AD276" s="44">
        <f t="shared" si="124"/>
        <v>0</v>
      </c>
      <c r="AE276" s="44">
        <f t="shared" si="125"/>
        <v>0</v>
      </c>
      <c r="AF276" s="52" t="e">
        <f>HLOOKUP(I276,ElecAvoidedCostsWOCC!$A$5:$Q$50,G276+1,FALSE)</f>
        <v>#N/A</v>
      </c>
      <c r="AG276" s="44" t="e">
        <f t="shared" si="126"/>
        <v>#N/A</v>
      </c>
      <c r="AH276" s="52" t="e">
        <f>HLOOKUP(I276,ElecAvoidedCostsWOCC!$A$5:$Q$50,T276+1,FALSE)</f>
        <v>#N/A</v>
      </c>
      <c r="AI276" s="44" t="e">
        <f t="shared" si="127"/>
        <v>#N/A</v>
      </c>
      <c r="AJ276" s="44" t="e">
        <f t="shared" si="128"/>
        <v>#N/A</v>
      </c>
      <c r="AK276" s="44" t="e">
        <f>HLOOKUP(I276,ElecAvoidedCostsWOCC!$A$5:$Q$50,G276+1,FALSE)*J276*L276</f>
        <v>#N/A</v>
      </c>
      <c r="AL276" s="44" t="e">
        <f t="shared" si="129"/>
        <v>#N/A</v>
      </c>
      <c r="AM276" s="48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8">
        <f t="shared" si="130"/>
        <v>0</v>
      </c>
      <c r="AO276" s="47">
        <f t="shared" si="131"/>
        <v>0</v>
      </c>
      <c r="AP276" s="47" t="e">
        <f t="shared" si="132"/>
        <v>#DIV/0!</v>
      </c>
    </row>
    <row r="277" spans="2:42">
      <c r="B277" s="97" t="s">
        <v>15</v>
      </c>
      <c r="C277" s="100"/>
      <c r="D277" s="100"/>
      <c r="E277" s="38"/>
      <c r="F277" s="39"/>
      <c r="G277" s="39"/>
      <c r="H277" s="39"/>
      <c r="I277" s="40"/>
      <c r="J277" s="41"/>
      <c r="K277" s="41"/>
      <c r="L277" s="41"/>
      <c r="M277" s="42"/>
      <c r="N277" s="42"/>
      <c r="O277" s="43"/>
      <c r="P277" s="44"/>
      <c r="Q277" s="44"/>
      <c r="R277" s="45"/>
      <c r="S277" s="46"/>
      <c r="T277" s="39">
        <f t="shared" si="114"/>
        <v>0</v>
      </c>
      <c r="U277" s="47">
        <f t="shared" si="115"/>
        <v>0</v>
      </c>
      <c r="V277" s="48">
        <f t="shared" si="116"/>
        <v>0</v>
      </c>
      <c r="W277" s="49">
        <f t="shared" si="117"/>
        <v>0</v>
      </c>
      <c r="X277" s="44">
        <f t="shared" si="118"/>
        <v>0</v>
      </c>
      <c r="Y277" s="44">
        <f t="shared" si="119"/>
        <v>0</v>
      </c>
      <c r="Z277" s="44">
        <f t="shared" si="120"/>
        <v>0</v>
      </c>
      <c r="AA277" s="50">
        <f t="shared" si="121"/>
        <v>0</v>
      </c>
      <c r="AB277" s="51">
        <f t="shared" si="122"/>
        <v>0</v>
      </c>
      <c r="AC277" s="44">
        <f t="shared" si="123"/>
        <v>0</v>
      </c>
      <c r="AD277" s="44">
        <f t="shared" si="124"/>
        <v>0</v>
      </c>
      <c r="AE277" s="44">
        <f t="shared" si="125"/>
        <v>0</v>
      </c>
      <c r="AF277" s="52" t="e">
        <f>HLOOKUP(I277,ElecAvoidedCostsWOCC!$A$5:$Q$50,G277+1,FALSE)</f>
        <v>#N/A</v>
      </c>
      <c r="AG277" s="44" t="e">
        <f t="shared" si="126"/>
        <v>#N/A</v>
      </c>
      <c r="AH277" s="52" t="e">
        <f>HLOOKUP(I277,ElecAvoidedCostsWOCC!$A$5:$Q$50,T277+1,FALSE)</f>
        <v>#N/A</v>
      </c>
      <c r="AI277" s="44" t="e">
        <f t="shared" si="127"/>
        <v>#N/A</v>
      </c>
      <c r="AJ277" s="44" t="e">
        <f t="shared" si="128"/>
        <v>#N/A</v>
      </c>
      <c r="AK277" s="44" t="e">
        <f>HLOOKUP(I277,ElecAvoidedCostsWOCC!$A$5:$Q$50,G277+1,FALSE)*J277*L277</f>
        <v>#N/A</v>
      </c>
      <c r="AL277" s="44" t="e">
        <f t="shared" si="129"/>
        <v>#N/A</v>
      </c>
      <c r="AM277" s="48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8">
        <f t="shared" si="130"/>
        <v>0</v>
      </c>
      <c r="AO277" s="47">
        <f t="shared" si="131"/>
        <v>0</v>
      </c>
      <c r="AP277" s="47" t="e">
        <f t="shared" si="132"/>
        <v>#DIV/0!</v>
      </c>
    </row>
    <row r="278" spans="2:42">
      <c r="B278" s="97" t="s">
        <v>15</v>
      </c>
      <c r="C278" s="100"/>
      <c r="D278" s="100"/>
      <c r="E278" s="38"/>
      <c r="F278" s="39"/>
      <c r="G278" s="39"/>
      <c r="H278" s="39"/>
      <c r="I278" s="40"/>
      <c r="J278" s="41"/>
      <c r="K278" s="41"/>
      <c r="L278" s="41"/>
      <c r="M278" s="42"/>
      <c r="N278" s="42"/>
      <c r="O278" s="43"/>
      <c r="P278" s="44"/>
      <c r="Q278" s="44"/>
      <c r="R278" s="45"/>
      <c r="S278" s="46"/>
      <c r="T278" s="39">
        <f t="shared" si="114"/>
        <v>0</v>
      </c>
      <c r="U278" s="47">
        <f t="shared" si="115"/>
        <v>0</v>
      </c>
      <c r="V278" s="48">
        <f t="shared" si="116"/>
        <v>0</v>
      </c>
      <c r="W278" s="49">
        <f t="shared" si="117"/>
        <v>0</v>
      </c>
      <c r="X278" s="44">
        <f t="shared" si="118"/>
        <v>0</v>
      </c>
      <c r="Y278" s="44">
        <f t="shared" si="119"/>
        <v>0</v>
      </c>
      <c r="Z278" s="44">
        <f t="shared" si="120"/>
        <v>0</v>
      </c>
      <c r="AA278" s="50">
        <f t="shared" si="121"/>
        <v>0</v>
      </c>
      <c r="AB278" s="51">
        <f t="shared" si="122"/>
        <v>0</v>
      </c>
      <c r="AC278" s="44">
        <f t="shared" si="123"/>
        <v>0</v>
      </c>
      <c r="AD278" s="44">
        <f t="shared" si="124"/>
        <v>0</v>
      </c>
      <c r="AE278" s="44">
        <f t="shared" si="125"/>
        <v>0</v>
      </c>
      <c r="AF278" s="52" t="e">
        <f>HLOOKUP(I278,ElecAvoidedCostsWOCC!$A$5:$Q$50,G278+1,FALSE)</f>
        <v>#N/A</v>
      </c>
      <c r="AG278" s="44" t="e">
        <f t="shared" si="126"/>
        <v>#N/A</v>
      </c>
      <c r="AH278" s="52" t="e">
        <f>HLOOKUP(I278,ElecAvoidedCostsWOCC!$A$5:$Q$50,T278+1,FALSE)</f>
        <v>#N/A</v>
      </c>
      <c r="AI278" s="44" t="e">
        <f t="shared" si="127"/>
        <v>#N/A</v>
      </c>
      <c r="AJ278" s="44" t="e">
        <f t="shared" si="128"/>
        <v>#N/A</v>
      </c>
      <c r="AK278" s="44" t="e">
        <f>HLOOKUP(I278,ElecAvoidedCostsWOCC!$A$5:$Q$50,G278+1,FALSE)*J278*L278</f>
        <v>#N/A</v>
      </c>
      <c r="AL278" s="44" t="e">
        <f t="shared" si="129"/>
        <v>#N/A</v>
      </c>
      <c r="AM278" s="48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8">
        <f t="shared" si="130"/>
        <v>0</v>
      </c>
      <c r="AO278" s="47">
        <f t="shared" si="131"/>
        <v>0</v>
      </c>
      <c r="AP278" s="47" t="e">
        <f t="shared" si="132"/>
        <v>#DIV/0!</v>
      </c>
    </row>
    <row r="279" spans="2:42">
      <c r="B279" s="97" t="s">
        <v>15</v>
      </c>
      <c r="C279" s="100"/>
      <c r="D279" s="100"/>
      <c r="E279" s="38"/>
      <c r="F279" s="39"/>
      <c r="G279" s="39"/>
      <c r="H279" s="39"/>
      <c r="I279" s="40"/>
      <c r="J279" s="41"/>
      <c r="K279" s="41"/>
      <c r="L279" s="41"/>
      <c r="M279" s="42"/>
      <c r="N279" s="42"/>
      <c r="O279" s="43"/>
      <c r="P279" s="44"/>
      <c r="Q279" s="44"/>
      <c r="R279" s="45"/>
      <c r="S279" s="46"/>
      <c r="T279" s="39">
        <f t="shared" si="114"/>
        <v>0</v>
      </c>
      <c r="U279" s="47">
        <f t="shared" si="115"/>
        <v>0</v>
      </c>
      <c r="V279" s="48">
        <f t="shared" si="116"/>
        <v>0</v>
      </c>
      <c r="W279" s="49">
        <f t="shared" si="117"/>
        <v>0</v>
      </c>
      <c r="X279" s="44">
        <f t="shared" si="118"/>
        <v>0</v>
      </c>
      <c r="Y279" s="44">
        <f t="shared" si="119"/>
        <v>0</v>
      </c>
      <c r="Z279" s="44">
        <f t="shared" si="120"/>
        <v>0</v>
      </c>
      <c r="AA279" s="50">
        <f t="shared" si="121"/>
        <v>0</v>
      </c>
      <c r="AB279" s="51">
        <f t="shared" si="122"/>
        <v>0</v>
      </c>
      <c r="AC279" s="44">
        <f t="shared" si="123"/>
        <v>0</v>
      </c>
      <c r="AD279" s="44">
        <f t="shared" si="124"/>
        <v>0</v>
      </c>
      <c r="AE279" s="44">
        <f t="shared" si="125"/>
        <v>0</v>
      </c>
      <c r="AF279" s="52" t="e">
        <f>HLOOKUP(I279,ElecAvoidedCostsWOCC!$A$5:$Q$50,G279+1,FALSE)</f>
        <v>#N/A</v>
      </c>
      <c r="AG279" s="44" t="e">
        <f t="shared" si="126"/>
        <v>#N/A</v>
      </c>
      <c r="AH279" s="52" t="e">
        <f>HLOOKUP(I279,ElecAvoidedCostsWOCC!$A$5:$Q$50,T279+1,FALSE)</f>
        <v>#N/A</v>
      </c>
      <c r="AI279" s="44" t="e">
        <f t="shared" si="127"/>
        <v>#N/A</v>
      </c>
      <c r="AJ279" s="44" t="e">
        <f t="shared" si="128"/>
        <v>#N/A</v>
      </c>
      <c r="AK279" s="44" t="e">
        <f>HLOOKUP(I279,ElecAvoidedCostsWOCC!$A$5:$Q$50,G279+1,FALSE)*J279*L279</f>
        <v>#N/A</v>
      </c>
      <c r="AL279" s="44" t="e">
        <f t="shared" si="129"/>
        <v>#N/A</v>
      </c>
      <c r="AM279" s="48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8">
        <f t="shared" si="130"/>
        <v>0</v>
      </c>
      <c r="AO279" s="47">
        <f t="shared" si="131"/>
        <v>0</v>
      </c>
      <c r="AP279" s="47" t="e">
        <f t="shared" si="132"/>
        <v>#DIV/0!</v>
      </c>
    </row>
    <row r="280" spans="2:42">
      <c r="B280" s="97" t="s">
        <v>15</v>
      </c>
      <c r="C280" s="100"/>
      <c r="D280" s="100"/>
      <c r="E280" s="38"/>
      <c r="F280" s="39"/>
      <c r="G280" s="39"/>
      <c r="H280" s="39"/>
      <c r="I280" s="40"/>
      <c r="J280" s="41"/>
      <c r="K280" s="41"/>
      <c r="L280" s="41"/>
      <c r="M280" s="42"/>
      <c r="N280" s="42"/>
      <c r="O280" s="43"/>
      <c r="P280" s="44"/>
      <c r="Q280" s="44"/>
      <c r="R280" s="45"/>
      <c r="S280" s="46"/>
      <c r="T280" s="39">
        <f t="shared" si="114"/>
        <v>0</v>
      </c>
      <c r="U280" s="47">
        <f t="shared" si="115"/>
        <v>0</v>
      </c>
      <c r="V280" s="48">
        <f t="shared" si="116"/>
        <v>0</v>
      </c>
      <c r="W280" s="49">
        <f t="shared" si="117"/>
        <v>0</v>
      </c>
      <c r="X280" s="44">
        <f t="shared" si="118"/>
        <v>0</v>
      </c>
      <c r="Y280" s="44">
        <f t="shared" si="119"/>
        <v>0</v>
      </c>
      <c r="Z280" s="44">
        <f t="shared" si="120"/>
        <v>0</v>
      </c>
      <c r="AA280" s="50">
        <f t="shared" si="121"/>
        <v>0</v>
      </c>
      <c r="AB280" s="51">
        <f t="shared" si="122"/>
        <v>0</v>
      </c>
      <c r="AC280" s="44">
        <f t="shared" si="123"/>
        <v>0</v>
      </c>
      <c r="AD280" s="44">
        <f t="shared" si="124"/>
        <v>0</v>
      </c>
      <c r="AE280" s="44">
        <f t="shared" si="125"/>
        <v>0</v>
      </c>
      <c r="AF280" s="52" t="e">
        <f>HLOOKUP(I280,ElecAvoidedCostsWOCC!$A$5:$Q$50,G280+1,FALSE)</f>
        <v>#N/A</v>
      </c>
      <c r="AG280" s="44" t="e">
        <f t="shared" si="126"/>
        <v>#N/A</v>
      </c>
      <c r="AH280" s="52" t="e">
        <f>HLOOKUP(I280,ElecAvoidedCostsWOCC!$A$5:$Q$50,T280+1,FALSE)</f>
        <v>#N/A</v>
      </c>
      <c r="AI280" s="44" t="e">
        <f t="shared" si="127"/>
        <v>#N/A</v>
      </c>
      <c r="AJ280" s="44" t="e">
        <f t="shared" si="128"/>
        <v>#N/A</v>
      </c>
      <c r="AK280" s="44" t="e">
        <f>HLOOKUP(I280,ElecAvoidedCostsWOCC!$A$5:$Q$50,G280+1,FALSE)*J280*L280</f>
        <v>#N/A</v>
      </c>
      <c r="AL280" s="44" t="e">
        <f t="shared" si="129"/>
        <v>#N/A</v>
      </c>
      <c r="AM280" s="48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8">
        <f t="shared" si="130"/>
        <v>0</v>
      </c>
      <c r="AO280" s="47">
        <f t="shared" si="131"/>
        <v>0</v>
      </c>
      <c r="AP280" s="47" t="e">
        <f t="shared" si="132"/>
        <v>#DIV/0!</v>
      </c>
    </row>
    <row r="281" spans="2:42">
      <c r="B281" s="97" t="s">
        <v>15</v>
      </c>
      <c r="C281" s="100"/>
      <c r="D281" s="100"/>
      <c r="E281" s="38"/>
      <c r="F281" s="39"/>
      <c r="G281" s="39"/>
      <c r="H281" s="39"/>
      <c r="I281" s="40"/>
      <c r="J281" s="41"/>
      <c r="K281" s="41"/>
      <c r="L281" s="41"/>
      <c r="M281" s="42"/>
      <c r="N281" s="42"/>
      <c r="O281" s="43"/>
      <c r="P281" s="44"/>
      <c r="Q281" s="44"/>
      <c r="R281" s="45"/>
      <c r="S281" s="46"/>
      <c r="T281" s="39">
        <f t="shared" si="114"/>
        <v>0</v>
      </c>
      <c r="U281" s="47">
        <f t="shared" si="115"/>
        <v>0</v>
      </c>
      <c r="V281" s="48">
        <f t="shared" si="116"/>
        <v>0</v>
      </c>
      <c r="W281" s="49">
        <f t="shared" si="117"/>
        <v>0</v>
      </c>
      <c r="X281" s="44">
        <f t="shared" si="118"/>
        <v>0</v>
      </c>
      <c r="Y281" s="44">
        <f t="shared" si="119"/>
        <v>0</v>
      </c>
      <c r="Z281" s="44">
        <f t="shared" si="120"/>
        <v>0</v>
      </c>
      <c r="AA281" s="50">
        <f t="shared" si="121"/>
        <v>0</v>
      </c>
      <c r="AB281" s="51">
        <f t="shared" si="122"/>
        <v>0</v>
      </c>
      <c r="AC281" s="44">
        <f t="shared" si="123"/>
        <v>0</v>
      </c>
      <c r="AD281" s="44">
        <f t="shared" si="124"/>
        <v>0</v>
      </c>
      <c r="AE281" s="44">
        <f t="shared" si="125"/>
        <v>0</v>
      </c>
      <c r="AF281" s="52" t="e">
        <f>HLOOKUP(I281,ElecAvoidedCostsWOCC!$A$5:$Q$50,G281+1,FALSE)</f>
        <v>#N/A</v>
      </c>
      <c r="AG281" s="44" t="e">
        <f t="shared" si="126"/>
        <v>#N/A</v>
      </c>
      <c r="AH281" s="52" t="e">
        <f>HLOOKUP(I281,ElecAvoidedCostsWOCC!$A$5:$Q$50,T281+1,FALSE)</f>
        <v>#N/A</v>
      </c>
      <c r="AI281" s="44" t="e">
        <f t="shared" si="127"/>
        <v>#N/A</v>
      </c>
      <c r="AJ281" s="44" t="e">
        <f t="shared" si="128"/>
        <v>#N/A</v>
      </c>
      <c r="AK281" s="44" t="e">
        <f>HLOOKUP(I281,ElecAvoidedCostsWOCC!$A$5:$Q$50,G281+1,FALSE)*J281*L281</f>
        <v>#N/A</v>
      </c>
      <c r="AL281" s="44" t="e">
        <f t="shared" si="129"/>
        <v>#N/A</v>
      </c>
      <c r="AM281" s="48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8">
        <f t="shared" si="130"/>
        <v>0</v>
      </c>
      <c r="AO281" s="47">
        <f t="shared" si="131"/>
        <v>0</v>
      </c>
      <c r="AP281" s="47" t="e">
        <f t="shared" si="132"/>
        <v>#DIV/0!</v>
      </c>
    </row>
    <row r="282" spans="2:42">
      <c r="B282" s="97" t="s">
        <v>15</v>
      </c>
      <c r="C282" s="100"/>
      <c r="D282" s="100"/>
      <c r="E282" s="38"/>
      <c r="F282" s="39"/>
      <c r="G282" s="39"/>
      <c r="H282" s="39"/>
      <c r="I282" s="40"/>
      <c r="J282" s="41"/>
      <c r="K282" s="41"/>
      <c r="L282" s="41"/>
      <c r="M282" s="42"/>
      <c r="N282" s="42"/>
      <c r="O282" s="43"/>
      <c r="P282" s="44"/>
      <c r="Q282" s="44"/>
      <c r="R282" s="45"/>
      <c r="S282" s="46"/>
      <c r="T282" s="39">
        <f t="shared" si="114"/>
        <v>0</v>
      </c>
      <c r="U282" s="47">
        <f t="shared" si="115"/>
        <v>0</v>
      </c>
      <c r="V282" s="48">
        <f t="shared" si="116"/>
        <v>0</v>
      </c>
      <c r="W282" s="49">
        <f t="shared" si="117"/>
        <v>0</v>
      </c>
      <c r="X282" s="44">
        <f t="shared" si="118"/>
        <v>0</v>
      </c>
      <c r="Y282" s="44">
        <f t="shared" si="119"/>
        <v>0</v>
      </c>
      <c r="Z282" s="44">
        <f t="shared" si="120"/>
        <v>0</v>
      </c>
      <c r="AA282" s="50">
        <f t="shared" si="121"/>
        <v>0</v>
      </c>
      <c r="AB282" s="51">
        <f t="shared" si="122"/>
        <v>0</v>
      </c>
      <c r="AC282" s="44">
        <f t="shared" si="123"/>
        <v>0</v>
      </c>
      <c r="AD282" s="44">
        <f t="shared" si="124"/>
        <v>0</v>
      </c>
      <c r="AE282" s="44">
        <f t="shared" si="125"/>
        <v>0</v>
      </c>
      <c r="AF282" s="52" t="e">
        <f>HLOOKUP(I282,ElecAvoidedCostsWOCC!$A$5:$Q$50,G282+1,FALSE)</f>
        <v>#N/A</v>
      </c>
      <c r="AG282" s="44" t="e">
        <f t="shared" si="126"/>
        <v>#N/A</v>
      </c>
      <c r="AH282" s="52" t="e">
        <f>HLOOKUP(I282,ElecAvoidedCostsWOCC!$A$5:$Q$50,T282+1,FALSE)</f>
        <v>#N/A</v>
      </c>
      <c r="AI282" s="44" t="e">
        <f t="shared" si="127"/>
        <v>#N/A</v>
      </c>
      <c r="AJ282" s="44" t="e">
        <f t="shared" si="128"/>
        <v>#N/A</v>
      </c>
      <c r="AK282" s="44" t="e">
        <f>HLOOKUP(I282,ElecAvoidedCostsWOCC!$A$5:$Q$50,G282+1,FALSE)*J282*L282</f>
        <v>#N/A</v>
      </c>
      <c r="AL282" s="44" t="e">
        <f t="shared" si="129"/>
        <v>#N/A</v>
      </c>
      <c r="AM282" s="48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8">
        <f t="shared" si="130"/>
        <v>0</v>
      </c>
      <c r="AO282" s="47">
        <f t="shared" si="131"/>
        <v>0</v>
      </c>
      <c r="AP282" s="47" t="e">
        <f t="shared" si="132"/>
        <v>#DIV/0!</v>
      </c>
    </row>
    <row r="283" spans="2:42">
      <c r="B283" s="97" t="s">
        <v>15</v>
      </c>
      <c r="C283" s="100"/>
      <c r="D283" s="100"/>
      <c r="E283" s="38"/>
      <c r="F283" s="39"/>
      <c r="G283" s="39"/>
      <c r="H283" s="39"/>
      <c r="I283" s="40"/>
      <c r="J283" s="41"/>
      <c r="K283" s="41"/>
      <c r="L283" s="41"/>
      <c r="M283" s="42"/>
      <c r="N283" s="42"/>
      <c r="O283" s="43"/>
      <c r="P283" s="44"/>
      <c r="Q283" s="44"/>
      <c r="R283" s="45"/>
      <c r="S283" s="46"/>
      <c r="T283" s="39">
        <f t="shared" si="114"/>
        <v>0</v>
      </c>
      <c r="U283" s="47">
        <f t="shared" si="115"/>
        <v>0</v>
      </c>
      <c r="V283" s="48">
        <f t="shared" si="116"/>
        <v>0</v>
      </c>
      <c r="W283" s="49">
        <f t="shared" si="117"/>
        <v>0</v>
      </c>
      <c r="X283" s="44">
        <f t="shared" si="118"/>
        <v>0</v>
      </c>
      <c r="Y283" s="44">
        <f t="shared" si="119"/>
        <v>0</v>
      </c>
      <c r="Z283" s="44">
        <f t="shared" si="120"/>
        <v>0</v>
      </c>
      <c r="AA283" s="50">
        <f t="shared" si="121"/>
        <v>0</v>
      </c>
      <c r="AB283" s="51">
        <f t="shared" si="122"/>
        <v>0</v>
      </c>
      <c r="AC283" s="44">
        <f t="shared" si="123"/>
        <v>0</v>
      </c>
      <c r="AD283" s="44">
        <f t="shared" si="124"/>
        <v>0</v>
      </c>
      <c r="AE283" s="44">
        <f t="shared" si="125"/>
        <v>0</v>
      </c>
      <c r="AF283" s="52" t="e">
        <f>HLOOKUP(I283,ElecAvoidedCostsWOCC!$A$5:$Q$50,G283+1,FALSE)</f>
        <v>#N/A</v>
      </c>
      <c r="AG283" s="44" t="e">
        <f t="shared" si="126"/>
        <v>#N/A</v>
      </c>
      <c r="AH283" s="52" t="e">
        <f>HLOOKUP(I283,ElecAvoidedCostsWOCC!$A$5:$Q$50,T283+1,FALSE)</f>
        <v>#N/A</v>
      </c>
      <c r="AI283" s="44" t="e">
        <f t="shared" si="127"/>
        <v>#N/A</v>
      </c>
      <c r="AJ283" s="44" t="e">
        <f t="shared" si="128"/>
        <v>#N/A</v>
      </c>
      <c r="AK283" s="44" t="e">
        <f>HLOOKUP(I283,ElecAvoidedCostsWOCC!$A$5:$Q$50,G283+1,FALSE)*J283*L283</f>
        <v>#N/A</v>
      </c>
      <c r="AL283" s="44" t="e">
        <f t="shared" si="129"/>
        <v>#N/A</v>
      </c>
      <c r="AM283" s="48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8">
        <f t="shared" si="130"/>
        <v>0</v>
      </c>
      <c r="AO283" s="47">
        <f t="shared" si="131"/>
        <v>0</v>
      </c>
      <c r="AP283" s="47" t="e">
        <f t="shared" si="132"/>
        <v>#DIV/0!</v>
      </c>
    </row>
    <row r="284" spans="2:42">
      <c r="B284" s="97" t="s">
        <v>15</v>
      </c>
      <c r="C284" s="100"/>
      <c r="D284" s="100"/>
      <c r="E284" s="38"/>
      <c r="F284" s="39"/>
      <c r="G284" s="39"/>
      <c r="H284" s="39"/>
      <c r="I284" s="40"/>
      <c r="J284" s="41"/>
      <c r="K284" s="41"/>
      <c r="L284" s="41"/>
      <c r="M284" s="42"/>
      <c r="N284" s="42"/>
      <c r="O284" s="43"/>
      <c r="P284" s="44"/>
      <c r="Q284" s="44"/>
      <c r="R284" s="45"/>
      <c r="S284" s="46"/>
      <c r="T284" s="39">
        <f t="shared" si="114"/>
        <v>0</v>
      </c>
      <c r="U284" s="47">
        <f t="shared" si="115"/>
        <v>0</v>
      </c>
      <c r="V284" s="48">
        <f t="shared" si="116"/>
        <v>0</v>
      </c>
      <c r="W284" s="49">
        <f t="shared" si="117"/>
        <v>0</v>
      </c>
      <c r="X284" s="44">
        <f t="shared" si="118"/>
        <v>0</v>
      </c>
      <c r="Y284" s="44">
        <f t="shared" si="119"/>
        <v>0</v>
      </c>
      <c r="Z284" s="44">
        <f t="shared" si="120"/>
        <v>0</v>
      </c>
      <c r="AA284" s="50">
        <f t="shared" si="121"/>
        <v>0</v>
      </c>
      <c r="AB284" s="51">
        <f t="shared" si="122"/>
        <v>0</v>
      </c>
      <c r="AC284" s="44">
        <f t="shared" si="123"/>
        <v>0</v>
      </c>
      <c r="AD284" s="44">
        <f t="shared" si="124"/>
        <v>0</v>
      </c>
      <c r="AE284" s="44">
        <f t="shared" si="125"/>
        <v>0</v>
      </c>
      <c r="AF284" s="52" t="e">
        <f>HLOOKUP(I284,ElecAvoidedCostsWOCC!$A$5:$Q$50,G284+1,FALSE)</f>
        <v>#N/A</v>
      </c>
      <c r="AG284" s="44" t="e">
        <f t="shared" si="126"/>
        <v>#N/A</v>
      </c>
      <c r="AH284" s="52" t="e">
        <f>HLOOKUP(I284,ElecAvoidedCostsWOCC!$A$5:$Q$50,T284+1,FALSE)</f>
        <v>#N/A</v>
      </c>
      <c r="AI284" s="44" t="e">
        <f t="shared" si="127"/>
        <v>#N/A</v>
      </c>
      <c r="AJ284" s="44" t="e">
        <f t="shared" si="128"/>
        <v>#N/A</v>
      </c>
      <c r="AK284" s="44" t="e">
        <f>HLOOKUP(I284,ElecAvoidedCostsWOCC!$A$5:$Q$50,G284+1,FALSE)*J284*L284</f>
        <v>#N/A</v>
      </c>
      <c r="AL284" s="44" t="e">
        <f t="shared" si="129"/>
        <v>#N/A</v>
      </c>
      <c r="AM284" s="48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8">
        <f t="shared" si="130"/>
        <v>0</v>
      </c>
      <c r="AO284" s="47">
        <f t="shared" si="131"/>
        <v>0</v>
      </c>
      <c r="AP284" s="47" t="e">
        <f t="shared" si="132"/>
        <v>#DIV/0!</v>
      </c>
    </row>
    <row r="285" spans="2:42">
      <c r="B285" s="97" t="s">
        <v>15</v>
      </c>
      <c r="C285" s="100"/>
      <c r="D285" s="100"/>
      <c r="E285" s="38"/>
      <c r="F285" s="39"/>
      <c r="G285" s="39"/>
      <c r="H285" s="39"/>
      <c r="I285" s="40"/>
      <c r="J285" s="41"/>
      <c r="K285" s="41"/>
      <c r="L285" s="41"/>
      <c r="M285" s="42"/>
      <c r="N285" s="42"/>
      <c r="O285" s="43"/>
      <c r="P285" s="44"/>
      <c r="Q285" s="44"/>
      <c r="R285" s="45"/>
      <c r="S285" s="46"/>
      <c r="T285" s="39">
        <f t="shared" si="114"/>
        <v>0</v>
      </c>
      <c r="U285" s="47">
        <f t="shared" si="115"/>
        <v>0</v>
      </c>
      <c r="V285" s="48">
        <f t="shared" si="116"/>
        <v>0</v>
      </c>
      <c r="W285" s="49">
        <f t="shared" si="117"/>
        <v>0</v>
      </c>
      <c r="X285" s="44">
        <f t="shared" si="118"/>
        <v>0</v>
      </c>
      <c r="Y285" s="44">
        <f t="shared" si="119"/>
        <v>0</v>
      </c>
      <c r="Z285" s="44">
        <f t="shared" si="120"/>
        <v>0</v>
      </c>
      <c r="AA285" s="50">
        <f t="shared" si="121"/>
        <v>0</v>
      </c>
      <c r="AB285" s="51">
        <f t="shared" si="122"/>
        <v>0</v>
      </c>
      <c r="AC285" s="44">
        <f t="shared" si="123"/>
        <v>0</v>
      </c>
      <c r="AD285" s="44">
        <f t="shared" si="124"/>
        <v>0</v>
      </c>
      <c r="AE285" s="44">
        <f t="shared" si="125"/>
        <v>0</v>
      </c>
      <c r="AF285" s="52" t="e">
        <f>HLOOKUP(I285,ElecAvoidedCostsWOCC!$A$5:$Q$50,G285+1,FALSE)</f>
        <v>#N/A</v>
      </c>
      <c r="AG285" s="44" t="e">
        <f t="shared" si="126"/>
        <v>#N/A</v>
      </c>
      <c r="AH285" s="52" t="e">
        <f>HLOOKUP(I285,ElecAvoidedCostsWOCC!$A$5:$Q$50,T285+1,FALSE)</f>
        <v>#N/A</v>
      </c>
      <c r="AI285" s="44" t="e">
        <f t="shared" si="127"/>
        <v>#N/A</v>
      </c>
      <c r="AJ285" s="44" t="e">
        <f t="shared" si="128"/>
        <v>#N/A</v>
      </c>
      <c r="AK285" s="44" t="e">
        <f>HLOOKUP(I285,ElecAvoidedCostsWOCC!$A$5:$Q$50,G285+1,FALSE)*J285*L285</f>
        <v>#N/A</v>
      </c>
      <c r="AL285" s="44" t="e">
        <f t="shared" si="129"/>
        <v>#N/A</v>
      </c>
      <c r="AM285" s="48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8">
        <f t="shared" si="130"/>
        <v>0</v>
      </c>
      <c r="AO285" s="47">
        <f t="shared" si="131"/>
        <v>0</v>
      </c>
      <c r="AP285" s="47" t="e">
        <f t="shared" si="132"/>
        <v>#DIV/0!</v>
      </c>
    </row>
    <row r="286" spans="2:42">
      <c r="B286" s="97" t="s">
        <v>15</v>
      </c>
      <c r="C286" s="100"/>
      <c r="D286" s="100"/>
      <c r="E286" s="38"/>
      <c r="F286" s="39"/>
      <c r="G286" s="39"/>
      <c r="H286" s="39"/>
      <c r="I286" s="40"/>
      <c r="J286" s="41"/>
      <c r="K286" s="41"/>
      <c r="L286" s="41"/>
      <c r="M286" s="42"/>
      <c r="N286" s="42"/>
      <c r="O286" s="43"/>
      <c r="P286" s="44"/>
      <c r="Q286" s="44"/>
      <c r="R286" s="45"/>
      <c r="S286" s="46"/>
      <c r="T286" s="39">
        <f t="shared" si="114"/>
        <v>0</v>
      </c>
      <c r="U286" s="47">
        <f t="shared" si="115"/>
        <v>0</v>
      </c>
      <c r="V286" s="48">
        <f t="shared" si="116"/>
        <v>0</v>
      </c>
      <c r="W286" s="49">
        <f t="shared" si="117"/>
        <v>0</v>
      </c>
      <c r="X286" s="44">
        <f t="shared" si="118"/>
        <v>0</v>
      </c>
      <c r="Y286" s="44">
        <f t="shared" si="119"/>
        <v>0</v>
      </c>
      <c r="Z286" s="44">
        <f t="shared" si="120"/>
        <v>0</v>
      </c>
      <c r="AA286" s="50">
        <f t="shared" si="121"/>
        <v>0</v>
      </c>
      <c r="AB286" s="51">
        <f t="shared" si="122"/>
        <v>0</v>
      </c>
      <c r="AC286" s="44">
        <f t="shared" si="123"/>
        <v>0</v>
      </c>
      <c r="AD286" s="44">
        <f t="shared" si="124"/>
        <v>0</v>
      </c>
      <c r="AE286" s="44">
        <f t="shared" si="125"/>
        <v>0</v>
      </c>
      <c r="AF286" s="52" t="e">
        <f>HLOOKUP(I286,ElecAvoidedCostsWOCC!$A$5:$Q$50,G286+1,FALSE)</f>
        <v>#N/A</v>
      </c>
      <c r="AG286" s="44" t="e">
        <f t="shared" si="126"/>
        <v>#N/A</v>
      </c>
      <c r="AH286" s="52" t="e">
        <f>HLOOKUP(I286,ElecAvoidedCostsWOCC!$A$5:$Q$50,T286+1,FALSE)</f>
        <v>#N/A</v>
      </c>
      <c r="AI286" s="44" t="e">
        <f t="shared" si="127"/>
        <v>#N/A</v>
      </c>
      <c r="AJ286" s="44" t="e">
        <f t="shared" si="128"/>
        <v>#N/A</v>
      </c>
      <c r="AK286" s="44" t="e">
        <f>HLOOKUP(I286,ElecAvoidedCostsWOCC!$A$5:$Q$50,G286+1,FALSE)*J286*L286</f>
        <v>#N/A</v>
      </c>
      <c r="AL286" s="44" t="e">
        <f t="shared" si="129"/>
        <v>#N/A</v>
      </c>
      <c r="AM286" s="48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8">
        <f t="shared" si="130"/>
        <v>0</v>
      </c>
      <c r="AO286" s="47">
        <f t="shared" si="131"/>
        <v>0</v>
      </c>
      <c r="AP286" s="47" t="e">
        <f t="shared" si="132"/>
        <v>#DIV/0!</v>
      </c>
    </row>
    <row r="287" spans="2:42">
      <c r="B287" s="97" t="s">
        <v>15</v>
      </c>
      <c r="C287" s="100"/>
      <c r="D287" s="100"/>
      <c r="E287" s="38"/>
      <c r="F287" s="39"/>
      <c r="G287" s="39"/>
      <c r="H287" s="39"/>
      <c r="I287" s="40"/>
      <c r="J287" s="41"/>
      <c r="K287" s="41"/>
      <c r="L287" s="41"/>
      <c r="M287" s="42"/>
      <c r="N287" s="42"/>
      <c r="O287" s="43"/>
      <c r="P287" s="44"/>
      <c r="Q287" s="44"/>
      <c r="R287" s="45"/>
      <c r="S287" s="46"/>
      <c r="T287" s="39">
        <f t="shared" si="114"/>
        <v>0</v>
      </c>
      <c r="U287" s="47">
        <f t="shared" si="115"/>
        <v>0</v>
      </c>
      <c r="V287" s="48">
        <f t="shared" si="116"/>
        <v>0</v>
      </c>
      <c r="W287" s="49">
        <f t="shared" si="117"/>
        <v>0</v>
      </c>
      <c r="X287" s="44">
        <f t="shared" si="118"/>
        <v>0</v>
      </c>
      <c r="Y287" s="44">
        <f t="shared" si="119"/>
        <v>0</v>
      </c>
      <c r="Z287" s="44">
        <f t="shared" si="120"/>
        <v>0</v>
      </c>
      <c r="AA287" s="50">
        <f t="shared" si="121"/>
        <v>0</v>
      </c>
      <c r="AB287" s="51">
        <f t="shared" si="122"/>
        <v>0</v>
      </c>
      <c r="AC287" s="44">
        <f t="shared" si="123"/>
        <v>0</v>
      </c>
      <c r="AD287" s="44">
        <f t="shared" si="124"/>
        <v>0</v>
      </c>
      <c r="AE287" s="44">
        <f t="shared" si="125"/>
        <v>0</v>
      </c>
      <c r="AF287" s="52" t="e">
        <f>HLOOKUP(I287,ElecAvoidedCostsWOCC!$A$5:$Q$50,G287+1,FALSE)</f>
        <v>#N/A</v>
      </c>
      <c r="AG287" s="44" t="e">
        <f t="shared" si="126"/>
        <v>#N/A</v>
      </c>
      <c r="AH287" s="52" t="e">
        <f>HLOOKUP(I287,ElecAvoidedCostsWOCC!$A$5:$Q$50,T287+1,FALSE)</f>
        <v>#N/A</v>
      </c>
      <c r="AI287" s="44" t="e">
        <f t="shared" si="127"/>
        <v>#N/A</v>
      </c>
      <c r="AJ287" s="44" t="e">
        <f t="shared" si="128"/>
        <v>#N/A</v>
      </c>
      <c r="AK287" s="44" t="e">
        <f>HLOOKUP(I287,ElecAvoidedCostsWOCC!$A$5:$Q$50,G287+1,FALSE)*J287*L287</f>
        <v>#N/A</v>
      </c>
      <c r="AL287" s="44" t="e">
        <f t="shared" si="129"/>
        <v>#N/A</v>
      </c>
      <c r="AM287" s="48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8">
        <f t="shared" si="130"/>
        <v>0</v>
      </c>
      <c r="AO287" s="47">
        <f t="shared" si="131"/>
        <v>0</v>
      </c>
      <c r="AP287" s="47" t="e">
        <f t="shared" si="132"/>
        <v>#DIV/0!</v>
      </c>
    </row>
    <row r="288" spans="2:42">
      <c r="B288" s="97" t="s">
        <v>15</v>
      </c>
      <c r="C288" s="100"/>
      <c r="D288" s="100"/>
      <c r="E288" s="38"/>
      <c r="F288" s="39"/>
      <c r="G288" s="39"/>
      <c r="H288" s="39"/>
      <c r="I288" s="40"/>
      <c r="J288" s="41"/>
      <c r="K288" s="41"/>
      <c r="L288" s="41"/>
      <c r="M288" s="42"/>
      <c r="N288" s="42"/>
      <c r="O288" s="43"/>
      <c r="P288" s="44"/>
      <c r="Q288" s="44"/>
      <c r="R288" s="45"/>
      <c r="S288" s="46"/>
      <c r="T288" s="39">
        <f t="shared" si="114"/>
        <v>0</v>
      </c>
      <c r="U288" s="47">
        <f t="shared" si="115"/>
        <v>0</v>
      </c>
      <c r="V288" s="48">
        <f t="shared" si="116"/>
        <v>0</v>
      </c>
      <c r="W288" s="49">
        <f t="shared" si="117"/>
        <v>0</v>
      </c>
      <c r="X288" s="44">
        <f t="shared" si="118"/>
        <v>0</v>
      </c>
      <c r="Y288" s="44">
        <f t="shared" si="119"/>
        <v>0</v>
      </c>
      <c r="Z288" s="44">
        <f t="shared" si="120"/>
        <v>0</v>
      </c>
      <c r="AA288" s="50">
        <f t="shared" si="121"/>
        <v>0</v>
      </c>
      <c r="AB288" s="51">
        <f t="shared" si="122"/>
        <v>0</v>
      </c>
      <c r="AC288" s="44">
        <f t="shared" si="123"/>
        <v>0</v>
      </c>
      <c r="AD288" s="44">
        <f t="shared" si="124"/>
        <v>0</v>
      </c>
      <c r="AE288" s="44">
        <f t="shared" si="125"/>
        <v>0</v>
      </c>
      <c r="AF288" s="52" t="e">
        <f>HLOOKUP(I288,ElecAvoidedCostsWOCC!$A$5:$Q$50,G288+1,FALSE)</f>
        <v>#N/A</v>
      </c>
      <c r="AG288" s="44" t="e">
        <f t="shared" si="126"/>
        <v>#N/A</v>
      </c>
      <c r="AH288" s="52" t="e">
        <f>HLOOKUP(I288,ElecAvoidedCostsWOCC!$A$5:$Q$50,T288+1,FALSE)</f>
        <v>#N/A</v>
      </c>
      <c r="AI288" s="44" t="e">
        <f t="shared" si="127"/>
        <v>#N/A</v>
      </c>
      <c r="AJ288" s="44" t="e">
        <f t="shared" si="128"/>
        <v>#N/A</v>
      </c>
      <c r="AK288" s="44" t="e">
        <f>HLOOKUP(I288,ElecAvoidedCostsWOCC!$A$5:$Q$50,G288+1,FALSE)*J288*L288</f>
        <v>#N/A</v>
      </c>
      <c r="AL288" s="44" t="e">
        <f t="shared" si="129"/>
        <v>#N/A</v>
      </c>
      <c r="AM288" s="48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8">
        <f t="shared" si="130"/>
        <v>0</v>
      </c>
      <c r="AO288" s="47">
        <f t="shared" si="131"/>
        <v>0</v>
      </c>
      <c r="AP288" s="47" t="e">
        <f t="shared" si="132"/>
        <v>#DIV/0!</v>
      </c>
    </row>
    <row r="289" spans="2:42">
      <c r="B289" s="97" t="s">
        <v>15</v>
      </c>
      <c r="C289" s="100"/>
      <c r="D289" s="100"/>
      <c r="E289" s="38"/>
      <c r="F289" s="39"/>
      <c r="G289" s="39"/>
      <c r="H289" s="39"/>
      <c r="I289" s="40"/>
      <c r="J289" s="41"/>
      <c r="K289" s="41"/>
      <c r="L289" s="41"/>
      <c r="M289" s="42"/>
      <c r="N289" s="42"/>
      <c r="O289" s="43"/>
      <c r="P289" s="44"/>
      <c r="Q289" s="44"/>
      <c r="R289" s="45"/>
      <c r="S289" s="46"/>
      <c r="T289" s="39">
        <f t="shared" si="114"/>
        <v>0</v>
      </c>
      <c r="U289" s="47">
        <f t="shared" si="115"/>
        <v>0</v>
      </c>
      <c r="V289" s="48">
        <f t="shared" si="116"/>
        <v>0</v>
      </c>
      <c r="W289" s="49">
        <f t="shared" si="117"/>
        <v>0</v>
      </c>
      <c r="X289" s="44">
        <f t="shared" si="118"/>
        <v>0</v>
      </c>
      <c r="Y289" s="44">
        <f t="shared" si="119"/>
        <v>0</v>
      </c>
      <c r="Z289" s="44">
        <f t="shared" si="120"/>
        <v>0</v>
      </c>
      <c r="AA289" s="50">
        <f t="shared" si="121"/>
        <v>0</v>
      </c>
      <c r="AB289" s="51">
        <f t="shared" si="122"/>
        <v>0</v>
      </c>
      <c r="AC289" s="44">
        <f t="shared" si="123"/>
        <v>0</v>
      </c>
      <c r="AD289" s="44">
        <f t="shared" si="124"/>
        <v>0</v>
      </c>
      <c r="AE289" s="44">
        <f t="shared" si="125"/>
        <v>0</v>
      </c>
      <c r="AF289" s="52" t="e">
        <f>HLOOKUP(I289,ElecAvoidedCostsWOCC!$A$5:$Q$50,G289+1,FALSE)</f>
        <v>#N/A</v>
      </c>
      <c r="AG289" s="44" t="e">
        <f t="shared" si="126"/>
        <v>#N/A</v>
      </c>
      <c r="AH289" s="52" t="e">
        <f>HLOOKUP(I289,ElecAvoidedCostsWOCC!$A$5:$Q$50,T289+1,FALSE)</f>
        <v>#N/A</v>
      </c>
      <c r="AI289" s="44" t="e">
        <f t="shared" si="127"/>
        <v>#N/A</v>
      </c>
      <c r="AJ289" s="44" t="e">
        <f t="shared" si="128"/>
        <v>#N/A</v>
      </c>
      <c r="AK289" s="44" t="e">
        <f>HLOOKUP(I289,ElecAvoidedCostsWOCC!$A$5:$Q$50,G289+1,FALSE)*J289*L289</f>
        <v>#N/A</v>
      </c>
      <c r="AL289" s="44" t="e">
        <f t="shared" si="129"/>
        <v>#N/A</v>
      </c>
      <c r="AM289" s="48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8">
        <f t="shared" si="130"/>
        <v>0</v>
      </c>
      <c r="AO289" s="47">
        <f t="shared" si="131"/>
        <v>0</v>
      </c>
      <c r="AP289" s="47" t="e">
        <f t="shared" si="132"/>
        <v>#DIV/0!</v>
      </c>
    </row>
    <row r="290" spans="2:42">
      <c r="B290" s="97" t="s">
        <v>15</v>
      </c>
      <c r="C290" s="100"/>
      <c r="D290" s="100"/>
      <c r="E290" s="38"/>
      <c r="F290" s="39"/>
      <c r="G290" s="39"/>
      <c r="H290" s="39"/>
      <c r="I290" s="40"/>
      <c r="J290" s="41"/>
      <c r="K290" s="41"/>
      <c r="L290" s="41"/>
      <c r="M290" s="42"/>
      <c r="N290" s="42"/>
      <c r="O290" s="43"/>
      <c r="P290" s="44"/>
      <c r="Q290" s="44"/>
      <c r="R290" s="45"/>
      <c r="S290" s="46"/>
      <c r="T290" s="39">
        <f t="shared" si="114"/>
        <v>0</v>
      </c>
      <c r="U290" s="47">
        <f t="shared" si="115"/>
        <v>0</v>
      </c>
      <c r="V290" s="48">
        <f t="shared" si="116"/>
        <v>0</v>
      </c>
      <c r="W290" s="49">
        <f t="shared" si="117"/>
        <v>0</v>
      </c>
      <c r="X290" s="44">
        <f t="shared" si="118"/>
        <v>0</v>
      </c>
      <c r="Y290" s="44">
        <f t="shared" si="119"/>
        <v>0</v>
      </c>
      <c r="Z290" s="44">
        <f t="shared" si="120"/>
        <v>0</v>
      </c>
      <c r="AA290" s="50">
        <f t="shared" si="121"/>
        <v>0</v>
      </c>
      <c r="AB290" s="51">
        <f t="shared" si="122"/>
        <v>0</v>
      </c>
      <c r="AC290" s="44">
        <f t="shared" si="123"/>
        <v>0</v>
      </c>
      <c r="AD290" s="44">
        <f t="shared" si="124"/>
        <v>0</v>
      </c>
      <c r="AE290" s="44">
        <f t="shared" si="125"/>
        <v>0</v>
      </c>
      <c r="AF290" s="52" t="e">
        <f>HLOOKUP(I290,ElecAvoidedCostsWOCC!$A$5:$Q$50,G290+1,FALSE)</f>
        <v>#N/A</v>
      </c>
      <c r="AG290" s="44" t="e">
        <f t="shared" si="126"/>
        <v>#N/A</v>
      </c>
      <c r="AH290" s="52" t="e">
        <f>HLOOKUP(I290,ElecAvoidedCostsWOCC!$A$5:$Q$50,T290+1,FALSE)</f>
        <v>#N/A</v>
      </c>
      <c r="AI290" s="44" t="e">
        <f t="shared" si="127"/>
        <v>#N/A</v>
      </c>
      <c r="AJ290" s="44" t="e">
        <f t="shared" si="128"/>
        <v>#N/A</v>
      </c>
      <c r="AK290" s="44" t="e">
        <f>HLOOKUP(I290,ElecAvoidedCostsWOCC!$A$5:$Q$50,G290+1,FALSE)*J290*L290</f>
        <v>#N/A</v>
      </c>
      <c r="AL290" s="44" t="e">
        <f t="shared" si="129"/>
        <v>#N/A</v>
      </c>
      <c r="AM290" s="48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8">
        <f t="shared" si="130"/>
        <v>0</v>
      </c>
      <c r="AO290" s="47">
        <f t="shared" si="131"/>
        <v>0</v>
      </c>
      <c r="AP290" s="47" t="e">
        <f t="shared" si="132"/>
        <v>#DIV/0!</v>
      </c>
    </row>
    <row r="291" spans="2:42">
      <c r="B291" s="97" t="s">
        <v>15</v>
      </c>
      <c r="C291" s="100"/>
      <c r="D291" s="100"/>
      <c r="E291" s="38"/>
      <c r="F291" s="39"/>
      <c r="G291" s="39"/>
      <c r="H291" s="39"/>
      <c r="I291" s="40"/>
      <c r="J291" s="41"/>
      <c r="K291" s="41"/>
      <c r="L291" s="41"/>
      <c r="M291" s="42"/>
      <c r="N291" s="42"/>
      <c r="O291" s="43"/>
      <c r="P291" s="44"/>
      <c r="Q291" s="44"/>
      <c r="R291" s="45"/>
      <c r="S291" s="46"/>
      <c r="T291" s="39">
        <f t="shared" si="114"/>
        <v>0</v>
      </c>
      <c r="U291" s="47">
        <f t="shared" si="115"/>
        <v>0</v>
      </c>
      <c r="V291" s="48">
        <f t="shared" si="116"/>
        <v>0</v>
      </c>
      <c r="W291" s="49">
        <f t="shared" si="117"/>
        <v>0</v>
      </c>
      <c r="X291" s="44">
        <f t="shared" si="118"/>
        <v>0</v>
      </c>
      <c r="Y291" s="44">
        <f t="shared" si="119"/>
        <v>0</v>
      </c>
      <c r="Z291" s="44">
        <f t="shared" si="120"/>
        <v>0</v>
      </c>
      <c r="AA291" s="50">
        <f t="shared" si="121"/>
        <v>0</v>
      </c>
      <c r="AB291" s="51">
        <f t="shared" si="122"/>
        <v>0</v>
      </c>
      <c r="AC291" s="44">
        <f t="shared" si="123"/>
        <v>0</v>
      </c>
      <c r="AD291" s="44">
        <f t="shared" si="124"/>
        <v>0</v>
      </c>
      <c r="AE291" s="44">
        <f t="shared" si="125"/>
        <v>0</v>
      </c>
      <c r="AF291" s="52" t="e">
        <f>HLOOKUP(I291,ElecAvoidedCostsWOCC!$A$5:$Q$50,G291+1,FALSE)</f>
        <v>#N/A</v>
      </c>
      <c r="AG291" s="44" t="e">
        <f t="shared" si="126"/>
        <v>#N/A</v>
      </c>
      <c r="AH291" s="52" t="e">
        <f>HLOOKUP(I291,ElecAvoidedCostsWOCC!$A$5:$Q$50,T291+1,FALSE)</f>
        <v>#N/A</v>
      </c>
      <c r="AI291" s="44" t="e">
        <f t="shared" si="127"/>
        <v>#N/A</v>
      </c>
      <c r="AJ291" s="44" t="e">
        <f t="shared" si="128"/>
        <v>#N/A</v>
      </c>
      <c r="AK291" s="44" t="e">
        <f>HLOOKUP(I291,ElecAvoidedCostsWOCC!$A$5:$Q$50,G291+1,FALSE)*J291*L291</f>
        <v>#N/A</v>
      </c>
      <c r="AL291" s="44" t="e">
        <f t="shared" si="129"/>
        <v>#N/A</v>
      </c>
      <c r="AM291" s="48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8">
        <f t="shared" si="130"/>
        <v>0</v>
      </c>
      <c r="AO291" s="47">
        <f t="shared" si="131"/>
        <v>0</v>
      </c>
      <c r="AP291" s="47" t="e">
        <f t="shared" si="132"/>
        <v>#DIV/0!</v>
      </c>
    </row>
    <row r="292" spans="2:42">
      <c r="B292" s="97" t="s">
        <v>15</v>
      </c>
      <c r="C292" s="100"/>
      <c r="D292" s="100"/>
      <c r="E292" s="38"/>
      <c r="F292" s="39"/>
      <c r="G292" s="39"/>
      <c r="H292" s="39"/>
      <c r="I292" s="40"/>
      <c r="J292" s="41"/>
      <c r="K292" s="41"/>
      <c r="L292" s="41"/>
      <c r="M292" s="42"/>
      <c r="N292" s="42"/>
      <c r="O292" s="43"/>
      <c r="P292" s="44"/>
      <c r="Q292" s="44"/>
      <c r="R292" s="45"/>
      <c r="S292" s="46"/>
      <c r="T292" s="39">
        <f t="shared" si="114"/>
        <v>0</v>
      </c>
      <c r="U292" s="47">
        <f t="shared" si="115"/>
        <v>0</v>
      </c>
      <c r="V292" s="48">
        <f t="shared" si="116"/>
        <v>0</v>
      </c>
      <c r="W292" s="49">
        <f t="shared" si="117"/>
        <v>0</v>
      </c>
      <c r="X292" s="44">
        <f t="shared" si="118"/>
        <v>0</v>
      </c>
      <c r="Y292" s="44">
        <f t="shared" si="119"/>
        <v>0</v>
      </c>
      <c r="Z292" s="44">
        <f t="shared" si="120"/>
        <v>0</v>
      </c>
      <c r="AA292" s="50">
        <f t="shared" si="121"/>
        <v>0</v>
      </c>
      <c r="AB292" s="51">
        <f t="shared" si="122"/>
        <v>0</v>
      </c>
      <c r="AC292" s="44">
        <f t="shared" si="123"/>
        <v>0</v>
      </c>
      <c r="AD292" s="44">
        <f t="shared" si="124"/>
        <v>0</v>
      </c>
      <c r="AE292" s="44">
        <f t="shared" si="125"/>
        <v>0</v>
      </c>
      <c r="AF292" s="52" t="e">
        <f>HLOOKUP(I292,ElecAvoidedCostsWOCC!$A$5:$Q$50,G292+1,FALSE)</f>
        <v>#N/A</v>
      </c>
      <c r="AG292" s="44" t="e">
        <f t="shared" si="126"/>
        <v>#N/A</v>
      </c>
      <c r="AH292" s="52" t="e">
        <f>HLOOKUP(I292,ElecAvoidedCostsWOCC!$A$5:$Q$50,T292+1,FALSE)</f>
        <v>#N/A</v>
      </c>
      <c r="AI292" s="44" t="e">
        <f t="shared" si="127"/>
        <v>#N/A</v>
      </c>
      <c r="AJ292" s="44" t="e">
        <f t="shared" si="128"/>
        <v>#N/A</v>
      </c>
      <c r="AK292" s="44" t="e">
        <f>HLOOKUP(I292,ElecAvoidedCostsWOCC!$A$5:$Q$50,G292+1,FALSE)*J292*L292</f>
        <v>#N/A</v>
      </c>
      <c r="AL292" s="44" t="e">
        <f t="shared" si="129"/>
        <v>#N/A</v>
      </c>
      <c r="AM292" s="48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8">
        <f t="shared" si="130"/>
        <v>0</v>
      </c>
      <c r="AO292" s="47">
        <f t="shared" si="131"/>
        <v>0</v>
      </c>
      <c r="AP292" s="47" t="e">
        <f t="shared" si="132"/>
        <v>#DIV/0!</v>
      </c>
    </row>
    <row r="293" spans="2:42">
      <c r="B293" s="97" t="s">
        <v>15</v>
      </c>
      <c r="C293" s="100"/>
      <c r="D293" s="100"/>
      <c r="E293" s="38"/>
      <c r="F293" s="39"/>
      <c r="G293" s="39"/>
      <c r="H293" s="39"/>
      <c r="I293" s="40"/>
      <c r="J293" s="41"/>
      <c r="K293" s="41"/>
      <c r="L293" s="41"/>
      <c r="M293" s="42"/>
      <c r="N293" s="42"/>
      <c r="O293" s="43"/>
      <c r="P293" s="44"/>
      <c r="Q293" s="44"/>
      <c r="R293" s="45"/>
      <c r="S293" s="46"/>
      <c r="T293" s="39">
        <f t="shared" si="114"/>
        <v>0</v>
      </c>
      <c r="U293" s="47">
        <f t="shared" si="115"/>
        <v>0</v>
      </c>
      <c r="V293" s="48">
        <f t="shared" si="116"/>
        <v>0</v>
      </c>
      <c r="W293" s="49">
        <f t="shared" si="117"/>
        <v>0</v>
      </c>
      <c r="X293" s="44">
        <f t="shared" si="118"/>
        <v>0</v>
      </c>
      <c r="Y293" s="44">
        <f t="shared" si="119"/>
        <v>0</v>
      </c>
      <c r="Z293" s="44">
        <f t="shared" si="120"/>
        <v>0</v>
      </c>
      <c r="AA293" s="50">
        <f t="shared" si="121"/>
        <v>0</v>
      </c>
      <c r="AB293" s="51">
        <f t="shared" si="122"/>
        <v>0</v>
      </c>
      <c r="AC293" s="44">
        <f t="shared" si="123"/>
        <v>0</v>
      </c>
      <c r="AD293" s="44">
        <f t="shared" si="124"/>
        <v>0</v>
      </c>
      <c r="AE293" s="44">
        <f t="shared" si="125"/>
        <v>0</v>
      </c>
      <c r="AF293" s="52" t="e">
        <f>HLOOKUP(I293,ElecAvoidedCostsWOCC!$A$5:$Q$50,G293+1,FALSE)</f>
        <v>#N/A</v>
      </c>
      <c r="AG293" s="44" t="e">
        <f t="shared" si="126"/>
        <v>#N/A</v>
      </c>
      <c r="AH293" s="52" t="e">
        <f>HLOOKUP(I293,ElecAvoidedCostsWOCC!$A$5:$Q$50,T293+1,FALSE)</f>
        <v>#N/A</v>
      </c>
      <c r="AI293" s="44" t="e">
        <f t="shared" si="127"/>
        <v>#N/A</v>
      </c>
      <c r="AJ293" s="44" t="e">
        <f t="shared" si="128"/>
        <v>#N/A</v>
      </c>
      <c r="AK293" s="44" t="e">
        <f>HLOOKUP(I293,ElecAvoidedCostsWOCC!$A$5:$Q$50,G293+1,FALSE)*J293*L293</f>
        <v>#N/A</v>
      </c>
      <c r="AL293" s="44" t="e">
        <f t="shared" si="129"/>
        <v>#N/A</v>
      </c>
      <c r="AM293" s="48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8">
        <f t="shared" si="130"/>
        <v>0</v>
      </c>
      <c r="AO293" s="47">
        <f t="shared" si="131"/>
        <v>0</v>
      </c>
      <c r="AP293" s="47" t="e">
        <f t="shared" si="132"/>
        <v>#DIV/0!</v>
      </c>
    </row>
    <row r="294" spans="2:42">
      <c r="B294" s="97" t="s">
        <v>15</v>
      </c>
      <c r="C294" s="100"/>
      <c r="D294" s="100"/>
      <c r="E294" s="38"/>
      <c r="F294" s="39"/>
      <c r="G294" s="39"/>
      <c r="H294" s="39"/>
      <c r="I294" s="40"/>
      <c r="J294" s="41"/>
      <c r="K294" s="41"/>
      <c r="L294" s="41"/>
      <c r="M294" s="42"/>
      <c r="N294" s="42"/>
      <c r="O294" s="43"/>
      <c r="P294" s="44"/>
      <c r="Q294" s="44"/>
      <c r="R294" s="45"/>
      <c r="S294" s="46"/>
      <c r="T294" s="39">
        <f t="shared" si="114"/>
        <v>0</v>
      </c>
      <c r="U294" s="47">
        <f t="shared" si="115"/>
        <v>0</v>
      </c>
      <c r="V294" s="48">
        <f t="shared" si="116"/>
        <v>0</v>
      </c>
      <c r="W294" s="49">
        <f t="shared" si="117"/>
        <v>0</v>
      </c>
      <c r="X294" s="44">
        <f t="shared" si="118"/>
        <v>0</v>
      </c>
      <c r="Y294" s="44">
        <f t="shared" si="119"/>
        <v>0</v>
      </c>
      <c r="Z294" s="44">
        <f t="shared" si="120"/>
        <v>0</v>
      </c>
      <c r="AA294" s="50">
        <f t="shared" si="121"/>
        <v>0</v>
      </c>
      <c r="AB294" s="51">
        <f t="shared" si="122"/>
        <v>0</v>
      </c>
      <c r="AC294" s="44">
        <f t="shared" si="123"/>
        <v>0</v>
      </c>
      <c r="AD294" s="44">
        <f t="shared" si="124"/>
        <v>0</v>
      </c>
      <c r="AE294" s="44">
        <f t="shared" si="125"/>
        <v>0</v>
      </c>
      <c r="AF294" s="52" t="e">
        <f>HLOOKUP(I294,ElecAvoidedCostsWOCC!$A$5:$Q$50,G294+1,FALSE)</f>
        <v>#N/A</v>
      </c>
      <c r="AG294" s="44" t="e">
        <f t="shared" si="126"/>
        <v>#N/A</v>
      </c>
      <c r="AH294" s="52" t="e">
        <f>HLOOKUP(I294,ElecAvoidedCostsWOCC!$A$5:$Q$50,T294+1,FALSE)</f>
        <v>#N/A</v>
      </c>
      <c r="AI294" s="44" t="e">
        <f t="shared" si="127"/>
        <v>#N/A</v>
      </c>
      <c r="AJ294" s="44" t="e">
        <f t="shared" si="128"/>
        <v>#N/A</v>
      </c>
      <c r="AK294" s="44" t="e">
        <f>HLOOKUP(I294,ElecAvoidedCostsWOCC!$A$5:$Q$50,G294+1,FALSE)*J294*L294</f>
        <v>#N/A</v>
      </c>
      <c r="AL294" s="44" t="e">
        <f t="shared" si="129"/>
        <v>#N/A</v>
      </c>
      <c r="AM294" s="48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8">
        <f t="shared" si="130"/>
        <v>0</v>
      </c>
      <c r="AO294" s="47">
        <f t="shared" si="131"/>
        <v>0</v>
      </c>
      <c r="AP294" s="47" t="e">
        <f t="shared" si="132"/>
        <v>#DIV/0!</v>
      </c>
    </row>
    <row r="295" spans="2:42">
      <c r="B295" s="97" t="s">
        <v>15</v>
      </c>
      <c r="C295" s="100"/>
      <c r="D295" s="100"/>
      <c r="E295" s="38"/>
      <c r="F295" s="39"/>
      <c r="G295" s="39"/>
      <c r="H295" s="39"/>
      <c r="I295" s="40"/>
      <c r="J295" s="41"/>
      <c r="K295" s="41"/>
      <c r="L295" s="41"/>
      <c r="M295" s="42"/>
      <c r="N295" s="42"/>
      <c r="O295" s="43"/>
      <c r="P295" s="44"/>
      <c r="Q295" s="44"/>
      <c r="R295" s="45"/>
      <c r="S295" s="46"/>
      <c r="T295" s="39">
        <f t="shared" ref="T295:T351" si="133">G295+H295</f>
        <v>0</v>
      </c>
      <c r="U295" s="47">
        <f t="shared" ref="U295:U351" si="134">(O295/$A$10)*T295</f>
        <v>0</v>
      </c>
      <c r="V295" s="48">
        <f t="shared" ref="V295:V351" si="135">N295-M295</f>
        <v>0</v>
      </c>
      <c r="W295" s="49">
        <f t="shared" ref="W295:W351" si="136">(O295/A$10)</f>
        <v>0</v>
      </c>
      <c r="X295" s="44">
        <f t="shared" ref="X295:X351" si="137">W295*A$8</f>
        <v>0</v>
      </c>
      <c r="Y295" s="44">
        <f t="shared" ref="Y295:Y351" si="138">Q295-P295</f>
        <v>0</v>
      </c>
      <c r="Z295" s="44">
        <f t="shared" ref="Z295:Z351" si="139">X295+(A$6*W295)</f>
        <v>0</v>
      </c>
      <c r="AA295" s="50">
        <f t="shared" ref="AA295:AA351" si="140">Q295+X295</f>
        <v>0</v>
      </c>
      <c r="AB295" s="51">
        <f t="shared" ref="AB295:AB351" si="141">Z295/(1+ElecDiscountRate)^1</f>
        <v>0</v>
      </c>
      <c r="AC295" s="44">
        <f t="shared" ref="AC295:AC351" si="142">AA295/(1+ElecDiscountRate)^1</f>
        <v>0</v>
      </c>
      <c r="AD295" s="44">
        <f t="shared" ref="AD295:AD351" si="143">-PV(ElecDiscountRate,T295,R295)*J295</f>
        <v>0</v>
      </c>
      <c r="AE295" s="44">
        <f t="shared" ref="AE295:AE351" si="144">-PV(ElecDiscountRate,T295,S295)*J295</f>
        <v>0</v>
      </c>
      <c r="AF295" s="52" t="e">
        <f>HLOOKUP(I295,ElecAvoidedCostsWOCC!$A$5:$Q$50,G295+1,FALSE)</f>
        <v>#N/A</v>
      </c>
      <c r="AG295" s="44" t="e">
        <f t="shared" ref="AG295:AG351" si="145">AF295*J295*K295</f>
        <v>#N/A</v>
      </c>
      <c r="AH295" s="52" t="e">
        <f>HLOOKUP(I295,ElecAvoidedCostsWOCC!$A$5:$Q$50,T295+1,FALSE)</f>
        <v>#N/A</v>
      </c>
      <c r="AI295" s="44" t="e">
        <f t="shared" ref="AI295:AI351" si="146">AH295*J295*L295</f>
        <v>#N/A</v>
      </c>
      <c r="AJ295" s="44" t="e">
        <f t="shared" ref="AJ295:AJ351" si="147">AG295+AI295</f>
        <v>#N/A</v>
      </c>
      <c r="AK295" s="44" t="e">
        <f>HLOOKUP(I295,ElecAvoidedCostsWOCC!$A$5:$Q$50,G295+1,FALSE)*J295*L295</f>
        <v>#N/A</v>
      </c>
      <c r="AL295" s="44" t="e">
        <f t="shared" ref="AL295:AL351" si="148">AG295+AI295-AK295</f>
        <v>#N/A</v>
      </c>
      <c r="AM295" s="48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8">
        <f t="shared" ref="AN295:AN351" si="149">AM295*1.1+AD295+AE295</f>
        <v>0</v>
      </c>
      <c r="AO295" s="47">
        <f t="shared" ref="AO295:AO351" si="150">IFERROR(AM295/AB295,0)</f>
        <v>0</v>
      </c>
      <c r="AP295" s="47" t="e">
        <f t="shared" ref="AP295:AP351" si="151">AN295/AC295</f>
        <v>#DIV/0!</v>
      </c>
    </row>
    <row r="296" spans="2:42">
      <c r="B296" s="97" t="s">
        <v>15</v>
      </c>
      <c r="C296" s="100"/>
      <c r="D296" s="100"/>
      <c r="E296" s="38"/>
      <c r="F296" s="39"/>
      <c r="G296" s="39"/>
      <c r="H296" s="39"/>
      <c r="I296" s="40"/>
      <c r="J296" s="41"/>
      <c r="K296" s="41"/>
      <c r="L296" s="41"/>
      <c r="M296" s="42"/>
      <c r="N296" s="42"/>
      <c r="O296" s="43"/>
      <c r="P296" s="44"/>
      <c r="Q296" s="44"/>
      <c r="R296" s="45"/>
      <c r="S296" s="46"/>
      <c r="T296" s="39">
        <f t="shared" si="133"/>
        <v>0</v>
      </c>
      <c r="U296" s="47">
        <f t="shared" si="134"/>
        <v>0</v>
      </c>
      <c r="V296" s="48">
        <f t="shared" si="135"/>
        <v>0</v>
      </c>
      <c r="W296" s="49">
        <f t="shared" si="136"/>
        <v>0</v>
      </c>
      <c r="X296" s="44">
        <f t="shared" si="137"/>
        <v>0</v>
      </c>
      <c r="Y296" s="44">
        <f t="shared" si="138"/>
        <v>0</v>
      </c>
      <c r="Z296" s="44">
        <f t="shared" si="139"/>
        <v>0</v>
      </c>
      <c r="AA296" s="50">
        <f t="shared" si="140"/>
        <v>0</v>
      </c>
      <c r="AB296" s="51">
        <f t="shared" si="141"/>
        <v>0</v>
      </c>
      <c r="AC296" s="44">
        <f t="shared" si="142"/>
        <v>0</v>
      </c>
      <c r="AD296" s="44">
        <f t="shared" si="143"/>
        <v>0</v>
      </c>
      <c r="AE296" s="44">
        <f t="shared" si="144"/>
        <v>0</v>
      </c>
      <c r="AF296" s="52" t="e">
        <f>HLOOKUP(I296,ElecAvoidedCostsWOCC!$A$5:$Q$50,G296+1,FALSE)</f>
        <v>#N/A</v>
      </c>
      <c r="AG296" s="44" t="e">
        <f t="shared" si="145"/>
        <v>#N/A</v>
      </c>
      <c r="AH296" s="52" t="e">
        <f>HLOOKUP(I296,ElecAvoidedCostsWOCC!$A$5:$Q$50,T296+1,FALSE)</f>
        <v>#N/A</v>
      </c>
      <c r="AI296" s="44" t="e">
        <f t="shared" si="146"/>
        <v>#N/A</v>
      </c>
      <c r="AJ296" s="44" t="e">
        <f t="shared" si="147"/>
        <v>#N/A</v>
      </c>
      <c r="AK296" s="44" t="e">
        <f>HLOOKUP(I296,ElecAvoidedCostsWOCC!$A$5:$Q$50,G296+1,FALSE)*J296*L296</f>
        <v>#N/A</v>
      </c>
      <c r="AL296" s="44" t="e">
        <f t="shared" si="148"/>
        <v>#N/A</v>
      </c>
      <c r="AM296" s="48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8">
        <f t="shared" si="149"/>
        <v>0</v>
      </c>
      <c r="AO296" s="47">
        <f t="shared" si="150"/>
        <v>0</v>
      </c>
      <c r="AP296" s="47" t="e">
        <f t="shared" si="151"/>
        <v>#DIV/0!</v>
      </c>
    </row>
    <row r="297" spans="2:42">
      <c r="B297" s="97" t="s">
        <v>15</v>
      </c>
      <c r="C297" s="100"/>
      <c r="D297" s="100"/>
      <c r="E297" s="38"/>
      <c r="F297" s="39"/>
      <c r="G297" s="39"/>
      <c r="H297" s="39"/>
      <c r="I297" s="40"/>
      <c r="J297" s="41"/>
      <c r="K297" s="41"/>
      <c r="L297" s="41"/>
      <c r="M297" s="42"/>
      <c r="N297" s="42"/>
      <c r="O297" s="43"/>
      <c r="P297" s="44"/>
      <c r="Q297" s="44"/>
      <c r="R297" s="45"/>
      <c r="S297" s="46"/>
      <c r="T297" s="39">
        <f t="shared" si="133"/>
        <v>0</v>
      </c>
      <c r="U297" s="47">
        <f t="shared" si="134"/>
        <v>0</v>
      </c>
      <c r="V297" s="48">
        <f t="shared" si="135"/>
        <v>0</v>
      </c>
      <c r="W297" s="49">
        <f t="shared" si="136"/>
        <v>0</v>
      </c>
      <c r="X297" s="44">
        <f t="shared" si="137"/>
        <v>0</v>
      </c>
      <c r="Y297" s="44">
        <f t="shared" si="138"/>
        <v>0</v>
      </c>
      <c r="Z297" s="44">
        <f t="shared" si="139"/>
        <v>0</v>
      </c>
      <c r="AA297" s="50">
        <f t="shared" si="140"/>
        <v>0</v>
      </c>
      <c r="AB297" s="51">
        <f t="shared" si="141"/>
        <v>0</v>
      </c>
      <c r="AC297" s="44">
        <f t="shared" si="142"/>
        <v>0</v>
      </c>
      <c r="AD297" s="44">
        <f t="shared" si="143"/>
        <v>0</v>
      </c>
      <c r="AE297" s="44">
        <f t="shared" si="144"/>
        <v>0</v>
      </c>
      <c r="AF297" s="52" t="e">
        <f>HLOOKUP(I297,ElecAvoidedCostsWOCC!$A$5:$Q$50,G297+1,FALSE)</f>
        <v>#N/A</v>
      </c>
      <c r="AG297" s="44" t="e">
        <f t="shared" si="145"/>
        <v>#N/A</v>
      </c>
      <c r="AH297" s="52" t="e">
        <f>HLOOKUP(I297,ElecAvoidedCostsWOCC!$A$5:$Q$50,T297+1,FALSE)</f>
        <v>#N/A</v>
      </c>
      <c r="AI297" s="44" t="e">
        <f t="shared" si="146"/>
        <v>#N/A</v>
      </c>
      <c r="AJ297" s="44" t="e">
        <f t="shared" si="147"/>
        <v>#N/A</v>
      </c>
      <c r="AK297" s="44" t="e">
        <f>HLOOKUP(I297,ElecAvoidedCostsWOCC!$A$5:$Q$50,G297+1,FALSE)*J297*L297</f>
        <v>#N/A</v>
      </c>
      <c r="AL297" s="44" t="e">
        <f t="shared" si="148"/>
        <v>#N/A</v>
      </c>
      <c r="AM297" s="48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8">
        <f t="shared" si="149"/>
        <v>0</v>
      </c>
      <c r="AO297" s="47">
        <f t="shared" si="150"/>
        <v>0</v>
      </c>
      <c r="AP297" s="47" t="e">
        <f t="shared" si="151"/>
        <v>#DIV/0!</v>
      </c>
    </row>
    <row r="298" spans="2:42">
      <c r="B298" s="97" t="s">
        <v>15</v>
      </c>
      <c r="C298" s="100"/>
      <c r="D298" s="100"/>
      <c r="E298" s="38"/>
      <c r="F298" s="39"/>
      <c r="G298" s="39"/>
      <c r="H298" s="39"/>
      <c r="I298" s="40"/>
      <c r="J298" s="41"/>
      <c r="K298" s="41"/>
      <c r="L298" s="41"/>
      <c r="M298" s="42"/>
      <c r="N298" s="42"/>
      <c r="O298" s="43"/>
      <c r="P298" s="44"/>
      <c r="Q298" s="44"/>
      <c r="R298" s="45"/>
      <c r="S298" s="46"/>
      <c r="T298" s="39">
        <f t="shared" si="133"/>
        <v>0</v>
      </c>
      <c r="U298" s="47">
        <f t="shared" si="134"/>
        <v>0</v>
      </c>
      <c r="V298" s="48">
        <f t="shared" si="135"/>
        <v>0</v>
      </c>
      <c r="W298" s="49">
        <f t="shared" si="136"/>
        <v>0</v>
      </c>
      <c r="X298" s="44">
        <f t="shared" si="137"/>
        <v>0</v>
      </c>
      <c r="Y298" s="44">
        <f t="shared" si="138"/>
        <v>0</v>
      </c>
      <c r="Z298" s="44">
        <f t="shared" si="139"/>
        <v>0</v>
      </c>
      <c r="AA298" s="50">
        <f t="shared" si="140"/>
        <v>0</v>
      </c>
      <c r="AB298" s="51">
        <f t="shared" si="141"/>
        <v>0</v>
      </c>
      <c r="AC298" s="44">
        <f t="shared" si="142"/>
        <v>0</v>
      </c>
      <c r="AD298" s="44">
        <f t="shared" si="143"/>
        <v>0</v>
      </c>
      <c r="AE298" s="44">
        <f t="shared" si="144"/>
        <v>0</v>
      </c>
      <c r="AF298" s="52" t="e">
        <f>HLOOKUP(I298,ElecAvoidedCostsWOCC!$A$5:$Q$50,G298+1,FALSE)</f>
        <v>#N/A</v>
      </c>
      <c r="AG298" s="44" t="e">
        <f t="shared" si="145"/>
        <v>#N/A</v>
      </c>
      <c r="AH298" s="52" t="e">
        <f>HLOOKUP(I298,ElecAvoidedCostsWOCC!$A$5:$Q$50,T298+1,FALSE)</f>
        <v>#N/A</v>
      </c>
      <c r="AI298" s="44" t="e">
        <f t="shared" si="146"/>
        <v>#N/A</v>
      </c>
      <c r="AJ298" s="44" t="e">
        <f t="shared" si="147"/>
        <v>#N/A</v>
      </c>
      <c r="AK298" s="44" t="e">
        <f>HLOOKUP(I298,ElecAvoidedCostsWOCC!$A$5:$Q$50,G298+1,FALSE)*J298*L298</f>
        <v>#N/A</v>
      </c>
      <c r="AL298" s="44" t="e">
        <f t="shared" si="148"/>
        <v>#N/A</v>
      </c>
      <c r="AM298" s="48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8">
        <f t="shared" si="149"/>
        <v>0</v>
      </c>
      <c r="AO298" s="47">
        <f t="shared" si="150"/>
        <v>0</v>
      </c>
      <c r="AP298" s="47" t="e">
        <f t="shared" si="151"/>
        <v>#DIV/0!</v>
      </c>
    </row>
    <row r="299" spans="2:42">
      <c r="B299" s="97" t="s">
        <v>15</v>
      </c>
      <c r="C299" s="100"/>
      <c r="D299" s="100"/>
      <c r="E299" s="38"/>
      <c r="F299" s="39"/>
      <c r="G299" s="39"/>
      <c r="H299" s="39"/>
      <c r="I299" s="40"/>
      <c r="J299" s="41"/>
      <c r="K299" s="41"/>
      <c r="L299" s="41"/>
      <c r="M299" s="42"/>
      <c r="N299" s="42"/>
      <c r="O299" s="43"/>
      <c r="P299" s="44"/>
      <c r="Q299" s="44"/>
      <c r="R299" s="45"/>
      <c r="S299" s="46"/>
      <c r="T299" s="39">
        <f t="shared" si="133"/>
        <v>0</v>
      </c>
      <c r="U299" s="47">
        <f t="shared" si="134"/>
        <v>0</v>
      </c>
      <c r="V299" s="48">
        <f t="shared" si="135"/>
        <v>0</v>
      </c>
      <c r="W299" s="49">
        <f t="shared" si="136"/>
        <v>0</v>
      </c>
      <c r="X299" s="44">
        <f t="shared" si="137"/>
        <v>0</v>
      </c>
      <c r="Y299" s="44">
        <f t="shared" si="138"/>
        <v>0</v>
      </c>
      <c r="Z299" s="44">
        <f t="shared" si="139"/>
        <v>0</v>
      </c>
      <c r="AA299" s="50">
        <f t="shared" si="140"/>
        <v>0</v>
      </c>
      <c r="AB299" s="51">
        <f t="shared" si="141"/>
        <v>0</v>
      </c>
      <c r="AC299" s="44">
        <f t="shared" si="142"/>
        <v>0</v>
      </c>
      <c r="AD299" s="44">
        <f t="shared" si="143"/>
        <v>0</v>
      </c>
      <c r="AE299" s="44">
        <f t="shared" si="144"/>
        <v>0</v>
      </c>
      <c r="AF299" s="52" t="e">
        <f>HLOOKUP(I299,ElecAvoidedCostsWOCC!$A$5:$Q$50,G299+1,FALSE)</f>
        <v>#N/A</v>
      </c>
      <c r="AG299" s="44" t="e">
        <f t="shared" si="145"/>
        <v>#N/A</v>
      </c>
      <c r="AH299" s="52" t="e">
        <f>HLOOKUP(I299,ElecAvoidedCostsWOCC!$A$5:$Q$50,T299+1,FALSE)</f>
        <v>#N/A</v>
      </c>
      <c r="AI299" s="44" t="e">
        <f t="shared" si="146"/>
        <v>#N/A</v>
      </c>
      <c r="AJ299" s="44" t="e">
        <f t="shared" si="147"/>
        <v>#N/A</v>
      </c>
      <c r="AK299" s="44" t="e">
        <f>HLOOKUP(I299,ElecAvoidedCostsWOCC!$A$5:$Q$50,G299+1,FALSE)*J299*L299</f>
        <v>#N/A</v>
      </c>
      <c r="AL299" s="44" t="e">
        <f t="shared" si="148"/>
        <v>#N/A</v>
      </c>
      <c r="AM299" s="48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8">
        <f t="shared" si="149"/>
        <v>0</v>
      </c>
      <c r="AO299" s="47">
        <f t="shared" si="150"/>
        <v>0</v>
      </c>
      <c r="AP299" s="47" t="e">
        <f t="shared" si="151"/>
        <v>#DIV/0!</v>
      </c>
    </row>
    <row r="300" spans="2:42">
      <c r="B300" s="97" t="s">
        <v>15</v>
      </c>
      <c r="C300" s="100"/>
      <c r="D300" s="100"/>
      <c r="E300" s="38"/>
      <c r="F300" s="39"/>
      <c r="G300" s="39"/>
      <c r="H300" s="39"/>
      <c r="I300" s="40"/>
      <c r="J300" s="41"/>
      <c r="K300" s="41"/>
      <c r="L300" s="41"/>
      <c r="M300" s="42"/>
      <c r="N300" s="42"/>
      <c r="O300" s="43"/>
      <c r="P300" s="44"/>
      <c r="Q300" s="44"/>
      <c r="R300" s="45"/>
      <c r="S300" s="46"/>
      <c r="T300" s="39">
        <f t="shared" si="133"/>
        <v>0</v>
      </c>
      <c r="U300" s="47">
        <f t="shared" si="134"/>
        <v>0</v>
      </c>
      <c r="V300" s="48">
        <f t="shared" si="135"/>
        <v>0</v>
      </c>
      <c r="W300" s="49">
        <f t="shared" si="136"/>
        <v>0</v>
      </c>
      <c r="X300" s="44">
        <f t="shared" si="137"/>
        <v>0</v>
      </c>
      <c r="Y300" s="44">
        <f t="shared" si="138"/>
        <v>0</v>
      </c>
      <c r="Z300" s="44">
        <f t="shared" si="139"/>
        <v>0</v>
      </c>
      <c r="AA300" s="50">
        <f t="shared" si="140"/>
        <v>0</v>
      </c>
      <c r="AB300" s="51">
        <f t="shared" si="141"/>
        <v>0</v>
      </c>
      <c r="AC300" s="44">
        <f t="shared" si="142"/>
        <v>0</v>
      </c>
      <c r="AD300" s="44">
        <f t="shared" si="143"/>
        <v>0</v>
      </c>
      <c r="AE300" s="44">
        <f t="shared" si="144"/>
        <v>0</v>
      </c>
      <c r="AF300" s="52" t="e">
        <f>HLOOKUP(I300,ElecAvoidedCostsWOCC!$A$5:$Q$50,G300+1,FALSE)</f>
        <v>#N/A</v>
      </c>
      <c r="AG300" s="44" t="e">
        <f t="shared" si="145"/>
        <v>#N/A</v>
      </c>
      <c r="AH300" s="52" t="e">
        <f>HLOOKUP(I300,ElecAvoidedCostsWOCC!$A$5:$Q$50,T300+1,FALSE)</f>
        <v>#N/A</v>
      </c>
      <c r="AI300" s="44" t="e">
        <f t="shared" si="146"/>
        <v>#N/A</v>
      </c>
      <c r="AJ300" s="44" t="e">
        <f t="shared" si="147"/>
        <v>#N/A</v>
      </c>
      <c r="AK300" s="44" t="e">
        <f>HLOOKUP(I300,ElecAvoidedCostsWOCC!$A$5:$Q$50,G300+1,FALSE)*J300*L300</f>
        <v>#N/A</v>
      </c>
      <c r="AL300" s="44" t="e">
        <f t="shared" si="148"/>
        <v>#N/A</v>
      </c>
      <c r="AM300" s="48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8">
        <f t="shared" si="149"/>
        <v>0</v>
      </c>
      <c r="AO300" s="47">
        <f t="shared" si="150"/>
        <v>0</v>
      </c>
      <c r="AP300" s="47" t="e">
        <f t="shared" si="151"/>
        <v>#DIV/0!</v>
      </c>
    </row>
    <row r="301" spans="2:42">
      <c r="B301" s="97" t="s">
        <v>15</v>
      </c>
      <c r="C301" s="100"/>
      <c r="D301" s="100"/>
      <c r="E301" s="38"/>
      <c r="F301" s="39"/>
      <c r="G301" s="39"/>
      <c r="H301" s="39"/>
      <c r="I301" s="40"/>
      <c r="J301" s="41"/>
      <c r="K301" s="41"/>
      <c r="L301" s="41"/>
      <c r="M301" s="42"/>
      <c r="N301" s="42"/>
      <c r="O301" s="43"/>
      <c r="P301" s="44"/>
      <c r="Q301" s="44"/>
      <c r="R301" s="45"/>
      <c r="S301" s="46"/>
      <c r="T301" s="39">
        <f t="shared" si="133"/>
        <v>0</v>
      </c>
      <c r="U301" s="47">
        <f t="shared" si="134"/>
        <v>0</v>
      </c>
      <c r="V301" s="48">
        <f t="shared" si="135"/>
        <v>0</v>
      </c>
      <c r="W301" s="49">
        <f t="shared" si="136"/>
        <v>0</v>
      </c>
      <c r="X301" s="44">
        <f t="shared" si="137"/>
        <v>0</v>
      </c>
      <c r="Y301" s="44">
        <f t="shared" si="138"/>
        <v>0</v>
      </c>
      <c r="Z301" s="44">
        <f t="shared" si="139"/>
        <v>0</v>
      </c>
      <c r="AA301" s="50">
        <f t="shared" si="140"/>
        <v>0</v>
      </c>
      <c r="AB301" s="51">
        <f t="shared" si="141"/>
        <v>0</v>
      </c>
      <c r="AC301" s="44">
        <f t="shared" si="142"/>
        <v>0</v>
      </c>
      <c r="AD301" s="44">
        <f t="shared" si="143"/>
        <v>0</v>
      </c>
      <c r="AE301" s="44">
        <f t="shared" si="144"/>
        <v>0</v>
      </c>
      <c r="AF301" s="52" t="e">
        <f>HLOOKUP(I301,ElecAvoidedCostsWOCC!$A$5:$Q$50,G301+1,FALSE)</f>
        <v>#N/A</v>
      </c>
      <c r="AG301" s="44" t="e">
        <f t="shared" si="145"/>
        <v>#N/A</v>
      </c>
      <c r="AH301" s="52" t="e">
        <f>HLOOKUP(I301,ElecAvoidedCostsWOCC!$A$5:$Q$50,T301+1,FALSE)</f>
        <v>#N/A</v>
      </c>
      <c r="AI301" s="44" t="e">
        <f t="shared" si="146"/>
        <v>#N/A</v>
      </c>
      <c r="AJ301" s="44" t="e">
        <f t="shared" si="147"/>
        <v>#N/A</v>
      </c>
      <c r="AK301" s="44" t="e">
        <f>HLOOKUP(I301,ElecAvoidedCostsWOCC!$A$5:$Q$50,G301+1,FALSE)*J301*L301</f>
        <v>#N/A</v>
      </c>
      <c r="AL301" s="44" t="e">
        <f t="shared" si="148"/>
        <v>#N/A</v>
      </c>
      <c r="AM301" s="48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8">
        <f t="shared" si="149"/>
        <v>0</v>
      </c>
      <c r="AO301" s="47">
        <f t="shared" si="150"/>
        <v>0</v>
      </c>
      <c r="AP301" s="47" t="e">
        <f t="shared" si="151"/>
        <v>#DIV/0!</v>
      </c>
    </row>
    <row r="302" spans="2:42">
      <c r="B302" s="97" t="s">
        <v>15</v>
      </c>
      <c r="C302" s="100"/>
      <c r="D302" s="100"/>
      <c r="E302" s="38"/>
      <c r="F302" s="39"/>
      <c r="G302" s="39"/>
      <c r="H302" s="39"/>
      <c r="I302" s="40"/>
      <c r="J302" s="41"/>
      <c r="K302" s="41"/>
      <c r="L302" s="41"/>
      <c r="M302" s="42"/>
      <c r="N302" s="42"/>
      <c r="O302" s="43"/>
      <c r="P302" s="44"/>
      <c r="Q302" s="44"/>
      <c r="R302" s="45"/>
      <c r="S302" s="46"/>
      <c r="T302" s="39">
        <f t="shared" si="133"/>
        <v>0</v>
      </c>
      <c r="U302" s="47">
        <f t="shared" si="134"/>
        <v>0</v>
      </c>
      <c r="V302" s="48">
        <f t="shared" si="135"/>
        <v>0</v>
      </c>
      <c r="W302" s="49">
        <f t="shared" si="136"/>
        <v>0</v>
      </c>
      <c r="X302" s="44">
        <f t="shared" si="137"/>
        <v>0</v>
      </c>
      <c r="Y302" s="44">
        <f t="shared" si="138"/>
        <v>0</v>
      </c>
      <c r="Z302" s="44">
        <f t="shared" si="139"/>
        <v>0</v>
      </c>
      <c r="AA302" s="50">
        <f t="shared" si="140"/>
        <v>0</v>
      </c>
      <c r="AB302" s="51">
        <f t="shared" si="141"/>
        <v>0</v>
      </c>
      <c r="AC302" s="44">
        <f t="shared" si="142"/>
        <v>0</v>
      </c>
      <c r="AD302" s="44">
        <f t="shared" si="143"/>
        <v>0</v>
      </c>
      <c r="AE302" s="44">
        <f t="shared" si="144"/>
        <v>0</v>
      </c>
      <c r="AF302" s="52" t="e">
        <f>HLOOKUP(I302,ElecAvoidedCostsWOCC!$A$5:$Q$50,G302+1,FALSE)</f>
        <v>#N/A</v>
      </c>
      <c r="AG302" s="44" t="e">
        <f t="shared" si="145"/>
        <v>#N/A</v>
      </c>
      <c r="AH302" s="52" t="e">
        <f>HLOOKUP(I302,ElecAvoidedCostsWOCC!$A$5:$Q$50,T302+1,FALSE)</f>
        <v>#N/A</v>
      </c>
      <c r="AI302" s="44" t="e">
        <f t="shared" si="146"/>
        <v>#N/A</v>
      </c>
      <c r="AJ302" s="44" t="e">
        <f t="shared" si="147"/>
        <v>#N/A</v>
      </c>
      <c r="AK302" s="44" t="e">
        <f>HLOOKUP(I302,ElecAvoidedCostsWOCC!$A$5:$Q$50,G302+1,FALSE)*J302*L302</f>
        <v>#N/A</v>
      </c>
      <c r="AL302" s="44" t="e">
        <f t="shared" si="148"/>
        <v>#N/A</v>
      </c>
      <c r="AM302" s="48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8">
        <f t="shared" si="149"/>
        <v>0</v>
      </c>
      <c r="AO302" s="47">
        <f t="shared" si="150"/>
        <v>0</v>
      </c>
      <c r="AP302" s="47" t="e">
        <f t="shared" si="151"/>
        <v>#DIV/0!</v>
      </c>
    </row>
    <row r="303" spans="2:42">
      <c r="B303" s="97" t="s">
        <v>15</v>
      </c>
      <c r="C303" s="100"/>
      <c r="D303" s="100"/>
      <c r="E303" s="38"/>
      <c r="F303" s="39"/>
      <c r="G303" s="39"/>
      <c r="H303" s="39"/>
      <c r="I303" s="40"/>
      <c r="J303" s="41"/>
      <c r="K303" s="41"/>
      <c r="L303" s="41"/>
      <c r="M303" s="42"/>
      <c r="N303" s="42"/>
      <c r="O303" s="43"/>
      <c r="P303" s="44"/>
      <c r="Q303" s="44"/>
      <c r="R303" s="45"/>
      <c r="S303" s="46"/>
      <c r="T303" s="39">
        <f t="shared" si="133"/>
        <v>0</v>
      </c>
      <c r="U303" s="47">
        <f t="shared" si="134"/>
        <v>0</v>
      </c>
      <c r="V303" s="48">
        <f t="shared" si="135"/>
        <v>0</v>
      </c>
      <c r="W303" s="49">
        <f t="shared" si="136"/>
        <v>0</v>
      </c>
      <c r="X303" s="44">
        <f t="shared" si="137"/>
        <v>0</v>
      </c>
      <c r="Y303" s="44">
        <f t="shared" si="138"/>
        <v>0</v>
      </c>
      <c r="Z303" s="44">
        <f t="shared" si="139"/>
        <v>0</v>
      </c>
      <c r="AA303" s="50">
        <f t="shared" si="140"/>
        <v>0</v>
      </c>
      <c r="AB303" s="51">
        <f t="shared" si="141"/>
        <v>0</v>
      </c>
      <c r="AC303" s="44">
        <f t="shared" si="142"/>
        <v>0</v>
      </c>
      <c r="AD303" s="44">
        <f t="shared" si="143"/>
        <v>0</v>
      </c>
      <c r="AE303" s="44">
        <f t="shared" si="144"/>
        <v>0</v>
      </c>
      <c r="AF303" s="52" t="e">
        <f>HLOOKUP(I303,ElecAvoidedCostsWOCC!$A$5:$Q$50,G303+1,FALSE)</f>
        <v>#N/A</v>
      </c>
      <c r="AG303" s="44" t="e">
        <f t="shared" si="145"/>
        <v>#N/A</v>
      </c>
      <c r="AH303" s="52" t="e">
        <f>HLOOKUP(I303,ElecAvoidedCostsWOCC!$A$5:$Q$50,T303+1,FALSE)</f>
        <v>#N/A</v>
      </c>
      <c r="AI303" s="44" t="e">
        <f t="shared" si="146"/>
        <v>#N/A</v>
      </c>
      <c r="AJ303" s="44" t="e">
        <f t="shared" si="147"/>
        <v>#N/A</v>
      </c>
      <c r="AK303" s="44" t="e">
        <f>HLOOKUP(I303,ElecAvoidedCostsWOCC!$A$5:$Q$50,G303+1,FALSE)*J303*L303</f>
        <v>#N/A</v>
      </c>
      <c r="AL303" s="44" t="e">
        <f t="shared" si="148"/>
        <v>#N/A</v>
      </c>
      <c r="AM303" s="48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8">
        <f t="shared" si="149"/>
        <v>0</v>
      </c>
      <c r="AO303" s="47">
        <f t="shared" si="150"/>
        <v>0</v>
      </c>
      <c r="AP303" s="47" t="e">
        <f t="shared" si="151"/>
        <v>#DIV/0!</v>
      </c>
    </row>
    <row r="304" spans="2:42">
      <c r="B304" s="97" t="s">
        <v>15</v>
      </c>
      <c r="C304" s="100"/>
      <c r="D304" s="100"/>
      <c r="E304" s="38"/>
      <c r="F304" s="39"/>
      <c r="G304" s="39"/>
      <c r="H304" s="39"/>
      <c r="I304" s="40"/>
      <c r="J304" s="41"/>
      <c r="K304" s="41"/>
      <c r="L304" s="41"/>
      <c r="M304" s="42"/>
      <c r="N304" s="42"/>
      <c r="O304" s="43"/>
      <c r="P304" s="44"/>
      <c r="Q304" s="44"/>
      <c r="R304" s="45"/>
      <c r="S304" s="46"/>
      <c r="T304" s="39">
        <f t="shared" si="133"/>
        <v>0</v>
      </c>
      <c r="U304" s="47">
        <f t="shared" si="134"/>
        <v>0</v>
      </c>
      <c r="V304" s="48">
        <f t="shared" si="135"/>
        <v>0</v>
      </c>
      <c r="W304" s="49">
        <f t="shared" si="136"/>
        <v>0</v>
      </c>
      <c r="X304" s="44">
        <f t="shared" si="137"/>
        <v>0</v>
      </c>
      <c r="Y304" s="44">
        <f t="shared" si="138"/>
        <v>0</v>
      </c>
      <c r="Z304" s="44">
        <f t="shared" si="139"/>
        <v>0</v>
      </c>
      <c r="AA304" s="50">
        <f t="shared" si="140"/>
        <v>0</v>
      </c>
      <c r="AB304" s="51">
        <f t="shared" si="141"/>
        <v>0</v>
      </c>
      <c r="AC304" s="44">
        <f t="shared" si="142"/>
        <v>0</v>
      </c>
      <c r="AD304" s="44">
        <f t="shared" si="143"/>
        <v>0</v>
      </c>
      <c r="AE304" s="44">
        <f t="shared" si="144"/>
        <v>0</v>
      </c>
      <c r="AF304" s="52" t="e">
        <f>HLOOKUP(I304,ElecAvoidedCostsWOCC!$A$5:$Q$50,G304+1,FALSE)</f>
        <v>#N/A</v>
      </c>
      <c r="AG304" s="44" t="e">
        <f t="shared" si="145"/>
        <v>#N/A</v>
      </c>
      <c r="AH304" s="52" t="e">
        <f>HLOOKUP(I304,ElecAvoidedCostsWOCC!$A$5:$Q$50,T304+1,FALSE)</f>
        <v>#N/A</v>
      </c>
      <c r="AI304" s="44" t="e">
        <f t="shared" si="146"/>
        <v>#N/A</v>
      </c>
      <c r="AJ304" s="44" t="e">
        <f t="shared" si="147"/>
        <v>#N/A</v>
      </c>
      <c r="AK304" s="44" t="e">
        <f>HLOOKUP(I304,ElecAvoidedCostsWOCC!$A$5:$Q$50,G304+1,FALSE)*J304*L304</f>
        <v>#N/A</v>
      </c>
      <c r="AL304" s="44" t="e">
        <f t="shared" si="148"/>
        <v>#N/A</v>
      </c>
      <c r="AM304" s="48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8">
        <f t="shared" si="149"/>
        <v>0</v>
      </c>
      <c r="AO304" s="47">
        <f t="shared" si="150"/>
        <v>0</v>
      </c>
      <c r="AP304" s="47" t="e">
        <f t="shared" si="151"/>
        <v>#DIV/0!</v>
      </c>
    </row>
    <row r="305" spans="2:42">
      <c r="B305" s="97" t="s">
        <v>15</v>
      </c>
      <c r="C305" s="100"/>
      <c r="D305" s="100"/>
      <c r="E305" s="38"/>
      <c r="F305" s="39"/>
      <c r="G305" s="39"/>
      <c r="H305" s="39"/>
      <c r="I305" s="40"/>
      <c r="J305" s="41"/>
      <c r="K305" s="41"/>
      <c r="L305" s="41"/>
      <c r="M305" s="42"/>
      <c r="N305" s="42"/>
      <c r="O305" s="43"/>
      <c r="P305" s="44"/>
      <c r="Q305" s="44"/>
      <c r="R305" s="45"/>
      <c r="S305" s="46"/>
      <c r="T305" s="39">
        <f t="shared" si="133"/>
        <v>0</v>
      </c>
      <c r="U305" s="47">
        <f t="shared" si="134"/>
        <v>0</v>
      </c>
      <c r="V305" s="48">
        <f t="shared" si="135"/>
        <v>0</v>
      </c>
      <c r="W305" s="49">
        <f t="shared" si="136"/>
        <v>0</v>
      </c>
      <c r="X305" s="44">
        <f t="shared" si="137"/>
        <v>0</v>
      </c>
      <c r="Y305" s="44">
        <f t="shared" si="138"/>
        <v>0</v>
      </c>
      <c r="Z305" s="44">
        <f t="shared" si="139"/>
        <v>0</v>
      </c>
      <c r="AA305" s="50">
        <f t="shared" si="140"/>
        <v>0</v>
      </c>
      <c r="AB305" s="51">
        <f t="shared" si="141"/>
        <v>0</v>
      </c>
      <c r="AC305" s="44">
        <f t="shared" si="142"/>
        <v>0</v>
      </c>
      <c r="AD305" s="44">
        <f t="shared" si="143"/>
        <v>0</v>
      </c>
      <c r="AE305" s="44">
        <f t="shared" si="144"/>
        <v>0</v>
      </c>
      <c r="AF305" s="52" t="e">
        <f>HLOOKUP(I305,ElecAvoidedCostsWOCC!$A$5:$Q$50,G305+1,FALSE)</f>
        <v>#N/A</v>
      </c>
      <c r="AG305" s="44" t="e">
        <f t="shared" si="145"/>
        <v>#N/A</v>
      </c>
      <c r="AH305" s="52" t="e">
        <f>HLOOKUP(I305,ElecAvoidedCostsWOCC!$A$5:$Q$50,T305+1,FALSE)</f>
        <v>#N/A</v>
      </c>
      <c r="AI305" s="44" t="e">
        <f t="shared" si="146"/>
        <v>#N/A</v>
      </c>
      <c r="AJ305" s="44" t="e">
        <f t="shared" si="147"/>
        <v>#N/A</v>
      </c>
      <c r="AK305" s="44" t="e">
        <f>HLOOKUP(I305,ElecAvoidedCostsWOCC!$A$5:$Q$50,G305+1,FALSE)*J305*L305</f>
        <v>#N/A</v>
      </c>
      <c r="AL305" s="44" t="e">
        <f t="shared" si="148"/>
        <v>#N/A</v>
      </c>
      <c r="AM305" s="48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8">
        <f t="shared" si="149"/>
        <v>0</v>
      </c>
      <c r="AO305" s="47">
        <f t="shared" si="150"/>
        <v>0</v>
      </c>
      <c r="AP305" s="47" t="e">
        <f t="shared" si="151"/>
        <v>#DIV/0!</v>
      </c>
    </row>
    <row r="306" spans="2:42">
      <c r="B306" s="97" t="s">
        <v>15</v>
      </c>
      <c r="C306" s="100"/>
      <c r="D306" s="100"/>
      <c r="E306" s="38"/>
      <c r="F306" s="39"/>
      <c r="G306" s="39"/>
      <c r="H306" s="39"/>
      <c r="I306" s="40"/>
      <c r="J306" s="41"/>
      <c r="K306" s="41"/>
      <c r="L306" s="41"/>
      <c r="M306" s="42"/>
      <c r="N306" s="42"/>
      <c r="O306" s="43"/>
      <c r="P306" s="44"/>
      <c r="Q306" s="44"/>
      <c r="R306" s="45"/>
      <c r="S306" s="46"/>
      <c r="T306" s="39">
        <f t="shared" si="133"/>
        <v>0</v>
      </c>
      <c r="U306" s="47">
        <f t="shared" si="134"/>
        <v>0</v>
      </c>
      <c r="V306" s="48">
        <f t="shared" si="135"/>
        <v>0</v>
      </c>
      <c r="W306" s="49">
        <f t="shared" si="136"/>
        <v>0</v>
      </c>
      <c r="X306" s="44">
        <f t="shared" si="137"/>
        <v>0</v>
      </c>
      <c r="Y306" s="44">
        <f t="shared" si="138"/>
        <v>0</v>
      </c>
      <c r="Z306" s="44">
        <f t="shared" si="139"/>
        <v>0</v>
      </c>
      <c r="AA306" s="50">
        <f t="shared" si="140"/>
        <v>0</v>
      </c>
      <c r="AB306" s="51">
        <f t="shared" si="141"/>
        <v>0</v>
      </c>
      <c r="AC306" s="44">
        <f t="shared" si="142"/>
        <v>0</v>
      </c>
      <c r="AD306" s="44">
        <f t="shared" si="143"/>
        <v>0</v>
      </c>
      <c r="AE306" s="44">
        <f t="shared" si="144"/>
        <v>0</v>
      </c>
      <c r="AF306" s="52" t="e">
        <f>HLOOKUP(I306,ElecAvoidedCostsWOCC!$A$5:$Q$50,G306+1,FALSE)</f>
        <v>#N/A</v>
      </c>
      <c r="AG306" s="44" t="e">
        <f t="shared" si="145"/>
        <v>#N/A</v>
      </c>
      <c r="AH306" s="52" t="e">
        <f>HLOOKUP(I306,ElecAvoidedCostsWOCC!$A$5:$Q$50,T306+1,FALSE)</f>
        <v>#N/A</v>
      </c>
      <c r="AI306" s="44" t="e">
        <f t="shared" si="146"/>
        <v>#N/A</v>
      </c>
      <c r="AJ306" s="44" t="e">
        <f t="shared" si="147"/>
        <v>#N/A</v>
      </c>
      <c r="AK306" s="44" t="e">
        <f>HLOOKUP(I306,ElecAvoidedCostsWOCC!$A$5:$Q$50,G306+1,FALSE)*J306*L306</f>
        <v>#N/A</v>
      </c>
      <c r="AL306" s="44" t="e">
        <f t="shared" si="148"/>
        <v>#N/A</v>
      </c>
      <c r="AM306" s="48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8">
        <f t="shared" si="149"/>
        <v>0</v>
      </c>
      <c r="AO306" s="47">
        <f t="shared" si="150"/>
        <v>0</v>
      </c>
      <c r="AP306" s="47" t="e">
        <f t="shared" si="151"/>
        <v>#DIV/0!</v>
      </c>
    </row>
    <row r="307" spans="2:42">
      <c r="B307" s="97" t="s">
        <v>15</v>
      </c>
      <c r="C307" s="100"/>
      <c r="D307" s="100"/>
      <c r="E307" s="38"/>
      <c r="F307" s="39"/>
      <c r="G307" s="39"/>
      <c r="H307" s="39"/>
      <c r="I307" s="40"/>
      <c r="J307" s="41"/>
      <c r="K307" s="41"/>
      <c r="L307" s="41"/>
      <c r="M307" s="42"/>
      <c r="N307" s="42"/>
      <c r="O307" s="43"/>
      <c r="P307" s="44"/>
      <c r="Q307" s="44"/>
      <c r="R307" s="45"/>
      <c r="S307" s="46"/>
      <c r="T307" s="39">
        <f t="shared" si="133"/>
        <v>0</v>
      </c>
      <c r="U307" s="47">
        <f t="shared" si="134"/>
        <v>0</v>
      </c>
      <c r="V307" s="48">
        <f t="shared" si="135"/>
        <v>0</v>
      </c>
      <c r="W307" s="49">
        <f t="shared" si="136"/>
        <v>0</v>
      </c>
      <c r="X307" s="44">
        <f t="shared" si="137"/>
        <v>0</v>
      </c>
      <c r="Y307" s="44">
        <f t="shared" si="138"/>
        <v>0</v>
      </c>
      <c r="Z307" s="44">
        <f t="shared" si="139"/>
        <v>0</v>
      </c>
      <c r="AA307" s="50">
        <f t="shared" si="140"/>
        <v>0</v>
      </c>
      <c r="AB307" s="51">
        <f t="shared" si="141"/>
        <v>0</v>
      </c>
      <c r="AC307" s="44">
        <f t="shared" si="142"/>
        <v>0</v>
      </c>
      <c r="AD307" s="44">
        <f t="shared" si="143"/>
        <v>0</v>
      </c>
      <c r="AE307" s="44">
        <f t="shared" si="144"/>
        <v>0</v>
      </c>
      <c r="AF307" s="52" t="e">
        <f>HLOOKUP(I307,ElecAvoidedCostsWOCC!$A$5:$Q$50,G307+1,FALSE)</f>
        <v>#N/A</v>
      </c>
      <c r="AG307" s="44" t="e">
        <f t="shared" si="145"/>
        <v>#N/A</v>
      </c>
      <c r="AH307" s="52" t="e">
        <f>HLOOKUP(I307,ElecAvoidedCostsWOCC!$A$5:$Q$50,T307+1,FALSE)</f>
        <v>#N/A</v>
      </c>
      <c r="AI307" s="44" t="e">
        <f t="shared" si="146"/>
        <v>#N/A</v>
      </c>
      <c r="AJ307" s="44" t="e">
        <f t="shared" si="147"/>
        <v>#N/A</v>
      </c>
      <c r="AK307" s="44" t="e">
        <f>HLOOKUP(I307,ElecAvoidedCostsWOCC!$A$5:$Q$50,G307+1,FALSE)*J307*L307</f>
        <v>#N/A</v>
      </c>
      <c r="AL307" s="44" t="e">
        <f t="shared" si="148"/>
        <v>#N/A</v>
      </c>
      <c r="AM307" s="48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8">
        <f t="shared" si="149"/>
        <v>0</v>
      </c>
      <c r="AO307" s="47">
        <f t="shared" si="150"/>
        <v>0</v>
      </c>
      <c r="AP307" s="47" t="e">
        <f t="shared" si="151"/>
        <v>#DIV/0!</v>
      </c>
    </row>
    <row r="308" spans="2:42">
      <c r="B308" s="97" t="s">
        <v>15</v>
      </c>
      <c r="C308" s="100"/>
      <c r="D308" s="100"/>
      <c r="E308" s="38"/>
      <c r="F308" s="39"/>
      <c r="G308" s="39"/>
      <c r="H308" s="39"/>
      <c r="I308" s="40"/>
      <c r="J308" s="41"/>
      <c r="K308" s="41"/>
      <c r="L308" s="41"/>
      <c r="M308" s="42"/>
      <c r="N308" s="42"/>
      <c r="O308" s="43"/>
      <c r="P308" s="44"/>
      <c r="Q308" s="44"/>
      <c r="R308" s="45"/>
      <c r="S308" s="46"/>
      <c r="T308" s="39">
        <f t="shared" si="133"/>
        <v>0</v>
      </c>
      <c r="U308" s="47">
        <f t="shared" si="134"/>
        <v>0</v>
      </c>
      <c r="V308" s="48">
        <f t="shared" si="135"/>
        <v>0</v>
      </c>
      <c r="W308" s="49">
        <f t="shared" si="136"/>
        <v>0</v>
      </c>
      <c r="X308" s="44">
        <f t="shared" si="137"/>
        <v>0</v>
      </c>
      <c r="Y308" s="44">
        <f t="shared" si="138"/>
        <v>0</v>
      </c>
      <c r="Z308" s="44">
        <f t="shared" si="139"/>
        <v>0</v>
      </c>
      <c r="AA308" s="50">
        <f t="shared" si="140"/>
        <v>0</v>
      </c>
      <c r="AB308" s="51">
        <f t="shared" si="141"/>
        <v>0</v>
      </c>
      <c r="AC308" s="44">
        <f t="shared" si="142"/>
        <v>0</v>
      </c>
      <c r="AD308" s="44">
        <f t="shared" si="143"/>
        <v>0</v>
      </c>
      <c r="AE308" s="44">
        <f t="shared" si="144"/>
        <v>0</v>
      </c>
      <c r="AF308" s="52" t="e">
        <f>HLOOKUP(I308,ElecAvoidedCostsWOCC!$A$5:$Q$50,G308+1,FALSE)</f>
        <v>#N/A</v>
      </c>
      <c r="AG308" s="44" t="e">
        <f t="shared" si="145"/>
        <v>#N/A</v>
      </c>
      <c r="AH308" s="52" t="e">
        <f>HLOOKUP(I308,ElecAvoidedCostsWOCC!$A$5:$Q$50,T308+1,FALSE)</f>
        <v>#N/A</v>
      </c>
      <c r="AI308" s="44" t="e">
        <f t="shared" si="146"/>
        <v>#N/A</v>
      </c>
      <c r="AJ308" s="44" t="e">
        <f t="shared" si="147"/>
        <v>#N/A</v>
      </c>
      <c r="AK308" s="44" t="e">
        <f>HLOOKUP(I308,ElecAvoidedCostsWOCC!$A$5:$Q$50,G308+1,FALSE)*J308*L308</f>
        <v>#N/A</v>
      </c>
      <c r="AL308" s="44" t="e">
        <f t="shared" si="148"/>
        <v>#N/A</v>
      </c>
      <c r="AM308" s="48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8">
        <f t="shared" si="149"/>
        <v>0</v>
      </c>
      <c r="AO308" s="47">
        <f t="shared" si="150"/>
        <v>0</v>
      </c>
      <c r="AP308" s="47" t="e">
        <f t="shared" si="151"/>
        <v>#DIV/0!</v>
      </c>
    </row>
    <row r="309" spans="2:42">
      <c r="B309" s="97" t="s">
        <v>15</v>
      </c>
      <c r="C309" s="100"/>
      <c r="D309" s="100"/>
      <c r="E309" s="38"/>
      <c r="F309" s="39"/>
      <c r="G309" s="39"/>
      <c r="H309" s="39"/>
      <c r="I309" s="40"/>
      <c r="J309" s="41"/>
      <c r="K309" s="41"/>
      <c r="L309" s="41"/>
      <c r="M309" s="42"/>
      <c r="N309" s="42"/>
      <c r="O309" s="43"/>
      <c r="P309" s="44"/>
      <c r="Q309" s="44"/>
      <c r="R309" s="45"/>
      <c r="S309" s="46"/>
      <c r="T309" s="39">
        <f t="shared" si="133"/>
        <v>0</v>
      </c>
      <c r="U309" s="47">
        <f t="shared" si="134"/>
        <v>0</v>
      </c>
      <c r="V309" s="48">
        <f t="shared" si="135"/>
        <v>0</v>
      </c>
      <c r="W309" s="49">
        <f t="shared" si="136"/>
        <v>0</v>
      </c>
      <c r="X309" s="44">
        <f t="shared" si="137"/>
        <v>0</v>
      </c>
      <c r="Y309" s="44">
        <f t="shared" si="138"/>
        <v>0</v>
      </c>
      <c r="Z309" s="44">
        <f t="shared" si="139"/>
        <v>0</v>
      </c>
      <c r="AA309" s="50">
        <f t="shared" si="140"/>
        <v>0</v>
      </c>
      <c r="AB309" s="51">
        <f t="shared" si="141"/>
        <v>0</v>
      </c>
      <c r="AC309" s="44">
        <f t="shared" si="142"/>
        <v>0</v>
      </c>
      <c r="AD309" s="44">
        <f t="shared" si="143"/>
        <v>0</v>
      </c>
      <c r="AE309" s="44">
        <f t="shared" si="144"/>
        <v>0</v>
      </c>
      <c r="AF309" s="52" t="e">
        <f>HLOOKUP(I309,ElecAvoidedCostsWOCC!$A$5:$Q$50,G309+1,FALSE)</f>
        <v>#N/A</v>
      </c>
      <c r="AG309" s="44" t="e">
        <f t="shared" si="145"/>
        <v>#N/A</v>
      </c>
      <c r="AH309" s="52" t="e">
        <f>HLOOKUP(I309,ElecAvoidedCostsWOCC!$A$5:$Q$50,T309+1,FALSE)</f>
        <v>#N/A</v>
      </c>
      <c r="AI309" s="44" t="e">
        <f t="shared" si="146"/>
        <v>#N/A</v>
      </c>
      <c r="AJ309" s="44" t="e">
        <f t="shared" si="147"/>
        <v>#N/A</v>
      </c>
      <c r="AK309" s="44" t="e">
        <f>HLOOKUP(I309,ElecAvoidedCostsWOCC!$A$5:$Q$50,G309+1,FALSE)*J309*L309</f>
        <v>#N/A</v>
      </c>
      <c r="AL309" s="44" t="e">
        <f t="shared" si="148"/>
        <v>#N/A</v>
      </c>
      <c r="AM309" s="48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8">
        <f t="shared" si="149"/>
        <v>0</v>
      </c>
      <c r="AO309" s="47">
        <f t="shared" si="150"/>
        <v>0</v>
      </c>
      <c r="AP309" s="47" t="e">
        <f t="shared" si="151"/>
        <v>#DIV/0!</v>
      </c>
    </row>
    <row r="310" spans="2:42">
      <c r="B310" s="97" t="s">
        <v>15</v>
      </c>
      <c r="C310" s="100"/>
      <c r="D310" s="100"/>
      <c r="E310" s="38"/>
      <c r="F310" s="39"/>
      <c r="G310" s="39"/>
      <c r="H310" s="39"/>
      <c r="I310" s="40"/>
      <c r="J310" s="41"/>
      <c r="K310" s="41"/>
      <c r="L310" s="41"/>
      <c r="M310" s="42"/>
      <c r="N310" s="42"/>
      <c r="O310" s="43"/>
      <c r="P310" s="44"/>
      <c r="Q310" s="44"/>
      <c r="R310" s="45"/>
      <c r="S310" s="46"/>
      <c r="T310" s="39">
        <f t="shared" si="133"/>
        <v>0</v>
      </c>
      <c r="U310" s="47">
        <f t="shared" si="134"/>
        <v>0</v>
      </c>
      <c r="V310" s="48">
        <f t="shared" si="135"/>
        <v>0</v>
      </c>
      <c r="W310" s="49">
        <f t="shared" si="136"/>
        <v>0</v>
      </c>
      <c r="X310" s="44">
        <f t="shared" si="137"/>
        <v>0</v>
      </c>
      <c r="Y310" s="44">
        <f t="shared" si="138"/>
        <v>0</v>
      </c>
      <c r="Z310" s="44">
        <f t="shared" si="139"/>
        <v>0</v>
      </c>
      <c r="AA310" s="50">
        <f t="shared" si="140"/>
        <v>0</v>
      </c>
      <c r="AB310" s="51">
        <f t="shared" si="141"/>
        <v>0</v>
      </c>
      <c r="AC310" s="44">
        <f t="shared" si="142"/>
        <v>0</v>
      </c>
      <c r="AD310" s="44">
        <f t="shared" si="143"/>
        <v>0</v>
      </c>
      <c r="AE310" s="44">
        <f t="shared" si="144"/>
        <v>0</v>
      </c>
      <c r="AF310" s="52" t="e">
        <f>HLOOKUP(I310,ElecAvoidedCostsWOCC!$A$5:$Q$50,G310+1,FALSE)</f>
        <v>#N/A</v>
      </c>
      <c r="AG310" s="44" t="e">
        <f t="shared" si="145"/>
        <v>#N/A</v>
      </c>
      <c r="AH310" s="52" t="e">
        <f>HLOOKUP(I310,ElecAvoidedCostsWOCC!$A$5:$Q$50,T310+1,FALSE)</f>
        <v>#N/A</v>
      </c>
      <c r="AI310" s="44" t="e">
        <f t="shared" si="146"/>
        <v>#N/A</v>
      </c>
      <c r="AJ310" s="44" t="e">
        <f t="shared" si="147"/>
        <v>#N/A</v>
      </c>
      <c r="AK310" s="44" t="e">
        <f>HLOOKUP(I310,ElecAvoidedCostsWOCC!$A$5:$Q$50,G310+1,FALSE)*J310*L310</f>
        <v>#N/A</v>
      </c>
      <c r="AL310" s="44" t="e">
        <f t="shared" si="148"/>
        <v>#N/A</v>
      </c>
      <c r="AM310" s="48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8">
        <f t="shared" si="149"/>
        <v>0</v>
      </c>
      <c r="AO310" s="47">
        <f t="shared" si="150"/>
        <v>0</v>
      </c>
      <c r="AP310" s="47" t="e">
        <f t="shared" si="151"/>
        <v>#DIV/0!</v>
      </c>
    </row>
    <row r="311" spans="2:42">
      <c r="B311" s="97" t="s">
        <v>15</v>
      </c>
      <c r="C311" s="100"/>
      <c r="D311" s="100"/>
      <c r="E311" s="38"/>
      <c r="F311" s="39"/>
      <c r="G311" s="39"/>
      <c r="H311" s="39"/>
      <c r="I311" s="40"/>
      <c r="J311" s="41"/>
      <c r="K311" s="41"/>
      <c r="L311" s="41"/>
      <c r="M311" s="42"/>
      <c r="N311" s="42"/>
      <c r="O311" s="43"/>
      <c r="P311" s="44"/>
      <c r="Q311" s="44"/>
      <c r="R311" s="45"/>
      <c r="S311" s="46"/>
      <c r="T311" s="39">
        <f t="shared" si="133"/>
        <v>0</v>
      </c>
      <c r="U311" s="47">
        <f t="shared" si="134"/>
        <v>0</v>
      </c>
      <c r="V311" s="48">
        <f t="shared" si="135"/>
        <v>0</v>
      </c>
      <c r="W311" s="49">
        <f t="shared" si="136"/>
        <v>0</v>
      </c>
      <c r="X311" s="44">
        <f t="shared" si="137"/>
        <v>0</v>
      </c>
      <c r="Y311" s="44">
        <f t="shared" si="138"/>
        <v>0</v>
      </c>
      <c r="Z311" s="44">
        <f t="shared" si="139"/>
        <v>0</v>
      </c>
      <c r="AA311" s="50">
        <f t="shared" si="140"/>
        <v>0</v>
      </c>
      <c r="AB311" s="51">
        <f t="shared" si="141"/>
        <v>0</v>
      </c>
      <c r="AC311" s="44">
        <f t="shared" si="142"/>
        <v>0</v>
      </c>
      <c r="AD311" s="44">
        <f t="shared" si="143"/>
        <v>0</v>
      </c>
      <c r="AE311" s="44">
        <f t="shared" si="144"/>
        <v>0</v>
      </c>
      <c r="AF311" s="52" t="e">
        <f>HLOOKUP(I311,ElecAvoidedCostsWOCC!$A$5:$Q$50,G311+1,FALSE)</f>
        <v>#N/A</v>
      </c>
      <c r="AG311" s="44" t="e">
        <f t="shared" si="145"/>
        <v>#N/A</v>
      </c>
      <c r="AH311" s="52" t="e">
        <f>HLOOKUP(I311,ElecAvoidedCostsWOCC!$A$5:$Q$50,T311+1,FALSE)</f>
        <v>#N/A</v>
      </c>
      <c r="AI311" s="44" t="e">
        <f t="shared" si="146"/>
        <v>#N/A</v>
      </c>
      <c r="AJ311" s="44" t="e">
        <f t="shared" si="147"/>
        <v>#N/A</v>
      </c>
      <c r="AK311" s="44" t="e">
        <f>HLOOKUP(I311,ElecAvoidedCostsWOCC!$A$5:$Q$50,G311+1,FALSE)*J311*L311</f>
        <v>#N/A</v>
      </c>
      <c r="AL311" s="44" t="e">
        <f t="shared" si="148"/>
        <v>#N/A</v>
      </c>
      <c r="AM311" s="48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8">
        <f t="shared" si="149"/>
        <v>0</v>
      </c>
      <c r="AO311" s="47">
        <f t="shared" si="150"/>
        <v>0</v>
      </c>
      <c r="AP311" s="47" t="e">
        <f t="shared" si="151"/>
        <v>#DIV/0!</v>
      </c>
    </row>
    <row r="312" spans="2:42">
      <c r="B312" s="97" t="s">
        <v>15</v>
      </c>
      <c r="C312" s="100"/>
      <c r="D312" s="100"/>
      <c r="E312" s="38"/>
      <c r="F312" s="39"/>
      <c r="G312" s="39"/>
      <c r="H312" s="39"/>
      <c r="I312" s="40"/>
      <c r="J312" s="41"/>
      <c r="K312" s="41"/>
      <c r="L312" s="41"/>
      <c r="M312" s="42"/>
      <c r="N312" s="42"/>
      <c r="O312" s="43"/>
      <c r="P312" s="44"/>
      <c r="Q312" s="44"/>
      <c r="R312" s="45"/>
      <c r="S312" s="46"/>
      <c r="T312" s="39">
        <f t="shared" si="133"/>
        <v>0</v>
      </c>
      <c r="U312" s="47">
        <f t="shared" si="134"/>
        <v>0</v>
      </c>
      <c r="V312" s="48">
        <f t="shared" si="135"/>
        <v>0</v>
      </c>
      <c r="W312" s="49">
        <f t="shared" si="136"/>
        <v>0</v>
      </c>
      <c r="X312" s="44">
        <f t="shared" si="137"/>
        <v>0</v>
      </c>
      <c r="Y312" s="44">
        <f t="shared" si="138"/>
        <v>0</v>
      </c>
      <c r="Z312" s="44">
        <f t="shared" si="139"/>
        <v>0</v>
      </c>
      <c r="AA312" s="50">
        <f t="shared" si="140"/>
        <v>0</v>
      </c>
      <c r="AB312" s="51">
        <f t="shared" si="141"/>
        <v>0</v>
      </c>
      <c r="AC312" s="44">
        <f t="shared" si="142"/>
        <v>0</v>
      </c>
      <c r="AD312" s="44">
        <f t="shared" si="143"/>
        <v>0</v>
      </c>
      <c r="AE312" s="44">
        <f t="shared" si="144"/>
        <v>0</v>
      </c>
      <c r="AF312" s="52" t="e">
        <f>HLOOKUP(I312,ElecAvoidedCostsWOCC!$A$5:$Q$50,G312+1,FALSE)</f>
        <v>#N/A</v>
      </c>
      <c r="AG312" s="44" t="e">
        <f t="shared" si="145"/>
        <v>#N/A</v>
      </c>
      <c r="AH312" s="52" t="e">
        <f>HLOOKUP(I312,ElecAvoidedCostsWOCC!$A$5:$Q$50,T312+1,FALSE)</f>
        <v>#N/A</v>
      </c>
      <c r="AI312" s="44" t="e">
        <f t="shared" si="146"/>
        <v>#N/A</v>
      </c>
      <c r="AJ312" s="44" t="e">
        <f t="shared" si="147"/>
        <v>#N/A</v>
      </c>
      <c r="AK312" s="44" t="e">
        <f>HLOOKUP(I312,ElecAvoidedCostsWOCC!$A$5:$Q$50,G312+1,FALSE)*J312*L312</f>
        <v>#N/A</v>
      </c>
      <c r="AL312" s="44" t="e">
        <f t="shared" si="148"/>
        <v>#N/A</v>
      </c>
      <c r="AM312" s="48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8">
        <f t="shared" si="149"/>
        <v>0</v>
      </c>
      <c r="AO312" s="47">
        <f t="shared" si="150"/>
        <v>0</v>
      </c>
      <c r="AP312" s="47" t="e">
        <f t="shared" si="151"/>
        <v>#DIV/0!</v>
      </c>
    </row>
    <row r="313" spans="2:42">
      <c r="B313" s="97" t="s">
        <v>15</v>
      </c>
      <c r="C313" s="100"/>
      <c r="D313" s="100"/>
      <c r="E313" s="38"/>
      <c r="F313" s="39"/>
      <c r="G313" s="39"/>
      <c r="H313" s="39"/>
      <c r="I313" s="40"/>
      <c r="J313" s="41"/>
      <c r="K313" s="41"/>
      <c r="L313" s="41"/>
      <c r="M313" s="42"/>
      <c r="N313" s="42"/>
      <c r="O313" s="43"/>
      <c r="P313" s="44"/>
      <c r="Q313" s="44"/>
      <c r="R313" s="45"/>
      <c r="S313" s="46"/>
      <c r="T313" s="39">
        <f t="shared" si="133"/>
        <v>0</v>
      </c>
      <c r="U313" s="47">
        <f t="shared" si="134"/>
        <v>0</v>
      </c>
      <c r="V313" s="48">
        <f t="shared" si="135"/>
        <v>0</v>
      </c>
      <c r="W313" s="49">
        <f t="shared" si="136"/>
        <v>0</v>
      </c>
      <c r="X313" s="44">
        <f t="shared" si="137"/>
        <v>0</v>
      </c>
      <c r="Y313" s="44">
        <f t="shared" si="138"/>
        <v>0</v>
      </c>
      <c r="Z313" s="44">
        <f t="shared" si="139"/>
        <v>0</v>
      </c>
      <c r="AA313" s="50">
        <f t="shared" si="140"/>
        <v>0</v>
      </c>
      <c r="AB313" s="51">
        <f t="shared" si="141"/>
        <v>0</v>
      </c>
      <c r="AC313" s="44">
        <f t="shared" si="142"/>
        <v>0</v>
      </c>
      <c r="AD313" s="44">
        <f t="shared" si="143"/>
        <v>0</v>
      </c>
      <c r="AE313" s="44">
        <f t="shared" si="144"/>
        <v>0</v>
      </c>
      <c r="AF313" s="52" t="e">
        <f>HLOOKUP(I313,ElecAvoidedCostsWOCC!$A$5:$Q$50,G313+1,FALSE)</f>
        <v>#N/A</v>
      </c>
      <c r="AG313" s="44" t="e">
        <f t="shared" si="145"/>
        <v>#N/A</v>
      </c>
      <c r="AH313" s="52" t="e">
        <f>HLOOKUP(I313,ElecAvoidedCostsWOCC!$A$5:$Q$50,T313+1,FALSE)</f>
        <v>#N/A</v>
      </c>
      <c r="AI313" s="44" t="e">
        <f t="shared" si="146"/>
        <v>#N/A</v>
      </c>
      <c r="AJ313" s="44" t="e">
        <f t="shared" si="147"/>
        <v>#N/A</v>
      </c>
      <c r="AK313" s="44" t="e">
        <f>HLOOKUP(I313,ElecAvoidedCostsWOCC!$A$5:$Q$50,G313+1,FALSE)*J313*L313</f>
        <v>#N/A</v>
      </c>
      <c r="AL313" s="44" t="e">
        <f t="shared" si="148"/>
        <v>#N/A</v>
      </c>
      <c r="AM313" s="48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8">
        <f t="shared" si="149"/>
        <v>0</v>
      </c>
      <c r="AO313" s="47">
        <f t="shared" si="150"/>
        <v>0</v>
      </c>
      <c r="AP313" s="47" t="e">
        <f t="shared" si="151"/>
        <v>#DIV/0!</v>
      </c>
    </row>
    <row r="314" spans="2:42">
      <c r="B314" s="97" t="s">
        <v>15</v>
      </c>
      <c r="C314" s="100"/>
      <c r="D314" s="100"/>
      <c r="E314" s="38"/>
      <c r="F314" s="39"/>
      <c r="G314" s="39"/>
      <c r="H314" s="39"/>
      <c r="I314" s="40"/>
      <c r="J314" s="41"/>
      <c r="K314" s="41"/>
      <c r="L314" s="41"/>
      <c r="M314" s="42"/>
      <c r="N314" s="42"/>
      <c r="O314" s="43"/>
      <c r="P314" s="44"/>
      <c r="Q314" s="44"/>
      <c r="R314" s="45"/>
      <c r="S314" s="46"/>
      <c r="T314" s="39">
        <f t="shared" si="133"/>
        <v>0</v>
      </c>
      <c r="U314" s="47">
        <f t="shared" si="134"/>
        <v>0</v>
      </c>
      <c r="V314" s="48">
        <f t="shared" si="135"/>
        <v>0</v>
      </c>
      <c r="W314" s="49">
        <f t="shared" si="136"/>
        <v>0</v>
      </c>
      <c r="X314" s="44">
        <f t="shared" si="137"/>
        <v>0</v>
      </c>
      <c r="Y314" s="44">
        <f t="shared" si="138"/>
        <v>0</v>
      </c>
      <c r="Z314" s="44">
        <f t="shared" si="139"/>
        <v>0</v>
      </c>
      <c r="AA314" s="50">
        <f t="shared" si="140"/>
        <v>0</v>
      </c>
      <c r="AB314" s="51">
        <f t="shared" si="141"/>
        <v>0</v>
      </c>
      <c r="AC314" s="44">
        <f t="shared" si="142"/>
        <v>0</v>
      </c>
      <c r="AD314" s="44">
        <f t="shared" si="143"/>
        <v>0</v>
      </c>
      <c r="AE314" s="44">
        <f t="shared" si="144"/>
        <v>0</v>
      </c>
      <c r="AF314" s="52" t="e">
        <f>HLOOKUP(I314,ElecAvoidedCostsWOCC!$A$5:$Q$50,G314+1,FALSE)</f>
        <v>#N/A</v>
      </c>
      <c r="AG314" s="44" t="e">
        <f t="shared" si="145"/>
        <v>#N/A</v>
      </c>
      <c r="AH314" s="52" t="e">
        <f>HLOOKUP(I314,ElecAvoidedCostsWOCC!$A$5:$Q$50,T314+1,FALSE)</f>
        <v>#N/A</v>
      </c>
      <c r="AI314" s="44" t="e">
        <f t="shared" si="146"/>
        <v>#N/A</v>
      </c>
      <c r="AJ314" s="44" t="e">
        <f t="shared" si="147"/>
        <v>#N/A</v>
      </c>
      <c r="AK314" s="44" t="e">
        <f>HLOOKUP(I314,ElecAvoidedCostsWOCC!$A$5:$Q$50,G314+1,FALSE)*J314*L314</f>
        <v>#N/A</v>
      </c>
      <c r="AL314" s="44" t="e">
        <f t="shared" si="148"/>
        <v>#N/A</v>
      </c>
      <c r="AM314" s="48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8">
        <f t="shared" si="149"/>
        <v>0</v>
      </c>
      <c r="AO314" s="47">
        <f t="shared" si="150"/>
        <v>0</v>
      </c>
      <c r="AP314" s="47" t="e">
        <f t="shared" si="151"/>
        <v>#DIV/0!</v>
      </c>
    </row>
    <row r="315" spans="2:42">
      <c r="B315" s="97" t="s">
        <v>15</v>
      </c>
      <c r="C315" s="100"/>
      <c r="D315" s="100"/>
      <c r="E315" s="38"/>
      <c r="F315" s="39"/>
      <c r="G315" s="39"/>
      <c r="H315" s="39"/>
      <c r="I315" s="40"/>
      <c r="J315" s="41"/>
      <c r="K315" s="41"/>
      <c r="L315" s="41"/>
      <c r="M315" s="42"/>
      <c r="N315" s="42"/>
      <c r="O315" s="43"/>
      <c r="P315" s="44"/>
      <c r="Q315" s="44"/>
      <c r="R315" s="45"/>
      <c r="S315" s="46"/>
      <c r="T315" s="39">
        <f t="shared" si="133"/>
        <v>0</v>
      </c>
      <c r="U315" s="47">
        <f t="shared" si="134"/>
        <v>0</v>
      </c>
      <c r="V315" s="48">
        <f t="shared" si="135"/>
        <v>0</v>
      </c>
      <c r="W315" s="49">
        <f t="shared" si="136"/>
        <v>0</v>
      </c>
      <c r="X315" s="44">
        <f t="shared" si="137"/>
        <v>0</v>
      </c>
      <c r="Y315" s="44">
        <f t="shared" si="138"/>
        <v>0</v>
      </c>
      <c r="Z315" s="44">
        <f t="shared" si="139"/>
        <v>0</v>
      </c>
      <c r="AA315" s="50">
        <f t="shared" si="140"/>
        <v>0</v>
      </c>
      <c r="AB315" s="51">
        <f t="shared" si="141"/>
        <v>0</v>
      </c>
      <c r="AC315" s="44">
        <f t="shared" si="142"/>
        <v>0</v>
      </c>
      <c r="AD315" s="44">
        <f t="shared" si="143"/>
        <v>0</v>
      </c>
      <c r="AE315" s="44">
        <f t="shared" si="144"/>
        <v>0</v>
      </c>
      <c r="AF315" s="52" t="e">
        <f>HLOOKUP(I315,ElecAvoidedCostsWOCC!$A$5:$Q$50,G315+1,FALSE)</f>
        <v>#N/A</v>
      </c>
      <c r="AG315" s="44" t="e">
        <f t="shared" si="145"/>
        <v>#N/A</v>
      </c>
      <c r="AH315" s="52" t="e">
        <f>HLOOKUP(I315,ElecAvoidedCostsWOCC!$A$5:$Q$50,T315+1,FALSE)</f>
        <v>#N/A</v>
      </c>
      <c r="AI315" s="44" t="e">
        <f t="shared" si="146"/>
        <v>#N/A</v>
      </c>
      <c r="AJ315" s="44" t="e">
        <f t="shared" si="147"/>
        <v>#N/A</v>
      </c>
      <c r="AK315" s="44" t="e">
        <f>HLOOKUP(I315,ElecAvoidedCostsWOCC!$A$5:$Q$50,G315+1,FALSE)*J315*L315</f>
        <v>#N/A</v>
      </c>
      <c r="AL315" s="44" t="e">
        <f t="shared" si="148"/>
        <v>#N/A</v>
      </c>
      <c r="AM315" s="48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8">
        <f t="shared" si="149"/>
        <v>0</v>
      </c>
      <c r="AO315" s="47">
        <f t="shared" si="150"/>
        <v>0</v>
      </c>
      <c r="AP315" s="47" t="e">
        <f t="shared" si="151"/>
        <v>#DIV/0!</v>
      </c>
    </row>
    <row r="316" spans="2:42">
      <c r="B316" s="97" t="s">
        <v>15</v>
      </c>
      <c r="C316" s="100"/>
      <c r="D316" s="100"/>
      <c r="E316" s="38"/>
      <c r="F316" s="39"/>
      <c r="G316" s="39"/>
      <c r="H316" s="39"/>
      <c r="I316" s="40"/>
      <c r="J316" s="41"/>
      <c r="K316" s="41"/>
      <c r="L316" s="41"/>
      <c r="M316" s="42"/>
      <c r="N316" s="42"/>
      <c r="O316" s="43"/>
      <c r="P316" s="44"/>
      <c r="Q316" s="44"/>
      <c r="R316" s="45"/>
      <c r="S316" s="46"/>
      <c r="T316" s="39">
        <f t="shared" si="133"/>
        <v>0</v>
      </c>
      <c r="U316" s="47">
        <f t="shared" si="134"/>
        <v>0</v>
      </c>
      <c r="V316" s="48">
        <f t="shared" si="135"/>
        <v>0</v>
      </c>
      <c r="W316" s="49">
        <f t="shared" si="136"/>
        <v>0</v>
      </c>
      <c r="X316" s="44">
        <f t="shared" si="137"/>
        <v>0</v>
      </c>
      <c r="Y316" s="44">
        <f t="shared" si="138"/>
        <v>0</v>
      </c>
      <c r="Z316" s="44">
        <f t="shared" si="139"/>
        <v>0</v>
      </c>
      <c r="AA316" s="50">
        <f t="shared" si="140"/>
        <v>0</v>
      </c>
      <c r="AB316" s="51">
        <f t="shared" si="141"/>
        <v>0</v>
      </c>
      <c r="AC316" s="44">
        <f t="shared" si="142"/>
        <v>0</v>
      </c>
      <c r="AD316" s="44">
        <f t="shared" si="143"/>
        <v>0</v>
      </c>
      <c r="AE316" s="44">
        <f t="shared" si="144"/>
        <v>0</v>
      </c>
      <c r="AF316" s="52" t="e">
        <f>HLOOKUP(I316,ElecAvoidedCostsWOCC!$A$5:$Q$50,G316+1,FALSE)</f>
        <v>#N/A</v>
      </c>
      <c r="AG316" s="44" t="e">
        <f t="shared" si="145"/>
        <v>#N/A</v>
      </c>
      <c r="AH316" s="52" t="e">
        <f>HLOOKUP(I316,ElecAvoidedCostsWOCC!$A$5:$Q$50,T316+1,FALSE)</f>
        <v>#N/A</v>
      </c>
      <c r="AI316" s="44" t="e">
        <f t="shared" si="146"/>
        <v>#N/A</v>
      </c>
      <c r="AJ316" s="44" t="e">
        <f t="shared" si="147"/>
        <v>#N/A</v>
      </c>
      <c r="AK316" s="44" t="e">
        <f>HLOOKUP(I316,ElecAvoidedCostsWOCC!$A$5:$Q$50,G316+1,FALSE)*J316*L316</f>
        <v>#N/A</v>
      </c>
      <c r="AL316" s="44" t="e">
        <f t="shared" si="148"/>
        <v>#N/A</v>
      </c>
      <c r="AM316" s="48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8">
        <f t="shared" si="149"/>
        <v>0</v>
      </c>
      <c r="AO316" s="47">
        <f t="shared" si="150"/>
        <v>0</v>
      </c>
      <c r="AP316" s="47" t="e">
        <f t="shared" si="151"/>
        <v>#DIV/0!</v>
      </c>
    </row>
    <row r="317" spans="2:42">
      <c r="B317" s="97" t="s">
        <v>15</v>
      </c>
      <c r="C317" s="100"/>
      <c r="D317" s="100"/>
      <c r="E317" s="38"/>
      <c r="F317" s="39"/>
      <c r="G317" s="39"/>
      <c r="H317" s="39"/>
      <c r="I317" s="40"/>
      <c r="J317" s="41"/>
      <c r="K317" s="41"/>
      <c r="L317" s="41"/>
      <c r="M317" s="42"/>
      <c r="N317" s="42"/>
      <c r="O317" s="43"/>
      <c r="P317" s="44"/>
      <c r="Q317" s="44"/>
      <c r="R317" s="45"/>
      <c r="S317" s="46"/>
      <c r="T317" s="39">
        <f t="shared" si="133"/>
        <v>0</v>
      </c>
      <c r="U317" s="47">
        <f t="shared" si="134"/>
        <v>0</v>
      </c>
      <c r="V317" s="48">
        <f t="shared" si="135"/>
        <v>0</v>
      </c>
      <c r="W317" s="49">
        <f t="shared" si="136"/>
        <v>0</v>
      </c>
      <c r="X317" s="44">
        <f t="shared" si="137"/>
        <v>0</v>
      </c>
      <c r="Y317" s="44">
        <f t="shared" si="138"/>
        <v>0</v>
      </c>
      <c r="Z317" s="44">
        <f t="shared" si="139"/>
        <v>0</v>
      </c>
      <c r="AA317" s="50">
        <f t="shared" si="140"/>
        <v>0</v>
      </c>
      <c r="AB317" s="51">
        <f t="shared" si="141"/>
        <v>0</v>
      </c>
      <c r="AC317" s="44">
        <f t="shared" si="142"/>
        <v>0</v>
      </c>
      <c r="AD317" s="44">
        <f t="shared" si="143"/>
        <v>0</v>
      </c>
      <c r="AE317" s="44">
        <f t="shared" si="144"/>
        <v>0</v>
      </c>
      <c r="AF317" s="52" t="e">
        <f>HLOOKUP(I317,ElecAvoidedCostsWOCC!$A$5:$Q$50,G317+1,FALSE)</f>
        <v>#N/A</v>
      </c>
      <c r="AG317" s="44" t="e">
        <f t="shared" si="145"/>
        <v>#N/A</v>
      </c>
      <c r="AH317" s="52" t="e">
        <f>HLOOKUP(I317,ElecAvoidedCostsWOCC!$A$5:$Q$50,T317+1,FALSE)</f>
        <v>#N/A</v>
      </c>
      <c r="AI317" s="44" t="e">
        <f t="shared" si="146"/>
        <v>#N/A</v>
      </c>
      <c r="AJ317" s="44" t="e">
        <f t="shared" si="147"/>
        <v>#N/A</v>
      </c>
      <c r="AK317" s="44" t="e">
        <f>HLOOKUP(I317,ElecAvoidedCostsWOCC!$A$5:$Q$50,G317+1,FALSE)*J317*L317</f>
        <v>#N/A</v>
      </c>
      <c r="AL317" s="44" t="e">
        <f t="shared" si="148"/>
        <v>#N/A</v>
      </c>
      <c r="AM317" s="48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8">
        <f t="shared" si="149"/>
        <v>0</v>
      </c>
      <c r="AO317" s="47">
        <f t="shared" si="150"/>
        <v>0</v>
      </c>
      <c r="AP317" s="47" t="e">
        <f t="shared" si="151"/>
        <v>#DIV/0!</v>
      </c>
    </row>
    <row r="318" spans="2:42">
      <c r="B318" s="97" t="s">
        <v>15</v>
      </c>
      <c r="C318" s="100"/>
      <c r="D318" s="100"/>
      <c r="E318" s="38"/>
      <c r="F318" s="39"/>
      <c r="G318" s="39"/>
      <c r="H318" s="39"/>
      <c r="I318" s="40"/>
      <c r="J318" s="41"/>
      <c r="K318" s="41"/>
      <c r="L318" s="41"/>
      <c r="M318" s="42"/>
      <c r="N318" s="42"/>
      <c r="O318" s="43"/>
      <c r="P318" s="44"/>
      <c r="Q318" s="44"/>
      <c r="R318" s="45"/>
      <c r="S318" s="46"/>
      <c r="T318" s="39">
        <f t="shared" si="133"/>
        <v>0</v>
      </c>
      <c r="U318" s="47">
        <f t="shared" si="134"/>
        <v>0</v>
      </c>
      <c r="V318" s="48">
        <f t="shared" si="135"/>
        <v>0</v>
      </c>
      <c r="W318" s="49">
        <f t="shared" si="136"/>
        <v>0</v>
      </c>
      <c r="X318" s="44">
        <f t="shared" si="137"/>
        <v>0</v>
      </c>
      <c r="Y318" s="44">
        <f t="shared" si="138"/>
        <v>0</v>
      </c>
      <c r="Z318" s="44">
        <f t="shared" si="139"/>
        <v>0</v>
      </c>
      <c r="AA318" s="50">
        <f t="shared" si="140"/>
        <v>0</v>
      </c>
      <c r="AB318" s="51">
        <f t="shared" si="141"/>
        <v>0</v>
      </c>
      <c r="AC318" s="44">
        <f t="shared" si="142"/>
        <v>0</v>
      </c>
      <c r="AD318" s="44">
        <f t="shared" si="143"/>
        <v>0</v>
      </c>
      <c r="AE318" s="44">
        <f t="shared" si="144"/>
        <v>0</v>
      </c>
      <c r="AF318" s="52" t="e">
        <f>HLOOKUP(I318,ElecAvoidedCostsWOCC!$A$5:$Q$50,G318+1,FALSE)</f>
        <v>#N/A</v>
      </c>
      <c r="AG318" s="44" t="e">
        <f t="shared" si="145"/>
        <v>#N/A</v>
      </c>
      <c r="AH318" s="52" t="e">
        <f>HLOOKUP(I318,ElecAvoidedCostsWOCC!$A$5:$Q$50,T318+1,FALSE)</f>
        <v>#N/A</v>
      </c>
      <c r="AI318" s="44" t="e">
        <f t="shared" si="146"/>
        <v>#N/A</v>
      </c>
      <c r="AJ318" s="44" t="e">
        <f t="shared" si="147"/>
        <v>#N/A</v>
      </c>
      <c r="AK318" s="44" t="e">
        <f>HLOOKUP(I318,ElecAvoidedCostsWOCC!$A$5:$Q$50,G318+1,FALSE)*J318*L318</f>
        <v>#N/A</v>
      </c>
      <c r="AL318" s="44" t="e">
        <f t="shared" si="148"/>
        <v>#N/A</v>
      </c>
      <c r="AM318" s="48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8">
        <f t="shared" si="149"/>
        <v>0</v>
      </c>
      <c r="AO318" s="47">
        <f t="shared" si="150"/>
        <v>0</v>
      </c>
      <c r="AP318" s="47" t="e">
        <f t="shared" si="151"/>
        <v>#DIV/0!</v>
      </c>
    </row>
    <row r="319" spans="2:42">
      <c r="B319" s="97" t="s">
        <v>15</v>
      </c>
      <c r="C319" s="100"/>
      <c r="D319" s="100"/>
      <c r="E319" s="38"/>
      <c r="F319" s="39"/>
      <c r="G319" s="39"/>
      <c r="H319" s="39"/>
      <c r="I319" s="40"/>
      <c r="J319" s="41"/>
      <c r="K319" s="41"/>
      <c r="L319" s="41"/>
      <c r="M319" s="42"/>
      <c r="N319" s="42"/>
      <c r="O319" s="43"/>
      <c r="P319" s="44"/>
      <c r="Q319" s="44"/>
      <c r="R319" s="45"/>
      <c r="S319" s="46"/>
      <c r="T319" s="39">
        <f t="shared" si="133"/>
        <v>0</v>
      </c>
      <c r="U319" s="47">
        <f t="shared" si="134"/>
        <v>0</v>
      </c>
      <c r="V319" s="48">
        <f t="shared" si="135"/>
        <v>0</v>
      </c>
      <c r="W319" s="49">
        <f t="shared" si="136"/>
        <v>0</v>
      </c>
      <c r="X319" s="44">
        <f t="shared" si="137"/>
        <v>0</v>
      </c>
      <c r="Y319" s="44">
        <f t="shared" si="138"/>
        <v>0</v>
      </c>
      <c r="Z319" s="44">
        <f t="shared" si="139"/>
        <v>0</v>
      </c>
      <c r="AA319" s="50">
        <f t="shared" si="140"/>
        <v>0</v>
      </c>
      <c r="AB319" s="51">
        <f t="shared" si="141"/>
        <v>0</v>
      </c>
      <c r="AC319" s="44">
        <f t="shared" si="142"/>
        <v>0</v>
      </c>
      <c r="AD319" s="44">
        <f t="shared" si="143"/>
        <v>0</v>
      </c>
      <c r="AE319" s="44">
        <f t="shared" si="144"/>
        <v>0</v>
      </c>
      <c r="AF319" s="52" t="e">
        <f>HLOOKUP(I319,ElecAvoidedCostsWOCC!$A$5:$Q$50,G319+1,FALSE)</f>
        <v>#N/A</v>
      </c>
      <c r="AG319" s="44" t="e">
        <f t="shared" si="145"/>
        <v>#N/A</v>
      </c>
      <c r="AH319" s="52" t="e">
        <f>HLOOKUP(I319,ElecAvoidedCostsWOCC!$A$5:$Q$50,T319+1,FALSE)</f>
        <v>#N/A</v>
      </c>
      <c r="AI319" s="44" t="e">
        <f t="shared" si="146"/>
        <v>#N/A</v>
      </c>
      <c r="AJ319" s="44" t="e">
        <f t="shared" si="147"/>
        <v>#N/A</v>
      </c>
      <c r="AK319" s="44" t="e">
        <f>HLOOKUP(I319,ElecAvoidedCostsWOCC!$A$5:$Q$50,G319+1,FALSE)*J319*L319</f>
        <v>#N/A</v>
      </c>
      <c r="AL319" s="44" t="e">
        <f t="shared" si="148"/>
        <v>#N/A</v>
      </c>
      <c r="AM319" s="48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8">
        <f t="shared" si="149"/>
        <v>0</v>
      </c>
      <c r="AO319" s="47">
        <f t="shared" si="150"/>
        <v>0</v>
      </c>
      <c r="AP319" s="47" t="e">
        <f t="shared" si="151"/>
        <v>#DIV/0!</v>
      </c>
    </row>
    <row r="320" spans="2:42">
      <c r="B320" s="97" t="s">
        <v>15</v>
      </c>
      <c r="C320" s="100"/>
      <c r="D320" s="100"/>
      <c r="E320" s="38"/>
      <c r="F320" s="39"/>
      <c r="G320" s="39"/>
      <c r="H320" s="39"/>
      <c r="I320" s="40"/>
      <c r="J320" s="41"/>
      <c r="K320" s="41"/>
      <c r="L320" s="41"/>
      <c r="M320" s="42"/>
      <c r="N320" s="42"/>
      <c r="O320" s="43"/>
      <c r="P320" s="44"/>
      <c r="Q320" s="44"/>
      <c r="R320" s="45"/>
      <c r="S320" s="46"/>
      <c r="T320" s="39">
        <f t="shared" si="133"/>
        <v>0</v>
      </c>
      <c r="U320" s="47">
        <f t="shared" si="134"/>
        <v>0</v>
      </c>
      <c r="V320" s="48">
        <f t="shared" si="135"/>
        <v>0</v>
      </c>
      <c r="W320" s="49">
        <f t="shared" si="136"/>
        <v>0</v>
      </c>
      <c r="X320" s="44">
        <f t="shared" si="137"/>
        <v>0</v>
      </c>
      <c r="Y320" s="44">
        <f t="shared" si="138"/>
        <v>0</v>
      </c>
      <c r="Z320" s="44">
        <f t="shared" si="139"/>
        <v>0</v>
      </c>
      <c r="AA320" s="50">
        <f t="shared" si="140"/>
        <v>0</v>
      </c>
      <c r="AB320" s="51">
        <f t="shared" si="141"/>
        <v>0</v>
      </c>
      <c r="AC320" s="44">
        <f t="shared" si="142"/>
        <v>0</v>
      </c>
      <c r="AD320" s="44">
        <f t="shared" si="143"/>
        <v>0</v>
      </c>
      <c r="AE320" s="44">
        <f t="shared" si="144"/>
        <v>0</v>
      </c>
      <c r="AF320" s="52" t="e">
        <f>HLOOKUP(I320,ElecAvoidedCostsWOCC!$A$5:$Q$50,G320+1,FALSE)</f>
        <v>#N/A</v>
      </c>
      <c r="AG320" s="44" t="e">
        <f t="shared" si="145"/>
        <v>#N/A</v>
      </c>
      <c r="AH320" s="52" t="e">
        <f>HLOOKUP(I320,ElecAvoidedCostsWOCC!$A$5:$Q$50,T320+1,FALSE)</f>
        <v>#N/A</v>
      </c>
      <c r="AI320" s="44" t="e">
        <f t="shared" si="146"/>
        <v>#N/A</v>
      </c>
      <c r="AJ320" s="44" t="e">
        <f t="shared" si="147"/>
        <v>#N/A</v>
      </c>
      <c r="AK320" s="44" t="e">
        <f>HLOOKUP(I320,ElecAvoidedCostsWOCC!$A$5:$Q$50,G320+1,FALSE)*J320*L320</f>
        <v>#N/A</v>
      </c>
      <c r="AL320" s="44" t="e">
        <f t="shared" si="148"/>
        <v>#N/A</v>
      </c>
      <c r="AM320" s="48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8">
        <f t="shared" si="149"/>
        <v>0</v>
      </c>
      <c r="AO320" s="47">
        <f t="shared" si="150"/>
        <v>0</v>
      </c>
      <c r="AP320" s="47" t="e">
        <f t="shared" si="151"/>
        <v>#DIV/0!</v>
      </c>
    </row>
    <row r="321" spans="2:42">
      <c r="B321" s="97" t="s">
        <v>15</v>
      </c>
      <c r="C321" s="100"/>
      <c r="D321" s="100"/>
      <c r="E321" s="38"/>
      <c r="F321" s="39"/>
      <c r="G321" s="39"/>
      <c r="H321" s="39"/>
      <c r="I321" s="40"/>
      <c r="J321" s="41"/>
      <c r="K321" s="41"/>
      <c r="L321" s="41"/>
      <c r="M321" s="42"/>
      <c r="N321" s="42"/>
      <c r="O321" s="43"/>
      <c r="P321" s="44"/>
      <c r="Q321" s="44"/>
      <c r="R321" s="45"/>
      <c r="S321" s="46"/>
      <c r="T321" s="39">
        <f t="shared" si="133"/>
        <v>0</v>
      </c>
      <c r="U321" s="47">
        <f t="shared" si="134"/>
        <v>0</v>
      </c>
      <c r="V321" s="48">
        <f t="shared" si="135"/>
        <v>0</v>
      </c>
      <c r="W321" s="49">
        <f t="shared" si="136"/>
        <v>0</v>
      </c>
      <c r="X321" s="44">
        <f t="shared" si="137"/>
        <v>0</v>
      </c>
      <c r="Y321" s="44">
        <f t="shared" si="138"/>
        <v>0</v>
      </c>
      <c r="Z321" s="44">
        <f t="shared" si="139"/>
        <v>0</v>
      </c>
      <c r="AA321" s="50">
        <f t="shared" si="140"/>
        <v>0</v>
      </c>
      <c r="AB321" s="51">
        <f t="shared" si="141"/>
        <v>0</v>
      </c>
      <c r="AC321" s="44">
        <f t="shared" si="142"/>
        <v>0</v>
      </c>
      <c r="AD321" s="44">
        <f t="shared" si="143"/>
        <v>0</v>
      </c>
      <c r="AE321" s="44">
        <f t="shared" si="144"/>
        <v>0</v>
      </c>
      <c r="AF321" s="52" t="e">
        <f>HLOOKUP(I321,ElecAvoidedCostsWOCC!$A$5:$Q$50,G321+1,FALSE)</f>
        <v>#N/A</v>
      </c>
      <c r="AG321" s="44" t="e">
        <f t="shared" si="145"/>
        <v>#N/A</v>
      </c>
      <c r="AH321" s="52" t="e">
        <f>HLOOKUP(I321,ElecAvoidedCostsWOCC!$A$5:$Q$50,T321+1,FALSE)</f>
        <v>#N/A</v>
      </c>
      <c r="AI321" s="44" t="e">
        <f t="shared" si="146"/>
        <v>#N/A</v>
      </c>
      <c r="AJ321" s="44" t="e">
        <f t="shared" si="147"/>
        <v>#N/A</v>
      </c>
      <c r="AK321" s="44" t="e">
        <f>HLOOKUP(I321,ElecAvoidedCostsWOCC!$A$5:$Q$50,G321+1,FALSE)*J321*L321</f>
        <v>#N/A</v>
      </c>
      <c r="AL321" s="44" t="e">
        <f t="shared" si="148"/>
        <v>#N/A</v>
      </c>
      <c r="AM321" s="48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8">
        <f t="shared" si="149"/>
        <v>0</v>
      </c>
      <c r="AO321" s="47">
        <f t="shared" si="150"/>
        <v>0</v>
      </c>
      <c r="AP321" s="47" t="e">
        <f t="shared" si="151"/>
        <v>#DIV/0!</v>
      </c>
    </row>
    <row r="322" spans="2:42">
      <c r="B322" s="97" t="s">
        <v>15</v>
      </c>
      <c r="C322" s="100"/>
      <c r="D322" s="100"/>
      <c r="E322" s="38"/>
      <c r="F322" s="39"/>
      <c r="G322" s="39"/>
      <c r="H322" s="39"/>
      <c r="I322" s="40"/>
      <c r="J322" s="41"/>
      <c r="K322" s="41"/>
      <c r="L322" s="41"/>
      <c r="M322" s="42"/>
      <c r="N322" s="42"/>
      <c r="O322" s="43"/>
      <c r="P322" s="44"/>
      <c r="Q322" s="44"/>
      <c r="R322" s="45"/>
      <c r="S322" s="46"/>
      <c r="T322" s="39">
        <f t="shared" si="133"/>
        <v>0</v>
      </c>
      <c r="U322" s="47">
        <f t="shared" si="134"/>
        <v>0</v>
      </c>
      <c r="V322" s="48">
        <f t="shared" si="135"/>
        <v>0</v>
      </c>
      <c r="W322" s="49">
        <f t="shared" si="136"/>
        <v>0</v>
      </c>
      <c r="X322" s="44">
        <f t="shared" si="137"/>
        <v>0</v>
      </c>
      <c r="Y322" s="44">
        <f t="shared" si="138"/>
        <v>0</v>
      </c>
      <c r="Z322" s="44">
        <f t="shared" si="139"/>
        <v>0</v>
      </c>
      <c r="AA322" s="50">
        <f t="shared" si="140"/>
        <v>0</v>
      </c>
      <c r="AB322" s="51">
        <f t="shared" si="141"/>
        <v>0</v>
      </c>
      <c r="AC322" s="44">
        <f t="shared" si="142"/>
        <v>0</v>
      </c>
      <c r="AD322" s="44">
        <f t="shared" si="143"/>
        <v>0</v>
      </c>
      <c r="AE322" s="44">
        <f t="shared" si="144"/>
        <v>0</v>
      </c>
      <c r="AF322" s="52" t="e">
        <f>HLOOKUP(I322,ElecAvoidedCostsWOCC!$A$5:$Q$50,G322+1,FALSE)</f>
        <v>#N/A</v>
      </c>
      <c r="AG322" s="44" t="e">
        <f t="shared" si="145"/>
        <v>#N/A</v>
      </c>
      <c r="AH322" s="52" t="e">
        <f>HLOOKUP(I322,ElecAvoidedCostsWOCC!$A$5:$Q$50,T322+1,FALSE)</f>
        <v>#N/A</v>
      </c>
      <c r="AI322" s="44" t="e">
        <f t="shared" si="146"/>
        <v>#N/A</v>
      </c>
      <c r="AJ322" s="44" t="e">
        <f t="shared" si="147"/>
        <v>#N/A</v>
      </c>
      <c r="AK322" s="44" t="e">
        <f>HLOOKUP(I322,ElecAvoidedCostsWOCC!$A$5:$Q$50,G322+1,FALSE)*J322*L322</f>
        <v>#N/A</v>
      </c>
      <c r="AL322" s="44" t="e">
        <f t="shared" si="148"/>
        <v>#N/A</v>
      </c>
      <c r="AM322" s="48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8">
        <f t="shared" si="149"/>
        <v>0</v>
      </c>
      <c r="AO322" s="47">
        <f t="shared" si="150"/>
        <v>0</v>
      </c>
      <c r="AP322" s="47" t="e">
        <f t="shared" si="151"/>
        <v>#DIV/0!</v>
      </c>
    </row>
    <row r="323" spans="2:42">
      <c r="B323" s="97" t="s">
        <v>15</v>
      </c>
      <c r="C323" s="100"/>
      <c r="D323" s="100"/>
      <c r="E323" s="38"/>
      <c r="F323" s="39"/>
      <c r="G323" s="39"/>
      <c r="H323" s="39"/>
      <c r="I323" s="40"/>
      <c r="J323" s="41"/>
      <c r="K323" s="41"/>
      <c r="L323" s="41"/>
      <c r="M323" s="42"/>
      <c r="N323" s="42"/>
      <c r="O323" s="43"/>
      <c r="P323" s="44"/>
      <c r="Q323" s="44"/>
      <c r="R323" s="45"/>
      <c r="S323" s="46"/>
      <c r="T323" s="39">
        <f t="shared" si="133"/>
        <v>0</v>
      </c>
      <c r="U323" s="47">
        <f t="shared" si="134"/>
        <v>0</v>
      </c>
      <c r="V323" s="48">
        <f t="shared" si="135"/>
        <v>0</v>
      </c>
      <c r="W323" s="49">
        <f t="shared" si="136"/>
        <v>0</v>
      </c>
      <c r="X323" s="44">
        <f t="shared" si="137"/>
        <v>0</v>
      </c>
      <c r="Y323" s="44">
        <f t="shared" si="138"/>
        <v>0</v>
      </c>
      <c r="Z323" s="44">
        <f t="shared" si="139"/>
        <v>0</v>
      </c>
      <c r="AA323" s="50">
        <f t="shared" si="140"/>
        <v>0</v>
      </c>
      <c r="AB323" s="51">
        <f t="shared" si="141"/>
        <v>0</v>
      </c>
      <c r="AC323" s="44">
        <f t="shared" si="142"/>
        <v>0</v>
      </c>
      <c r="AD323" s="44">
        <f t="shared" si="143"/>
        <v>0</v>
      </c>
      <c r="AE323" s="44">
        <f t="shared" si="144"/>
        <v>0</v>
      </c>
      <c r="AF323" s="52" t="e">
        <f>HLOOKUP(I323,ElecAvoidedCostsWOCC!$A$5:$Q$50,G323+1,FALSE)</f>
        <v>#N/A</v>
      </c>
      <c r="AG323" s="44" t="e">
        <f t="shared" si="145"/>
        <v>#N/A</v>
      </c>
      <c r="AH323" s="52" t="e">
        <f>HLOOKUP(I323,ElecAvoidedCostsWOCC!$A$5:$Q$50,T323+1,FALSE)</f>
        <v>#N/A</v>
      </c>
      <c r="AI323" s="44" t="e">
        <f t="shared" si="146"/>
        <v>#N/A</v>
      </c>
      <c r="AJ323" s="44" t="e">
        <f t="shared" si="147"/>
        <v>#N/A</v>
      </c>
      <c r="AK323" s="44" t="e">
        <f>HLOOKUP(I323,ElecAvoidedCostsWOCC!$A$5:$Q$50,G323+1,FALSE)*J323*L323</f>
        <v>#N/A</v>
      </c>
      <c r="AL323" s="44" t="e">
        <f t="shared" si="148"/>
        <v>#N/A</v>
      </c>
      <c r="AM323" s="48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8">
        <f t="shared" si="149"/>
        <v>0</v>
      </c>
      <c r="AO323" s="47">
        <f t="shared" si="150"/>
        <v>0</v>
      </c>
      <c r="AP323" s="47" t="e">
        <f t="shared" si="151"/>
        <v>#DIV/0!</v>
      </c>
    </row>
    <row r="324" spans="2:42">
      <c r="B324" s="97" t="s">
        <v>15</v>
      </c>
      <c r="C324" s="100"/>
      <c r="D324" s="100"/>
      <c r="E324" s="38"/>
      <c r="F324" s="39"/>
      <c r="G324" s="39"/>
      <c r="H324" s="39"/>
      <c r="I324" s="40"/>
      <c r="J324" s="41"/>
      <c r="K324" s="41"/>
      <c r="L324" s="41"/>
      <c r="M324" s="42"/>
      <c r="N324" s="42"/>
      <c r="O324" s="43"/>
      <c r="P324" s="44"/>
      <c r="Q324" s="44"/>
      <c r="R324" s="45"/>
      <c r="S324" s="46"/>
      <c r="T324" s="39">
        <f t="shared" si="133"/>
        <v>0</v>
      </c>
      <c r="U324" s="47">
        <f t="shared" si="134"/>
        <v>0</v>
      </c>
      <c r="V324" s="48">
        <f t="shared" si="135"/>
        <v>0</v>
      </c>
      <c r="W324" s="49">
        <f t="shared" si="136"/>
        <v>0</v>
      </c>
      <c r="X324" s="44">
        <f t="shared" si="137"/>
        <v>0</v>
      </c>
      <c r="Y324" s="44">
        <f t="shared" si="138"/>
        <v>0</v>
      </c>
      <c r="Z324" s="44">
        <f t="shared" si="139"/>
        <v>0</v>
      </c>
      <c r="AA324" s="50">
        <f t="shared" si="140"/>
        <v>0</v>
      </c>
      <c r="AB324" s="51">
        <f t="shared" si="141"/>
        <v>0</v>
      </c>
      <c r="AC324" s="44">
        <f t="shared" si="142"/>
        <v>0</v>
      </c>
      <c r="AD324" s="44">
        <f t="shared" si="143"/>
        <v>0</v>
      </c>
      <c r="AE324" s="44">
        <f t="shared" si="144"/>
        <v>0</v>
      </c>
      <c r="AF324" s="52" t="e">
        <f>HLOOKUP(I324,ElecAvoidedCostsWOCC!$A$5:$Q$50,G324+1,FALSE)</f>
        <v>#N/A</v>
      </c>
      <c r="AG324" s="44" t="e">
        <f t="shared" si="145"/>
        <v>#N/A</v>
      </c>
      <c r="AH324" s="52" t="e">
        <f>HLOOKUP(I324,ElecAvoidedCostsWOCC!$A$5:$Q$50,T324+1,FALSE)</f>
        <v>#N/A</v>
      </c>
      <c r="AI324" s="44" t="e">
        <f t="shared" si="146"/>
        <v>#N/A</v>
      </c>
      <c r="AJ324" s="44" t="e">
        <f t="shared" si="147"/>
        <v>#N/A</v>
      </c>
      <c r="AK324" s="44" t="e">
        <f>HLOOKUP(I324,ElecAvoidedCostsWOCC!$A$5:$Q$50,G324+1,FALSE)*J324*L324</f>
        <v>#N/A</v>
      </c>
      <c r="AL324" s="44" t="e">
        <f t="shared" si="148"/>
        <v>#N/A</v>
      </c>
      <c r="AM324" s="48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8">
        <f t="shared" si="149"/>
        <v>0</v>
      </c>
      <c r="AO324" s="47">
        <f t="shared" si="150"/>
        <v>0</v>
      </c>
      <c r="AP324" s="47" t="e">
        <f t="shared" si="151"/>
        <v>#DIV/0!</v>
      </c>
    </row>
    <row r="325" spans="2:42">
      <c r="B325" s="97" t="s">
        <v>15</v>
      </c>
      <c r="C325" s="100"/>
      <c r="D325" s="100"/>
      <c r="E325" s="38"/>
      <c r="F325" s="39"/>
      <c r="G325" s="39"/>
      <c r="H325" s="39"/>
      <c r="I325" s="40"/>
      <c r="J325" s="41"/>
      <c r="K325" s="41"/>
      <c r="L325" s="41"/>
      <c r="M325" s="42"/>
      <c r="N325" s="42"/>
      <c r="O325" s="43"/>
      <c r="P325" s="44"/>
      <c r="Q325" s="44"/>
      <c r="R325" s="45"/>
      <c r="S325" s="46"/>
      <c r="T325" s="39">
        <f t="shared" si="133"/>
        <v>0</v>
      </c>
      <c r="U325" s="47">
        <f t="shared" si="134"/>
        <v>0</v>
      </c>
      <c r="V325" s="48">
        <f t="shared" si="135"/>
        <v>0</v>
      </c>
      <c r="W325" s="49">
        <f t="shared" si="136"/>
        <v>0</v>
      </c>
      <c r="X325" s="44">
        <f t="shared" si="137"/>
        <v>0</v>
      </c>
      <c r="Y325" s="44">
        <f t="shared" si="138"/>
        <v>0</v>
      </c>
      <c r="Z325" s="44">
        <f t="shared" si="139"/>
        <v>0</v>
      </c>
      <c r="AA325" s="50">
        <f t="shared" si="140"/>
        <v>0</v>
      </c>
      <c r="AB325" s="51">
        <f t="shared" si="141"/>
        <v>0</v>
      </c>
      <c r="AC325" s="44">
        <f t="shared" si="142"/>
        <v>0</v>
      </c>
      <c r="AD325" s="44">
        <f t="shared" si="143"/>
        <v>0</v>
      </c>
      <c r="AE325" s="44">
        <f t="shared" si="144"/>
        <v>0</v>
      </c>
      <c r="AF325" s="52" t="e">
        <f>HLOOKUP(I325,ElecAvoidedCostsWOCC!$A$5:$Q$50,G325+1,FALSE)</f>
        <v>#N/A</v>
      </c>
      <c r="AG325" s="44" t="e">
        <f t="shared" si="145"/>
        <v>#N/A</v>
      </c>
      <c r="AH325" s="52" t="e">
        <f>HLOOKUP(I325,ElecAvoidedCostsWOCC!$A$5:$Q$50,T325+1,FALSE)</f>
        <v>#N/A</v>
      </c>
      <c r="AI325" s="44" t="e">
        <f t="shared" si="146"/>
        <v>#N/A</v>
      </c>
      <c r="AJ325" s="44" t="e">
        <f t="shared" si="147"/>
        <v>#N/A</v>
      </c>
      <c r="AK325" s="44" t="e">
        <f>HLOOKUP(I325,ElecAvoidedCostsWOCC!$A$5:$Q$50,G325+1,FALSE)*J325*L325</f>
        <v>#N/A</v>
      </c>
      <c r="AL325" s="44" t="e">
        <f t="shared" si="148"/>
        <v>#N/A</v>
      </c>
      <c r="AM325" s="48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8">
        <f t="shared" si="149"/>
        <v>0</v>
      </c>
      <c r="AO325" s="47">
        <f t="shared" si="150"/>
        <v>0</v>
      </c>
      <c r="AP325" s="47" t="e">
        <f t="shared" si="151"/>
        <v>#DIV/0!</v>
      </c>
    </row>
    <row r="326" spans="2:42">
      <c r="B326" s="97" t="s">
        <v>15</v>
      </c>
      <c r="C326" s="100"/>
      <c r="D326" s="100"/>
      <c r="E326" s="38"/>
      <c r="F326" s="39"/>
      <c r="G326" s="39"/>
      <c r="H326" s="39"/>
      <c r="I326" s="40"/>
      <c r="J326" s="41"/>
      <c r="K326" s="41"/>
      <c r="L326" s="41"/>
      <c r="M326" s="42"/>
      <c r="N326" s="42"/>
      <c r="O326" s="43"/>
      <c r="P326" s="44"/>
      <c r="Q326" s="44"/>
      <c r="R326" s="45"/>
      <c r="S326" s="46"/>
      <c r="T326" s="39">
        <f t="shared" si="133"/>
        <v>0</v>
      </c>
      <c r="U326" s="47">
        <f t="shared" si="134"/>
        <v>0</v>
      </c>
      <c r="V326" s="48">
        <f t="shared" si="135"/>
        <v>0</v>
      </c>
      <c r="W326" s="49">
        <f t="shared" si="136"/>
        <v>0</v>
      </c>
      <c r="X326" s="44">
        <f t="shared" si="137"/>
        <v>0</v>
      </c>
      <c r="Y326" s="44">
        <f t="shared" si="138"/>
        <v>0</v>
      </c>
      <c r="Z326" s="44">
        <f t="shared" si="139"/>
        <v>0</v>
      </c>
      <c r="AA326" s="50">
        <f t="shared" si="140"/>
        <v>0</v>
      </c>
      <c r="AB326" s="51">
        <f t="shared" si="141"/>
        <v>0</v>
      </c>
      <c r="AC326" s="44">
        <f t="shared" si="142"/>
        <v>0</v>
      </c>
      <c r="AD326" s="44">
        <f t="shared" si="143"/>
        <v>0</v>
      </c>
      <c r="AE326" s="44">
        <f t="shared" si="144"/>
        <v>0</v>
      </c>
      <c r="AF326" s="52" t="e">
        <f>HLOOKUP(I326,ElecAvoidedCostsWOCC!$A$5:$Q$50,G326+1,FALSE)</f>
        <v>#N/A</v>
      </c>
      <c r="AG326" s="44" t="e">
        <f t="shared" si="145"/>
        <v>#N/A</v>
      </c>
      <c r="AH326" s="52" t="e">
        <f>HLOOKUP(I326,ElecAvoidedCostsWOCC!$A$5:$Q$50,T326+1,FALSE)</f>
        <v>#N/A</v>
      </c>
      <c r="AI326" s="44" t="e">
        <f t="shared" si="146"/>
        <v>#N/A</v>
      </c>
      <c r="AJ326" s="44" t="e">
        <f t="shared" si="147"/>
        <v>#N/A</v>
      </c>
      <c r="AK326" s="44" t="e">
        <f>HLOOKUP(I326,ElecAvoidedCostsWOCC!$A$5:$Q$50,G326+1,FALSE)*J326*L326</f>
        <v>#N/A</v>
      </c>
      <c r="AL326" s="44" t="e">
        <f t="shared" si="148"/>
        <v>#N/A</v>
      </c>
      <c r="AM326" s="48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8">
        <f t="shared" si="149"/>
        <v>0</v>
      </c>
      <c r="AO326" s="47">
        <f t="shared" si="150"/>
        <v>0</v>
      </c>
      <c r="AP326" s="47" t="e">
        <f t="shared" si="151"/>
        <v>#DIV/0!</v>
      </c>
    </row>
    <row r="327" spans="2:42">
      <c r="B327" s="97" t="s">
        <v>15</v>
      </c>
      <c r="C327" s="100"/>
      <c r="D327" s="100"/>
      <c r="E327" s="38"/>
      <c r="F327" s="39"/>
      <c r="G327" s="39"/>
      <c r="H327" s="39"/>
      <c r="I327" s="40"/>
      <c r="J327" s="41"/>
      <c r="K327" s="41"/>
      <c r="L327" s="41"/>
      <c r="M327" s="42"/>
      <c r="N327" s="42"/>
      <c r="O327" s="43"/>
      <c r="P327" s="44"/>
      <c r="Q327" s="44"/>
      <c r="R327" s="45"/>
      <c r="S327" s="46"/>
      <c r="T327" s="39">
        <f t="shared" si="133"/>
        <v>0</v>
      </c>
      <c r="U327" s="47">
        <f t="shared" si="134"/>
        <v>0</v>
      </c>
      <c r="V327" s="48">
        <f t="shared" si="135"/>
        <v>0</v>
      </c>
      <c r="W327" s="49">
        <f t="shared" si="136"/>
        <v>0</v>
      </c>
      <c r="X327" s="44">
        <f t="shared" si="137"/>
        <v>0</v>
      </c>
      <c r="Y327" s="44">
        <f t="shared" si="138"/>
        <v>0</v>
      </c>
      <c r="Z327" s="44">
        <f t="shared" si="139"/>
        <v>0</v>
      </c>
      <c r="AA327" s="50">
        <f t="shared" si="140"/>
        <v>0</v>
      </c>
      <c r="AB327" s="51">
        <f t="shared" si="141"/>
        <v>0</v>
      </c>
      <c r="AC327" s="44">
        <f t="shared" si="142"/>
        <v>0</v>
      </c>
      <c r="AD327" s="44">
        <f t="shared" si="143"/>
        <v>0</v>
      </c>
      <c r="AE327" s="44">
        <f t="shared" si="144"/>
        <v>0</v>
      </c>
      <c r="AF327" s="52" t="e">
        <f>HLOOKUP(I327,ElecAvoidedCostsWOCC!$A$5:$Q$50,G327+1,FALSE)</f>
        <v>#N/A</v>
      </c>
      <c r="AG327" s="44" t="e">
        <f t="shared" si="145"/>
        <v>#N/A</v>
      </c>
      <c r="AH327" s="52" t="e">
        <f>HLOOKUP(I327,ElecAvoidedCostsWOCC!$A$5:$Q$50,T327+1,FALSE)</f>
        <v>#N/A</v>
      </c>
      <c r="AI327" s="44" t="e">
        <f t="shared" si="146"/>
        <v>#N/A</v>
      </c>
      <c r="AJ327" s="44" t="e">
        <f t="shared" si="147"/>
        <v>#N/A</v>
      </c>
      <c r="AK327" s="44" t="e">
        <f>HLOOKUP(I327,ElecAvoidedCostsWOCC!$A$5:$Q$50,G327+1,FALSE)*J327*L327</f>
        <v>#N/A</v>
      </c>
      <c r="AL327" s="44" t="e">
        <f t="shared" si="148"/>
        <v>#N/A</v>
      </c>
      <c r="AM327" s="48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8">
        <f t="shared" si="149"/>
        <v>0</v>
      </c>
      <c r="AO327" s="47">
        <f t="shared" si="150"/>
        <v>0</v>
      </c>
      <c r="AP327" s="47" t="e">
        <f t="shared" si="151"/>
        <v>#DIV/0!</v>
      </c>
    </row>
    <row r="328" spans="2:42">
      <c r="B328" s="97" t="s">
        <v>15</v>
      </c>
      <c r="C328" s="100"/>
      <c r="D328" s="100"/>
      <c r="E328" s="38"/>
      <c r="F328" s="39"/>
      <c r="G328" s="39"/>
      <c r="H328" s="39"/>
      <c r="I328" s="40"/>
      <c r="J328" s="41"/>
      <c r="K328" s="41"/>
      <c r="L328" s="41"/>
      <c r="M328" s="42"/>
      <c r="N328" s="42"/>
      <c r="O328" s="43"/>
      <c r="P328" s="44"/>
      <c r="Q328" s="44"/>
      <c r="R328" s="45"/>
      <c r="S328" s="46"/>
      <c r="T328" s="39">
        <f t="shared" si="133"/>
        <v>0</v>
      </c>
      <c r="U328" s="47">
        <f t="shared" si="134"/>
        <v>0</v>
      </c>
      <c r="V328" s="48">
        <f t="shared" si="135"/>
        <v>0</v>
      </c>
      <c r="W328" s="49">
        <f t="shared" si="136"/>
        <v>0</v>
      </c>
      <c r="X328" s="44">
        <f t="shared" si="137"/>
        <v>0</v>
      </c>
      <c r="Y328" s="44">
        <f t="shared" si="138"/>
        <v>0</v>
      </c>
      <c r="Z328" s="44">
        <f t="shared" si="139"/>
        <v>0</v>
      </c>
      <c r="AA328" s="50">
        <f t="shared" si="140"/>
        <v>0</v>
      </c>
      <c r="AB328" s="51">
        <f t="shared" si="141"/>
        <v>0</v>
      </c>
      <c r="AC328" s="44">
        <f t="shared" si="142"/>
        <v>0</v>
      </c>
      <c r="AD328" s="44">
        <f t="shared" si="143"/>
        <v>0</v>
      </c>
      <c r="AE328" s="44">
        <f t="shared" si="144"/>
        <v>0</v>
      </c>
      <c r="AF328" s="52" t="e">
        <f>HLOOKUP(I328,ElecAvoidedCostsWOCC!$A$5:$Q$50,G328+1,FALSE)</f>
        <v>#N/A</v>
      </c>
      <c r="AG328" s="44" t="e">
        <f t="shared" si="145"/>
        <v>#N/A</v>
      </c>
      <c r="AH328" s="52" t="e">
        <f>HLOOKUP(I328,ElecAvoidedCostsWOCC!$A$5:$Q$50,T328+1,FALSE)</f>
        <v>#N/A</v>
      </c>
      <c r="AI328" s="44" t="e">
        <f t="shared" si="146"/>
        <v>#N/A</v>
      </c>
      <c r="AJ328" s="44" t="e">
        <f t="shared" si="147"/>
        <v>#N/A</v>
      </c>
      <c r="AK328" s="44" t="e">
        <f>HLOOKUP(I328,ElecAvoidedCostsWOCC!$A$5:$Q$50,G328+1,FALSE)*J328*L328</f>
        <v>#N/A</v>
      </c>
      <c r="AL328" s="44" t="e">
        <f t="shared" si="148"/>
        <v>#N/A</v>
      </c>
      <c r="AM328" s="48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8">
        <f t="shared" si="149"/>
        <v>0</v>
      </c>
      <c r="AO328" s="47">
        <f t="shared" si="150"/>
        <v>0</v>
      </c>
      <c r="AP328" s="47" t="e">
        <f t="shared" si="151"/>
        <v>#DIV/0!</v>
      </c>
    </row>
    <row r="329" spans="2:42">
      <c r="B329" s="97" t="s">
        <v>15</v>
      </c>
      <c r="C329" s="100"/>
      <c r="D329" s="100"/>
      <c r="E329" s="38"/>
      <c r="F329" s="39"/>
      <c r="G329" s="39"/>
      <c r="H329" s="39"/>
      <c r="I329" s="40"/>
      <c r="J329" s="41"/>
      <c r="K329" s="41"/>
      <c r="L329" s="41"/>
      <c r="M329" s="42"/>
      <c r="N329" s="42"/>
      <c r="O329" s="43"/>
      <c r="P329" s="44"/>
      <c r="Q329" s="44"/>
      <c r="R329" s="45"/>
      <c r="S329" s="46"/>
      <c r="T329" s="39">
        <f t="shared" si="133"/>
        <v>0</v>
      </c>
      <c r="U329" s="47">
        <f t="shared" si="134"/>
        <v>0</v>
      </c>
      <c r="V329" s="48">
        <f t="shared" si="135"/>
        <v>0</v>
      </c>
      <c r="W329" s="49">
        <f t="shared" si="136"/>
        <v>0</v>
      </c>
      <c r="X329" s="44">
        <f t="shared" si="137"/>
        <v>0</v>
      </c>
      <c r="Y329" s="44">
        <f t="shared" si="138"/>
        <v>0</v>
      </c>
      <c r="Z329" s="44">
        <f t="shared" si="139"/>
        <v>0</v>
      </c>
      <c r="AA329" s="50">
        <f t="shared" si="140"/>
        <v>0</v>
      </c>
      <c r="AB329" s="51">
        <f t="shared" si="141"/>
        <v>0</v>
      </c>
      <c r="AC329" s="44">
        <f t="shared" si="142"/>
        <v>0</v>
      </c>
      <c r="AD329" s="44">
        <f t="shared" si="143"/>
        <v>0</v>
      </c>
      <c r="AE329" s="44">
        <f t="shared" si="144"/>
        <v>0</v>
      </c>
      <c r="AF329" s="52" t="e">
        <f>HLOOKUP(I329,ElecAvoidedCostsWOCC!$A$5:$Q$50,G329+1,FALSE)</f>
        <v>#N/A</v>
      </c>
      <c r="AG329" s="44" t="e">
        <f t="shared" si="145"/>
        <v>#N/A</v>
      </c>
      <c r="AH329" s="52" t="e">
        <f>HLOOKUP(I329,ElecAvoidedCostsWOCC!$A$5:$Q$50,T329+1,FALSE)</f>
        <v>#N/A</v>
      </c>
      <c r="AI329" s="44" t="e">
        <f t="shared" si="146"/>
        <v>#N/A</v>
      </c>
      <c r="AJ329" s="44" t="e">
        <f t="shared" si="147"/>
        <v>#N/A</v>
      </c>
      <c r="AK329" s="44" t="e">
        <f>HLOOKUP(I329,ElecAvoidedCostsWOCC!$A$5:$Q$50,G329+1,FALSE)*J329*L329</f>
        <v>#N/A</v>
      </c>
      <c r="AL329" s="44" t="e">
        <f t="shared" si="148"/>
        <v>#N/A</v>
      </c>
      <c r="AM329" s="48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8">
        <f t="shared" si="149"/>
        <v>0</v>
      </c>
      <c r="AO329" s="47">
        <f t="shared" si="150"/>
        <v>0</v>
      </c>
      <c r="AP329" s="47" t="e">
        <f t="shared" si="151"/>
        <v>#DIV/0!</v>
      </c>
    </row>
    <row r="330" spans="2:42">
      <c r="B330" s="97" t="s">
        <v>15</v>
      </c>
      <c r="C330" s="100"/>
      <c r="D330" s="100"/>
      <c r="E330" s="38"/>
      <c r="F330" s="39"/>
      <c r="G330" s="39"/>
      <c r="H330" s="39"/>
      <c r="I330" s="40"/>
      <c r="J330" s="41"/>
      <c r="K330" s="41"/>
      <c r="L330" s="41"/>
      <c r="M330" s="42"/>
      <c r="N330" s="42"/>
      <c r="O330" s="43"/>
      <c r="P330" s="44"/>
      <c r="Q330" s="44"/>
      <c r="R330" s="45"/>
      <c r="S330" s="46"/>
      <c r="T330" s="39">
        <f t="shared" si="133"/>
        <v>0</v>
      </c>
      <c r="U330" s="47">
        <f t="shared" si="134"/>
        <v>0</v>
      </c>
      <c r="V330" s="48">
        <f t="shared" si="135"/>
        <v>0</v>
      </c>
      <c r="W330" s="49">
        <f t="shared" si="136"/>
        <v>0</v>
      </c>
      <c r="X330" s="44">
        <f t="shared" si="137"/>
        <v>0</v>
      </c>
      <c r="Y330" s="44">
        <f t="shared" si="138"/>
        <v>0</v>
      </c>
      <c r="Z330" s="44">
        <f t="shared" si="139"/>
        <v>0</v>
      </c>
      <c r="AA330" s="50">
        <f t="shared" si="140"/>
        <v>0</v>
      </c>
      <c r="AB330" s="51">
        <f t="shared" si="141"/>
        <v>0</v>
      </c>
      <c r="AC330" s="44">
        <f t="shared" si="142"/>
        <v>0</v>
      </c>
      <c r="AD330" s="44">
        <f t="shared" si="143"/>
        <v>0</v>
      </c>
      <c r="AE330" s="44">
        <f t="shared" si="144"/>
        <v>0</v>
      </c>
      <c r="AF330" s="52" t="e">
        <f>HLOOKUP(I330,ElecAvoidedCostsWOCC!$A$5:$Q$50,G330+1,FALSE)</f>
        <v>#N/A</v>
      </c>
      <c r="AG330" s="44" t="e">
        <f t="shared" si="145"/>
        <v>#N/A</v>
      </c>
      <c r="AH330" s="52" t="e">
        <f>HLOOKUP(I330,ElecAvoidedCostsWOCC!$A$5:$Q$50,T330+1,FALSE)</f>
        <v>#N/A</v>
      </c>
      <c r="AI330" s="44" t="e">
        <f t="shared" si="146"/>
        <v>#N/A</v>
      </c>
      <c r="AJ330" s="44" t="e">
        <f t="shared" si="147"/>
        <v>#N/A</v>
      </c>
      <c r="AK330" s="44" t="e">
        <f>HLOOKUP(I330,ElecAvoidedCostsWOCC!$A$5:$Q$50,G330+1,FALSE)*J330*L330</f>
        <v>#N/A</v>
      </c>
      <c r="AL330" s="44" t="e">
        <f t="shared" si="148"/>
        <v>#N/A</v>
      </c>
      <c r="AM330" s="48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8">
        <f t="shared" si="149"/>
        <v>0</v>
      </c>
      <c r="AO330" s="47">
        <f t="shared" si="150"/>
        <v>0</v>
      </c>
      <c r="AP330" s="47" t="e">
        <f t="shared" si="151"/>
        <v>#DIV/0!</v>
      </c>
    </row>
    <row r="331" spans="2:42">
      <c r="B331" s="97" t="s">
        <v>15</v>
      </c>
      <c r="C331" s="100"/>
      <c r="D331" s="100"/>
      <c r="E331" s="38"/>
      <c r="F331" s="39"/>
      <c r="G331" s="39"/>
      <c r="H331" s="39"/>
      <c r="I331" s="40"/>
      <c r="J331" s="41"/>
      <c r="K331" s="41"/>
      <c r="L331" s="41"/>
      <c r="M331" s="42"/>
      <c r="N331" s="42"/>
      <c r="O331" s="43"/>
      <c r="P331" s="44"/>
      <c r="Q331" s="44"/>
      <c r="R331" s="45"/>
      <c r="S331" s="46"/>
      <c r="T331" s="39">
        <f t="shared" si="133"/>
        <v>0</v>
      </c>
      <c r="U331" s="47">
        <f t="shared" si="134"/>
        <v>0</v>
      </c>
      <c r="V331" s="48">
        <f t="shared" si="135"/>
        <v>0</v>
      </c>
      <c r="W331" s="49">
        <f t="shared" si="136"/>
        <v>0</v>
      </c>
      <c r="X331" s="44">
        <f t="shared" si="137"/>
        <v>0</v>
      </c>
      <c r="Y331" s="44">
        <f t="shared" si="138"/>
        <v>0</v>
      </c>
      <c r="Z331" s="44">
        <f t="shared" si="139"/>
        <v>0</v>
      </c>
      <c r="AA331" s="50">
        <f t="shared" si="140"/>
        <v>0</v>
      </c>
      <c r="AB331" s="51">
        <f t="shared" si="141"/>
        <v>0</v>
      </c>
      <c r="AC331" s="44">
        <f t="shared" si="142"/>
        <v>0</v>
      </c>
      <c r="AD331" s="44">
        <f t="shared" si="143"/>
        <v>0</v>
      </c>
      <c r="AE331" s="44">
        <f t="shared" si="144"/>
        <v>0</v>
      </c>
      <c r="AF331" s="52" t="e">
        <f>HLOOKUP(I331,ElecAvoidedCostsWOCC!$A$5:$Q$50,G331+1,FALSE)</f>
        <v>#N/A</v>
      </c>
      <c r="AG331" s="44" t="e">
        <f t="shared" si="145"/>
        <v>#N/A</v>
      </c>
      <c r="AH331" s="52" t="e">
        <f>HLOOKUP(I331,ElecAvoidedCostsWOCC!$A$5:$Q$50,T331+1,FALSE)</f>
        <v>#N/A</v>
      </c>
      <c r="AI331" s="44" t="e">
        <f t="shared" si="146"/>
        <v>#N/A</v>
      </c>
      <c r="AJ331" s="44" t="e">
        <f t="shared" si="147"/>
        <v>#N/A</v>
      </c>
      <c r="AK331" s="44" t="e">
        <f>HLOOKUP(I331,ElecAvoidedCostsWOCC!$A$5:$Q$50,G331+1,FALSE)*J331*L331</f>
        <v>#N/A</v>
      </c>
      <c r="AL331" s="44" t="e">
        <f t="shared" si="148"/>
        <v>#N/A</v>
      </c>
      <c r="AM331" s="48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8">
        <f t="shared" si="149"/>
        <v>0</v>
      </c>
      <c r="AO331" s="47">
        <f t="shared" si="150"/>
        <v>0</v>
      </c>
      <c r="AP331" s="47" t="e">
        <f t="shared" si="151"/>
        <v>#DIV/0!</v>
      </c>
    </row>
    <row r="332" spans="2:42">
      <c r="B332" s="97" t="s">
        <v>15</v>
      </c>
      <c r="C332" s="100"/>
      <c r="D332" s="100"/>
      <c r="E332" s="38"/>
      <c r="F332" s="39"/>
      <c r="G332" s="39"/>
      <c r="H332" s="39"/>
      <c r="I332" s="40"/>
      <c r="J332" s="41"/>
      <c r="K332" s="41"/>
      <c r="L332" s="41"/>
      <c r="M332" s="42"/>
      <c r="N332" s="42"/>
      <c r="O332" s="43"/>
      <c r="P332" s="44"/>
      <c r="Q332" s="44"/>
      <c r="R332" s="45"/>
      <c r="S332" s="46"/>
      <c r="T332" s="39">
        <f t="shared" si="133"/>
        <v>0</v>
      </c>
      <c r="U332" s="47">
        <f t="shared" si="134"/>
        <v>0</v>
      </c>
      <c r="V332" s="48">
        <f t="shared" si="135"/>
        <v>0</v>
      </c>
      <c r="W332" s="49">
        <f t="shared" si="136"/>
        <v>0</v>
      </c>
      <c r="X332" s="44">
        <f t="shared" si="137"/>
        <v>0</v>
      </c>
      <c r="Y332" s="44">
        <f t="shared" si="138"/>
        <v>0</v>
      </c>
      <c r="Z332" s="44">
        <f t="shared" si="139"/>
        <v>0</v>
      </c>
      <c r="AA332" s="50">
        <f t="shared" si="140"/>
        <v>0</v>
      </c>
      <c r="AB332" s="51">
        <f t="shared" si="141"/>
        <v>0</v>
      </c>
      <c r="AC332" s="44">
        <f t="shared" si="142"/>
        <v>0</v>
      </c>
      <c r="AD332" s="44">
        <f t="shared" si="143"/>
        <v>0</v>
      </c>
      <c r="AE332" s="44">
        <f t="shared" si="144"/>
        <v>0</v>
      </c>
      <c r="AF332" s="52" t="e">
        <f>HLOOKUP(I332,ElecAvoidedCostsWOCC!$A$5:$Q$50,G332+1,FALSE)</f>
        <v>#N/A</v>
      </c>
      <c r="AG332" s="44" t="e">
        <f t="shared" si="145"/>
        <v>#N/A</v>
      </c>
      <c r="AH332" s="52" t="e">
        <f>HLOOKUP(I332,ElecAvoidedCostsWOCC!$A$5:$Q$50,T332+1,FALSE)</f>
        <v>#N/A</v>
      </c>
      <c r="AI332" s="44" t="e">
        <f t="shared" si="146"/>
        <v>#N/A</v>
      </c>
      <c r="AJ332" s="44" t="e">
        <f t="shared" si="147"/>
        <v>#N/A</v>
      </c>
      <c r="AK332" s="44" t="e">
        <f>HLOOKUP(I332,ElecAvoidedCostsWOCC!$A$5:$Q$50,G332+1,FALSE)*J332*L332</f>
        <v>#N/A</v>
      </c>
      <c r="AL332" s="44" t="e">
        <f t="shared" si="148"/>
        <v>#N/A</v>
      </c>
      <c r="AM332" s="48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8">
        <f t="shared" si="149"/>
        <v>0</v>
      </c>
      <c r="AO332" s="47">
        <f t="shared" si="150"/>
        <v>0</v>
      </c>
      <c r="AP332" s="47" t="e">
        <f t="shared" si="151"/>
        <v>#DIV/0!</v>
      </c>
    </row>
    <row r="333" spans="2:42">
      <c r="B333" s="97" t="s">
        <v>15</v>
      </c>
      <c r="C333" s="100"/>
      <c r="D333" s="100"/>
      <c r="E333" s="38"/>
      <c r="F333" s="39"/>
      <c r="G333" s="39"/>
      <c r="H333" s="39"/>
      <c r="I333" s="40"/>
      <c r="J333" s="41"/>
      <c r="K333" s="41"/>
      <c r="L333" s="41"/>
      <c r="M333" s="42"/>
      <c r="N333" s="42"/>
      <c r="O333" s="43"/>
      <c r="P333" s="44"/>
      <c r="Q333" s="44"/>
      <c r="R333" s="45"/>
      <c r="S333" s="46"/>
      <c r="T333" s="39">
        <f t="shared" si="133"/>
        <v>0</v>
      </c>
      <c r="U333" s="47">
        <f t="shared" si="134"/>
        <v>0</v>
      </c>
      <c r="V333" s="48">
        <f t="shared" si="135"/>
        <v>0</v>
      </c>
      <c r="W333" s="49">
        <f t="shared" si="136"/>
        <v>0</v>
      </c>
      <c r="X333" s="44">
        <f t="shared" si="137"/>
        <v>0</v>
      </c>
      <c r="Y333" s="44">
        <f t="shared" si="138"/>
        <v>0</v>
      </c>
      <c r="Z333" s="44">
        <f t="shared" si="139"/>
        <v>0</v>
      </c>
      <c r="AA333" s="50">
        <f t="shared" si="140"/>
        <v>0</v>
      </c>
      <c r="AB333" s="51">
        <f t="shared" si="141"/>
        <v>0</v>
      </c>
      <c r="AC333" s="44">
        <f t="shared" si="142"/>
        <v>0</v>
      </c>
      <c r="AD333" s="44">
        <f t="shared" si="143"/>
        <v>0</v>
      </c>
      <c r="AE333" s="44">
        <f t="shared" si="144"/>
        <v>0</v>
      </c>
      <c r="AF333" s="52" t="e">
        <f>HLOOKUP(I333,ElecAvoidedCostsWOCC!$A$5:$Q$50,G333+1,FALSE)</f>
        <v>#N/A</v>
      </c>
      <c r="AG333" s="44" t="e">
        <f t="shared" si="145"/>
        <v>#N/A</v>
      </c>
      <c r="AH333" s="52" t="e">
        <f>HLOOKUP(I333,ElecAvoidedCostsWOCC!$A$5:$Q$50,T333+1,FALSE)</f>
        <v>#N/A</v>
      </c>
      <c r="AI333" s="44" t="e">
        <f t="shared" si="146"/>
        <v>#N/A</v>
      </c>
      <c r="AJ333" s="44" t="e">
        <f t="shared" si="147"/>
        <v>#N/A</v>
      </c>
      <c r="AK333" s="44" t="e">
        <f>HLOOKUP(I333,ElecAvoidedCostsWOCC!$A$5:$Q$50,G333+1,FALSE)*J333*L333</f>
        <v>#N/A</v>
      </c>
      <c r="AL333" s="44" t="e">
        <f t="shared" si="148"/>
        <v>#N/A</v>
      </c>
      <c r="AM333" s="48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8">
        <f t="shared" si="149"/>
        <v>0</v>
      </c>
      <c r="AO333" s="47">
        <f t="shared" si="150"/>
        <v>0</v>
      </c>
      <c r="AP333" s="47" t="e">
        <f t="shared" si="151"/>
        <v>#DIV/0!</v>
      </c>
    </row>
    <row r="334" spans="2:42">
      <c r="B334" s="97" t="s">
        <v>15</v>
      </c>
      <c r="C334" s="100"/>
      <c r="D334" s="100"/>
      <c r="E334" s="38"/>
      <c r="F334" s="39"/>
      <c r="G334" s="39"/>
      <c r="H334" s="39"/>
      <c r="I334" s="40"/>
      <c r="J334" s="41"/>
      <c r="K334" s="41"/>
      <c r="L334" s="41"/>
      <c r="M334" s="42"/>
      <c r="N334" s="42"/>
      <c r="O334" s="43"/>
      <c r="P334" s="44"/>
      <c r="Q334" s="44"/>
      <c r="R334" s="45"/>
      <c r="S334" s="46"/>
      <c r="T334" s="39">
        <f t="shared" si="133"/>
        <v>0</v>
      </c>
      <c r="U334" s="47">
        <f t="shared" si="134"/>
        <v>0</v>
      </c>
      <c r="V334" s="48">
        <f t="shared" si="135"/>
        <v>0</v>
      </c>
      <c r="W334" s="49">
        <f t="shared" si="136"/>
        <v>0</v>
      </c>
      <c r="X334" s="44">
        <f t="shared" si="137"/>
        <v>0</v>
      </c>
      <c r="Y334" s="44">
        <f t="shared" si="138"/>
        <v>0</v>
      </c>
      <c r="Z334" s="44">
        <f t="shared" si="139"/>
        <v>0</v>
      </c>
      <c r="AA334" s="50">
        <f t="shared" si="140"/>
        <v>0</v>
      </c>
      <c r="AB334" s="51">
        <f t="shared" si="141"/>
        <v>0</v>
      </c>
      <c r="AC334" s="44">
        <f t="shared" si="142"/>
        <v>0</v>
      </c>
      <c r="AD334" s="44">
        <f t="shared" si="143"/>
        <v>0</v>
      </c>
      <c r="AE334" s="44">
        <f t="shared" si="144"/>
        <v>0</v>
      </c>
      <c r="AF334" s="52" t="e">
        <f>HLOOKUP(I334,ElecAvoidedCostsWOCC!$A$5:$Q$50,G334+1,FALSE)</f>
        <v>#N/A</v>
      </c>
      <c r="AG334" s="44" t="e">
        <f t="shared" si="145"/>
        <v>#N/A</v>
      </c>
      <c r="AH334" s="52" t="e">
        <f>HLOOKUP(I334,ElecAvoidedCostsWOCC!$A$5:$Q$50,T334+1,FALSE)</f>
        <v>#N/A</v>
      </c>
      <c r="AI334" s="44" t="e">
        <f t="shared" si="146"/>
        <v>#N/A</v>
      </c>
      <c r="AJ334" s="44" t="e">
        <f t="shared" si="147"/>
        <v>#N/A</v>
      </c>
      <c r="AK334" s="44" t="e">
        <f>HLOOKUP(I334,ElecAvoidedCostsWOCC!$A$5:$Q$50,G334+1,FALSE)*J334*L334</f>
        <v>#N/A</v>
      </c>
      <c r="AL334" s="44" t="e">
        <f t="shared" si="148"/>
        <v>#N/A</v>
      </c>
      <c r="AM334" s="48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8">
        <f t="shared" si="149"/>
        <v>0</v>
      </c>
      <c r="AO334" s="47">
        <f t="shared" si="150"/>
        <v>0</v>
      </c>
      <c r="AP334" s="47" t="e">
        <f t="shared" si="151"/>
        <v>#DIV/0!</v>
      </c>
    </row>
    <row r="335" spans="2:42">
      <c r="B335" s="97" t="s">
        <v>15</v>
      </c>
      <c r="C335" s="100"/>
      <c r="D335" s="100"/>
      <c r="E335" s="38"/>
      <c r="F335" s="39"/>
      <c r="G335" s="39"/>
      <c r="H335" s="39"/>
      <c r="I335" s="40"/>
      <c r="J335" s="41"/>
      <c r="K335" s="41"/>
      <c r="L335" s="41"/>
      <c r="M335" s="42"/>
      <c r="N335" s="42"/>
      <c r="O335" s="43"/>
      <c r="P335" s="44"/>
      <c r="Q335" s="44"/>
      <c r="R335" s="45"/>
      <c r="S335" s="46"/>
      <c r="T335" s="39">
        <f t="shared" si="133"/>
        <v>0</v>
      </c>
      <c r="U335" s="47">
        <f t="shared" si="134"/>
        <v>0</v>
      </c>
      <c r="V335" s="48">
        <f t="shared" si="135"/>
        <v>0</v>
      </c>
      <c r="W335" s="49">
        <f t="shared" si="136"/>
        <v>0</v>
      </c>
      <c r="X335" s="44">
        <f t="shared" si="137"/>
        <v>0</v>
      </c>
      <c r="Y335" s="44">
        <f t="shared" si="138"/>
        <v>0</v>
      </c>
      <c r="Z335" s="44">
        <f t="shared" si="139"/>
        <v>0</v>
      </c>
      <c r="AA335" s="50">
        <f t="shared" si="140"/>
        <v>0</v>
      </c>
      <c r="AB335" s="51">
        <f t="shared" si="141"/>
        <v>0</v>
      </c>
      <c r="AC335" s="44">
        <f t="shared" si="142"/>
        <v>0</v>
      </c>
      <c r="AD335" s="44">
        <f t="shared" si="143"/>
        <v>0</v>
      </c>
      <c r="AE335" s="44">
        <f t="shared" si="144"/>
        <v>0</v>
      </c>
      <c r="AF335" s="52" t="e">
        <f>HLOOKUP(I335,ElecAvoidedCostsWOCC!$A$5:$Q$50,G335+1,FALSE)</f>
        <v>#N/A</v>
      </c>
      <c r="AG335" s="44" t="e">
        <f t="shared" si="145"/>
        <v>#N/A</v>
      </c>
      <c r="AH335" s="52" t="e">
        <f>HLOOKUP(I335,ElecAvoidedCostsWOCC!$A$5:$Q$50,T335+1,FALSE)</f>
        <v>#N/A</v>
      </c>
      <c r="AI335" s="44" t="e">
        <f t="shared" si="146"/>
        <v>#N/A</v>
      </c>
      <c r="AJ335" s="44" t="e">
        <f t="shared" si="147"/>
        <v>#N/A</v>
      </c>
      <c r="AK335" s="44" t="e">
        <f>HLOOKUP(I335,ElecAvoidedCostsWOCC!$A$5:$Q$50,G335+1,FALSE)*J335*L335</f>
        <v>#N/A</v>
      </c>
      <c r="AL335" s="44" t="e">
        <f t="shared" si="148"/>
        <v>#N/A</v>
      </c>
      <c r="AM335" s="48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8">
        <f t="shared" si="149"/>
        <v>0</v>
      </c>
      <c r="AO335" s="47">
        <f t="shared" si="150"/>
        <v>0</v>
      </c>
      <c r="AP335" s="47" t="e">
        <f t="shared" si="151"/>
        <v>#DIV/0!</v>
      </c>
    </row>
    <row r="336" spans="2:42">
      <c r="B336" s="97" t="s">
        <v>15</v>
      </c>
      <c r="C336" s="100"/>
      <c r="D336" s="100"/>
      <c r="E336" s="38"/>
      <c r="F336" s="39"/>
      <c r="G336" s="39"/>
      <c r="H336" s="39"/>
      <c r="I336" s="40"/>
      <c r="J336" s="41"/>
      <c r="K336" s="41"/>
      <c r="L336" s="41"/>
      <c r="M336" s="42"/>
      <c r="N336" s="42"/>
      <c r="O336" s="43"/>
      <c r="P336" s="44"/>
      <c r="Q336" s="44"/>
      <c r="R336" s="45"/>
      <c r="S336" s="46"/>
      <c r="T336" s="39">
        <f t="shared" si="133"/>
        <v>0</v>
      </c>
      <c r="U336" s="47">
        <f t="shared" si="134"/>
        <v>0</v>
      </c>
      <c r="V336" s="48">
        <f t="shared" si="135"/>
        <v>0</v>
      </c>
      <c r="W336" s="49">
        <f t="shared" si="136"/>
        <v>0</v>
      </c>
      <c r="X336" s="44">
        <f t="shared" si="137"/>
        <v>0</v>
      </c>
      <c r="Y336" s="44">
        <f t="shared" si="138"/>
        <v>0</v>
      </c>
      <c r="Z336" s="44">
        <f t="shared" si="139"/>
        <v>0</v>
      </c>
      <c r="AA336" s="50">
        <f t="shared" si="140"/>
        <v>0</v>
      </c>
      <c r="AB336" s="51">
        <f t="shared" si="141"/>
        <v>0</v>
      </c>
      <c r="AC336" s="44">
        <f t="shared" si="142"/>
        <v>0</v>
      </c>
      <c r="AD336" s="44">
        <f t="shared" si="143"/>
        <v>0</v>
      </c>
      <c r="AE336" s="44">
        <f t="shared" si="144"/>
        <v>0</v>
      </c>
      <c r="AF336" s="52" t="e">
        <f>HLOOKUP(I336,ElecAvoidedCostsWOCC!$A$5:$Q$50,G336+1,FALSE)</f>
        <v>#N/A</v>
      </c>
      <c r="AG336" s="44" t="e">
        <f t="shared" si="145"/>
        <v>#N/A</v>
      </c>
      <c r="AH336" s="52" t="e">
        <f>HLOOKUP(I336,ElecAvoidedCostsWOCC!$A$5:$Q$50,T336+1,FALSE)</f>
        <v>#N/A</v>
      </c>
      <c r="AI336" s="44" t="e">
        <f t="shared" si="146"/>
        <v>#N/A</v>
      </c>
      <c r="AJ336" s="44" t="e">
        <f t="shared" si="147"/>
        <v>#N/A</v>
      </c>
      <c r="AK336" s="44" t="e">
        <f>HLOOKUP(I336,ElecAvoidedCostsWOCC!$A$5:$Q$50,G336+1,FALSE)*J336*L336</f>
        <v>#N/A</v>
      </c>
      <c r="AL336" s="44" t="e">
        <f t="shared" si="148"/>
        <v>#N/A</v>
      </c>
      <c r="AM336" s="48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8">
        <f t="shared" si="149"/>
        <v>0</v>
      </c>
      <c r="AO336" s="47">
        <f t="shared" si="150"/>
        <v>0</v>
      </c>
      <c r="AP336" s="47" t="e">
        <f t="shared" si="151"/>
        <v>#DIV/0!</v>
      </c>
    </row>
    <row r="337" spans="2:42">
      <c r="B337" s="97" t="s">
        <v>15</v>
      </c>
      <c r="C337" s="100"/>
      <c r="D337" s="100"/>
      <c r="E337" s="38"/>
      <c r="F337" s="39"/>
      <c r="G337" s="39"/>
      <c r="H337" s="39"/>
      <c r="I337" s="40"/>
      <c r="J337" s="41"/>
      <c r="K337" s="41"/>
      <c r="L337" s="41"/>
      <c r="M337" s="42"/>
      <c r="N337" s="42"/>
      <c r="O337" s="43"/>
      <c r="P337" s="44"/>
      <c r="Q337" s="44"/>
      <c r="R337" s="45"/>
      <c r="S337" s="46"/>
      <c r="T337" s="39">
        <f t="shared" si="133"/>
        <v>0</v>
      </c>
      <c r="U337" s="47">
        <f t="shared" si="134"/>
        <v>0</v>
      </c>
      <c r="V337" s="48">
        <f t="shared" si="135"/>
        <v>0</v>
      </c>
      <c r="W337" s="49">
        <f t="shared" si="136"/>
        <v>0</v>
      </c>
      <c r="X337" s="44">
        <f t="shared" si="137"/>
        <v>0</v>
      </c>
      <c r="Y337" s="44">
        <f t="shared" si="138"/>
        <v>0</v>
      </c>
      <c r="Z337" s="44">
        <f t="shared" si="139"/>
        <v>0</v>
      </c>
      <c r="AA337" s="50">
        <f t="shared" si="140"/>
        <v>0</v>
      </c>
      <c r="AB337" s="51">
        <f t="shared" si="141"/>
        <v>0</v>
      </c>
      <c r="AC337" s="44">
        <f t="shared" si="142"/>
        <v>0</v>
      </c>
      <c r="AD337" s="44">
        <f t="shared" si="143"/>
        <v>0</v>
      </c>
      <c r="AE337" s="44">
        <f t="shared" si="144"/>
        <v>0</v>
      </c>
      <c r="AF337" s="52" t="e">
        <f>HLOOKUP(I337,ElecAvoidedCostsWOCC!$A$5:$Q$50,G337+1,FALSE)</f>
        <v>#N/A</v>
      </c>
      <c r="AG337" s="44" t="e">
        <f t="shared" si="145"/>
        <v>#N/A</v>
      </c>
      <c r="AH337" s="52" t="e">
        <f>HLOOKUP(I337,ElecAvoidedCostsWOCC!$A$5:$Q$50,T337+1,FALSE)</f>
        <v>#N/A</v>
      </c>
      <c r="AI337" s="44" t="e">
        <f t="shared" si="146"/>
        <v>#N/A</v>
      </c>
      <c r="AJ337" s="44" t="e">
        <f t="shared" si="147"/>
        <v>#N/A</v>
      </c>
      <c r="AK337" s="44" t="e">
        <f>HLOOKUP(I337,ElecAvoidedCostsWOCC!$A$5:$Q$50,G337+1,FALSE)*J337*L337</f>
        <v>#N/A</v>
      </c>
      <c r="AL337" s="44" t="e">
        <f t="shared" si="148"/>
        <v>#N/A</v>
      </c>
      <c r="AM337" s="48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8">
        <f t="shared" si="149"/>
        <v>0</v>
      </c>
      <c r="AO337" s="47">
        <f t="shared" si="150"/>
        <v>0</v>
      </c>
      <c r="AP337" s="47" t="e">
        <f t="shared" si="151"/>
        <v>#DIV/0!</v>
      </c>
    </row>
    <row r="338" spans="2:42">
      <c r="B338" s="97" t="s">
        <v>15</v>
      </c>
      <c r="C338" s="100"/>
      <c r="D338" s="100"/>
      <c r="E338" s="38"/>
      <c r="F338" s="39"/>
      <c r="G338" s="39"/>
      <c r="H338" s="39"/>
      <c r="I338" s="40"/>
      <c r="J338" s="41"/>
      <c r="K338" s="41"/>
      <c r="L338" s="41"/>
      <c r="M338" s="42"/>
      <c r="N338" s="42"/>
      <c r="O338" s="43"/>
      <c r="P338" s="44"/>
      <c r="Q338" s="44"/>
      <c r="R338" s="45"/>
      <c r="S338" s="46"/>
      <c r="T338" s="39">
        <f t="shared" si="133"/>
        <v>0</v>
      </c>
      <c r="U338" s="47">
        <f t="shared" si="134"/>
        <v>0</v>
      </c>
      <c r="V338" s="48">
        <f t="shared" si="135"/>
        <v>0</v>
      </c>
      <c r="W338" s="49">
        <f t="shared" si="136"/>
        <v>0</v>
      </c>
      <c r="X338" s="44">
        <f t="shared" si="137"/>
        <v>0</v>
      </c>
      <c r="Y338" s="44">
        <f t="shared" si="138"/>
        <v>0</v>
      </c>
      <c r="Z338" s="44">
        <f t="shared" si="139"/>
        <v>0</v>
      </c>
      <c r="AA338" s="50">
        <f t="shared" si="140"/>
        <v>0</v>
      </c>
      <c r="AB338" s="51">
        <f t="shared" si="141"/>
        <v>0</v>
      </c>
      <c r="AC338" s="44">
        <f t="shared" si="142"/>
        <v>0</v>
      </c>
      <c r="AD338" s="44">
        <f t="shared" si="143"/>
        <v>0</v>
      </c>
      <c r="AE338" s="44">
        <f t="shared" si="144"/>
        <v>0</v>
      </c>
      <c r="AF338" s="52" t="e">
        <f>HLOOKUP(I338,ElecAvoidedCostsWOCC!$A$5:$Q$50,G338+1,FALSE)</f>
        <v>#N/A</v>
      </c>
      <c r="AG338" s="44" t="e">
        <f t="shared" si="145"/>
        <v>#N/A</v>
      </c>
      <c r="AH338" s="52" t="e">
        <f>HLOOKUP(I338,ElecAvoidedCostsWOCC!$A$5:$Q$50,T338+1,FALSE)</f>
        <v>#N/A</v>
      </c>
      <c r="AI338" s="44" t="e">
        <f t="shared" si="146"/>
        <v>#N/A</v>
      </c>
      <c r="AJ338" s="44" t="e">
        <f t="shared" si="147"/>
        <v>#N/A</v>
      </c>
      <c r="AK338" s="44" t="e">
        <f>HLOOKUP(I338,ElecAvoidedCostsWOCC!$A$5:$Q$50,G338+1,FALSE)*J338*L338</f>
        <v>#N/A</v>
      </c>
      <c r="AL338" s="44" t="e">
        <f t="shared" si="148"/>
        <v>#N/A</v>
      </c>
      <c r="AM338" s="48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8">
        <f t="shared" si="149"/>
        <v>0</v>
      </c>
      <c r="AO338" s="47">
        <f t="shared" si="150"/>
        <v>0</v>
      </c>
      <c r="AP338" s="47" t="e">
        <f t="shared" si="151"/>
        <v>#DIV/0!</v>
      </c>
    </row>
    <row r="339" spans="2:42">
      <c r="B339" s="97" t="s">
        <v>15</v>
      </c>
      <c r="C339" s="100"/>
      <c r="D339" s="100"/>
      <c r="E339" s="38"/>
      <c r="F339" s="39"/>
      <c r="G339" s="39"/>
      <c r="H339" s="39"/>
      <c r="I339" s="40"/>
      <c r="J339" s="41"/>
      <c r="K339" s="41"/>
      <c r="L339" s="41"/>
      <c r="M339" s="42"/>
      <c r="N339" s="42"/>
      <c r="O339" s="43"/>
      <c r="P339" s="44"/>
      <c r="Q339" s="44"/>
      <c r="R339" s="45"/>
      <c r="S339" s="46"/>
      <c r="T339" s="39">
        <f t="shared" si="133"/>
        <v>0</v>
      </c>
      <c r="U339" s="47">
        <f t="shared" si="134"/>
        <v>0</v>
      </c>
      <c r="V339" s="48">
        <f t="shared" si="135"/>
        <v>0</v>
      </c>
      <c r="W339" s="49">
        <f t="shared" si="136"/>
        <v>0</v>
      </c>
      <c r="X339" s="44">
        <f t="shared" si="137"/>
        <v>0</v>
      </c>
      <c r="Y339" s="44">
        <f t="shared" si="138"/>
        <v>0</v>
      </c>
      <c r="Z339" s="44">
        <f t="shared" si="139"/>
        <v>0</v>
      </c>
      <c r="AA339" s="50">
        <f t="shared" si="140"/>
        <v>0</v>
      </c>
      <c r="AB339" s="51">
        <f t="shared" si="141"/>
        <v>0</v>
      </c>
      <c r="AC339" s="44">
        <f t="shared" si="142"/>
        <v>0</v>
      </c>
      <c r="AD339" s="44">
        <f t="shared" si="143"/>
        <v>0</v>
      </c>
      <c r="AE339" s="44">
        <f t="shared" si="144"/>
        <v>0</v>
      </c>
      <c r="AF339" s="52" t="e">
        <f>HLOOKUP(I339,ElecAvoidedCostsWOCC!$A$5:$Q$50,G339+1,FALSE)</f>
        <v>#N/A</v>
      </c>
      <c r="AG339" s="44" t="e">
        <f t="shared" si="145"/>
        <v>#N/A</v>
      </c>
      <c r="AH339" s="52" t="e">
        <f>HLOOKUP(I339,ElecAvoidedCostsWOCC!$A$5:$Q$50,T339+1,FALSE)</f>
        <v>#N/A</v>
      </c>
      <c r="AI339" s="44" t="e">
        <f t="shared" si="146"/>
        <v>#N/A</v>
      </c>
      <c r="AJ339" s="44" t="e">
        <f t="shared" si="147"/>
        <v>#N/A</v>
      </c>
      <c r="AK339" s="44" t="e">
        <f>HLOOKUP(I339,ElecAvoidedCostsWOCC!$A$5:$Q$50,G339+1,FALSE)*J339*L339</f>
        <v>#N/A</v>
      </c>
      <c r="AL339" s="44" t="e">
        <f t="shared" si="148"/>
        <v>#N/A</v>
      </c>
      <c r="AM339" s="48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8">
        <f t="shared" si="149"/>
        <v>0</v>
      </c>
      <c r="AO339" s="47">
        <f t="shared" si="150"/>
        <v>0</v>
      </c>
      <c r="AP339" s="47" t="e">
        <f t="shared" si="151"/>
        <v>#DIV/0!</v>
      </c>
    </row>
    <row r="340" spans="2:42">
      <c r="B340" s="97" t="s">
        <v>15</v>
      </c>
      <c r="C340" s="100"/>
      <c r="D340" s="100"/>
      <c r="E340" s="38"/>
      <c r="F340" s="39"/>
      <c r="G340" s="39"/>
      <c r="H340" s="39"/>
      <c r="I340" s="40"/>
      <c r="J340" s="41"/>
      <c r="K340" s="41"/>
      <c r="L340" s="41"/>
      <c r="M340" s="42"/>
      <c r="N340" s="42"/>
      <c r="O340" s="43"/>
      <c r="P340" s="44"/>
      <c r="Q340" s="44"/>
      <c r="R340" s="45"/>
      <c r="S340" s="46"/>
      <c r="T340" s="39">
        <f t="shared" si="133"/>
        <v>0</v>
      </c>
      <c r="U340" s="47">
        <f t="shared" si="134"/>
        <v>0</v>
      </c>
      <c r="V340" s="48">
        <f t="shared" si="135"/>
        <v>0</v>
      </c>
      <c r="W340" s="49">
        <f t="shared" si="136"/>
        <v>0</v>
      </c>
      <c r="X340" s="44">
        <f t="shared" si="137"/>
        <v>0</v>
      </c>
      <c r="Y340" s="44">
        <f t="shared" si="138"/>
        <v>0</v>
      </c>
      <c r="Z340" s="44">
        <f t="shared" si="139"/>
        <v>0</v>
      </c>
      <c r="AA340" s="50">
        <f t="shared" si="140"/>
        <v>0</v>
      </c>
      <c r="AB340" s="51">
        <f t="shared" si="141"/>
        <v>0</v>
      </c>
      <c r="AC340" s="44">
        <f t="shared" si="142"/>
        <v>0</v>
      </c>
      <c r="AD340" s="44">
        <f t="shared" si="143"/>
        <v>0</v>
      </c>
      <c r="AE340" s="44">
        <f t="shared" si="144"/>
        <v>0</v>
      </c>
      <c r="AF340" s="52" t="e">
        <f>HLOOKUP(I340,ElecAvoidedCostsWOCC!$A$5:$Q$50,G340+1,FALSE)</f>
        <v>#N/A</v>
      </c>
      <c r="AG340" s="44" t="e">
        <f t="shared" si="145"/>
        <v>#N/A</v>
      </c>
      <c r="AH340" s="52" t="e">
        <f>HLOOKUP(I340,ElecAvoidedCostsWOCC!$A$5:$Q$50,T340+1,FALSE)</f>
        <v>#N/A</v>
      </c>
      <c r="AI340" s="44" t="e">
        <f t="shared" si="146"/>
        <v>#N/A</v>
      </c>
      <c r="AJ340" s="44" t="e">
        <f t="shared" si="147"/>
        <v>#N/A</v>
      </c>
      <c r="AK340" s="44" t="e">
        <f>HLOOKUP(I340,ElecAvoidedCostsWOCC!$A$5:$Q$50,G340+1,FALSE)*J340*L340</f>
        <v>#N/A</v>
      </c>
      <c r="AL340" s="44" t="e">
        <f t="shared" si="148"/>
        <v>#N/A</v>
      </c>
      <c r="AM340" s="48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8">
        <f t="shared" si="149"/>
        <v>0</v>
      </c>
      <c r="AO340" s="47">
        <f t="shared" si="150"/>
        <v>0</v>
      </c>
      <c r="AP340" s="47" t="e">
        <f t="shared" si="151"/>
        <v>#DIV/0!</v>
      </c>
    </row>
    <row r="341" spans="2:42">
      <c r="B341" s="97" t="s">
        <v>15</v>
      </c>
      <c r="C341" s="100"/>
      <c r="D341" s="100"/>
      <c r="E341" s="38"/>
      <c r="F341" s="39"/>
      <c r="G341" s="39"/>
      <c r="H341" s="39"/>
      <c r="I341" s="40"/>
      <c r="J341" s="41"/>
      <c r="K341" s="41"/>
      <c r="L341" s="41"/>
      <c r="M341" s="42"/>
      <c r="N341" s="42"/>
      <c r="O341" s="43"/>
      <c r="P341" s="44"/>
      <c r="Q341" s="44"/>
      <c r="R341" s="45"/>
      <c r="S341" s="46"/>
      <c r="T341" s="39">
        <f t="shared" si="133"/>
        <v>0</v>
      </c>
      <c r="U341" s="47">
        <f t="shared" si="134"/>
        <v>0</v>
      </c>
      <c r="V341" s="48">
        <f t="shared" si="135"/>
        <v>0</v>
      </c>
      <c r="W341" s="49">
        <f t="shared" si="136"/>
        <v>0</v>
      </c>
      <c r="X341" s="44">
        <f t="shared" si="137"/>
        <v>0</v>
      </c>
      <c r="Y341" s="44">
        <f t="shared" si="138"/>
        <v>0</v>
      </c>
      <c r="Z341" s="44">
        <f t="shared" si="139"/>
        <v>0</v>
      </c>
      <c r="AA341" s="50">
        <f t="shared" si="140"/>
        <v>0</v>
      </c>
      <c r="AB341" s="51">
        <f t="shared" si="141"/>
        <v>0</v>
      </c>
      <c r="AC341" s="44">
        <f t="shared" si="142"/>
        <v>0</v>
      </c>
      <c r="AD341" s="44">
        <f t="shared" si="143"/>
        <v>0</v>
      </c>
      <c r="AE341" s="44">
        <f t="shared" si="144"/>
        <v>0</v>
      </c>
      <c r="AF341" s="52" t="e">
        <f>HLOOKUP(I341,ElecAvoidedCostsWOCC!$A$5:$Q$50,G341+1,FALSE)</f>
        <v>#N/A</v>
      </c>
      <c r="AG341" s="44" t="e">
        <f t="shared" si="145"/>
        <v>#N/A</v>
      </c>
      <c r="AH341" s="52" t="e">
        <f>HLOOKUP(I341,ElecAvoidedCostsWOCC!$A$5:$Q$50,T341+1,FALSE)</f>
        <v>#N/A</v>
      </c>
      <c r="AI341" s="44" t="e">
        <f t="shared" si="146"/>
        <v>#N/A</v>
      </c>
      <c r="AJ341" s="44" t="e">
        <f t="shared" si="147"/>
        <v>#N/A</v>
      </c>
      <c r="AK341" s="44" t="e">
        <f>HLOOKUP(I341,ElecAvoidedCostsWOCC!$A$5:$Q$50,G341+1,FALSE)*J341*L341</f>
        <v>#N/A</v>
      </c>
      <c r="AL341" s="44" t="e">
        <f t="shared" si="148"/>
        <v>#N/A</v>
      </c>
      <c r="AM341" s="48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8">
        <f t="shared" si="149"/>
        <v>0</v>
      </c>
      <c r="AO341" s="47">
        <f t="shared" si="150"/>
        <v>0</v>
      </c>
      <c r="AP341" s="47" t="e">
        <f t="shared" si="151"/>
        <v>#DIV/0!</v>
      </c>
    </row>
    <row r="342" spans="2:42">
      <c r="B342" s="97" t="s">
        <v>15</v>
      </c>
      <c r="C342" s="100"/>
      <c r="D342" s="100"/>
      <c r="E342" s="38"/>
      <c r="F342" s="39"/>
      <c r="G342" s="39"/>
      <c r="H342" s="39"/>
      <c r="I342" s="40"/>
      <c r="J342" s="41"/>
      <c r="K342" s="41"/>
      <c r="L342" s="41"/>
      <c r="M342" s="42"/>
      <c r="N342" s="42"/>
      <c r="O342" s="43"/>
      <c r="P342" s="44"/>
      <c r="Q342" s="44"/>
      <c r="R342" s="45"/>
      <c r="S342" s="46"/>
      <c r="T342" s="39">
        <f t="shared" si="133"/>
        <v>0</v>
      </c>
      <c r="U342" s="47">
        <f t="shared" si="134"/>
        <v>0</v>
      </c>
      <c r="V342" s="48">
        <f t="shared" si="135"/>
        <v>0</v>
      </c>
      <c r="W342" s="49">
        <f t="shared" si="136"/>
        <v>0</v>
      </c>
      <c r="X342" s="44">
        <f t="shared" si="137"/>
        <v>0</v>
      </c>
      <c r="Y342" s="44">
        <f t="shared" si="138"/>
        <v>0</v>
      </c>
      <c r="Z342" s="44">
        <f t="shared" si="139"/>
        <v>0</v>
      </c>
      <c r="AA342" s="50">
        <f t="shared" si="140"/>
        <v>0</v>
      </c>
      <c r="AB342" s="51">
        <f t="shared" si="141"/>
        <v>0</v>
      </c>
      <c r="AC342" s="44">
        <f t="shared" si="142"/>
        <v>0</v>
      </c>
      <c r="AD342" s="44">
        <f t="shared" si="143"/>
        <v>0</v>
      </c>
      <c r="AE342" s="44">
        <f t="shared" si="144"/>
        <v>0</v>
      </c>
      <c r="AF342" s="52" t="e">
        <f>HLOOKUP(I342,ElecAvoidedCostsWOCC!$A$5:$Q$50,G342+1,FALSE)</f>
        <v>#N/A</v>
      </c>
      <c r="AG342" s="44" t="e">
        <f t="shared" si="145"/>
        <v>#N/A</v>
      </c>
      <c r="AH342" s="52" t="e">
        <f>HLOOKUP(I342,ElecAvoidedCostsWOCC!$A$5:$Q$50,T342+1,FALSE)</f>
        <v>#N/A</v>
      </c>
      <c r="AI342" s="44" t="e">
        <f t="shared" si="146"/>
        <v>#N/A</v>
      </c>
      <c r="AJ342" s="44" t="e">
        <f t="shared" si="147"/>
        <v>#N/A</v>
      </c>
      <c r="AK342" s="44" t="e">
        <f>HLOOKUP(I342,ElecAvoidedCostsWOCC!$A$5:$Q$50,G342+1,FALSE)*J342*L342</f>
        <v>#N/A</v>
      </c>
      <c r="AL342" s="44" t="e">
        <f t="shared" si="148"/>
        <v>#N/A</v>
      </c>
      <c r="AM342" s="48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8">
        <f t="shared" si="149"/>
        <v>0</v>
      </c>
      <c r="AO342" s="47">
        <f t="shared" si="150"/>
        <v>0</v>
      </c>
      <c r="AP342" s="47" t="e">
        <f t="shared" si="151"/>
        <v>#DIV/0!</v>
      </c>
    </row>
    <row r="343" spans="2:42">
      <c r="B343" s="97" t="s">
        <v>15</v>
      </c>
      <c r="C343" s="100"/>
      <c r="D343" s="100"/>
      <c r="E343" s="38"/>
      <c r="F343" s="39"/>
      <c r="G343" s="39"/>
      <c r="H343" s="39"/>
      <c r="I343" s="40"/>
      <c r="J343" s="41"/>
      <c r="K343" s="41"/>
      <c r="L343" s="41"/>
      <c r="M343" s="42"/>
      <c r="N343" s="42"/>
      <c r="O343" s="43"/>
      <c r="P343" s="44"/>
      <c r="Q343" s="44"/>
      <c r="R343" s="45"/>
      <c r="S343" s="46"/>
      <c r="T343" s="39">
        <f t="shared" si="133"/>
        <v>0</v>
      </c>
      <c r="U343" s="47">
        <f t="shared" si="134"/>
        <v>0</v>
      </c>
      <c r="V343" s="48">
        <f t="shared" si="135"/>
        <v>0</v>
      </c>
      <c r="W343" s="49">
        <f t="shared" si="136"/>
        <v>0</v>
      </c>
      <c r="X343" s="44">
        <f t="shared" si="137"/>
        <v>0</v>
      </c>
      <c r="Y343" s="44">
        <f t="shared" si="138"/>
        <v>0</v>
      </c>
      <c r="Z343" s="44">
        <f t="shared" si="139"/>
        <v>0</v>
      </c>
      <c r="AA343" s="50">
        <f t="shared" si="140"/>
        <v>0</v>
      </c>
      <c r="AB343" s="51">
        <f t="shared" si="141"/>
        <v>0</v>
      </c>
      <c r="AC343" s="44">
        <f t="shared" si="142"/>
        <v>0</v>
      </c>
      <c r="AD343" s="44">
        <f t="shared" si="143"/>
        <v>0</v>
      </c>
      <c r="AE343" s="44">
        <f t="shared" si="144"/>
        <v>0</v>
      </c>
      <c r="AF343" s="52" t="e">
        <f>HLOOKUP(I343,ElecAvoidedCostsWOCC!$A$5:$Q$50,G343+1,FALSE)</f>
        <v>#N/A</v>
      </c>
      <c r="AG343" s="44" t="e">
        <f t="shared" si="145"/>
        <v>#N/A</v>
      </c>
      <c r="AH343" s="52" t="e">
        <f>HLOOKUP(I343,ElecAvoidedCostsWOCC!$A$5:$Q$50,T343+1,FALSE)</f>
        <v>#N/A</v>
      </c>
      <c r="AI343" s="44" t="e">
        <f t="shared" si="146"/>
        <v>#N/A</v>
      </c>
      <c r="AJ343" s="44" t="e">
        <f t="shared" si="147"/>
        <v>#N/A</v>
      </c>
      <c r="AK343" s="44" t="e">
        <f>HLOOKUP(I343,ElecAvoidedCostsWOCC!$A$5:$Q$50,G343+1,FALSE)*J343*L343</f>
        <v>#N/A</v>
      </c>
      <c r="AL343" s="44" t="e">
        <f t="shared" si="148"/>
        <v>#N/A</v>
      </c>
      <c r="AM343" s="48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8">
        <f t="shared" si="149"/>
        <v>0</v>
      </c>
      <c r="AO343" s="47">
        <f t="shared" si="150"/>
        <v>0</v>
      </c>
      <c r="AP343" s="47" t="e">
        <f t="shared" si="151"/>
        <v>#DIV/0!</v>
      </c>
    </row>
    <row r="344" spans="2:42">
      <c r="B344" s="97" t="s">
        <v>15</v>
      </c>
      <c r="C344" s="100"/>
      <c r="D344" s="100"/>
      <c r="E344" s="38"/>
      <c r="F344" s="39"/>
      <c r="G344" s="39"/>
      <c r="H344" s="39"/>
      <c r="I344" s="40"/>
      <c r="J344" s="41"/>
      <c r="K344" s="41"/>
      <c r="L344" s="41"/>
      <c r="M344" s="42"/>
      <c r="N344" s="42"/>
      <c r="O344" s="43"/>
      <c r="P344" s="44"/>
      <c r="Q344" s="44"/>
      <c r="R344" s="45"/>
      <c r="S344" s="46"/>
      <c r="T344" s="39">
        <f t="shared" si="133"/>
        <v>0</v>
      </c>
      <c r="U344" s="47">
        <f t="shared" si="134"/>
        <v>0</v>
      </c>
      <c r="V344" s="48">
        <f t="shared" si="135"/>
        <v>0</v>
      </c>
      <c r="W344" s="49">
        <f t="shared" si="136"/>
        <v>0</v>
      </c>
      <c r="X344" s="44">
        <f t="shared" si="137"/>
        <v>0</v>
      </c>
      <c r="Y344" s="44">
        <f t="shared" si="138"/>
        <v>0</v>
      </c>
      <c r="Z344" s="44">
        <f t="shared" si="139"/>
        <v>0</v>
      </c>
      <c r="AA344" s="50">
        <f t="shared" si="140"/>
        <v>0</v>
      </c>
      <c r="AB344" s="51">
        <f t="shared" si="141"/>
        <v>0</v>
      </c>
      <c r="AC344" s="44">
        <f t="shared" si="142"/>
        <v>0</v>
      </c>
      <c r="AD344" s="44">
        <f t="shared" si="143"/>
        <v>0</v>
      </c>
      <c r="AE344" s="44">
        <f t="shared" si="144"/>
        <v>0</v>
      </c>
      <c r="AF344" s="52" t="e">
        <f>HLOOKUP(I344,ElecAvoidedCostsWOCC!$A$5:$Q$50,G344+1,FALSE)</f>
        <v>#N/A</v>
      </c>
      <c r="AG344" s="44" t="e">
        <f t="shared" si="145"/>
        <v>#N/A</v>
      </c>
      <c r="AH344" s="52" t="e">
        <f>HLOOKUP(I344,ElecAvoidedCostsWOCC!$A$5:$Q$50,T344+1,FALSE)</f>
        <v>#N/A</v>
      </c>
      <c r="AI344" s="44" t="e">
        <f t="shared" si="146"/>
        <v>#N/A</v>
      </c>
      <c r="AJ344" s="44" t="e">
        <f t="shared" si="147"/>
        <v>#N/A</v>
      </c>
      <c r="AK344" s="44" t="e">
        <f>HLOOKUP(I344,ElecAvoidedCostsWOCC!$A$5:$Q$50,G344+1,FALSE)*J344*L344</f>
        <v>#N/A</v>
      </c>
      <c r="AL344" s="44" t="e">
        <f t="shared" si="148"/>
        <v>#N/A</v>
      </c>
      <c r="AM344" s="48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8">
        <f t="shared" si="149"/>
        <v>0</v>
      </c>
      <c r="AO344" s="47">
        <f t="shared" si="150"/>
        <v>0</v>
      </c>
      <c r="AP344" s="47" t="e">
        <f t="shared" si="151"/>
        <v>#DIV/0!</v>
      </c>
    </row>
    <row r="345" spans="2:42">
      <c r="B345" s="97" t="s">
        <v>15</v>
      </c>
      <c r="C345" s="100"/>
      <c r="D345" s="100"/>
      <c r="E345" s="38"/>
      <c r="F345" s="39"/>
      <c r="G345" s="39"/>
      <c r="H345" s="39"/>
      <c r="I345" s="40"/>
      <c r="J345" s="41"/>
      <c r="K345" s="41"/>
      <c r="L345" s="41"/>
      <c r="M345" s="42"/>
      <c r="N345" s="42"/>
      <c r="O345" s="43"/>
      <c r="P345" s="44"/>
      <c r="Q345" s="44"/>
      <c r="R345" s="45"/>
      <c r="S345" s="46"/>
      <c r="T345" s="39">
        <f t="shared" si="133"/>
        <v>0</v>
      </c>
      <c r="U345" s="47">
        <f t="shared" si="134"/>
        <v>0</v>
      </c>
      <c r="V345" s="48">
        <f t="shared" si="135"/>
        <v>0</v>
      </c>
      <c r="W345" s="49">
        <f t="shared" si="136"/>
        <v>0</v>
      </c>
      <c r="X345" s="44">
        <f t="shared" si="137"/>
        <v>0</v>
      </c>
      <c r="Y345" s="44">
        <f t="shared" si="138"/>
        <v>0</v>
      </c>
      <c r="Z345" s="44">
        <f t="shared" si="139"/>
        <v>0</v>
      </c>
      <c r="AA345" s="50">
        <f t="shared" si="140"/>
        <v>0</v>
      </c>
      <c r="AB345" s="51">
        <f t="shared" si="141"/>
        <v>0</v>
      </c>
      <c r="AC345" s="44">
        <f t="shared" si="142"/>
        <v>0</v>
      </c>
      <c r="AD345" s="44">
        <f t="shared" si="143"/>
        <v>0</v>
      </c>
      <c r="AE345" s="44">
        <f t="shared" si="144"/>
        <v>0</v>
      </c>
      <c r="AF345" s="52" t="e">
        <f>HLOOKUP(I345,ElecAvoidedCostsWOCC!$A$5:$Q$50,G345+1,FALSE)</f>
        <v>#N/A</v>
      </c>
      <c r="AG345" s="44" t="e">
        <f t="shared" si="145"/>
        <v>#N/A</v>
      </c>
      <c r="AH345" s="52" t="e">
        <f>HLOOKUP(I345,ElecAvoidedCostsWOCC!$A$5:$Q$50,T345+1,FALSE)</f>
        <v>#N/A</v>
      </c>
      <c r="AI345" s="44" t="e">
        <f t="shared" si="146"/>
        <v>#N/A</v>
      </c>
      <c r="AJ345" s="44" t="e">
        <f t="shared" si="147"/>
        <v>#N/A</v>
      </c>
      <c r="AK345" s="44" t="e">
        <f>HLOOKUP(I345,ElecAvoidedCostsWOCC!$A$5:$Q$50,G345+1,FALSE)*J345*L345</f>
        <v>#N/A</v>
      </c>
      <c r="AL345" s="44" t="e">
        <f t="shared" si="148"/>
        <v>#N/A</v>
      </c>
      <c r="AM345" s="48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8">
        <f t="shared" si="149"/>
        <v>0</v>
      </c>
      <c r="AO345" s="47">
        <f t="shared" si="150"/>
        <v>0</v>
      </c>
      <c r="AP345" s="47" t="e">
        <f t="shared" si="151"/>
        <v>#DIV/0!</v>
      </c>
    </row>
    <row r="346" spans="2:42">
      <c r="B346" s="97" t="s">
        <v>15</v>
      </c>
      <c r="C346" s="100"/>
      <c r="D346" s="100"/>
      <c r="E346" s="38"/>
      <c r="F346" s="39"/>
      <c r="G346" s="39"/>
      <c r="H346" s="39"/>
      <c r="I346" s="40"/>
      <c r="J346" s="41"/>
      <c r="K346" s="41"/>
      <c r="L346" s="41"/>
      <c r="M346" s="42"/>
      <c r="N346" s="42"/>
      <c r="O346" s="43"/>
      <c r="P346" s="44"/>
      <c r="Q346" s="44"/>
      <c r="R346" s="45"/>
      <c r="S346" s="46"/>
      <c r="T346" s="39">
        <f t="shared" si="133"/>
        <v>0</v>
      </c>
      <c r="U346" s="47">
        <f t="shared" si="134"/>
        <v>0</v>
      </c>
      <c r="V346" s="48">
        <f t="shared" si="135"/>
        <v>0</v>
      </c>
      <c r="W346" s="49">
        <f t="shared" si="136"/>
        <v>0</v>
      </c>
      <c r="X346" s="44">
        <f t="shared" si="137"/>
        <v>0</v>
      </c>
      <c r="Y346" s="44">
        <f t="shared" si="138"/>
        <v>0</v>
      </c>
      <c r="Z346" s="44">
        <f t="shared" si="139"/>
        <v>0</v>
      </c>
      <c r="AA346" s="50">
        <f t="shared" si="140"/>
        <v>0</v>
      </c>
      <c r="AB346" s="51">
        <f t="shared" si="141"/>
        <v>0</v>
      </c>
      <c r="AC346" s="44">
        <f t="shared" si="142"/>
        <v>0</v>
      </c>
      <c r="AD346" s="44">
        <f t="shared" si="143"/>
        <v>0</v>
      </c>
      <c r="AE346" s="44">
        <f t="shared" si="144"/>
        <v>0</v>
      </c>
      <c r="AF346" s="52" t="e">
        <f>HLOOKUP(I346,ElecAvoidedCostsWOCC!$A$5:$Q$50,G346+1,FALSE)</f>
        <v>#N/A</v>
      </c>
      <c r="AG346" s="44" t="e">
        <f t="shared" si="145"/>
        <v>#N/A</v>
      </c>
      <c r="AH346" s="52" t="e">
        <f>HLOOKUP(I346,ElecAvoidedCostsWOCC!$A$5:$Q$50,T346+1,FALSE)</f>
        <v>#N/A</v>
      </c>
      <c r="AI346" s="44" t="e">
        <f t="shared" si="146"/>
        <v>#N/A</v>
      </c>
      <c r="AJ346" s="44" t="e">
        <f t="shared" si="147"/>
        <v>#N/A</v>
      </c>
      <c r="AK346" s="44" t="e">
        <f>HLOOKUP(I346,ElecAvoidedCostsWOCC!$A$5:$Q$50,G346+1,FALSE)*J346*L346</f>
        <v>#N/A</v>
      </c>
      <c r="AL346" s="44" t="e">
        <f t="shared" si="148"/>
        <v>#N/A</v>
      </c>
      <c r="AM346" s="48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8">
        <f t="shared" si="149"/>
        <v>0</v>
      </c>
      <c r="AO346" s="47">
        <f t="shared" si="150"/>
        <v>0</v>
      </c>
      <c r="AP346" s="47" t="e">
        <f t="shared" si="151"/>
        <v>#DIV/0!</v>
      </c>
    </row>
    <row r="347" spans="2:42">
      <c r="B347" s="97" t="s">
        <v>15</v>
      </c>
      <c r="C347" s="100"/>
      <c r="D347" s="100"/>
      <c r="E347" s="38"/>
      <c r="F347" s="39"/>
      <c r="G347" s="39"/>
      <c r="H347" s="39"/>
      <c r="I347" s="40"/>
      <c r="J347" s="41"/>
      <c r="K347" s="41"/>
      <c r="L347" s="41"/>
      <c r="M347" s="42"/>
      <c r="N347" s="42"/>
      <c r="O347" s="43"/>
      <c r="P347" s="44"/>
      <c r="Q347" s="44"/>
      <c r="R347" s="45"/>
      <c r="S347" s="46"/>
      <c r="T347" s="39">
        <f t="shared" si="133"/>
        <v>0</v>
      </c>
      <c r="U347" s="47">
        <f t="shared" si="134"/>
        <v>0</v>
      </c>
      <c r="V347" s="48">
        <f t="shared" si="135"/>
        <v>0</v>
      </c>
      <c r="W347" s="49">
        <f t="shared" si="136"/>
        <v>0</v>
      </c>
      <c r="X347" s="44">
        <f t="shared" si="137"/>
        <v>0</v>
      </c>
      <c r="Y347" s="44">
        <f t="shared" si="138"/>
        <v>0</v>
      </c>
      <c r="Z347" s="44">
        <f t="shared" si="139"/>
        <v>0</v>
      </c>
      <c r="AA347" s="50">
        <f t="shared" si="140"/>
        <v>0</v>
      </c>
      <c r="AB347" s="51">
        <f t="shared" si="141"/>
        <v>0</v>
      </c>
      <c r="AC347" s="44">
        <f t="shared" si="142"/>
        <v>0</v>
      </c>
      <c r="AD347" s="44">
        <f t="shared" si="143"/>
        <v>0</v>
      </c>
      <c r="AE347" s="44">
        <f t="shared" si="144"/>
        <v>0</v>
      </c>
      <c r="AF347" s="52" t="e">
        <f>HLOOKUP(I347,ElecAvoidedCostsWOCC!$A$5:$Q$50,G347+1,FALSE)</f>
        <v>#N/A</v>
      </c>
      <c r="AG347" s="44" t="e">
        <f t="shared" si="145"/>
        <v>#N/A</v>
      </c>
      <c r="AH347" s="52" t="e">
        <f>HLOOKUP(I347,ElecAvoidedCostsWOCC!$A$5:$Q$50,T347+1,FALSE)</f>
        <v>#N/A</v>
      </c>
      <c r="AI347" s="44" t="e">
        <f t="shared" si="146"/>
        <v>#N/A</v>
      </c>
      <c r="AJ347" s="44" t="e">
        <f t="shared" si="147"/>
        <v>#N/A</v>
      </c>
      <c r="AK347" s="44" t="e">
        <f>HLOOKUP(I347,ElecAvoidedCostsWOCC!$A$5:$Q$50,G347+1,FALSE)*J347*L347</f>
        <v>#N/A</v>
      </c>
      <c r="AL347" s="44" t="e">
        <f t="shared" si="148"/>
        <v>#N/A</v>
      </c>
      <c r="AM347" s="48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8">
        <f t="shared" si="149"/>
        <v>0</v>
      </c>
      <c r="AO347" s="47">
        <f t="shared" si="150"/>
        <v>0</v>
      </c>
      <c r="AP347" s="47" t="e">
        <f t="shared" si="151"/>
        <v>#DIV/0!</v>
      </c>
    </row>
    <row r="348" spans="2:42">
      <c r="B348" s="97" t="s">
        <v>15</v>
      </c>
      <c r="C348" s="100"/>
      <c r="D348" s="100"/>
      <c r="E348" s="38"/>
      <c r="F348" s="39"/>
      <c r="G348" s="39"/>
      <c r="H348" s="39"/>
      <c r="I348" s="40"/>
      <c r="J348" s="41"/>
      <c r="K348" s="41"/>
      <c r="L348" s="41"/>
      <c r="M348" s="42"/>
      <c r="N348" s="42"/>
      <c r="O348" s="43"/>
      <c r="P348" s="44"/>
      <c r="Q348" s="44"/>
      <c r="R348" s="45"/>
      <c r="S348" s="46"/>
      <c r="T348" s="39">
        <f t="shared" si="133"/>
        <v>0</v>
      </c>
      <c r="U348" s="47">
        <f t="shared" si="134"/>
        <v>0</v>
      </c>
      <c r="V348" s="48">
        <f t="shared" si="135"/>
        <v>0</v>
      </c>
      <c r="W348" s="49">
        <f t="shared" si="136"/>
        <v>0</v>
      </c>
      <c r="X348" s="44">
        <f t="shared" si="137"/>
        <v>0</v>
      </c>
      <c r="Y348" s="44">
        <f t="shared" si="138"/>
        <v>0</v>
      </c>
      <c r="Z348" s="44">
        <f t="shared" si="139"/>
        <v>0</v>
      </c>
      <c r="AA348" s="50">
        <f t="shared" si="140"/>
        <v>0</v>
      </c>
      <c r="AB348" s="51">
        <f t="shared" si="141"/>
        <v>0</v>
      </c>
      <c r="AC348" s="44">
        <f t="shared" si="142"/>
        <v>0</v>
      </c>
      <c r="AD348" s="44">
        <f t="shared" si="143"/>
        <v>0</v>
      </c>
      <c r="AE348" s="44">
        <f t="shared" si="144"/>
        <v>0</v>
      </c>
      <c r="AF348" s="52" t="e">
        <f>HLOOKUP(I348,ElecAvoidedCostsWOCC!$A$5:$Q$50,G348+1,FALSE)</f>
        <v>#N/A</v>
      </c>
      <c r="AG348" s="44" t="e">
        <f t="shared" si="145"/>
        <v>#N/A</v>
      </c>
      <c r="AH348" s="52" t="e">
        <f>HLOOKUP(I348,ElecAvoidedCostsWOCC!$A$5:$Q$50,T348+1,FALSE)</f>
        <v>#N/A</v>
      </c>
      <c r="AI348" s="44" t="e">
        <f t="shared" si="146"/>
        <v>#N/A</v>
      </c>
      <c r="AJ348" s="44" t="e">
        <f t="shared" si="147"/>
        <v>#N/A</v>
      </c>
      <c r="AK348" s="44" t="e">
        <f>HLOOKUP(I348,ElecAvoidedCostsWOCC!$A$5:$Q$50,G348+1,FALSE)*J348*L348</f>
        <v>#N/A</v>
      </c>
      <c r="AL348" s="44" t="e">
        <f t="shared" si="148"/>
        <v>#N/A</v>
      </c>
      <c r="AM348" s="48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8">
        <f t="shared" si="149"/>
        <v>0</v>
      </c>
      <c r="AO348" s="47">
        <f t="shared" si="150"/>
        <v>0</v>
      </c>
      <c r="AP348" s="47" t="e">
        <f t="shared" si="151"/>
        <v>#DIV/0!</v>
      </c>
    </row>
    <row r="349" spans="2:42">
      <c r="B349" s="97" t="s">
        <v>15</v>
      </c>
      <c r="C349" s="100"/>
      <c r="D349" s="100"/>
      <c r="E349" s="38"/>
      <c r="F349" s="39"/>
      <c r="G349" s="39"/>
      <c r="H349" s="39"/>
      <c r="I349" s="40"/>
      <c r="J349" s="41"/>
      <c r="K349" s="41"/>
      <c r="L349" s="41"/>
      <c r="M349" s="42"/>
      <c r="N349" s="42"/>
      <c r="O349" s="43"/>
      <c r="P349" s="44"/>
      <c r="Q349" s="44"/>
      <c r="R349" s="45"/>
      <c r="S349" s="46"/>
      <c r="T349" s="39">
        <f t="shared" si="133"/>
        <v>0</v>
      </c>
      <c r="U349" s="47">
        <f t="shared" si="134"/>
        <v>0</v>
      </c>
      <c r="V349" s="48">
        <f t="shared" si="135"/>
        <v>0</v>
      </c>
      <c r="W349" s="49">
        <f t="shared" si="136"/>
        <v>0</v>
      </c>
      <c r="X349" s="44">
        <f t="shared" si="137"/>
        <v>0</v>
      </c>
      <c r="Y349" s="44">
        <f t="shared" si="138"/>
        <v>0</v>
      </c>
      <c r="Z349" s="44">
        <f t="shared" si="139"/>
        <v>0</v>
      </c>
      <c r="AA349" s="50">
        <f t="shared" si="140"/>
        <v>0</v>
      </c>
      <c r="AB349" s="51">
        <f t="shared" si="141"/>
        <v>0</v>
      </c>
      <c r="AC349" s="44">
        <f t="shared" si="142"/>
        <v>0</v>
      </c>
      <c r="AD349" s="44">
        <f t="shared" si="143"/>
        <v>0</v>
      </c>
      <c r="AE349" s="44">
        <f t="shared" si="144"/>
        <v>0</v>
      </c>
      <c r="AF349" s="52" t="e">
        <f>HLOOKUP(I349,ElecAvoidedCostsWOCC!$A$5:$Q$50,G349+1,FALSE)</f>
        <v>#N/A</v>
      </c>
      <c r="AG349" s="44" t="e">
        <f t="shared" si="145"/>
        <v>#N/A</v>
      </c>
      <c r="AH349" s="52" t="e">
        <f>HLOOKUP(I349,ElecAvoidedCostsWOCC!$A$5:$Q$50,T349+1,FALSE)</f>
        <v>#N/A</v>
      </c>
      <c r="AI349" s="44" t="e">
        <f t="shared" si="146"/>
        <v>#N/A</v>
      </c>
      <c r="AJ349" s="44" t="e">
        <f t="shared" si="147"/>
        <v>#N/A</v>
      </c>
      <c r="AK349" s="44" t="e">
        <f>HLOOKUP(I349,ElecAvoidedCostsWOCC!$A$5:$Q$50,G349+1,FALSE)*J349*L349</f>
        <v>#N/A</v>
      </c>
      <c r="AL349" s="44" t="e">
        <f t="shared" si="148"/>
        <v>#N/A</v>
      </c>
      <c r="AM349" s="48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8">
        <f t="shared" si="149"/>
        <v>0</v>
      </c>
      <c r="AO349" s="47">
        <f t="shared" si="150"/>
        <v>0</v>
      </c>
      <c r="AP349" s="47" t="e">
        <f t="shared" si="151"/>
        <v>#DIV/0!</v>
      </c>
    </row>
    <row r="350" spans="2:42">
      <c r="B350" s="97" t="s">
        <v>15</v>
      </c>
      <c r="C350" s="100"/>
      <c r="D350" s="100"/>
      <c r="E350" s="38"/>
      <c r="F350" s="39"/>
      <c r="G350" s="39"/>
      <c r="H350" s="39"/>
      <c r="I350" s="40"/>
      <c r="J350" s="41"/>
      <c r="K350" s="41"/>
      <c r="L350" s="41"/>
      <c r="M350" s="42"/>
      <c r="N350" s="42"/>
      <c r="O350" s="43"/>
      <c r="P350" s="44"/>
      <c r="Q350" s="44"/>
      <c r="R350" s="45"/>
      <c r="S350" s="46"/>
      <c r="T350" s="39">
        <f t="shared" si="133"/>
        <v>0</v>
      </c>
      <c r="U350" s="47">
        <f t="shared" si="134"/>
        <v>0</v>
      </c>
      <c r="V350" s="48">
        <f t="shared" si="135"/>
        <v>0</v>
      </c>
      <c r="W350" s="49">
        <f t="shared" si="136"/>
        <v>0</v>
      </c>
      <c r="X350" s="44">
        <f t="shared" si="137"/>
        <v>0</v>
      </c>
      <c r="Y350" s="44">
        <f t="shared" si="138"/>
        <v>0</v>
      </c>
      <c r="Z350" s="44">
        <f t="shared" si="139"/>
        <v>0</v>
      </c>
      <c r="AA350" s="50">
        <f t="shared" si="140"/>
        <v>0</v>
      </c>
      <c r="AB350" s="51">
        <f t="shared" si="141"/>
        <v>0</v>
      </c>
      <c r="AC350" s="44">
        <f t="shared" si="142"/>
        <v>0</v>
      </c>
      <c r="AD350" s="44">
        <f t="shared" si="143"/>
        <v>0</v>
      </c>
      <c r="AE350" s="44">
        <f t="shared" si="144"/>
        <v>0</v>
      </c>
      <c r="AF350" s="52" t="e">
        <f>HLOOKUP(I350,ElecAvoidedCostsWOCC!$A$5:$Q$50,G350+1,FALSE)</f>
        <v>#N/A</v>
      </c>
      <c r="AG350" s="44" t="e">
        <f t="shared" si="145"/>
        <v>#N/A</v>
      </c>
      <c r="AH350" s="52" t="e">
        <f>HLOOKUP(I350,ElecAvoidedCostsWOCC!$A$5:$Q$50,T350+1,FALSE)</f>
        <v>#N/A</v>
      </c>
      <c r="AI350" s="44" t="e">
        <f t="shared" si="146"/>
        <v>#N/A</v>
      </c>
      <c r="AJ350" s="44" t="e">
        <f t="shared" si="147"/>
        <v>#N/A</v>
      </c>
      <c r="AK350" s="44" t="e">
        <f>HLOOKUP(I350,ElecAvoidedCostsWOCC!$A$5:$Q$50,G350+1,FALSE)*J350*L350</f>
        <v>#N/A</v>
      </c>
      <c r="AL350" s="44" t="e">
        <f t="shared" si="148"/>
        <v>#N/A</v>
      </c>
      <c r="AM350" s="48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8">
        <f t="shared" si="149"/>
        <v>0</v>
      </c>
      <c r="AO350" s="47">
        <f t="shared" si="150"/>
        <v>0</v>
      </c>
      <c r="AP350" s="47" t="e">
        <f t="shared" si="151"/>
        <v>#DIV/0!</v>
      </c>
    </row>
    <row r="351" spans="2:42">
      <c r="B351" s="97" t="s">
        <v>15</v>
      </c>
      <c r="C351" s="100"/>
      <c r="D351" s="100"/>
      <c r="E351" s="38"/>
      <c r="F351" s="39"/>
      <c r="G351" s="39"/>
      <c r="H351" s="39"/>
      <c r="I351" s="40"/>
      <c r="J351" s="41"/>
      <c r="K351" s="41"/>
      <c r="L351" s="41"/>
      <c r="M351" s="42"/>
      <c r="N351" s="42"/>
      <c r="O351" s="43"/>
      <c r="P351" s="44"/>
      <c r="Q351" s="44"/>
      <c r="R351" s="45"/>
      <c r="S351" s="46"/>
      <c r="T351" s="39">
        <f t="shared" si="133"/>
        <v>0</v>
      </c>
      <c r="U351" s="47">
        <f t="shared" si="134"/>
        <v>0</v>
      </c>
      <c r="V351" s="48">
        <f t="shared" si="135"/>
        <v>0</v>
      </c>
      <c r="W351" s="49">
        <f t="shared" si="136"/>
        <v>0</v>
      </c>
      <c r="X351" s="44">
        <f t="shared" si="137"/>
        <v>0</v>
      </c>
      <c r="Y351" s="44">
        <f t="shared" si="138"/>
        <v>0</v>
      </c>
      <c r="Z351" s="44">
        <f t="shared" si="139"/>
        <v>0</v>
      </c>
      <c r="AA351" s="50">
        <f t="shared" si="140"/>
        <v>0</v>
      </c>
      <c r="AB351" s="51">
        <f t="shared" si="141"/>
        <v>0</v>
      </c>
      <c r="AC351" s="44">
        <f t="shared" si="142"/>
        <v>0</v>
      </c>
      <c r="AD351" s="44">
        <f t="shared" si="143"/>
        <v>0</v>
      </c>
      <c r="AE351" s="44">
        <f t="shared" si="144"/>
        <v>0</v>
      </c>
      <c r="AF351" s="52" t="e">
        <f>HLOOKUP(I351,ElecAvoidedCostsWOCC!$A$5:$Q$50,G351+1,FALSE)</f>
        <v>#N/A</v>
      </c>
      <c r="AG351" s="44" t="e">
        <f t="shared" si="145"/>
        <v>#N/A</v>
      </c>
      <c r="AH351" s="52" t="e">
        <f>HLOOKUP(I351,ElecAvoidedCostsWOCC!$A$5:$Q$50,T351+1,FALSE)</f>
        <v>#N/A</v>
      </c>
      <c r="AI351" s="44" t="e">
        <f t="shared" si="146"/>
        <v>#N/A</v>
      </c>
      <c r="AJ351" s="44" t="e">
        <f t="shared" si="147"/>
        <v>#N/A</v>
      </c>
      <c r="AK351" s="44" t="e">
        <f>HLOOKUP(I351,ElecAvoidedCostsWOCC!$A$5:$Q$50,G351+1,FALSE)*J351*L351</f>
        <v>#N/A</v>
      </c>
      <c r="AL351" s="44" t="e">
        <f t="shared" si="148"/>
        <v>#N/A</v>
      </c>
      <c r="AM351" s="48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8">
        <f t="shared" si="149"/>
        <v>0</v>
      </c>
      <c r="AO351" s="47">
        <f t="shared" si="150"/>
        <v>0</v>
      </c>
      <c r="AP351" s="47" t="e">
        <f t="shared" si="151"/>
        <v>#DIV/0!</v>
      </c>
    </row>
  </sheetData>
  <conditionalFormatting sqref="R5:S351">
    <cfRule type="expression" dxfId="319" priority="1">
      <formula>"istext($AB17)"</formula>
    </cfRule>
  </conditionalFormatting>
  <conditionalFormatting sqref="J5:L351">
    <cfRule type="expression" dxfId="318" priority="4">
      <formula>ISTEXT(J5)</formula>
    </cfRule>
    <cfRule type="notContainsBlanks" dxfId="317" priority="5">
      <formula>LEN(TRIM(J5))&gt;0</formula>
    </cfRule>
  </conditionalFormatting>
  <conditionalFormatting sqref="M5:N351 R5:S351">
    <cfRule type="expression" dxfId="316" priority="2">
      <formula>ISTEXT(M5)</formula>
    </cfRule>
  </conditionalFormatting>
  <conditionalFormatting sqref="M5:N351 R5:S351">
    <cfRule type="notContainsBlanks" dxfId="315" priority="3">
      <formula>LEN(TRIM(M5))&gt;0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84"/>
  <sheetViews>
    <sheetView zoomScale="85" zoomScaleNormal="85" workbookViewId="0">
      <selection activeCell="A32" sqref="A32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18230628</v>
      </c>
      <c r="D2" s="20" t="s">
        <v>81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100">
        <v>18230628</v>
      </c>
      <c r="D5" s="100" t="s">
        <v>81</v>
      </c>
      <c r="E5" s="38" t="s">
        <v>543</v>
      </c>
      <c r="F5" s="39" t="s">
        <v>544</v>
      </c>
      <c r="G5" s="39">
        <v>15</v>
      </c>
      <c r="H5" s="39"/>
      <c r="I5" s="40" t="s">
        <v>268</v>
      </c>
      <c r="J5" s="41">
        <v>1</v>
      </c>
      <c r="K5" s="41">
        <v>939</v>
      </c>
      <c r="L5" s="41"/>
      <c r="M5" s="42">
        <v>800</v>
      </c>
      <c r="N5" s="42">
        <v>1686</v>
      </c>
      <c r="O5" s="43">
        <v>939</v>
      </c>
      <c r="P5" s="44">
        <v>800</v>
      </c>
      <c r="Q5" s="44">
        <v>1686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5.3239559014884317E-4</v>
      </c>
      <c r="V5" s="48">
        <f t="shared" ref="V5:V24" si="2">N5-M5</f>
        <v>886</v>
      </c>
      <c r="W5" s="49">
        <f t="shared" ref="W5:W24" si="3">(O5/A$10)</f>
        <v>3.5493039343256213E-5</v>
      </c>
      <c r="X5" s="44">
        <f t="shared" ref="X5:X24" si="4">W5*A$8</f>
        <v>44.72526584093697</v>
      </c>
      <c r="Y5" s="44">
        <f t="shared" ref="Y5:Y24" si="5">Q5-P5</f>
        <v>886</v>
      </c>
      <c r="Z5" s="44">
        <f t="shared" ref="Z5:Z24" si="6">X5+(A$6*W5)</f>
        <v>457.8355721643274</v>
      </c>
      <c r="AA5" s="50">
        <f t="shared" ref="AA5:AA24" si="7">Q5+X5</f>
        <v>1730.725265840937</v>
      </c>
      <c r="AB5" s="51">
        <f t="shared" ref="AB5:AC20" si="8">Z5/(1+ElecDiscountRate)^1</f>
        <v>428.00371334423426</v>
      </c>
      <c r="AC5" s="44">
        <f t="shared" si="8"/>
        <v>1617.9538803785517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1.3961506916040443</v>
      </c>
      <c r="AG5" s="44">
        <f t="shared" ref="AG5:AG24" si="10">AF5*J5*K5</f>
        <v>1310.9854994161976</v>
      </c>
      <c r="AH5" s="52">
        <f>HLOOKUP(I5,ElecAvoidedCostsWOCC!$A$5:$Q$50,T5+1,FALSE)</f>
        <v>1.3961506916040443</v>
      </c>
      <c r="AI5" s="44">
        <f t="shared" ref="AI5:AI24" si="11">AH5*J5*L5</f>
        <v>0</v>
      </c>
      <c r="AJ5" s="44">
        <f>AG5+AI5</f>
        <v>1310.9854994161976</v>
      </c>
      <c r="AK5" s="44">
        <f>HLOOKUP(I5,ElecAvoidedCostsWOCC!$A$5:$Q$50,G5+1,FALSE)*J5*L5</f>
        <v>0</v>
      </c>
      <c r="AL5" s="44">
        <f>AG5+AI5-AK5</f>
        <v>1310.9854994161976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1310.9854994161976</v>
      </c>
      <c r="AN5" s="48">
        <f>AM5*1.1+AD5+AE5</f>
        <v>1442.0840493578175</v>
      </c>
      <c r="AO5" s="47">
        <f>IFERROR(AM5/AB5,0)</f>
        <v>3.063023657371402</v>
      </c>
      <c r="AP5" s="47">
        <f>AN5/AC5</f>
        <v>0.89130108518322781</v>
      </c>
      <c r="AQ5">
        <v>2021</v>
      </c>
    </row>
    <row r="6" spans="1:43" ht="13.5" customHeight="1">
      <c r="A6" s="53">
        <f>SUMIF('Program Costs'!D:D,C2,'Program Costs'!L:L)</f>
        <v>11639192.189999999</v>
      </c>
      <c r="B6" s="97" t="s">
        <v>15</v>
      </c>
      <c r="C6" s="100">
        <v>18230628</v>
      </c>
      <c r="D6" s="100" t="s">
        <v>81</v>
      </c>
      <c r="E6" s="38" t="s">
        <v>545</v>
      </c>
      <c r="F6" s="39" t="s">
        <v>546</v>
      </c>
      <c r="G6" s="39">
        <v>15</v>
      </c>
      <c r="H6" s="39"/>
      <c r="I6" s="40" t="s">
        <v>268</v>
      </c>
      <c r="J6" s="41">
        <v>6</v>
      </c>
      <c r="K6" s="41">
        <v>1997</v>
      </c>
      <c r="L6" s="41"/>
      <c r="M6" s="42">
        <v>2400</v>
      </c>
      <c r="N6" s="42">
        <v>3953.13</v>
      </c>
      <c r="O6" s="43">
        <v>11982</v>
      </c>
      <c r="P6" s="44">
        <v>14193.78</v>
      </c>
      <c r="Q6" s="44">
        <v>23718.78</v>
      </c>
      <c r="R6" s="45">
        <v>0</v>
      </c>
      <c r="S6" s="46">
        <v>0</v>
      </c>
      <c r="T6" s="39">
        <f t="shared" si="0"/>
        <v>15</v>
      </c>
      <c r="U6" s="47">
        <f t="shared" si="1"/>
        <v>6.7935718436245357E-3</v>
      </c>
      <c r="V6" s="48">
        <f t="shared" si="2"/>
        <v>1553.13</v>
      </c>
      <c r="W6" s="49">
        <f t="shared" si="3"/>
        <v>4.5290478957496906E-4</v>
      </c>
      <c r="X6" s="44">
        <f t="shared" si="4"/>
        <v>570.71153919713174</v>
      </c>
      <c r="Y6" s="44">
        <f t="shared" si="5"/>
        <v>9524.9999999999982</v>
      </c>
      <c r="Z6" s="44">
        <f t="shared" si="6"/>
        <v>5842.1574288317051</v>
      </c>
      <c r="AA6" s="50">
        <f t="shared" si="7"/>
        <v>24289.49153919713</v>
      </c>
      <c r="AB6" s="51">
        <f t="shared" si="8"/>
        <v>5461.4914731529443</v>
      </c>
      <c r="AC6" s="44">
        <f t="shared" si="8"/>
        <v>22706.825782179236</v>
      </c>
      <c r="AD6" s="44">
        <f t="shared" si="9"/>
        <v>0</v>
      </c>
      <c r="AE6" s="44">
        <v>0</v>
      </c>
      <c r="AF6" s="52">
        <f>HLOOKUP(I6,ElecAvoidedCostsWOCC!$A$5:$Q$50,G6+1,FALSE)</f>
        <v>1.3961506916040443</v>
      </c>
      <c r="AG6" s="44">
        <f t="shared" si="10"/>
        <v>16728.677586799658</v>
      </c>
      <c r="AH6" s="52">
        <f>HLOOKUP(I6,ElecAvoidedCostsWOCC!$A$5:$Q$50,T6+1,FALSE)</f>
        <v>1.3961506916040443</v>
      </c>
      <c r="AI6" s="44">
        <f t="shared" si="11"/>
        <v>0</v>
      </c>
      <c r="AJ6" s="44">
        <f t="shared" ref="AJ6:AJ24" si="12">AG6+AI6</f>
        <v>16728.677586799658</v>
      </c>
      <c r="AK6" s="44">
        <f>HLOOKUP(I6,ElecAvoidedCostsWOCC!$A$5:$Q$50,G6+1,FALSE)*J6*L6</f>
        <v>0</v>
      </c>
      <c r="AL6" s="44">
        <f t="shared" ref="AL6:AL24" si="13">AG6+AI6-AK6</f>
        <v>16728.677586799658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16728.677586799658</v>
      </c>
      <c r="AN6" s="48">
        <f t="shared" ref="AN6:AN24" si="14">AM6*1.1+AD6+AE6</f>
        <v>18401.545345479626</v>
      </c>
      <c r="AO6" s="47">
        <f t="shared" ref="AO6:AO24" si="15">IFERROR(AM6/AB6,0)</f>
        <v>3.063023657371402</v>
      </c>
      <c r="AP6" s="47">
        <f t="shared" ref="AP6:AP24" si="16">AN6/AC6</f>
        <v>0.81039708156485357</v>
      </c>
      <c r="AQ6">
        <v>2021</v>
      </c>
    </row>
    <row r="7" spans="1:43" ht="13.5" customHeight="1">
      <c r="A7" s="36" t="s">
        <v>249</v>
      </c>
      <c r="B7" s="97" t="s">
        <v>15</v>
      </c>
      <c r="C7" s="100">
        <v>18230628</v>
      </c>
      <c r="D7" s="100" t="s">
        <v>81</v>
      </c>
      <c r="E7" s="38" t="s">
        <v>547</v>
      </c>
      <c r="F7" s="39" t="s">
        <v>546</v>
      </c>
      <c r="G7" s="39">
        <v>15</v>
      </c>
      <c r="H7" s="39"/>
      <c r="I7" s="40" t="s">
        <v>268</v>
      </c>
      <c r="J7" s="41">
        <v>24</v>
      </c>
      <c r="K7" s="41">
        <v>1685</v>
      </c>
      <c r="L7" s="41"/>
      <c r="M7" s="42">
        <v>2400</v>
      </c>
      <c r="N7" s="42">
        <v>3644.31</v>
      </c>
      <c r="O7" s="43">
        <v>40440</v>
      </c>
      <c r="P7" s="44">
        <v>56314.98</v>
      </c>
      <c r="Q7" s="44">
        <v>87463.44</v>
      </c>
      <c r="R7" s="45">
        <v>40.26</v>
      </c>
      <c r="S7" s="46">
        <v>0</v>
      </c>
      <c r="T7" s="39">
        <f t="shared" si="0"/>
        <v>15</v>
      </c>
      <c r="U7" s="47">
        <f t="shared" si="1"/>
        <v>2.292873020832718E-2</v>
      </c>
      <c r="V7" s="48">
        <f t="shared" si="2"/>
        <v>1244.31</v>
      </c>
      <c r="W7" s="49">
        <f t="shared" si="3"/>
        <v>1.5285820138884786E-3</v>
      </c>
      <c r="X7" s="44">
        <f t="shared" si="4"/>
        <v>1926.1871678461034</v>
      </c>
      <c r="Y7" s="44">
        <f t="shared" si="5"/>
        <v>31148.46</v>
      </c>
      <c r="Z7" s="44">
        <f t="shared" si="6"/>
        <v>19717.647005671355</v>
      </c>
      <c r="AA7" s="50">
        <f t="shared" si="7"/>
        <v>89389.627167846105</v>
      </c>
      <c r="AB7" s="51">
        <f t="shared" si="8"/>
        <v>18432.875577892264</v>
      </c>
      <c r="AC7" s="44">
        <f t="shared" si="8"/>
        <v>83565.137111195756</v>
      </c>
      <c r="AD7" s="44">
        <f t="shared" si="9"/>
        <v>8817.1306171823962</v>
      </c>
      <c r="AE7" s="44">
        <v>0</v>
      </c>
      <c r="AF7" s="52">
        <f>HLOOKUP(I7,ElecAvoidedCostsWOCC!$A$5:$Q$50,G7+1,FALSE)</f>
        <v>1.3961506916040443</v>
      </c>
      <c r="AG7" s="44">
        <f t="shared" si="10"/>
        <v>56460.333968467559</v>
      </c>
      <c r="AH7" s="52">
        <f>HLOOKUP(I7,ElecAvoidedCostsWOCC!$A$5:$Q$50,T7+1,FALSE)</f>
        <v>1.3961506916040443</v>
      </c>
      <c r="AI7" s="44">
        <f t="shared" si="11"/>
        <v>0</v>
      </c>
      <c r="AJ7" s="44">
        <f t="shared" si="12"/>
        <v>56460.333968467559</v>
      </c>
      <c r="AK7" s="44">
        <f>HLOOKUP(I7,ElecAvoidedCostsWOCC!$A$5:$Q$50,G7+1,FALSE)*J7*L7</f>
        <v>0</v>
      </c>
      <c r="AL7" s="44">
        <f t="shared" si="13"/>
        <v>56460.333968467559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56460.333968467545</v>
      </c>
      <c r="AN7" s="48">
        <f t="shared" si="14"/>
        <v>70923.497982496701</v>
      </c>
      <c r="AO7" s="47">
        <f t="shared" si="15"/>
        <v>3.0630236573714011</v>
      </c>
      <c r="AP7" s="47">
        <f t="shared" si="16"/>
        <v>0.84872113460572096</v>
      </c>
      <c r="AQ7">
        <v>2021</v>
      </c>
    </row>
    <row r="8" spans="1:43" ht="13.5" customHeight="1">
      <c r="A8" s="53">
        <f>SUMIF('Program Costs'!D:D,C2,'Program Costs'!O:O)</f>
        <v>1260113.7200000007</v>
      </c>
      <c r="B8" s="97" t="s">
        <v>15</v>
      </c>
      <c r="C8" s="100">
        <v>18230628</v>
      </c>
      <c r="D8" s="100" t="s">
        <v>81</v>
      </c>
      <c r="E8" s="38" t="s">
        <v>548</v>
      </c>
      <c r="F8" s="39" t="s">
        <v>549</v>
      </c>
      <c r="G8" s="39">
        <v>15</v>
      </c>
      <c r="H8" s="39"/>
      <c r="I8" s="40" t="s">
        <v>268</v>
      </c>
      <c r="J8" s="41">
        <v>224</v>
      </c>
      <c r="K8" s="41">
        <v>1997</v>
      </c>
      <c r="L8" s="41"/>
      <c r="M8" s="42">
        <v>800</v>
      </c>
      <c r="N8" s="42">
        <v>3953.13</v>
      </c>
      <c r="O8" s="43">
        <v>447328</v>
      </c>
      <c r="P8" s="44">
        <v>178852.57</v>
      </c>
      <c r="Q8" s="44">
        <v>885501.12000000104</v>
      </c>
      <c r="R8" s="45">
        <v>0</v>
      </c>
      <c r="S8" s="46">
        <v>0</v>
      </c>
      <c r="T8" s="39">
        <f t="shared" si="0"/>
        <v>15</v>
      </c>
      <c r="U8" s="47">
        <f t="shared" si="1"/>
        <v>0.2536266821619827</v>
      </c>
      <c r="V8" s="48">
        <f t="shared" si="2"/>
        <v>3153.13</v>
      </c>
      <c r="W8" s="49">
        <f t="shared" si="3"/>
        <v>1.6908445477465513E-2</v>
      </c>
      <c r="X8" s="44">
        <f t="shared" si="4"/>
        <v>21306.564130026254</v>
      </c>
      <c r="Y8" s="44">
        <f t="shared" si="5"/>
        <v>706648.55000000098</v>
      </c>
      <c r="Z8" s="44">
        <f t="shared" si="6"/>
        <v>218107.21067638366</v>
      </c>
      <c r="AA8" s="50">
        <f t="shared" si="7"/>
        <v>906807.68413002731</v>
      </c>
      <c r="AB8" s="51">
        <f t="shared" si="8"/>
        <v>203895.68166437661</v>
      </c>
      <c r="AC8" s="44">
        <f t="shared" si="8"/>
        <v>847721.49586802581</v>
      </c>
      <c r="AD8" s="44">
        <f t="shared" si="9"/>
        <v>0</v>
      </c>
      <c r="AE8" s="44">
        <v>0</v>
      </c>
      <c r="AF8" s="52">
        <f>HLOOKUP(I8,ElecAvoidedCostsWOCC!$A$5:$Q$50,G8+1,FALSE)</f>
        <v>1.3961506916040443</v>
      </c>
      <c r="AG8" s="44">
        <f t="shared" si="10"/>
        <v>624537.29657385394</v>
      </c>
      <c r="AH8" s="52">
        <f>HLOOKUP(I8,ElecAvoidedCostsWOCC!$A$5:$Q$50,T8+1,FALSE)</f>
        <v>1.3961506916040443</v>
      </c>
      <c r="AI8" s="44">
        <f t="shared" si="11"/>
        <v>0</v>
      </c>
      <c r="AJ8" s="44">
        <f t="shared" si="12"/>
        <v>624537.29657385394</v>
      </c>
      <c r="AK8" s="44">
        <f>HLOOKUP(I8,ElecAvoidedCostsWOCC!$A$5:$Q$50,G8+1,FALSE)*J8*L8</f>
        <v>0</v>
      </c>
      <c r="AL8" s="44">
        <f t="shared" si="13"/>
        <v>624537.29657385394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624537.29657385394</v>
      </c>
      <c r="AN8" s="48">
        <f t="shared" si="14"/>
        <v>686991.02623123943</v>
      </c>
      <c r="AO8" s="47">
        <f t="shared" si="15"/>
        <v>3.063023657371402</v>
      </c>
      <c r="AP8" s="47">
        <f t="shared" si="16"/>
        <v>0.81039708156485268</v>
      </c>
      <c r="AQ8">
        <v>2021</v>
      </c>
    </row>
    <row r="9" spans="1:43" ht="13.5" customHeight="1">
      <c r="A9" s="36" t="s">
        <v>250</v>
      </c>
      <c r="B9" s="97" t="s">
        <v>15</v>
      </c>
      <c r="C9" s="100">
        <v>18230628</v>
      </c>
      <c r="D9" s="100" t="s">
        <v>81</v>
      </c>
      <c r="E9" s="38" t="s">
        <v>550</v>
      </c>
      <c r="F9" s="39" t="s">
        <v>549</v>
      </c>
      <c r="G9" s="39">
        <v>15</v>
      </c>
      <c r="H9" s="39"/>
      <c r="I9" s="40" t="s">
        <v>268</v>
      </c>
      <c r="J9" s="41">
        <v>1047</v>
      </c>
      <c r="K9" s="41">
        <v>1685</v>
      </c>
      <c r="L9" s="41"/>
      <c r="M9" s="42">
        <v>800</v>
      </c>
      <c r="N9" s="42">
        <v>3644.31</v>
      </c>
      <c r="O9" s="43">
        <v>1764195</v>
      </c>
      <c r="P9" s="44">
        <v>837598</v>
      </c>
      <c r="Q9" s="44">
        <v>3815592.5700000501</v>
      </c>
      <c r="R9" s="45">
        <v>40.26</v>
      </c>
      <c r="S9" s="46">
        <v>0</v>
      </c>
      <c r="T9" s="39">
        <f t="shared" si="0"/>
        <v>15</v>
      </c>
      <c r="U9" s="47">
        <f t="shared" si="1"/>
        <v>1.0002658553382731</v>
      </c>
      <c r="V9" s="48">
        <f t="shared" si="2"/>
        <v>2844.31</v>
      </c>
      <c r="W9" s="49">
        <f t="shared" si="3"/>
        <v>6.6684390355884873E-2</v>
      </c>
      <c r="X9" s="44">
        <f t="shared" si="4"/>
        <v>84029.91519728626</v>
      </c>
      <c r="Y9" s="44">
        <f t="shared" si="5"/>
        <v>2977994.5700000501</v>
      </c>
      <c r="Z9" s="44">
        <f t="shared" si="6"/>
        <v>860182.35062241275</v>
      </c>
      <c r="AA9" s="50">
        <f t="shared" si="7"/>
        <v>3899622.4851973364</v>
      </c>
      <c r="AB9" s="51">
        <f t="shared" si="8"/>
        <v>804134.19708554982</v>
      </c>
      <c r="AC9" s="44">
        <f t="shared" si="8"/>
        <v>3645529.1064759614</v>
      </c>
      <c r="AD9" s="44">
        <f t="shared" si="9"/>
        <v>384647.3231745821</v>
      </c>
      <c r="AE9" s="44">
        <f t="shared" ref="AE9:AE24" si="17">-PV(ElecDiscountRate,T9,S9)*J9</f>
        <v>0</v>
      </c>
      <c r="AF9" s="52">
        <f>HLOOKUP(I9,ElecAvoidedCostsWOCC!$A$5:$Q$50,G9+1,FALSE)</f>
        <v>1.3961506916040443</v>
      </c>
      <c r="AG9" s="44">
        <f t="shared" si="10"/>
        <v>2463082.0693743969</v>
      </c>
      <c r="AH9" s="52">
        <f>HLOOKUP(I9,ElecAvoidedCostsWOCC!$A$5:$Q$50,T9+1,FALSE)</f>
        <v>1.3961506916040443</v>
      </c>
      <c r="AI9" s="44">
        <f t="shared" si="11"/>
        <v>0</v>
      </c>
      <c r="AJ9" s="44">
        <f t="shared" si="12"/>
        <v>2463082.0693743969</v>
      </c>
      <c r="AK9" s="44">
        <f>HLOOKUP(I9,ElecAvoidedCostsWOCC!$A$5:$Q$50,G9+1,FALSE)*J9*L9</f>
        <v>0</v>
      </c>
      <c r="AL9" s="44">
        <f t="shared" si="13"/>
        <v>2463082.0693743969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2463082.0693743965</v>
      </c>
      <c r="AN9" s="48">
        <f t="shared" si="14"/>
        <v>3094037.5994864181</v>
      </c>
      <c r="AO9" s="47">
        <f t="shared" si="15"/>
        <v>3.063023657371402</v>
      </c>
      <c r="AP9" s="47">
        <f t="shared" si="16"/>
        <v>0.84872113460570997</v>
      </c>
      <c r="AQ9">
        <v>2021</v>
      </c>
    </row>
    <row r="10" spans="1:43" ht="13.5" customHeight="1">
      <c r="A10" s="54">
        <f>SUM(O5:O999)</f>
        <v>26455891.559999999</v>
      </c>
      <c r="B10" s="97" t="s">
        <v>15</v>
      </c>
      <c r="C10" s="100">
        <v>18230628</v>
      </c>
      <c r="D10" s="100" t="s">
        <v>81</v>
      </c>
      <c r="E10" s="38" t="s">
        <v>551</v>
      </c>
      <c r="F10" s="39" t="s">
        <v>552</v>
      </c>
      <c r="G10" s="39">
        <v>15</v>
      </c>
      <c r="H10" s="39"/>
      <c r="I10" s="40" t="s">
        <v>268</v>
      </c>
      <c r="J10" s="41">
        <v>166</v>
      </c>
      <c r="K10" s="41">
        <v>3055</v>
      </c>
      <c r="L10" s="41"/>
      <c r="M10" s="42">
        <v>2400</v>
      </c>
      <c r="N10" s="42">
        <v>3895.16</v>
      </c>
      <c r="O10" s="43">
        <v>507130</v>
      </c>
      <c r="P10" s="44">
        <v>394460.5</v>
      </c>
      <c r="Q10" s="44">
        <v>646596.55999999901</v>
      </c>
      <c r="R10" s="45">
        <v>0</v>
      </c>
      <c r="S10" s="46">
        <v>0</v>
      </c>
      <c r="T10" s="39">
        <f t="shared" si="0"/>
        <v>15</v>
      </c>
      <c r="U10" s="47">
        <f t="shared" si="1"/>
        <v>0.28753330738251637</v>
      </c>
      <c r="V10" s="48">
        <f t="shared" si="2"/>
        <v>1495.1599999999999</v>
      </c>
      <c r="W10" s="49">
        <f t="shared" si="3"/>
        <v>1.9168887158834424E-2</v>
      </c>
      <c r="X10" s="44">
        <f t="shared" si="4"/>
        <v>24154.97770597909</v>
      </c>
      <c r="Y10" s="44">
        <f t="shared" si="5"/>
        <v>252136.05999999901</v>
      </c>
      <c r="Z10" s="44">
        <f t="shared" si="6"/>
        <v>247265.33941607599</v>
      </c>
      <c r="AA10" s="50">
        <f t="shared" si="7"/>
        <v>670751.53770597815</v>
      </c>
      <c r="AB10" s="51">
        <f t="shared" si="8"/>
        <v>231153.9117659867</v>
      </c>
      <c r="AC10" s="44">
        <f t="shared" si="8"/>
        <v>627046.40338971501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1.3961506916040443</v>
      </c>
      <c r="AG10" s="44">
        <f t="shared" si="10"/>
        <v>708029.90023315896</v>
      </c>
      <c r="AH10" s="52">
        <f>HLOOKUP(I10,ElecAvoidedCostsWOCC!$A$5:$Q$50,T10+1,FALSE)</f>
        <v>1.3961506916040443</v>
      </c>
      <c r="AI10" s="44">
        <f t="shared" si="11"/>
        <v>0</v>
      </c>
      <c r="AJ10" s="44">
        <f t="shared" si="12"/>
        <v>708029.90023315896</v>
      </c>
      <c r="AK10" s="44">
        <f>HLOOKUP(I10,ElecAvoidedCostsWOCC!$A$5:$Q$50,G10+1,FALSE)*J10*L10</f>
        <v>0</v>
      </c>
      <c r="AL10" s="44">
        <f t="shared" si="13"/>
        <v>708029.90023315896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708029.90023315896</v>
      </c>
      <c r="AN10" s="48">
        <f t="shared" si="14"/>
        <v>778832.89025647496</v>
      </c>
      <c r="AO10" s="47">
        <f t="shared" si="15"/>
        <v>3.063023657371402</v>
      </c>
      <c r="AP10" s="47">
        <f t="shared" si="16"/>
        <v>1.2420657961615376</v>
      </c>
      <c r="AQ10">
        <v>2021</v>
      </c>
    </row>
    <row r="11" spans="1:43" ht="13.5" customHeight="1">
      <c r="A11" s="36" t="s">
        <v>251</v>
      </c>
      <c r="B11" s="97" t="s">
        <v>15</v>
      </c>
      <c r="C11" s="100">
        <v>18230628</v>
      </c>
      <c r="D11" s="100" t="s">
        <v>81</v>
      </c>
      <c r="E11" s="38" t="s">
        <v>553</v>
      </c>
      <c r="F11" s="39" t="s">
        <v>554</v>
      </c>
      <c r="G11" s="39">
        <v>15</v>
      </c>
      <c r="H11" s="39"/>
      <c r="I11" s="40" t="s">
        <v>268</v>
      </c>
      <c r="J11" s="41">
        <v>128</v>
      </c>
      <c r="K11" s="41">
        <v>2550</v>
      </c>
      <c r="L11" s="41"/>
      <c r="M11" s="42">
        <v>800</v>
      </c>
      <c r="N11" s="42">
        <v>4039.18</v>
      </c>
      <c r="O11" s="43">
        <v>326400</v>
      </c>
      <c r="P11" s="44">
        <v>102400</v>
      </c>
      <c r="Q11" s="44">
        <v>517015.03999999899</v>
      </c>
      <c r="R11" s="45">
        <v>0</v>
      </c>
      <c r="S11" s="46">
        <v>0</v>
      </c>
      <c r="T11" s="39">
        <f t="shared" si="0"/>
        <v>15</v>
      </c>
      <c r="U11" s="47">
        <f t="shared" si="1"/>
        <v>0.18506274826899088</v>
      </c>
      <c r="V11" s="48">
        <f t="shared" si="2"/>
        <v>3239.18</v>
      </c>
      <c r="W11" s="49">
        <f t="shared" si="3"/>
        <v>1.2337516551266059E-2</v>
      </c>
      <c r="X11" s="44">
        <f t="shared" si="4"/>
        <v>15546.673876977453</v>
      </c>
      <c r="Y11" s="44">
        <f t="shared" si="5"/>
        <v>414615.03999999899</v>
      </c>
      <c r="Z11" s="44">
        <f t="shared" si="6"/>
        <v>159145.40016446909</v>
      </c>
      <c r="AA11" s="50">
        <f t="shared" si="7"/>
        <v>532561.7138769764</v>
      </c>
      <c r="AB11" s="51">
        <f t="shared" si="8"/>
        <v>148775.73166726099</v>
      </c>
      <c r="AC11" s="44">
        <f t="shared" si="8"/>
        <v>497860.81506681908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1.3961506916040443</v>
      </c>
      <c r="AG11" s="44">
        <f t="shared" si="10"/>
        <v>455703.58573956002</v>
      </c>
      <c r="AH11" s="52">
        <f>HLOOKUP(I11,ElecAvoidedCostsWOCC!$A$5:$Q$50,T11+1,FALSE)</f>
        <v>1.3961506916040443</v>
      </c>
      <c r="AI11" s="44">
        <f t="shared" si="11"/>
        <v>0</v>
      </c>
      <c r="AJ11" s="44">
        <f t="shared" si="12"/>
        <v>455703.58573956002</v>
      </c>
      <c r="AK11" s="44">
        <f>HLOOKUP(I11,ElecAvoidedCostsWOCC!$A$5:$Q$50,G11+1,FALSE)*J11*L11</f>
        <v>0</v>
      </c>
      <c r="AL11" s="44">
        <f t="shared" si="13"/>
        <v>455703.58573956002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455703.58573956002</v>
      </c>
      <c r="AN11" s="48">
        <f t="shared" si="14"/>
        <v>501273.94431351608</v>
      </c>
      <c r="AO11" s="47">
        <f t="shared" si="15"/>
        <v>3.0630236573714016</v>
      </c>
      <c r="AP11" s="47">
        <f t="shared" si="16"/>
        <v>1.0068555892398139</v>
      </c>
      <c r="AQ11">
        <v>2021</v>
      </c>
    </row>
    <row r="12" spans="1:43" ht="13.5" customHeight="1">
      <c r="A12" s="55">
        <f>SUM(P5:P1000)</f>
        <v>9779012.8900000006</v>
      </c>
      <c r="B12" s="97" t="s">
        <v>15</v>
      </c>
      <c r="C12" s="100">
        <v>18230628</v>
      </c>
      <c r="D12" s="100" t="s">
        <v>81</v>
      </c>
      <c r="E12" s="38" t="s">
        <v>555</v>
      </c>
      <c r="F12" s="39" t="s">
        <v>556</v>
      </c>
      <c r="G12" s="39">
        <v>15</v>
      </c>
      <c r="H12" s="39"/>
      <c r="I12" s="40" t="s">
        <v>268</v>
      </c>
      <c r="J12" s="41">
        <v>62</v>
      </c>
      <c r="K12" s="41">
        <v>3517</v>
      </c>
      <c r="L12" s="41"/>
      <c r="M12" s="42">
        <v>1500</v>
      </c>
      <c r="N12" s="42">
        <v>4956.68</v>
      </c>
      <c r="O12" s="43">
        <v>218054</v>
      </c>
      <c r="P12" s="44">
        <v>93000</v>
      </c>
      <c r="Q12" s="44">
        <v>307314.15999999997</v>
      </c>
      <c r="R12" s="45">
        <v>0</v>
      </c>
      <c r="S12" s="46">
        <v>0</v>
      </c>
      <c r="T12" s="39">
        <f t="shared" si="0"/>
        <v>15</v>
      </c>
      <c r="U12" s="47">
        <f t="shared" si="1"/>
        <v>0.12363257509511807</v>
      </c>
      <c r="V12" s="48">
        <f t="shared" si="2"/>
        <v>3456.6800000000003</v>
      </c>
      <c r="W12" s="49">
        <f t="shared" si="3"/>
        <v>8.2421716730078712E-3</v>
      </c>
      <c r="X12" s="44">
        <f t="shared" si="4"/>
        <v>10386.073607752578</v>
      </c>
      <c r="Y12" s="44">
        <f t="shared" si="5"/>
        <v>214314.15999999997</v>
      </c>
      <c r="Z12" s="44">
        <f t="shared" si="6"/>
        <v>106318.29377286503</v>
      </c>
      <c r="AA12" s="50">
        <f t="shared" si="7"/>
        <v>317700.23360775254</v>
      </c>
      <c r="AB12" s="51">
        <f t="shared" si="8"/>
        <v>99390.75794415726</v>
      </c>
      <c r="AC12" s="44">
        <f t="shared" si="8"/>
        <v>296999.37702884222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1.3961506916040443</v>
      </c>
      <c r="AG12" s="44">
        <f t="shared" si="10"/>
        <v>304436.2429070283</v>
      </c>
      <c r="AH12" s="52">
        <f>HLOOKUP(I12,ElecAvoidedCostsWOCC!$A$5:$Q$50,T12+1,FALSE)</f>
        <v>1.3961506916040443</v>
      </c>
      <c r="AI12" s="44">
        <f t="shared" si="11"/>
        <v>0</v>
      </c>
      <c r="AJ12" s="44">
        <f t="shared" si="12"/>
        <v>304436.2429070283</v>
      </c>
      <c r="AK12" s="44">
        <f>HLOOKUP(I12,ElecAvoidedCostsWOCC!$A$5:$Q$50,G12+1,FALSE)*J12*L12</f>
        <v>0</v>
      </c>
      <c r="AL12" s="44">
        <f t="shared" si="13"/>
        <v>304436.2429070283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304436.2429070283</v>
      </c>
      <c r="AN12" s="48">
        <f t="shared" si="14"/>
        <v>334879.86719773116</v>
      </c>
      <c r="AO12" s="47">
        <f t="shared" si="15"/>
        <v>3.063023657371402</v>
      </c>
      <c r="AP12" s="47">
        <f t="shared" si="16"/>
        <v>1.1275440054718038</v>
      </c>
      <c r="AQ12">
        <v>2021</v>
      </c>
    </row>
    <row r="13" spans="1:43" ht="13.5" customHeight="1">
      <c r="A13" s="56" t="s">
        <v>252</v>
      </c>
      <c r="B13" s="97" t="s">
        <v>15</v>
      </c>
      <c r="C13" s="100">
        <v>18230628</v>
      </c>
      <c r="D13" s="100" t="s">
        <v>81</v>
      </c>
      <c r="E13" s="38" t="s">
        <v>557</v>
      </c>
      <c r="F13" s="39" t="s">
        <v>556</v>
      </c>
      <c r="G13" s="39">
        <v>10</v>
      </c>
      <c r="H13" s="39">
        <v>8</v>
      </c>
      <c r="I13" s="40" t="s">
        <v>268</v>
      </c>
      <c r="J13" s="41">
        <v>440</v>
      </c>
      <c r="K13" s="41">
        <v>4268</v>
      </c>
      <c r="L13" s="41">
        <v>3201</v>
      </c>
      <c r="M13" s="42">
        <v>1500</v>
      </c>
      <c r="N13" s="42">
        <v>4692.1000000000004</v>
      </c>
      <c r="O13" s="43">
        <v>1877920</v>
      </c>
      <c r="P13" s="44">
        <v>660000</v>
      </c>
      <c r="Q13" s="44">
        <v>2064524.00000002</v>
      </c>
      <c r="R13" s="45">
        <v>0</v>
      </c>
      <c r="S13" s="46">
        <v>0</v>
      </c>
      <c r="T13" s="39">
        <f t="shared" si="0"/>
        <v>18</v>
      </c>
      <c r="U13" s="47">
        <f t="shared" si="1"/>
        <v>1.2776949861371445</v>
      </c>
      <c r="V13" s="48">
        <f t="shared" si="2"/>
        <v>3192.1000000000004</v>
      </c>
      <c r="W13" s="49">
        <f t="shared" si="3"/>
        <v>7.0983054785396918E-2</v>
      </c>
      <c r="X13" s="44">
        <f t="shared" si="4"/>
        <v>89446.721222590364</v>
      </c>
      <c r="Y13" s="44">
        <f t="shared" si="5"/>
        <v>1404524.00000002</v>
      </c>
      <c r="Z13" s="44">
        <f t="shared" si="6"/>
        <v>915632.13810312422</v>
      </c>
      <c r="AA13" s="50">
        <f t="shared" si="7"/>
        <v>2153970.7212226102</v>
      </c>
      <c r="AB13" s="51">
        <f t="shared" si="8"/>
        <v>855970.96204835386</v>
      </c>
      <c r="AC13" s="44">
        <f t="shared" si="8"/>
        <v>2013621.3155301581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0.9838493984213923</v>
      </c>
      <c r="AG13" s="44">
        <f t="shared" si="10"/>
        <v>1847590.4622835012</v>
      </c>
      <c r="AH13" s="52">
        <f>HLOOKUP(I13,ElecAvoidedCostsWOCC!$A$5:$Q$50,T13+1,FALSE)</f>
        <v>1.6039068652152917</v>
      </c>
      <c r="AI13" s="44">
        <f t="shared" si="11"/>
        <v>2259006.5852438253</v>
      </c>
      <c r="AJ13" s="44">
        <f t="shared" si="12"/>
        <v>4106597.0475273263</v>
      </c>
      <c r="AK13" s="44">
        <f>HLOOKUP(I13,ElecAvoidedCostsWOCC!$A$5:$Q$50,G13+1,FALSE)*J13*L13</f>
        <v>1385692.8467126258</v>
      </c>
      <c r="AL13" s="44">
        <f t="shared" si="13"/>
        <v>2720904.2008147007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2720904.2008147007</v>
      </c>
      <c r="AN13" s="48">
        <f t="shared" si="14"/>
        <v>2992994.6208961708</v>
      </c>
      <c r="AO13" s="47">
        <f t="shared" si="15"/>
        <v>3.178734234516003</v>
      </c>
      <c r="AP13" s="47">
        <f t="shared" si="16"/>
        <v>1.4863741249720321</v>
      </c>
      <c r="AQ13">
        <v>2021</v>
      </c>
    </row>
    <row r="14" spans="1:43" ht="13.5" customHeight="1">
      <c r="A14" s="55">
        <f>SUM(Y5:Y1000)</f>
        <v>14872481.839999977</v>
      </c>
      <c r="B14" s="97" t="s">
        <v>15</v>
      </c>
      <c r="C14" s="100">
        <v>18230628</v>
      </c>
      <c r="D14" s="100" t="s">
        <v>81</v>
      </c>
      <c r="E14" s="38" t="s">
        <v>558</v>
      </c>
      <c r="F14" s="39" t="s">
        <v>559</v>
      </c>
      <c r="G14" s="39">
        <v>15</v>
      </c>
      <c r="H14" s="39"/>
      <c r="I14" s="40" t="s">
        <v>268</v>
      </c>
      <c r="J14" s="41">
        <v>56</v>
      </c>
      <c r="K14" s="41">
        <v>3020</v>
      </c>
      <c r="L14" s="41"/>
      <c r="M14" s="42">
        <v>2400</v>
      </c>
      <c r="N14" s="42">
        <v>4634</v>
      </c>
      <c r="O14" s="43">
        <v>169120</v>
      </c>
      <c r="P14" s="44">
        <v>133493.76999999999</v>
      </c>
      <c r="Q14" s="44">
        <v>259504</v>
      </c>
      <c r="R14" s="45">
        <v>0</v>
      </c>
      <c r="S14" s="46">
        <v>0</v>
      </c>
      <c r="T14" s="39">
        <f t="shared" si="0"/>
        <v>15</v>
      </c>
      <c r="U14" s="47">
        <f t="shared" si="1"/>
        <v>9.5887904372707528E-2</v>
      </c>
      <c r="V14" s="48">
        <f t="shared" si="2"/>
        <v>2234</v>
      </c>
      <c r="W14" s="49">
        <f t="shared" si="3"/>
        <v>6.3925269581805019E-3</v>
      </c>
      <c r="X14" s="44">
        <f t="shared" si="4"/>
        <v>8055.3109254731207</v>
      </c>
      <c r="Y14" s="44">
        <f t="shared" si="5"/>
        <v>126010.23000000001</v>
      </c>
      <c r="Z14" s="44">
        <f t="shared" si="6"/>
        <v>82459.160771492068</v>
      </c>
      <c r="AA14" s="50">
        <f t="shared" si="7"/>
        <v>267559.31092547311</v>
      </c>
      <c r="AB14" s="51">
        <f t="shared" si="8"/>
        <v>77086.249202105319</v>
      </c>
      <c r="AC14" s="44">
        <f t="shared" si="8"/>
        <v>250125.55943299344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1.3961506916040443</v>
      </c>
      <c r="AG14" s="44">
        <f t="shared" si="10"/>
        <v>236117.00496407598</v>
      </c>
      <c r="AH14" s="52">
        <f>HLOOKUP(I14,ElecAvoidedCostsWOCC!$A$5:$Q$50,T14+1,FALSE)</f>
        <v>1.3961506916040443</v>
      </c>
      <c r="AI14" s="44">
        <f t="shared" si="11"/>
        <v>0</v>
      </c>
      <c r="AJ14" s="44">
        <f t="shared" si="12"/>
        <v>236117.00496407598</v>
      </c>
      <c r="AK14" s="44">
        <f>HLOOKUP(I14,ElecAvoidedCostsWOCC!$A$5:$Q$50,G14+1,FALSE)*J14*L14</f>
        <v>0</v>
      </c>
      <c r="AL14" s="44">
        <f t="shared" si="13"/>
        <v>236117.00496407598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236117.00496407598</v>
      </c>
      <c r="AN14" s="48">
        <f t="shared" si="14"/>
        <v>259728.70546048362</v>
      </c>
      <c r="AO14" s="47">
        <f t="shared" si="15"/>
        <v>3.0630236573714025</v>
      </c>
      <c r="AP14" s="47">
        <f t="shared" si="16"/>
        <v>1.0383933015452695</v>
      </c>
      <c r="AQ14">
        <v>2021</v>
      </c>
    </row>
    <row r="15" spans="1:43" ht="13.5" customHeight="1">
      <c r="A15" s="57" t="s">
        <v>253</v>
      </c>
      <c r="B15" s="97" t="s">
        <v>15</v>
      </c>
      <c r="C15" s="100">
        <v>18230628</v>
      </c>
      <c r="D15" s="100" t="s">
        <v>81</v>
      </c>
      <c r="E15" s="38" t="s">
        <v>560</v>
      </c>
      <c r="F15" s="39" t="s">
        <v>559</v>
      </c>
      <c r="G15" s="39">
        <v>10</v>
      </c>
      <c r="H15" s="39">
        <v>8</v>
      </c>
      <c r="I15" s="40" t="s">
        <v>268</v>
      </c>
      <c r="J15" s="41">
        <v>278</v>
      </c>
      <c r="K15" s="41">
        <v>3988</v>
      </c>
      <c r="L15" s="41">
        <v>2991</v>
      </c>
      <c r="M15" s="42">
        <v>2400</v>
      </c>
      <c r="N15" s="42">
        <v>4258.1099999999997</v>
      </c>
      <c r="O15" s="43">
        <v>1108664</v>
      </c>
      <c r="P15" s="44">
        <v>662316.56000000006</v>
      </c>
      <c r="Q15" s="44">
        <v>1183754.58</v>
      </c>
      <c r="R15" s="45">
        <v>0</v>
      </c>
      <c r="S15" s="46">
        <v>0</v>
      </c>
      <c r="T15" s="39">
        <f t="shared" si="0"/>
        <v>18</v>
      </c>
      <c r="U15" s="47">
        <f t="shared" si="1"/>
        <v>0.75431031892239886</v>
      </c>
      <c r="V15" s="48">
        <f t="shared" si="2"/>
        <v>1858.1099999999997</v>
      </c>
      <c r="W15" s="49">
        <f t="shared" si="3"/>
        <v>4.1906128829022157E-2</v>
      </c>
      <c r="X15" s="44">
        <f t="shared" si="4"/>
        <v>52806.487889538381</v>
      </c>
      <c r="Y15" s="44">
        <f t="shared" si="5"/>
        <v>521438.02</v>
      </c>
      <c r="Z15" s="44">
        <f t="shared" si="6"/>
        <v>540559.97526942694</v>
      </c>
      <c r="AA15" s="50">
        <f t="shared" si="7"/>
        <v>1236561.0678895384</v>
      </c>
      <c r="AB15" s="51">
        <f t="shared" si="8"/>
        <v>505337.92209911835</v>
      </c>
      <c r="AC15" s="44">
        <f t="shared" si="8"/>
        <v>1155988.6583991195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0.9838493984213923</v>
      </c>
      <c r="AG15" s="44">
        <f t="shared" si="10"/>
        <v>1090758.4094514546</v>
      </c>
      <c r="AH15" s="52">
        <f>HLOOKUP(I15,ElecAvoidedCostsWOCC!$A$5:$Q$50,T15+1,FALSE)</f>
        <v>1.6039068652152917</v>
      </c>
      <c r="AI15" s="44">
        <f t="shared" si="11"/>
        <v>1333645.3506127845</v>
      </c>
      <c r="AJ15" s="44">
        <f t="shared" si="12"/>
        <v>2424403.7600642391</v>
      </c>
      <c r="AK15" s="44">
        <f>HLOOKUP(I15,ElecAvoidedCostsWOCC!$A$5:$Q$50,G15+1,FALSE)*J15*L15</f>
        <v>818068.80708859093</v>
      </c>
      <c r="AL15" s="44">
        <f t="shared" si="13"/>
        <v>1606334.9529756482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1606334.9529756485</v>
      </c>
      <c r="AN15" s="48">
        <f t="shared" si="14"/>
        <v>1766968.4482732133</v>
      </c>
      <c r="AO15" s="47">
        <f t="shared" si="15"/>
        <v>3.178734234516003</v>
      </c>
      <c r="AP15" s="47">
        <f t="shared" si="16"/>
        <v>1.5285344154848495</v>
      </c>
      <c r="AQ15">
        <v>2021</v>
      </c>
    </row>
    <row r="16" spans="1:43" ht="13.5" customHeight="1">
      <c r="A16" s="54">
        <f>SUM(U5:U999)</f>
        <v>15.37804578603285</v>
      </c>
      <c r="B16" s="97" t="s">
        <v>15</v>
      </c>
      <c r="C16" s="100">
        <v>18230628</v>
      </c>
      <c r="D16" s="100" t="s">
        <v>81</v>
      </c>
      <c r="E16" s="38" t="s">
        <v>561</v>
      </c>
      <c r="F16" s="39" t="s">
        <v>562</v>
      </c>
      <c r="G16" s="39">
        <v>15</v>
      </c>
      <c r="H16" s="39"/>
      <c r="I16" s="40" t="s">
        <v>268</v>
      </c>
      <c r="J16" s="41">
        <v>1</v>
      </c>
      <c r="K16" s="41">
        <v>1997</v>
      </c>
      <c r="L16" s="41"/>
      <c r="M16" s="42">
        <v>1600</v>
      </c>
      <c r="N16" s="42">
        <v>3953.13</v>
      </c>
      <c r="O16" s="43">
        <v>1997</v>
      </c>
      <c r="P16" s="44">
        <v>1600</v>
      </c>
      <c r="Q16" s="44">
        <v>3953.13</v>
      </c>
      <c r="R16" s="45">
        <v>0</v>
      </c>
      <c r="S16" s="46">
        <v>0</v>
      </c>
      <c r="T16" s="39">
        <f t="shared" si="0"/>
        <v>15</v>
      </c>
      <c r="U16" s="47">
        <f t="shared" si="1"/>
        <v>1.1322619739374228E-3</v>
      </c>
      <c r="V16" s="48">
        <f t="shared" si="2"/>
        <v>2353.13</v>
      </c>
      <c r="W16" s="49">
        <f t="shared" si="3"/>
        <v>7.5484131595828186E-5</v>
      </c>
      <c r="X16" s="44">
        <f t="shared" si="4"/>
        <v>95.118589866188643</v>
      </c>
      <c r="Y16" s="44">
        <f t="shared" si="5"/>
        <v>2353.13</v>
      </c>
      <c r="Z16" s="44">
        <f t="shared" si="6"/>
        <v>973.69290480528434</v>
      </c>
      <c r="AA16" s="50">
        <f t="shared" si="7"/>
        <v>4048.2485898661889</v>
      </c>
      <c r="AB16" s="51">
        <f t="shared" si="8"/>
        <v>910.2485788588242</v>
      </c>
      <c r="AC16" s="44">
        <f t="shared" si="8"/>
        <v>3784.4709636965399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1.3961506916040443</v>
      </c>
      <c r="AG16" s="44">
        <f t="shared" si="10"/>
        <v>2788.1129311332766</v>
      </c>
      <c r="AH16" s="52">
        <f>HLOOKUP(I16,ElecAvoidedCostsWOCC!$A$5:$Q$50,T16+1,FALSE)</f>
        <v>1.3961506916040443</v>
      </c>
      <c r="AI16" s="44">
        <f t="shared" si="11"/>
        <v>0</v>
      </c>
      <c r="AJ16" s="44">
        <f t="shared" si="12"/>
        <v>2788.1129311332766</v>
      </c>
      <c r="AK16" s="44">
        <f>HLOOKUP(I16,ElecAvoidedCostsWOCC!$A$5:$Q$50,G16+1,FALSE)*J16*L16</f>
        <v>0</v>
      </c>
      <c r="AL16" s="44">
        <f t="shared" si="13"/>
        <v>2788.1129311332766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2788.1129311332766</v>
      </c>
      <c r="AN16" s="48">
        <f t="shared" si="14"/>
        <v>3066.9242242466044</v>
      </c>
      <c r="AO16" s="47">
        <f t="shared" si="15"/>
        <v>3.0630236573714016</v>
      </c>
      <c r="AP16" s="47">
        <f t="shared" si="16"/>
        <v>0.81039708156485346</v>
      </c>
      <c r="AQ16">
        <v>2021</v>
      </c>
    </row>
    <row r="17" spans="1:43" ht="13.5" customHeight="1">
      <c r="A17" s="58" t="s">
        <v>254</v>
      </c>
      <c r="B17" s="97" t="s">
        <v>15</v>
      </c>
      <c r="C17" s="100">
        <v>18230628</v>
      </c>
      <c r="D17" s="100" t="s">
        <v>81</v>
      </c>
      <c r="E17" s="38" t="s">
        <v>563</v>
      </c>
      <c r="F17" s="39" t="s">
        <v>562</v>
      </c>
      <c r="G17" s="39">
        <v>15</v>
      </c>
      <c r="H17" s="39"/>
      <c r="I17" s="40" t="s">
        <v>268</v>
      </c>
      <c r="J17" s="41">
        <v>17</v>
      </c>
      <c r="K17" s="41">
        <v>1685</v>
      </c>
      <c r="L17" s="41"/>
      <c r="M17" s="42">
        <v>1600</v>
      </c>
      <c r="N17" s="42">
        <v>3644.31</v>
      </c>
      <c r="O17" s="43">
        <v>28645</v>
      </c>
      <c r="P17" s="44">
        <v>27200</v>
      </c>
      <c r="Q17" s="44">
        <v>61953.27</v>
      </c>
      <c r="R17" s="45">
        <v>40.26</v>
      </c>
      <c r="S17" s="46">
        <v>0</v>
      </c>
      <c r="T17" s="39">
        <f t="shared" si="0"/>
        <v>15</v>
      </c>
      <c r="U17" s="47">
        <f t="shared" si="1"/>
        <v>1.6241183897565084E-2</v>
      </c>
      <c r="V17" s="48">
        <f t="shared" si="2"/>
        <v>2044.31</v>
      </c>
      <c r="W17" s="49">
        <f t="shared" si="3"/>
        <v>1.0827455931710056E-3</v>
      </c>
      <c r="X17" s="44">
        <f t="shared" si="4"/>
        <v>1364.3825772243231</v>
      </c>
      <c r="Y17" s="44">
        <f t="shared" si="5"/>
        <v>34753.269999999997</v>
      </c>
      <c r="Z17" s="44">
        <f t="shared" si="6"/>
        <v>13966.666629017209</v>
      </c>
      <c r="AA17" s="50">
        <f t="shared" si="7"/>
        <v>63317.652577224319</v>
      </c>
      <c r="AB17" s="51">
        <f t="shared" si="8"/>
        <v>13056.620201007019</v>
      </c>
      <c r="AC17" s="44">
        <f t="shared" si="8"/>
        <v>59191.972120430321</v>
      </c>
      <c r="AD17" s="44">
        <f t="shared" si="9"/>
        <v>6245.4675205041976</v>
      </c>
      <c r="AE17" s="44">
        <f t="shared" si="17"/>
        <v>0</v>
      </c>
      <c r="AF17" s="52">
        <f>HLOOKUP(I17,ElecAvoidedCostsWOCC!$A$5:$Q$50,G17+1,FALSE)</f>
        <v>1.3961506916040443</v>
      </c>
      <c r="AG17" s="44">
        <f t="shared" si="10"/>
        <v>39992.736560997851</v>
      </c>
      <c r="AH17" s="52">
        <f>HLOOKUP(I17,ElecAvoidedCostsWOCC!$A$5:$Q$50,T17+1,FALSE)</f>
        <v>1.3961506916040443</v>
      </c>
      <c r="AI17" s="44">
        <f t="shared" si="11"/>
        <v>0</v>
      </c>
      <c r="AJ17" s="44">
        <f t="shared" si="12"/>
        <v>39992.736560997851</v>
      </c>
      <c r="AK17" s="44">
        <f>HLOOKUP(I17,ElecAvoidedCostsWOCC!$A$5:$Q$50,G17+1,FALSE)*J17*L17</f>
        <v>0</v>
      </c>
      <c r="AL17" s="44">
        <f t="shared" si="13"/>
        <v>39992.736560997851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39992.736560997844</v>
      </c>
      <c r="AN17" s="48">
        <f t="shared" si="14"/>
        <v>50237.477737601832</v>
      </c>
      <c r="AO17" s="47">
        <f t="shared" si="15"/>
        <v>3.0630236573714016</v>
      </c>
      <c r="AP17" s="47">
        <f t="shared" si="16"/>
        <v>0.84872113460572107</v>
      </c>
      <c r="AQ17">
        <v>2021</v>
      </c>
    </row>
    <row r="18" spans="1:43" ht="13.5" customHeight="1">
      <c r="A18" s="59">
        <f>A6+A8</f>
        <v>12899305.91</v>
      </c>
      <c r="B18" s="97" t="s">
        <v>15</v>
      </c>
      <c r="C18" s="100">
        <v>18230628</v>
      </c>
      <c r="D18" s="100" t="s">
        <v>81</v>
      </c>
      <c r="E18" s="38" t="s">
        <v>564</v>
      </c>
      <c r="F18" s="39" t="s">
        <v>565</v>
      </c>
      <c r="G18" s="39">
        <v>15</v>
      </c>
      <c r="H18" s="39"/>
      <c r="I18" s="40" t="s">
        <v>268</v>
      </c>
      <c r="J18" s="41">
        <v>1</v>
      </c>
      <c r="K18" s="41">
        <v>2550</v>
      </c>
      <c r="L18" s="41"/>
      <c r="M18" s="42">
        <v>1600</v>
      </c>
      <c r="N18" s="42">
        <v>4039.18</v>
      </c>
      <c r="O18" s="43">
        <v>2550</v>
      </c>
      <c r="P18" s="44">
        <v>1600</v>
      </c>
      <c r="Q18" s="44">
        <v>4039.18</v>
      </c>
      <c r="R18" s="45">
        <v>0</v>
      </c>
      <c r="S18" s="46">
        <v>0</v>
      </c>
      <c r="T18" s="39">
        <f t="shared" si="0"/>
        <v>15</v>
      </c>
      <c r="U18" s="47">
        <f t="shared" si="1"/>
        <v>1.4458027208514913E-3</v>
      </c>
      <c r="V18" s="48">
        <f t="shared" si="2"/>
        <v>2439.1799999999998</v>
      </c>
      <c r="W18" s="49">
        <f t="shared" si="3"/>
        <v>9.6386848056766083E-5</v>
      </c>
      <c r="X18" s="44">
        <f t="shared" si="4"/>
        <v>121.45838966388635</v>
      </c>
      <c r="Y18" s="44">
        <f t="shared" si="5"/>
        <v>2439.1799999999998</v>
      </c>
      <c r="Z18" s="44">
        <f t="shared" si="6"/>
        <v>1243.3234387849147</v>
      </c>
      <c r="AA18" s="50">
        <f t="shared" si="7"/>
        <v>4160.6383896638863</v>
      </c>
      <c r="AB18" s="51">
        <f t="shared" si="8"/>
        <v>1162.3104036504765</v>
      </c>
      <c r="AC18" s="44">
        <f t="shared" si="8"/>
        <v>3889.5376177095318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1.3961506916040443</v>
      </c>
      <c r="AG18" s="44">
        <f t="shared" si="10"/>
        <v>3560.1842635903126</v>
      </c>
      <c r="AH18" s="52">
        <f>HLOOKUP(I18,ElecAvoidedCostsWOCC!$A$5:$Q$50,T18+1,FALSE)</f>
        <v>1.3961506916040443</v>
      </c>
      <c r="AI18" s="44">
        <f t="shared" si="11"/>
        <v>0</v>
      </c>
      <c r="AJ18" s="44">
        <f t="shared" si="12"/>
        <v>3560.1842635903126</v>
      </c>
      <c r="AK18" s="44">
        <f>HLOOKUP(I18,ElecAvoidedCostsWOCC!$A$5:$Q$50,G18+1,FALSE)*J18*L18</f>
        <v>0</v>
      </c>
      <c r="AL18" s="44">
        <f t="shared" si="13"/>
        <v>3560.1842635903126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3560.1842635903126</v>
      </c>
      <c r="AN18" s="48">
        <f t="shared" si="14"/>
        <v>3916.2026899493444</v>
      </c>
      <c r="AO18" s="47">
        <f t="shared" si="15"/>
        <v>3.0630236573714016</v>
      </c>
      <c r="AP18" s="47">
        <f t="shared" si="16"/>
        <v>1.0068555892398119</v>
      </c>
      <c r="AQ18">
        <v>2021</v>
      </c>
    </row>
    <row r="19" spans="1:43" ht="13.5" customHeight="1">
      <c r="A19" s="58" t="s">
        <v>231</v>
      </c>
      <c r="B19" s="97" t="s">
        <v>15</v>
      </c>
      <c r="C19" s="100">
        <v>18230628</v>
      </c>
      <c r="D19" s="100" t="s">
        <v>81</v>
      </c>
      <c r="E19" s="38" t="s">
        <v>566</v>
      </c>
      <c r="F19" s="39" t="s">
        <v>567</v>
      </c>
      <c r="G19" s="39">
        <v>10</v>
      </c>
      <c r="H19" s="39">
        <v>8</v>
      </c>
      <c r="I19" s="40" t="s">
        <v>268</v>
      </c>
      <c r="J19" s="41">
        <v>3</v>
      </c>
      <c r="K19" s="41">
        <v>4268</v>
      </c>
      <c r="L19" s="41">
        <v>3201</v>
      </c>
      <c r="M19" s="42">
        <v>1600</v>
      </c>
      <c r="N19" s="42">
        <v>4692.1000000000004</v>
      </c>
      <c r="O19" s="43">
        <v>12804</v>
      </c>
      <c r="P19" s="44">
        <v>4800</v>
      </c>
      <c r="Q19" s="44">
        <v>14076.3</v>
      </c>
      <c r="R19" s="45">
        <v>0</v>
      </c>
      <c r="S19" s="46">
        <v>0</v>
      </c>
      <c r="T19" s="39">
        <f t="shared" si="0"/>
        <v>18</v>
      </c>
      <c r="U19" s="47">
        <f t="shared" si="1"/>
        <v>8.7115567236623493E-3</v>
      </c>
      <c r="V19" s="48">
        <f t="shared" si="2"/>
        <v>3092.1000000000004</v>
      </c>
      <c r="W19" s="49">
        <f t="shared" si="3"/>
        <v>4.8397537353679718E-4</v>
      </c>
      <c r="X19" s="44">
        <f t="shared" si="4"/>
        <v>609.86400833584344</v>
      </c>
      <c r="Y19" s="44">
        <f t="shared" si="5"/>
        <v>9276.2999999999993</v>
      </c>
      <c r="Z19" s="44">
        <f t="shared" si="6"/>
        <v>6242.9463961576657</v>
      </c>
      <c r="AA19" s="50">
        <f t="shared" si="7"/>
        <v>14686.164008335843</v>
      </c>
      <c r="AB19" s="51">
        <f t="shared" si="8"/>
        <v>5836.1656503296863</v>
      </c>
      <c r="AC19" s="44">
        <f t="shared" si="8"/>
        <v>13729.23624225095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0.9838493984213923</v>
      </c>
      <c r="AG19" s="44">
        <f t="shared" si="10"/>
        <v>12597.207697387508</v>
      </c>
      <c r="AH19" s="52">
        <f>HLOOKUP(I19,ElecAvoidedCostsWOCC!$A$5:$Q$50,T19+1,FALSE)</f>
        <v>1.6039068652152917</v>
      </c>
      <c r="AI19" s="44">
        <f t="shared" si="11"/>
        <v>15402.317626662447</v>
      </c>
      <c r="AJ19" s="44">
        <f t="shared" si="12"/>
        <v>27999.525324049955</v>
      </c>
      <c r="AK19" s="44">
        <f>HLOOKUP(I19,ElecAvoidedCostsWOCC!$A$5:$Q$50,G19+1,FALSE)*J19*L19</f>
        <v>9447.9057730406312</v>
      </c>
      <c r="AL19" s="44">
        <f t="shared" si="13"/>
        <v>18551.619551009324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18551.619551009324</v>
      </c>
      <c r="AN19" s="48">
        <f t="shared" si="14"/>
        <v>20406.781506110259</v>
      </c>
      <c r="AO19" s="47">
        <f t="shared" si="15"/>
        <v>3.1787342345160026</v>
      </c>
      <c r="AP19" s="47">
        <f t="shared" si="16"/>
        <v>1.4863741249720461</v>
      </c>
      <c r="AQ19">
        <v>2021</v>
      </c>
    </row>
    <row r="20" spans="1:43" ht="13.5" customHeight="1">
      <c r="A20" s="59">
        <f>A8+SUM(Q5:Q906)</f>
        <v>25911608.449999981</v>
      </c>
      <c r="B20" s="97" t="s">
        <v>15</v>
      </c>
      <c r="C20" s="100">
        <v>18230628</v>
      </c>
      <c r="D20" s="100" t="s">
        <v>81</v>
      </c>
      <c r="E20" s="38" t="s">
        <v>568</v>
      </c>
      <c r="F20" s="39" t="s">
        <v>569</v>
      </c>
      <c r="G20" s="39">
        <v>6</v>
      </c>
      <c r="H20" s="39">
        <v>12</v>
      </c>
      <c r="I20" s="40" t="s">
        <v>268</v>
      </c>
      <c r="J20" s="41">
        <v>22</v>
      </c>
      <c r="K20" s="41">
        <v>4193</v>
      </c>
      <c r="L20" s="41">
        <v>2096</v>
      </c>
      <c r="M20" s="42">
        <v>2400</v>
      </c>
      <c r="N20" s="42">
        <v>5829.66</v>
      </c>
      <c r="O20" s="43">
        <v>92246</v>
      </c>
      <c r="P20" s="44">
        <v>52800</v>
      </c>
      <c r="Q20" s="44">
        <v>128252.52</v>
      </c>
      <c r="R20" s="45">
        <v>0</v>
      </c>
      <c r="S20" s="46">
        <v>0</v>
      </c>
      <c r="T20" s="39">
        <f t="shared" si="0"/>
        <v>18</v>
      </c>
      <c r="U20" s="47">
        <f t="shared" si="1"/>
        <v>6.2762126017725489E-2</v>
      </c>
      <c r="V20" s="48">
        <f t="shared" si="2"/>
        <v>3429.66</v>
      </c>
      <c r="W20" s="49">
        <f t="shared" si="3"/>
        <v>3.4867847787625268E-3</v>
      </c>
      <c r="X20" s="44">
        <f t="shared" si="4"/>
        <v>4393.7453384058272</v>
      </c>
      <c r="Y20" s="44">
        <f t="shared" si="5"/>
        <v>75452.52</v>
      </c>
      <c r="Z20" s="44">
        <f t="shared" si="6"/>
        <v>44977.103503589504</v>
      </c>
      <c r="AA20" s="50">
        <f t="shared" si="7"/>
        <v>132646.26533840582</v>
      </c>
      <c r="AB20" s="51">
        <f t="shared" si="8"/>
        <v>42046.464900055624</v>
      </c>
      <c r="AC20" s="44">
        <f t="shared" si="8"/>
        <v>124003.23954230701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0.61270729802506985</v>
      </c>
      <c r="AG20" s="44">
        <f t="shared" si="10"/>
        <v>56519.797413620596</v>
      </c>
      <c r="AH20" s="52">
        <f>HLOOKUP(I20,ElecAvoidedCostsWOCC!$A$5:$Q$50,T20+1,FALSE)</f>
        <v>1.6039068652152917</v>
      </c>
      <c r="AI20" s="44">
        <f t="shared" si="11"/>
        <v>73959.353368807526</v>
      </c>
      <c r="AJ20" s="44">
        <f t="shared" si="12"/>
        <v>130479.15078242813</v>
      </c>
      <c r="AK20" s="44">
        <f>HLOOKUP(I20,ElecAvoidedCostsWOCC!$A$5:$Q$50,G20+1,FALSE)*J20*L20</f>
        <v>28253.158926532022</v>
      </c>
      <c r="AL20" s="44">
        <f t="shared" si="13"/>
        <v>102225.99185589611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102225.99185589609</v>
      </c>
      <c r="AN20" s="48">
        <f t="shared" si="14"/>
        <v>112448.59104148571</v>
      </c>
      <c r="AO20" s="47">
        <f t="shared" si="15"/>
        <v>2.4312624640118283</v>
      </c>
      <c r="AP20" s="47">
        <f t="shared" si="16"/>
        <v>0.90681978516473249</v>
      </c>
      <c r="AQ20">
        <v>2021</v>
      </c>
    </row>
    <row r="21" spans="1:43" ht="13.5" customHeight="1">
      <c r="A21" s="58" t="s">
        <v>245</v>
      </c>
      <c r="B21" s="97" t="s">
        <v>15</v>
      </c>
      <c r="C21" s="100">
        <v>18230628</v>
      </c>
      <c r="D21" s="100" t="s">
        <v>81</v>
      </c>
      <c r="E21" s="38" t="s">
        <v>570</v>
      </c>
      <c r="F21" s="39" t="s">
        <v>571</v>
      </c>
      <c r="G21" s="39">
        <v>15</v>
      </c>
      <c r="H21" s="39"/>
      <c r="I21" s="40" t="s">
        <v>268</v>
      </c>
      <c r="J21" s="41">
        <v>7</v>
      </c>
      <c r="K21" s="41">
        <v>3711</v>
      </c>
      <c r="L21" s="41"/>
      <c r="M21" s="42">
        <v>1500</v>
      </c>
      <c r="N21" s="42">
        <v>3190.37</v>
      </c>
      <c r="O21" s="43">
        <v>25977</v>
      </c>
      <c r="P21" s="44">
        <v>10500</v>
      </c>
      <c r="Q21" s="44">
        <v>22332.59</v>
      </c>
      <c r="R21" s="45">
        <v>0</v>
      </c>
      <c r="S21" s="46">
        <v>0</v>
      </c>
      <c r="T21" s="39">
        <f t="shared" si="0"/>
        <v>15</v>
      </c>
      <c r="U21" s="47">
        <f t="shared" si="1"/>
        <v>1.4728477364533015E-2</v>
      </c>
      <c r="V21" s="48">
        <f t="shared" si="2"/>
        <v>1690.37</v>
      </c>
      <c r="W21" s="49">
        <f t="shared" si="3"/>
        <v>9.818984909688677E-4</v>
      </c>
      <c r="X21" s="44">
        <f t="shared" si="4"/>
        <v>1237.303760117167</v>
      </c>
      <c r="Y21" s="44">
        <f t="shared" si="5"/>
        <v>11832.59</v>
      </c>
      <c r="Z21" s="44">
        <f t="shared" si="6"/>
        <v>12665.809007574797</v>
      </c>
      <c r="AA21" s="50">
        <f t="shared" si="7"/>
        <v>23569.893760117167</v>
      </c>
      <c r="AB21" s="51">
        <f t="shared" ref="AB21:AC24" si="18">Z21/(1+ElecDiscountRate)^1</f>
        <v>11840.524453187618</v>
      </c>
      <c r="AC21" s="44">
        <f t="shared" si="18"/>
        <v>22034.11588306737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1.3961506916040443</v>
      </c>
      <c r="AG21" s="44">
        <f t="shared" si="10"/>
        <v>36267.806515798256</v>
      </c>
      <c r="AH21" s="52">
        <f>HLOOKUP(I21,ElecAvoidedCostsWOCC!$A$5:$Q$50,T21+1,FALSE)</f>
        <v>1.3961506916040443</v>
      </c>
      <c r="AI21" s="44">
        <f t="shared" si="11"/>
        <v>0</v>
      </c>
      <c r="AJ21" s="44">
        <f t="shared" si="12"/>
        <v>36267.806515798256</v>
      </c>
      <c r="AK21" s="44">
        <f>HLOOKUP(I21,ElecAvoidedCostsWOCC!$A$5:$Q$50,G21+1,FALSE)*J21*L21</f>
        <v>0</v>
      </c>
      <c r="AL21" s="44">
        <f t="shared" si="13"/>
        <v>36267.806515798256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36267.806515798256</v>
      </c>
      <c r="AN21" s="48">
        <f t="shared" si="14"/>
        <v>39894.587167378086</v>
      </c>
      <c r="AO21" s="47">
        <f t="shared" si="15"/>
        <v>3.063023657371402</v>
      </c>
      <c r="AP21" s="47">
        <f t="shared" si="16"/>
        <v>1.8105826155718827</v>
      </c>
      <c r="AQ21">
        <v>2021</v>
      </c>
    </row>
    <row r="22" spans="1:43" ht="13.5" customHeight="1">
      <c r="A22" s="60">
        <f>(SUM(AM5:AM1000)/(SUM(AB5:AB1000)))</f>
        <v>1.8729283413695716</v>
      </c>
      <c r="B22" s="97" t="s">
        <v>15</v>
      </c>
      <c r="C22" s="100">
        <v>18230628</v>
      </c>
      <c r="D22" s="100" t="s">
        <v>81</v>
      </c>
      <c r="E22" s="38" t="s">
        <v>572</v>
      </c>
      <c r="F22" s="39" t="s">
        <v>571</v>
      </c>
      <c r="G22" s="39">
        <v>6</v>
      </c>
      <c r="H22" s="39">
        <v>12</v>
      </c>
      <c r="I22" s="40" t="s">
        <v>268</v>
      </c>
      <c r="J22" s="41">
        <v>71</v>
      </c>
      <c r="K22" s="41">
        <v>4566</v>
      </c>
      <c r="L22" s="41">
        <v>2283</v>
      </c>
      <c r="M22" s="42">
        <v>1500</v>
      </c>
      <c r="N22" s="42">
        <v>6453.87</v>
      </c>
      <c r="O22" s="43">
        <v>324186</v>
      </c>
      <c r="P22" s="44">
        <v>106500</v>
      </c>
      <c r="Q22" s="44">
        <v>458224.77</v>
      </c>
      <c r="R22" s="45">
        <v>0</v>
      </c>
      <c r="S22" s="46">
        <v>0</v>
      </c>
      <c r="T22" s="39">
        <f t="shared" si="0"/>
        <v>18</v>
      </c>
      <c r="U22" s="47">
        <f t="shared" si="1"/>
        <v>0.22056894158209955</v>
      </c>
      <c r="V22" s="48">
        <f t="shared" si="2"/>
        <v>4953.87</v>
      </c>
      <c r="W22" s="49">
        <f t="shared" si="3"/>
        <v>1.2253830087894419E-2</v>
      </c>
      <c r="X22" s="44">
        <f t="shared" si="4"/>
        <v>15441.219416304571</v>
      </c>
      <c r="Y22" s="44">
        <f t="shared" si="5"/>
        <v>351724.77</v>
      </c>
      <c r="Z22" s="44">
        <f t="shared" si="6"/>
        <v>158065.90287291232</v>
      </c>
      <c r="AA22" s="50">
        <f t="shared" si="7"/>
        <v>473665.98941630457</v>
      </c>
      <c r="AB22" s="51">
        <f t="shared" si="18"/>
        <v>147766.57275209154</v>
      </c>
      <c r="AC22" s="44">
        <f t="shared" si="18"/>
        <v>442802.64505590778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0.61270729802506985</v>
      </c>
      <c r="AG22" s="44">
        <f t="shared" si="10"/>
        <v>198631.12811755529</v>
      </c>
      <c r="AH22" s="52">
        <f>HLOOKUP(I22,ElecAvoidedCostsWOCC!$A$5:$Q$50,T22+1,FALSE)</f>
        <v>1.6039068652152917</v>
      </c>
      <c r="AI22" s="44">
        <f t="shared" si="11"/>
        <v>259982.07550334226</v>
      </c>
      <c r="AJ22" s="44">
        <f t="shared" si="12"/>
        <v>458613.20362089755</v>
      </c>
      <c r="AK22" s="44">
        <f>HLOOKUP(I22,ElecAvoidedCostsWOCC!$A$5:$Q$50,G22+1,FALSE)*J22*L22</f>
        <v>99315.564058777643</v>
      </c>
      <c r="AL22" s="44">
        <f t="shared" si="13"/>
        <v>359297.6395621199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359297.63956211996</v>
      </c>
      <c r="AN22" s="48">
        <f t="shared" si="14"/>
        <v>395227.40351833199</v>
      </c>
      <c r="AO22" s="47">
        <f t="shared" si="15"/>
        <v>2.4315217770186415</v>
      </c>
      <c r="AP22" s="47">
        <f t="shared" si="16"/>
        <v>0.8925588135735526</v>
      </c>
      <c r="AQ22">
        <v>2021</v>
      </c>
    </row>
    <row r="23" spans="1:43" ht="13.5" customHeight="1">
      <c r="A23" s="58" t="s">
        <v>246</v>
      </c>
      <c r="B23" s="97" t="s">
        <v>15</v>
      </c>
      <c r="C23" s="100">
        <v>18230628</v>
      </c>
      <c r="D23" s="100" t="s">
        <v>81</v>
      </c>
      <c r="E23" s="38" t="s">
        <v>573</v>
      </c>
      <c r="F23" s="39" t="s">
        <v>574</v>
      </c>
      <c r="G23" s="39">
        <v>15</v>
      </c>
      <c r="H23" s="39"/>
      <c r="I23" s="40" t="s">
        <v>268</v>
      </c>
      <c r="J23" s="41">
        <v>856</v>
      </c>
      <c r="K23" s="41"/>
      <c r="L23" s="41"/>
      <c r="M23" s="42">
        <v>400</v>
      </c>
      <c r="N23" s="42">
        <v>500</v>
      </c>
      <c r="O23" s="43">
        <v>972832</v>
      </c>
      <c r="P23" s="44">
        <v>342400</v>
      </c>
      <c r="Q23" s="44">
        <v>428000</v>
      </c>
      <c r="R23" s="45">
        <v>0</v>
      </c>
      <c r="S23" s="46">
        <v>0</v>
      </c>
      <c r="T23" s="39">
        <f t="shared" si="0"/>
        <v>15</v>
      </c>
      <c r="U23" s="47">
        <f t="shared" si="1"/>
        <v>0.55157770687505803</v>
      </c>
      <c r="V23" s="48">
        <f t="shared" si="2"/>
        <v>100</v>
      </c>
      <c r="W23" s="49">
        <f t="shared" si="3"/>
        <v>3.6771847125003865E-2</v>
      </c>
      <c r="X23" s="44">
        <f t="shared" si="4"/>
        <v>46336.709071959951</v>
      </c>
      <c r="Y23" s="44">
        <f t="shared" si="5"/>
        <v>85600</v>
      </c>
      <c r="Z23" s="44">
        <f t="shared" si="6"/>
        <v>474331.30494117888</v>
      </c>
      <c r="AA23" s="50">
        <f t="shared" si="7"/>
        <v>474336.70907195995</v>
      </c>
      <c r="AB23" s="51">
        <f t="shared" si="18"/>
        <v>443424.60964866675</v>
      </c>
      <c r="AC23" s="44">
        <f t="shared" si="18"/>
        <v>443429.66165463207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1.3961506916040443</v>
      </c>
      <c r="AG23" s="44">
        <f t="shared" si="10"/>
        <v>0</v>
      </c>
      <c r="AH23" s="52">
        <f>HLOOKUP(I23,ElecAvoidedCostsWOCC!$A$5:$Q$50,T23+1,FALSE)</f>
        <v>1.3961506916040443</v>
      </c>
      <c r="AI23" s="44">
        <f t="shared" si="11"/>
        <v>0</v>
      </c>
      <c r="AJ23" s="44">
        <f t="shared" si="12"/>
        <v>0</v>
      </c>
      <c r="AK23" s="44">
        <f>HLOOKUP(I23,ElecAvoidedCostsWOCC!$A$5:$Q$50,G23+1,FALSE)*J23*L23</f>
        <v>0</v>
      </c>
      <c r="AL23" s="44">
        <f t="shared" si="13"/>
        <v>0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>
        <f t="shared" si="16"/>
        <v>0</v>
      </c>
      <c r="AQ23">
        <v>2021</v>
      </c>
    </row>
    <row r="24" spans="1:43" ht="13.5" customHeight="1">
      <c r="A24" s="60">
        <f>(SUM(AN5:AN1000)/SUM(AC5:AC1000))</f>
        <v>1.0445533531388334</v>
      </c>
      <c r="B24" s="97" t="s">
        <v>15</v>
      </c>
      <c r="C24" s="100">
        <v>18230628</v>
      </c>
      <c r="D24" s="100" t="s">
        <v>81</v>
      </c>
      <c r="E24" s="38" t="s">
        <v>575</v>
      </c>
      <c r="F24" s="39" t="s">
        <v>576</v>
      </c>
      <c r="G24" s="39">
        <v>15</v>
      </c>
      <c r="H24" s="39"/>
      <c r="I24" s="40" t="s">
        <v>268</v>
      </c>
      <c r="J24" s="41">
        <v>225</v>
      </c>
      <c r="K24" s="41"/>
      <c r="L24" s="41"/>
      <c r="M24" s="42">
        <v>400</v>
      </c>
      <c r="N24" s="42">
        <v>500</v>
      </c>
      <c r="O24" s="43">
        <v>247993</v>
      </c>
      <c r="P24" s="44">
        <v>90800</v>
      </c>
      <c r="Q24" s="44">
        <v>112500</v>
      </c>
      <c r="R24" s="45">
        <v>0</v>
      </c>
      <c r="S24" s="46">
        <v>0</v>
      </c>
      <c r="T24" s="39">
        <f t="shared" si="0"/>
        <v>15</v>
      </c>
      <c r="U24" s="47">
        <f t="shared" si="1"/>
        <v>0.14060743300083289</v>
      </c>
      <c r="V24" s="48">
        <f t="shared" si="2"/>
        <v>100</v>
      </c>
      <c r="W24" s="49">
        <f t="shared" si="3"/>
        <v>9.373828866722193E-3</v>
      </c>
      <c r="X24" s="44">
        <f t="shared" si="4"/>
        <v>11812.090363888694</v>
      </c>
      <c r="Y24" s="44">
        <f t="shared" si="5"/>
        <v>21700</v>
      </c>
      <c r="Z24" s="44">
        <f t="shared" si="6"/>
        <v>120915.88609983819</v>
      </c>
      <c r="AA24" s="50">
        <f t="shared" si="7"/>
        <v>124312.0903638887</v>
      </c>
      <c r="AB24" s="51">
        <f t="shared" si="18"/>
        <v>113037.19369901672</v>
      </c>
      <c r="AC24" s="44">
        <f t="shared" si="18"/>
        <v>116212.1065381777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1.3961506916040443</v>
      </c>
      <c r="AG24" s="44">
        <f t="shared" si="10"/>
        <v>0</v>
      </c>
      <c r="AH24" s="52">
        <f>HLOOKUP(I24,ElecAvoidedCostsWOCC!$A$5:$Q$50,T24+1,FALSE)</f>
        <v>1.3961506916040443</v>
      </c>
      <c r="AI24" s="44">
        <f t="shared" si="11"/>
        <v>0</v>
      </c>
      <c r="AJ24" s="44">
        <f t="shared" si="12"/>
        <v>0</v>
      </c>
      <c r="AK24" s="44">
        <f>HLOOKUP(I24,ElecAvoidedCostsWOCC!$A$5:$Q$50,G24+1,FALSE)*J24*L24</f>
        <v>0</v>
      </c>
      <c r="AL24" s="44">
        <f t="shared" si="13"/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>
        <f t="shared" si="16"/>
        <v>0</v>
      </c>
      <c r="AQ24">
        <v>2021</v>
      </c>
    </row>
    <row r="25" spans="1:43" ht="13.5" customHeight="1">
      <c r="B25" s="97" t="s">
        <v>15</v>
      </c>
      <c r="C25" s="100">
        <v>18230628</v>
      </c>
      <c r="D25" s="100" t="s">
        <v>81</v>
      </c>
      <c r="E25" s="38" t="s">
        <v>577</v>
      </c>
      <c r="F25" s="39" t="s">
        <v>578</v>
      </c>
      <c r="G25" s="39">
        <v>15</v>
      </c>
      <c r="H25" s="39"/>
      <c r="I25" s="40" t="s">
        <v>268</v>
      </c>
      <c r="J25" s="41">
        <v>1701</v>
      </c>
      <c r="K25" s="41"/>
      <c r="L25" s="41"/>
      <c r="M25" s="42">
        <v>600</v>
      </c>
      <c r="N25" s="42">
        <v>840</v>
      </c>
      <c r="O25" s="43">
        <v>2635157</v>
      </c>
      <c r="P25" s="44">
        <v>1020600</v>
      </c>
      <c r="Q25" s="44">
        <v>1428840</v>
      </c>
      <c r="R25" s="45">
        <v>0</v>
      </c>
      <c r="S25" s="46">
        <v>0</v>
      </c>
      <c r="T25" s="39">
        <f t="shared" ref="T25:T52" si="19">G25+H25</f>
        <v>15</v>
      </c>
      <c r="U25" s="47">
        <f t="shared" ref="U25:U52" si="20">(O25/$A$10)*T25</f>
        <v>1.494085160968962</v>
      </c>
      <c r="V25" s="48">
        <f t="shared" ref="V25:V52" si="21">N25-M25</f>
        <v>240</v>
      </c>
      <c r="W25" s="49">
        <f t="shared" ref="W25:W52" si="22">(O25/A$10)</f>
        <v>9.9605677397930803E-2</v>
      </c>
      <c r="X25" s="44">
        <f t="shared" ref="X25:X52" si="23">W25*A$8</f>
        <v>125514.48067902657</v>
      </c>
      <c r="Y25" s="44">
        <f t="shared" ref="Y25:Y52" si="24">Q25-P25</f>
        <v>408240</v>
      </c>
      <c r="Z25" s="44">
        <f t="shared" ref="Z25:Z52" si="25">X25+(A$6*W25)</f>
        <v>1284844.1031286824</v>
      </c>
      <c r="AA25" s="50">
        <f t="shared" ref="AA25:AA52" si="26">Q25+X25</f>
        <v>1554354.4806790266</v>
      </c>
      <c r="AB25" s="51">
        <f t="shared" ref="AB25:AB52" si="27">Z25/(1+ElecDiscountRate)^1</f>
        <v>1201125.6456283838</v>
      </c>
      <c r="AC25" s="44">
        <f t="shared" ref="AC25:AC52" si="28">AA25/(1+ElecDiscountRate)^1</f>
        <v>1453075.1431981176</v>
      </c>
      <c r="AD25" s="44">
        <f t="shared" ref="AD25:AD52" si="29">-PV(ElecDiscountRate,T25,R25)*J25</f>
        <v>0</v>
      </c>
      <c r="AE25" s="44">
        <f t="shared" ref="AE25:AE52" si="30">-PV(ElecDiscountRate,T25,S25)*J25</f>
        <v>0</v>
      </c>
      <c r="AF25" s="52">
        <f>HLOOKUP(I25,ElecAvoidedCostsWOCC!$A$5:$Q$50,G25+1,FALSE)</f>
        <v>1.3961506916040443</v>
      </c>
      <c r="AG25" s="44">
        <f t="shared" ref="AG25:AG52" si="31">AF25*J25*K25</f>
        <v>0</v>
      </c>
      <c r="AH25" s="52">
        <f>HLOOKUP(I25,ElecAvoidedCostsWOCC!$A$5:$Q$50,T25+1,FALSE)</f>
        <v>1.3961506916040443</v>
      </c>
      <c r="AI25" s="44">
        <f t="shared" ref="AI25:AI52" si="32">AH25*J25*L25</f>
        <v>0</v>
      </c>
      <c r="AJ25" s="44">
        <f t="shared" ref="AJ25:AJ52" si="33">AG25+AI25</f>
        <v>0</v>
      </c>
      <c r="AK25" s="44">
        <f>HLOOKUP(I25,ElecAvoidedCostsWOCC!$A$5:$Q$50,G25+1,FALSE)*J25*L25</f>
        <v>0</v>
      </c>
      <c r="AL25" s="44">
        <f t="shared" ref="AL25:AL52" si="34">AG25+AI25-AK25</f>
        <v>0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52" si="35">AM25*1.1+AD25+AE25</f>
        <v>0</v>
      </c>
      <c r="AO25" s="47">
        <f t="shared" ref="AO25:AO52" si="36">IFERROR(AM25/AB25,0)</f>
        <v>0</v>
      </c>
      <c r="AP25" s="47">
        <f t="shared" ref="AP25:AP52" si="37">AN25/AC25</f>
        <v>0</v>
      </c>
      <c r="AQ25">
        <v>2021</v>
      </c>
    </row>
    <row r="26" spans="1:43" ht="13.5" customHeight="1">
      <c r="B26" s="97" t="s">
        <v>15</v>
      </c>
      <c r="C26" s="100">
        <v>18230628</v>
      </c>
      <c r="D26" s="100" t="s">
        <v>81</v>
      </c>
      <c r="E26" s="38" t="s">
        <v>579</v>
      </c>
      <c r="F26" s="39" t="s">
        <v>580</v>
      </c>
      <c r="G26" s="39">
        <v>15</v>
      </c>
      <c r="H26" s="39"/>
      <c r="I26" s="40" t="s">
        <v>268</v>
      </c>
      <c r="J26" s="41">
        <v>277</v>
      </c>
      <c r="K26" s="41"/>
      <c r="L26" s="41"/>
      <c r="M26" s="42">
        <v>600</v>
      </c>
      <c r="N26" s="42">
        <v>840</v>
      </c>
      <c r="O26" s="43">
        <v>453319</v>
      </c>
      <c r="P26" s="44">
        <v>180600</v>
      </c>
      <c r="Q26" s="44">
        <v>232680</v>
      </c>
      <c r="R26" s="45">
        <v>0</v>
      </c>
      <c r="S26" s="46">
        <v>0</v>
      </c>
      <c r="T26" s="39">
        <f t="shared" si="19"/>
        <v>15</v>
      </c>
      <c r="U26" s="47">
        <f t="shared" si="20"/>
        <v>0.257023468083795</v>
      </c>
      <c r="V26" s="48">
        <f t="shared" si="21"/>
        <v>240</v>
      </c>
      <c r="W26" s="49">
        <f t="shared" si="22"/>
        <v>1.7134897872252999E-2</v>
      </c>
      <c r="X26" s="44">
        <f t="shared" si="23"/>
        <v>21591.919899624823</v>
      </c>
      <c r="Y26" s="44">
        <f t="shared" si="24"/>
        <v>52080</v>
      </c>
      <c r="Z26" s="44">
        <f t="shared" si="25"/>
        <v>221028.28939079953</v>
      </c>
      <c r="AA26" s="50">
        <f t="shared" si="26"/>
        <v>254271.91989962483</v>
      </c>
      <c r="AB26" s="51">
        <f t="shared" si="27"/>
        <v>206626.42740095308</v>
      </c>
      <c r="AC26" s="44">
        <f t="shared" si="28"/>
        <v>237703.95428589772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1.3961506916040443</v>
      </c>
      <c r="AG26" s="44">
        <f t="shared" si="31"/>
        <v>0</v>
      </c>
      <c r="AH26" s="52">
        <f>HLOOKUP(I26,ElecAvoidedCostsWOCC!$A$5:$Q$50,T26+1,FALSE)</f>
        <v>1.3961506916040443</v>
      </c>
      <c r="AI26" s="44">
        <f t="shared" si="32"/>
        <v>0</v>
      </c>
      <c r="AJ26" s="44">
        <f t="shared" si="33"/>
        <v>0</v>
      </c>
      <c r="AK26" s="44">
        <f>HLOOKUP(I26,ElecAvoidedCostsWOCC!$A$5:$Q$50,G26+1,FALSE)*J26*L26</f>
        <v>0</v>
      </c>
      <c r="AL26" s="44">
        <f t="shared" si="34"/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>
        <f t="shared" si="37"/>
        <v>0</v>
      </c>
      <c r="AQ26">
        <v>2021</v>
      </c>
    </row>
    <row r="27" spans="1:43" ht="13.5" customHeight="1">
      <c r="B27" s="97" t="s">
        <v>15</v>
      </c>
      <c r="C27" s="100">
        <v>18230628</v>
      </c>
      <c r="D27" s="100" t="s">
        <v>81</v>
      </c>
      <c r="E27" s="38" t="s">
        <v>581</v>
      </c>
      <c r="F27" s="39" t="s">
        <v>582</v>
      </c>
      <c r="G27" s="39">
        <v>15</v>
      </c>
      <c r="H27" s="39"/>
      <c r="I27" s="40" t="s">
        <v>268</v>
      </c>
      <c r="J27" s="41">
        <v>2</v>
      </c>
      <c r="K27" s="41"/>
      <c r="L27" s="41"/>
      <c r="M27" s="42">
        <v>500</v>
      </c>
      <c r="N27" s="42">
        <v>592</v>
      </c>
      <c r="O27" s="43">
        <v>17062</v>
      </c>
      <c r="P27" s="44">
        <v>1000</v>
      </c>
      <c r="Q27" s="44">
        <v>1184</v>
      </c>
      <c r="R27" s="45">
        <v>0</v>
      </c>
      <c r="S27" s="46">
        <v>0</v>
      </c>
      <c r="T27" s="39">
        <f t="shared" si="19"/>
        <v>15</v>
      </c>
      <c r="U27" s="47">
        <f t="shared" si="20"/>
        <v>9.6738376561443691E-3</v>
      </c>
      <c r="V27" s="48">
        <f t="shared" si="21"/>
        <v>92</v>
      </c>
      <c r="W27" s="49">
        <f t="shared" si="22"/>
        <v>6.4492251040962464E-4</v>
      </c>
      <c r="X27" s="44">
        <f t="shared" si="23"/>
        <v>812.67570370401131</v>
      </c>
      <c r="Y27" s="44">
        <f t="shared" si="24"/>
        <v>184</v>
      </c>
      <c r="Z27" s="44">
        <f t="shared" si="25"/>
        <v>8319.0527500189073</v>
      </c>
      <c r="AA27" s="50">
        <f t="shared" si="26"/>
        <v>1996.6757037040113</v>
      </c>
      <c r="AB27" s="51">
        <f t="shared" si="27"/>
        <v>7776.9961204252659</v>
      </c>
      <c r="AC27" s="44">
        <f t="shared" si="28"/>
        <v>1866.5753984332159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1.3961506916040443</v>
      </c>
      <c r="AG27" s="44">
        <f t="shared" si="31"/>
        <v>0</v>
      </c>
      <c r="AH27" s="52">
        <f>HLOOKUP(I27,ElecAvoidedCostsWOCC!$A$5:$Q$50,T27+1,FALSE)</f>
        <v>1.3961506916040443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>
        <f t="shared" si="37"/>
        <v>0</v>
      </c>
      <c r="AQ27">
        <v>2021</v>
      </c>
    </row>
    <row r="28" spans="1:43" ht="13.5" customHeight="1">
      <c r="B28" s="97" t="s">
        <v>15</v>
      </c>
      <c r="C28" s="100">
        <v>18230628</v>
      </c>
      <c r="D28" s="100" t="s">
        <v>81</v>
      </c>
      <c r="E28" s="38" t="s">
        <v>583</v>
      </c>
      <c r="F28" s="39" t="s">
        <v>584</v>
      </c>
      <c r="G28" s="39">
        <v>15</v>
      </c>
      <c r="H28" s="39"/>
      <c r="I28" s="40" t="s">
        <v>268</v>
      </c>
      <c r="J28" s="41">
        <v>603</v>
      </c>
      <c r="K28" s="41"/>
      <c r="L28" s="41"/>
      <c r="M28" s="42">
        <v>300</v>
      </c>
      <c r="N28" s="42">
        <v>450</v>
      </c>
      <c r="O28" s="43">
        <v>2671944</v>
      </c>
      <c r="P28" s="44">
        <v>180900</v>
      </c>
      <c r="Q28" s="44">
        <v>271350</v>
      </c>
      <c r="R28" s="45">
        <v>0</v>
      </c>
      <c r="S28" s="46">
        <v>0</v>
      </c>
      <c r="T28" s="39">
        <f t="shared" si="19"/>
        <v>15</v>
      </c>
      <c r="U28" s="47">
        <f t="shared" si="20"/>
        <v>1.514942707906987</v>
      </c>
      <c r="V28" s="48">
        <f t="shared" si="21"/>
        <v>150</v>
      </c>
      <c r="W28" s="49">
        <f t="shared" si="22"/>
        <v>0.10099618052713247</v>
      </c>
      <c r="X28" s="44">
        <f t="shared" si="23"/>
        <v>127266.67274983652</v>
      </c>
      <c r="Y28" s="44">
        <f t="shared" si="24"/>
        <v>90450</v>
      </c>
      <c r="Z28" s="44">
        <f t="shared" si="25"/>
        <v>1302780.6283610668</v>
      </c>
      <c r="AA28" s="50">
        <f t="shared" si="26"/>
        <v>398616.67274983652</v>
      </c>
      <c r="AB28" s="51">
        <f t="shared" si="27"/>
        <v>1217893.4545770464</v>
      </c>
      <c r="AC28" s="44">
        <f t="shared" si="28"/>
        <v>372643.42596039682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1.3961506916040443</v>
      </c>
      <c r="AG28" s="44">
        <f t="shared" si="31"/>
        <v>0</v>
      </c>
      <c r="AH28" s="52">
        <f>HLOOKUP(I28,ElecAvoidedCostsWOCC!$A$5:$Q$50,T28+1,FALSE)</f>
        <v>1.3961506916040443</v>
      </c>
      <c r="AI28" s="44">
        <f t="shared" si="32"/>
        <v>0</v>
      </c>
      <c r="AJ28" s="44">
        <f t="shared" si="33"/>
        <v>0</v>
      </c>
      <c r="AK28" s="44">
        <f>HLOOKUP(I28,ElecAvoidedCostsWOCC!$A$5:$Q$50,G28+1,FALSE)*J28*L28</f>
        <v>0</v>
      </c>
      <c r="AL28" s="44">
        <f t="shared" si="34"/>
        <v>0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>
        <f t="shared" si="37"/>
        <v>0</v>
      </c>
      <c r="AQ28">
        <v>2021</v>
      </c>
    </row>
    <row r="29" spans="1:43">
      <c r="B29" s="97" t="s">
        <v>15</v>
      </c>
      <c r="C29" s="100">
        <v>18230628</v>
      </c>
      <c r="D29" s="100" t="s">
        <v>81</v>
      </c>
      <c r="E29" s="38" t="s">
        <v>585</v>
      </c>
      <c r="F29" s="39" t="s">
        <v>586</v>
      </c>
      <c r="G29" s="39">
        <v>15</v>
      </c>
      <c r="H29" s="39"/>
      <c r="I29" s="40" t="s">
        <v>268</v>
      </c>
      <c r="J29" s="41">
        <v>35</v>
      </c>
      <c r="K29" s="41"/>
      <c r="L29" s="41"/>
      <c r="M29" s="42">
        <v>300</v>
      </c>
      <c r="N29" s="42">
        <v>450</v>
      </c>
      <c r="O29" s="43">
        <v>10611</v>
      </c>
      <c r="P29" s="44">
        <v>10500</v>
      </c>
      <c r="Q29" s="44">
        <v>15750</v>
      </c>
      <c r="R29" s="45">
        <v>0</v>
      </c>
      <c r="S29" s="46">
        <v>0</v>
      </c>
      <c r="T29" s="39">
        <f t="shared" si="19"/>
        <v>15</v>
      </c>
      <c r="U29" s="47">
        <f t="shared" si="20"/>
        <v>6.0162402631196762E-3</v>
      </c>
      <c r="V29" s="48">
        <f t="shared" si="21"/>
        <v>150</v>
      </c>
      <c r="W29" s="49">
        <f t="shared" si="22"/>
        <v>4.0108268420797839E-4</v>
      </c>
      <c r="X29" s="44">
        <f t="shared" si="23"/>
        <v>505.40979322490119</v>
      </c>
      <c r="Y29" s="44">
        <f t="shared" si="24"/>
        <v>5250</v>
      </c>
      <c r="Z29" s="44">
        <f t="shared" si="25"/>
        <v>5173.6882388026397</v>
      </c>
      <c r="AA29" s="50">
        <f t="shared" si="26"/>
        <v>16255.409793224901</v>
      </c>
      <c r="AB29" s="51">
        <f t="shared" si="27"/>
        <v>4836.5787031902773</v>
      </c>
      <c r="AC29" s="44">
        <f t="shared" si="28"/>
        <v>15196.232395274281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1.3961506916040443</v>
      </c>
      <c r="AG29" s="44">
        <f t="shared" si="31"/>
        <v>0</v>
      </c>
      <c r="AH29" s="52">
        <f>HLOOKUP(I29,ElecAvoidedCostsWOCC!$A$5:$Q$50,T29+1,FALSE)</f>
        <v>1.3961506916040443</v>
      </c>
      <c r="AI29" s="44">
        <f t="shared" si="32"/>
        <v>0</v>
      </c>
      <c r="AJ29" s="44">
        <f t="shared" si="33"/>
        <v>0</v>
      </c>
      <c r="AK29" s="44">
        <f>HLOOKUP(I29,ElecAvoidedCostsWOCC!$A$5:$Q$50,G29+1,FALSE)*J29*L29</f>
        <v>0</v>
      </c>
      <c r="AL29" s="44">
        <f t="shared" si="34"/>
        <v>0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>
        <f t="shared" si="37"/>
        <v>0</v>
      </c>
      <c r="AQ29">
        <v>2021</v>
      </c>
    </row>
    <row r="30" spans="1:43">
      <c r="B30" s="97" t="s">
        <v>15</v>
      </c>
      <c r="C30" s="100">
        <v>18230628</v>
      </c>
      <c r="D30" s="100" t="s">
        <v>81</v>
      </c>
      <c r="E30" s="38" t="s">
        <v>587</v>
      </c>
      <c r="F30" s="39" t="s">
        <v>588</v>
      </c>
      <c r="G30" s="39">
        <v>15</v>
      </c>
      <c r="H30" s="39"/>
      <c r="I30" s="40" t="s">
        <v>268</v>
      </c>
      <c r="J30" s="41">
        <v>551</v>
      </c>
      <c r="K30" s="41"/>
      <c r="L30" s="41"/>
      <c r="M30" s="42">
        <v>500</v>
      </c>
      <c r="N30" s="42">
        <v>732</v>
      </c>
      <c r="O30" s="43">
        <v>3208085</v>
      </c>
      <c r="P30" s="44">
        <v>275500</v>
      </c>
      <c r="Q30" s="44">
        <v>403332</v>
      </c>
      <c r="R30" s="45">
        <v>0</v>
      </c>
      <c r="S30" s="46">
        <v>0</v>
      </c>
      <c r="T30" s="39">
        <f t="shared" si="19"/>
        <v>15</v>
      </c>
      <c r="U30" s="47">
        <f t="shared" si="20"/>
        <v>1.81892471440112</v>
      </c>
      <c r="V30" s="48">
        <f t="shared" si="21"/>
        <v>232</v>
      </c>
      <c r="W30" s="49">
        <f t="shared" si="22"/>
        <v>0.12126164762674134</v>
      </c>
      <c r="X30" s="44">
        <f t="shared" si="23"/>
        <v>152803.46588426229</v>
      </c>
      <c r="Y30" s="44">
        <f t="shared" si="24"/>
        <v>127832</v>
      </c>
      <c r="Z30" s="44">
        <f t="shared" si="25"/>
        <v>1564191.0878879621</v>
      </c>
      <c r="AA30" s="50">
        <f t="shared" si="26"/>
        <v>556135.46588426223</v>
      </c>
      <c r="AB30" s="51">
        <f t="shared" si="27"/>
        <v>1462270.8122725643</v>
      </c>
      <c r="AC30" s="44">
        <f t="shared" si="28"/>
        <v>519898.5377996281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1.3961506916040443</v>
      </c>
      <c r="AG30" s="44">
        <f t="shared" si="31"/>
        <v>0</v>
      </c>
      <c r="AH30" s="52">
        <f>HLOOKUP(I30,ElecAvoidedCostsWOCC!$A$5:$Q$50,T30+1,FALSE)</f>
        <v>1.3961506916040443</v>
      </c>
      <c r="AI30" s="44">
        <f t="shared" si="32"/>
        <v>0</v>
      </c>
      <c r="AJ30" s="44">
        <f t="shared" si="33"/>
        <v>0</v>
      </c>
      <c r="AK30" s="44">
        <f>HLOOKUP(I30,ElecAvoidedCostsWOCC!$A$5:$Q$50,G30+1,FALSE)*J30*L30</f>
        <v>0</v>
      </c>
      <c r="AL30" s="44">
        <f t="shared" si="34"/>
        <v>0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>
        <f t="shared" si="37"/>
        <v>0</v>
      </c>
      <c r="AQ30">
        <v>2021</v>
      </c>
    </row>
    <row r="31" spans="1:43">
      <c r="B31" s="97" t="s">
        <v>15</v>
      </c>
      <c r="C31" s="100">
        <v>18230628</v>
      </c>
      <c r="D31" s="100" t="s">
        <v>81</v>
      </c>
      <c r="E31" s="38" t="s">
        <v>589</v>
      </c>
      <c r="F31" s="39" t="s">
        <v>590</v>
      </c>
      <c r="G31" s="39">
        <v>15</v>
      </c>
      <c r="H31" s="39"/>
      <c r="I31" s="40" t="s">
        <v>268</v>
      </c>
      <c r="J31" s="41">
        <v>52</v>
      </c>
      <c r="K31" s="41"/>
      <c r="L31" s="41"/>
      <c r="M31" s="42">
        <v>500</v>
      </c>
      <c r="N31" s="42">
        <v>732</v>
      </c>
      <c r="O31" s="43">
        <v>64459</v>
      </c>
      <c r="P31" s="44">
        <v>26000</v>
      </c>
      <c r="Q31" s="44">
        <v>38064</v>
      </c>
      <c r="R31" s="45">
        <v>0</v>
      </c>
      <c r="S31" s="46">
        <v>0</v>
      </c>
      <c r="T31" s="39">
        <f t="shared" si="19"/>
        <v>15</v>
      </c>
      <c r="U31" s="47">
        <f t="shared" si="20"/>
        <v>3.6547057875829909E-2</v>
      </c>
      <c r="V31" s="48">
        <f t="shared" si="21"/>
        <v>232</v>
      </c>
      <c r="W31" s="49">
        <f t="shared" si="22"/>
        <v>2.4364705250553274E-3</v>
      </c>
      <c r="X31" s="44">
        <f t="shared" si="23"/>
        <v>3070.2299369978236</v>
      </c>
      <c r="Y31" s="44">
        <f t="shared" si="24"/>
        <v>12064</v>
      </c>
      <c r="Z31" s="44">
        <f t="shared" si="25"/>
        <v>31428.778643386988</v>
      </c>
      <c r="AA31" s="50">
        <f t="shared" si="26"/>
        <v>41134.229936997821</v>
      </c>
      <c r="AB31" s="51">
        <f t="shared" si="27"/>
        <v>29380.927964276885</v>
      </c>
      <c r="AC31" s="44">
        <f t="shared" si="28"/>
        <v>38453.987040289627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1.3961506916040443</v>
      </c>
      <c r="AG31" s="44">
        <f t="shared" si="31"/>
        <v>0</v>
      </c>
      <c r="AH31" s="52">
        <f>HLOOKUP(I31,ElecAvoidedCostsWOCC!$A$5:$Q$50,T31+1,FALSE)</f>
        <v>1.3961506916040443</v>
      </c>
      <c r="AI31" s="44">
        <f t="shared" si="32"/>
        <v>0</v>
      </c>
      <c r="AJ31" s="44">
        <f t="shared" si="33"/>
        <v>0</v>
      </c>
      <c r="AK31" s="44">
        <f>HLOOKUP(I31,ElecAvoidedCostsWOCC!$A$5:$Q$50,G31+1,FALSE)*J31*L31</f>
        <v>0</v>
      </c>
      <c r="AL31" s="44">
        <f t="shared" si="34"/>
        <v>0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>
        <f t="shared" si="37"/>
        <v>0</v>
      </c>
      <c r="AQ31">
        <v>2021</v>
      </c>
    </row>
    <row r="32" spans="1:43">
      <c r="B32" s="97" t="s">
        <v>15</v>
      </c>
      <c r="C32" s="100">
        <v>18230628</v>
      </c>
      <c r="D32" s="100" t="s">
        <v>81</v>
      </c>
      <c r="E32" s="38" t="s">
        <v>591</v>
      </c>
      <c r="F32" s="39" t="s">
        <v>592</v>
      </c>
      <c r="G32" s="39"/>
      <c r="H32" s="39"/>
      <c r="I32" s="40"/>
      <c r="J32" s="41">
        <v>1062</v>
      </c>
      <c r="K32" s="41">
        <v>0</v>
      </c>
      <c r="L32" s="41"/>
      <c r="M32" s="42">
        <v>50</v>
      </c>
      <c r="N32" s="42">
        <v>50</v>
      </c>
      <c r="O32" s="43">
        <v>0</v>
      </c>
      <c r="P32" s="44">
        <v>53100</v>
      </c>
      <c r="Q32" s="44">
        <v>53100</v>
      </c>
      <c r="R32" s="45">
        <v>0</v>
      </c>
      <c r="S32" s="46">
        <v>0</v>
      </c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53100</v>
      </c>
      <c r="AB32" s="51">
        <f t="shared" si="27"/>
        <v>0</v>
      </c>
      <c r="AC32" s="44">
        <f t="shared" si="28"/>
        <v>49640.086005422076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>
        <f t="shared" si="37"/>
        <v>0</v>
      </c>
      <c r="AQ32">
        <v>2021</v>
      </c>
    </row>
    <row r="33" spans="2:43">
      <c r="B33" s="97" t="s">
        <v>15</v>
      </c>
      <c r="C33" s="100">
        <v>18230628</v>
      </c>
      <c r="D33" s="100" t="s">
        <v>81</v>
      </c>
      <c r="E33" s="38" t="s">
        <v>593</v>
      </c>
      <c r="F33" s="39" t="s">
        <v>592</v>
      </c>
      <c r="G33" s="39"/>
      <c r="H33" s="39"/>
      <c r="I33" s="40"/>
      <c r="J33" s="41">
        <v>3266</v>
      </c>
      <c r="K33" s="41">
        <v>0</v>
      </c>
      <c r="L33" s="41"/>
      <c r="M33" s="42">
        <v>50</v>
      </c>
      <c r="N33" s="42">
        <v>0</v>
      </c>
      <c r="O33" s="43">
        <v>0</v>
      </c>
      <c r="P33" s="44">
        <v>163300</v>
      </c>
      <c r="Q33" s="44">
        <v>0</v>
      </c>
      <c r="R33" s="45">
        <v>0</v>
      </c>
      <c r="S33" s="46">
        <v>0</v>
      </c>
      <c r="T33" s="39">
        <f t="shared" si="19"/>
        <v>0</v>
      </c>
      <c r="U33" s="47">
        <f t="shared" si="20"/>
        <v>0</v>
      </c>
      <c r="V33" s="48">
        <f t="shared" si="21"/>
        <v>-50</v>
      </c>
      <c r="W33" s="49">
        <f t="shared" si="22"/>
        <v>0</v>
      </c>
      <c r="X33" s="44">
        <f t="shared" si="23"/>
        <v>0</v>
      </c>
      <c r="Y33" s="44">
        <f t="shared" si="24"/>
        <v>-163300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  <c r="AQ33">
        <v>2021</v>
      </c>
    </row>
    <row r="34" spans="2:43">
      <c r="B34" s="97" t="s">
        <v>15</v>
      </c>
      <c r="C34" s="61">
        <v>18230628</v>
      </c>
      <c r="D34" s="61" t="s">
        <v>81</v>
      </c>
      <c r="E34" s="38" t="s">
        <v>1862</v>
      </c>
      <c r="F34" s="39" t="s">
        <v>1863</v>
      </c>
      <c r="G34" s="39">
        <v>15</v>
      </c>
      <c r="H34" s="39"/>
      <c r="I34" s="40" t="s">
        <v>268</v>
      </c>
      <c r="J34" s="41">
        <v>4</v>
      </c>
      <c r="K34" s="41">
        <v>2659</v>
      </c>
      <c r="L34" s="41"/>
      <c r="M34" s="42">
        <v>800</v>
      </c>
      <c r="N34" s="42">
        <v>3978</v>
      </c>
      <c r="O34" s="43">
        <v>10636</v>
      </c>
      <c r="P34" s="44">
        <v>3200</v>
      </c>
      <c r="Q34" s="44">
        <v>15912</v>
      </c>
      <c r="R34" s="45">
        <v>159.04</v>
      </c>
      <c r="S34" s="46">
        <v>0</v>
      </c>
      <c r="T34" s="39">
        <f t="shared" si="19"/>
        <v>15</v>
      </c>
      <c r="U34" s="47">
        <f t="shared" si="20"/>
        <v>6.0304147995986126E-3</v>
      </c>
      <c r="V34" s="48">
        <f t="shared" si="21"/>
        <v>3178</v>
      </c>
      <c r="W34" s="49">
        <f t="shared" si="22"/>
        <v>4.0202765330657415E-4</v>
      </c>
      <c r="X34" s="44">
        <f t="shared" si="23"/>
        <v>506.60056175101772</v>
      </c>
      <c r="Y34" s="44">
        <f t="shared" si="24"/>
        <v>12712</v>
      </c>
      <c r="Z34" s="44">
        <f t="shared" si="25"/>
        <v>5185.8776842809239</v>
      </c>
      <c r="AA34" s="50">
        <f t="shared" si="26"/>
        <v>16418.600561751016</v>
      </c>
      <c r="AB34" s="51">
        <f t="shared" si="27"/>
        <v>4847.9739032260668</v>
      </c>
      <c r="AC34" s="44">
        <f t="shared" si="28"/>
        <v>15348.789905348242</v>
      </c>
      <c r="AD34" s="44">
        <f t="shared" si="29"/>
        <v>5805.0854999034964</v>
      </c>
      <c r="AE34" s="44">
        <f t="shared" si="30"/>
        <v>0</v>
      </c>
      <c r="AF34" s="52">
        <f>HLOOKUP(I34,ElecAvoidedCostsWOCC!$A$5:$Q$50,G34+1,FALSE)</f>
        <v>1.3961506916040443</v>
      </c>
      <c r="AG34" s="44">
        <f t="shared" si="31"/>
        <v>14849.458755900614</v>
      </c>
      <c r="AH34" s="52">
        <f>HLOOKUP(I34,ElecAvoidedCostsWOCC!$A$5:$Q$50,T34+1,FALSE)</f>
        <v>1.3961506916040443</v>
      </c>
      <c r="AI34" s="44">
        <f t="shared" si="32"/>
        <v>0</v>
      </c>
      <c r="AJ34" s="44">
        <f t="shared" si="33"/>
        <v>14849.458755900614</v>
      </c>
      <c r="AK34" s="44">
        <f>HLOOKUP(I34,ElecAvoidedCostsWOCC!$A$5:$Q$50,G34+1,FALSE)*J34*L34</f>
        <v>0</v>
      </c>
      <c r="AL34" s="44">
        <f t="shared" si="34"/>
        <v>14849.458755900614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14849.458755900614</v>
      </c>
      <c r="AN34" s="48">
        <f t="shared" si="35"/>
        <v>22139.490131394174</v>
      </c>
      <c r="AO34" s="47">
        <f t="shared" si="36"/>
        <v>3.0630236573714011</v>
      </c>
      <c r="AP34" s="47">
        <f t="shared" si="37"/>
        <v>1.442425772189359</v>
      </c>
      <c r="AQ34">
        <v>2020</v>
      </c>
    </row>
    <row r="35" spans="2:43">
      <c r="B35" s="97" t="s">
        <v>15</v>
      </c>
      <c r="C35" s="61">
        <v>18230629</v>
      </c>
      <c r="D35" s="61" t="s">
        <v>81</v>
      </c>
      <c r="E35" s="38" t="s">
        <v>1864</v>
      </c>
      <c r="F35" s="39" t="s">
        <v>1865</v>
      </c>
      <c r="G35" s="39">
        <v>15</v>
      </c>
      <c r="H35" s="39"/>
      <c r="I35" s="40" t="s">
        <v>268</v>
      </c>
      <c r="J35" s="41">
        <v>1</v>
      </c>
      <c r="K35" s="41">
        <v>3528</v>
      </c>
      <c r="L35" s="41"/>
      <c r="M35" s="42">
        <v>1500</v>
      </c>
      <c r="N35" s="42">
        <v>4859</v>
      </c>
      <c r="O35" s="43">
        <v>3528</v>
      </c>
      <c r="P35" s="44">
        <v>1500</v>
      </c>
      <c r="Q35" s="44">
        <v>4859</v>
      </c>
      <c r="R35" s="45">
        <v>0</v>
      </c>
      <c r="S35" s="46">
        <v>0</v>
      </c>
      <c r="T35" s="39">
        <f t="shared" si="19"/>
        <v>15</v>
      </c>
      <c r="U35" s="47">
        <f t="shared" si="20"/>
        <v>2.0003105879074748E-3</v>
      </c>
      <c r="V35" s="48">
        <f t="shared" si="21"/>
        <v>3359</v>
      </c>
      <c r="W35" s="49">
        <f t="shared" si="22"/>
        <v>1.3335403919383166E-4</v>
      </c>
      <c r="X35" s="44">
        <f t="shared" si="23"/>
        <v>168.0412544055651</v>
      </c>
      <c r="Y35" s="44">
        <f t="shared" si="24"/>
        <v>3359</v>
      </c>
      <c r="Z35" s="44">
        <f t="shared" si="25"/>
        <v>1720.1745458953644</v>
      </c>
      <c r="AA35" s="50">
        <f t="shared" si="26"/>
        <v>5027.0412544055653</v>
      </c>
      <c r="AB35" s="51">
        <f t="shared" si="27"/>
        <v>1608.0906290505416</v>
      </c>
      <c r="AC35" s="44">
        <f t="shared" si="28"/>
        <v>4699.4870098210386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1.3961506916040443</v>
      </c>
      <c r="AG35" s="44">
        <f t="shared" si="31"/>
        <v>4925.6196399790679</v>
      </c>
      <c r="AH35" s="52">
        <f>HLOOKUP(I35,ElecAvoidedCostsWOCC!$A$5:$Q$50,T35+1,FALSE)</f>
        <v>1.3961506916040443</v>
      </c>
      <c r="AI35" s="44">
        <f t="shared" si="32"/>
        <v>0</v>
      </c>
      <c r="AJ35" s="44">
        <f t="shared" si="33"/>
        <v>4925.6196399790679</v>
      </c>
      <c r="AK35" s="44">
        <f>HLOOKUP(I35,ElecAvoidedCostsWOCC!$A$5:$Q$50,G35+1,FALSE)*J35*L35</f>
        <v>0</v>
      </c>
      <c r="AL35" s="44">
        <f t="shared" si="34"/>
        <v>4925.6196399790679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4925.6196399790679</v>
      </c>
      <c r="AN35" s="48">
        <f t="shared" si="35"/>
        <v>5418.1816039769747</v>
      </c>
      <c r="AO35" s="47">
        <f t="shared" si="36"/>
        <v>3.0630236573714016</v>
      </c>
      <c r="AP35" s="47">
        <f t="shared" si="37"/>
        <v>1.1529304353121947</v>
      </c>
      <c r="AQ35">
        <v>2020</v>
      </c>
    </row>
    <row r="36" spans="2:43">
      <c r="B36" s="97" t="s">
        <v>15</v>
      </c>
      <c r="C36" s="61">
        <v>18230630</v>
      </c>
      <c r="D36" s="61" t="s">
        <v>81</v>
      </c>
      <c r="E36" s="38" t="s">
        <v>543</v>
      </c>
      <c r="F36" s="39" t="s">
        <v>544</v>
      </c>
      <c r="G36" s="39">
        <v>15</v>
      </c>
      <c r="H36" s="39"/>
      <c r="I36" s="40" t="s">
        <v>268</v>
      </c>
      <c r="J36" s="41">
        <v>588</v>
      </c>
      <c r="K36" s="41">
        <v>939</v>
      </c>
      <c r="L36" s="41"/>
      <c r="M36" s="42">
        <v>800</v>
      </c>
      <c r="N36" s="42">
        <v>1686</v>
      </c>
      <c r="O36" s="43">
        <v>552132</v>
      </c>
      <c r="P36" s="44">
        <v>470328</v>
      </c>
      <c r="Q36" s="44">
        <v>991368</v>
      </c>
      <c r="R36" s="45">
        <v>0</v>
      </c>
      <c r="S36" s="46">
        <v>0</v>
      </c>
      <c r="T36" s="39">
        <f t="shared" si="19"/>
        <v>15</v>
      </c>
      <c r="U36" s="47">
        <f t="shared" si="20"/>
        <v>0.31304860700751985</v>
      </c>
      <c r="V36" s="48">
        <f t="shared" si="21"/>
        <v>886</v>
      </c>
      <c r="W36" s="49">
        <f t="shared" si="22"/>
        <v>2.0869907133834655E-2</v>
      </c>
      <c r="X36" s="44">
        <f t="shared" si="23"/>
        <v>26298.456314470939</v>
      </c>
      <c r="Y36" s="44">
        <f t="shared" si="24"/>
        <v>521040</v>
      </c>
      <c r="Z36" s="44">
        <f t="shared" si="25"/>
        <v>269207.31643262453</v>
      </c>
      <c r="AA36" s="50">
        <f t="shared" si="26"/>
        <v>1017666.456314471</v>
      </c>
      <c r="AB36" s="51">
        <f t="shared" si="27"/>
        <v>251666.18344640973</v>
      </c>
      <c r="AC36" s="44">
        <f t="shared" si="28"/>
        <v>951356.88166258845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1.3961506916040443</v>
      </c>
      <c r="AG36" s="44">
        <f t="shared" si="31"/>
        <v>770859.47365672421</v>
      </c>
      <c r="AH36" s="52">
        <f>HLOOKUP(I36,ElecAvoidedCostsWOCC!$A$5:$Q$50,T36+1,FALSE)</f>
        <v>1.3961506916040443</v>
      </c>
      <c r="AI36" s="44">
        <f t="shared" si="32"/>
        <v>0</v>
      </c>
      <c r="AJ36" s="44">
        <f t="shared" si="33"/>
        <v>770859.47365672421</v>
      </c>
      <c r="AK36" s="44">
        <f>HLOOKUP(I36,ElecAvoidedCostsWOCC!$A$5:$Q$50,G36+1,FALSE)*J36*L36</f>
        <v>0</v>
      </c>
      <c r="AL36" s="44">
        <f t="shared" si="34"/>
        <v>770859.47365672421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770859.47365672421</v>
      </c>
      <c r="AN36" s="48">
        <f t="shared" si="35"/>
        <v>847945.42102239665</v>
      </c>
      <c r="AO36" s="47">
        <f t="shared" si="36"/>
        <v>3.0630236573714025</v>
      </c>
      <c r="AP36" s="47">
        <f t="shared" si="37"/>
        <v>0.8913010851832277</v>
      </c>
      <c r="AQ36">
        <v>2020</v>
      </c>
    </row>
    <row r="37" spans="2:43">
      <c r="B37" s="97" t="s">
        <v>15</v>
      </c>
      <c r="C37" s="61">
        <v>18230631</v>
      </c>
      <c r="D37" s="61" t="s">
        <v>81</v>
      </c>
      <c r="E37" s="38" t="s">
        <v>545</v>
      </c>
      <c r="F37" s="39" t="s">
        <v>546</v>
      </c>
      <c r="G37" s="39">
        <v>15</v>
      </c>
      <c r="H37" s="39"/>
      <c r="I37" s="40" t="s">
        <v>268</v>
      </c>
      <c r="J37" s="41">
        <v>21</v>
      </c>
      <c r="K37" s="41">
        <v>1997</v>
      </c>
      <c r="L37" s="41"/>
      <c r="M37" s="42">
        <v>2400</v>
      </c>
      <c r="N37" s="42">
        <v>3953.13</v>
      </c>
      <c r="O37" s="43">
        <v>41937</v>
      </c>
      <c r="P37" s="44">
        <v>49658.91</v>
      </c>
      <c r="Q37" s="44">
        <v>83015.73</v>
      </c>
      <c r="R37" s="45">
        <v>0</v>
      </c>
      <c r="S37" s="46">
        <v>0</v>
      </c>
      <c r="T37" s="39">
        <f t="shared" si="19"/>
        <v>15</v>
      </c>
      <c r="U37" s="47">
        <f t="shared" si="20"/>
        <v>2.3777501452685878E-2</v>
      </c>
      <c r="V37" s="48">
        <f t="shared" si="21"/>
        <v>1553.13</v>
      </c>
      <c r="W37" s="49">
        <f t="shared" si="22"/>
        <v>1.5851667635123918E-3</v>
      </c>
      <c r="X37" s="44">
        <f t="shared" si="23"/>
        <v>1997.4903871899614</v>
      </c>
      <c r="Y37" s="44">
        <f t="shared" si="24"/>
        <v>33356.819999999992</v>
      </c>
      <c r="Z37" s="44">
        <f t="shared" si="25"/>
        <v>20447.551000910968</v>
      </c>
      <c r="AA37" s="50">
        <f t="shared" si="26"/>
        <v>85013.220387189955</v>
      </c>
      <c r="AB37" s="51">
        <f t="shared" si="27"/>
        <v>19115.220156035306</v>
      </c>
      <c r="AC37" s="44">
        <f t="shared" si="28"/>
        <v>79473.890237627318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1.3961506916040443</v>
      </c>
      <c r="AG37" s="44">
        <f t="shared" si="31"/>
        <v>58550.371553798803</v>
      </c>
      <c r="AH37" s="52">
        <f>HLOOKUP(I37,ElecAvoidedCostsWOCC!$A$5:$Q$50,T37+1,FALSE)</f>
        <v>1.3961506916040443</v>
      </c>
      <c r="AI37" s="44">
        <f t="shared" si="32"/>
        <v>0</v>
      </c>
      <c r="AJ37" s="44">
        <f t="shared" si="33"/>
        <v>58550.371553798803</v>
      </c>
      <c r="AK37" s="44">
        <f>HLOOKUP(I37,ElecAvoidedCostsWOCC!$A$5:$Q$50,G37+1,FALSE)*J37*L37</f>
        <v>0</v>
      </c>
      <c r="AL37" s="44">
        <f t="shared" si="34"/>
        <v>58550.371553798803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58550.37155379881</v>
      </c>
      <c r="AN37" s="48">
        <f t="shared" si="35"/>
        <v>64405.408709178693</v>
      </c>
      <c r="AO37" s="47">
        <f t="shared" si="36"/>
        <v>3.0630236573714025</v>
      </c>
      <c r="AP37" s="47">
        <f t="shared" si="37"/>
        <v>0.81039708156485368</v>
      </c>
      <c r="AQ37">
        <v>2020</v>
      </c>
    </row>
    <row r="38" spans="2:43">
      <c r="B38" s="97" t="s">
        <v>15</v>
      </c>
      <c r="C38" s="61">
        <v>18230632</v>
      </c>
      <c r="D38" s="61" t="s">
        <v>81</v>
      </c>
      <c r="E38" s="38" t="s">
        <v>548</v>
      </c>
      <c r="F38" s="39" t="s">
        <v>549</v>
      </c>
      <c r="G38" s="39">
        <v>15</v>
      </c>
      <c r="H38" s="39"/>
      <c r="I38" s="40" t="s">
        <v>268</v>
      </c>
      <c r="J38" s="41">
        <v>1015</v>
      </c>
      <c r="K38" s="41">
        <v>1997</v>
      </c>
      <c r="L38" s="41"/>
      <c r="M38" s="42">
        <v>800</v>
      </c>
      <c r="N38" s="42">
        <v>3953.13</v>
      </c>
      <c r="O38" s="43">
        <v>2026955</v>
      </c>
      <c r="P38" s="44">
        <v>810802.15</v>
      </c>
      <c r="Q38" s="44">
        <v>4012426.9499999201</v>
      </c>
      <c r="R38" s="45">
        <v>0</v>
      </c>
      <c r="S38" s="46">
        <v>0</v>
      </c>
      <c r="T38" s="39">
        <f t="shared" si="19"/>
        <v>15</v>
      </c>
      <c r="U38" s="47">
        <f t="shared" si="20"/>
        <v>1.1492459035464839</v>
      </c>
      <c r="V38" s="48">
        <f t="shared" si="21"/>
        <v>3153.13</v>
      </c>
      <c r="W38" s="49">
        <f t="shared" si="22"/>
        <v>7.6616393569765601E-2</v>
      </c>
      <c r="X38" s="44">
        <f t="shared" si="23"/>
        <v>96545.368714181459</v>
      </c>
      <c r="Y38" s="44">
        <f t="shared" si="24"/>
        <v>3201624.7999999202</v>
      </c>
      <c r="Z38" s="44">
        <f t="shared" si="25"/>
        <v>988298.29837736348</v>
      </c>
      <c r="AA38" s="50">
        <f t="shared" si="26"/>
        <v>4108972.3187141013</v>
      </c>
      <c r="AB38" s="51">
        <f t="shared" si="27"/>
        <v>923902.30754170648</v>
      </c>
      <c r="AC38" s="44">
        <f t="shared" si="28"/>
        <v>3841238.0281519126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1.3961506916040443</v>
      </c>
      <c r="AG38" s="44">
        <f t="shared" si="31"/>
        <v>2829934.6251002755</v>
      </c>
      <c r="AH38" s="52">
        <f>HLOOKUP(I38,ElecAvoidedCostsWOCC!$A$5:$Q$50,T38+1,FALSE)</f>
        <v>1.3961506916040443</v>
      </c>
      <c r="AI38" s="44">
        <f t="shared" si="32"/>
        <v>0</v>
      </c>
      <c r="AJ38" s="44">
        <f t="shared" si="33"/>
        <v>2829934.6251002755</v>
      </c>
      <c r="AK38" s="44">
        <f>HLOOKUP(I38,ElecAvoidedCostsWOCC!$A$5:$Q$50,G38+1,FALSE)*J38*L38</f>
        <v>0</v>
      </c>
      <c r="AL38" s="44">
        <f t="shared" si="34"/>
        <v>2829934.6251002755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2829934.6251002755</v>
      </c>
      <c r="AN38" s="48">
        <f t="shared" si="35"/>
        <v>3112928.0876103034</v>
      </c>
      <c r="AO38" s="47">
        <f t="shared" si="36"/>
        <v>3.063023657371402</v>
      </c>
      <c r="AP38" s="47">
        <f t="shared" si="37"/>
        <v>0.81039708156486934</v>
      </c>
      <c r="AQ38">
        <v>2020</v>
      </c>
    </row>
    <row r="39" spans="2:43">
      <c r="B39" s="97" t="s">
        <v>15</v>
      </c>
      <c r="C39" s="61">
        <v>18230633</v>
      </c>
      <c r="D39" s="61" t="s">
        <v>81</v>
      </c>
      <c r="E39" s="38" t="s">
        <v>1866</v>
      </c>
      <c r="F39" s="39" t="s">
        <v>552</v>
      </c>
      <c r="G39" s="39">
        <v>15</v>
      </c>
      <c r="H39" s="39"/>
      <c r="I39" s="40" t="s">
        <v>268</v>
      </c>
      <c r="J39" s="41">
        <v>44</v>
      </c>
      <c r="K39" s="41">
        <v>5736</v>
      </c>
      <c r="L39" s="41"/>
      <c r="M39" s="42">
        <v>2400</v>
      </c>
      <c r="N39" s="42">
        <v>4023.66</v>
      </c>
      <c r="O39" s="43">
        <v>252384</v>
      </c>
      <c r="P39" s="44">
        <v>101899.97</v>
      </c>
      <c r="Q39" s="44">
        <v>177041.04</v>
      </c>
      <c r="R39" s="45">
        <v>0</v>
      </c>
      <c r="S39" s="46">
        <v>0</v>
      </c>
      <c r="T39" s="39">
        <f t="shared" si="19"/>
        <v>15</v>
      </c>
      <c r="U39" s="47">
        <f t="shared" si="20"/>
        <v>0.14309704858799321</v>
      </c>
      <c r="V39" s="48">
        <f t="shared" si="21"/>
        <v>1623.6599999999999</v>
      </c>
      <c r="W39" s="49">
        <f t="shared" si="22"/>
        <v>9.5398032391995485E-3</v>
      </c>
      <c r="X39" s="44">
        <f t="shared" si="23"/>
        <v>12021.2369478158</v>
      </c>
      <c r="Y39" s="44">
        <f t="shared" si="24"/>
        <v>75141.070000000007</v>
      </c>
      <c r="Z39" s="44">
        <f t="shared" si="25"/>
        <v>123056.84030364387</v>
      </c>
      <c r="AA39" s="50">
        <f t="shared" si="26"/>
        <v>189062.27694781582</v>
      </c>
      <c r="AB39" s="51">
        <f t="shared" si="27"/>
        <v>115038.64663330266</v>
      </c>
      <c r="AC39" s="44">
        <f t="shared" si="28"/>
        <v>176743.27096177975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1.3961506916040443</v>
      </c>
      <c r="AG39" s="44">
        <f t="shared" si="31"/>
        <v>352366.09614979511</v>
      </c>
      <c r="AH39" s="52">
        <f>HLOOKUP(I39,ElecAvoidedCostsWOCC!$A$5:$Q$50,T39+1,FALSE)</f>
        <v>1.3961506916040443</v>
      </c>
      <c r="AI39" s="44">
        <f t="shared" si="32"/>
        <v>0</v>
      </c>
      <c r="AJ39" s="44">
        <f t="shared" si="33"/>
        <v>352366.09614979511</v>
      </c>
      <c r="AK39" s="44">
        <f>HLOOKUP(I39,ElecAvoidedCostsWOCC!$A$5:$Q$50,G39+1,FALSE)*J39*L39</f>
        <v>0</v>
      </c>
      <c r="AL39" s="44">
        <f t="shared" si="34"/>
        <v>352366.09614979511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352366.09614979511</v>
      </c>
      <c r="AN39" s="48">
        <f t="shared" si="35"/>
        <v>387602.70576477464</v>
      </c>
      <c r="AO39" s="47">
        <f t="shared" si="36"/>
        <v>3.0630236573714025</v>
      </c>
      <c r="AP39" s="47">
        <f t="shared" si="37"/>
        <v>2.1930266632249475</v>
      </c>
      <c r="AQ39">
        <v>2020</v>
      </c>
    </row>
    <row r="40" spans="2:43">
      <c r="B40" s="97" t="s">
        <v>15</v>
      </c>
      <c r="C40" s="61">
        <v>18230634</v>
      </c>
      <c r="D40" s="61" t="s">
        <v>81</v>
      </c>
      <c r="E40" s="38" t="s">
        <v>551</v>
      </c>
      <c r="F40" s="39" t="s">
        <v>552</v>
      </c>
      <c r="G40" s="39">
        <v>15</v>
      </c>
      <c r="H40" s="39"/>
      <c r="I40" s="40" t="s">
        <v>268</v>
      </c>
      <c r="J40" s="41">
        <v>145</v>
      </c>
      <c r="K40" s="41">
        <v>3055</v>
      </c>
      <c r="L40" s="41"/>
      <c r="M40" s="42">
        <v>2400</v>
      </c>
      <c r="N40" s="42">
        <v>3895.16</v>
      </c>
      <c r="O40" s="43">
        <v>442975</v>
      </c>
      <c r="P40" s="44">
        <v>339455.25</v>
      </c>
      <c r="Q40" s="44">
        <v>564798.19999999902</v>
      </c>
      <c r="R40" s="45">
        <v>0</v>
      </c>
      <c r="S40" s="46">
        <v>0</v>
      </c>
      <c r="T40" s="39">
        <f t="shared" si="19"/>
        <v>15</v>
      </c>
      <c r="U40" s="47">
        <f t="shared" si="20"/>
        <v>0.25115861187027033</v>
      </c>
      <c r="V40" s="48">
        <f t="shared" si="21"/>
        <v>1495.1599999999999</v>
      </c>
      <c r="W40" s="49">
        <f t="shared" si="22"/>
        <v>1.6743907458018022E-2</v>
      </c>
      <c r="X40" s="44">
        <f t="shared" si="23"/>
        <v>21099.227514258844</v>
      </c>
      <c r="Y40" s="44">
        <f t="shared" si="24"/>
        <v>225342.94999999902</v>
      </c>
      <c r="Z40" s="44">
        <f t="shared" si="25"/>
        <v>215984.78442970495</v>
      </c>
      <c r="AA40" s="50">
        <f t="shared" si="26"/>
        <v>585897.42751425784</v>
      </c>
      <c r="AB40" s="51">
        <f t="shared" si="27"/>
        <v>201911.54943414501</v>
      </c>
      <c r="AC40" s="44">
        <f t="shared" si="28"/>
        <v>547721.25597294362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1.3961506916040443</v>
      </c>
      <c r="AG40" s="44">
        <f t="shared" si="31"/>
        <v>618459.85261330148</v>
      </c>
      <c r="AH40" s="52">
        <f>HLOOKUP(I40,ElecAvoidedCostsWOCC!$A$5:$Q$50,T40+1,FALSE)</f>
        <v>1.3961506916040443</v>
      </c>
      <c r="AI40" s="44">
        <f t="shared" si="32"/>
        <v>0</v>
      </c>
      <c r="AJ40" s="44">
        <f t="shared" si="33"/>
        <v>618459.85261330148</v>
      </c>
      <c r="AK40" s="44">
        <f>HLOOKUP(I40,ElecAvoidedCostsWOCC!$A$5:$Q$50,G40+1,FALSE)*J40*L40</f>
        <v>0</v>
      </c>
      <c r="AL40" s="44">
        <f t="shared" si="34"/>
        <v>618459.85261330148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618459.85261330148</v>
      </c>
      <c r="AN40" s="48">
        <f t="shared" si="35"/>
        <v>680305.83787463163</v>
      </c>
      <c r="AO40" s="47">
        <f t="shared" si="36"/>
        <v>3.063023657371402</v>
      </c>
      <c r="AP40" s="47">
        <f t="shared" si="37"/>
        <v>1.2420657961615378</v>
      </c>
      <c r="AQ40">
        <v>2020</v>
      </c>
    </row>
    <row r="41" spans="2:43">
      <c r="B41" s="97" t="s">
        <v>15</v>
      </c>
      <c r="C41" s="61">
        <v>18230635</v>
      </c>
      <c r="D41" s="61" t="s">
        <v>81</v>
      </c>
      <c r="E41" s="38" t="s">
        <v>1867</v>
      </c>
      <c r="F41" s="39" t="s">
        <v>554</v>
      </c>
      <c r="G41" s="39">
        <v>15</v>
      </c>
      <c r="H41" s="39"/>
      <c r="I41" s="40" t="s">
        <v>268</v>
      </c>
      <c r="J41" s="41">
        <v>36</v>
      </c>
      <c r="K41" s="41">
        <v>3836</v>
      </c>
      <c r="L41" s="41"/>
      <c r="M41" s="42">
        <v>800</v>
      </c>
      <c r="N41" s="42">
        <v>4023.66</v>
      </c>
      <c r="O41" s="43">
        <v>138096</v>
      </c>
      <c r="P41" s="44">
        <v>28800</v>
      </c>
      <c r="Q41" s="44">
        <v>144851.76</v>
      </c>
      <c r="R41" s="45">
        <v>0</v>
      </c>
      <c r="S41" s="46">
        <v>0</v>
      </c>
      <c r="T41" s="39">
        <f t="shared" si="19"/>
        <v>15</v>
      </c>
      <c r="U41" s="47">
        <f t="shared" si="20"/>
        <v>7.8297871583806869E-2</v>
      </c>
      <c r="V41" s="48">
        <f t="shared" si="21"/>
        <v>3223.66</v>
      </c>
      <c r="W41" s="49">
        <f t="shared" si="22"/>
        <v>5.2198581055871249E-3</v>
      </c>
      <c r="X41" s="44">
        <f t="shared" si="23"/>
        <v>6577.6148153035483</v>
      </c>
      <c r="Y41" s="44">
        <f t="shared" si="24"/>
        <v>116051.76000000001</v>
      </c>
      <c r="Z41" s="44">
        <f t="shared" si="25"/>
        <v>67332.546510761415</v>
      </c>
      <c r="AA41" s="50">
        <f t="shared" si="26"/>
        <v>151429.37481530357</v>
      </c>
      <c r="AB41" s="51">
        <f t="shared" si="27"/>
        <v>62945.26176569263</v>
      </c>
      <c r="AC41" s="44">
        <f t="shared" si="28"/>
        <v>141562.47061353983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1.3961506916040443</v>
      </c>
      <c r="AG41" s="44">
        <f t="shared" si="31"/>
        <v>192802.82590775209</v>
      </c>
      <c r="AH41" s="52">
        <f>HLOOKUP(I41,ElecAvoidedCostsWOCC!$A$5:$Q$50,T41+1,FALSE)</f>
        <v>1.3961506916040443</v>
      </c>
      <c r="AI41" s="44">
        <f t="shared" si="32"/>
        <v>0</v>
      </c>
      <c r="AJ41" s="44">
        <f t="shared" si="33"/>
        <v>192802.82590775209</v>
      </c>
      <c r="AK41" s="44">
        <f>HLOOKUP(I41,ElecAvoidedCostsWOCC!$A$5:$Q$50,G41+1,FALSE)*J41*L41</f>
        <v>0</v>
      </c>
      <c r="AL41" s="44">
        <f t="shared" si="34"/>
        <v>192802.82590775209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192802.82590775209</v>
      </c>
      <c r="AN41" s="48">
        <f t="shared" si="35"/>
        <v>212083.10849852732</v>
      </c>
      <c r="AO41" s="47">
        <f t="shared" si="36"/>
        <v>3.0630236573714016</v>
      </c>
      <c r="AP41" s="47">
        <f t="shared" si="37"/>
        <v>1.4981591348282282</v>
      </c>
      <c r="AQ41">
        <v>2020</v>
      </c>
    </row>
    <row r="42" spans="2:43">
      <c r="B42" s="97" t="s">
        <v>15</v>
      </c>
      <c r="C42" s="61">
        <v>18230635</v>
      </c>
      <c r="D42" s="61" t="s">
        <v>81</v>
      </c>
      <c r="E42" s="38" t="s">
        <v>553</v>
      </c>
      <c r="F42" s="39" t="s">
        <v>554</v>
      </c>
      <c r="G42" s="39">
        <v>15</v>
      </c>
      <c r="H42" s="39"/>
      <c r="I42" s="40" t="s">
        <v>268</v>
      </c>
      <c r="J42" s="41">
        <v>91</v>
      </c>
      <c r="K42" s="41">
        <v>2550</v>
      </c>
      <c r="L42" s="41"/>
      <c r="M42" s="42">
        <v>800</v>
      </c>
      <c r="N42" s="42">
        <v>4039.18</v>
      </c>
      <c r="O42" s="43">
        <v>232050</v>
      </c>
      <c r="P42" s="44">
        <v>72800</v>
      </c>
      <c r="Q42" s="44">
        <v>367549.86</v>
      </c>
      <c r="R42" s="45">
        <v>0</v>
      </c>
      <c r="S42" s="46">
        <v>0</v>
      </c>
      <c r="T42" s="39">
        <f t="shared" si="19"/>
        <v>15</v>
      </c>
      <c r="U42" s="47">
        <f t="shared" si="20"/>
        <v>0.13156804759748569</v>
      </c>
      <c r="V42" s="48">
        <f t="shared" si="21"/>
        <v>3239.18</v>
      </c>
      <c r="W42" s="49">
        <f t="shared" si="22"/>
        <v>8.7712031731657127E-3</v>
      </c>
      <c r="X42" s="44">
        <f t="shared" si="23"/>
        <v>11052.713459413657</v>
      </c>
      <c r="Y42" s="44">
        <f t="shared" si="24"/>
        <v>294749.86</v>
      </c>
      <c r="Z42" s="44">
        <f t="shared" si="25"/>
        <v>113142.43292942723</v>
      </c>
      <c r="AA42" s="50">
        <f t="shared" si="26"/>
        <v>378602.57345941366</v>
      </c>
      <c r="AB42" s="51">
        <f t="shared" si="27"/>
        <v>105770.24673219335</v>
      </c>
      <c r="AC42" s="44">
        <f t="shared" si="28"/>
        <v>353933.41447079892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1.3961506916040443</v>
      </c>
      <c r="AG42" s="44">
        <f t="shared" si="31"/>
        <v>323976.76798671851</v>
      </c>
      <c r="AH42" s="52">
        <f>HLOOKUP(I42,ElecAvoidedCostsWOCC!$A$5:$Q$50,T42+1,FALSE)</f>
        <v>1.3961506916040443</v>
      </c>
      <c r="AI42" s="44">
        <f t="shared" si="32"/>
        <v>0</v>
      </c>
      <c r="AJ42" s="44">
        <f t="shared" si="33"/>
        <v>323976.76798671851</v>
      </c>
      <c r="AK42" s="44">
        <f>HLOOKUP(I42,ElecAvoidedCostsWOCC!$A$5:$Q$50,G42+1,FALSE)*J42*L42</f>
        <v>0</v>
      </c>
      <c r="AL42" s="44">
        <f t="shared" si="34"/>
        <v>323976.76798671851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323976.76798671845</v>
      </c>
      <c r="AN42" s="48">
        <f t="shared" si="35"/>
        <v>356374.44478539034</v>
      </c>
      <c r="AO42" s="47">
        <f t="shared" si="36"/>
        <v>3.063023657371402</v>
      </c>
      <c r="AP42" s="47">
        <f t="shared" si="37"/>
        <v>1.0068968631239332</v>
      </c>
      <c r="AQ42">
        <v>2020</v>
      </c>
    </row>
    <row r="43" spans="2:43">
      <c r="B43" s="97" t="s">
        <v>15</v>
      </c>
      <c r="C43" s="61">
        <v>18230635</v>
      </c>
      <c r="D43" s="61" t="s">
        <v>81</v>
      </c>
      <c r="E43" s="38" t="s">
        <v>555</v>
      </c>
      <c r="F43" s="39" t="s">
        <v>556</v>
      </c>
      <c r="G43" s="39">
        <v>15</v>
      </c>
      <c r="H43" s="39"/>
      <c r="I43" s="40" t="s">
        <v>268</v>
      </c>
      <c r="J43" s="41">
        <v>438</v>
      </c>
      <c r="K43" s="41">
        <v>3517</v>
      </c>
      <c r="L43" s="41"/>
      <c r="M43" s="42">
        <v>1500</v>
      </c>
      <c r="N43" s="42">
        <v>4956.68</v>
      </c>
      <c r="O43" s="43">
        <v>1540446</v>
      </c>
      <c r="P43" s="44">
        <v>657000</v>
      </c>
      <c r="Q43" s="44">
        <v>2171025.8399999901</v>
      </c>
      <c r="R43" s="45">
        <v>0</v>
      </c>
      <c r="S43" s="46">
        <v>0</v>
      </c>
      <c r="T43" s="39">
        <f t="shared" si="19"/>
        <v>15</v>
      </c>
      <c r="U43" s="47">
        <f t="shared" si="20"/>
        <v>0.87340432083325337</v>
      </c>
      <c r="V43" s="48">
        <f t="shared" si="21"/>
        <v>3456.6800000000003</v>
      </c>
      <c r="W43" s="49">
        <f t="shared" si="22"/>
        <v>5.8226954722216895E-2</v>
      </c>
      <c r="X43" s="44">
        <f t="shared" si="23"/>
        <v>73372.584519284341</v>
      </c>
      <c r="Y43" s="44">
        <f t="shared" si="24"/>
        <v>1514025.8399999901</v>
      </c>
      <c r="Z43" s="44">
        <f t="shared" si="25"/>
        <v>751087.30116959475</v>
      </c>
      <c r="AA43" s="50">
        <f t="shared" si="26"/>
        <v>2244398.4245192744</v>
      </c>
      <c r="AB43" s="51">
        <f t="shared" si="27"/>
        <v>702147.61257323984</v>
      </c>
      <c r="AC43" s="44">
        <f t="shared" si="28"/>
        <v>2098156.8893327797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1.3961506916040443</v>
      </c>
      <c r="AG43" s="44">
        <f t="shared" si="31"/>
        <v>2150694.7482786835</v>
      </c>
      <c r="AH43" s="52">
        <f>HLOOKUP(I43,ElecAvoidedCostsWOCC!$A$5:$Q$50,T43+1,FALSE)</f>
        <v>1.3961506916040443</v>
      </c>
      <c r="AI43" s="44">
        <f t="shared" si="32"/>
        <v>0</v>
      </c>
      <c r="AJ43" s="44">
        <f t="shared" si="33"/>
        <v>2150694.7482786835</v>
      </c>
      <c r="AK43" s="44">
        <f>HLOOKUP(I43,ElecAvoidedCostsWOCC!$A$5:$Q$50,G43+1,FALSE)*J43*L43</f>
        <v>0</v>
      </c>
      <c r="AL43" s="44">
        <f t="shared" si="34"/>
        <v>2150694.7482786835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2150694.7482786835</v>
      </c>
      <c r="AN43" s="48">
        <f t="shared" si="35"/>
        <v>2365764.2231065519</v>
      </c>
      <c r="AO43" s="47">
        <f t="shared" si="36"/>
        <v>3.0630236573714025</v>
      </c>
      <c r="AP43" s="47">
        <f t="shared" si="37"/>
        <v>1.1275440054718082</v>
      </c>
      <c r="AQ43">
        <v>2020</v>
      </c>
    </row>
    <row r="44" spans="2:43">
      <c r="B44" s="97" t="s">
        <v>15</v>
      </c>
      <c r="C44" s="61">
        <v>18230635</v>
      </c>
      <c r="D44" s="61" t="s">
        <v>81</v>
      </c>
      <c r="E44" s="38" t="s">
        <v>1868</v>
      </c>
      <c r="F44" s="39" t="s">
        <v>1869</v>
      </c>
      <c r="G44" s="39">
        <v>15</v>
      </c>
      <c r="H44" s="39"/>
      <c r="I44" s="40" t="s">
        <v>268</v>
      </c>
      <c r="J44" s="41">
        <v>14</v>
      </c>
      <c r="K44" s="41">
        <v>3711</v>
      </c>
      <c r="L44" s="41"/>
      <c r="M44" s="42">
        <v>1500</v>
      </c>
      <c r="N44" s="42">
        <v>3190.37</v>
      </c>
      <c r="O44" s="43">
        <v>51954</v>
      </c>
      <c r="P44" s="44">
        <v>21000</v>
      </c>
      <c r="Q44" s="44">
        <v>44665.18</v>
      </c>
      <c r="R44" s="45">
        <v>0</v>
      </c>
      <c r="S44" s="46">
        <v>0</v>
      </c>
      <c r="T44" s="39">
        <f t="shared" si="19"/>
        <v>15</v>
      </c>
      <c r="U44" s="47">
        <f t="shared" si="20"/>
        <v>2.945695472906603E-2</v>
      </c>
      <c r="V44" s="48">
        <f t="shared" si="21"/>
        <v>1690.37</v>
      </c>
      <c r="W44" s="49">
        <f t="shared" si="22"/>
        <v>1.9637969819377354E-3</v>
      </c>
      <c r="X44" s="44">
        <f t="shared" si="23"/>
        <v>2474.6075202343341</v>
      </c>
      <c r="Y44" s="44">
        <f t="shared" si="24"/>
        <v>23665.18</v>
      </c>
      <c r="Z44" s="44">
        <f t="shared" si="25"/>
        <v>25331.618015149594</v>
      </c>
      <c r="AA44" s="50">
        <f t="shared" si="26"/>
        <v>47139.787520234335</v>
      </c>
      <c r="AB44" s="51">
        <f t="shared" si="27"/>
        <v>23681.048906375236</v>
      </c>
      <c r="AC44" s="44">
        <f t="shared" si="28"/>
        <v>44068.231766134741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1.3961506916040443</v>
      </c>
      <c r="AG44" s="44">
        <f t="shared" si="31"/>
        <v>72535.613031596513</v>
      </c>
      <c r="AH44" s="52">
        <f>HLOOKUP(I44,ElecAvoidedCostsWOCC!$A$5:$Q$50,T44+1,FALSE)</f>
        <v>1.3961506916040443</v>
      </c>
      <c r="AI44" s="44">
        <f t="shared" si="32"/>
        <v>0</v>
      </c>
      <c r="AJ44" s="44">
        <f t="shared" si="33"/>
        <v>72535.613031596513</v>
      </c>
      <c r="AK44" s="44">
        <f>HLOOKUP(I44,ElecAvoidedCostsWOCC!$A$5:$Q$50,G44+1,FALSE)*J44*L44</f>
        <v>0</v>
      </c>
      <c r="AL44" s="44">
        <f t="shared" si="34"/>
        <v>72535.613031596513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72535.613031596513</v>
      </c>
      <c r="AN44" s="48">
        <f t="shared" si="35"/>
        <v>79789.174334756171</v>
      </c>
      <c r="AO44" s="47">
        <f t="shared" si="36"/>
        <v>3.063023657371402</v>
      </c>
      <c r="AP44" s="47">
        <f t="shared" si="37"/>
        <v>1.8105826155718827</v>
      </c>
      <c r="AQ44">
        <v>2020</v>
      </c>
    </row>
    <row r="45" spans="2:43">
      <c r="B45" s="97" t="s">
        <v>15</v>
      </c>
      <c r="C45" s="61">
        <v>18230635</v>
      </c>
      <c r="D45" s="61" t="s">
        <v>81</v>
      </c>
      <c r="E45" s="38" t="s">
        <v>1870</v>
      </c>
      <c r="F45" s="39" t="s">
        <v>559</v>
      </c>
      <c r="G45" s="39">
        <v>15</v>
      </c>
      <c r="H45" s="39"/>
      <c r="I45" s="40" t="s">
        <v>268</v>
      </c>
      <c r="J45" s="41">
        <v>52</v>
      </c>
      <c r="K45" s="41">
        <v>6302</v>
      </c>
      <c r="L45" s="41"/>
      <c r="M45" s="42">
        <v>2400</v>
      </c>
      <c r="N45" s="42">
        <v>5490.23</v>
      </c>
      <c r="O45" s="43">
        <v>327704</v>
      </c>
      <c r="P45" s="44">
        <v>123864.66</v>
      </c>
      <c r="Q45" s="44">
        <v>285491.96000000002</v>
      </c>
      <c r="R45" s="45">
        <v>0</v>
      </c>
      <c r="S45" s="46">
        <v>0</v>
      </c>
      <c r="T45" s="39">
        <f t="shared" si="19"/>
        <v>15</v>
      </c>
      <c r="U45" s="47">
        <f t="shared" si="20"/>
        <v>0.18580209209173218</v>
      </c>
      <c r="V45" s="48">
        <f t="shared" si="21"/>
        <v>3090.2299999999996</v>
      </c>
      <c r="W45" s="49">
        <f t="shared" si="22"/>
        <v>1.2386806139448812E-2</v>
      </c>
      <c r="X45" s="44">
        <f t="shared" si="23"/>
        <v>15608.78436329969</v>
      </c>
      <c r="Y45" s="44">
        <f t="shared" si="24"/>
        <v>161627.30000000002</v>
      </c>
      <c r="Z45" s="44">
        <f t="shared" si="25"/>
        <v>159781.20164061635</v>
      </c>
      <c r="AA45" s="50">
        <f t="shared" si="26"/>
        <v>301100.74436329969</v>
      </c>
      <c r="AB45" s="51">
        <f t="shared" si="27"/>
        <v>149370.10530112774</v>
      </c>
      <c r="AC45" s="44">
        <f t="shared" si="28"/>
        <v>281481.48486800003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1.3961506916040443</v>
      </c>
      <c r="AG45" s="44">
        <f t="shared" si="31"/>
        <v>457524.1662414117</v>
      </c>
      <c r="AH45" s="52">
        <f>HLOOKUP(I45,ElecAvoidedCostsWOCC!$A$5:$Q$50,T45+1,FALSE)</f>
        <v>1.3961506916040443</v>
      </c>
      <c r="AI45" s="44">
        <f t="shared" si="32"/>
        <v>0</v>
      </c>
      <c r="AJ45" s="44">
        <f t="shared" si="33"/>
        <v>457524.1662414117</v>
      </c>
      <c r="AK45" s="44">
        <f>HLOOKUP(I45,ElecAvoidedCostsWOCC!$A$5:$Q$50,G45+1,FALSE)*J45*L45</f>
        <v>0</v>
      </c>
      <c r="AL45" s="44">
        <f t="shared" si="34"/>
        <v>457524.1662414117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457524.1662414117</v>
      </c>
      <c r="AN45" s="48">
        <f t="shared" si="35"/>
        <v>503276.58286555292</v>
      </c>
      <c r="AO45" s="47">
        <f t="shared" si="36"/>
        <v>3.0630236573714016</v>
      </c>
      <c r="AP45" s="47">
        <f t="shared" si="37"/>
        <v>1.7879562597218894</v>
      </c>
      <c r="AQ45">
        <v>2020</v>
      </c>
    </row>
    <row r="46" spans="2:43">
      <c r="B46" s="97" t="s">
        <v>15</v>
      </c>
      <c r="C46" s="61">
        <v>18230635</v>
      </c>
      <c r="D46" s="61" t="s">
        <v>81</v>
      </c>
      <c r="E46" s="38" t="s">
        <v>558</v>
      </c>
      <c r="F46" s="39" t="s">
        <v>559</v>
      </c>
      <c r="G46" s="39">
        <v>15</v>
      </c>
      <c r="H46" s="39"/>
      <c r="I46" s="40" t="s">
        <v>268</v>
      </c>
      <c r="J46" s="41">
        <v>259</v>
      </c>
      <c r="K46" s="41">
        <v>3020</v>
      </c>
      <c r="L46" s="41"/>
      <c r="M46" s="42">
        <v>2400</v>
      </c>
      <c r="N46" s="42">
        <v>4634</v>
      </c>
      <c r="O46" s="43">
        <v>782180</v>
      </c>
      <c r="P46" s="44">
        <v>620566.43000000005</v>
      </c>
      <c r="Q46" s="44">
        <v>1200206</v>
      </c>
      <c r="R46" s="45">
        <v>0</v>
      </c>
      <c r="S46" s="46">
        <v>0</v>
      </c>
      <c r="T46" s="39">
        <f t="shared" si="19"/>
        <v>15</v>
      </c>
      <c r="U46" s="47">
        <f t="shared" si="20"/>
        <v>0.44348155772377229</v>
      </c>
      <c r="V46" s="48">
        <f t="shared" si="21"/>
        <v>2234</v>
      </c>
      <c r="W46" s="49">
        <f t="shared" si="22"/>
        <v>2.956543718158482E-2</v>
      </c>
      <c r="X46" s="44">
        <f t="shared" si="23"/>
        <v>37255.813030313184</v>
      </c>
      <c r="Y46" s="44">
        <f t="shared" si="24"/>
        <v>579639.56999999995</v>
      </c>
      <c r="Z46" s="44">
        <f t="shared" si="25"/>
        <v>381373.61856815079</v>
      </c>
      <c r="AA46" s="50">
        <f t="shared" si="26"/>
        <v>1237461.8130303132</v>
      </c>
      <c r="AB46" s="51">
        <f t="shared" si="27"/>
        <v>356523.90255973709</v>
      </c>
      <c r="AC46" s="44">
        <f t="shared" si="28"/>
        <v>1156830.7123775948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1.3961506916040443</v>
      </c>
      <c r="AG46" s="44">
        <f t="shared" si="31"/>
        <v>1092041.1479588512</v>
      </c>
      <c r="AH46" s="52">
        <f>HLOOKUP(I46,ElecAvoidedCostsWOCC!$A$5:$Q$50,T46+1,FALSE)</f>
        <v>1.3961506916040443</v>
      </c>
      <c r="AI46" s="44">
        <f t="shared" si="32"/>
        <v>0</v>
      </c>
      <c r="AJ46" s="44">
        <f t="shared" si="33"/>
        <v>1092041.1479588512</v>
      </c>
      <c r="AK46" s="44">
        <f>HLOOKUP(I46,ElecAvoidedCostsWOCC!$A$5:$Q$50,G46+1,FALSE)*J46*L46</f>
        <v>0</v>
      </c>
      <c r="AL46" s="44">
        <f t="shared" si="34"/>
        <v>1092041.1479588512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1092041.1479588514</v>
      </c>
      <c r="AN46" s="48">
        <f t="shared" si="35"/>
        <v>1201245.2627547367</v>
      </c>
      <c r="AO46" s="47">
        <f t="shared" si="36"/>
        <v>3.0630236573714025</v>
      </c>
      <c r="AP46" s="47">
        <f t="shared" si="37"/>
        <v>1.0383933015452695</v>
      </c>
      <c r="AQ46">
        <v>2020</v>
      </c>
    </row>
    <row r="47" spans="2:43">
      <c r="B47" s="97" t="s">
        <v>15</v>
      </c>
      <c r="C47" s="61">
        <v>18230635</v>
      </c>
      <c r="D47" s="61" t="s">
        <v>81</v>
      </c>
      <c r="E47" s="38" t="s">
        <v>561</v>
      </c>
      <c r="F47" s="39" t="s">
        <v>562</v>
      </c>
      <c r="G47" s="39">
        <v>15</v>
      </c>
      <c r="H47" s="39"/>
      <c r="I47" s="40" t="s">
        <v>268</v>
      </c>
      <c r="J47" s="41">
        <v>4</v>
      </c>
      <c r="K47" s="41">
        <v>1997</v>
      </c>
      <c r="L47" s="41"/>
      <c r="M47" s="42">
        <v>1600</v>
      </c>
      <c r="N47" s="42">
        <v>3953.13</v>
      </c>
      <c r="O47" s="43">
        <v>7988</v>
      </c>
      <c r="P47" s="44">
        <v>6400</v>
      </c>
      <c r="Q47" s="44">
        <v>15812.52</v>
      </c>
      <c r="R47" s="45">
        <v>0</v>
      </c>
      <c r="S47" s="46">
        <v>0</v>
      </c>
      <c r="T47" s="39">
        <f t="shared" si="19"/>
        <v>15</v>
      </c>
      <c r="U47" s="47">
        <f t="shared" si="20"/>
        <v>4.529047895749691E-3</v>
      </c>
      <c r="V47" s="48">
        <f t="shared" si="21"/>
        <v>2353.13</v>
      </c>
      <c r="W47" s="49">
        <f t="shared" si="22"/>
        <v>3.0193652638331274E-4</v>
      </c>
      <c r="X47" s="44">
        <f t="shared" si="23"/>
        <v>380.47435946475457</v>
      </c>
      <c r="Y47" s="44">
        <f t="shared" si="24"/>
        <v>9412.52</v>
      </c>
      <c r="Z47" s="44">
        <f t="shared" si="25"/>
        <v>3894.7716192211374</v>
      </c>
      <c r="AA47" s="50">
        <f t="shared" si="26"/>
        <v>16192.994359464756</v>
      </c>
      <c r="AB47" s="51">
        <f t="shared" si="27"/>
        <v>3640.9943154352968</v>
      </c>
      <c r="AC47" s="44">
        <f t="shared" si="28"/>
        <v>15137.88385478616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1.3961506916040443</v>
      </c>
      <c r="AG47" s="44">
        <f t="shared" si="31"/>
        <v>11152.451724533106</v>
      </c>
      <c r="AH47" s="52">
        <f>HLOOKUP(I47,ElecAvoidedCostsWOCC!$A$5:$Q$50,T47+1,FALSE)</f>
        <v>1.3961506916040443</v>
      </c>
      <c r="AI47" s="44">
        <f t="shared" si="32"/>
        <v>0</v>
      </c>
      <c r="AJ47" s="44">
        <f t="shared" si="33"/>
        <v>11152.451724533106</v>
      </c>
      <c r="AK47" s="44">
        <f>HLOOKUP(I47,ElecAvoidedCostsWOCC!$A$5:$Q$50,G47+1,FALSE)*J47*L47</f>
        <v>0</v>
      </c>
      <c r="AL47" s="44">
        <f t="shared" si="34"/>
        <v>11152.451724533106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11152.451724533106</v>
      </c>
      <c r="AN47" s="48">
        <f t="shared" si="35"/>
        <v>12267.696896986417</v>
      </c>
      <c r="AO47" s="47">
        <f t="shared" si="36"/>
        <v>3.0630236573714016</v>
      </c>
      <c r="AP47" s="47">
        <f t="shared" si="37"/>
        <v>0.81039708156485346</v>
      </c>
      <c r="AQ47">
        <v>2020</v>
      </c>
    </row>
    <row r="48" spans="2:43">
      <c r="B48" s="97" t="s">
        <v>15</v>
      </c>
      <c r="C48" s="61">
        <v>18230635</v>
      </c>
      <c r="D48" s="61" t="s">
        <v>81</v>
      </c>
      <c r="E48" s="38" t="s">
        <v>1871</v>
      </c>
      <c r="F48" s="39" t="s">
        <v>567</v>
      </c>
      <c r="G48" s="39">
        <v>15</v>
      </c>
      <c r="H48" s="39"/>
      <c r="I48" s="40" t="s">
        <v>268</v>
      </c>
      <c r="J48" s="41">
        <v>2</v>
      </c>
      <c r="K48" s="41">
        <v>3517</v>
      </c>
      <c r="L48" s="41"/>
      <c r="M48" s="42">
        <v>1600</v>
      </c>
      <c r="N48" s="42">
        <v>4956.68</v>
      </c>
      <c r="O48" s="43">
        <v>7034</v>
      </c>
      <c r="P48" s="44">
        <v>3200</v>
      </c>
      <c r="Q48" s="44">
        <v>9590.68</v>
      </c>
      <c r="R48" s="45">
        <v>0</v>
      </c>
      <c r="S48" s="46">
        <v>0</v>
      </c>
      <c r="T48" s="39">
        <f t="shared" si="19"/>
        <v>15</v>
      </c>
      <c r="U48" s="47">
        <f t="shared" si="20"/>
        <v>3.9881475837134856E-3</v>
      </c>
      <c r="V48" s="48">
        <f t="shared" si="21"/>
        <v>3356.6800000000003</v>
      </c>
      <c r="W48" s="49">
        <f t="shared" si="22"/>
        <v>2.6587650558089905E-4</v>
      </c>
      <c r="X48" s="44">
        <f t="shared" si="23"/>
        <v>335.03463250814764</v>
      </c>
      <c r="Y48" s="44">
        <f t="shared" si="24"/>
        <v>6390.68</v>
      </c>
      <c r="Z48" s="44">
        <f t="shared" si="25"/>
        <v>3429.6223797698394</v>
      </c>
      <c r="AA48" s="50">
        <f t="shared" si="26"/>
        <v>9925.7146325081485</v>
      </c>
      <c r="AB48" s="51">
        <f t="shared" si="27"/>
        <v>3206.1534820695888</v>
      </c>
      <c r="AC48" s="44">
        <f t="shared" si="28"/>
        <v>9278.9703959130111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1.3961506916040443</v>
      </c>
      <c r="AG48" s="44">
        <f t="shared" si="31"/>
        <v>9820.523964742848</v>
      </c>
      <c r="AH48" s="52">
        <f>HLOOKUP(I48,ElecAvoidedCostsWOCC!$A$5:$Q$50,T48+1,FALSE)</f>
        <v>1.3961506916040443</v>
      </c>
      <c r="AI48" s="44">
        <f t="shared" si="32"/>
        <v>0</v>
      </c>
      <c r="AJ48" s="44">
        <f t="shared" si="33"/>
        <v>9820.523964742848</v>
      </c>
      <c r="AK48" s="44">
        <f>HLOOKUP(I48,ElecAvoidedCostsWOCC!$A$5:$Q$50,G48+1,FALSE)*J48*L48</f>
        <v>0</v>
      </c>
      <c r="AL48" s="44">
        <f t="shared" si="34"/>
        <v>9820.523964742848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9820.523964742848</v>
      </c>
      <c r="AN48" s="48">
        <f t="shared" si="35"/>
        <v>10802.576361217134</v>
      </c>
      <c r="AO48" s="47">
        <f t="shared" si="36"/>
        <v>3.063023657371402</v>
      </c>
      <c r="AP48" s="47">
        <f t="shared" si="37"/>
        <v>1.1641998950632719</v>
      </c>
      <c r="AQ48">
        <v>2020</v>
      </c>
    </row>
    <row r="49" spans="2:43">
      <c r="B49" s="97" t="s">
        <v>15</v>
      </c>
      <c r="C49" s="61">
        <v>18230635</v>
      </c>
      <c r="D49" s="61" t="s">
        <v>81</v>
      </c>
      <c r="E49" s="38" t="s">
        <v>1872</v>
      </c>
      <c r="F49" s="39" t="s">
        <v>569</v>
      </c>
      <c r="G49" s="39">
        <v>15</v>
      </c>
      <c r="H49" s="39"/>
      <c r="I49" s="40" t="s">
        <v>268</v>
      </c>
      <c r="J49" s="41">
        <v>23</v>
      </c>
      <c r="K49" s="41">
        <v>3417</v>
      </c>
      <c r="L49" s="41"/>
      <c r="M49" s="42">
        <v>2400</v>
      </c>
      <c r="N49" s="42">
        <v>3060.27</v>
      </c>
      <c r="O49" s="43">
        <v>78591</v>
      </c>
      <c r="P49" s="44">
        <v>55200</v>
      </c>
      <c r="Q49" s="44">
        <v>70386.210000000006</v>
      </c>
      <c r="R49" s="45">
        <v>0</v>
      </c>
      <c r="S49" s="46">
        <v>0</v>
      </c>
      <c r="T49" s="39">
        <f t="shared" si="19"/>
        <v>15</v>
      </c>
      <c r="U49" s="47">
        <f t="shared" si="20"/>
        <v>4.4559639856642963E-2</v>
      </c>
      <c r="V49" s="48">
        <f t="shared" si="21"/>
        <v>660.27</v>
      </c>
      <c r="W49" s="49">
        <f t="shared" si="22"/>
        <v>2.9706426571095308E-3</v>
      </c>
      <c r="X49" s="44">
        <f t="shared" si="23"/>
        <v>3743.3475694409772</v>
      </c>
      <c r="Y49" s="44">
        <f t="shared" si="24"/>
        <v>15186.210000000006</v>
      </c>
      <c r="Z49" s="44">
        <f t="shared" si="25"/>
        <v>38319.228383351074</v>
      </c>
      <c r="AA49" s="50">
        <f t="shared" si="26"/>
        <v>74129.557569440978</v>
      </c>
      <c r="AB49" s="51">
        <f t="shared" si="27"/>
        <v>35822.406640507688</v>
      </c>
      <c r="AC49" s="44">
        <f t="shared" si="28"/>
        <v>69299.390080808618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1.3961506916040443</v>
      </c>
      <c r="AG49" s="44">
        <f t="shared" si="31"/>
        <v>109724.87900385344</v>
      </c>
      <c r="AH49" s="52">
        <f>HLOOKUP(I49,ElecAvoidedCostsWOCC!$A$5:$Q$50,T49+1,FALSE)</f>
        <v>1.3961506916040443</v>
      </c>
      <c r="AI49" s="44">
        <f t="shared" si="32"/>
        <v>0</v>
      </c>
      <c r="AJ49" s="44">
        <f t="shared" si="33"/>
        <v>109724.87900385344</v>
      </c>
      <c r="AK49" s="44">
        <f>HLOOKUP(I49,ElecAvoidedCostsWOCC!$A$5:$Q$50,G49+1,FALSE)*J49*L49</f>
        <v>0</v>
      </c>
      <c r="AL49" s="44">
        <f t="shared" si="34"/>
        <v>109724.87900385344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109724.87900385345</v>
      </c>
      <c r="AN49" s="48">
        <f t="shared" si="35"/>
        <v>120697.36690423881</v>
      </c>
      <c r="AO49" s="47">
        <f t="shared" si="36"/>
        <v>3.0630236573714016</v>
      </c>
      <c r="AP49" s="47">
        <f t="shared" si="37"/>
        <v>1.7416800748678458</v>
      </c>
      <c r="AQ49">
        <v>2020</v>
      </c>
    </row>
    <row r="50" spans="2:43">
      <c r="B50" s="97" t="s">
        <v>15</v>
      </c>
      <c r="C50" s="61">
        <v>18230635</v>
      </c>
      <c r="D50" s="61" t="s">
        <v>81</v>
      </c>
      <c r="E50" s="38" t="s">
        <v>570</v>
      </c>
      <c r="F50" s="39" t="s">
        <v>571</v>
      </c>
      <c r="G50" s="39">
        <v>15</v>
      </c>
      <c r="H50" s="39"/>
      <c r="I50" s="40" t="s">
        <v>268</v>
      </c>
      <c r="J50" s="41">
        <v>37</v>
      </c>
      <c r="K50" s="41">
        <v>3711</v>
      </c>
      <c r="L50" s="41"/>
      <c r="M50" s="42">
        <v>1500</v>
      </c>
      <c r="N50" s="42">
        <v>3190.37</v>
      </c>
      <c r="O50" s="43">
        <v>137307</v>
      </c>
      <c r="P50" s="44">
        <v>55500</v>
      </c>
      <c r="Q50" s="44">
        <v>118043.69</v>
      </c>
      <c r="R50" s="45">
        <v>0</v>
      </c>
      <c r="S50" s="46">
        <v>0</v>
      </c>
      <c r="T50" s="39">
        <f t="shared" si="19"/>
        <v>15</v>
      </c>
      <c r="U50" s="47">
        <f t="shared" si="20"/>
        <v>7.785052321253165E-2</v>
      </c>
      <c r="V50" s="48">
        <f t="shared" si="21"/>
        <v>1690.37</v>
      </c>
      <c r="W50" s="49">
        <f t="shared" si="22"/>
        <v>5.1900348808354433E-3</v>
      </c>
      <c r="X50" s="44">
        <f t="shared" si="23"/>
        <v>6540.0341606193106</v>
      </c>
      <c r="Y50" s="44">
        <f t="shared" si="24"/>
        <v>62543.69</v>
      </c>
      <c r="Z50" s="44">
        <f t="shared" si="25"/>
        <v>66947.847611466772</v>
      </c>
      <c r="AA50" s="50">
        <f t="shared" si="26"/>
        <v>124583.72416061931</v>
      </c>
      <c r="AB50" s="51">
        <f t="shared" si="27"/>
        <v>62585.629252563114</v>
      </c>
      <c r="AC50" s="44">
        <f t="shared" si="28"/>
        <v>116466.04109621324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1.3961506916040443</v>
      </c>
      <c r="AG50" s="44">
        <f t="shared" si="31"/>
        <v>191701.26301207652</v>
      </c>
      <c r="AH50" s="52">
        <f>HLOOKUP(I50,ElecAvoidedCostsWOCC!$A$5:$Q$50,T50+1,FALSE)</f>
        <v>1.3961506916040443</v>
      </c>
      <c r="AI50" s="44">
        <f t="shared" si="32"/>
        <v>0</v>
      </c>
      <c r="AJ50" s="44">
        <f t="shared" si="33"/>
        <v>191701.26301207652</v>
      </c>
      <c r="AK50" s="44">
        <f>HLOOKUP(I50,ElecAvoidedCostsWOCC!$A$5:$Q$50,G50+1,FALSE)*J50*L50</f>
        <v>0</v>
      </c>
      <c r="AL50" s="44">
        <f t="shared" si="34"/>
        <v>191701.26301207652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191701.2630120765</v>
      </c>
      <c r="AN50" s="48">
        <f t="shared" si="35"/>
        <v>210871.38931328416</v>
      </c>
      <c r="AO50" s="47">
        <f t="shared" si="36"/>
        <v>3.0630236573714025</v>
      </c>
      <c r="AP50" s="47">
        <f t="shared" si="37"/>
        <v>1.8105826155718827</v>
      </c>
      <c r="AQ50">
        <v>2020</v>
      </c>
    </row>
    <row r="51" spans="2:43">
      <c r="B51" s="97" t="s">
        <v>15</v>
      </c>
      <c r="C51" s="61">
        <v>18230635</v>
      </c>
      <c r="D51" s="61" t="s">
        <v>81</v>
      </c>
      <c r="E51" s="38" t="s">
        <v>1860</v>
      </c>
      <c r="F51" s="39" t="s">
        <v>1861</v>
      </c>
      <c r="G51" s="39">
        <v>12</v>
      </c>
      <c r="H51" s="39"/>
      <c r="I51" s="40" t="s">
        <v>248</v>
      </c>
      <c r="J51" s="41">
        <v>2758</v>
      </c>
      <c r="K51" s="41">
        <v>11.32</v>
      </c>
      <c r="L51" s="41"/>
      <c r="M51" s="42">
        <v>2</v>
      </c>
      <c r="N51" s="42">
        <v>2</v>
      </c>
      <c r="O51" s="43">
        <v>31220.559999999499</v>
      </c>
      <c r="P51" s="44">
        <v>10397.6600000002</v>
      </c>
      <c r="Q51" s="44">
        <v>5516</v>
      </c>
      <c r="R51" s="45">
        <v>0</v>
      </c>
      <c r="S51" s="46">
        <v>0</v>
      </c>
      <c r="T51" s="39">
        <f t="shared" si="19"/>
        <v>12</v>
      </c>
      <c r="U51" s="47">
        <f t="shared" si="20"/>
        <v>1.4161182931609886E-2</v>
      </c>
      <c r="V51" s="48">
        <f t="shared" si="21"/>
        <v>0</v>
      </c>
      <c r="W51" s="49">
        <f t="shared" si="22"/>
        <v>1.1800985776341572E-3</v>
      </c>
      <c r="X51" s="44">
        <f t="shared" si="23"/>
        <v>1487.0584086292874</v>
      </c>
      <c r="Y51" s="44">
        <f t="shared" si="24"/>
        <v>-4881.6600000001999</v>
      </c>
      <c r="Z51" s="44">
        <f t="shared" si="25"/>
        <v>15222.452556858878</v>
      </c>
      <c r="AA51" s="50">
        <f t="shared" si="26"/>
        <v>7003.0584086292874</v>
      </c>
      <c r="AB51" s="51">
        <f t="shared" si="27"/>
        <v>14230.581057173858</v>
      </c>
      <c r="AC51" s="44">
        <f t="shared" si="28"/>
        <v>6546.7499379539004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0.91115730059915656</v>
      </c>
      <c r="AG51" s="44">
        <f t="shared" si="31"/>
        <v>28446.841172794</v>
      </c>
      <c r="AH51" s="52">
        <f>HLOOKUP(I51,ElecAvoidedCostsWOCC!$A$5:$Q$50,T51+1,FALSE)</f>
        <v>0.91115730059915656</v>
      </c>
      <c r="AI51" s="44">
        <f t="shared" si="32"/>
        <v>0</v>
      </c>
      <c r="AJ51" s="44">
        <f t="shared" si="33"/>
        <v>28446.841172794</v>
      </c>
      <c r="AK51" s="44">
        <f>HLOOKUP(I51,ElecAvoidedCostsWOCC!$A$5:$Q$50,G51+1,FALSE)*J51*L51</f>
        <v>0</v>
      </c>
      <c r="AL51" s="44">
        <f t="shared" si="34"/>
        <v>28446.841172794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28446.841172794004</v>
      </c>
      <c r="AN51" s="48">
        <f t="shared" si="35"/>
        <v>31291.525290073405</v>
      </c>
      <c r="AO51" s="47">
        <f t="shared" si="36"/>
        <v>1.9989936502595238</v>
      </c>
      <c r="AP51" s="47">
        <f t="shared" si="37"/>
        <v>4.7797037593669192</v>
      </c>
      <c r="AQ51">
        <v>2020</v>
      </c>
    </row>
    <row r="52" spans="2:43">
      <c r="B52" s="97" t="s">
        <v>15</v>
      </c>
      <c r="C52" s="61">
        <v>18230635</v>
      </c>
      <c r="D52" s="61" t="s">
        <v>81</v>
      </c>
      <c r="E52" s="38" t="s">
        <v>1873</v>
      </c>
      <c r="F52" s="39" t="s">
        <v>1874</v>
      </c>
      <c r="G52" s="39">
        <v>10</v>
      </c>
      <c r="H52" s="39"/>
      <c r="I52" s="40" t="s">
        <v>265</v>
      </c>
      <c r="J52" s="41">
        <v>1322</v>
      </c>
      <c r="K52" s="41">
        <v>10</v>
      </c>
      <c r="L52" s="41"/>
      <c r="M52" s="42">
        <v>1.27</v>
      </c>
      <c r="N52" s="42">
        <v>1.27</v>
      </c>
      <c r="O52" s="43">
        <v>13220</v>
      </c>
      <c r="P52" s="44">
        <v>1123.70000000001</v>
      </c>
      <c r="Q52" s="44">
        <v>1678.9399999999901</v>
      </c>
      <c r="R52" s="45">
        <v>2.74</v>
      </c>
      <c r="S52" s="46">
        <v>0</v>
      </c>
      <c r="T52" s="39">
        <f t="shared" si="19"/>
        <v>10</v>
      </c>
      <c r="U52" s="47">
        <f t="shared" si="20"/>
        <v>4.9969965933743038E-3</v>
      </c>
      <c r="V52" s="48">
        <f t="shared" si="21"/>
        <v>0</v>
      </c>
      <c r="W52" s="49">
        <f t="shared" si="22"/>
        <v>4.996996593374304E-4</v>
      </c>
      <c r="X52" s="44">
        <f t="shared" si="23"/>
        <v>629.67839661042251</v>
      </c>
      <c r="Y52" s="44">
        <f t="shared" si="24"/>
        <v>555.23999999998</v>
      </c>
      <c r="Z52" s="44">
        <f t="shared" si="25"/>
        <v>6445.7787689163024</v>
      </c>
      <c r="AA52" s="50">
        <f t="shared" si="26"/>
        <v>2308.6183966104127</v>
      </c>
      <c r="AB52" s="51">
        <f t="shared" si="27"/>
        <v>6025.781778925214</v>
      </c>
      <c r="AC52" s="44">
        <f t="shared" si="28"/>
        <v>2158.1923872211019</v>
      </c>
      <c r="AD52" s="44">
        <f t="shared" si="29"/>
        <v>25476.697252290996</v>
      </c>
      <c r="AE52" s="44">
        <f t="shared" si="30"/>
        <v>0</v>
      </c>
      <c r="AF52" s="52">
        <f>HLOOKUP(I52,ElecAvoidedCostsWOCC!$A$5:$Q$50,G52+1,FALSE)</f>
        <v>0.74487332198138856</v>
      </c>
      <c r="AG52" s="44">
        <f t="shared" si="31"/>
        <v>9847.2253165939564</v>
      </c>
      <c r="AH52" s="52">
        <f>HLOOKUP(I52,ElecAvoidedCostsWOCC!$A$5:$Q$50,T52+1,FALSE)</f>
        <v>0.74487332198138856</v>
      </c>
      <c r="AI52" s="44">
        <f t="shared" si="32"/>
        <v>0</v>
      </c>
      <c r="AJ52" s="44">
        <f t="shared" si="33"/>
        <v>9847.2253165939564</v>
      </c>
      <c r="AK52" s="44">
        <f>HLOOKUP(I52,ElecAvoidedCostsWOCC!$A$5:$Q$50,G52+1,FALSE)*J52*L52</f>
        <v>0</v>
      </c>
      <c r="AL52" s="44">
        <f t="shared" si="34"/>
        <v>9847.2253165939564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9847.2253165939564</v>
      </c>
      <c r="AN52" s="48">
        <f t="shared" si="35"/>
        <v>36308.645100544352</v>
      </c>
      <c r="AO52" s="47">
        <f t="shared" si="36"/>
        <v>1.6341821987370995</v>
      </c>
      <c r="AP52" s="47">
        <f t="shared" si="37"/>
        <v>16.823636908151421</v>
      </c>
      <c r="AQ52">
        <v>2020</v>
      </c>
    </row>
    <row r="53" spans="2:43">
      <c r="B53" s="97" t="s">
        <v>15</v>
      </c>
      <c r="C53" s="61">
        <v>18230635</v>
      </c>
      <c r="D53" s="61" t="s">
        <v>81</v>
      </c>
      <c r="E53" s="38" t="s">
        <v>1875</v>
      </c>
      <c r="F53" s="39" t="s">
        <v>1876</v>
      </c>
      <c r="G53" s="39">
        <v>10</v>
      </c>
      <c r="H53" s="39"/>
      <c r="I53" s="40" t="s">
        <v>265</v>
      </c>
      <c r="J53" s="41">
        <v>1436</v>
      </c>
      <c r="K53" s="41">
        <v>12</v>
      </c>
      <c r="L53" s="41"/>
      <c r="M53" s="42">
        <v>1.81</v>
      </c>
      <c r="N53" s="42">
        <v>1.81</v>
      </c>
      <c r="O53" s="43">
        <v>17232</v>
      </c>
      <c r="P53" s="44">
        <v>1436</v>
      </c>
      <c r="Q53" s="44">
        <v>2599.1599999999498</v>
      </c>
      <c r="R53" s="45">
        <v>2.74</v>
      </c>
      <c r="S53" s="46">
        <v>0</v>
      </c>
      <c r="T53" s="39">
        <f t="shared" ref="T53:T84" si="38">G53+H53</f>
        <v>10</v>
      </c>
      <c r="U53" s="47">
        <f t="shared" ref="U53:U84" si="39">(O53/$A$10)*T53</f>
        <v>6.5134830028007566E-3</v>
      </c>
      <c r="V53" s="48">
        <f t="shared" ref="V53:V84" si="40">N53-M53</f>
        <v>0</v>
      </c>
      <c r="W53" s="49">
        <f t="shared" ref="W53:W84" si="41">(O53/A$10)</f>
        <v>6.5134830028007571E-4</v>
      </c>
      <c r="X53" s="44">
        <f t="shared" ref="X53:X84" si="42">W53*A$8</f>
        <v>820.77292968160373</v>
      </c>
      <c r="Y53" s="44">
        <f t="shared" ref="Y53:Y84" si="43">Q53-P53</f>
        <v>1163.1599999999498</v>
      </c>
      <c r="Z53" s="44">
        <f t="shared" ref="Z53:Z84" si="44">X53+(A$6*W53)</f>
        <v>8401.9409792712358</v>
      </c>
      <c r="AA53" s="50">
        <f t="shared" ref="AA53:AA84" si="45">Q53+X53</f>
        <v>3419.9329296815536</v>
      </c>
      <c r="AB53" s="51">
        <f t="shared" ref="AB53:AB84" si="46">Z53/(1+ElecDiscountRate)^1</f>
        <v>7854.4834806686313</v>
      </c>
      <c r="AC53" s="44">
        <f t="shared" ref="AC53:AC84" si="47">AA53/(1+ElecDiscountRate)^1</f>
        <v>3197.0953815850735</v>
      </c>
      <c r="AD53" s="44">
        <f t="shared" ref="AD53:AD84" si="48">-PV(ElecDiscountRate,T53,R53)*J53</f>
        <v>27673.628785393244</v>
      </c>
      <c r="AE53" s="44">
        <f t="shared" ref="AE53:AE84" si="49">-PV(ElecDiscountRate,T53,S53)*J53</f>
        <v>0</v>
      </c>
      <c r="AF53" s="52">
        <f>HLOOKUP(I53,ElecAvoidedCostsWOCC!$A$5:$Q$50,G53+1,FALSE)</f>
        <v>0.74487332198138856</v>
      </c>
      <c r="AG53" s="44">
        <f t="shared" ref="AG53:AG84" si="50">AF53*J53*K53</f>
        <v>12835.657084383287</v>
      </c>
      <c r="AH53" s="52">
        <f>HLOOKUP(I53,ElecAvoidedCostsWOCC!$A$5:$Q$50,T53+1,FALSE)</f>
        <v>0.74487332198138856</v>
      </c>
      <c r="AI53" s="44">
        <f t="shared" ref="AI53:AI84" si="51">AH53*J53*L53</f>
        <v>0</v>
      </c>
      <c r="AJ53" s="44">
        <f t="shared" ref="AJ53:AJ84" si="52">AG53+AI53</f>
        <v>12835.657084383287</v>
      </c>
      <c r="AK53" s="44">
        <f>HLOOKUP(I53,ElecAvoidedCostsWOCC!$A$5:$Q$50,G53+1,FALSE)*J53*L53</f>
        <v>0</v>
      </c>
      <c r="AL53" s="44">
        <f t="shared" ref="AL53:AL84" si="53">AG53+AI53-AK53</f>
        <v>12835.657084383287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12835.657084383289</v>
      </c>
      <c r="AN53" s="48">
        <f t="shared" ref="AN53:AN84" si="54">AM53*1.1+AD53+AE53</f>
        <v>41792.851578214861</v>
      </c>
      <c r="AO53" s="47">
        <f t="shared" ref="AO53:AO84" si="55">IFERROR(AM53/AB53,0)</f>
        <v>1.6341821987370992</v>
      </c>
      <c r="AP53" s="47">
        <f t="shared" ref="AP53:AP84" si="56">AN53/AC53</f>
        <v>13.072131603873066</v>
      </c>
      <c r="AQ53">
        <v>2020</v>
      </c>
    </row>
    <row r="54" spans="2:43">
      <c r="B54" s="97" t="s">
        <v>15</v>
      </c>
      <c r="C54" s="61">
        <v>18230635</v>
      </c>
      <c r="D54" s="61" t="s">
        <v>81</v>
      </c>
      <c r="E54" s="38" t="s">
        <v>573</v>
      </c>
      <c r="F54" s="39" t="s">
        <v>574</v>
      </c>
      <c r="G54" s="39">
        <v>15</v>
      </c>
      <c r="H54" s="39"/>
      <c r="I54" s="40" t="s">
        <v>268</v>
      </c>
      <c r="J54" s="41">
        <v>250</v>
      </c>
      <c r="K54" s="41">
        <v>1085.4480000000001</v>
      </c>
      <c r="L54" s="41"/>
      <c r="M54" s="42">
        <v>400</v>
      </c>
      <c r="N54" s="42">
        <v>500</v>
      </c>
      <c r="O54" s="43">
        <v>271362</v>
      </c>
      <c r="P54" s="44">
        <v>100000</v>
      </c>
      <c r="Q54" s="44">
        <v>125000</v>
      </c>
      <c r="R54" s="45">
        <v>0</v>
      </c>
      <c r="S54" s="46">
        <v>0</v>
      </c>
      <c r="T54" s="39">
        <f t="shared" si="38"/>
        <v>15</v>
      </c>
      <c r="U54" s="47">
        <f t="shared" si="39"/>
        <v>0.15385722271988328</v>
      </c>
      <c r="V54" s="48">
        <f t="shared" si="40"/>
        <v>100</v>
      </c>
      <c r="W54" s="49">
        <f t="shared" si="41"/>
        <v>1.0257148181325552E-2</v>
      </c>
      <c r="X54" s="44">
        <f t="shared" si="42"/>
        <v>12925.173151361383</v>
      </c>
      <c r="Y54" s="44">
        <f t="shared" si="43"/>
        <v>25000</v>
      </c>
      <c r="Z54" s="44">
        <f t="shared" si="44"/>
        <v>132310.09215511844</v>
      </c>
      <c r="AA54" s="50">
        <f t="shared" si="45"/>
        <v>137925.17315136138</v>
      </c>
      <c r="AB54" s="51">
        <f t="shared" si="46"/>
        <v>123688.97088447082</v>
      </c>
      <c r="AC54" s="44">
        <f t="shared" si="47"/>
        <v>128938.18187469512</v>
      </c>
      <c r="AD54" s="44">
        <f t="shared" si="48"/>
        <v>0</v>
      </c>
      <c r="AE54" s="44">
        <f t="shared" si="49"/>
        <v>0</v>
      </c>
      <c r="AF54" s="52">
        <f>HLOOKUP(I54,ElecAvoidedCostsWOCC!$A$5:$Q$50,G54+1,FALSE)</f>
        <v>1.3961506916040443</v>
      </c>
      <c r="AG54" s="44">
        <f t="shared" si="50"/>
        <v>378862.24397505674</v>
      </c>
      <c r="AH54" s="52">
        <f>HLOOKUP(I54,ElecAvoidedCostsWOCC!$A$5:$Q$50,T54+1,FALSE)</f>
        <v>1.3961506916040443</v>
      </c>
      <c r="AI54" s="44">
        <f t="shared" si="51"/>
        <v>0</v>
      </c>
      <c r="AJ54" s="44">
        <f t="shared" si="52"/>
        <v>378862.24397505674</v>
      </c>
      <c r="AK54" s="44">
        <f>HLOOKUP(I54,ElecAvoidedCostsWOCC!$A$5:$Q$50,G54+1,FALSE)*J54*L54</f>
        <v>0</v>
      </c>
      <c r="AL54" s="44">
        <f t="shared" si="53"/>
        <v>378862.24397505674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378862.24397505668</v>
      </c>
      <c r="AN54" s="48">
        <f t="shared" si="54"/>
        <v>416748.46837256238</v>
      </c>
      <c r="AO54" s="47">
        <f t="shared" si="55"/>
        <v>3.063023657371402</v>
      </c>
      <c r="AP54" s="47">
        <f t="shared" si="56"/>
        <v>3.2321571648774094</v>
      </c>
      <c r="AQ54">
        <v>2020</v>
      </c>
    </row>
    <row r="55" spans="2:43">
      <c r="B55" s="97" t="s">
        <v>15</v>
      </c>
      <c r="C55" s="61">
        <v>18230635</v>
      </c>
      <c r="D55" s="61" t="s">
        <v>81</v>
      </c>
      <c r="E55" s="38" t="s">
        <v>575</v>
      </c>
      <c r="F55" s="39" t="s">
        <v>576</v>
      </c>
      <c r="G55" s="39">
        <v>15</v>
      </c>
      <c r="H55" s="39"/>
      <c r="I55" s="40" t="s">
        <v>268</v>
      </c>
      <c r="J55" s="41">
        <v>21</v>
      </c>
      <c r="K55" s="41">
        <v>1366.4285714285713</v>
      </c>
      <c r="L55" s="41"/>
      <c r="M55" s="42">
        <v>400</v>
      </c>
      <c r="N55" s="42">
        <v>500</v>
      </c>
      <c r="O55" s="43">
        <v>28695</v>
      </c>
      <c r="P55" s="44">
        <v>8400</v>
      </c>
      <c r="Q55" s="44">
        <v>10500</v>
      </c>
      <c r="R55" s="45">
        <v>0</v>
      </c>
      <c r="S55" s="46">
        <v>0</v>
      </c>
      <c r="T55" s="39">
        <f t="shared" si="38"/>
        <v>15</v>
      </c>
      <c r="U55" s="47">
        <f t="shared" si="39"/>
        <v>1.6269532970522957E-2</v>
      </c>
      <c r="V55" s="48">
        <f t="shared" si="40"/>
        <v>100</v>
      </c>
      <c r="W55" s="49">
        <f t="shared" si="41"/>
        <v>1.0846355313681971E-3</v>
      </c>
      <c r="X55" s="44">
        <f t="shared" si="42"/>
        <v>1366.7641142765563</v>
      </c>
      <c r="Y55" s="44">
        <f t="shared" si="43"/>
        <v>2100</v>
      </c>
      <c r="Z55" s="44">
        <f t="shared" si="44"/>
        <v>13991.045519973775</v>
      </c>
      <c r="AA55" s="50">
        <f t="shared" si="45"/>
        <v>11866.764114276557</v>
      </c>
      <c r="AB55" s="51">
        <f t="shared" si="46"/>
        <v>13079.410601078596</v>
      </c>
      <c r="AC55" s="44">
        <f t="shared" si="47"/>
        <v>11093.544091125133</v>
      </c>
      <c r="AD55" s="44">
        <f t="shared" si="48"/>
        <v>0</v>
      </c>
      <c r="AE55" s="44">
        <f t="shared" si="49"/>
        <v>0</v>
      </c>
      <c r="AF55" s="52">
        <f>HLOOKUP(I55,ElecAvoidedCostsWOCC!$A$5:$Q$50,G55+1,FALSE)</f>
        <v>1.3961506916040443</v>
      </c>
      <c r="AG55" s="44">
        <f t="shared" si="50"/>
        <v>40062.544095578043</v>
      </c>
      <c r="AH55" s="52">
        <f>HLOOKUP(I55,ElecAvoidedCostsWOCC!$A$5:$Q$50,T55+1,FALSE)</f>
        <v>1.3961506916040443</v>
      </c>
      <c r="AI55" s="44">
        <f t="shared" si="51"/>
        <v>0</v>
      </c>
      <c r="AJ55" s="44">
        <f t="shared" si="52"/>
        <v>40062.544095578043</v>
      </c>
      <c r="AK55" s="44">
        <f>HLOOKUP(I55,ElecAvoidedCostsWOCC!$A$5:$Q$50,G55+1,FALSE)*J55*L55</f>
        <v>0</v>
      </c>
      <c r="AL55" s="44">
        <f t="shared" si="53"/>
        <v>40062.544095578043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40062.544095578043</v>
      </c>
      <c r="AN55" s="48">
        <f t="shared" si="54"/>
        <v>44068.798505135848</v>
      </c>
      <c r="AO55" s="47">
        <f t="shared" si="55"/>
        <v>3.0630236573714016</v>
      </c>
      <c r="AP55" s="47">
        <f t="shared" si="56"/>
        <v>3.9724724707581061</v>
      </c>
      <c r="AQ55">
        <v>2020</v>
      </c>
    </row>
    <row r="56" spans="2:43">
      <c r="B56" s="97" t="s">
        <v>15</v>
      </c>
      <c r="C56" s="61">
        <v>18230635</v>
      </c>
      <c r="D56" s="61" t="s">
        <v>81</v>
      </c>
      <c r="E56" s="38" t="s">
        <v>577</v>
      </c>
      <c r="F56" s="39" t="s">
        <v>578</v>
      </c>
      <c r="G56" s="39">
        <v>15</v>
      </c>
      <c r="H56" s="39"/>
      <c r="I56" s="40" t="s">
        <v>268</v>
      </c>
      <c r="J56" s="41">
        <v>541</v>
      </c>
      <c r="K56" s="41">
        <v>1555.8890942698706</v>
      </c>
      <c r="L56" s="41"/>
      <c r="M56" s="42">
        <v>600</v>
      </c>
      <c r="N56" s="42">
        <v>840</v>
      </c>
      <c r="O56" s="43">
        <v>841736</v>
      </c>
      <c r="P56" s="44">
        <v>324600</v>
      </c>
      <c r="Q56" s="44">
        <v>454440</v>
      </c>
      <c r="R56" s="45">
        <v>0</v>
      </c>
      <c r="S56" s="46">
        <v>0</v>
      </c>
      <c r="T56" s="39">
        <f t="shared" si="38"/>
        <v>15</v>
      </c>
      <c r="U56" s="47">
        <f t="shared" si="39"/>
        <v>0.4772487055053532</v>
      </c>
      <c r="V56" s="48">
        <f t="shared" si="40"/>
        <v>240</v>
      </c>
      <c r="W56" s="49">
        <f t="shared" si="41"/>
        <v>3.1816580367023548E-2</v>
      </c>
      <c r="X56" s="44">
        <f t="shared" si="42"/>
        <v>40092.509443969029</v>
      </c>
      <c r="Y56" s="44">
        <f t="shared" si="43"/>
        <v>129840</v>
      </c>
      <c r="Z56" s="44">
        <f t="shared" si="44"/>
        <v>410411.80316433683</v>
      </c>
      <c r="AA56" s="50">
        <f t="shared" si="45"/>
        <v>494532.509443969</v>
      </c>
      <c r="AB56" s="51">
        <f t="shared" si="46"/>
        <v>383670.00389299507</v>
      </c>
      <c r="AC56" s="44">
        <f t="shared" si="47"/>
        <v>462309.53486395156</v>
      </c>
      <c r="AD56" s="44">
        <f t="shared" si="48"/>
        <v>0</v>
      </c>
      <c r="AE56" s="44">
        <f t="shared" si="49"/>
        <v>0</v>
      </c>
      <c r="AF56" s="52">
        <f>HLOOKUP(I56,ElecAvoidedCostsWOCC!$A$5:$Q$50,G56+1,FALSE)</f>
        <v>1.3961506916040443</v>
      </c>
      <c r="AG56" s="44">
        <f t="shared" si="50"/>
        <v>1175190.2985480218</v>
      </c>
      <c r="AH56" s="52">
        <f>HLOOKUP(I56,ElecAvoidedCostsWOCC!$A$5:$Q$50,T56+1,FALSE)</f>
        <v>1.3961506916040443</v>
      </c>
      <c r="AI56" s="44">
        <f t="shared" si="51"/>
        <v>0</v>
      </c>
      <c r="AJ56" s="44">
        <f t="shared" si="52"/>
        <v>1175190.2985480218</v>
      </c>
      <c r="AK56" s="44">
        <f>HLOOKUP(I56,ElecAvoidedCostsWOCC!$A$5:$Q$50,G56+1,FALSE)*J56*L56</f>
        <v>0</v>
      </c>
      <c r="AL56" s="44">
        <f t="shared" si="53"/>
        <v>1175190.2985480218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1175190.2985480218</v>
      </c>
      <c r="AN56" s="48">
        <f t="shared" si="54"/>
        <v>1292709.328402824</v>
      </c>
      <c r="AO56" s="47">
        <f t="shared" si="55"/>
        <v>3.063023657371402</v>
      </c>
      <c r="AP56" s="47">
        <f t="shared" si="56"/>
        <v>2.7961987173447387</v>
      </c>
      <c r="AQ56">
        <v>2020</v>
      </c>
    </row>
    <row r="57" spans="2:43">
      <c r="B57" s="97" t="s">
        <v>15</v>
      </c>
      <c r="C57" s="61">
        <v>18230635</v>
      </c>
      <c r="D57" s="61" t="s">
        <v>81</v>
      </c>
      <c r="E57" s="38" t="s">
        <v>579</v>
      </c>
      <c r="F57" s="39" t="s">
        <v>580</v>
      </c>
      <c r="G57" s="39">
        <v>15</v>
      </c>
      <c r="H57" s="39"/>
      <c r="I57" s="40" t="s">
        <v>268</v>
      </c>
      <c r="J57" s="41">
        <v>114</v>
      </c>
      <c r="K57" s="41">
        <v>1570.7456140350878</v>
      </c>
      <c r="L57" s="41"/>
      <c r="M57" s="42">
        <v>600</v>
      </c>
      <c r="N57" s="42">
        <v>840</v>
      </c>
      <c r="O57" s="43">
        <v>179065</v>
      </c>
      <c r="P57" s="44">
        <v>68400</v>
      </c>
      <c r="Q57" s="44">
        <v>95760</v>
      </c>
      <c r="R57" s="45">
        <v>0</v>
      </c>
      <c r="S57" s="46">
        <v>0</v>
      </c>
      <c r="T57" s="39">
        <f t="shared" si="38"/>
        <v>15</v>
      </c>
      <c r="U57" s="47">
        <f t="shared" si="39"/>
        <v>0.10152653498402833</v>
      </c>
      <c r="V57" s="48">
        <f t="shared" si="40"/>
        <v>240</v>
      </c>
      <c r="W57" s="49">
        <f t="shared" si="41"/>
        <v>6.7684356656018893E-3</v>
      </c>
      <c r="X57" s="44">
        <f t="shared" si="42"/>
        <v>8528.9986451622772</v>
      </c>
      <c r="Y57" s="44">
        <f t="shared" si="43"/>
        <v>27360</v>
      </c>
      <c r="Z57" s="44">
        <f t="shared" si="44"/>
        <v>87308.122182753243</v>
      </c>
      <c r="AA57" s="50">
        <f t="shared" si="45"/>
        <v>104288.99864516228</v>
      </c>
      <c r="AB57" s="51">
        <f t="shared" si="46"/>
        <v>81619.25977634218</v>
      </c>
      <c r="AC57" s="44">
        <f t="shared" si="47"/>
        <v>97493.688553016982</v>
      </c>
      <c r="AD57" s="44">
        <f t="shared" si="48"/>
        <v>0</v>
      </c>
      <c r="AE57" s="44">
        <f t="shared" si="49"/>
        <v>0</v>
      </c>
      <c r="AF57" s="52">
        <f>HLOOKUP(I57,ElecAvoidedCostsWOCC!$A$5:$Q$50,G57+1,FALSE)</f>
        <v>1.3961506916040443</v>
      </c>
      <c r="AG57" s="44">
        <f t="shared" si="50"/>
        <v>250001.72359207817</v>
      </c>
      <c r="AH57" s="52">
        <f>HLOOKUP(I57,ElecAvoidedCostsWOCC!$A$5:$Q$50,T57+1,FALSE)</f>
        <v>1.3961506916040443</v>
      </c>
      <c r="AI57" s="44">
        <f t="shared" si="51"/>
        <v>0</v>
      </c>
      <c r="AJ57" s="44">
        <f t="shared" si="52"/>
        <v>250001.72359207817</v>
      </c>
      <c r="AK57" s="44">
        <f>HLOOKUP(I57,ElecAvoidedCostsWOCC!$A$5:$Q$50,G57+1,FALSE)*J57*L57</f>
        <v>0</v>
      </c>
      <c r="AL57" s="44">
        <f t="shared" si="53"/>
        <v>250001.72359207817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250001.7235920782</v>
      </c>
      <c r="AN57" s="48">
        <f t="shared" si="54"/>
        <v>275001.89595128602</v>
      </c>
      <c r="AO57" s="47">
        <f t="shared" si="55"/>
        <v>3.063023657371402</v>
      </c>
      <c r="AP57" s="47">
        <f t="shared" si="56"/>
        <v>2.820714858908433</v>
      </c>
      <c r="AQ57">
        <v>2020</v>
      </c>
    </row>
    <row r="58" spans="2:43">
      <c r="B58" s="97" t="s">
        <v>15</v>
      </c>
      <c r="C58" s="61">
        <v>18230635</v>
      </c>
      <c r="D58" s="61" t="s">
        <v>81</v>
      </c>
      <c r="E58" s="38" t="s">
        <v>581</v>
      </c>
      <c r="F58" s="39" t="s">
        <v>582</v>
      </c>
      <c r="G58" s="39">
        <v>15</v>
      </c>
      <c r="H58" s="39"/>
      <c r="I58" s="40" t="s">
        <v>268</v>
      </c>
      <c r="J58" s="41">
        <v>1</v>
      </c>
      <c r="K58" s="41">
        <v>8531</v>
      </c>
      <c r="L58" s="41"/>
      <c r="M58" s="42">
        <v>500</v>
      </c>
      <c r="N58" s="42">
        <v>592</v>
      </c>
      <c r="O58" s="43">
        <v>8531</v>
      </c>
      <c r="P58" s="44">
        <v>500</v>
      </c>
      <c r="Q58" s="44">
        <v>592</v>
      </c>
      <c r="R58" s="45">
        <v>0</v>
      </c>
      <c r="S58" s="46">
        <v>0</v>
      </c>
      <c r="T58" s="39">
        <f t="shared" si="38"/>
        <v>15</v>
      </c>
      <c r="U58" s="47">
        <f t="shared" si="39"/>
        <v>4.8369188280721846E-3</v>
      </c>
      <c r="V58" s="48">
        <f t="shared" si="40"/>
        <v>92</v>
      </c>
      <c r="W58" s="49">
        <f t="shared" si="41"/>
        <v>3.2246125520481232E-4</v>
      </c>
      <c r="X58" s="44">
        <f t="shared" si="42"/>
        <v>406.33785185200566</v>
      </c>
      <c r="Y58" s="44">
        <f t="shared" si="43"/>
        <v>92</v>
      </c>
      <c r="Z58" s="44">
        <f t="shared" si="44"/>
        <v>4159.5263750094537</v>
      </c>
      <c r="AA58" s="50">
        <f t="shared" si="45"/>
        <v>998.33785185200566</v>
      </c>
      <c r="AB58" s="51">
        <f t="shared" si="46"/>
        <v>3888.4980602126329</v>
      </c>
      <c r="AC58" s="44">
        <f t="shared" si="47"/>
        <v>933.28769921660796</v>
      </c>
      <c r="AD58" s="44">
        <f t="shared" si="48"/>
        <v>0</v>
      </c>
      <c r="AE58" s="44">
        <f t="shared" si="49"/>
        <v>0</v>
      </c>
      <c r="AF58" s="52">
        <f>HLOOKUP(I58,ElecAvoidedCostsWOCC!$A$5:$Q$50,G58+1,FALSE)</f>
        <v>1.3961506916040443</v>
      </c>
      <c r="AG58" s="44">
        <f t="shared" si="50"/>
        <v>11910.561550074102</v>
      </c>
      <c r="AH58" s="52">
        <f>HLOOKUP(I58,ElecAvoidedCostsWOCC!$A$5:$Q$50,T58+1,FALSE)</f>
        <v>1.3961506916040443</v>
      </c>
      <c r="AI58" s="44">
        <f t="shared" si="51"/>
        <v>0</v>
      </c>
      <c r="AJ58" s="44">
        <f t="shared" si="52"/>
        <v>11910.561550074102</v>
      </c>
      <c r="AK58" s="44">
        <f>HLOOKUP(I58,ElecAvoidedCostsWOCC!$A$5:$Q$50,G58+1,FALSE)*J58*L58</f>
        <v>0</v>
      </c>
      <c r="AL58" s="44">
        <f t="shared" si="53"/>
        <v>11910.561550074102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11910.561550074102</v>
      </c>
      <c r="AN58" s="48">
        <f t="shared" si="54"/>
        <v>13101.617705081513</v>
      </c>
      <c r="AO58" s="47">
        <f t="shared" si="55"/>
        <v>3.0630236573714025</v>
      </c>
      <c r="AP58" s="47">
        <f t="shared" si="56"/>
        <v>14.038133917417829</v>
      </c>
      <c r="AQ58">
        <v>2020</v>
      </c>
    </row>
    <row r="59" spans="2:43">
      <c r="B59" s="97" t="s">
        <v>15</v>
      </c>
      <c r="C59" s="61">
        <v>18230635</v>
      </c>
      <c r="D59" s="61" t="s">
        <v>81</v>
      </c>
      <c r="E59" s="38" t="s">
        <v>583</v>
      </c>
      <c r="F59" s="39" t="s">
        <v>584</v>
      </c>
      <c r="G59" s="39">
        <v>15</v>
      </c>
      <c r="H59" s="39"/>
      <c r="I59" s="40" t="s">
        <v>268</v>
      </c>
      <c r="J59" s="41">
        <v>138</v>
      </c>
      <c r="K59" s="41">
        <v>4159.391304347826</v>
      </c>
      <c r="L59" s="41"/>
      <c r="M59" s="42">
        <v>300</v>
      </c>
      <c r="N59" s="42">
        <v>450</v>
      </c>
      <c r="O59" s="43">
        <v>573996</v>
      </c>
      <c r="P59" s="44">
        <v>41400</v>
      </c>
      <c r="Q59" s="44">
        <v>62100</v>
      </c>
      <c r="R59" s="45">
        <v>0</v>
      </c>
      <c r="S59" s="46">
        <v>0</v>
      </c>
      <c r="T59" s="39">
        <f t="shared" si="38"/>
        <v>15</v>
      </c>
      <c r="U59" s="47">
        <f t="shared" si="39"/>
        <v>0.32544508963053825</v>
      </c>
      <c r="V59" s="48">
        <f t="shared" si="40"/>
        <v>150</v>
      </c>
      <c r="W59" s="49">
        <f t="shared" si="41"/>
        <v>2.1696339308702552E-2</v>
      </c>
      <c r="X59" s="44">
        <f t="shared" si="42"/>
        <v>27339.854836671417</v>
      </c>
      <c r="Y59" s="44">
        <f t="shared" si="43"/>
        <v>20700</v>
      </c>
      <c r="Z59" s="44">
        <f t="shared" si="44"/>
        <v>279867.71787011216</v>
      </c>
      <c r="AA59" s="50">
        <f t="shared" si="45"/>
        <v>89439.854836671409</v>
      </c>
      <c r="AB59" s="51">
        <f t="shared" si="46"/>
        <v>261631.96958970939</v>
      </c>
      <c r="AC59" s="44">
        <f t="shared" si="47"/>
        <v>83612.092022689918</v>
      </c>
      <c r="AD59" s="44">
        <f t="shared" si="48"/>
        <v>0</v>
      </c>
      <c r="AE59" s="44">
        <f t="shared" si="49"/>
        <v>0</v>
      </c>
      <c r="AF59" s="52">
        <f>HLOOKUP(I59,ElecAvoidedCostsWOCC!$A$5:$Q$50,G59+1,FALSE)</f>
        <v>1.3961506916040443</v>
      </c>
      <c r="AG59" s="44">
        <f t="shared" si="50"/>
        <v>801384.91237795493</v>
      </c>
      <c r="AH59" s="52">
        <f>HLOOKUP(I59,ElecAvoidedCostsWOCC!$A$5:$Q$50,T59+1,FALSE)</f>
        <v>1.3961506916040443</v>
      </c>
      <c r="AI59" s="44">
        <f t="shared" si="51"/>
        <v>0</v>
      </c>
      <c r="AJ59" s="44">
        <f t="shared" si="52"/>
        <v>801384.91237795493</v>
      </c>
      <c r="AK59" s="44">
        <f>HLOOKUP(I59,ElecAvoidedCostsWOCC!$A$5:$Q$50,G59+1,FALSE)*J59*L59</f>
        <v>0</v>
      </c>
      <c r="AL59" s="44">
        <f t="shared" si="53"/>
        <v>801384.91237795493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801384.91237795504</v>
      </c>
      <c r="AN59" s="48">
        <f t="shared" si="54"/>
        <v>881523.40361575061</v>
      </c>
      <c r="AO59" s="47">
        <f t="shared" si="55"/>
        <v>3.063023657371402</v>
      </c>
      <c r="AP59" s="47">
        <f t="shared" si="56"/>
        <v>10.543013364341254</v>
      </c>
      <c r="AQ59">
        <v>2020</v>
      </c>
    </row>
    <row r="60" spans="2:43">
      <c r="B60" s="97" t="s">
        <v>15</v>
      </c>
      <c r="C60" s="61">
        <v>18230635</v>
      </c>
      <c r="D60" s="61" t="s">
        <v>81</v>
      </c>
      <c r="E60" s="38" t="s">
        <v>585</v>
      </c>
      <c r="F60" s="39" t="s">
        <v>586</v>
      </c>
      <c r="G60" s="39">
        <v>15</v>
      </c>
      <c r="H60" s="39"/>
      <c r="I60" s="40" t="s">
        <v>268</v>
      </c>
      <c r="J60" s="41">
        <v>4</v>
      </c>
      <c r="K60" s="41">
        <v>217</v>
      </c>
      <c r="L60" s="41"/>
      <c r="M60" s="42">
        <v>300</v>
      </c>
      <c r="N60" s="42">
        <v>450</v>
      </c>
      <c r="O60" s="43">
        <v>868</v>
      </c>
      <c r="P60" s="44">
        <v>1200</v>
      </c>
      <c r="Q60" s="44">
        <v>1800</v>
      </c>
      <c r="R60" s="45">
        <v>0</v>
      </c>
      <c r="S60" s="46">
        <v>0</v>
      </c>
      <c r="T60" s="39">
        <f t="shared" si="38"/>
        <v>15</v>
      </c>
      <c r="U60" s="47">
        <f t="shared" si="39"/>
        <v>4.9213990654866442E-4</v>
      </c>
      <c r="V60" s="48">
        <f t="shared" si="40"/>
        <v>150</v>
      </c>
      <c r="W60" s="49">
        <f t="shared" si="41"/>
        <v>3.2809327103244295E-5</v>
      </c>
      <c r="X60" s="44">
        <f t="shared" si="42"/>
        <v>41.343483226766018</v>
      </c>
      <c r="Y60" s="44">
        <f t="shared" si="43"/>
        <v>600</v>
      </c>
      <c r="Z60" s="44">
        <f t="shared" si="44"/>
        <v>423.21754700600229</v>
      </c>
      <c r="AA60" s="50">
        <f t="shared" si="45"/>
        <v>1841.343483226766</v>
      </c>
      <c r="AB60" s="51">
        <f t="shared" si="46"/>
        <v>395.6413452425935</v>
      </c>
      <c r="AC60" s="44">
        <f t="shared" si="47"/>
        <v>1721.3643855536748</v>
      </c>
      <c r="AD60" s="44">
        <f t="shared" si="48"/>
        <v>0</v>
      </c>
      <c r="AE60" s="44">
        <f t="shared" si="49"/>
        <v>0</v>
      </c>
      <c r="AF60" s="52">
        <f>HLOOKUP(I60,ElecAvoidedCostsWOCC!$A$5:$Q$50,G60+1,FALSE)</f>
        <v>1.3961506916040443</v>
      </c>
      <c r="AG60" s="44">
        <f t="shared" si="50"/>
        <v>1211.8588003123104</v>
      </c>
      <c r="AH60" s="52">
        <f>HLOOKUP(I60,ElecAvoidedCostsWOCC!$A$5:$Q$50,T60+1,FALSE)</f>
        <v>1.3961506916040443</v>
      </c>
      <c r="AI60" s="44">
        <f t="shared" si="51"/>
        <v>0</v>
      </c>
      <c r="AJ60" s="44">
        <f t="shared" si="52"/>
        <v>1211.8588003123104</v>
      </c>
      <c r="AK60" s="44">
        <f>HLOOKUP(I60,ElecAvoidedCostsWOCC!$A$5:$Q$50,G60+1,FALSE)*J60*L60</f>
        <v>0</v>
      </c>
      <c r="AL60" s="44">
        <f t="shared" si="53"/>
        <v>1211.8588003123104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1211.8588003123104</v>
      </c>
      <c r="AN60" s="48">
        <f t="shared" si="54"/>
        <v>1333.0446803435416</v>
      </c>
      <c r="AO60" s="47">
        <f t="shared" si="55"/>
        <v>3.0630236573714025</v>
      </c>
      <c r="AP60" s="47">
        <f t="shared" si="56"/>
        <v>0.7744116768831425</v>
      </c>
      <c r="AQ60">
        <v>2020</v>
      </c>
    </row>
    <row r="61" spans="2:43">
      <c r="B61" s="97" t="s">
        <v>15</v>
      </c>
      <c r="C61" s="61">
        <v>18230635</v>
      </c>
      <c r="D61" s="61" t="s">
        <v>81</v>
      </c>
      <c r="E61" s="38" t="s">
        <v>587</v>
      </c>
      <c r="F61" s="39" t="s">
        <v>588</v>
      </c>
      <c r="G61" s="39">
        <v>15</v>
      </c>
      <c r="H61" s="39"/>
      <c r="I61" s="40" t="s">
        <v>268</v>
      </c>
      <c r="J61" s="41">
        <v>116</v>
      </c>
      <c r="K61" s="41">
        <v>5293.3620689655172</v>
      </c>
      <c r="L61" s="41"/>
      <c r="M61" s="42">
        <v>500</v>
      </c>
      <c r="N61" s="42">
        <v>732</v>
      </c>
      <c r="O61" s="43">
        <v>614030</v>
      </c>
      <c r="P61" s="44">
        <v>58000</v>
      </c>
      <c r="Q61" s="44">
        <v>84912</v>
      </c>
      <c r="R61" s="45">
        <v>0</v>
      </c>
      <c r="S61" s="46">
        <v>0</v>
      </c>
      <c r="T61" s="39">
        <f t="shared" si="38"/>
        <v>15</v>
      </c>
      <c r="U61" s="47">
        <f t="shared" si="39"/>
        <v>0.3481436253664475</v>
      </c>
      <c r="V61" s="48">
        <f t="shared" si="40"/>
        <v>232</v>
      </c>
      <c r="W61" s="49">
        <f t="shared" si="41"/>
        <v>2.3209575024429833E-2</v>
      </c>
      <c r="X61" s="44">
        <f t="shared" si="42"/>
        <v>29246.703923653382</v>
      </c>
      <c r="Y61" s="44">
        <f t="shared" si="43"/>
        <v>26912</v>
      </c>
      <c r="Z61" s="44">
        <f t="shared" si="44"/>
        <v>299387.40828121617</v>
      </c>
      <c r="AA61" s="50">
        <f t="shared" si="45"/>
        <v>114158.70392365337</v>
      </c>
      <c r="AB61" s="51">
        <f t="shared" si="46"/>
        <v>279879.78711902042</v>
      </c>
      <c r="AC61" s="44">
        <f t="shared" si="47"/>
        <v>106720.29907792219</v>
      </c>
      <c r="AD61" s="44">
        <f t="shared" si="48"/>
        <v>0</v>
      </c>
      <c r="AE61" s="44">
        <f t="shared" si="49"/>
        <v>0</v>
      </c>
      <c r="AF61" s="52">
        <f>HLOOKUP(I61,ElecAvoidedCostsWOCC!$A$5:$Q$50,G61+1,FALSE)</f>
        <v>1.3961506916040443</v>
      </c>
      <c r="AG61" s="44">
        <f t="shared" si="50"/>
        <v>857278.40916563128</v>
      </c>
      <c r="AH61" s="52">
        <f>HLOOKUP(I61,ElecAvoidedCostsWOCC!$A$5:$Q$50,T61+1,FALSE)</f>
        <v>1.3961506916040443</v>
      </c>
      <c r="AI61" s="44">
        <f t="shared" si="51"/>
        <v>0</v>
      </c>
      <c r="AJ61" s="44">
        <f t="shared" si="52"/>
        <v>857278.40916563128</v>
      </c>
      <c r="AK61" s="44">
        <f>HLOOKUP(I61,ElecAvoidedCostsWOCC!$A$5:$Q$50,G61+1,FALSE)*J61*L61</f>
        <v>0</v>
      </c>
      <c r="AL61" s="44">
        <f t="shared" si="53"/>
        <v>857278.40916563128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857278.40916563128</v>
      </c>
      <c r="AN61" s="48">
        <f t="shared" si="54"/>
        <v>943006.25008219446</v>
      </c>
      <c r="AO61" s="47">
        <f t="shared" si="55"/>
        <v>3.063023657371402</v>
      </c>
      <c r="AP61" s="47">
        <f t="shared" si="56"/>
        <v>8.8362406986289947</v>
      </c>
      <c r="AQ61">
        <v>2020</v>
      </c>
    </row>
    <row r="62" spans="2:43">
      <c r="B62" s="97" t="s">
        <v>15</v>
      </c>
      <c r="C62" s="61">
        <v>18230635</v>
      </c>
      <c r="D62" s="61" t="s">
        <v>81</v>
      </c>
      <c r="E62" s="38" t="s">
        <v>591</v>
      </c>
      <c r="F62" s="39" t="s">
        <v>592</v>
      </c>
      <c r="G62" s="39"/>
      <c r="H62" s="39"/>
      <c r="I62" s="40" t="s">
        <v>269</v>
      </c>
      <c r="J62" s="41">
        <v>1185</v>
      </c>
      <c r="K62" s="41">
        <v>0</v>
      </c>
      <c r="L62" s="41"/>
      <c r="M62" s="42">
        <v>50</v>
      </c>
      <c r="N62" s="42">
        <v>50</v>
      </c>
      <c r="O62" s="43">
        <v>0</v>
      </c>
      <c r="P62" s="44">
        <v>59250</v>
      </c>
      <c r="Q62" s="44">
        <v>59250</v>
      </c>
      <c r="R62" s="45">
        <v>0</v>
      </c>
      <c r="S62" s="46">
        <v>0</v>
      </c>
      <c r="T62" s="39">
        <f t="shared" si="38"/>
        <v>0</v>
      </c>
      <c r="U62" s="47">
        <f t="shared" si="39"/>
        <v>0</v>
      </c>
      <c r="V62" s="48">
        <f t="shared" si="40"/>
        <v>0</v>
      </c>
      <c r="W62" s="49">
        <f t="shared" si="41"/>
        <v>0</v>
      </c>
      <c r="X62" s="44">
        <f t="shared" si="42"/>
        <v>0</v>
      </c>
      <c r="Y62" s="44">
        <f t="shared" si="43"/>
        <v>0</v>
      </c>
      <c r="Z62" s="44">
        <f t="shared" si="44"/>
        <v>0</v>
      </c>
      <c r="AA62" s="50">
        <f t="shared" si="45"/>
        <v>59250</v>
      </c>
      <c r="AB62" s="51">
        <f t="shared" si="46"/>
        <v>0</v>
      </c>
      <c r="AC62" s="44">
        <f t="shared" si="47"/>
        <v>55389.361503225198</v>
      </c>
      <c r="AD62" s="44">
        <f t="shared" si="48"/>
        <v>0</v>
      </c>
      <c r="AE62" s="44">
        <f t="shared" si="49"/>
        <v>0</v>
      </c>
      <c r="AF62" s="52" t="str">
        <f>HLOOKUP(I62,ElecAvoidedCostsWOCC!$A$5:$Q$50,G62+1,FALSE)</f>
        <v>SF Space Heat</v>
      </c>
      <c r="AG62" s="44" t="e">
        <f t="shared" si="50"/>
        <v>#VALUE!</v>
      </c>
      <c r="AH62" s="52" t="str">
        <f>HLOOKUP(I62,ElecAvoidedCostsWOCC!$A$5:$Q$50,T62+1,FALSE)</f>
        <v>SF Space Heat</v>
      </c>
      <c r="AI62" s="44" t="e">
        <f t="shared" si="51"/>
        <v>#VALUE!</v>
      </c>
      <c r="AJ62" s="44" t="e">
        <f t="shared" si="52"/>
        <v>#VALUE!</v>
      </c>
      <c r="AK62" s="44" t="e">
        <f>HLOOKUP(I62,ElecAvoidedCostsWOCC!$A$5:$Q$50,G62+1,FALSE)*J62*L62</f>
        <v>#VALUE!</v>
      </c>
      <c r="AL62" s="44" t="e">
        <f t="shared" si="53"/>
        <v>#VALUE!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4"/>
        <v>0</v>
      </c>
      <c r="AO62" s="47">
        <f t="shared" si="55"/>
        <v>0</v>
      </c>
      <c r="AP62" s="47">
        <f t="shared" si="56"/>
        <v>0</v>
      </c>
      <c r="AQ62">
        <v>2020</v>
      </c>
    </row>
    <row r="63" spans="2:43">
      <c r="B63" s="9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8"/>
        <v>0</v>
      </c>
      <c r="U63" s="47">
        <f t="shared" si="39"/>
        <v>0</v>
      </c>
      <c r="V63" s="48">
        <f t="shared" si="40"/>
        <v>0</v>
      </c>
      <c r="W63" s="49">
        <f t="shared" si="41"/>
        <v>0</v>
      </c>
      <c r="X63" s="44">
        <f t="shared" si="42"/>
        <v>0</v>
      </c>
      <c r="Y63" s="44">
        <f t="shared" si="43"/>
        <v>0</v>
      </c>
      <c r="Z63" s="44">
        <f t="shared" si="44"/>
        <v>0</v>
      </c>
      <c r="AA63" s="50">
        <f t="shared" si="45"/>
        <v>0</v>
      </c>
      <c r="AB63" s="51">
        <f t="shared" si="46"/>
        <v>0</v>
      </c>
      <c r="AC63" s="44">
        <f t="shared" si="47"/>
        <v>0</v>
      </c>
      <c r="AD63" s="44">
        <f t="shared" si="48"/>
        <v>0</v>
      </c>
      <c r="AE63" s="44">
        <f t="shared" si="49"/>
        <v>0</v>
      </c>
      <c r="AF63" s="52" t="e">
        <f>HLOOKUP(I63,ElecAvoidedCostsWOCC!$A$5:$Q$50,G63+1,FALSE)</f>
        <v>#N/A</v>
      </c>
      <c r="AG63" s="44" t="e">
        <f t="shared" si="50"/>
        <v>#N/A</v>
      </c>
      <c r="AH63" s="52" t="e">
        <f>HLOOKUP(I63,ElecAvoidedCostsWOCC!$A$5:$Q$50,T63+1,FALSE)</f>
        <v>#N/A</v>
      </c>
      <c r="AI63" s="44" t="e">
        <f t="shared" si="51"/>
        <v>#N/A</v>
      </c>
      <c r="AJ63" s="44" t="e">
        <f t="shared" si="52"/>
        <v>#N/A</v>
      </c>
      <c r="AK63" s="44" t="e">
        <f>HLOOKUP(I63,ElecAvoidedCostsWOCC!$A$5:$Q$50,G63+1,FALSE)*J63*L63</f>
        <v>#N/A</v>
      </c>
      <c r="AL63" s="44" t="e">
        <f t="shared" si="53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54"/>
        <v>0</v>
      </c>
      <c r="AO63" s="47">
        <f t="shared" si="55"/>
        <v>0</v>
      </c>
      <c r="AP63" s="47" t="e">
        <f t="shared" si="56"/>
        <v>#DIV/0!</v>
      </c>
    </row>
    <row r="64" spans="2:43">
      <c r="B64" s="9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8"/>
        <v>0</v>
      </c>
      <c r="U64" s="47">
        <f t="shared" si="39"/>
        <v>0</v>
      </c>
      <c r="V64" s="48">
        <f t="shared" si="40"/>
        <v>0</v>
      </c>
      <c r="W64" s="49">
        <f t="shared" si="41"/>
        <v>0</v>
      </c>
      <c r="X64" s="44">
        <f t="shared" si="42"/>
        <v>0</v>
      </c>
      <c r="Y64" s="44">
        <f t="shared" si="43"/>
        <v>0</v>
      </c>
      <c r="Z64" s="44">
        <f t="shared" si="44"/>
        <v>0</v>
      </c>
      <c r="AA64" s="50">
        <f t="shared" si="45"/>
        <v>0</v>
      </c>
      <c r="AB64" s="51">
        <f t="shared" si="46"/>
        <v>0</v>
      </c>
      <c r="AC64" s="44">
        <f t="shared" si="47"/>
        <v>0</v>
      </c>
      <c r="AD64" s="44">
        <f t="shared" si="48"/>
        <v>0</v>
      </c>
      <c r="AE64" s="44">
        <f t="shared" si="49"/>
        <v>0</v>
      </c>
      <c r="AF64" s="52" t="e">
        <f>HLOOKUP(I64,ElecAvoidedCostsWOCC!$A$5:$Q$50,G64+1,FALSE)</f>
        <v>#N/A</v>
      </c>
      <c r="AG64" s="44" t="e">
        <f t="shared" si="50"/>
        <v>#N/A</v>
      </c>
      <c r="AH64" s="52" t="e">
        <f>HLOOKUP(I64,ElecAvoidedCostsWOCC!$A$5:$Q$50,T64+1,FALSE)</f>
        <v>#N/A</v>
      </c>
      <c r="AI64" s="44" t="e">
        <f t="shared" si="51"/>
        <v>#N/A</v>
      </c>
      <c r="AJ64" s="44" t="e">
        <f t="shared" si="52"/>
        <v>#N/A</v>
      </c>
      <c r="AK64" s="44" t="e">
        <f>HLOOKUP(I64,ElecAvoidedCostsWOCC!$A$5:$Q$50,G64+1,FALSE)*J64*L64</f>
        <v>#N/A</v>
      </c>
      <c r="AL64" s="44" t="e">
        <f t="shared" si="53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54"/>
        <v>0</v>
      </c>
      <c r="AO64" s="47">
        <f t="shared" si="55"/>
        <v>0</v>
      </c>
      <c r="AP64" s="47" t="e">
        <f t="shared" si="56"/>
        <v>#DIV/0!</v>
      </c>
    </row>
    <row r="65" spans="2:42">
      <c r="B65" s="9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38"/>
        <v>0</v>
      </c>
      <c r="U65" s="47">
        <f t="shared" si="39"/>
        <v>0</v>
      </c>
      <c r="V65" s="48">
        <f t="shared" si="40"/>
        <v>0</v>
      </c>
      <c r="W65" s="49">
        <f t="shared" si="41"/>
        <v>0</v>
      </c>
      <c r="X65" s="44">
        <f t="shared" si="42"/>
        <v>0</v>
      </c>
      <c r="Y65" s="44">
        <f t="shared" si="43"/>
        <v>0</v>
      </c>
      <c r="Z65" s="44">
        <f t="shared" si="44"/>
        <v>0</v>
      </c>
      <c r="AA65" s="50">
        <f t="shared" si="45"/>
        <v>0</v>
      </c>
      <c r="AB65" s="51">
        <f t="shared" si="46"/>
        <v>0</v>
      </c>
      <c r="AC65" s="44">
        <f t="shared" si="47"/>
        <v>0</v>
      </c>
      <c r="AD65" s="44">
        <f t="shared" si="48"/>
        <v>0</v>
      </c>
      <c r="AE65" s="44">
        <f t="shared" si="49"/>
        <v>0</v>
      </c>
      <c r="AF65" s="52" t="e">
        <f>HLOOKUP(I65,ElecAvoidedCostsWOCC!$A$5:$Q$50,G65+1,FALSE)</f>
        <v>#N/A</v>
      </c>
      <c r="AG65" s="44" t="e">
        <f t="shared" si="50"/>
        <v>#N/A</v>
      </c>
      <c r="AH65" s="52" t="e">
        <f>HLOOKUP(I65,ElecAvoidedCostsWOCC!$A$5:$Q$50,T65+1,FALSE)</f>
        <v>#N/A</v>
      </c>
      <c r="AI65" s="44" t="e">
        <f t="shared" si="51"/>
        <v>#N/A</v>
      </c>
      <c r="AJ65" s="44" t="e">
        <f t="shared" si="52"/>
        <v>#N/A</v>
      </c>
      <c r="AK65" s="44" t="e">
        <f>HLOOKUP(I65,ElecAvoidedCostsWOCC!$A$5:$Q$50,G65+1,FALSE)*J65*L65</f>
        <v>#N/A</v>
      </c>
      <c r="AL65" s="44" t="e">
        <f t="shared" si="53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54"/>
        <v>0</v>
      </c>
      <c r="AO65" s="47">
        <f t="shared" si="55"/>
        <v>0</v>
      </c>
      <c r="AP65" s="47" t="e">
        <f t="shared" si="56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38"/>
        <v>0</v>
      </c>
      <c r="U66" s="47">
        <f t="shared" si="39"/>
        <v>0</v>
      </c>
      <c r="V66" s="48">
        <f t="shared" si="40"/>
        <v>0</v>
      </c>
      <c r="W66" s="49">
        <f t="shared" si="41"/>
        <v>0</v>
      </c>
      <c r="X66" s="44">
        <f t="shared" si="42"/>
        <v>0</v>
      </c>
      <c r="Y66" s="44">
        <f t="shared" si="43"/>
        <v>0</v>
      </c>
      <c r="Z66" s="44">
        <f t="shared" si="44"/>
        <v>0</v>
      </c>
      <c r="AA66" s="50">
        <f t="shared" si="45"/>
        <v>0</v>
      </c>
      <c r="AB66" s="51">
        <f t="shared" si="46"/>
        <v>0</v>
      </c>
      <c r="AC66" s="44">
        <f t="shared" si="47"/>
        <v>0</v>
      </c>
      <c r="AD66" s="44">
        <f t="shared" si="48"/>
        <v>0</v>
      </c>
      <c r="AE66" s="44">
        <f t="shared" si="49"/>
        <v>0</v>
      </c>
      <c r="AF66" s="52" t="e">
        <f>HLOOKUP(I66,ElecAvoidedCostsWOCC!$A$5:$Q$50,G66+1,FALSE)</f>
        <v>#N/A</v>
      </c>
      <c r="AG66" s="44" t="e">
        <f t="shared" si="50"/>
        <v>#N/A</v>
      </c>
      <c r="AH66" s="52" t="e">
        <f>HLOOKUP(I66,ElecAvoidedCostsWOCC!$A$5:$Q$50,T66+1,FALSE)</f>
        <v>#N/A</v>
      </c>
      <c r="AI66" s="44" t="e">
        <f t="shared" si="51"/>
        <v>#N/A</v>
      </c>
      <c r="AJ66" s="44" t="e">
        <f t="shared" si="52"/>
        <v>#N/A</v>
      </c>
      <c r="AK66" s="44" t="e">
        <f>HLOOKUP(I66,ElecAvoidedCostsWOCC!$A$5:$Q$50,G66+1,FALSE)*J66*L66</f>
        <v>#N/A</v>
      </c>
      <c r="AL66" s="44" t="e">
        <f t="shared" si="53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54"/>
        <v>0</v>
      </c>
      <c r="AO66" s="47">
        <f t="shared" si="55"/>
        <v>0</v>
      </c>
      <c r="AP66" s="47" t="e">
        <f t="shared" si="56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38"/>
        <v>0</v>
      </c>
      <c r="U67" s="47">
        <f t="shared" si="39"/>
        <v>0</v>
      </c>
      <c r="V67" s="48">
        <f t="shared" si="40"/>
        <v>0</v>
      </c>
      <c r="W67" s="49">
        <f t="shared" si="41"/>
        <v>0</v>
      </c>
      <c r="X67" s="44">
        <f t="shared" si="42"/>
        <v>0</v>
      </c>
      <c r="Y67" s="44">
        <f t="shared" si="43"/>
        <v>0</v>
      </c>
      <c r="Z67" s="44">
        <f t="shared" si="44"/>
        <v>0</v>
      </c>
      <c r="AA67" s="50">
        <f t="shared" si="45"/>
        <v>0</v>
      </c>
      <c r="AB67" s="51">
        <f t="shared" si="46"/>
        <v>0</v>
      </c>
      <c r="AC67" s="44">
        <f t="shared" si="47"/>
        <v>0</v>
      </c>
      <c r="AD67" s="44">
        <f t="shared" si="48"/>
        <v>0</v>
      </c>
      <c r="AE67" s="44">
        <f t="shared" si="49"/>
        <v>0</v>
      </c>
      <c r="AF67" s="52" t="e">
        <f>HLOOKUP(I67,ElecAvoidedCostsWOCC!$A$5:$Q$50,G67+1,FALSE)</f>
        <v>#N/A</v>
      </c>
      <c r="AG67" s="44" t="e">
        <f t="shared" si="50"/>
        <v>#N/A</v>
      </c>
      <c r="AH67" s="52" t="e">
        <f>HLOOKUP(I67,ElecAvoidedCostsWOCC!$A$5:$Q$50,T67+1,FALSE)</f>
        <v>#N/A</v>
      </c>
      <c r="AI67" s="44" t="e">
        <f t="shared" si="51"/>
        <v>#N/A</v>
      </c>
      <c r="AJ67" s="44" t="e">
        <f t="shared" si="52"/>
        <v>#N/A</v>
      </c>
      <c r="AK67" s="44" t="e">
        <f>HLOOKUP(I67,ElecAvoidedCostsWOCC!$A$5:$Q$50,G67+1,FALSE)*J67*L67</f>
        <v>#N/A</v>
      </c>
      <c r="AL67" s="44" t="e">
        <f t="shared" si="53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54"/>
        <v>0</v>
      </c>
      <c r="AO67" s="47">
        <f t="shared" si="55"/>
        <v>0</v>
      </c>
      <c r="AP67" s="47" t="e">
        <f t="shared" si="56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8"/>
        <v>0</v>
      </c>
      <c r="U68" s="47">
        <f t="shared" si="39"/>
        <v>0</v>
      </c>
      <c r="V68" s="48">
        <f t="shared" si="40"/>
        <v>0</v>
      </c>
      <c r="W68" s="49">
        <f t="shared" si="41"/>
        <v>0</v>
      </c>
      <c r="X68" s="44">
        <f t="shared" si="42"/>
        <v>0</v>
      </c>
      <c r="Y68" s="44">
        <f t="shared" si="43"/>
        <v>0</v>
      </c>
      <c r="Z68" s="44">
        <f t="shared" si="44"/>
        <v>0</v>
      </c>
      <c r="AA68" s="50">
        <f t="shared" si="45"/>
        <v>0</v>
      </c>
      <c r="AB68" s="51">
        <f t="shared" si="46"/>
        <v>0</v>
      </c>
      <c r="AC68" s="44">
        <f t="shared" si="47"/>
        <v>0</v>
      </c>
      <c r="AD68" s="44">
        <f t="shared" si="48"/>
        <v>0</v>
      </c>
      <c r="AE68" s="44">
        <f t="shared" si="49"/>
        <v>0</v>
      </c>
      <c r="AF68" s="52" t="e">
        <f>HLOOKUP(I68,ElecAvoidedCostsWOCC!$A$5:$Q$50,G68+1,FALSE)</f>
        <v>#N/A</v>
      </c>
      <c r="AG68" s="44" t="e">
        <f t="shared" si="50"/>
        <v>#N/A</v>
      </c>
      <c r="AH68" s="52" t="e">
        <f>HLOOKUP(I68,ElecAvoidedCostsWOCC!$A$5:$Q$50,T68+1,FALSE)</f>
        <v>#N/A</v>
      </c>
      <c r="AI68" s="44" t="e">
        <f t="shared" si="51"/>
        <v>#N/A</v>
      </c>
      <c r="AJ68" s="44" t="e">
        <f t="shared" si="52"/>
        <v>#N/A</v>
      </c>
      <c r="AK68" s="44" t="e">
        <f>HLOOKUP(I68,ElecAvoidedCostsWOCC!$A$5:$Q$50,G68+1,FALSE)*J68*L68</f>
        <v>#N/A</v>
      </c>
      <c r="AL68" s="44" t="e">
        <f t="shared" si="53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54"/>
        <v>0</v>
      </c>
      <c r="AO68" s="47">
        <f t="shared" si="55"/>
        <v>0</v>
      </c>
      <c r="AP68" s="47" t="e">
        <f t="shared" si="56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8"/>
        <v>0</v>
      </c>
      <c r="U69" s="47">
        <f t="shared" si="39"/>
        <v>0</v>
      </c>
      <c r="V69" s="48">
        <f t="shared" si="40"/>
        <v>0</v>
      </c>
      <c r="W69" s="49">
        <f t="shared" si="41"/>
        <v>0</v>
      </c>
      <c r="X69" s="44">
        <f t="shared" si="42"/>
        <v>0</v>
      </c>
      <c r="Y69" s="44">
        <f t="shared" si="43"/>
        <v>0</v>
      </c>
      <c r="Z69" s="44">
        <f t="shared" si="44"/>
        <v>0</v>
      </c>
      <c r="AA69" s="50">
        <f t="shared" si="45"/>
        <v>0</v>
      </c>
      <c r="AB69" s="51">
        <f t="shared" si="46"/>
        <v>0</v>
      </c>
      <c r="AC69" s="44">
        <f t="shared" si="47"/>
        <v>0</v>
      </c>
      <c r="AD69" s="44">
        <f t="shared" si="48"/>
        <v>0</v>
      </c>
      <c r="AE69" s="44">
        <f t="shared" si="49"/>
        <v>0</v>
      </c>
      <c r="AF69" s="52" t="e">
        <f>HLOOKUP(I69,ElecAvoidedCostsWOCC!$A$5:$Q$50,G69+1,FALSE)</f>
        <v>#N/A</v>
      </c>
      <c r="AG69" s="44" t="e">
        <f t="shared" si="50"/>
        <v>#N/A</v>
      </c>
      <c r="AH69" s="52" t="e">
        <f>HLOOKUP(I69,ElecAvoidedCostsWOCC!$A$5:$Q$50,T69+1,FALSE)</f>
        <v>#N/A</v>
      </c>
      <c r="AI69" s="44" t="e">
        <f t="shared" si="51"/>
        <v>#N/A</v>
      </c>
      <c r="AJ69" s="44" t="e">
        <f t="shared" si="52"/>
        <v>#N/A</v>
      </c>
      <c r="AK69" s="44" t="e">
        <f>HLOOKUP(I69,ElecAvoidedCostsWOCC!$A$5:$Q$50,G69+1,FALSE)*J69*L69</f>
        <v>#N/A</v>
      </c>
      <c r="AL69" s="44" t="e">
        <f t="shared" si="53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54"/>
        <v>0</v>
      </c>
      <c r="AO69" s="47">
        <f t="shared" si="55"/>
        <v>0</v>
      </c>
      <c r="AP69" s="47" t="e">
        <f t="shared" si="56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8"/>
        <v>0</v>
      </c>
      <c r="U70" s="47">
        <f t="shared" si="39"/>
        <v>0</v>
      </c>
      <c r="V70" s="48">
        <f t="shared" si="40"/>
        <v>0</v>
      </c>
      <c r="W70" s="49">
        <f t="shared" si="41"/>
        <v>0</v>
      </c>
      <c r="X70" s="44">
        <f t="shared" si="42"/>
        <v>0</v>
      </c>
      <c r="Y70" s="44">
        <f t="shared" si="43"/>
        <v>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HLOOKUP(I70,ElecAvoidedCostsWOCC!$A$5:$Q$50,G70+1,FALSE)</f>
        <v>#N/A</v>
      </c>
      <c r="AG70" s="44" t="e">
        <f t="shared" si="50"/>
        <v>#N/A</v>
      </c>
      <c r="AH70" s="52" t="e">
        <f>HLOOKUP(I70,ElecAvoidedCostsWOCC!$A$5:$Q$50,T70+1,FALSE)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HLOOKUP(I70,ElecAvoidedCostsWOCC!$A$5:$Q$50,G70+1,FALSE)*J70*L70</f>
        <v>#N/A</v>
      </c>
      <c r="AL70" s="44" t="e">
        <f t="shared" si="53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8"/>
        <v>0</v>
      </c>
      <c r="U71" s="47">
        <f t="shared" si="39"/>
        <v>0</v>
      </c>
      <c r="V71" s="48">
        <f t="shared" si="40"/>
        <v>0</v>
      </c>
      <c r="W71" s="49">
        <f t="shared" si="41"/>
        <v>0</v>
      </c>
      <c r="X71" s="44">
        <f t="shared" si="42"/>
        <v>0</v>
      </c>
      <c r="Y71" s="44">
        <f t="shared" si="43"/>
        <v>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e">
        <f>HLOOKUP(I71,ElecAvoidedCostsWOCC!$A$5:$Q$50,G71+1,FALSE)</f>
        <v>#N/A</v>
      </c>
      <c r="AG71" s="44" t="e">
        <f t="shared" si="50"/>
        <v>#N/A</v>
      </c>
      <c r="AH71" s="52" t="e">
        <f>HLOOKUP(I71,ElecAvoidedCostsWOCC!$A$5:$Q$50,T71+1,FALSE)</f>
        <v>#N/A</v>
      </c>
      <c r="AI71" s="44" t="e">
        <f t="shared" si="51"/>
        <v>#N/A</v>
      </c>
      <c r="AJ71" s="44" t="e">
        <f t="shared" si="52"/>
        <v>#N/A</v>
      </c>
      <c r="AK71" s="44" t="e">
        <f>HLOOKUP(I71,ElecAvoidedCostsWOCC!$A$5:$Q$50,G71+1,FALSE)*J71*L71</f>
        <v>#N/A</v>
      </c>
      <c r="AL71" s="44" t="e">
        <f t="shared" si="53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HLOOKUP(I72,ElecAvoidedCostsWOCC!$A$5:$Q$50,G72+1,FALSE)</f>
        <v>#N/A</v>
      </c>
      <c r="AG72" s="44" t="e">
        <f t="shared" si="50"/>
        <v>#N/A</v>
      </c>
      <c r="AH72" s="52" t="e">
        <f>HLOOKUP(I72,ElecAvoidedCostsWOCC!$A$5:$Q$50,T72+1,FALSE)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HLOOKUP(I72,ElecAvoidedCostsWOCC!$A$5:$Q$50,G72+1,FALSE)*J72*L72</f>
        <v>#N/A</v>
      </c>
      <c r="AL72" s="44" t="e">
        <f t="shared" si="53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e">
        <f>HLOOKUP(I73,ElecAvoidedCostsWOCC!$A$5:$Q$50,G73+1,FALSE)</f>
        <v>#N/A</v>
      </c>
      <c r="AG73" s="44" t="e">
        <f t="shared" si="50"/>
        <v>#N/A</v>
      </c>
      <c r="AH73" s="52" t="e">
        <f>HLOOKUP(I73,ElecAvoidedCostsWOCC!$A$5:$Q$50,T73+1,FALSE)</f>
        <v>#N/A</v>
      </c>
      <c r="AI73" s="44" t="e">
        <f t="shared" si="51"/>
        <v>#N/A</v>
      </c>
      <c r="AJ73" s="44" t="e">
        <f t="shared" si="52"/>
        <v>#N/A</v>
      </c>
      <c r="AK73" s="44" t="e">
        <f>HLOOKUP(I73,ElecAvoidedCostsWOCC!$A$5:$Q$50,G73+1,FALSE)*J73*L73</f>
        <v>#N/A</v>
      </c>
      <c r="AL73" s="44" t="e">
        <f t="shared" si="53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8"/>
        <v>0</v>
      </c>
      <c r="U74" s="47">
        <f t="shared" si="39"/>
        <v>0</v>
      </c>
      <c r="V74" s="48">
        <f t="shared" si="40"/>
        <v>0</v>
      </c>
      <c r="W74" s="49">
        <f t="shared" si="41"/>
        <v>0</v>
      </c>
      <c r="X74" s="44">
        <f t="shared" si="42"/>
        <v>0</v>
      </c>
      <c r="Y74" s="44">
        <f t="shared" si="43"/>
        <v>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HLOOKUP(I74,ElecAvoidedCostsWOCC!$A$5:$Q$50,G74+1,FALSE)</f>
        <v>#N/A</v>
      </c>
      <c r="AG74" s="44" t="e">
        <f t="shared" si="50"/>
        <v>#N/A</v>
      </c>
      <c r="AH74" s="52" t="e">
        <f>HLOOKUP(I74,ElecAvoidedCostsWOCC!$A$5:$Q$50,T74+1,FALSE)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HLOOKUP(I74,ElecAvoidedCostsWOCC!$A$5:$Q$50,G74+1,FALSE)*J74*L74</f>
        <v>#N/A</v>
      </c>
      <c r="AL74" s="44" t="e">
        <f t="shared" si="53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8"/>
        <v>0</v>
      </c>
      <c r="U75" s="47">
        <f t="shared" si="39"/>
        <v>0</v>
      </c>
      <c r="V75" s="48">
        <f t="shared" si="40"/>
        <v>0</v>
      </c>
      <c r="W75" s="49">
        <f t="shared" si="41"/>
        <v>0</v>
      </c>
      <c r="X75" s="44">
        <f t="shared" si="42"/>
        <v>0</v>
      </c>
      <c r="Y75" s="44">
        <f t="shared" si="43"/>
        <v>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e">
        <f>HLOOKUP(I75,ElecAvoidedCostsWOCC!$A$5:$Q$50,G75+1,FALSE)</f>
        <v>#N/A</v>
      </c>
      <c r="AG75" s="44" t="e">
        <f t="shared" si="50"/>
        <v>#N/A</v>
      </c>
      <c r="AH75" s="52" t="e">
        <f>HLOOKUP(I75,ElecAvoidedCostsWOCC!$A$5:$Q$50,T75+1,FALSE)</f>
        <v>#N/A</v>
      </c>
      <c r="AI75" s="44" t="e">
        <f t="shared" si="51"/>
        <v>#N/A</v>
      </c>
      <c r="AJ75" s="44" t="e">
        <f t="shared" si="52"/>
        <v>#N/A</v>
      </c>
      <c r="AK75" s="44" t="e">
        <f>HLOOKUP(I75,ElecAvoidedCostsWOCC!$A$5:$Q$50,G75+1,FALSE)*J75*L75</f>
        <v>#N/A</v>
      </c>
      <c r="AL75" s="44" t="e">
        <f t="shared" si="53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HLOOKUP(I76,ElecAvoidedCostsWOCC!$A$5:$Q$50,G76+1,FALSE)</f>
        <v>#N/A</v>
      </c>
      <c r="AG76" s="44" t="e">
        <f t="shared" si="50"/>
        <v>#N/A</v>
      </c>
      <c r="AH76" s="52" t="e">
        <f>HLOOKUP(I76,ElecAvoidedCostsWOCC!$A$5:$Q$50,T76+1,FALSE)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HLOOKUP(I76,ElecAvoidedCostsWOCC!$A$5:$Q$50,G76+1,FALSE)*J76*L76</f>
        <v>#N/A</v>
      </c>
      <c r="AL76" s="44" t="e">
        <f t="shared" si="53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e">
        <f>HLOOKUP(I77,ElecAvoidedCostsWOCC!$A$5:$Q$50,G77+1,FALSE)</f>
        <v>#N/A</v>
      </c>
      <c r="AG77" s="44" t="e">
        <f t="shared" si="50"/>
        <v>#N/A</v>
      </c>
      <c r="AH77" s="52" t="e">
        <f>HLOOKUP(I77,ElecAvoidedCostsWOCC!$A$5:$Q$50,T77+1,FALSE)</f>
        <v>#N/A</v>
      </c>
      <c r="AI77" s="44" t="e">
        <f t="shared" si="51"/>
        <v>#N/A</v>
      </c>
      <c r="AJ77" s="44" t="e">
        <f t="shared" si="52"/>
        <v>#N/A</v>
      </c>
      <c r="AK77" s="44" t="e">
        <f>HLOOKUP(I77,ElecAvoidedCostsWOCC!$A$5:$Q$50,G77+1,FALSE)*J77*L77</f>
        <v>#N/A</v>
      </c>
      <c r="AL77" s="44" t="e">
        <f t="shared" si="53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8"/>
        <v>0</v>
      </c>
      <c r="U78" s="47">
        <f t="shared" si="39"/>
        <v>0</v>
      </c>
      <c r="V78" s="48">
        <f t="shared" si="40"/>
        <v>0</v>
      </c>
      <c r="W78" s="49">
        <f t="shared" si="41"/>
        <v>0</v>
      </c>
      <c r="X78" s="44">
        <f t="shared" si="42"/>
        <v>0</v>
      </c>
      <c r="Y78" s="44">
        <f t="shared" si="43"/>
        <v>0</v>
      </c>
      <c r="Z78" s="44">
        <f t="shared" si="44"/>
        <v>0</v>
      </c>
      <c r="AA78" s="50">
        <f t="shared" si="45"/>
        <v>0</v>
      </c>
      <c r="AB78" s="51">
        <f t="shared" si="46"/>
        <v>0</v>
      </c>
      <c r="AC78" s="44">
        <f t="shared" si="47"/>
        <v>0</v>
      </c>
      <c r="AD78" s="44">
        <f t="shared" si="48"/>
        <v>0</v>
      </c>
      <c r="AE78" s="44">
        <f t="shared" si="49"/>
        <v>0</v>
      </c>
      <c r="AF78" s="52" t="e">
        <f>HLOOKUP(I78,ElecAvoidedCostsWOCC!$A$5:$Q$50,G78+1,FALSE)</f>
        <v>#N/A</v>
      </c>
      <c r="AG78" s="44" t="e">
        <f t="shared" si="50"/>
        <v>#N/A</v>
      </c>
      <c r="AH78" s="52" t="e">
        <f>HLOOKUP(I78,ElecAvoidedCostsWOCC!$A$5:$Q$50,T78+1,FALSE)</f>
        <v>#N/A</v>
      </c>
      <c r="AI78" s="44" t="e">
        <f t="shared" si="51"/>
        <v>#N/A</v>
      </c>
      <c r="AJ78" s="44" t="e">
        <f t="shared" si="52"/>
        <v>#N/A</v>
      </c>
      <c r="AK78" s="44" t="e">
        <f>HLOOKUP(I78,ElecAvoidedCostsWOCC!$A$5:$Q$50,G78+1,FALSE)*J78*L78</f>
        <v>#N/A</v>
      </c>
      <c r="AL78" s="44" t="e">
        <f t="shared" si="53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54"/>
        <v>0</v>
      </c>
      <c r="AO78" s="47">
        <f t="shared" si="55"/>
        <v>0</v>
      </c>
      <c r="AP78" s="47" t="e">
        <f t="shared" si="56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8"/>
        <v>0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 t="e">
        <f>HLOOKUP(I79,ElecAvoidedCostsWOCC!$A$5:$Q$50,G79+1,FALSE)</f>
        <v>#N/A</v>
      </c>
      <c r="AG79" s="44" t="e">
        <f t="shared" si="50"/>
        <v>#N/A</v>
      </c>
      <c r="AH79" s="52" t="e">
        <f>HLOOKUP(I79,ElecAvoidedCostsWOCC!$A$5:$Q$50,T79+1,FALSE)</f>
        <v>#N/A</v>
      </c>
      <c r="AI79" s="44" t="e">
        <f t="shared" si="51"/>
        <v>#N/A</v>
      </c>
      <c r="AJ79" s="44" t="e">
        <f t="shared" si="52"/>
        <v>#N/A</v>
      </c>
      <c r="AK79" s="44" t="e">
        <f>HLOOKUP(I79,ElecAvoidedCostsWOCC!$A$5:$Q$50,G79+1,FALSE)*J79*L79</f>
        <v>#N/A</v>
      </c>
      <c r="AL79" s="44" t="e">
        <f t="shared" si="53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8"/>
        <v>0</v>
      </c>
      <c r="U80" s="47">
        <f t="shared" si="39"/>
        <v>0</v>
      </c>
      <c r="V80" s="48">
        <f t="shared" si="40"/>
        <v>0</v>
      </c>
      <c r="W80" s="49">
        <f t="shared" si="41"/>
        <v>0</v>
      </c>
      <c r="X80" s="44">
        <f t="shared" si="42"/>
        <v>0</v>
      </c>
      <c r="Y80" s="44">
        <f t="shared" si="43"/>
        <v>0</v>
      </c>
      <c r="Z80" s="44">
        <f t="shared" si="44"/>
        <v>0</v>
      </c>
      <c r="AA80" s="50">
        <f t="shared" si="45"/>
        <v>0</v>
      </c>
      <c r="AB80" s="51">
        <f t="shared" si="46"/>
        <v>0</v>
      </c>
      <c r="AC80" s="44">
        <f t="shared" si="47"/>
        <v>0</v>
      </c>
      <c r="AD80" s="44">
        <f t="shared" si="48"/>
        <v>0</v>
      </c>
      <c r="AE80" s="44">
        <f t="shared" si="49"/>
        <v>0</v>
      </c>
      <c r="AF80" s="52" t="e">
        <f>HLOOKUP(I80,ElecAvoidedCostsWOCC!$A$5:$Q$50,G80+1,FALSE)</f>
        <v>#N/A</v>
      </c>
      <c r="AG80" s="44" t="e">
        <f t="shared" si="50"/>
        <v>#N/A</v>
      </c>
      <c r="AH80" s="52" t="e">
        <f>HLOOKUP(I80,ElecAvoidedCostsWOCC!$A$5:$Q$50,T80+1,FALSE)</f>
        <v>#N/A</v>
      </c>
      <c r="AI80" s="44" t="e">
        <f t="shared" si="51"/>
        <v>#N/A</v>
      </c>
      <c r="AJ80" s="44" t="e">
        <f t="shared" si="52"/>
        <v>#N/A</v>
      </c>
      <c r="AK80" s="44" t="e">
        <f>HLOOKUP(I80,ElecAvoidedCostsWOCC!$A$5:$Q$50,G80+1,FALSE)*J80*L80</f>
        <v>#N/A</v>
      </c>
      <c r="AL80" s="44" t="e">
        <f t="shared" si="53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54"/>
        <v>0</v>
      </c>
      <c r="AO80" s="47">
        <f t="shared" si="55"/>
        <v>0</v>
      </c>
      <c r="AP80" s="47" t="e">
        <f t="shared" si="56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8"/>
        <v>0</v>
      </c>
      <c r="U81" s="47">
        <f t="shared" si="39"/>
        <v>0</v>
      </c>
      <c r="V81" s="48">
        <f t="shared" si="40"/>
        <v>0</v>
      </c>
      <c r="W81" s="49">
        <f t="shared" si="41"/>
        <v>0</v>
      </c>
      <c r="X81" s="44">
        <f t="shared" si="42"/>
        <v>0</v>
      </c>
      <c r="Y81" s="44">
        <f t="shared" si="43"/>
        <v>0</v>
      </c>
      <c r="Z81" s="44">
        <f t="shared" si="44"/>
        <v>0</v>
      </c>
      <c r="AA81" s="50">
        <f t="shared" si="45"/>
        <v>0</v>
      </c>
      <c r="AB81" s="51">
        <f t="shared" si="46"/>
        <v>0</v>
      </c>
      <c r="AC81" s="44">
        <f t="shared" si="47"/>
        <v>0</v>
      </c>
      <c r="AD81" s="44">
        <f t="shared" si="48"/>
        <v>0</v>
      </c>
      <c r="AE81" s="44">
        <f t="shared" si="49"/>
        <v>0</v>
      </c>
      <c r="AF81" s="52" t="e">
        <f>HLOOKUP(I81,ElecAvoidedCostsWOCC!$A$5:$Q$50,G81+1,FALSE)</f>
        <v>#N/A</v>
      </c>
      <c r="AG81" s="44" t="e">
        <f t="shared" si="50"/>
        <v>#N/A</v>
      </c>
      <c r="AH81" s="52" t="e">
        <f>HLOOKUP(I81,ElecAvoidedCostsWOCC!$A$5:$Q$50,T81+1,FALSE)</f>
        <v>#N/A</v>
      </c>
      <c r="AI81" s="44" t="e">
        <f t="shared" si="51"/>
        <v>#N/A</v>
      </c>
      <c r="AJ81" s="44" t="e">
        <f t="shared" si="52"/>
        <v>#N/A</v>
      </c>
      <c r="AK81" s="44" t="e">
        <f>HLOOKUP(I81,ElecAvoidedCostsWOCC!$A$5:$Q$50,G81+1,FALSE)*J81*L81</f>
        <v>#N/A</v>
      </c>
      <c r="AL81" s="44" t="e">
        <f t="shared" si="53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4"/>
        <v>0</v>
      </c>
      <c r="AO81" s="47">
        <f t="shared" si="55"/>
        <v>0</v>
      </c>
      <c r="AP81" s="47" t="e">
        <f t="shared" si="56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8"/>
        <v>0</v>
      </c>
      <c r="U82" s="47">
        <f t="shared" si="39"/>
        <v>0</v>
      </c>
      <c r="V82" s="48">
        <f t="shared" si="40"/>
        <v>0</v>
      </c>
      <c r="W82" s="49">
        <f t="shared" si="41"/>
        <v>0</v>
      </c>
      <c r="X82" s="44">
        <f t="shared" si="42"/>
        <v>0</v>
      </c>
      <c r="Y82" s="44">
        <f t="shared" si="43"/>
        <v>0</v>
      </c>
      <c r="Z82" s="44">
        <f t="shared" si="44"/>
        <v>0</v>
      </c>
      <c r="AA82" s="50">
        <f t="shared" si="45"/>
        <v>0</v>
      </c>
      <c r="AB82" s="51">
        <f t="shared" si="46"/>
        <v>0</v>
      </c>
      <c r="AC82" s="44">
        <f t="shared" si="47"/>
        <v>0</v>
      </c>
      <c r="AD82" s="44">
        <f t="shared" si="48"/>
        <v>0</v>
      </c>
      <c r="AE82" s="44">
        <f t="shared" si="49"/>
        <v>0</v>
      </c>
      <c r="AF82" s="52" t="e">
        <f>HLOOKUP(I82,ElecAvoidedCostsWOCC!$A$5:$Q$50,G82+1,FALSE)</f>
        <v>#N/A</v>
      </c>
      <c r="AG82" s="44" t="e">
        <f t="shared" si="50"/>
        <v>#N/A</v>
      </c>
      <c r="AH82" s="52" t="e">
        <f>HLOOKUP(I82,ElecAvoidedCostsWOCC!$A$5:$Q$50,T82+1,FALSE)</f>
        <v>#N/A</v>
      </c>
      <c r="AI82" s="44" t="e">
        <f t="shared" si="51"/>
        <v>#N/A</v>
      </c>
      <c r="AJ82" s="44" t="e">
        <f t="shared" si="52"/>
        <v>#N/A</v>
      </c>
      <c r="AK82" s="44" t="e">
        <f>HLOOKUP(I82,ElecAvoidedCostsWOCC!$A$5:$Q$50,G82+1,FALSE)*J82*L82</f>
        <v>#N/A</v>
      </c>
      <c r="AL82" s="44" t="e">
        <f t="shared" si="53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54"/>
        <v>0</v>
      </c>
      <c r="AO82" s="47">
        <f t="shared" si="55"/>
        <v>0</v>
      </c>
      <c r="AP82" s="47" t="e">
        <f t="shared" si="56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8"/>
        <v>0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 t="e">
        <f>HLOOKUP(I83,ElecAvoidedCostsWOCC!$A$5:$Q$50,G83+1,FALSE)</f>
        <v>#N/A</v>
      </c>
      <c r="AG83" s="44" t="e">
        <f t="shared" si="50"/>
        <v>#N/A</v>
      </c>
      <c r="AH83" s="52" t="e">
        <f>HLOOKUP(I83,ElecAvoidedCostsWOCC!$A$5:$Q$50,T83+1,FALSE)</f>
        <v>#N/A</v>
      </c>
      <c r="AI83" s="44" t="e">
        <f t="shared" si="51"/>
        <v>#N/A</v>
      </c>
      <c r="AJ83" s="44" t="e">
        <f t="shared" si="52"/>
        <v>#N/A</v>
      </c>
      <c r="AK83" s="44" t="e">
        <f>HLOOKUP(I83,ElecAvoidedCostsWOCC!$A$5:$Q$50,G83+1,FALSE)*J83*L83</f>
        <v>#N/A</v>
      </c>
      <c r="AL83" s="44" t="e">
        <f t="shared" si="53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38"/>
        <v>0</v>
      </c>
      <c r="U84" s="47">
        <f t="shared" si="39"/>
        <v>0</v>
      </c>
      <c r="V84" s="48">
        <f t="shared" si="40"/>
        <v>0</v>
      </c>
      <c r="W84" s="49">
        <f t="shared" si="41"/>
        <v>0</v>
      </c>
      <c r="X84" s="44">
        <f t="shared" si="42"/>
        <v>0</v>
      </c>
      <c r="Y84" s="44">
        <f t="shared" si="43"/>
        <v>0</v>
      </c>
      <c r="Z84" s="44">
        <f t="shared" si="44"/>
        <v>0</v>
      </c>
      <c r="AA84" s="50">
        <f t="shared" si="45"/>
        <v>0</v>
      </c>
      <c r="AB84" s="51">
        <f t="shared" si="46"/>
        <v>0</v>
      </c>
      <c r="AC84" s="44">
        <f t="shared" si="47"/>
        <v>0</v>
      </c>
      <c r="AD84" s="44">
        <f t="shared" si="48"/>
        <v>0</v>
      </c>
      <c r="AE84" s="44">
        <f t="shared" si="49"/>
        <v>0</v>
      </c>
      <c r="AF84" s="52" t="e">
        <f>HLOOKUP(I84,ElecAvoidedCostsWOCC!$A$5:$Q$50,G84+1,FALSE)</f>
        <v>#N/A</v>
      </c>
      <c r="AG84" s="44" t="e">
        <f t="shared" si="50"/>
        <v>#N/A</v>
      </c>
      <c r="AH84" s="52" t="e">
        <f>HLOOKUP(I84,ElecAvoidedCostsWOCC!$A$5:$Q$50,T84+1,FALSE)</f>
        <v>#N/A</v>
      </c>
      <c r="AI84" s="44" t="e">
        <f t="shared" si="51"/>
        <v>#N/A</v>
      </c>
      <c r="AJ84" s="44" t="e">
        <f t="shared" si="52"/>
        <v>#N/A</v>
      </c>
      <c r="AK84" s="44" t="e">
        <f>HLOOKUP(I84,ElecAvoidedCostsWOCC!$A$5:$Q$50,G84+1,FALSE)*J84*L84</f>
        <v>#N/A</v>
      </c>
      <c r="AL84" s="44" t="e">
        <f t="shared" si="53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54"/>
        <v>0</v>
      </c>
      <c r="AO84" s="47">
        <f t="shared" si="55"/>
        <v>0</v>
      </c>
      <c r="AP84" s="47" t="e">
        <f t="shared" si="56"/>
        <v>#DIV/0!</v>
      </c>
    </row>
  </sheetData>
  <conditionalFormatting sqref="J5:L84">
    <cfRule type="expression" dxfId="314" priority="4">
      <formula>ISTEXT(J5)</formula>
    </cfRule>
    <cfRule type="notContainsBlanks" dxfId="313" priority="5">
      <formula>LEN(TRIM(J5))&gt;0</formula>
    </cfRule>
  </conditionalFormatting>
  <conditionalFormatting sqref="M5:N84 R5:S84">
    <cfRule type="expression" dxfId="312" priority="2">
      <formula>ISTEXT(M5)</formula>
    </cfRule>
  </conditionalFormatting>
  <conditionalFormatting sqref="M5:N84 R5:S84">
    <cfRule type="notContainsBlanks" dxfId="311" priority="3">
      <formula>LEN(TRIM(M5))&gt;0</formula>
    </cfRule>
  </conditionalFormatting>
  <conditionalFormatting sqref="R5:S84">
    <cfRule type="expression" dxfId="310" priority="1">
      <formula>"istext($AB17)"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DCEEDB03DC21846A53ED623C807910B" ma:contentTypeVersion="56" ma:contentTypeDescription="" ma:contentTypeScope="" ma:versionID="d079c96df16c144df8bb1f6ac552e58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Report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140</IndustryCode>
    <CaseStatus xmlns="dc463f71-b30c-4ab2-9473-d307f9d35888">Closed</CaseStatus>
    <OpenedDate xmlns="dc463f71-b30c-4ab2-9473-d307f9d35888">2019-11-01T07:00:00+00:00</OpenedDate>
    <SignificantOrder xmlns="dc463f71-b30c-4ab2-9473-d307f9d35888">false</SignificantOrder>
    <Date1 xmlns="dc463f71-b30c-4ab2-9473-d307f9d35888">2022-05-31T07:00:00+00:00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>2020-2021 Conservation</Nickname>
    <DocketNumber xmlns="dc463f71-b30c-4ab2-9473-d307f9d35888">190905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7CBF3A8-CE23-4E1B-8F1B-5386B8A2C3F0}"/>
</file>

<file path=customXml/itemProps2.xml><?xml version="1.0" encoding="utf-8"?>
<ds:datastoreItem xmlns:ds="http://schemas.openxmlformats.org/officeDocument/2006/customXml" ds:itemID="{FD9D96D8-77C3-4DEB-B450-058964CE847D}"/>
</file>

<file path=customXml/itemProps3.xml><?xml version="1.0" encoding="utf-8"?>
<ds:datastoreItem xmlns:ds="http://schemas.openxmlformats.org/officeDocument/2006/customXml" ds:itemID="{934508BC-FF22-4F47-A009-84A18F625F67}"/>
</file>

<file path=customXml/itemProps4.xml><?xml version="1.0" encoding="utf-8"?>
<ds:datastoreItem xmlns:ds="http://schemas.openxmlformats.org/officeDocument/2006/customXml" ds:itemID="{B3D1E27D-04D3-4F92-9617-C888B2FD4C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72</vt:i4>
      </vt:variant>
      <vt:variant>
        <vt:lpstr>Named Ranges</vt:lpstr>
      </vt:variant>
      <vt:variant>
        <vt:i4>3</vt:i4>
      </vt:variant>
    </vt:vector>
  </HeadingPairs>
  <TitlesOfParts>
    <vt:vector size="75" baseType="lpstr">
      <vt:lpstr>Summary</vt:lpstr>
      <vt:lpstr>Electric CE</vt:lpstr>
      <vt:lpstr>Gas CE</vt:lpstr>
      <vt:lpstr>Program Costs</vt:lpstr>
      <vt:lpstr>Program Costs-old</vt:lpstr>
      <vt:lpstr>Program Costs-new</vt:lpstr>
      <vt:lpstr>E201 LIW {E}</vt:lpstr>
      <vt:lpstr>Residential Lighting {E}</vt:lpstr>
      <vt:lpstr>SF Existing Space Heat {E}</vt:lpstr>
      <vt:lpstr>SF Existing Water Heat {E}</vt:lpstr>
      <vt:lpstr>Home Appliances {E}</vt:lpstr>
      <vt:lpstr>Web-Enabled Thermostats {E}</vt:lpstr>
      <vt:lpstr>Residential Showerheads {E}</vt:lpstr>
      <vt:lpstr>SF Existing Weatherization {E}</vt:lpstr>
      <vt:lpstr>Home Energy Reports {E}</vt:lpstr>
      <vt:lpstr>Home Energy Assessments {E}</vt:lpstr>
      <vt:lpstr>Efficiency Boost {E}</vt:lpstr>
      <vt:lpstr>SF New Construction {E}</vt:lpstr>
      <vt:lpstr>MH New Construction {E}</vt:lpstr>
      <vt:lpstr>Multi Family Retrofit {E}</vt:lpstr>
      <vt:lpstr>MF New Construction {E}</vt:lpstr>
      <vt:lpstr>CI Retrofit {E}</vt:lpstr>
      <vt:lpstr>Bus Lighting Grants {E}</vt:lpstr>
      <vt:lpstr>Industrial EM {E}</vt:lpstr>
      <vt:lpstr>CBA {E}</vt:lpstr>
      <vt:lpstr>CI New Construction {E}</vt:lpstr>
      <vt:lpstr>Com SEM {E}</vt:lpstr>
      <vt:lpstr>P4P {E}</vt:lpstr>
      <vt:lpstr>LPU 449 {E}</vt:lpstr>
      <vt:lpstr>LPU Non-449 {E}</vt:lpstr>
      <vt:lpstr>Lighting to Go {E}</vt:lpstr>
      <vt:lpstr>Commercial Kitchen Laundry {E}</vt:lpstr>
      <vt:lpstr>Commercial HVAC {E}</vt:lpstr>
      <vt:lpstr>Commercial Midstream {E}</vt:lpstr>
      <vt:lpstr>SBDI {E}</vt:lpstr>
      <vt:lpstr>Lodging Rebates {E}</vt:lpstr>
      <vt:lpstr>Residential Pilots {E}</vt:lpstr>
      <vt:lpstr>Commercial Pilots {E}</vt:lpstr>
      <vt:lpstr>TDSM {E}</vt:lpstr>
      <vt:lpstr>NEEA {E}</vt:lpstr>
      <vt:lpstr>T&amp;D {E}</vt:lpstr>
      <vt:lpstr>G201 LIW {G}</vt:lpstr>
      <vt:lpstr>SF Existing Space Heat {G}</vt:lpstr>
      <vt:lpstr>SF Existing Water Heat {G}</vt:lpstr>
      <vt:lpstr>Home Energy Assessments {G}</vt:lpstr>
      <vt:lpstr>Single Family Rental Pilot {G}</vt:lpstr>
      <vt:lpstr>Home Appliances {G}</vt:lpstr>
      <vt:lpstr>Web Enabled Thermostats {G}</vt:lpstr>
      <vt:lpstr>Residential Showerheads {G}</vt:lpstr>
      <vt:lpstr>SF Existing Weatherization {G}</vt:lpstr>
      <vt:lpstr>Home Energy Reports {G}</vt:lpstr>
      <vt:lpstr>Efficiency Boost {G}</vt:lpstr>
      <vt:lpstr>SF New Construction {G}</vt:lpstr>
      <vt:lpstr>MH New Construction {G}</vt:lpstr>
      <vt:lpstr>Multi Family Retrofit {G}</vt:lpstr>
      <vt:lpstr>MF New Construction {G}</vt:lpstr>
      <vt:lpstr>CI Retrofit {G}</vt:lpstr>
      <vt:lpstr>CBA {G}</vt:lpstr>
      <vt:lpstr>Industrial EM {G}</vt:lpstr>
      <vt:lpstr>CI New Construction {G}</vt:lpstr>
      <vt:lpstr>Com SEM {G}</vt:lpstr>
      <vt:lpstr>P4P {G}</vt:lpstr>
      <vt:lpstr>Commercial Kitchen Laundry {G}</vt:lpstr>
      <vt:lpstr>Commercial HVAC {G}</vt:lpstr>
      <vt:lpstr>Commercial Midstream {G}</vt:lpstr>
      <vt:lpstr>SBDI {G}</vt:lpstr>
      <vt:lpstr>G245 NEEA GAS</vt:lpstr>
      <vt:lpstr>G249 Res Gas Pilot</vt:lpstr>
      <vt:lpstr>G249 Com Gas Pilot</vt:lpstr>
      <vt:lpstr>TDSM {G}</vt:lpstr>
      <vt:lpstr>ElecAvoidedCostsWOCC</vt:lpstr>
      <vt:lpstr>GasAvoidedCostsWOCC</vt:lpstr>
      <vt:lpstr>'Electric CE'!Print_Area</vt:lpstr>
      <vt:lpstr>'Gas CE'!Print_Area</vt:lpstr>
      <vt:lpstr>Summary!Print_Area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Curtis, Kasey</dc:creator>
  <cp:lastModifiedBy>Lance Rottger</cp:lastModifiedBy>
  <cp:lastPrinted>2022-03-03T20:26:12Z</cp:lastPrinted>
  <dcterms:created xsi:type="dcterms:W3CDTF">2022-01-21T18:04:07Z</dcterms:created>
  <dcterms:modified xsi:type="dcterms:W3CDTF">2022-05-27T22:17:35Z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0x0101006E56B4D1795A2E4DB2F0B01679ED314A007DCEEDB03DC21846A53ED623C807910B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